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omments1.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10" yWindow="0" windowWidth="19335" windowHeight="11700" tabRatio="787"/>
  </bookViews>
  <sheets>
    <sheet name="Profile" sheetId="1" r:id="rId1"/>
    <sheet name="Data for Graphs" sheetId="108" r:id="rId2"/>
    <sheet name="Finance By Region" sheetId="123" r:id="rId3"/>
    <sheet name="Agency Level &amp; HR Policy" sheetId="69" r:id="rId4"/>
    <sheet name="IT Support" sheetId="68" r:id="rId5"/>
    <sheet name="2014 Population" sheetId="84" r:id="rId6"/>
    <sheet name="Poverty_2014" sheetId="100" r:id="rId7"/>
    <sheet name="Poverty_All ages" sheetId="86" r:id="rId8"/>
    <sheet name="Poverty_Child" sheetId="87" r:id="rId9"/>
    <sheet name="Income to Poverty Ratio" sheetId="97" state="hidden" r:id="rId10"/>
    <sheet name="Unemployment" sheetId="24" r:id="rId11"/>
    <sheet name="Non-marital births" sheetId="73" r:id="rId12"/>
    <sheet name="Teen births" sheetId="114" r:id="rId13"/>
    <sheet name="NM Births_1998-2013" sheetId="109" r:id="rId14"/>
    <sheet name="Teen Births_1998-2013" sheetId="113" r:id="rId15"/>
    <sheet name="Children in Single Parent Homes" sheetId="115" r:id="rId16"/>
    <sheet name="SNAP Clients by SFY" sheetId="31" r:id="rId17"/>
    <sheet name="TANF Clients by SFY" sheetId="32" r:id="rId18"/>
    <sheet name="Medicaid Clients by SFY" sheetId="89" r:id="rId19"/>
    <sheet name="EA Clients by FFY" sheetId="116" r:id="rId20"/>
    <sheet name="Benefit Clients by SFY" sheetId="94" r:id="rId21"/>
    <sheet name="ChildCareClients by SFY" sheetId="121" r:id="rId22"/>
    <sheet name="TANF Cases by SFY" sheetId="110" r:id="rId23"/>
    <sheet name="SNAP Cases by SFY" sheetId="111" r:id="rId24"/>
    <sheet name="Medicaid Cases by SFY" sheetId="112" r:id="rId25"/>
    <sheet name="EA Cases by FFY" sheetId="106" r:id="rId26"/>
    <sheet name="Child Care Cases" sheetId="120" r:id="rId27"/>
    <sheet name="SNAP Client Demographics" sheetId="49" r:id="rId28"/>
    <sheet name="TANF Client Demographics" sheetId="102" r:id="rId29"/>
    <sheet name="MA Client Demographics" sheetId="103" r:id="rId30"/>
    <sheet name="Hispanic Adjustment" sheetId="95" state="hidden" r:id="rId31"/>
    <sheet name="Benefit Client Demographics" sheetId="104" r:id="rId32"/>
    <sheet name="Children in Foster Care" sheetId="6" r:id="rId33"/>
    <sheet name="Adoption Child by Race" sheetId="63" state="hidden" r:id="rId34"/>
    <sheet name="Adopted Children" sheetId="122" r:id="rId35"/>
    <sheet name="Adoption Services" sheetId="96" r:id="rId36"/>
    <sheet name="APS Reports" sheetId="91" r:id="rId37"/>
    <sheet name="CPS Referrals" sheetId="92" r:id="rId38"/>
    <sheet name="Compare Recipients Census Med" sheetId="39" state="hidden" r:id="rId39"/>
    <sheet name="Compare Recipients Census SNAP" sheetId="40" state="hidden" r:id="rId40"/>
    <sheet name="Compare Recipients Census TANF" sheetId="41" state="hidden" r:id="rId41"/>
    <sheet name="Adoption Counts Summed SFY 2010" sheetId="38" state="hidden" r:id="rId42"/>
    <sheet name="CPS Ref Child Demo 2010 (2)" sheetId="36" state="hidden" r:id="rId43"/>
    <sheet name="Administration LASER" sheetId="53" r:id="rId44"/>
    <sheet name="Other Oper Exp. LASER" sheetId="55" r:id="rId45"/>
    <sheet name="Client Services LASER" sheetId="56" r:id="rId46"/>
    <sheet name="Medicaid &amp; FAMIS - LASER" sheetId="57" r:id="rId47"/>
    <sheet name="SNAP LASER" sheetId="58" r:id="rId48"/>
    <sheet name="TANF LASER" sheetId="61" r:id="rId49"/>
    <sheet name="Energy Assistance LASER" sheetId="59" r:id="rId50"/>
    <sheet name="FC &amp; Adoptions LASER" sheetId="60" r:id="rId51"/>
    <sheet name="CSA LASER" sheetId="117" r:id="rId52"/>
    <sheet name="ChildCare LASER" sheetId="101" r:id="rId53"/>
    <sheet name="Other Benefits LASER" sheetId="62" r:id="rId54"/>
    <sheet name="Benefits Spending LASER" sheetId="118" r:id="rId55"/>
    <sheet name="Social Svcs Spending Summary" sheetId="79" r:id="rId56"/>
    <sheet name="Medicaid Clients" sheetId="46" state="hidden" r:id="rId57"/>
    <sheet name="Staffing" sheetId="85" r:id="rId58"/>
    <sheet name="Children in Single-Parent Homes" sheetId="72" state="hidden" r:id="rId59"/>
    <sheet name="Married Parent Households" sheetId="75" state="hidden" r:id="rId60"/>
    <sheet name="SNAP Participation Rate" sheetId="10" state="hidden" r:id="rId61"/>
    <sheet name="AuxGrant" sheetId="90" state="hidden" r:id="rId62"/>
    <sheet name="Locality Name" sheetId="4" r:id="rId63"/>
    <sheet name="Password" sheetId="42" state="hidden" r:id="rId64"/>
    <sheet name="Region Name" sheetId="124" r:id="rId65"/>
  </sheets>
  <externalReferences>
    <externalReference r:id="rId66"/>
  </externalReferences>
  <definedNames>
    <definedName name="_xlnm._FilterDatabase" localSheetId="5" hidden="1">'2014 Population'!$A$4:$D$125</definedName>
    <definedName name="_xlnm._FilterDatabase" localSheetId="43" hidden="1">'Administration LASER'!$A$3:$C$124</definedName>
    <definedName name="_xlnm._FilterDatabase" localSheetId="33" hidden="1">'Adoption Child by Race'!$A$3:$C$3</definedName>
    <definedName name="_xlnm._FilterDatabase" localSheetId="41" hidden="1">'Adoption Counts Summed SFY 2010'!$A$1:$F$125</definedName>
    <definedName name="_xlnm._FilterDatabase" localSheetId="35" hidden="1">'Adoption Services'!$A$3:$C$3</definedName>
    <definedName name="_xlnm._FilterDatabase" localSheetId="3" hidden="1">'Agency Level &amp; HR Policy'!$A$3:$I$123</definedName>
    <definedName name="_xlnm._FilterDatabase" localSheetId="36" hidden="1">'APS Reports'!$A$4:$C$125</definedName>
    <definedName name="_xlnm._FilterDatabase" localSheetId="61" hidden="1">AuxGrant!$A$4:$C$4</definedName>
    <definedName name="_xlnm._FilterDatabase" localSheetId="20" hidden="1">'Benefit Clients by SFY'!$A$3:$C$3</definedName>
    <definedName name="_xlnm._FilterDatabase" localSheetId="52" hidden="1">'ChildCare LASER'!$A$3:$C$124</definedName>
    <definedName name="_xlnm._FilterDatabase" localSheetId="32" hidden="1">'Children in Foster Care'!$A$4:$C$4</definedName>
    <definedName name="_xlnm._FilterDatabase" localSheetId="15" hidden="1">'Children in Single Parent Homes'!$A$3:$C$124</definedName>
    <definedName name="_xlnm._FilterDatabase" localSheetId="45" hidden="1">'Client Services LASER'!$A$3:$B$3</definedName>
    <definedName name="_xlnm._FilterDatabase" localSheetId="38" hidden="1">'Compare Recipients Census Med'!$A$3:$Y$127</definedName>
    <definedName name="_xlnm._FilterDatabase" localSheetId="39" hidden="1">'Compare Recipients Census SNAP'!$A$3:$Y$127</definedName>
    <definedName name="_xlnm._FilterDatabase" localSheetId="40" hidden="1">'Compare Recipients Census TANF'!$A$3:$Y$127</definedName>
    <definedName name="_xlnm._FilterDatabase" localSheetId="42" hidden="1">'CPS Ref Child Demo 2010 (2)'!$B$4:$X$125</definedName>
    <definedName name="_xlnm._FilterDatabase" localSheetId="37" hidden="1">'CPS Referrals'!$A$3:$C$3</definedName>
    <definedName name="_xlnm._FilterDatabase" localSheetId="51" hidden="1">'CSA LASER'!$A$3:$I$124</definedName>
    <definedName name="_xlnm._FilterDatabase" localSheetId="25" hidden="1">'EA Cases by FFY'!$A$4:$C$4</definedName>
    <definedName name="_xlnm._FilterDatabase" localSheetId="49" hidden="1">'Energy Assistance LASER'!$A$3:$C$124</definedName>
    <definedName name="_xlnm._FilterDatabase" localSheetId="50" hidden="1">'FC &amp; Adoptions LASER'!$A$3:$C$124</definedName>
    <definedName name="_xlnm._FilterDatabase" localSheetId="4" hidden="1">'IT Support'!$A$3:$D$123</definedName>
    <definedName name="_xlnm._FilterDatabase" localSheetId="29" hidden="1">'MA Client Demographics'!$A$4:$C$4</definedName>
    <definedName name="_xlnm._FilterDatabase" localSheetId="46" hidden="1">'Medicaid &amp; FAMIS - LASER'!$A$3:$C$124</definedName>
    <definedName name="_xlnm._FilterDatabase" localSheetId="24" hidden="1">'Medicaid Cases by SFY'!$A$3:$C$3</definedName>
    <definedName name="_xlnm._FilterDatabase" localSheetId="18" hidden="1">'Medicaid Clients by SFY'!$A$3:$C$3</definedName>
    <definedName name="_xlnm._FilterDatabase" localSheetId="13" hidden="1">'NM Births_1998-2013'!$A$4:$C$125</definedName>
    <definedName name="_xlnm._FilterDatabase" localSheetId="11" hidden="1">'Non-marital births'!$A$4:$C$126</definedName>
    <definedName name="_xlnm._FilterDatabase" localSheetId="53" hidden="1">'Other Benefits LASER'!$A$3:$C$3</definedName>
    <definedName name="_xlnm._FilterDatabase" localSheetId="44" hidden="1">'Other Oper Exp. LASER'!$A$3:$C$3</definedName>
    <definedName name="_xlnm._FilterDatabase" localSheetId="6" hidden="1">Poverty_2014!$A$4:$C$125</definedName>
    <definedName name="_xlnm._FilterDatabase" localSheetId="7" hidden="1">'Poverty_All ages'!$A$3:$C$3</definedName>
    <definedName name="_xlnm._FilterDatabase" localSheetId="8" hidden="1">Poverty_Child!$A$4:$C$4</definedName>
    <definedName name="_xlnm._FilterDatabase" localSheetId="23" hidden="1">'SNAP Cases by SFY'!$A$3:$C$3</definedName>
    <definedName name="_xlnm._FilterDatabase" localSheetId="27" hidden="1">'SNAP Client Demographics'!$A$4:$C$4</definedName>
    <definedName name="_xlnm._FilterDatabase" localSheetId="16" hidden="1">'SNAP Clients by SFY'!$A$3:$C$3</definedName>
    <definedName name="_xlnm._FilterDatabase" localSheetId="47" hidden="1">'SNAP LASER'!$A$3:$C$124</definedName>
    <definedName name="_xlnm._FilterDatabase" localSheetId="60" hidden="1">'SNAP Participation Rate'!$A$3:$C$3</definedName>
    <definedName name="_xlnm._FilterDatabase" localSheetId="55" hidden="1">'Social Svcs Spending Summary'!$A$4:$C$4</definedName>
    <definedName name="_xlnm._FilterDatabase" localSheetId="57" hidden="1">Staffing!$A$5:$C$5</definedName>
    <definedName name="_xlnm._FilterDatabase" localSheetId="22" hidden="1">'TANF Cases by SFY'!$A$3:$C$3</definedName>
    <definedName name="_xlnm._FilterDatabase" localSheetId="28" hidden="1">'TANF Client Demographics'!$A$4:$C$4</definedName>
    <definedName name="_xlnm._FilterDatabase" localSheetId="17" hidden="1">'TANF Clients by SFY'!$A$3:$C$3</definedName>
    <definedName name="_xlnm._FilterDatabase" localSheetId="48" hidden="1">'TANF LASER'!$A$3:$C$124</definedName>
    <definedName name="_xlnm._FilterDatabase" localSheetId="12" hidden="1">'Teen births'!$A$4:$C$125</definedName>
    <definedName name="_xlnm._FilterDatabase" localSheetId="14" hidden="1">'Teen Births_1998-2013'!$A$4:$C$125</definedName>
    <definedName name="_xlnm._FilterDatabase" localSheetId="10" hidden="1">Unemployment!$A$3:$C$124</definedName>
    <definedName name="adj_span_amer_med">#REF!</definedName>
    <definedName name="ADOP_AVG" localSheetId="38">'Compare Recipients Census Med'!$A$4:$M$124</definedName>
    <definedName name="ADOP_AVG" localSheetId="39">'Compare Recipients Census SNAP'!$A$4:$M$124</definedName>
    <definedName name="ADOP_AVG" localSheetId="40">'Compare Recipients Census TANF'!$A$4:$M$124</definedName>
    <definedName name="ADOP_AVG">'Adoption Counts Summed SFY 2010'!$A$2:$F$122</definedName>
    <definedName name="Adoption_Child_Demo">'Adopted Children'!$A$4:$S$124</definedName>
    <definedName name="adoption_race" comment="Number of Foster Children Adopted, by Race of Child, FFY 2012">'Adoption Child by Race'!$A$3:$G$124</definedName>
    <definedName name="AdoptionServices" comment="As of February 1, 2015.">'Adoption Services'!$A$4:$R$124</definedName>
    <definedName name="AG_CASES">#REF!</definedName>
    <definedName name="Agency_Level" comment="Agency Level (or Size), Board Type, and HR Policy/Practice Deviation">'Agency Level &amp; HR Policy'!$A$3:$I$123</definedName>
    <definedName name="APS_Reports" comment="Number of unduplicated APS reports, SFY 2015">'APS Reports'!$A$3:$J$125</definedName>
    <definedName name="AuxGrant" comment="Auxiliary Grant Recipients, SFY 2012">AuxGrant!$A$3:$J$125</definedName>
    <definedName name="BenefitClient_Demo" comment="Unique count of clients who received SNAP, TANF, and/or Medicaid, by gender, age group, and race/ethnicity, SFY 2015.">'Benefit Client Demographics'!$A$5:$M$125</definedName>
    <definedName name="BenefitClients" comment="Counts of clients who receive TANF, SNAP and/or Medicaid benefits, by SFY. Client counts are unique.">'Benefit Clients by SFY'!$A$4:$J$124</definedName>
    <definedName name="Child_SingleParentHH" comment="Source: U.S. Census Bureau, ACS 2009-2013 (5-Year Estimate)">'Children in Single Parent Homes'!$A$4:$X$124</definedName>
    <definedName name="ChildCareClients">'ChildCareClients by SFY'!$A$4:$E$124</definedName>
    <definedName name="ChildCareFamilies">'Child Care Cases'!$A$4:$E$124</definedName>
    <definedName name="ChildCareLASER">'ChildCare LASER'!$A$4:$K$131</definedName>
    <definedName name="Children_CPS_Referrals">'CPS Referrals'!$A$4:$O$124</definedName>
    <definedName name="Client_Svcs_LASER">'Client Services LASER'!$A$4:$K$131</definedName>
    <definedName name="CPS_REF_RACE_2011">#REF!</definedName>
    <definedName name="CPSReferrals" comment="Number of children in CPS referrals by race and locality, SFY 2015.">'CPS Referrals'!$A$4:$Y$124</definedName>
    <definedName name="CSA_LASER">'CSA LASER'!$A$4:$I$131</definedName>
    <definedName name="EA_LASER">'Energy Assistance LASER'!$A$4:$J$131</definedName>
    <definedName name="EACases_FFY" comment="Energy Assistance Program Reports (from Data Warehouse, &quot;Case Counts Agency Summary Report&quot;). Reported by federal fiscal year for each program component.">'EA Cases by FFY'!$A$5:$L$125</definedName>
    <definedName name="EAClients_FFY" comment="Unduplicated number of Energy Assistance clients served in each federal fiscal year.">'EA Clients by FFY'!$A$4:$E$124</definedName>
    <definedName name="Eligibility_2013">'Administration LASER'!$A$4:$F$124</definedName>
    <definedName name="Employment" comment="Annual employment data for CY 2000 - 2014. Source: Virginia Employment Commission. Rates are not seasonally adjusted.">Unemployment!$A$4:$AW$130</definedName>
    <definedName name="FC_Adop_LASER">'FC &amp; Adoptions LASER'!$A$3:$I$131</definedName>
    <definedName name="FC_DEMO">'Children in Foster Care'!$A$5:$W$125</definedName>
    <definedName name="FCMAP">'Children in Foster Care'!$A$6:$Q$125</definedName>
    <definedName name="FIPS">'Locality Name'!$D$7:$E$128</definedName>
    <definedName name="FIPS_NUM">'Locality Name'!$C$8:$E$128</definedName>
    <definedName name="FIPSN">'Locality Name'!$C$9:$E$128</definedName>
    <definedName name="IT_Support" comment="Level of IT Support">'IT Support'!$A$3:$D$123</definedName>
    <definedName name="Loc_Name">'Locality Name'!$D$9:$E$128</definedName>
    <definedName name="Locality">'Locality Name'!$D$9:$D$128</definedName>
    <definedName name="marriedcouples" comment="Percentage of households with couples with or without children who are married vs. cohabiting. Source: U.S. Census Bureau, 2010 Census, Summary File 1. Excludes same-sex couples.">'Married Parent Households'!$A$6:$Q$133</definedName>
    <definedName name="MarriedParentHouseholds" comment="Percentage of Couples who are Married vs. Cohabitating. Source: US Census Bureau, 2010 Census, Summary File 1. Excludes same-sex couple households.">'Married Parent Households'!$A$6:$Q$133</definedName>
    <definedName name="Medicaid_FAMIS_LASER">'Medicaid &amp; FAMIS - LASER'!$A$4:$N$131</definedName>
    <definedName name="MedicaidCases_SFY" comment="Unduplicated case count for each state fiscal year. Statewide totals include enrollees from state mental hospitals. Source: VDSS MMIS Data Mart.">'Medicaid Cases by SFY'!$A$4:$I$124</definedName>
    <definedName name="MedicaidClient_Demographics" comment="Number of Medicaid enrollees by gender, age group, and race/ethnicity, SFY 2015.  Excludes clients enrolled through state mental health facilities.">'MA Client Demographics'!$A$5:$N$125</definedName>
    <definedName name="MedicaidClients" comment="Number of Medicaid Clients by State Fiscal Year. Unique counts are reported. Source: Data Warehouse Client Cross-Program Locality Yearly Analysis.">'Medicaid Clients by SFY'!$A$4:$J$124</definedName>
    <definedName name="MedicaidR">#REF!</definedName>
    <definedName name="NMBirths_Trend" comment="Percentage of live births that are non-marital, 1998-2013. Source: VDH, Center for Health Statistics.">'NM Births_1998-2013'!$A$5:$AY$131</definedName>
    <definedName name="NonMaritalBirths" comment="Non-marital births and percentage rate, 2012. Source: Virginia Department of Health, Vital Records data.">'Non-marital births'!$A$6:$O$132</definedName>
    <definedName name="OT_BENE_LASER">'Other Benefits LASER'!$A$5:$I$131</definedName>
    <definedName name="OT_EXP_LASER">#REF!</definedName>
    <definedName name="OT_EXP_LASER_2013">'Other Oper Exp. LASER'!$A$4:$F$124</definedName>
    <definedName name="Other_Oper_Exp_LASER">'Other Oper Exp. LASER'!$A$4:$K$131</definedName>
    <definedName name="Pop">#REF!</definedName>
    <definedName name="Pop_2010">#REF!</definedName>
    <definedName name="Pop_2013" comment="Source: VDH, Center for Health Statistics. Hispanic ethnicity is not mutually exclusive of race.">'2014 Population'!$A$3:$AO$131</definedName>
    <definedName name="PopByRace_2010">#REF!</definedName>
    <definedName name="Poverty" comment="Source: U.S. Census Bureau, Small Area Income and Poverty Estimates. Estimates come from model-based calculations using the 2009-2013 American Community Survey (5-Year Estimates). Universe excludes people living in group quarters.">Poverty_2014!$A$5:$L$131</definedName>
    <definedName name="Poverty_AllAges" comment="Poverty rate (%) among people of all ages. Source: U.S. Census Bureau.">'Poverty_All ages'!$A$4:$AH$130</definedName>
    <definedName name="Poverty_Child" comment="Poverty rate (%) among children (0-17 years). Source: U.S. Census Bureau.">Poverty_Child!$A$5:$AH$132</definedName>
    <definedName name="_xlnm.Print_Area" localSheetId="32">'Children in Foster Care'!$A$6:$Q$130</definedName>
    <definedName name="_xlnm.Print_Area" localSheetId="2">'Finance By Region'!$A$1:$L$30</definedName>
    <definedName name="_xlnm.Print_Area" localSheetId="62">'Locality Name'!$B$9:$E$132</definedName>
    <definedName name="_xlnm.Print_Area" localSheetId="0">Profile!$B$1:$N$187</definedName>
    <definedName name="_xlnm.Print_Area" localSheetId="60">'SNAP Participation Rate'!$A$5:$J$131</definedName>
    <definedName name="_xlnm.Print_Area" localSheetId="10">Unemployment!$A$5:$N$132</definedName>
    <definedName name="_xlnm.Print_Titles" localSheetId="32">'Children in Foster Care'!$1:$5</definedName>
    <definedName name="_xlnm.Print_Titles" localSheetId="0">Profile!$1:$4</definedName>
    <definedName name="_xlnm.Print_Titles" localSheetId="60">'SNAP Participation Rate'!$1:$4</definedName>
    <definedName name="_xlnm.Print_Titles" localSheetId="10">Unemployment!$3:$4</definedName>
    <definedName name="Region">'Region Name'!$A$1:$A$6</definedName>
    <definedName name="SingleParentHomes">'Children in Single-Parent Homes'!$A$6:$S$133</definedName>
    <definedName name="SNAP_DEMO_2011">'[1]SNAP Demographics 2011'!$A$6:$K$126</definedName>
    <definedName name="SNAP_LASER">'SNAP LASER'!$A$4:$E$131</definedName>
    <definedName name="SNAP_RACE">'Locality Name'!$B$9:$E$129</definedName>
    <definedName name="SNAPCases_SFY" comment="Unduplicated case count for each state fiscal year. Source: VDSS ADAPT Data Mart.">'SNAP Cases by SFY'!$A$4:$I$124</definedName>
    <definedName name="SNAPClient_Demo" comment="SNAP client counts by gender, age group and by race/ethnicity, SFY 2015. &quot;Other race&quot; excludes missing and non-valid counts.">'SNAP Client Demographics'!$A$5:$M$125</definedName>
    <definedName name="SNAPClients">'SNAP Clients by SFY'!$A$4:$N$124</definedName>
    <definedName name="Staffing" comment="Number of filled and unfilled positions. Source: Human Resources, Local Employment Tracking System (LETS). Data as of 10/1/2013.">Staffing!$A$6:$Z$126</definedName>
    <definedName name="Staffing_LASER">'Administration LASER'!$A$3:$K$131</definedName>
    <definedName name="TANF_LASER">'TANF LASER'!$A$4:$J$131</definedName>
    <definedName name="TANFCases_SFY" comment="Unduplicated case count for each state fiscal year. Source: VDSS ADAPT Data Mart.">'TANF Cases by SFY'!$A$4:$I$124</definedName>
    <definedName name="TANFClient_Demo" comment="TANF recipient counts by gender, age group, and race/ethnicity, SFY 2015. ">'TANF Client Demographics'!$A$5:$M$125</definedName>
    <definedName name="TANFClients" comment="TANF Client Caseload by SFY, 2005-2015. Source: ADAPT SFY Client Summary Analysis; Client Cross-Program Yearly Locality Count Analysis for 2009-2015.">'TANF Clients by SFY'!$A$4:$N$124</definedName>
    <definedName name="TeenBirths" comment="Teen births and birth rates (per 1,000 pop.). Source: VDH, Center for Health Statiistics. Rates are age-specific (not age-adjusted).">'Teen births'!$5:$131</definedName>
    <definedName name="TeenBirths_Trend" comment="Teen birth rate (per 1,000) among female teens 10-19 years. Source: VDH, Center for Health Statistics. Rates are age-specific, not age-adjusted.">'Teen Births_1998-2013'!$A$5:$AY$131</definedName>
    <definedName name="YTD_EMP">Unemployment!#REF!</definedName>
  </definedNames>
  <calcPr calcId="145621"/>
</workbook>
</file>

<file path=xl/calcChain.xml><?xml version="1.0" encoding="utf-8"?>
<calcChain xmlns="http://schemas.openxmlformats.org/spreadsheetml/2006/main">
  <c r="Q99" i="115" l="1"/>
  <c r="O99" i="115" s="1"/>
  <c r="Q98" i="115"/>
  <c r="O98" i="115" s="1"/>
  <c r="Q97" i="115"/>
  <c r="O97" i="115" s="1"/>
  <c r="Q124" i="115"/>
  <c r="O124" i="115" s="1"/>
  <c r="Q123" i="115"/>
  <c r="O123" i="115" s="1"/>
  <c r="Q96" i="115"/>
  <c r="O96" i="115" s="1"/>
  <c r="Q95" i="115"/>
  <c r="O95" i="115" s="1"/>
  <c r="Q94" i="115"/>
  <c r="O94" i="115" s="1"/>
  <c r="Q122" i="115"/>
  <c r="O122" i="115" s="1"/>
  <c r="Q93" i="115"/>
  <c r="O93" i="115" s="1"/>
  <c r="Q92" i="115"/>
  <c r="O92" i="115" s="1"/>
  <c r="Q91" i="115"/>
  <c r="O91" i="115" s="1"/>
  <c r="Q121" i="115"/>
  <c r="O121" i="115" s="1"/>
  <c r="Q90" i="115"/>
  <c r="O90" i="115" s="1"/>
  <c r="Q89" i="115"/>
  <c r="O89" i="115" s="1"/>
  <c r="Q88" i="115"/>
  <c r="O88" i="115" s="1"/>
  <c r="Q87" i="115"/>
  <c r="O87" i="115" s="1"/>
  <c r="Q86" i="115"/>
  <c r="O86" i="115" s="1"/>
  <c r="Q85" i="115"/>
  <c r="O85" i="115" s="1"/>
  <c r="Q84" i="115"/>
  <c r="O84" i="115" s="1"/>
  <c r="Q83" i="115"/>
  <c r="O83" i="115" s="1"/>
  <c r="Q82" i="115"/>
  <c r="O82" i="115" s="1"/>
  <c r="Q81" i="115"/>
  <c r="O81" i="115" s="1"/>
  <c r="Q120" i="115"/>
  <c r="O120" i="115" s="1"/>
  <c r="Q80" i="115"/>
  <c r="O80" i="115" s="1"/>
  <c r="Q119" i="115"/>
  <c r="O119" i="115" s="1"/>
  <c r="Q79" i="115"/>
  <c r="O79" i="115" s="1"/>
  <c r="Q118" i="115"/>
  <c r="O118" i="115" s="1"/>
  <c r="Q78" i="115"/>
  <c r="O78" i="115" s="1"/>
  <c r="Q77" i="115"/>
  <c r="O77" i="115" s="1"/>
  <c r="Q76" i="115"/>
  <c r="O76" i="115" s="1"/>
  <c r="Q75" i="115"/>
  <c r="O75" i="115" s="1"/>
  <c r="Q74" i="115"/>
  <c r="O74" i="115" s="1"/>
  <c r="Q117" i="115"/>
  <c r="O117" i="115" s="1"/>
  <c r="Q73" i="115"/>
  <c r="O73" i="115" s="1"/>
  <c r="Q116" i="115"/>
  <c r="O116" i="115" s="1"/>
  <c r="Q72" i="115"/>
  <c r="O72" i="115" s="1"/>
  <c r="Q71" i="115"/>
  <c r="O71" i="115" s="1"/>
  <c r="Q70" i="115"/>
  <c r="O70" i="115" s="1"/>
  <c r="Q69" i="115"/>
  <c r="O69" i="115" s="1"/>
  <c r="Q115" i="115"/>
  <c r="O115" i="115" s="1"/>
  <c r="Q68" i="115"/>
  <c r="O68" i="115" s="1"/>
  <c r="Q67" i="115"/>
  <c r="O67" i="115" s="1"/>
  <c r="Q114" i="115"/>
  <c r="O114" i="115" s="1"/>
  <c r="Q113" i="115"/>
  <c r="O113" i="115" s="1"/>
  <c r="Q66" i="115"/>
  <c r="O66" i="115" s="1"/>
  <c r="Q65" i="115"/>
  <c r="O65" i="115" s="1"/>
  <c r="Q64" i="115"/>
  <c r="O64" i="115" s="1"/>
  <c r="Q63" i="115"/>
  <c r="O63" i="115" s="1"/>
  <c r="Q62" i="115"/>
  <c r="O62" i="115" s="1"/>
  <c r="Q61" i="115"/>
  <c r="O61" i="115" s="1"/>
  <c r="Q112" i="115"/>
  <c r="O112" i="115" s="1"/>
  <c r="Q111" i="115"/>
  <c r="O111" i="115" s="1"/>
  <c r="Q60" i="115"/>
  <c r="O60" i="115" s="1"/>
  <c r="Q110" i="115"/>
  <c r="O110" i="115" s="1"/>
  <c r="Q59" i="115"/>
  <c r="O59" i="115" s="1"/>
  <c r="Q58" i="115"/>
  <c r="O58" i="115" s="1"/>
  <c r="Q57" i="115"/>
  <c r="O57" i="115" s="1"/>
  <c r="Q56" i="115"/>
  <c r="O56" i="115" s="1"/>
  <c r="Q55" i="115"/>
  <c r="O55" i="115" s="1"/>
  <c r="Q54" i="115"/>
  <c r="O54" i="115" s="1"/>
  <c r="Q53" i="115"/>
  <c r="O53" i="115" s="1"/>
  <c r="Q52" i="115"/>
  <c r="O52" i="115" s="1"/>
  <c r="Q51" i="115"/>
  <c r="O51" i="115" s="1"/>
  <c r="Q50" i="115"/>
  <c r="O50" i="115" s="1"/>
  <c r="Q109" i="115"/>
  <c r="O109" i="115" s="1"/>
  <c r="Q49" i="115"/>
  <c r="O49" i="115" s="1"/>
  <c r="Q48" i="115"/>
  <c r="O48" i="115" s="1"/>
  <c r="Q47" i="115"/>
  <c r="O47" i="115" s="1"/>
  <c r="Q46" i="115"/>
  <c r="O46" i="115" s="1"/>
  <c r="Q108" i="115"/>
  <c r="O108" i="115" s="1"/>
  <c r="Q45" i="115"/>
  <c r="O45" i="115" s="1"/>
  <c r="Q44" i="115"/>
  <c r="O44" i="115" s="1"/>
  <c r="Q43" i="115"/>
  <c r="O43" i="115" s="1"/>
  <c r="Q42" i="115"/>
  <c r="O42" i="115" s="1"/>
  <c r="Q41" i="115"/>
  <c r="O41" i="115" s="1"/>
  <c r="Q40" i="115"/>
  <c r="O40" i="115" s="1"/>
  <c r="Q39" i="115"/>
  <c r="O39" i="115" s="1"/>
  <c r="Q107" i="115"/>
  <c r="O107" i="115" s="1"/>
  <c r="Q106" i="115"/>
  <c r="O106" i="115" s="1"/>
  <c r="Q38" i="115"/>
  <c r="O38" i="115" s="1"/>
  <c r="Q37" i="115"/>
  <c r="O37" i="115" s="1"/>
  <c r="Q105" i="115"/>
  <c r="O105" i="115" s="1"/>
  <c r="Q36" i="115"/>
  <c r="O36" i="115" s="1"/>
  <c r="Q35" i="115"/>
  <c r="O35" i="115" s="1"/>
  <c r="Q34" i="115"/>
  <c r="O34" i="115" s="1"/>
  <c r="Q33" i="115"/>
  <c r="O33" i="115" s="1"/>
  <c r="Q32" i="115"/>
  <c r="O32" i="115" s="1"/>
  <c r="Q31" i="115"/>
  <c r="O31" i="115" s="1"/>
  <c r="Q30" i="115"/>
  <c r="O30" i="115" s="1"/>
  <c r="Q104" i="115"/>
  <c r="O104" i="115" s="1"/>
  <c r="Q29" i="115"/>
  <c r="O29" i="115" s="1"/>
  <c r="Q28" i="115"/>
  <c r="O28" i="115" s="1"/>
  <c r="Q27" i="115"/>
  <c r="O27" i="115" s="1"/>
  <c r="Q26" i="115"/>
  <c r="O26" i="115" s="1"/>
  <c r="Q25" i="115"/>
  <c r="O25" i="115" s="1"/>
  <c r="Q103" i="115"/>
  <c r="O103" i="115" s="1"/>
  <c r="Q102" i="115"/>
  <c r="O102" i="115" s="1"/>
  <c r="Q24" i="115"/>
  <c r="O24" i="115" s="1"/>
  <c r="Q23" i="115"/>
  <c r="O23" i="115" s="1"/>
  <c r="Q22" i="115"/>
  <c r="O22" i="115" s="1"/>
  <c r="Q21" i="115"/>
  <c r="O21" i="115" s="1"/>
  <c r="Q20" i="115"/>
  <c r="O20" i="115" s="1"/>
  <c r="Q19" i="115"/>
  <c r="O19" i="115" s="1"/>
  <c r="Q18" i="115"/>
  <c r="O18" i="115" s="1"/>
  <c r="Q17" i="115"/>
  <c r="O17" i="115" s="1"/>
  <c r="Q101" i="115"/>
  <c r="O101" i="115" s="1"/>
  <c r="Q16" i="115"/>
  <c r="O16" i="115" s="1"/>
  <c r="Q15" i="115"/>
  <c r="O15" i="115" s="1"/>
  <c r="Q14" i="115"/>
  <c r="O14" i="115" s="1"/>
  <c r="Q13" i="115"/>
  <c r="O13" i="115" s="1"/>
  <c r="Q12" i="115"/>
  <c r="O12" i="115" s="1"/>
  <c r="Q11" i="115"/>
  <c r="O11" i="115" s="1"/>
  <c r="Q10" i="115"/>
  <c r="O10" i="115" s="1"/>
  <c r="Q9" i="115"/>
  <c r="O9" i="115" s="1"/>
  <c r="Q8" i="115"/>
  <c r="O8" i="115" s="1"/>
  <c r="Q7" i="115"/>
  <c r="O7" i="115" s="1"/>
  <c r="Q100" i="115"/>
  <c r="O100" i="115" s="1"/>
  <c r="Q6" i="115"/>
  <c r="O6" i="115" s="1"/>
  <c r="Q5" i="115"/>
  <c r="O5" i="115" s="1"/>
  <c r="S4" i="115"/>
  <c r="R4" i="115"/>
  <c r="P4" i="115"/>
  <c r="H4" i="115"/>
  <c r="G4" i="115"/>
  <c r="F4" i="115"/>
  <c r="E4" i="115"/>
  <c r="D4" i="115"/>
  <c r="Q4" i="115" l="1"/>
  <c r="O4" i="115"/>
  <c r="H5" i="91" l="1"/>
  <c r="Y99" i="92" l="1"/>
  <c r="Y98" i="92"/>
  <c r="Y97" i="92"/>
  <c r="Y124" i="92"/>
  <c r="Y123" i="92"/>
  <c r="Y96" i="92"/>
  <c r="Y95" i="92"/>
  <c r="Y94" i="92"/>
  <c r="Y122" i="92"/>
  <c r="Y93" i="92"/>
  <c r="Y92" i="92"/>
  <c r="Y91" i="92"/>
  <c r="Y121" i="92"/>
  <c r="Y90" i="92"/>
  <c r="Y89" i="92"/>
  <c r="Y88" i="92"/>
  <c r="Y87" i="92"/>
  <c r="Y86" i="92"/>
  <c r="Y85" i="92"/>
  <c r="Y84" i="92"/>
  <c r="Y83" i="92"/>
  <c r="Y82" i="92"/>
  <c r="Y81" i="92"/>
  <c r="Y120" i="92"/>
  <c r="Y80" i="92"/>
  <c r="Y119" i="92"/>
  <c r="Y79" i="92"/>
  <c r="Y118" i="92"/>
  <c r="Y78" i="92"/>
  <c r="Y77" i="92"/>
  <c r="Y76" i="92"/>
  <c r="Y75" i="92"/>
  <c r="Y74" i="92"/>
  <c r="Y117" i="92"/>
  <c r="Y73" i="92"/>
  <c r="Y116" i="92"/>
  <c r="Y72" i="92"/>
  <c r="Y71" i="92"/>
  <c r="Y70" i="92"/>
  <c r="Y69" i="92"/>
  <c r="Y115" i="92"/>
  <c r="Y68" i="92"/>
  <c r="Y67" i="92"/>
  <c r="Y114" i="92"/>
  <c r="Y113" i="92"/>
  <c r="Y66" i="92"/>
  <c r="Y65" i="92"/>
  <c r="Y64" i="92"/>
  <c r="Y63" i="92"/>
  <c r="Y62" i="92"/>
  <c r="Y61" i="92"/>
  <c r="Y112" i="92"/>
  <c r="Y111" i="92"/>
  <c r="Y60" i="92"/>
  <c r="Y110" i="92"/>
  <c r="Y59" i="92"/>
  <c r="Y58" i="92"/>
  <c r="Y57" i="92"/>
  <c r="Y56" i="92"/>
  <c r="Y55" i="92"/>
  <c r="Y54" i="92"/>
  <c r="Y53" i="92"/>
  <c r="Y52" i="92"/>
  <c r="Y51" i="92"/>
  <c r="Y50" i="92"/>
  <c r="Y109" i="92"/>
  <c r="Y49" i="92"/>
  <c r="Y48" i="92"/>
  <c r="Y47" i="92"/>
  <c r="Y46" i="92"/>
  <c r="Y108" i="92"/>
  <c r="Y45" i="92"/>
  <c r="Y44" i="92"/>
  <c r="Y43" i="92"/>
  <c r="Y42" i="92"/>
  <c r="Y41" i="92"/>
  <c r="Y40" i="92"/>
  <c r="Y39" i="92"/>
  <c r="Y107" i="92"/>
  <c r="Y106" i="92"/>
  <c r="Y38" i="92"/>
  <c r="Y37" i="92"/>
  <c r="Y105" i="92"/>
  <c r="Y36" i="92"/>
  <c r="Y35" i="92"/>
  <c r="Y34" i="92"/>
  <c r="Y33" i="92"/>
  <c r="Y32" i="92"/>
  <c r="Y31" i="92"/>
  <c r="Y30" i="92"/>
  <c r="Y104" i="92"/>
  <c r="Y29" i="92"/>
  <c r="Y28" i="92"/>
  <c r="Y27" i="92"/>
  <c r="Y26" i="92"/>
  <c r="Y25" i="92"/>
  <c r="Y103" i="92"/>
  <c r="Y102" i="92"/>
  <c r="Y24" i="92"/>
  <c r="Y23" i="92"/>
  <c r="Y22" i="92"/>
  <c r="Y21" i="92"/>
  <c r="Y20" i="92"/>
  <c r="Y19" i="92"/>
  <c r="Y18" i="92"/>
  <c r="Y17" i="92"/>
  <c r="Y101" i="92"/>
  <c r="Y16" i="92"/>
  <c r="Y15" i="92"/>
  <c r="Y14" i="92"/>
  <c r="Y13" i="92"/>
  <c r="Y12" i="92"/>
  <c r="Y11" i="92"/>
  <c r="Y10" i="92"/>
  <c r="Y9" i="92"/>
  <c r="Y8" i="92"/>
  <c r="Y7" i="92"/>
  <c r="Y100" i="92"/>
  <c r="Y6" i="92"/>
  <c r="Y5" i="92"/>
  <c r="Y4" i="92" s="1"/>
  <c r="W4" i="92"/>
  <c r="V4" i="92"/>
  <c r="U4" i="92"/>
  <c r="N100" i="6"/>
  <c r="N99" i="6"/>
  <c r="N98" i="6"/>
  <c r="N125" i="6"/>
  <c r="N124" i="6"/>
  <c r="N97" i="6"/>
  <c r="N96" i="6"/>
  <c r="N95" i="6"/>
  <c r="N123" i="6"/>
  <c r="N94" i="6"/>
  <c r="N93" i="6"/>
  <c r="N92" i="6"/>
  <c r="N122" i="6"/>
  <c r="N91" i="6"/>
  <c r="N90" i="6"/>
  <c r="N89" i="6"/>
  <c r="N88" i="6"/>
  <c r="N87" i="6"/>
  <c r="N86" i="6"/>
  <c r="N85" i="6"/>
  <c r="N84" i="6"/>
  <c r="N83" i="6"/>
  <c r="N82" i="6"/>
  <c r="N121" i="6"/>
  <c r="N81" i="6"/>
  <c r="N120" i="6"/>
  <c r="N80" i="6"/>
  <c r="N119" i="6"/>
  <c r="N79" i="6"/>
  <c r="N78" i="6"/>
  <c r="N77" i="6"/>
  <c r="N76" i="6"/>
  <c r="N75" i="6"/>
  <c r="N118" i="6"/>
  <c r="N74" i="6"/>
  <c r="N117" i="6"/>
  <c r="N73" i="6"/>
  <c r="N72" i="6"/>
  <c r="N71" i="6"/>
  <c r="N70" i="6"/>
  <c r="N116" i="6"/>
  <c r="N69" i="6"/>
  <c r="N68" i="6"/>
  <c r="N115" i="6"/>
  <c r="N114" i="6"/>
  <c r="N67" i="6"/>
  <c r="N66" i="6"/>
  <c r="N65" i="6"/>
  <c r="N64" i="6"/>
  <c r="N63" i="6"/>
  <c r="N62" i="6"/>
  <c r="N113" i="6"/>
  <c r="N112" i="6"/>
  <c r="N61" i="6"/>
  <c r="N111" i="6"/>
  <c r="N60" i="6"/>
  <c r="N59" i="6"/>
  <c r="N58" i="6"/>
  <c r="N57" i="6"/>
  <c r="N56" i="6"/>
  <c r="N55" i="6"/>
  <c r="N54" i="6"/>
  <c r="N53" i="6"/>
  <c r="N52" i="6"/>
  <c r="N51" i="6"/>
  <c r="N110" i="6"/>
  <c r="N50" i="6"/>
  <c r="N49" i="6"/>
  <c r="N48" i="6"/>
  <c r="N47" i="6"/>
  <c r="N109" i="6"/>
  <c r="N46" i="6"/>
  <c r="N45" i="6"/>
  <c r="N44" i="6"/>
  <c r="N43" i="6"/>
  <c r="N42" i="6"/>
  <c r="N41" i="6"/>
  <c r="N40" i="6"/>
  <c r="N108" i="6"/>
  <c r="N107" i="6"/>
  <c r="N39" i="6"/>
  <c r="N38" i="6"/>
  <c r="N106" i="6"/>
  <c r="N37" i="6"/>
  <c r="N36" i="6"/>
  <c r="N35" i="6"/>
  <c r="N34" i="6"/>
  <c r="N33" i="6"/>
  <c r="N32" i="6"/>
  <c r="N31" i="6"/>
  <c r="N105" i="6"/>
  <c r="N30" i="6"/>
  <c r="N29" i="6"/>
  <c r="N28" i="6"/>
  <c r="N27" i="6"/>
  <c r="N26" i="6"/>
  <c r="N104" i="6"/>
  <c r="N103" i="6"/>
  <c r="N25" i="6"/>
  <c r="N24" i="6"/>
  <c r="N23" i="6"/>
  <c r="N22" i="6"/>
  <c r="N21" i="6"/>
  <c r="N20" i="6"/>
  <c r="N19" i="6"/>
  <c r="N18" i="6"/>
  <c r="N102" i="6"/>
  <c r="N17" i="6"/>
  <c r="N16" i="6"/>
  <c r="N15" i="6"/>
  <c r="N14" i="6"/>
  <c r="N13" i="6"/>
  <c r="N12" i="6"/>
  <c r="N11" i="6"/>
  <c r="N10" i="6"/>
  <c r="N9" i="6"/>
  <c r="N8" i="6"/>
  <c r="N101" i="6"/>
  <c r="N7" i="6"/>
  <c r="N6" i="6"/>
  <c r="H5"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O99" i="92"/>
  <c r="O98" i="92"/>
  <c r="O97" i="92"/>
  <c r="O124" i="92"/>
  <c r="O123" i="92"/>
  <c r="O96" i="92"/>
  <c r="O95" i="92"/>
  <c r="O94" i="92"/>
  <c r="O122" i="92"/>
  <c r="O93" i="92"/>
  <c r="O92" i="92"/>
  <c r="O91" i="92"/>
  <c r="O121" i="92"/>
  <c r="O90" i="92"/>
  <c r="O89" i="92"/>
  <c r="O88" i="92"/>
  <c r="O87" i="92"/>
  <c r="O86" i="92"/>
  <c r="O85" i="92"/>
  <c r="O84" i="92"/>
  <c r="O83" i="92"/>
  <c r="O82" i="92"/>
  <c r="O81" i="92"/>
  <c r="O120" i="92"/>
  <c r="O80" i="92"/>
  <c r="O119" i="92"/>
  <c r="O79" i="92"/>
  <c r="O118" i="92"/>
  <c r="O78" i="92"/>
  <c r="O77" i="92"/>
  <c r="O76" i="92"/>
  <c r="O75" i="92"/>
  <c r="O74" i="92"/>
  <c r="O117" i="92"/>
  <c r="O73" i="92"/>
  <c r="O116" i="92"/>
  <c r="O72" i="92"/>
  <c r="O71" i="92"/>
  <c r="O70" i="92"/>
  <c r="O69" i="92"/>
  <c r="O115" i="92"/>
  <c r="O68" i="92"/>
  <c r="O67" i="92"/>
  <c r="O114" i="92"/>
  <c r="O113" i="92"/>
  <c r="O66" i="92"/>
  <c r="O65" i="92"/>
  <c r="O64" i="92"/>
  <c r="O63" i="92"/>
  <c r="O62" i="92"/>
  <c r="O61" i="92"/>
  <c r="O112" i="92"/>
  <c r="O111" i="92"/>
  <c r="O60" i="92"/>
  <c r="O110" i="92"/>
  <c r="O59" i="92"/>
  <c r="O58" i="92"/>
  <c r="O57" i="92"/>
  <c r="O56" i="92"/>
  <c r="O55" i="92"/>
  <c r="O54" i="92"/>
  <c r="O53" i="92"/>
  <c r="O52" i="92"/>
  <c r="O51" i="92"/>
  <c r="O50" i="92"/>
  <c r="O109" i="92"/>
  <c r="O49" i="92"/>
  <c r="O48" i="92"/>
  <c r="O47" i="92"/>
  <c r="O46" i="92"/>
  <c r="O108" i="92"/>
  <c r="O45" i="92"/>
  <c r="O44" i="92"/>
  <c r="O43" i="92"/>
  <c r="O42" i="92"/>
  <c r="O41" i="92"/>
  <c r="O40" i="92"/>
  <c r="O39" i="92"/>
  <c r="O107" i="92"/>
  <c r="O106" i="92"/>
  <c r="O38" i="92"/>
  <c r="O37" i="92"/>
  <c r="O105" i="92"/>
  <c r="O36" i="92"/>
  <c r="O35" i="92"/>
  <c r="O34" i="92"/>
  <c r="O33" i="92"/>
  <c r="O32" i="92"/>
  <c r="O31" i="92"/>
  <c r="O30" i="92"/>
  <c r="O104" i="92"/>
  <c r="O29" i="92"/>
  <c r="O28" i="92"/>
  <c r="O27" i="92"/>
  <c r="O26" i="92"/>
  <c r="O25" i="92"/>
  <c r="O103" i="92"/>
  <c r="O102" i="92"/>
  <c r="O24" i="92"/>
  <c r="O23" i="92"/>
  <c r="O22" i="92"/>
  <c r="O21" i="92"/>
  <c r="O20" i="92"/>
  <c r="O19" i="92"/>
  <c r="O18" i="92"/>
  <c r="O17" i="92"/>
  <c r="O101" i="92"/>
  <c r="O16" i="92"/>
  <c r="O15" i="92"/>
  <c r="O14" i="92"/>
  <c r="O13" i="92"/>
  <c r="O12" i="92"/>
  <c r="O11" i="92"/>
  <c r="O10" i="92"/>
  <c r="O9" i="92"/>
  <c r="O8" i="92"/>
  <c r="O7" i="92"/>
  <c r="O100" i="92"/>
  <c r="O6" i="92"/>
  <c r="O5" i="92"/>
  <c r="M124" i="122"/>
  <c r="M123" i="122"/>
  <c r="M122" i="122"/>
  <c r="M121" i="122"/>
  <c r="M120" i="122"/>
  <c r="M119" i="122"/>
  <c r="M118" i="122"/>
  <c r="M117" i="122"/>
  <c r="M116" i="122"/>
  <c r="M115" i="122"/>
  <c r="M114" i="122"/>
  <c r="M113" i="122"/>
  <c r="M112" i="122"/>
  <c r="M111" i="122"/>
  <c r="M110" i="122"/>
  <c r="M109" i="122"/>
  <c r="M108" i="122"/>
  <c r="M107" i="122"/>
  <c r="M106" i="122"/>
  <c r="M105" i="122"/>
  <c r="M104" i="122"/>
  <c r="M103" i="122"/>
  <c r="M102" i="122"/>
  <c r="M101" i="122"/>
  <c r="M100" i="122"/>
  <c r="M99" i="122"/>
  <c r="M98" i="122"/>
  <c r="M97" i="122"/>
  <c r="M96" i="122"/>
  <c r="M95" i="122"/>
  <c r="M94" i="122"/>
  <c r="M93" i="122"/>
  <c r="M92" i="122"/>
  <c r="M91" i="122"/>
  <c r="M90" i="122"/>
  <c r="M89" i="122"/>
  <c r="M88" i="122"/>
  <c r="M87" i="122"/>
  <c r="M86" i="122"/>
  <c r="M85" i="122"/>
  <c r="M84" i="122"/>
  <c r="M83" i="122"/>
  <c r="M82" i="122"/>
  <c r="M81" i="122"/>
  <c r="M80" i="122"/>
  <c r="M79" i="122"/>
  <c r="M78" i="122"/>
  <c r="M77" i="122"/>
  <c r="M76" i="122"/>
  <c r="M75" i="122"/>
  <c r="M74" i="122"/>
  <c r="M73" i="122"/>
  <c r="M72" i="122"/>
  <c r="M71" i="122"/>
  <c r="M70" i="122"/>
  <c r="M69" i="122"/>
  <c r="M68" i="122"/>
  <c r="M67" i="122"/>
  <c r="M66" i="122"/>
  <c r="M65" i="122"/>
  <c r="M64" i="122"/>
  <c r="M63" i="122"/>
  <c r="M62" i="122"/>
  <c r="M61" i="122"/>
  <c r="M60" i="122"/>
  <c r="M59" i="122"/>
  <c r="M58" i="122"/>
  <c r="M57" i="122"/>
  <c r="M56" i="122"/>
  <c r="M55" i="122"/>
  <c r="M54" i="122"/>
  <c r="M53" i="122"/>
  <c r="M52" i="122"/>
  <c r="M51" i="122"/>
  <c r="M50" i="122"/>
  <c r="M49" i="122"/>
  <c r="M48" i="122"/>
  <c r="M47" i="122"/>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10" i="122"/>
  <c r="M9" i="122"/>
  <c r="M8" i="122"/>
  <c r="M7" i="122"/>
  <c r="M6" i="122"/>
  <c r="M5" i="122"/>
  <c r="D124" i="122"/>
  <c r="D123" i="122"/>
  <c r="D122" i="122"/>
  <c r="D121" i="122"/>
  <c r="D120" i="122"/>
  <c r="D119" i="122"/>
  <c r="D118" i="122"/>
  <c r="D117" i="122"/>
  <c r="D116" i="122"/>
  <c r="D115" i="122"/>
  <c r="D114" i="122"/>
  <c r="D113" i="122"/>
  <c r="D112" i="122"/>
  <c r="D111" i="122"/>
  <c r="D110" i="122"/>
  <c r="D109" i="122"/>
  <c r="D108" i="122"/>
  <c r="D107" i="122"/>
  <c r="D106" i="122"/>
  <c r="D105" i="122"/>
  <c r="D104" i="122"/>
  <c r="D103" i="122"/>
  <c r="D102" i="122"/>
  <c r="D101" i="122"/>
  <c r="D100" i="122"/>
  <c r="D99" i="122"/>
  <c r="D98" i="122"/>
  <c r="D97" i="122"/>
  <c r="D96" i="122"/>
  <c r="D95" i="122"/>
  <c r="D94" i="122"/>
  <c r="D93" i="122"/>
  <c r="D92" i="122"/>
  <c r="D91" i="122"/>
  <c r="D90" i="122"/>
  <c r="D89" i="122"/>
  <c r="D88" i="122"/>
  <c r="D87" i="122"/>
  <c r="D86" i="122"/>
  <c r="D85" i="122"/>
  <c r="D84" i="122"/>
  <c r="D83" i="122"/>
  <c r="D82" i="122"/>
  <c r="D81" i="122"/>
  <c r="D80" i="122"/>
  <c r="D79" i="122"/>
  <c r="D78" i="122"/>
  <c r="D77" i="122"/>
  <c r="D76" i="122"/>
  <c r="D75" i="122"/>
  <c r="D74" i="122"/>
  <c r="D73" i="122"/>
  <c r="D72" i="122"/>
  <c r="D71" i="122"/>
  <c r="D70" i="122"/>
  <c r="D69" i="122"/>
  <c r="D68" i="122"/>
  <c r="D67" i="122"/>
  <c r="D66" i="122"/>
  <c r="D65" i="122"/>
  <c r="D64" i="122"/>
  <c r="D63" i="122"/>
  <c r="D62" i="122"/>
  <c r="D61" i="122"/>
  <c r="D60" i="122"/>
  <c r="D59" i="122"/>
  <c r="D58" i="122"/>
  <c r="D57" i="122"/>
  <c r="D56" i="122"/>
  <c r="D55" i="122"/>
  <c r="D54" i="122"/>
  <c r="D53" i="122"/>
  <c r="D52" i="122"/>
  <c r="D51" i="122"/>
  <c r="D50" i="122"/>
  <c r="D49" i="122"/>
  <c r="D48" i="122"/>
  <c r="D47" i="122"/>
  <c r="D46" i="122"/>
  <c r="D45" i="122"/>
  <c r="D44" i="122"/>
  <c r="D43" i="122"/>
  <c r="D42" i="122"/>
  <c r="D41" i="122"/>
  <c r="D40" i="122"/>
  <c r="D39" i="122"/>
  <c r="D38" i="122"/>
  <c r="D37" i="122"/>
  <c r="D36" i="122"/>
  <c r="D35" i="122"/>
  <c r="D34" i="122"/>
  <c r="D33" i="122"/>
  <c r="D32" i="122"/>
  <c r="D31" i="122"/>
  <c r="D30" i="122"/>
  <c r="D29" i="122"/>
  <c r="D28" i="122"/>
  <c r="D27" i="122"/>
  <c r="D26" i="122"/>
  <c r="D25" i="122"/>
  <c r="D24" i="122"/>
  <c r="D23" i="122"/>
  <c r="D22" i="122"/>
  <c r="D21" i="122"/>
  <c r="D20" i="122"/>
  <c r="D19" i="122"/>
  <c r="D18" i="122"/>
  <c r="D17" i="122"/>
  <c r="D16" i="122"/>
  <c r="D15" i="122"/>
  <c r="D14" i="122"/>
  <c r="D13" i="122"/>
  <c r="D12" i="122"/>
  <c r="D11" i="122"/>
  <c r="D10" i="122"/>
  <c r="D9" i="122"/>
  <c r="D8" i="122"/>
  <c r="D7" i="122"/>
  <c r="D6" i="122"/>
  <c r="D5" i="122"/>
  <c r="L99" i="96"/>
  <c r="L98" i="96"/>
  <c r="L97" i="96"/>
  <c r="L124" i="96"/>
  <c r="L123" i="96"/>
  <c r="L96" i="96"/>
  <c r="L95" i="96"/>
  <c r="L94" i="96"/>
  <c r="L122" i="96"/>
  <c r="L93" i="96"/>
  <c r="L92" i="96"/>
  <c r="L91" i="96"/>
  <c r="L121" i="96"/>
  <c r="L90" i="96"/>
  <c r="L89" i="96"/>
  <c r="L88" i="96"/>
  <c r="L87" i="96"/>
  <c r="L86" i="96"/>
  <c r="L85" i="96"/>
  <c r="L84" i="96"/>
  <c r="L83" i="96"/>
  <c r="L82" i="96"/>
  <c r="L81" i="96"/>
  <c r="L120" i="96"/>
  <c r="L80" i="96"/>
  <c r="L119" i="96"/>
  <c r="L79" i="96"/>
  <c r="L118" i="96"/>
  <c r="L78" i="96"/>
  <c r="L77" i="96"/>
  <c r="L76" i="96"/>
  <c r="L75" i="96"/>
  <c r="L74" i="96"/>
  <c r="L117" i="96"/>
  <c r="L73" i="96"/>
  <c r="L116" i="96"/>
  <c r="L72" i="96"/>
  <c r="L71" i="96"/>
  <c r="L70" i="96"/>
  <c r="L69" i="96"/>
  <c r="L115" i="96"/>
  <c r="L68" i="96"/>
  <c r="L67" i="96"/>
  <c r="L114" i="96"/>
  <c r="L113" i="96"/>
  <c r="L66" i="96"/>
  <c r="L65" i="96"/>
  <c r="L64" i="96"/>
  <c r="L63" i="96"/>
  <c r="L62" i="96"/>
  <c r="L61" i="96"/>
  <c r="L112" i="96"/>
  <c r="L111" i="96"/>
  <c r="L60" i="96"/>
  <c r="L110" i="96"/>
  <c r="L59" i="96"/>
  <c r="L58" i="96"/>
  <c r="L57" i="96"/>
  <c r="L56" i="96"/>
  <c r="L55" i="96"/>
  <c r="L54" i="96"/>
  <c r="L53" i="96"/>
  <c r="L52" i="96"/>
  <c r="L51" i="96"/>
  <c r="L50" i="96"/>
  <c r="L109" i="96"/>
  <c r="L49" i="96"/>
  <c r="L48" i="96"/>
  <c r="L47" i="96"/>
  <c r="L46" i="96"/>
  <c r="L108" i="96"/>
  <c r="L45" i="96"/>
  <c r="L44" i="96"/>
  <c r="L43" i="96"/>
  <c r="L42" i="96"/>
  <c r="L41" i="96"/>
  <c r="L40" i="96"/>
  <c r="L39" i="96"/>
  <c r="L107" i="96"/>
  <c r="L106" i="96"/>
  <c r="L38" i="96"/>
  <c r="L37" i="96"/>
  <c r="L105" i="96"/>
  <c r="L36" i="96"/>
  <c r="L35" i="96"/>
  <c r="L34" i="96"/>
  <c r="L33" i="96"/>
  <c r="L32" i="96"/>
  <c r="L31" i="96"/>
  <c r="L30" i="96"/>
  <c r="L104" i="96"/>
  <c r="L29" i="96"/>
  <c r="L28" i="96"/>
  <c r="L27" i="96"/>
  <c r="L26" i="96"/>
  <c r="L25" i="96"/>
  <c r="L103" i="96"/>
  <c r="L102" i="96"/>
  <c r="L24" i="96"/>
  <c r="L23" i="96"/>
  <c r="L22" i="96"/>
  <c r="L21" i="96"/>
  <c r="L20" i="96"/>
  <c r="L19" i="96"/>
  <c r="L18" i="96"/>
  <c r="L17" i="96"/>
  <c r="L101" i="96"/>
  <c r="L16" i="96"/>
  <c r="L15" i="96"/>
  <c r="L14" i="96"/>
  <c r="L13" i="96"/>
  <c r="L12" i="96"/>
  <c r="L11" i="96"/>
  <c r="L10" i="96"/>
  <c r="L9" i="96"/>
  <c r="L8" i="96"/>
  <c r="L7" i="96"/>
  <c r="L100" i="96"/>
  <c r="L6" i="96"/>
  <c r="L5" i="96"/>
  <c r="D99" i="96"/>
  <c r="D98" i="96"/>
  <c r="D97" i="96"/>
  <c r="D124" i="96"/>
  <c r="D123" i="96"/>
  <c r="D96" i="96"/>
  <c r="D95" i="96"/>
  <c r="D94" i="96"/>
  <c r="D122" i="96"/>
  <c r="D93" i="96"/>
  <c r="D92" i="96"/>
  <c r="D91" i="96"/>
  <c r="D121" i="96"/>
  <c r="D90" i="96"/>
  <c r="D89" i="96"/>
  <c r="D88" i="96"/>
  <c r="D87" i="96"/>
  <c r="D86" i="96"/>
  <c r="D85" i="96"/>
  <c r="D84" i="96"/>
  <c r="D83" i="96"/>
  <c r="D82" i="96"/>
  <c r="D81" i="96"/>
  <c r="D120" i="96"/>
  <c r="D80" i="96"/>
  <c r="D119" i="96"/>
  <c r="D79" i="96"/>
  <c r="D118" i="96"/>
  <c r="D78" i="96"/>
  <c r="D77" i="96"/>
  <c r="D76" i="96"/>
  <c r="D75" i="96"/>
  <c r="D74" i="96"/>
  <c r="D117" i="96"/>
  <c r="D73" i="96"/>
  <c r="D116" i="96"/>
  <c r="D72" i="96"/>
  <c r="D71" i="96"/>
  <c r="D70" i="96"/>
  <c r="D69" i="96"/>
  <c r="D115" i="96"/>
  <c r="D68" i="96"/>
  <c r="D67" i="96"/>
  <c r="D114" i="96"/>
  <c r="D113" i="96"/>
  <c r="D66" i="96"/>
  <c r="D65" i="96"/>
  <c r="D64" i="96"/>
  <c r="D63" i="96"/>
  <c r="D62" i="96"/>
  <c r="D61" i="96"/>
  <c r="D112" i="96"/>
  <c r="D111" i="96"/>
  <c r="D60" i="96"/>
  <c r="D110" i="96"/>
  <c r="D59" i="96"/>
  <c r="D58" i="96"/>
  <c r="D57" i="96"/>
  <c r="D56" i="96"/>
  <c r="D55" i="96"/>
  <c r="D54" i="96"/>
  <c r="D53" i="96"/>
  <c r="D52" i="96"/>
  <c r="D51" i="96"/>
  <c r="D50" i="96"/>
  <c r="D109" i="96"/>
  <c r="D49" i="96"/>
  <c r="D48" i="96"/>
  <c r="D47" i="96"/>
  <c r="D46" i="96"/>
  <c r="D108" i="96"/>
  <c r="D45" i="96"/>
  <c r="D44" i="96"/>
  <c r="D43" i="96"/>
  <c r="D42" i="96"/>
  <c r="D41" i="96"/>
  <c r="D40" i="96"/>
  <c r="D39" i="96"/>
  <c r="D107" i="96"/>
  <c r="D106" i="96"/>
  <c r="D38" i="96"/>
  <c r="D37" i="96"/>
  <c r="D105" i="96"/>
  <c r="D36" i="96"/>
  <c r="D35" i="96"/>
  <c r="D34" i="96"/>
  <c r="D33" i="96"/>
  <c r="D32" i="96"/>
  <c r="D31" i="96"/>
  <c r="D30" i="96"/>
  <c r="D104" i="96"/>
  <c r="D29" i="96"/>
  <c r="D28" i="96"/>
  <c r="D27" i="96"/>
  <c r="D26" i="96"/>
  <c r="D25" i="96"/>
  <c r="D103" i="96"/>
  <c r="D102" i="96"/>
  <c r="D24" i="96"/>
  <c r="D23" i="96"/>
  <c r="D22" i="96"/>
  <c r="D21" i="96"/>
  <c r="D20" i="96"/>
  <c r="D19" i="96"/>
  <c r="D18" i="96"/>
  <c r="D17" i="96"/>
  <c r="D101" i="96"/>
  <c r="D16" i="96"/>
  <c r="D15" i="96"/>
  <c r="D14" i="96"/>
  <c r="D13" i="96"/>
  <c r="D12" i="96"/>
  <c r="D11" i="96"/>
  <c r="D10" i="96"/>
  <c r="D9" i="96"/>
  <c r="D8" i="96"/>
  <c r="D7" i="96"/>
  <c r="D100" i="96"/>
  <c r="D6" i="96"/>
  <c r="D5" i="96"/>
  <c r="H40" i="1" l="1"/>
  <c r="G40" i="1"/>
  <c r="E124" i="62"/>
  <c r="E123" i="62"/>
  <c r="E122" i="62"/>
  <c r="E121" i="62"/>
  <c r="E120" i="62"/>
  <c r="E119" i="62"/>
  <c r="E118" i="62"/>
  <c r="E117" i="62"/>
  <c r="E116" i="62"/>
  <c r="E115" i="62"/>
  <c r="E114" i="62"/>
  <c r="E113" i="62"/>
  <c r="E112" i="62"/>
  <c r="E111" i="62"/>
  <c r="E110" i="62"/>
  <c r="E109" i="62"/>
  <c r="E108" i="62"/>
  <c r="E107" i="62"/>
  <c r="E106" i="62"/>
  <c r="E105" i="62"/>
  <c r="E104" i="62"/>
  <c r="E103" i="62"/>
  <c r="E102" i="62"/>
  <c r="E101" i="62"/>
  <c r="E100" i="62"/>
  <c r="E99" i="62"/>
  <c r="E98" i="62"/>
  <c r="E97" i="62"/>
  <c r="E96" i="62"/>
  <c r="E95" i="62"/>
  <c r="E94" i="62"/>
  <c r="E93" i="62"/>
  <c r="E92" i="62"/>
  <c r="E91" i="62"/>
  <c r="E90" i="62"/>
  <c r="E89" i="62"/>
  <c r="E88" i="62"/>
  <c r="E87" i="62"/>
  <c r="E86" i="62"/>
  <c r="E85" i="62"/>
  <c r="E84" i="62"/>
  <c r="E83" i="62"/>
  <c r="E82" i="62"/>
  <c r="E81" i="62"/>
  <c r="E80" i="62"/>
  <c r="E79" i="62"/>
  <c r="E78" i="62"/>
  <c r="E77" i="62"/>
  <c r="E76" i="62"/>
  <c r="E75" i="62"/>
  <c r="E74" i="62"/>
  <c r="E73" i="62"/>
  <c r="E72" i="62"/>
  <c r="E71" i="62"/>
  <c r="E70" i="62"/>
  <c r="E69" i="62"/>
  <c r="E68" i="62"/>
  <c r="E67" i="62"/>
  <c r="E66" i="62"/>
  <c r="E65" i="62"/>
  <c r="E64" i="62"/>
  <c r="E63" i="62"/>
  <c r="E62" i="62"/>
  <c r="E61" i="62"/>
  <c r="E60" i="62"/>
  <c r="E59" i="62"/>
  <c r="E58" i="62"/>
  <c r="E57" i="62"/>
  <c r="E56" i="62"/>
  <c r="E55" i="62"/>
  <c r="E54" i="62"/>
  <c r="E53" i="62"/>
  <c r="E52" i="62"/>
  <c r="E51" i="62"/>
  <c r="E50" i="62"/>
  <c r="E49" i="62"/>
  <c r="E48" i="62"/>
  <c r="E47" i="62"/>
  <c r="E46" i="62"/>
  <c r="E45" i="62"/>
  <c r="E44" i="62"/>
  <c r="E43" i="62"/>
  <c r="E42" i="62"/>
  <c r="E41" i="62"/>
  <c r="E40" i="62"/>
  <c r="E39" i="62"/>
  <c r="E38" i="62"/>
  <c r="E37" i="62"/>
  <c r="E36" i="62"/>
  <c r="E35" i="62"/>
  <c r="E34" i="62"/>
  <c r="E33" i="62"/>
  <c r="E32" i="62"/>
  <c r="E31" i="62"/>
  <c r="E30" i="62"/>
  <c r="E29" i="62"/>
  <c r="E28" i="62"/>
  <c r="E27" i="62"/>
  <c r="E26" i="62"/>
  <c r="E25" i="62"/>
  <c r="E24" i="62"/>
  <c r="E23" i="62"/>
  <c r="E22" i="62"/>
  <c r="E21" i="62"/>
  <c r="E20" i="62"/>
  <c r="E19" i="62"/>
  <c r="E18" i="62"/>
  <c r="E17" i="62"/>
  <c r="E16" i="62"/>
  <c r="E15" i="62"/>
  <c r="E14" i="62"/>
  <c r="E13" i="62"/>
  <c r="E12" i="62"/>
  <c r="E11" i="62"/>
  <c r="E10" i="62"/>
  <c r="E9" i="62"/>
  <c r="E8" i="62"/>
  <c r="E7" i="62"/>
  <c r="E6" i="62"/>
  <c r="P4" i="55"/>
  <c r="O4" i="55"/>
  <c r="N4" i="55"/>
  <c r="M4" i="55"/>
  <c r="L4" i="55"/>
  <c r="O124" i="62" l="1"/>
  <c r="O123" i="62"/>
  <c r="O122" i="62"/>
  <c r="O121" i="62"/>
  <c r="O120" i="62"/>
  <c r="O119" i="62"/>
  <c r="O118" i="62"/>
  <c r="O117" i="62"/>
  <c r="O116" i="62"/>
  <c r="O115" i="62"/>
  <c r="O114" i="62"/>
  <c r="O113" i="62"/>
  <c r="O112" i="62"/>
  <c r="O111" i="62"/>
  <c r="O110" i="62"/>
  <c r="O109" i="62"/>
  <c r="O108" i="62"/>
  <c r="O107" i="62"/>
  <c r="O106" i="62"/>
  <c r="O105" i="62"/>
  <c r="O104" i="62"/>
  <c r="O103" i="62"/>
  <c r="O102" i="62"/>
  <c r="O101" i="62"/>
  <c r="O100" i="62"/>
  <c r="O99" i="62"/>
  <c r="O98" i="62"/>
  <c r="O97" i="62"/>
  <c r="O96" i="62"/>
  <c r="O95" i="62"/>
  <c r="O94" i="62"/>
  <c r="O93" i="62"/>
  <c r="O92" i="62"/>
  <c r="O91" i="62"/>
  <c r="O90" i="62"/>
  <c r="O89" i="62"/>
  <c r="O88" i="62"/>
  <c r="O87" i="62"/>
  <c r="O86" i="62"/>
  <c r="O85" i="62"/>
  <c r="O84" i="62"/>
  <c r="O83" i="62"/>
  <c r="O82" i="62"/>
  <c r="O81" i="62"/>
  <c r="O80" i="62"/>
  <c r="O79" i="62"/>
  <c r="O78" i="62"/>
  <c r="O77" i="62"/>
  <c r="O76" i="62"/>
  <c r="O75" i="62"/>
  <c r="O74" i="62"/>
  <c r="O73" i="62"/>
  <c r="O72" i="62"/>
  <c r="O71" i="62"/>
  <c r="O70" i="62"/>
  <c r="O69" i="62"/>
  <c r="O68" i="62"/>
  <c r="O67" i="62"/>
  <c r="O66" i="62"/>
  <c r="O65" i="62"/>
  <c r="O64" i="62"/>
  <c r="O63" i="62"/>
  <c r="O62" i="62"/>
  <c r="O61" i="62"/>
  <c r="O60" i="62"/>
  <c r="O59" i="62"/>
  <c r="O58" i="62"/>
  <c r="O57" i="62"/>
  <c r="O56" i="62"/>
  <c r="O55" i="62"/>
  <c r="O54" i="62"/>
  <c r="O53" i="62"/>
  <c r="O52" i="62"/>
  <c r="O51" i="62"/>
  <c r="O50" i="62"/>
  <c r="O49" i="62"/>
  <c r="O48" i="62"/>
  <c r="O47" i="62"/>
  <c r="O46" i="62"/>
  <c r="O45" i="62"/>
  <c r="O44" i="62"/>
  <c r="O43" i="62"/>
  <c r="O42" i="62"/>
  <c r="O41" i="62"/>
  <c r="O40" i="62"/>
  <c r="O39" i="62"/>
  <c r="O38" i="62"/>
  <c r="O37" i="62"/>
  <c r="O36" i="62"/>
  <c r="O35" i="62"/>
  <c r="O34" i="62"/>
  <c r="O33" i="62"/>
  <c r="O32" i="62"/>
  <c r="O31" i="62"/>
  <c r="O30" i="62"/>
  <c r="O29" i="62"/>
  <c r="O28" i="62"/>
  <c r="O27" i="62"/>
  <c r="O26" i="62"/>
  <c r="O25" i="62"/>
  <c r="O24" i="62"/>
  <c r="O23" i="62"/>
  <c r="O22" i="62"/>
  <c r="O21" i="62"/>
  <c r="O20" i="62"/>
  <c r="O19" i="62"/>
  <c r="O18" i="62"/>
  <c r="O17" i="62"/>
  <c r="O16" i="62"/>
  <c r="O15" i="62"/>
  <c r="O14" i="62"/>
  <c r="O13" i="62"/>
  <c r="O12" i="62"/>
  <c r="O11" i="62"/>
  <c r="O10" i="62"/>
  <c r="O9" i="62"/>
  <c r="O8" i="62"/>
  <c r="O7" i="62"/>
  <c r="O6" i="62"/>
  <c r="F124" i="60"/>
  <c r="E124" i="60"/>
  <c r="D124" i="60"/>
  <c r="F123" i="60"/>
  <c r="E123" i="60"/>
  <c r="D123" i="60"/>
  <c r="F122" i="60"/>
  <c r="E122" i="60"/>
  <c r="D122" i="60"/>
  <c r="F121" i="60"/>
  <c r="E121" i="60"/>
  <c r="D121" i="60"/>
  <c r="F120" i="60"/>
  <c r="E120" i="60"/>
  <c r="D120" i="60"/>
  <c r="F119" i="60"/>
  <c r="E119" i="60"/>
  <c r="D119" i="60"/>
  <c r="F118" i="60"/>
  <c r="E118" i="60"/>
  <c r="D118" i="60"/>
  <c r="F117" i="60"/>
  <c r="E117" i="60"/>
  <c r="D117" i="60"/>
  <c r="F116" i="60"/>
  <c r="E116" i="60"/>
  <c r="D116" i="60"/>
  <c r="F115" i="60"/>
  <c r="E115" i="60"/>
  <c r="D115" i="60"/>
  <c r="F114" i="60"/>
  <c r="E114" i="60"/>
  <c r="D114" i="60"/>
  <c r="F113" i="60"/>
  <c r="E113" i="60"/>
  <c r="D113" i="60"/>
  <c r="F112" i="60"/>
  <c r="E112" i="60"/>
  <c r="D112" i="60"/>
  <c r="F111" i="60"/>
  <c r="E111" i="60"/>
  <c r="D111" i="60"/>
  <c r="F110" i="60"/>
  <c r="E110" i="60"/>
  <c r="D110" i="60"/>
  <c r="F109" i="60"/>
  <c r="E109" i="60"/>
  <c r="D109" i="60"/>
  <c r="F108" i="60"/>
  <c r="E108" i="60"/>
  <c r="D108" i="60"/>
  <c r="F107" i="60"/>
  <c r="E107" i="60"/>
  <c r="D107" i="60"/>
  <c r="F106" i="60"/>
  <c r="E106" i="60"/>
  <c r="D106" i="60"/>
  <c r="F105" i="60"/>
  <c r="E105" i="60"/>
  <c r="D105" i="60"/>
  <c r="F104" i="60"/>
  <c r="E104" i="60"/>
  <c r="D104" i="60"/>
  <c r="F103" i="60"/>
  <c r="E103" i="60"/>
  <c r="D103" i="60"/>
  <c r="F102" i="60"/>
  <c r="E102" i="60"/>
  <c r="D102" i="60"/>
  <c r="F101" i="60"/>
  <c r="E101" i="60"/>
  <c r="D101" i="60"/>
  <c r="F100" i="60"/>
  <c r="E100" i="60"/>
  <c r="D100" i="60"/>
  <c r="F99" i="60"/>
  <c r="E99" i="60"/>
  <c r="D99" i="60"/>
  <c r="F98" i="60"/>
  <c r="E98" i="60"/>
  <c r="D98" i="60"/>
  <c r="F97" i="60"/>
  <c r="E97" i="60"/>
  <c r="D97" i="60"/>
  <c r="F96" i="60"/>
  <c r="E96" i="60"/>
  <c r="D96" i="60"/>
  <c r="F95" i="60"/>
  <c r="E95" i="60"/>
  <c r="D95" i="60"/>
  <c r="F94" i="60"/>
  <c r="E94" i="60"/>
  <c r="D94" i="60"/>
  <c r="F93" i="60"/>
  <c r="E93" i="60"/>
  <c r="D93" i="60"/>
  <c r="F92" i="60"/>
  <c r="E92" i="60"/>
  <c r="D92" i="60"/>
  <c r="F91" i="60"/>
  <c r="E91" i="60"/>
  <c r="D91" i="60"/>
  <c r="F90" i="60"/>
  <c r="E90" i="60"/>
  <c r="D90" i="60"/>
  <c r="F89" i="60"/>
  <c r="E89" i="60"/>
  <c r="D89" i="60"/>
  <c r="F88" i="60"/>
  <c r="E88" i="60"/>
  <c r="D88" i="60"/>
  <c r="F87" i="60"/>
  <c r="E87" i="60"/>
  <c r="D87" i="60"/>
  <c r="F86" i="60"/>
  <c r="E86" i="60"/>
  <c r="D86" i="60"/>
  <c r="F85" i="60"/>
  <c r="E85" i="60"/>
  <c r="D85" i="60"/>
  <c r="F84" i="60"/>
  <c r="E84" i="60"/>
  <c r="D84" i="60"/>
  <c r="F83" i="60"/>
  <c r="E83" i="60"/>
  <c r="D83" i="60"/>
  <c r="F82" i="60"/>
  <c r="E82" i="60"/>
  <c r="D82" i="60"/>
  <c r="F81" i="60"/>
  <c r="E81" i="60"/>
  <c r="D81" i="60"/>
  <c r="F80" i="60"/>
  <c r="E80" i="60"/>
  <c r="D80" i="60"/>
  <c r="F79" i="60"/>
  <c r="E79" i="60"/>
  <c r="D79" i="60"/>
  <c r="F78" i="60"/>
  <c r="E78" i="60"/>
  <c r="D78" i="60"/>
  <c r="F77" i="60"/>
  <c r="E77" i="60"/>
  <c r="D77" i="60"/>
  <c r="F76" i="60"/>
  <c r="E76" i="60"/>
  <c r="D76" i="60"/>
  <c r="F75" i="60"/>
  <c r="E75" i="60"/>
  <c r="D75" i="60"/>
  <c r="F74" i="60"/>
  <c r="E74" i="60"/>
  <c r="D74" i="60"/>
  <c r="F73" i="60"/>
  <c r="E73" i="60"/>
  <c r="D73" i="60"/>
  <c r="F72" i="60"/>
  <c r="E72" i="60"/>
  <c r="D72" i="60"/>
  <c r="F71" i="60"/>
  <c r="E71" i="60"/>
  <c r="D71" i="60"/>
  <c r="F70" i="60"/>
  <c r="E70" i="60"/>
  <c r="D70" i="60"/>
  <c r="F69" i="60"/>
  <c r="E69" i="60"/>
  <c r="D69" i="60"/>
  <c r="F68" i="60"/>
  <c r="E68" i="60"/>
  <c r="D68" i="60"/>
  <c r="F67" i="60"/>
  <c r="E67" i="60"/>
  <c r="D67" i="60"/>
  <c r="F66" i="60"/>
  <c r="E66" i="60"/>
  <c r="D66" i="60"/>
  <c r="F65" i="60"/>
  <c r="E65" i="60"/>
  <c r="D65" i="60"/>
  <c r="F64" i="60"/>
  <c r="E64" i="60"/>
  <c r="D64" i="60"/>
  <c r="F63" i="60"/>
  <c r="E63" i="60"/>
  <c r="D63" i="60"/>
  <c r="F62" i="60"/>
  <c r="E62" i="60"/>
  <c r="D62" i="60"/>
  <c r="F61" i="60"/>
  <c r="E61" i="60"/>
  <c r="D61" i="60"/>
  <c r="F60" i="60"/>
  <c r="E60" i="60"/>
  <c r="D60" i="60"/>
  <c r="F59" i="60"/>
  <c r="E59" i="60"/>
  <c r="D59" i="60"/>
  <c r="F58" i="60"/>
  <c r="E58" i="60"/>
  <c r="D58" i="60"/>
  <c r="F57" i="60"/>
  <c r="E57" i="60"/>
  <c r="D57" i="60"/>
  <c r="F56" i="60"/>
  <c r="E56" i="60"/>
  <c r="D56" i="60"/>
  <c r="F55" i="60"/>
  <c r="E55" i="60"/>
  <c r="D55" i="60"/>
  <c r="F54" i="60"/>
  <c r="E54" i="60"/>
  <c r="D54" i="60"/>
  <c r="F53" i="60"/>
  <c r="E53" i="60"/>
  <c r="D53" i="60"/>
  <c r="F52" i="60"/>
  <c r="E52" i="60"/>
  <c r="D52" i="60"/>
  <c r="F51" i="60"/>
  <c r="E51" i="60"/>
  <c r="D51" i="60"/>
  <c r="F50" i="60"/>
  <c r="E50" i="60"/>
  <c r="D50" i="60"/>
  <c r="F49" i="60"/>
  <c r="E49" i="60"/>
  <c r="D49" i="60"/>
  <c r="F48" i="60"/>
  <c r="E48" i="60"/>
  <c r="D48" i="60"/>
  <c r="F47" i="60"/>
  <c r="E47" i="60"/>
  <c r="D47" i="60"/>
  <c r="F46" i="60"/>
  <c r="E46" i="60"/>
  <c r="D46" i="60"/>
  <c r="F45" i="60"/>
  <c r="E45" i="60"/>
  <c r="D45" i="60"/>
  <c r="F44" i="60"/>
  <c r="E44" i="60"/>
  <c r="D44" i="60"/>
  <c r="F43" i="60"/>
  <c r="E43" i="60"/>
  <c r="D43" i="60"/>
  <c r="F42" i="60"/>
  <c r="E42" i="60"/>
  <c r="D42" i="60"/>
  <c r="F41" i="60"/>
  <c r="E41" i="60"/>
  <c r="D41" i="60"/>
  <c r="F40" i="60"/>
  <c r="E40" i="60"/>
  <c r="D40" i="60"/>
  <c r="F39" i="60"/>
  <c r="E39" i="60"/>
  <c r="D39" i="60"/>
  <c r="F38" i="60"/>
  <c r="E38" i="60"/>
  <c r="D38" i="60"/>
  <c r="F37" i="60"/>
  <c r="E37" i="60"/>
  <c r="D37" i="60"/>
  <c r="F36" i="60"/>
  <c r="E36" i="60"/>
  <c r="D36" i="60"/>
  <c r="F35" i="60"/>
  <c r="E35" i="60"/>
  <c r="D35" i="60"/>
  <c r="F34" i="60"/>
  <c r="E34" i="60"/>
  <c r="D34" i="60"/>
  <c r="F33" i="60"/>
  <c r="E33" i="60"/>
  <c r="D33" i="60"/>
  <c r="F32" i="60"/>
  <c r="E32" i="60"/>
  <c r="D32" i="60"/>
  <c r="F31" i="60"/>
  <c r="E31" i="60"/>
  <c r="D31" i="60"/>
  <c r="F30" i="60"/>
  <c r="E30" i="60"/>
  <c r="D30" i="60"/>
  <c r="F29" i="60"/>
  <c r="E29" i="60"/>
  <c r="D29" i="60"/>
  <c r="F28" i="60"/>
  <c r="E28" i="60"/>
  <c r="D28" i="60"/>
  <c r="F27" i="60"/>
  <c r="E27" i="60"/>
  <c r="D27" i="60"/>
  <c r="F26" i="60"/>
  <c r="E26" i="60"/>
  <c r="D26" i="60"/>
  <c r="F25" i="60"/>
  <c r="E25" i="60"/>
  <c r="D25" i="60"/>
  <c r="F24" i="60"/>
  <c r="E24" i="60"/>
  <c r="D24" i="60"/>
  <c r="F23" i="60"/>
  <c r="E23" i="60"/>
  <c r="D23" i="60"/>
  <c r="F22" i="60"/>
  <c r="E22" i="60"/>
  <c r="D22" i="60"/>
  <c r="F21" i="60"/>
  <c r="E21" i="60"/>
  <c r="D21" i="60"/>
  <c r="F20" i="60"/>
  <c r="E20" i="60"/>
  <c r="D20" i="60"/>
  <c r="F19" i="60"/>
  <c r="E19" i="60"/>
  <c r="D19" i="60"/>
  <c r="F18" i="60"/>
  <c r="E18" i="60"/>
  <c r="D18" i="60"/>
  <c r="F17" i="60"/>
  <c r="E17" i="60"/>
  <c r="D17" i="60"/>
  <c r="F16" i="60"/>
  <c r="E16" i="60"/>
  <c r="D16" i="60"/>
  <c r="F15" i="60"/>
  <c r="E15" i="60"/>
  <c r="D15" i="60"/>
  <c r="F14" i="60"/>
  <c r="E14" i="60"/>
  <c r="D14" i="60"/>
  <c r="F13" i="60"/>
  <c r="E13" i="60"/>
  <c r="D13" i="60"/>
  <c r="F12" i="60"/>
  <c r="E12" i="60"/>
  <c r="D12" i="60"/>
  <c r="F11" i="60"/>
  <c r="E11" i="60"/>
  <c r="D11" i="60"/>
  <c r="F10" i="60"/>
  <c r="E10" i="60"/>
  <c r="D10" i="60"/>
  <c r="F9" i="60"/>
  <c r="E9" i="60"/>
  <c r="D9" i="60"/>
  <c r="F8" i="60"/>
  <c r="E8" i="60"/>
  <c r="D8" i="60"/>
  <c r="F7" i="60"/>
  <c r="E7" i="60"/>
  <c r="D7" i="60"/>
  <c r="F6" i="60"/>
  <c r="E6" i="60"/>
  <c r="D6" i="60"/>
  <c r="F5" i="60"/>
  <c r="E5" i="60"/>
  <c r="D5" i="60"/>
  <c r="AT130" i="60"/>
  <c r="AS130" i="60"/>
  <c r="AR130" i="60"/>
  <c r="AQ130" i="60"/>
  <c r="AP130" i="60"/>
  <c r="AT129" i="60"/>
  <c r="AS129" i="60"/>
  <c r="AR129" i="60"/>
  <c r="AQ129" i="60"/>
  <c r="AP129" i="60"/>
  <c r="AT128" i="60"/>
  <c r="AS128" i="60"/>
  <c r="AR128" i="60"/>
  <c r="AQ128" i="60"/>
  <c r="AP128" i="60"/>
  <c r="AT127" i="60"/>
  <c r="AS127" i="60"/>
  <c r="AR127" i="60"/>
  <c r="AQ127" i="60"/>
  <c r="AP127" i="60"/>
  <c r="AT126" i="60"/>
  <c r="AS126" i="60"/>
  <c r="AR126" i="60"/>
  <c r="AQ126" i="60"/>
  <c r="AP126" i="60"/>
  <c r="AV124" i="60"/>
  <c r="AW124" i="60" s="1"/>
  <c r="AU124" i="60"/>
  <c r="AV123" i="60"/>
  <c r="AW123" i="60" s="1"/>
  <c r="AU123" i="60"/>
  <c r="AW122" i="60"/>
  <c r="AV122" i="60"/>
  <c r="AU122" i="60"/>
  <c r="AV121" i="60"/>
  <c r="AW121" i="60" s="1"/>
  <c r="AU121" i="60"/>
  <c r="AV120" i="60"/>
  <c r="AW120" i="60" s="1"/>
  <c r="AU120" i="60"/>
  <c r="AW119" i="60"/>
  <c r="AV119" i="60"/>
  <c r="AU119" i="60"/>
  <c r="AV118" i="60"/>
  <c r="AW118" i="60" s="1"/>
  <c r="AU118" i="60"/>
  <c r="AV117" i="60"/>
  <c r="AW117" i="60" s="1"/>
  <c r="AU117" i="60"/>
  <c r="AV116" i="60"/>
  <c r="AW116" i="60" s="1"/>
  <c r="AU116" i="60"/>
  <c r="AV115" i="60"/>
  <c r="AW115" i="60" s="1"/>
  <c r="AU115" i="60"/>
  <c r="AV114" i="60"/>
  <c r="AW114" i="60" s="1"/>
  <c r="AU114" i="60"/>
  <c r="AV113" i="60"/>
  <c r="AW113" i="60" s="1"/>
  <c r="AU113" i="60"/>
  <c r="AV112" i="60"/>
  <c r="AW112" i="60" s="1"/>
  <c r="AU112" i="60"/>
  <c r="AV111" i="60"/>
  <c r="AW111" i="60" s="1"/>
  <c r="AU111" i="60"/>
  <c r="AV110" i="60"/>
  <c r="AW110" i="60" s="1"/>
  <c r="AU110" i="60"/>
  <c r="AW109" i="60"/>
  <c r="AV109" i="60"/>
  <c r="AU109" i="60"/>
  <c r="AV108" i="60"/>
  <c r="AW108" i="60" s="1"/>
  <c r="AU108" i="60"/>
  <c r="AV107" i="60"/>
  <c r="AW107" i="60" s="1"/>
  <c r="AU107" i="60"/>
  <c r="AV106" i="60"/>
  <c r="AW106" i="60" s="1"/>
  <c r="AU106" i="60"/>
  <c r="AV105" i="60"/>
  <c r="AW105" i="60" s="1"/>
  <c r="AU105" i="60"/>
  <c r="AV104" i="60"/>
  <c r="AW104" i="60" s="1"/>
  <c r="AU104" i="60"/>
  <c r="AV103" i="60"/>
  <c r="AW103" i="60" s="1"/>
  <c r="AU103" i="60"/>
  <c r="AV102" i="60"/>
  <c r="AW102" i="60" s="1"/>
  <c r="AU102" i="60"/>
  <c r="AV101" i="60"/>
  <c r="AW101" i="60" s="1"/>
  <c r="AU101" i="60"/>
  <c r="AV100" i="60"/>
  <c r="AW100" i="60" s="1"/>
  <c r="AU100" i="60"/>
  <c r="AV99" i="60"/>
  <c r="AW99" i="60" s="1"/>
  <c r="AU99" i="60"/>
  <c r="AW98" i="60"/>
  <c r="AV98" i="60"/>
  <c r="AU98" i="60"/>
  <c r="AV97" i="60"/>
  <c r="AW97" i="60" s="1"/>
  <c r="AU97" i="60"/>
  <c r="AV96" i="60"/>
  <c r="AW96" i="60" s="1"/>
  <c r="AU96" i="60"/>
  <c r="AV95" i="60"/>
  <c r="AW95" i="60" s="1"/>
  <c r="AU95" i="60"/>
  <c r="AV94" i="60"/>
  <c r="AW94" i="60" s="1"/>
  <c r="AU94" i="60"/>
  <c r="AW93" i="60"/>
  <c r="AV93" i="60"/>
  <c r="AU93" i="60"/>
  <c r="AV92" i="60"/>
  <c r="AW92" i="60" s="1"/>
  <c r="AU92" i="60"/>
  <c r="AV91" i="60"/>
  <c r="AW91" i="60" s="1"/>
  <c r="AU91" i="60"/>
  <c r="AV90" i="60"/>
  <c r="AW90" i="60" s="1"/>
  <c r="AU90" i="60"/>
  <c r="AW89" i="60"/>
  <c r="AV89" i="60"/>
  <c r="AU89" i="60"/>
  <c r="AV88" i="60"/>
  <c r="AW88" i="60" s="1"/>
  <c r="AU88" i="60"/>
  <c r="AV87" i="60"/>
  <c r="AW87" i="60" s="1"/>
  <c r="AU87" i="60"/>
  <c r="AW86" i="60"/>
  <c r="AV86" i="60"/>
  <c r="AU86" i="60"/>
  <c r="AV85" i="60"/>
  <c r="AW85" i="60" s="1"/>
  <c r="AU85" i="60"/>
  <c r="AV84" i="60"/>
  <c r="AW84" i="60" s="1"/>
  <c r="AU84" i="60"/>
  <c r="AV83" i="60"/>
  <c r="AW83" i="60" s="1"/>
  <c r="AU83" i="60"/>
  <c r="AV82" i="60"/>
  <c r="AW82" i="60" s="1"/>
  <c r="AU82" i="60"/>
  <c r="AW81" i="60"/>
  <c r="AV81" i="60"/>
  <c r="AU81" i="60"/>
  <c r="AV80" i="60"/>
  <c r="AW80" i="60" s="1"/>
  <c r="AU80" i="60"/>
  <c r="AV79" i="60"/>
  <c r="AW79" i="60" s="1"/>
  <c r="AU79" i="60"/>
  <c r="AV78" i="60"/>
  <c r="AW78" i="60" s="1"/>
  <c r="AU78" i="60"/>
  <c r="AV77" i="60"/>
  <c r="AW77" i="60" s="1"/>
  <c r="AU77" i="60"/>
  <c r="AV76" i="60"/>
  <c r="AW76" i="60" s="1"/>
  <c r="AU76" i="60"/>
  <c r="AV75" i="60"/>
  <c r="AW75" i="60" s="1"/>
  <c r="AU75" i="60"/>
  <c r="AV74" i="60"/>
  <c r="AW74" i="60" s="1"/>
  <c r="AU74" i="60"/>
  <c r="AW73" i="60"/>
  <c r="AV73" i="60"/>
  <c r="AU73" i="60"/>
  <c r="AV72" i="60"/>
  <c r="AW72" i="60" s="1"/>
  <c r="AU72" i="60"/>
  <c r="AV71" i="60"/>
  <c r="AW71" i="60" s="1"/>
  <c r="AU71" i="60"/>
  <c r="AW70" i="60"/>
  <c r="AV70" i="60"/>
  <c r="AU70" i="60"/>
  <c r="AV69" i="60"/>
  <c r="AW69" i="60" s="1"/>
  <c r="AU69" i="60"/>
  <c r="AV68" i="60"/>
  <c r="AW68" i="60" s="1"/>
  <c r="AU68" i="60"/>
  <c r="AW67" i="60"/>
  <c r="AV67" i="60"/>
  <c r="AU67" i="60"/>
  <c r="AV66" i="60"/>
  <c r="AW66" i="60" s="1"/>
  <c r="AU66" i="60"/>
  <c r="AW65" i="60"/>
  <c r="AV65" i="60"/>
  <c r="AU65" i="60"/>
  <c r="AV64" i="60"/>
  <c r="AW64" i="60" s="1"/>
  <c r="AU64" i="60"/>
  <c r="AV63" i="60"/>
  <c r="AW63" i="60" s="1"/>
  <c r="AU63" i="60"/>
  <c r="AW62" i="60"/>
  <c r="AV62" i="60"/>
  <c r="AU62" i="60"/>
  <c r="AV61" i="60"/>
  <c r="AW61" i="60" s="1"/>
  <c r="AU61" i="60"/>
  <c r="AV60" i="60"/>
  <c r="AW60" i="60" s="1"/>
  <c r="AU60" i="60"/>
  <c r="AW59" i="60"/>
  <c r="AV59" i="60"/>
  <c r="AU59" i="60"/>
  <c r="AV58" i="60"/>
  <c r="AW58" i="60" s="1"/>
  <c r="AU58" i="60"/>
  <c r="AV57" i="60"/>
  <c r="AW57" i="60" s="1"/>
  <c r="AU57" i="60"/>
  <c r="AV56" i="60"/>
  <c r="AW56" i="60" s="1"/>
  <c r="AU56" i="60"/>
  <c r="AV55" i="60"/>
  <c r="AW55" i="60" s="1"/>
  <c r="AU55" i="60"/>
  <c r="AV54" i="60"/>
  <c r="AW54" i="60" s="1"/>
  <c r="AU54" i="60"/>
  <c r="AV53" i="60"/>
  <c r="AW53" i="60" s="1"/>
  <c r="AU53" i="60"/>
  <c r="AV52" i="60"/>
  <c r="AW52" i="60" s="1"/>
  <c r="AU52" i="60"/>
  <c r="AV51" i="60"/>
  <c r="AW51" i="60" s="1"/>
  <c r="AU51" i="60"/>
  <c r="AV50" i="60"/>
  <c r="AW50" i="60" s="1"/>
  <c r="AU50" i="60"/>
  <c r="AV49" i="60"/>
  <c r="AW49" i="60" s="1"/>
  <c r="AU49" i="60"/>
  <c r="AV48" i="60"/>
  <c r="AW48" i="60" s="1"/>
  <c r="AU48" i="60"/>
  <c r="AW47" i="60"/>
  <c r="AV47" i="60"/>
  <c r="AU47" i="60"/>
  <c r="AV46" i="60"/>
  <c r="AW46" i="60" s="1"/>
  <c r="AU46" i="60"/>
  <c r="AV45" i="60"/>
  <c r="AW45" i="60" s="1"/>
  <c r="AU45" i="60"/>
  <c r="AV44" i="60"/>
  <c r="AW44" i="60" s="1"/>
  <c r="AU44" i="60"/>
  <c r="AV43" i="60"/>
  <c r="AW43" i="60" s="1"/>
  <c r="AU43" i="60"/>
  <c r="AV42" i="60"/>
  <c r="AW42" i="60" s="1"/>
  <c r="AU42" i="60"/>
  <c r="AV41" i="60"/>
  <c r="AW41" i="60" s="1"/>
  <c r="AU41" i="60"/>
  <c r="AV40" i="60"/>
  <c r="AW40" i="60" s="1"/>
  <c r="AU40" i="60"/>
  <c r="AV39" i="60"/>
  <c r="AW39" i="60" s="1"/>
  <c r="AU39" i="60"/>
  <c r="AV38" i="60"/>
  <c r="AW38" i="60" s="1"/>
  <c r="AU38" i="60"/>
  <c r="AV37" i="60"/>
  <c r="AW37" i="60" s="1"/>
  <c r="AU37" i="60"/>
  <c r="AV36" i="60"/>
  <c r="AW36" i="60" s="1"/>
  <c r="AU36" i="60"/>
  <c r="AV35" i="60"/>
  <c r="AW35" i="60" s="1"/>
  <c r="AU35" i="60"/>
  <c r="AV34" i="60"/>
  <c r="AW34" i="60" s="1"/>
  <c r="AU34" i="60"/>
  <c r="AV33" i="60"/>
  <c r="AW33" i="60" s="1"/>
  <c r="AU33" i="60"/>
  <c r="AV32" i="60"/>
  <c r="AW32" i="60" s="1"/>
  <c r="AU32" i="60"/>
  <c r="AW31" i="60"/>
  <c r="AV31" i="60"/>
  <c r="AU31" i="60"/>
  <c r="AV30" i="60"/>
  <c r="AW30" i="60" s="1"/>
  <c r="AU30" i="60"/>
  <c r="AV29" i="60"/>
  <c r="AW29" i="60" s="1"/>
  <c r="AU29" i="60"/>
  <c r="AV28" i="60"/>
  <c r="AW28" i="60" s="1"/>
  <c r="AU28" i="60"/>
  <c r="AV27" i="60"/>
  <c r="AW27" i="60" s="1"/>
  <c r="AU27" i="60"/>
  <c r="AV26" i="60"/>
  <c r="AW26" i="60" s="1"/>
  <c r="AU26" i="60"/>
  <c r="AV25" i="60"/>
  <c r="AW25" i="60" s="1"/>
  <c r="AU25" i="60"/>
  <c r="AV24" i="60"/>
  <c r="AW24" i="60" s="1"/>
  <c r="AU24" i="60"/>
  <c r="AV23" i="60"/>
  <c r="AW23" i="60" s="1"/>
  <c r="AU23" i="60"/>
  <c r="AW22" i="60"/>
  <c r="AV22" i="60"/>
  <c r="AU22" i="60"/>
  <c r="AW21" i="60"/>
  <c r="AV21" i="60"/>
  <c r="AU21" i="60"/>
  <c r="AV20" i="60"/>
  <c r="AW20" i="60" s="1"/>
  <c r="AU20" i="60"/>
  <c r="AW19" i="60"/>
  <c r="AV19" i="60"/>
  <c r="AU19" i="60"/>
  <c r="AW18" i="60"/>
  <c r="AV18" i="60"/>
  <c r="AU18" i="60"/>
  <c r="AV17" i="60"/>
  <c r="AW17" i="60" s="1"/>
  <c r="AU17" i="60"/>
  <c r="AV16" i="60"/>
  <c r="AW16" i="60" s="1"/>
  <c r="AU16" i="60"/>
  <c r="AV15" i="60"/>
  <c r="AW15" i="60" s="1"/>
  <c r="AU15" i="60"/>
  <c r="AV14" i="60"/>
  <c r="AW14" i="60" s="1"/>
  <c r="AU14" i="60"/>
  <c r="AW13" i="60"/>
  <c r="AV13" i="60"/>
  <c r="AU13" i="60"/>
  <c r="AV12" i="60"/>
  <c r="AW12" i="60" s="1"/>
  <c r="AU12" i="60"/>
  <c r="AV11" i="60"/>
  <c r="AW11" i="60" s="1"/>
  <c r="AU11" i="60"/>
  <c r="AV10" i="60"/>
  <c r="AW10" i="60" s="1"/>
  <c r="AU10" i="60"/>
  <c r="AV9" i="60"/>
  <c r="AW9" i="60" s="1"/>
  <c r="AU9" i="60"/>
  <c r="AV8" i="60"/>
  <c r="AW8" i="60" s="1"/>
  <c r="AU8" i="60"/>
  <c r="AV7" i="60"/>
  <c r="AW7" i="60" s="1"/>
  <c r="AU7" i="60"/>
  <c r="AV6" i="60"/>
  <c r="AW6" i="60" s="1"/>
  <c r="AU6" i="60"/>
  <c r="AV5" i="60"/>
  <c r="AW5" i="60" s="1"/>
  <c r="AU5" i="60"/>
  <c r="AT4" i="60"/>
  <c r="AS4" i="60"/>
  <c r="AR4" i="60"/>
  <c r="AQ4" i="60"/>
  <c r="AP4" i="60"/>
  <c r="DU5" i="56"/>
  <c r="H124" i="56"/>
  <c r="H123" i="56"/>
  <c r="H122" i="56"/>
  <c r="H121" i="56"/>
  <c r="H120" i="56"/>
  <c r="H119" i="56"/>
  <c r="H118" i="56"/>
  <c r="H117" i="56"/>
  <c r="H116" i="56"/>
  <c r="H115" i="56"/>
  <c r="H114" i="56"/>
  <c r="H113" i="56"/>
  <c r="H112" i="56"/>
  <c r="H111" i="56"/>
  <c r="H110" i="56"/>
  <c r="H109" i="56"/>
  <c r="H108" i="56"/>
  <c r="H107" i="56"/>
  <c r="H106" i="56"/>
  <c r="H105" i="56"/>
  <c r="H104" i="56"/>
  <c r="H103" i="56"/>
  <c r="H102" i="56"/>
  <c r="H101" i="56"/>
  <c r="H100" i="56"/>
  <c r="H99" i="56"/>
  <c r="H98" i="56"/>
  <c r="H97" i="56"/>
  <c r="H96" i="56"/>
  <c r="H95" i="56"/>
  <c r="H94" i="56"/>
  <c r="H93" i="56"/>
  <c r="H92" i="56"/>
  <c r="H91" i="56"/>
  <c r="H90" i="56"/>
  <c r="H89" i="56"/>
  <c r="H88" i="56"/>
  <c r="H87" i="56"/>
  <c r="H86" i="56"/>
  <c r="H85" i="56"/>
  <c r="H84" i="56"/>
  <c r="H83" i="56"/>
  <c r="H82" i="56"/>
  <c r="H81" i="56"/>
  <c r="H80" i="56"/>
  <c r="H79" i="56"/>
  <c r="H78" i="56"/>
  <c r="H77" i="56"/>
  <c r="H76" i="56"/>
  <c r="H75" i="56"/>
  <c r="H74" i="56"/>
  <c r="H73" i="56"/>
  <c r="H72" i="56"/>
  <c r="H71" i="56"/>
  <c r="H70" i="56"/>
  <c r="H69" i="56"/>
  <c r="H68" i="56"/>
  <c r="H67" i="56"/>
  <c r="H66" i="56"/>
  <c r="H65" i="56"/>
  <c r="H64" i="56"/>
  <c r="H63" i="56"/>
  <c r="H62" i="56"/>
  <c r="H61" i="56"/>
  <c r="H60" i="56"/>
  <c r="H59" i="56"/>
  <c r="H58" i="56"/>
  <c r="H57" i="56"/>
  <c r="H56" i="56"/>
  <c r="H55" i="56"/>
  <c r="H54" i="56"/>
  <c r="H53" i="56"/>
  <c r="H52" i="56"/>
  <c r="H51" i="56"/>
  <c r="H50" i="56"/>
  <c r="H49" i="56"/>
  <c r="H48" i="56"/>
  <c r="H47" i="56"/>
  <c r="H46" i="56"/>
  <c r="H45" i="56"/>
  <c r="H44" i="56"/>
  <c r="H43" i="56"/>
  <c r="H42" i="56"/>
  <c r="H41" i="56"/>
  <c r="H40" i="56"/>
  <c r="H39" i="56"/>
  <c r="H38" i="56"/>
  <c r="H37" i="56"/>
  <c r="H36" i="56"/>
  <c r="H35" i="56"/>
  <c r="H34" i="56"/>
  <c r="H33" i="56"/>
  <c r="H32" i="56"/>
  <c r="H31" i="56"/>
  <c r="H30" i="56"/>
  <c r="H29" i="56"/>
  <c r="H28" i="56"/>
  <c r="H27" i="56"/>
  <c r="H26" i="56"/>
  <c r="H25" i="56"/>
  <c r="H24" i="56"/>
  <c r="H23" i="56"/>
  <c r="H22" i="56"/>
  <c r="H21" i="56"/>
  <c r="H20" i="56"/>
  <c r="H19" i="56"/>
  <c r="H18" i="56"/>
  <c r="H17" i="56"/>
  <c r="H16" i="56"/>
  <c r="H15" i="56"/>
  <c r="H130" i="56" s="1"/>
  <c r="H14" i="56"/>
  <c r="H13" i="56"/>
  <c r="H12" i="56"/>
  <c r="H11" i="56"/>
  <c r="H128" i="56" s="1"/>
  <c r="H10" i="56"/>
  <c r="H9" i="56"/>
  <c r="H8" i="56"/>
  <c r="H7" i="56"/>
  <c r="H6" i="56"/>
  <c r="H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30" i="56" s="1"/>
  <c r="G14" i="56"/>
  <c r="G13" i="56"/>
  <c r="G12" i="56"/>
  <c r="G11" i="56"/>
  <c r="G128" i="56" s="1"/>
  <c r="G10" i="56"/>
  <c r="G9" i="56"/>
  <c r="G8" i="56"/>
  <c r="G7" i="56"/>
  <c r="G6" i="56"/>
  <c r="G5" i="56"/>
  <c r="F124" i="56"/>
  <c r="F123" i="56"/>
  <c r="F122" i="56"/>
  <c r="F121" i="56"/>
  <c r="F120" i="56"/>
  <c r="F119" i="56"/>
  <c r="F118" i="56"/>
  <c r="F117" i="56"/>
  <c r="F116" i="56"/>
  <c r="F115" i="56"/>
  <c r="F114" i="56"/>
  <c r="F113" i="56"/>
  <c r="F112" i="56"/>
  <c r="F111" i="56"/>
  <c r="F110" i="56"/>
  <c r="F109" i="56"/>
  <c r="F108" i="56"/>
  <c r="F107" i="56"/>
  <c r="F106" i="56"/>
  <c r="F105" i="56"/>
  <c r="F104" i="56"/>
  <c r="F103" i="56"/>
  <c r="F102" i="56"/>
  <c r="F101" i="56"/>
  <c r="F100" i="56"/>
  <c r="F99" i="56"/>
  <c r="F98" i="56"/>
  <c r="F97" i="56"/>
  <c r="F96" i="56"/>
  <c r="F95" i="56"/>
  <c r="F94" i="56"/>
  <c r="F93" i="56"/>
  <c r="F92" i="56"/>
  <c r="F91" i="56"/>
  <c r="F90" i="56"/>
  <c r="F89" i="56"/>
  <c r="F88" i="56"/>
  <c r="F87" i="56"/>
  <c r="F86" i="56"/>
  <c r="F85" i="56"/>
  <c r="F84" i="56"/>
  <c r="F83" i="56"/>
  <c r="F82" i="56"/>
  <c r="F81" i="56"/>
  <c r="F80" i="56"/>
  <c r="F79" i="56"/>
  <c r="F78" i="56"/>
  <c r="F77" i="56"/>
  <c r="F76" i="56"/>
  <c r="F75" i="56"/>
  <c r="F74" i="56"/>
  <c r="F73" i="56"/>
  <c r="F72" i="56"/>
  <c r="F71" i="56"/>
  <c r="F70" i="56"/>
  <c r="F69" i="56"/>
  <c r="F68" i="56"/>
  <c r="F67" i="56"/>
  <c r="F66" i="56"/>
  <c r="F65" i="56"/>
  <c r="F64" i="56"/>
  <c r="F63" i="56"/>
  <c r="F62" i="56"/>
  <c r="F61" i="56"/>
  <c r="F60" i="56"/>
  <c r="F59" i="56"/>
  <c r="F58" i="56"/>
  <c r="F57" i="56"/>
  <c r="F56" i="56"/>
  <c r="F55" i="56"/>
  <c r="F54" i="56"/>
  <c r="F53" i="56"/>
  <c r="F52" i="56"/>
  <c r="F51" i="56"/>
  <c r="F50" i="56"/>
  <c r="F49" i="56"/>
  <c r="F48" i="56"/>
  <c r="F47" i="56"/>
  <c r="F46" i="56"/>
  <c r="F45" i="56"/>
  <c r="F44" i="56"/>
  <c r="F43" i="56"/>
  <c r="F42" i="56"/>
  <c r="F41" i="56"/>
  <c r="F40" i="56"/>
  <c r="F39" i="56"/>
  <c r="F38" i="56"/>
  <c r="F37" i="56"/>
  <c r="F36" i="56"/>
  <c r="F35" i="56"/>
  <c r="F34" i="56"/>
  <c r="F33" i="56"/>
  <c r="F32" i="56"/>
  <c r="F31" i="56"/>
  <c r="F30" i="56"/>
  <c r="F29" i="56"/>
  <c r="F28" i="56"/>
  <c r="F27" i="56"/>
  <c r="F26" i="56"/>
  <c r="F25" i="56"/>
  <c r="F24" i="56"/>
  <c r="F23" i="56"/>
  <c r="F22" i="56"/>
  <c r="F21" i="56"/>
  <c r="F20" i="56"/>
  <c r="F19" i="56"/>
  <c r="F18" i="56"/>
  <c r="F17" i="56"/>
  <c r="F16" i="56"/>
  <c r="F15" i="56"/>
  <c r="F130" i="56" s="1"/>
  <c r="F14" i="56"/>
  <c r="F13" i="56"/>
  <c r="F12" i="56"/>
  <c r="F11" i="56"/>
  <c r="F128" i="56" s="1"/>
  <c r="F10" i="56"/>
  <c r="F9" i="56"/>
  <c r="F8" i="56"/>
  <c r="F7" i="56"/>
  <c r="F6" i="56"/>
  <c r="F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E43" i="56"/>
  <c r="E42" i="56"/>
  <c r="E41" i="56"/>
  <c r="E40" i="56"/>
  <c r="E39" i="56"/>
  <c r="E38" i="56"/>
  <c r="E37" i="56"/>
  <c r="E36" i="56"/>
  <c r="E35" i="56"/>
  <c r="E34" i="56"/>
  <c r="E33" i="56"/>
  <c r="E32" i="56"/>
  <c r="E31" i="56"/>
  <c r="E30" i="56"/>
  <c r="E29" i="56"/>
  <c r="E28" i="56"/>
  <c r="E27" i="56"/>
  <c r="E26" i="56"/>
  <c r="E25" i="56"/>
  <c r="E24" i="56"/>
  <c r="E23" i="56"/>
  <c r="E22" i="56"/>
  <c r="E21" i="56"/>
  <c r="E20" i="56"/>
  <c r="E19" i="56"/>
  <c r="E18" i="56"/>
  <c r="E17" i="56"/>
  <c r="E16" i="56"/>
  <c r="E15" i="56"/>
  <c r="E130" i="56" s="1"/>
  <c r="E14" i="56"/>
  <c r="E13" i="56"/>
  <c r="E12" i="56"/>
  <c r="E11" i="56"/>
  <c r="E128" i="56" s="1"/>
  <c r="E10" i="56"/>
  <c r="E9" i="56"/>
  <c r="E8" i="56"/>
  <c r="E7" i="56"/>
  <c r="E6" i="56"/>
  <c r="E5" i="56"/>
  <c r="D124" i="56"/>
  <c r="D123" i="56"/>
  <c r="D122" i="56"/>
  <c r="D121" i="56"/>
  <c r="D120" i="56"/>
  <c r="D119" i="56"/>
  <c r="D118" i="56"/>
  <c r="D117" i="56"/>
  <c r="D116" i="56"/>
  <c r="D115" i="56"/>
  <c r="D114" i="56"/>
  <c r="D113" i="56"/>
  <c r="D112" i="56"/>
  <c r="D111" i="56"/>
  <c r="D110" i="56"/>
  <c r="D109" i="56"/>
  <c r="D108" i="56"/>
  <c r="D107" i="56"/>
  <c r="D106" i="56"/>
  <c r="D105" i="56"/>
  <c r="D104" i="56"/>
  <c r="D103" i="56"/>
  <c r="D102" i="56"/>
  <c r="D101" i="56"/>
  <c r="D100" i="56"/>
  <c r="D99" i="56"/>
  <c r="D98" i="56"/>
  <c r="D97" i="56"/>
  <c r="D96" i="56"/>
  <c r="D95" i="56"/>
  <c r="D94" i="56"/>
  <c r="D93" i="56"/>
  <c r="D92" i="56"/>
  <c r="D91" i="56"/>
  <c r="D90" i="56"/>
  <c r="D89" i="56"/>
  <c r="D88" i="56"/>
  <c r="D87" i="56"/>
  <c r="D86" i="56"/>
  <c r="D85" i="56"/>
  <c r="D84" i="56"/>
  <c r="D83" i="56"/>
  <c r="D82" i="56"/>
  <c r="D81" i="56"/>
  <c r="D80" i="56"/>
  <c r="D79" i="56"/>
  <c r="D78" i="56"/>
  <c r="D77" i="56"/>
  <c r="D76" i="56"/>
  <c r="D75" i="56"/>
  <c r="D74" i="56"/>
  <c r="D73" i="56"/>
  <c r="D72" i="56"/>
  <c r="D71" i="56"/>
  <c r="D70" i="56"/>
  <c r="D69" i="56"/>
  <c r="D68" i="56"/>
  <c r="D67" i="56"/>
  <c r="D66" i="56"/>
  <c r="D65" i="56"/>
  <c r="D64" i="56"/>
  <c r="D63" i="56"/>
  <c r="D62" i="56"/>
  <c r="D61" i="56"/>
  <c r="D60" i="56"/>
  <c r="D59" i="56"/>
  <c r="D58" i="56"/>
  <c r="D57" i="56"/>
  <c r="D56" i="56"/>
  <c r="D55" i="56"/>
  <c r="D54" i="56"/>
  <c r="D53" i="56"/>
  <c r="D52" i="56"/>
  <c r="D51" i="56"/>
  <c r="D50" i="56"/>
  <c r="D49" i="56"/>
  <c r="D48" i="56"/>
  <c r="D47" i="56"/>
  <c r="D46" i="56"/>
  <c r="D45" i="56"/>
  <c r="D44" i="56"/>
  <c r="D43" i="56"/>
  <c r="D42" i="56"/>
  <c r="D41" i="56"/>
  <c r="D40" i="56"/>
  <c r="D39" i="56"/>
  <c r="D38" i="56"/>
  <c r="D37" i="56"/>
  <c r="D36" i="56"/>
  <c r="D35" i="56"/>
  <c r="D34" i="56"/>
  <c r="D33" i="56"/>
  <c r="D32" i="56"/>
  <c r="D31" i="56"/>
  <c r="D30" i="56"/>
  <c r="D29" i="56"/>
  <c r="D28" i="56"/>
  <c r="D27" i="56"/>
  <c r="D26" i="56"/>
  <c r="D25" i="56"/>
  <c r="D24" i="56"/>
  <c r="D23" i="56"/>
  <c r="D22" i="56"/>
  <c r="D21" i="56"/>
  <c r="D20" i="56"/>
  <c r="D19" i="56"/>
  <c r="D18" i="56"/>
  <c r="D17" i="56"/>
  <c r="D16" i="56"/>
  <c r="D15" i="56"/>
  <c r="D130" i="56" s="1"/>
  <c r="D14" i="56"/>
  <c r="D13" i="56"/>
  <c r="D12" i="56"/>
  <c r="D11" i="56"/>
  <c r="D128" i="56" s="1"/>
  <c r="D10" i="56"/>
  <c r="D9" i="56"/>
  <c r="D8" i="56"/>
  <c r="D7" i="56"/>
  <c r="D6" i="56"/>
  <c r="D5" i="56"/>
  <c r="DT130" i="56"/>
  <c r="DS130" i="56"/>
  <c r="DR130" i="56"/>
  <c r="DQ130" i="56"/>
  <c r="DP130" i="56"/>
  <c r="DT129" i="56"/>
  <c r="DS129" i="56"/>
  <c r="DR129" i="56"/>
  <c r="DQ129" i="56"/>
  <c r="DP129" i="56"/>
  <c r="DT128" i="56"/>
  <c r="DS128" i="56"/>
  <c r="DR128" i="56"/>
  <c r="DQ128" i="56"/>
  <c r="DP128" i="56"/>
  <c r="DT127" i="56"/>
  <c r="DS127" i="56"/>
  <c r="DR127" i="56"/>
  <c r="DQ127" i="56"/>
  <c r="DP127" i="56"/>
  <c r="DT126" i="56"/>
  <c r="DS126" i="56"/>
  <c r="DR126" i="56"/>
  <c r="DQ126" i="56"/>
  <c r="DP126" i="56"/>
  <c r="DT4" i="56"/>
  <c r="DS4" i="56"/>
  <c r="DR4" i="56"/>
  <c r="DQ4" i="56"/>
  <c r="DP4" i="56"/>
  <c r="DU124" i="56"/>
  <c r="DU123" i="56"/>
  <c r="DU122" i="56"/>
  <c r="DU121" i="56"/>
  <c r="DU120" i="56"/>
  <c r="DU119" i="56"/>
  <c r="DU118" i="56"/>
  <c r="DU117" i="56"/>
  <c r="DU116" i="56"/>
  <c r="DU115" i="56"/>
  <c r="DU114" i="56"/>
  <c r="DU113" i="56"/>
  <c r="DU112" i="56"/>
  <c r="DU111" i="56"/>
  <c r="DU110" i="56"/>
  <c r="DU109" i="56"/>
  <c r="DU108" i="56"/>
  <c r="DU107" i="56"/>
  <c r="DU106" i="56"/>
  <c r="DU105" i="56"/>
  <c r="DU104" i="56"/>
  <c r="DU103" i="56"/>
  <c r="DU102" i="56"/>
  <c r="DU101" i="56"/>
  <c r="DU100" i="56"/>
  <c r="DU99" i="56"/>
  <c r="DU98" i="56"/>
  <c r="DU97" i="56"/>
  <c r="DU96" i="56"/>
  <c r="DU95" i="56"/>
  <c r="DU94" i="56"/>
  <c r="DU93" i="56"/>
  <c r="DU92" i="56"/>
  <c r="DU91" i="56"/>
  <c r="DU90" i="56"/>
  <c r="DU89" i="56"/>
  <c r="DU88" i="56"/>
  <c r="DU87" i="56"/>
  <c r="DU86" i="56"/>
  <c r="DU85" i="56"/>
  <c r="DU84" i="56"/>
  <c r="DU83" i="56"/>
  <c r="DU82" i="56"/>
  <c r="DU81" i="56"/>
  <c r="DU80" i="56"/>
  <c r="DU79" i="56"/>
  <c r="DU78" i="56"/>
  <c r="DU77" i="56"/>
  <c r="DU76" i="56"/>
  <c r="DU75" i="56"/>
  <c r="DU74" i="56"/>
  <c r="DU73" i="56"/>
  <c r="DU72" i="56"/>
  <c r="DU71" i="56"/>
  <c r="DU70" i="56"/>
  <c r="DU69" i="56"/>
  <c r="DU68" i="56"/>
  <c r="DU67" i="56"/>
  <c r="DU66" i="56"/>
  <c r="DU65" i="56"/>
  <c r="DU64" i="56"/>
  <c r="DU63" i="56"/>
  <c r="DU62" i="56"/>
  <c r="DU61" i="56"/>
  <c r="DU60" i="56"/>
  <c r="DU59" i="56"/>
  <c r="DU58" i="56"/>
  <c r="DU57" i="56"/>
  <c r="DU56" i="56"/>
  <c r="DU55" i="56"/>
  <c r="DU54" i="56"/>
  <c r="DU53" i="56"/>
  <c r="DU52" i="56"/>
  <c r="DU51" i="56"/>
  <c r="DU50" i="56"/>
  <c r="DU49" i="56"/>
  <c r="DU48" i="56"/>
  <c r="DU47" i="56"/>
  <c r="DU46" i="56"/>
  <c r="DU45" i="56"/>
  <c r="DU44" i="56"/>
  <c r="DU43" i="56"/>
  <c r="DU42" i="56"/>
  <c r="DU41" i="56"/>
  <c r="DU40" i="56"/>
  <c r="DU39" i="56"/>
  <c r="DU38" i="56"/>
  <c r="DU37" i="56"/>
  <c r="DU36" i="56"/>
  <c r="DU35" i="56"/>
  <c r="DU34" i="56"/>
  <c r="DU33" i="56"/>
  <c r="DU32" i="56"/>
  <c r="DU31" i="56"/>
  <c r="DU30" i="56"/>
  <c r="DU29" i="56"/>
  <c r="DU28" i="56"/>
  <c r="DU27" i="56"/>
  <c r="DU26" i="56"/>
  <c r="DU25" i="56"/>
  <c r="DU24" i="56"/>
  <c r="DU23" i="56"/>
  <c r="DU22" i="56"/>
  <c r="DU21" i="56"/>
  <c r="DU20" i="56"/>
  <c r="DU19" i="56"/>
  <c r="DU18" i="56"/>
  <c r="DU17" i="56"/>
  <c r="DU16" i="56"/>
  <c r="DU15" i="56"/>
  <c r="DU14" i="56"/>
  <c r="DU13" i="56"/>
  <c r="DU12" i="56"/>
  <c r="DU11" i="56"/>
  <c r="DU10" i="56"/>
  <c r="DU9" i="56"/>
  <c r="DU8" i="56"/>
  <c r="DU7" i="56"/>
  <c r="DU6" i="56"/>
  <c r="H124" i="55"/>
  <c r="H123" i="55"/>
  <c r="H122" i="55"/>
  <c r="H121" i="55"/>
  <c r="H120" i="55"/>
  <c r="H119" i="55"/>
  <c r="H118" i="55"/>
  <c r="H117" i="55"/>
  <c r="H116" i="55"/>
  <c r="H115" i="55"/>
  <c r="H114" i="55"/>
  <c r="H113" i="55"/>
  <c r="H112" i="55"/>
  <c r="H111" i="55"/>
  <c r="H110" i="55"/>
  <c r="H109" i="55"/>
  <c r="H108" i="55"/>
  <c r="H107" i="55"/>
  <c r="H106" i="55"/>
  <c r="H105" i="55"/>
  <c r="H104" i="55"/>
  <c r="H103" i="55"/>
  <c r="H102" i="55"/>
  <c r="H101" i="55"/>
  <c r="H100" i="55"/>
  <c r="H99" i="55"/>
  <c r="H98" i="55"/>
  <c r="H97" i="55"/>
  <c r="H96" i="55"/>
  <c r="H95" i="55"/>
  <c r="H94" i="55"/>
  <c r="H93" i="55"/>
  <c r="H92" i="55"/>
  <c r="H91" i="55"/>
  <c r="H90" i="55"/>
  <c r="H89" i="55"/>
  <c r="H88" i="55"/>
  <c r="H87" i="55"/>
  <c r="H86" i="55"/>
  <c r="H85" i="55"/>
  <c r="H84" i="55"/>
  <c r="H83" i="55"/>
  <c r="H82" i="55"/>
  <c r="H81" i="55"/>
  <c r="H80" i="55"/>
  <c r="H79" i="55"/>
  <c r="H78" i="55"/>
  <c r="H77" i="55"/>
  <c r="H76" i="55"/>
  <c r="H75" i="55"/>
  <c r="H74" i="55"/>
  <c r="H73" i="55"/>
  <c r="H72" i="55"/>
  <c r="H71" i="55"/>
  <c r="H70" i="55"/>
  <c r="H69" i="55"/>
  <c r="H68" i="55"/>
  <c r="H67" i="55"/>
  <c r="H66" i="55"/>
  <c r="H65" i="55"/>
  <c r="H64" i="55"/>
  <c r="H63" i="55"/>
  <c r="H62" i="55"/>
  <c r="H61" i="55"/>
  <c r="H60" i="55"/>
  <c r="H59" i="55"/>
  <c r="H58" i="55"/>
  <c r="H57" i="55"/>
  <c r="H56" i="55"/>
  <c r="H55" i="55"/>
  <c r="H54" i="55"/>
  <c r="H53" i="55"/>
  <c r="H52" i="55"/>
  <c r="H51" i="55"/>
  <c r="H50" i="55"/>
  <c r="H49" i="55"/>
  <c r="H48" i="55"/>
  <c r="H47" i="55"/>
  <c r="H46" i="55"/>
  <c r="H45" i="55"/>
  <c r="H44" i="55"/>
  <c r="H43" i="55"/>
  <c r="H42" i="55"/>
  <c r="H41" i="55"/>
  <c r="H40" i="55"/>
  <c r="H39" i="55"/>
  <c r="H38" i="55"/>
  <c r="H37" i="55"/>
  <c r="H36" i="55"/>
  <c r="H35" i="55"/>
  <c r="H34" i="55"/>
  <c r="H33" i="55"/>
  <c r="H32" i="55"/>
  <c r="H31" i="55"/>
  <c r="H30" i="55"/>
  <c r="H29" i="55"/>
  <c r="H28" i="55"/>
  <c r="H27" i="55"/>
  <c r="H26" i="55"/>
  <c r="H25" i="55"/>
  <c r="H24" i="55"/>
  <c r="H23" i="55"/>
  <c r="H22" i="55"/>
  <c r="H21" i="55"/>
  <c r="H20" i="55"/>
  <c r="H19" i="55"/>
  <c r="H18" i="55"/>
  <c r="H17" i="55"/>
  <c r="H16" i="55"/>
  <c r="H15" i="55"/>
  <c r="H14" i="55"/>
  <c r="H13" i="55"/>
  <c r="H12" i="55"/>
  <c r="H11" i="55"/>
  <c r="H10" i="55"/>
  <c r="H9" i="55"/>
  <c r="H8" i="55"/>
  <c r="H7" i="55"/>
  <c r="H6" i="55"/>
  <c r="H5" i="55"/>
  <c r="G124" i="55"/>
  <c r="G123" i="55"/>
  <c r="G122" i="55"/>
  <c r="G121" i="55"/>
  <c r="G120" i="55"/>
  <c r="G119" i="55"/>
  <c r="G118" i="55"/>
  <c r="G117" i="55"/>
  <c r="G116" i="55"/>
  <c r="G115" i="55"/>
  <c r="G114" i="55"/>
  <c r="G113" i="55"/>
  <c r="G112" i="55"/>
  <c r="G111" i="55"/>
  <c r="G110" i="55"/>
  <c r="G109" i="55"/>
  <c r="G108" i="55"/>
  <c r="G107" i="55"/>
  <c r="G106" i="55"/>
  <c r="G105" i="55"/>
  <c r="G104" i="55"/>
  <c r="G103" i="55"/>
  <c r="G102" i="55"/>
  <c r="G101" i="55"/>
  <c r="G100" i="55"/>
  <c r="G99" i="55"/>
  <c r="G98" i="55"/>
  <c r="G97" i="55"/>
  <c r="G96" i="55"/>
  <c r="G95" i="55"/>
  <c r="G94" i="55"/>
  <c r="G93" i="55"/>
  <c r="G92" i="55"/>
  <c r="G91" i="55"/>
  <c r="G90" i="55"/>
  <c r="G89" i="55"/>
  <c r="G88" i="55"/>
  <c r="G87" i="55"/>
  <c r="G86" i="55"/>
  <c r="G85" i="55"/>
  <c r="G84" i="55"/>
  <c r="G83" i="55"/>
  <c r="G82" i="55"/>
  <c r="G81" i="55"/>
  <c r="G80" i="55"/>
  <c r="G79" i="55"/>
  <c r="G78" i="55"/>
  <c r="G77" i="55"/>
  <c r="G76" i="55"/>
  <c r="G75" i="55"/>
  <c r="G74" i="55"/>
  <c r="G73" i="55"/>
  <c r="G72" i="55"/>
  <c r="G71" i="55"/>
  <c r="G70" i="55"/>
  <c r="G69" i="55"/>
  <c r="G68" i="55"/>
  <c r="G67" i="55"/>
  <c r="G66" i="55"/>
  <c r="G65" i="55"/>
  <c r="G64" i="55"/>
  <c r="G63" i="55"/>
  <c r="G62" i="55"/>
  <c r="G61" i="55"/>
  <c r="G60" i="55"/>
  <c r="G59" i="55"/>
  <c r="G58" i="55"/>
  <c r="G57" i="55"/>
  <c r="G56" i="55"/>
  <c r="G55" i="55"/>
  <c r="G54" i="55"/>
  <c r="G53" i="55"/>
  <c r="G52" i="55"/>
  <c r="G51" i="55"/>
  <c r="G50" i="55"/>
  <c r="G49" i="55"/>
  <c r="G48" i="55"/>
  <c r="G47" i="55"/>
  <c r="G46" i="55"/>
  <c r="G45" i="55"/>
  <c r="G44" i="55"/>
  <c r="G43" i="55"/>
  <c r="G42" i="55"/>
  <c r="G41" i="55"/>
  <c r="G40" i="55"/>
  <c r="G39" i="55"/>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7" i="55"/>
  <c r="G6" i="55"/>
  <c r="G5" i="55"/>
  <c r="D124" i="55"/>
  <c r="D123" i="55"/>
  <c r="D122" i="55"/>
  <c r="D121" i="55"/>
  <c r="D120" i="55"/>
  <c r="D119" i="55"/>
  <c r="D118" i="55"/>
  <c r="D117" i="55"/>
  <c r="D116" i="55"/>
  <c r="D115" i="55"/>
  <c r="D114" i="55"/>
  <c r="D113" i="55"/>
  <c r="D112" i="55"/>
  <c r="D111" i="55"/>
  <c r="D110" i="55"/>
  <c r="D109" i="55"/>
  <c r="D108" i="55"/>
  <c r="D107" i="55"/>
  <c r="D106" i="55"/>
  <c r="D105" i="55"/>
  <c r="D104" i="55"/>
  <c r="D103" i="55"/>
  <c r="D102" i="55"/>
  <c r="D101" i="55"/>
  <c r="D100" i="55"/>
  <c r="D99" i="55"/>
  <c r="D98" i="55"/>
  <c r="D97" i="55"/>
  <c r="D96" i="55"/>
  <c r="D95" i="55"/>
  <c r="D94" i="55"/>
  <c r="D93" i="55"/>
  <c r="D92" i="55"/>
  <c r="D91" i="55"/>
  <c r="D90" i="55"/>
  <c r="D89" i="55"/>
  <c r="D88" i="55"/>
  <c r="D87" i="55"/>
  <c r="D86" i="55"/>
  <c r="D85" i="55"/>
  <c r="D84" i="55"/>
  <c r="D83" i="55"/>
  <c r="D82" i="55"/>
  <c r="D81" i="55"/>
  <c r="D80" i="55"/>
  <c r="D79" i="55"/>
  <c r="D78" i="55"/>
  <c r="D77" i="55"/>
  <c r="D76" i="55"/>
  <c r="D75" i="55"/>
  <c r="D74" i="55"/>
  <c r="D73" i="55"/>
  <c r="D72" i="55"/>
  <c r="D71" i="55"/>
  <c r="D70" i="55"/>
  <c r="D69" i="55"/>
  <c r="D68" i="55"/>
  <c r="D67" i="55"/>
  <c r="D66" i="55"/>
  <c r="D65" i="55"/>
  <c r="D64" i="55"/>
  <c r="D63" i="55"/>
  <c r="D62" i="55"/>
  <c r="D61" i="55"/>
  <c r="D60" i="55"/>
  <c r="D59" i="55"/>
  <c r="D58" i="55"/>
  <c r="D57" i="55"/>
  <c r="D56" i="55"/>
  <c r="D55" i="55"/>
  <c r="D54" i="55"/>
  <c r="D53" i="55"/>
  <c r="D52" i="55"/>
  <c r="D51" i="55"/>
  <c r="D50" i="55"/>
  <c r="D49" i="55"/>
  <c r="D48" i="55"/>
  <c r="D47" i="55"/>
  <c r="D46" i="55"/>
  <c r="D45" i="55"/>
  <c r="D44" i="55"/>
  <c r="D43" i="55"/>
  <c r="D42" i="55"/>
  <c r="D41" i="55"/>
  <c r="D40" i="55"/>
  <c r="D39" i="55"/>
  <c r="D38" i="55"/>
  <c r="D37" i="55"/>
  <c r="D36" i="55"/>
  <c r="D35" i="55"/>
  <c r="D34" i="55"/>
  <c r="D33" i="55"/>
  <c r="D32" i="55"/>
  <c r="D31" i="55"/>
  <c r="D30" i="55"/>
  <c r="D29" i="55"/>
  <c r="D28" i="55"/>
  <c r="D27" i="55"/>
  <c r="D26" i="55"/>
  <c r="D25" i="55"/>
  <c r="D24" i="55"/>
  <c r="D23" i="55"/>
  <c r="D22" i="55"/>
  <c r="D21" i="55"/>
  <c r="D20" i="55"/>
  <c r="D19" i="55"/>
  <c r="D18" i="55"/>
  <c r="D17" i="55"/>
  <c r="D16" i="55"/>
  <c r="D15" i="55"/>
  <c r="D14" i="55"/>
  <c r="D13" i="55"/>
  <c r="D12" i="55"/>
  <c r="D11" i="55"/>
  <c r="D10" i="55"/>
  <c r="D9" i="55"/>
  <c r="D8" i="55"/>
  <c r="D7" i="55"/>
  <c r="D6" i="55"/>
  <c r="D5" i="55"/>
  <c r="F124" i="55"/>
  <c r="F123" i="55"/>
  <c r="F122" i="55"/>
  <c r="F121" i="55"/>
  <c r="F120" i="55"/>
  <c r="F119" i="55"/>
  <c r="F118" i="55"/>
  <c r="F117" i="55"/>
  <c r="F116" i="55"/>
  <c r="F115" i="55"/>
  <c r="F114" i="55"/>
  <c r="F113" i="55"/>
  <c r="F112" i="55"/>
  <c r="F111" i="55"/>
  <c r="F110" i="55"/>
  <c r="F109" i="55"/>
  <c r="F108" i="55"/>
  <c r="F107" i="55"/>
  <c r="F106" i="55"/>
  <c r="F105" i="55"/>
  <c r="F104" i="55"/>
  <c r="F103" i="55"/>
  <c r="F102" i="55"/>
  <c r="F101" i="55"/>
  <c r="F100" i="55"/>
  <c r="F99" i="55"/>
  <c r="F98" i="55"/>
  <c r="F97" i="55"/>
  <c r="F96" i="55"/>
  <c r="F95" i="55"/>
  <c r="F94" i="55"/>
  <c r="F93" i="55"/>
  <c r="F92" i="55"/>
  <c r="F91" i="55"/>
  <c r="F90" i="55"/>
  <c r="F89" i="55"/>
  <c r="F88" i="55"/>
  <c r="F87" i="55"/>
  <c r="F86" i="55"/>
  <c r="F85" i="55"/>
  <c r="F84" i="55"/>
  <c r="F83" i="55"/>
  <c r="F82" i="55"/>
  <c r="F81" i="55"/>
  <c r="F80" i="55"/>
  <c r="F79" i="55"/>
  <c r="F78" i="55"/>
  <c r="F77" i="55"/>
  <c r="F76" i="55"/>
  <c r="F75" i="55"/>
  <c r="F74" i="55"/>
  <c r="F73" i="55"/>
  <c r="F72" i="55"/>
  <c r="F71" i="55"/>
  <c r="F70" i="55"/>
  <c r="F69" i="55"/>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F19" i="55"/>
  <c r="F18" i="55"/>
  <c r="F17" i="55"/>
  <c r="F16" i="55"/>
  <c r="F15" i="55"/>
  <c r="F14" i="55"/>
  <c r="F13" i="55"/>
  <c r="F12" i="55"/>
  <c r="F11" i="55"/>
  <c r="F10" i="55"/>
  <c r="F9" i="55"/>
  <c r="F8" i="55"/>
  <c r="F7" i="55"/>
  <c r="F6" i="55"/>
  <c r="F5" i="55"/>
  <c r="E124" i="55"/>
  <c r="E123" i="55"/>
  <c r="E122" i="55"/>
  <c r="E121" i="55"/>
  <c r="E120" i="55"/>
  <c r="E119" i="55"/>
  <c r="E118" i="55"/>
  <c r="E117" i="55"/>
  <c r="E116" i="55"/>
  <c r="E115" i="55"/>
  <c r="E114" i="55"/>
  <c r="E113" i="55"/>
  <c r="E112" i="55"/>
  <c r="E111" i="55"/>
  <c r="E110" i="55"/>
  <c r="E109" i="55"/>
  <c r="E108" i="55"/>
  <c r="E107" i="55"/>
  <c r="E106" i="55"/>
  <c r="E105" i="55"/>
  <c r="E104" i="55"/>
  <c r="E103" i="55"/>
  <c r="E102" i="55"/>
  <c r="E101" i="55"/>
  <c r="E100" i="55"/>
  <c r="E99" i="55"/>
  <c r="E98" i="55"/>
  <c r="E97" i="55"/>
  <c r="E96" i="55"/>
  <c r="E95" i="55"/>
  <c r="E94" i="55"/>
  <c r="E93" i="55"/>
  <c r="E92" i="55"/>
  <c r="E91" i="55"/>
  <c r="E90" i="55"/>
  <c r="E89" i="55"/>
  <c r="E88" i="55"/>
  <c r="E87" i="55"/>
  <c r="E86" i="55"/>
  <c r="E85" i="55"/>
  <c r="E84" i="55"/>
  <c r="E83" i="55"/>
  <c r="E82" i="55"/>
  <c r="E81" i="55"/>
  <c r="E80" i="55"/>
  <c r="E79" i="55"/>
  <c r="E78" i="55"/>
  <c r="E77" i="55"/>
  <c r="E76" i="55"/>
  <c r="E75" i="55"/>
  <c r="E74" i="55"/>
  <c r="E73" i="55"/>
  <c r="E72" i="55"/>
  <c r="E71" i="55"/>
  <c r="E70" i="55"/>
  <c r="E69" i="55"/>
  <c r="E68" i="55"/>
  <c r="E67" i="55"/>
  <c r="E66" i="55"/>
  <c r="E65" i="55"/>
  <c r="E64" i="55"/>
  <c r="E63" i="55"/>
  <c r="E62" i="55"/>
  <c r="E61" i="55"/>
  <c r="E60" i="55"/>
  <c r="E59" i="55"/>
  <c r="E58" i="55"/>
  <c r="E57" i="55"/>
  <c r="E56" i="55"/>
  <c r="E55" i="55"/>
  <c r="E54" i="55"/>
  <c r="E53" i="55"/>
  <c r="E52" i="55"/>
  <c r="E51" i="55"/>
  <c r="E50" i="55"/>
  <c r="E49" i="55"/>
  <c r="E48" i="55"/>
  <c r="E47" i="55"/>
  <c r="E46" i="55"/>
  <c r="E45" i="55"/>
  <c r="E44" i="55"/>
  <c r="E43" i="55"/>
  <c r="E42" i="55"/>
  <c r="E41" i="55"/>
  <c r="E40" i="55"/>
  <c r="E39" i="55"/>
  <c r="E38" i="55"/>
  <c r="E37" i="55"/>
  <c r="E36" i="55"/>
  <c r="E35" i="55"/>
  <c r="E34" i="55"/>
  <c r="E33" i="55"/>
  <c r="E32" i="55"/>
  <c r="E31" i="55"/>
  <c r="E30" i="55"/>
  <c r="E29" i="55"/>
  <c r="E28" i="55"/>
  <c r="E27" i="55"/>
  <c r="E26" i="55"/>
  <c r="E25" i="55"/>
  <c r="E24" i="55"/>
  <c r="E23" i="55"/>
  <c r="E22" i="55"/>
  <c r="E21" i="55"/>
  <c r="E20" i="55"/>
  <c r="E19" i="55"/>
  <c r="E18" i="55"/>
  <c r="E17" i="55"/>
  <c r="E16" i="55"/>
  <c r="E15" i="55"/>
  <c r="E14" i="55"/>
  <c r="E13" i="55"/>
  <c r="E12" i="55"/>
  <c r="E11" i="55"/>
  <c r="E10" i="55"/>
  <c r="E9" i="55"/>
  <c r="E8" i="55"/>
  <c r="E7" i="55"/>
  <c r="E6" i="55"/>
  <c r="E5" i="55"/>
  <c r="P130" i="53"/>
  <c r="O130" i="53"/>
  <c r="N130" i="53"/>
  <c r="M130" i="53"/>
  <c r="L130" i="53"/>
  <c r="Q130" i="53" s="1"/>
  <c r="P129" i="53"/>
  <c r="O129" i="53"/>
  <c r="N129" i="53"/>
  <c r="M129" i="53"/>
  <c r="L129" i="53"/>
  <c r="P128" i="53"/>
  <c r="O128" i="53"/>
  <c r="N128" i="53"/>
  <c r="M128" i="53"/>
  <c r="L128" i="53"/>
  <c r="P127" i="53"/>
  <c r="O127" i="53"/>
  <c r="N127" i="53"/>
  <c r="M127" i="53"/>
  <c r="L127" i="53"/>
  <c r="P126" i="53"/>
  <c r="O126" i="53"/>
  <c r="N126" i="53"/>
  <c r="M126" i="53"/>
  <c r="L126" i="53"/>
  <c r="V130" i="53"/>
  <c r="U130" i="53"/>
  <c r="T130" i="53"/>
  <c r="S130" i="53"/>
  <c r="R130" i="53"/>
  <c r="V129" i="53"/>
  <c r="U129" i="53"/>
  <c r="T129" i="53"/>
  <c r="S129" i="53"/>
  <c r="R129" i="53"/>
  <c r="V128" i="53"/>
  <c r="U128" i="53"/>
  <c r="T128" i="53"/>
  <c r="S128" i="53"/>
  <c r="R128" i="53"/>
  <c r="V127" i="53"/>
  <c r="U127" i="53"/>
  <c r="T127" i="53"/>
  <c r="S127" i="53"/>
  <c r="R127" i="53"/>
  <c r="V126" i="53"/>
  <c r="U126" i="53"/>
  <c r="T126" i="53"/>
  <c r="S126" i="53"/>
  <c r="R126" i="53"/>
  <c r="AB130" i="53"/>
  <c r="AA130" i="53"/>
  <c r="Z130" i="53"/>
  <c r="Y130" i="53"/>
  <c r="X130" i="53"/>
  <c r="AB129" i="53"/>
  <c r="AA129" i="53"/>
  <c r="Z129" i="53"/>
  <c r="Y129" i="53"/>
  <c r="X129" i="53"/>
  <c r="AB128" i="53"/>
  <c r="AA128" i="53"/>
  <c r="Z128" i="53"/>
  <c r="Y128" i="53"/>
  <c r="X128" i="53"/>
  <c r="AB127" i="53"/>
  <c r="AA127" i="53"/>
  <c r="Z127" i="53"/>
  <c r="Y127" i="53"/>
  <c r="X127" i="53"/>
  <c r="AB126" i="53"/>
  <c r="AA126" i="53"/>
  <c r="Z126" i="53"/>
  <c r="Y126" i="53"/>
  <c r="X126" i="53"/>
  <c r="AI124" i="53"/>
  <c r="AI123" i="53"/>
  <c r="AI122" i="53"/>
  <c r="AI121" i="53"/>
  <c r="AI120" i="53"/>
  <c r="AI119" i="53"/>
  <c r="AI118" i="53"/>
  <c r="AI117" i="53"/>
  <c r="AI116" i="53"/>
  <c r="AI115" i="53"/>
  <c r="AI114" i="53"/>
  <c r="AI113" i="53"/>
  <c r="AI112" i="53"/>
  <c r="AI111" i="53"/>
  <c r="AI110" i="53"/>
  <c r="AI109" i="53"/>
  <c r="AI108" i="53"/>
  <c r="AI107" i="53"/>
  <c r="AI106" i="53"/>
  <c r="AI105" i="53"/>
  <c r="AI104" i="53"/>
  <c r="AI103" i="53"/>
  <c r="AI102" i="53"/>
  <c r="AI101" i="53"/>
  <c r="AI100" i="53"/>
  <c r="AI99" i="53"/>
  <c r="AI98" i="53"/>
  <c r="AI97" i="53"/>
  <c r="AI96" i="53"/>
  <c r="AI95" i="53"/>
  <c r="AI94" i="53"/>
  <c r="AI93" i="53"/>
  <c r="AI92" i="53"/>
  <c r="AI91" i="53"/>
  <c r="AI90" i="53"/>
  <c r="AI89" i="53"/>
  <c r="AI88" i="53"/>
  <c r="AI87" i="53"/>
  <c r="AI86" i="53"/>
  <c r="AI85" i="53"/>
  <c r="AI84" i="53"/>
  <c r="AI83" i="53"/>
  <c r="AI82" i="53"/>
  <c r="AI81" i="53"/>
  <c r="AI80" i="53"/>
  <c r="AI79" i="53"/>
  <c r="AI78" i="53"/>
  <c r="AI77" i="53"/>
  <c r="AI76" i="53"/>
  <c r="AI75" i="53"/>
  <c r="AI74" i="53"/>
  <c r="AI73" i="53"/>
  <c r="AI72" i="53"/>
  <c r="AI71" i="53"/>
  <c r="AI70" i="53"/>
  <c r="AI69" i="53"/>
  <c r="AI68" i="53"/>
  <c r="AI67" i="53"/>
  <c r="AI66" i="53"/>
  <c r="AI65" i="53"/>
  <c r="AI64" i="53"/>
  <c r="AI63" i="53"/>
  <c r="AI62" i="53"/>
  <c r="AI61" i="53"/>
  <c r="AI60" i="53"/>
  <c r="AI59" i="53"/>
  <c r="AI58" i="53"/>
  <c r="AI57" i="53"/>
  <c r="AI56" i="53"/>
  <c r="AI55" i="53"/>
  <c r="AI54" i="53"/>
  <c r="AI53" i="53"/>
  <c r="AI52" i="53"/>
  <c r="AI51" i="53"/>
  <c r="AI50" i="53"/>
  <c r="AI49" i="53"/>
  <c r="AI48" i="53"/>
  <c r="AI47" i="53"/>
  <c r="AI46" i="53"/>
  <c r="AI45" i="53"/>
  <c r="AI44" i="53"/>
  <c r="AI43" i="53"/>
  <c r="AI42" i="53"/>
  <c r="AI41" i="53"/>
  <c r="AI40" i="53"/>
  <c r="AI39" i="53"/>
  <c r="AI38" i="53"/>
  <c r="AI37" i="53"/>
  <c r="AI36" i="53"/>
  <c r="AI35" i="53"/>
  <c r="AI34" i="53"/>
  <c r="AI33" i="53"/>
  <c r="AI32" i="53"/>
  <c r="AI31" i="53"/>
  <c r="AI30" i="53"/>
  <c r="AI29" i="53"/>
  <c r="AI28" i="53"/>
  <c r="AI27" i="53"/>
  <c r="AI26" i="53"/>
  <c r="AI25" i="53"/>
  <c r="AI24" i="53"/>
  <c r="AI23" i="53"/>
  <c r="AI22" i="53"/>
  <c r="AI21" i="53"/>
  <c r="AI20" i="53"/>
  <c r="AI19" i="53"/>
  <c r="AI18" i="53"/>
  <c r="AI17" i="53"/>
  <c r="AI16" i="53"/>
  <c r="AI15" i="53"/>
  <c r="AI14" i="53"/>
  <c r="AI13" i="53"/>
  <c r="AI12" i="53"/>
  <c r="AI11" i="53"/>
  <c r="AI10" i="53"/>
  <c r="AI9" i="53"/>
  <c r="AI8" i="53"/>
  <c r="AI7" i="53"/>
  <c r="AI6" i="53"/>
  <c r="AI5" i="53"/>
  <c r="AH130" i="53"/>
  <c r="AG130" i="53"/>
  <c r="AF130" i="53"/>
  <c r="AE130" i="53"/>
  <c r="AH129" i="53"/>
  <c r="AG129" i="53"/>
  <c r="AF129" i="53"/>
  <c r="AE129" i="53"/>
  <c r="AH128" i="53"/>
  <c r="AG128" i="53"/>
  <c r="AI128" i="53" s="1"/>
  <c r="AF128" i="53"/>
  <c r="AE128" i="53"/>
  <c r="AH127" i="53"/>
  <c r="AG127" i="53"/>
  <c r="AF127" i="53"/>
  <c r="AE127" i="53"/>
  <c r="AH126" i="53"/>
  <c r="AG126" i="53"/>
  <c r="AG131" i="53" s="1"/>
  <c r="AF126" i="53"/>
  <c r="AF131" i="53" s="1"/>
  <c r="AE126" i="53"/>
  <c r="AE131" i="53" s="1"/>
  <c r="AD130" i="53"/>
  <c r="AD129" i="53"/>
  <c r="AI129" i="53" s="1"/>
  <c r="AD128" i="53"/>
  <c r="AD127" i="53"/>
  <c r="AD126" i="53"/>
  <c r="P130" i="55"/>
  <c r="O130" i="55"/>
  <c r="N130" i="55"/>
  <c r="M130" i="55"/>
  <c r="L130" i="55"/>
  <c r="P129" i="55"/>
  <c r="O129" i="55"/>
  <c r="N129" i="55"/>
  <c r="M129" i="55"/>
  <c r="L129" i="55"/>
  <c r="P128" i="55"/>
  <c r="O128" i="55"/>
  <c r="N128" i="55"/>
  <c r="M128" i="55"/>
  <c r="L128" i="55"/>
  <c r="P127" i="55"/>
  <c r="O127" i="55"/>
  <c r="N127" i="55"/>
  <c r="M127" i="55"/>
  <c r="L127" i="55"/>
  <c r="P126" i="55"/>
  <c r="O126" i="55"/>
  <c r="N126" i="55"/>
  <c r="M126" i="55"/>
  <c r="L126" i="55"/>
  <c r="V130" i="55"/>
  <c r="U130" i="55"/>
  <c r="T130" i="55"/>
  <c r="S130" i="55"/>
  <c r="V129" i="55"/>
  <c r="U129" i="55"/>
  <c r="T129" i="55"/>
  <c r="S129" i="55"/>
  <c r="V128" i="55"/>
  <c r="U128" i="55"/>
  <c r="T128" i="55"/>
  <c r="S128" i="55"/>
  <c r="V127" i="55"/>
  <c r="U127" i="55"/>
  <c r="T127" i="55"/>
  <c r="S127" i="55"/>
  <c r="V126" i="55"/>
  <c r="V131" i="55" s="1"/>
  <c r="U126" i="55"/>
  <c r="U131" i="55" s="1"/>
  <c r="T126" i="55"/>
  <c r="S126" i="55"/>
  <c r="S131" i="55" s="1"/>
  <c r="R130" i="55"/>
  <c r="R129" i="55"/>
  <c r="R128" i="55"/>
  <c r="R127" i="55"/>
  <c r="R126" i="55"/>
  <c r="T131" i="55" l="1"/>
  <c r="AH131" i="53"/>
  <c r="F127" i="60"/>
  <c r="E126" i="60"/>
  <c r="D128" i="60"/>
  <c r="D130" i="60"/>
  <c r="F126" i="60"/>
  <c r="D127" i="60"/>
  <c r="E127" i="60"/>
  <c r="E130" i="60"/>
  <c r="F130" i="60"/>
  <c r="F131" i="60"/>
  <c r="F129" i="60"/>
  <c r="AI130" i="53"/>
  <c r="DU129" i="56"/>
  <c r="E126" i="56"/>
  <c r="F126" i="56"/>
  <c r="D129" i="60"/>
  <c r="DU4" i="56"/>
  <c r="D127" i="56"/>
  <c r="E127" i="56"/>
  <c r="F127" i="56"/>
  <c r="G127" i="56"/>
  <c r="H127" i="56"/>
  <c r="E129" i="60"/>
  <c r="F128" i="60"/>
  <c r="AI126" i="53"/>
  <c r="D126" i="56"/>
  <c r="G126" i="56"/>
  <c r="H126" i="56"/>
  <c r="E128" i="60"/>
  <c r="E131" i="60" s="1"/>
  <c r="AI127" i="53"/>
  <c r="Y131" i="53"/>
  <c r="X131" i="53"/>
  <c r="AB131" i="53"/>
  <c r="AC130" i="53"/>
  <c r="D129" i="56"/>
  <c r="E129" i="56"/>
  <c r="F129" i="56"/>
  <c r="G129" i="56"/>
  <c r="H129" i="56"/>
  <c r="D126" i="60"/>
  <c r="D131" i="60" s="1"/>
  <c r="AD131" i="53"/>
  <c r="AC128" i="53"/>
  <c r="AC129" i="53"/>
  <c r="AA131" i="53"/>
  <c r="Z131" i="53"/>
  <c r="T131" i="53"/>
  <c r="W128" i="53"/>
  <c r="R131" i="53"/>
  <c r="V131" i="53"/>
  <c r="W130" i="53"/>
  <c r="S131" i="53"/>
  <c r="W126" i="53"/>
  <c r="W129" i="53"/>
  <c r="U131" i="53"/>
  <c r="Q126" i="53"/>
  <c r="L131" i="53"/>
  <c r="P131" i="53"/>
  <c r="N131" i="53"/>
  <c r="M131" i="53"/>
  <c r="Q128" i="53"/>
  <c r="O131" i="53"/>
  <c r="Q129" i="53"/>
  <c r="AV130" i="60"/>
  <c r="AW130" i="60" s="1"/>
  <c r="AU127" i="60"/>
  <c r="AV128" i="60"/>
  <c r="AW128" i="60" s="1"/>
  <c r="AP131" i="60"/>
  <c r="AT131" i="60"/>
  <c r="AV127" i="60"/>
  <c r="AW127" i="60" s="1"/>
  <c r="AU128" i="60"/>
  <c r="AV126" i="60"/>
  <c r="AW126" i="60" s="1"/>
  <c r="AU126" i="60"/>
  <c r="AU4" i="60"/>
  <c r="AU130" i="60"/>
  <c r="AU129" i="60"/>
  <c r="AV129" i="60"/>
  <c r="AW129" i="60" s="1"/>
  <c r="AQ131" i="60"/>
  <c r="AS131" i="60"/>
  <c r="AR131" i="60"/>
  <c r="AV4" i="60"/>
  <c r="AW4" i="60"/>
  <c r="DS131" i="56"/>
  <c r="DU126" i="56"/>
  <c r="DU130" i="56"/>
  <c r="DU128" i="56"/>
  <c r="DR131" i="56"/>
  <c r="DQ131" i="56"/>
  <c r="DP131" i="56"/>
  <c r="DT131" i="56"/>
  <c r="DU127" i="56"/>
  <c r="W127" i="55"/>
  <c r="W128" i="55"/>
  <c r="Q130" i="55"/>
  <c r="Q127" i="53"/>
  <c r="W127" i="53"/>
  <c r="AC126" i="53"/>
  <c r="AC127" i="53"/>
  <c r="W129" i="55"/>
  <c r="W130" i="55"/>
  <c r="O131" i="55"/>
  <c r="Q128" i="55"/>
  <c r="Q126" i="55"/>
  <c r="M131" i="55"/>
  <c r="N131" i="55"/>
  <c r="L131" i="55"/>
  <c r="P131" i="55"/>
  <c r="Q129" i="55"/>
  <c r="Q127" i="55"/>
  <c r="R131" i="55"/>
  <c r="W126" i="55"/>
  <c r="AI131" i="53" l="1"/>
  <c r="E131" i="56"/>
  <c r="D131" i="56"/>
  <c r="G131" i="56"/>
  <c r="F131" i="56"/>
  <c r="H131" i="56"/>
  <c r="AC131" i="53"/>
  <c r="W131" i="53"/>
  <c r="Q131" i="53"/>
  <c r="AV131" i="60"/>
  <c r="AW131" i="60" s="1"/>
  <c r="AU131" i="60"/>
  <c r="DU131" i="56"/>
  <c r="W131" i="55"/>
  <c r="Q131" i="55"/>
  <c r="P130" i="56" l="1"/>
  <c r="O130" i="56"/>
  <c r="N130" i="56"/>
  <c r="M130" i="56"/>
  <c r="L130" i="56"/>
  <c r="P129" i="56"/>
  <c r="O129" i="56"/>
  <c r="N129" i="56"/>
  <c r="M129" i="56"/>
  <c r="L129" i="56"/>
  <c r="P128" i="56"/>
  <c r="O128" i="56"/>
  <c r="N128" i="56"/>
  <c r="M128" i="56"/>
  <c r="L128" i="56"/>
  <c r="P127" i="56"/>
  <c r="O127" i="56"/>
  <c r="N127" i="56"/>
  <c r="M127" i="56"/>
  <c r="L127" i="56"/>
  <c r="P126" i="56"/>
  <c r="O126" i="56"/>
  <c r="N126" i="56"/>
  <c r="M126" i="56"/>
  <c r="L126" i="56"/>
  <c r="V130" i="56"/>
  <c r="U130" i="56"/>
  <c r="T130" i="56"/>
  <c r="S130" i="56"/>
  <c r="R130" i="56"/>
  <c r="V129" i="56"/>
  <c r="U129" i="56"/>
  <c r="T129" i="56"/>
  <c r="S129" i="56"/>
  <c r="R129" i="56"/>
  <c r="V128" i="56"/>
  <c r="U128" i="56"/>
  <c r="T128" i="56"/>
  <c r="S128" i="56"/>
  <c r="R128" i="56"/>
  <c r="V127" i="56"/>
  <c r="U127" i="56"/>
  <c r="T127" i="56"/>
  <c r="S127" i="56"/>
  <c r="R127" i="56"/>
  <c r="V126" i="56"/>
  <c r="U126" i="56"/>
  <c r="T126" i="56"/>
  <c r="S126" i="56"/>
  <c r="R126" i="56"/>
  <c r="AB130" i="56"/>
  <c r="AA130" i="56"/>
  <c r="Z130" i="56"/>
  <c r="Y130" i="56"/>
  <c r="X130" i="56"/>
  <c r="AB129" i="56"/>
  <c r="AA129" i="56"/>
  <c r="Z129" i="56"/>
  <c r="Y129" i="56"/>
  <c r="X129" i="56"/>
  <c r="AB128" i="56"/>
  <c r="AA128" i="56"/>
  <c r="Z128" i="56"/>
  <c r="Y128" i="56"/>
  <c r="X128" i="56"/>
  <c r="AB127" i="56"/>
  <c r="AA127" i="56"/>
  <c r="Z127" i="56"/>
  <c r="Y127" i="56"/>
  <c r="X127" i="56"/>
  <c r="AB126" i="56"/>
  <c r="AA126" i="56"/>
  <c r="Z126" i="56"/>
  <c r="Y126" i="56"/>
  <c r="X126" i="56"/>
  <c r="AH130" i="56"/>
  <c r="AG130" i="56"/>
  <c r="AF130" i="56"/>
  <c r="AE130" i="56"/>
  <c r="AD130" i="56"/>
  <c r="AH129" i="56"/>
  <c r="AG129" i="56"/>
  <c r="AF129" i="56"/>
  <c r="AE129" i="56"/>
  <c r="AD129" i="56"/>
  <c r="AH128" i="56"/>
  <c r="AG128" i="56"/>
  <c r="AF128" i="56"/>
  <c r="AE128" i="56"/>
  <c r="AD128" i="56"/>
  <c r="AH127" i="56"/>
  <c r="AG127" i="56"/>
  <c r="AF127" i="56"/>
  <c r="AE127" i="56"/>
  <c r="AD127" i="56"/>
  <c r="AH126" i="56"/>
  <c r="AG126" i="56"/>
  <c r="AF126" i="56"/>
  <c r="AE126" i="56"/>
  <c r="AD126" i="56"/>
  <c r="AN130" i="56"/>
  <c r="AM130" i="56"/>
  <c r="AL130" i="56"/>
  <c r="AK130" i="56"/>
  <c r="AJ130" i="56"/>
  <c r="AN129" i="56"/>
  <c r="AM129" i="56"/>
  <c r="AL129" i="56"/>
  <c r="AK129" i="56"/>
  <c r="AJ129" i="56"/>
  <c r="AN128" i="56"/>
  <c r="AM128" i="56"/>
  <c r="AL128" i="56"/>
  <c r="AK128" i="56"/>
  <c r="AJ128" i="56"/>
  <c r="AN127" i="56"/>
  <c r="AM127" i="56"/>
  <c r="AL127" i="56"/>
  <c r="AK127" i="56"/>
  <c r="AJ127" i="56"/>
  <c r="AN126" i="56"/>
  <c r="AM126" i="56"/>
  <c r="AL126" i="56"/>
  <c r="AK126" i="56"/>
  <c r="AJ126" i="56"/>
  <c r="AT130" i="56"/>
  <c r="AS130" i="56"/>
  <c r="AR130" i="56"/>
  <c r="AQ130" i="56"/>
  <c r="AP130" i="56"/>
  <c r="AT129" i="56"/>
  <c r="AS129" i="56"/>
  <c r="AR129" i="56"/>
  <c r="AQ129" i="56"/>
  <c r="AP129" i="56"/>
  <c r="AT128" i="56"/>
  <c r="AS128" i="56"/>
  <c r="AR128" i="56"/>
  <c r="AQ128" i="56"/>
  <c r="AP128" i="56"/>
  <c r="AT127" i="56"/>
  <c r="AS127" i="56"/>
  <c r="AR127" i="56"/>
  <c r="AQ127" i="56"/>
  <c r="AP127" i="56"/>
  <c r="AT126" i="56"/>
  <c r="AS126" i="56"/>
  <c r="AR126" i="56"/>
  <c r="AQ126" i="56"/>
  <c r="AP126" i="56"/>
  <c r="AZ130" i="56"/>
  <c r="AY130" i="56"/>
  <c r="AX130" i="56"/>
  <c r="AW130" i="56"/>
  <c r="AV130" i="56"/>
  <c r="AZ129" i="56"/>
  <c r="AY129" i="56"/>
  <c r="AX129" i="56"/>
  <c r="AW129" i="56"/>
  <c r="AV129" i="56"/>
  <c r="AZ128" i="56"/>
  <c r="AY128" i="56"/>
  <c r="AX128" i="56"/>
  <c r="AW128" i="56"/>
  <c r="AV128" i="56"/>
  <c r="AZ127" i="56"/>
  <c r="AY127" i="56"/>
  <c r="AX127" i="56"/>
  <c r="AW127" i="56"/>
  <c r="AV127" i="56"/>
  <c r="AZ126" i="56"/>
  <c r="AY126" i="56"/>
  <c r="AX126" i="56"/>
  <c r="AW126" i="56"/>
  <c r="AV126" i="56"/>
  <c r="BF130" i="56"/>
  <c r="BE130" i="56"/>
  <c r="BD130" i="56"/>
  <c r="BC130" i="56"/>
  <c r="BB130" i="56"/>
  <c r="BF129" i="56"/>
  <c r="BE129" i="56"/>
  <c r="BD129" i="56"/>
  <c r="BC129" i="56"/>
  <c r="BB129" i="56"/>
  <c r="BF128" i="56"/>
  <c r="BE128" i="56"/>
  <c r="BD128" i="56"/>
  <c r="BC128" i="56"/>
  <c r="BB128" i="56"/>
  <c r="BF127" i="56"/>
  <c r="BE127" i="56"/>
  <c r="BD127" i="56"/>
  <c r="BC127" i="56"/>
  <c r="BB127" i="56"/>
  <c r="BF126" i="56"/>
  <c r="BE126" i="56"/>
  <c r="BD126" i="56"/>
  <c r="BC126" i="56"/>
  <c r="BB126" i="56"/>
  <c r="BL130" i="56"/>
  <c r="BK130" i="56"/>
  <c r="BJ130" i="56"/>
  <c r="BI130" i="56"/>
  <c r="BH130" i="56"/>
  <c r="BL129" i="56"/>
  <c r="BK129" i="56"/>
  <c r="BJ129" i="56"/>
  <c r="BI129" i="56"/>
  <c r="BH129" i="56"/>
  <c r="BL128" i="56"/>
  <c r="BK128" i="56"/>
  <c r="BJ128" i="56"/>
  <c r="BI128" i="56"/>
  <c r="BH128" i="56"/>
  <c r="BL127" i="56"/>
  <c r="BK127" i="56"/>
  <c r="BJ127" i="56"/>
  <c r="BI127" i="56"/>
  <c r="BH127" i="56"/>
  <c r="BL126" i="56"/>
  <c r="BK126" i="56"/>
  <c r="BJ126" i="56"/>
  <c r="BI126" i="56"/>
  <c r="BH126" i="56"/>
  <c r="BR130" i="56"/>
  <c r="BQ130" i="56"/>
  <c r="BP130" i="56"/>
  <c r="BO130" i="56"/>
  <c r="BN130" i="56"/>
  <c r="BR129" i="56"/>
  <c r="BQ129" i="56"/>
  <c r="BP129" i="56"/>
  <c r="BO129" i="56"/>
  <c r="BN129" i="56"/>
  <c r="BR128" i="56"/>
  <c r="BQ128" i="56"/>
  <c r="BP128" i="56"/>
  <c r="BO128" i="56"/>
  <c r="BN128" i="56"/>
  <c r="BR127" i="56"/>
  <c r="BQ127" i="56"/>
  <c r="BP127" i="56"/>
  <c r="BO127" i="56"/>
  <c r="BN127" i="56"/>
  <c r="BR126" i="56"/>
  <c r="BQ126" i="56"/>
  <c r="BP126" i="56"/>
  <c r="BO126" i="56"/>
  <c r="BN126" i="56"/>
  <c r="BX130" i="56"/>
  <c r="BW130" i="56"/>
  <c r="BV130" i="56"/>
  <c r="BU130" i="56"/>
  <c r="BT130" i="56"/>
  <c r="BX129" i="56"/>
  <c r="BW129" i="56"/>
  <c r="BV129" i="56"/>
  <c r="BU129" i="56"/>
  <c r="BT129" i="56"/>
  <c r="BX128" i="56"/>
  <c r="BW128" i="56"/>
  <c r="BV128" i="56"/>
  <c r="BU128" i="56"/>
  <c r="BT128" i="56"/>
  <c r="BX127" i="56"/>
  <c r="BW127" i="56"/>
  <c r="BV127" i="56"/>
  <c r="BU127" i="56"/>
  <c r="BT127" i="56"/>
  <c r="BX126" i="56"/>
  <c r="BW126" i="56"/>
  <c r="BV126" i="56"/>
  <c r="BU126" i="56"/>
  <c r="BT126" i="56"/>
  <c r="CD130" i="56"/>
  <c r="CC130" i="56"/>
  <c r="CB130" i="56"/>
  <c r="CA130" i="56"/>
  <c r="BZ130" i="56"/>
  <c r="CD129" i="56"/>
  <c r="CC129" i="56"/>
  <c r="CB129" i="56"/>
  <c r="CA129" i="56"/>
  <c r="BZ129" i="56"/>
  <c r="CD128" i="56"/>
  <c r="CC128" i="56"/>
  <c r="CB128" i="56"/>
  <c r="CA128" i="56"/>
  <c r="BZ128" i="56"/>
  <c r="CD127" i="56"/>
  <c r="CC127" i="56"/>
  <c r="CB127" i="56"/>
  <c r="CA127" i="56"/>
  <c r="BZ127" i="56"/>
  <c r="CD126" i="56"/>
  <c r="CC126" i="56"/>
  <c r="CB126" i="56"/>
  <c r="CA126" i="56"/>
  <c r="BZ126" i="56"/>
  <c r="CJ130" i="56"/>
  <c r="CI130" i="56"/>
  <c r="CH130" i="56"/>
  <c r="CG130" i="56"/>
  <c r="CF130" i="56"/>
  <c r="CJ129" i="56"/>
  <c r="CI129" i="56"/>
  <c r="CH129" i="56"/>
  <c r="CG129" i="56"/>
  <c r="CF129" i="56"/>
  <c r="CJ128" i="56"/>
  <c r="CI128" i="56"/>
  <c r="CH128" i="56"/>
  <c r="CG128" i="56"/>
  <c r="CF128" i="56"/>
  <c r="CJ127" i="56"/>
  <c r="CI127" i="56"/>
  <c r="CH127" i="56"/>
  <c r="CG127" i="56"/>
  <c r="CF127" i="56"/>
  <c r="CJ126" i="56"/>
  <c r="CI126" i="56"/>
  <c r="CH126" i="56"/>
  <c r="CG126" i="56"/>
  <c r="CF126" i="56"/>
  <c r="CP130" i="56"/>
  <c r="CO130" i="56"/>
  <c r="CN130" i="56"/>
  <c r="CM130" i="56"/>
  <c r="CL130" i="56"/>
  <c r="CP129" i="56"/>
  <c r="CO129" i="56"/>
  <c r="CN129" i="56"/>
  <c r="CM129" i="56"/>
  <c r="CL129" i="56"/>
  <c r="CP128" i="56"/>
  <c r="CO128" i="56"/>
  <c r="CN128" i="56"/>
  <c r="CM128" i="56"/>
  <c r="CL128" i="56"/>
  <c r="CP127" i="56"/>
  <c r="CO127" i="56"/>
  <c r="CN127" i="56"/>
  <c r="CM127" i="56"/>
  <c r="CL127" i="56"/>
  <c r="CP126" i="56"/>
  <c r="CO126" i="56"/>
  <c r="CN126" i="56"/>
  <c r="CM126" i="56"/>
  <c r="CL126" i="56"/>
  <c r="CV130" i="56"/>
  <c r="CU130" i="56"/>
  <c r="CT130" i="56"/>
  <c r="CS130" i="56"/>
  <c r="CR130" i="56"/>
  <c r="CV129" i="56"/>
  <c r="CU129" i="56"/>
  <c r="CT129" i="56"/>
  <c r="CS129" i="56"/>
  <c r="CR129" i="56"/>
  <c r="CV128" i="56"/>
  <c r="CU128" i="56"/>
  <c r="CT128" i="56"/>
  <c r="CS128" i="56"/>
  <c r="CR128" i="56"/>
  <c r="CV127" i="56"/>
  <c r="CU127" i="56"/>
  <c r="CT127" i="56"/>
  <c r="CS127" i="56"/>
  <c r="CR127" i="56"/>
  <c r="CV126" i="56"/>
  <c r="CU126" i="56"/>
  <c r="CT126" i="56"/>
  <c r="CS126" i="56"/>
  <c r="CR126" i="56"/>
  <c r="DB130" i="56"/>
  <c r="DA130" i="56"/>
  <c r="CZ130" i="56"/>
  <c r="CY130" i="56"/>
  <c r="CX130" i="56"/>
  <c r="DB129" i="56"/>
  <c r="DA129" i="56"/>
  <c r="CZ129" i="56"/>
  <c r="CY129" i="56"/>
  <c r="CX129" i="56"/>
  <c r="DB128" i="56"/>
  <c r="DA128" i="56"/>
  <c r="CZ128" i="56"/>
  <c r="CY128" i="56"/>
  <c r="CX128" i="56"/>
  <c r="DB127" i="56"/>
  <c r="DA127" i="56"/>
  <c r="CZ127" i="56"/>
  <c r="CY127" i="56"/>
  <c r="CX127" i="56"/>
  <c r="DB126" i="56"/>
  <c r="DA126" i="56"/>
  <c r="CZ126" i="56"/>
  <c r="CY126" i="56"/>
  <c r="CX126" i="56"/>
  <c r="DH130" i="56"/>
  <c r="DG130" i="56"/>
  <c r="DF130" i="56"/>
  <c r="DE130" i="56"/>
  <c r="DD130" i="56"/>
  <c r="DH129" i="56"/>
  <c r="DG129" i="56"/>
  <c r="DF129" i="56"/>
  <c r="DE129" i="56"/>
  <c r="DD129" i="56"/>
  <c r="DH128" i="56"/>
  <c r="DG128" i="56"/>
  <c r="DF128" i="56"/>
  <c r="DE128" i="56"/>
  <c r="DD128" i="56"/>
  <c r="DH127" i="56"/>
  <c r="DG127" i="56"/>
  <c r="DF127" i="56"/>
  <c r="DE127" i="56"/>
  <c r="DD127" i="56"/>
  <c r="DH126" i="56"/>
  <c r="DG126" i="56"/>
  <c r="DF126" i="56"/>
  <c r="DE126" i="56"/>
  <c r="DD126" i="56"/>
  <c r="DN130" i="56"/>
  <c r="DM130" i="56"/>
  <c r="DL130" i="56"/>
  <c r="DK130" i="56"/>
  <c r="DJ130" i="56"/>
  <c r="DN129" i="56"/>
  <c r="DM129" i="56"/>
  <c r="DL129" i="56"/>
  <c r="DK129" i="56"/>
  <c r="DJ129" i="56"/>
  <c r="DN128" i="56"/>
  <c r="DM128" i="56"/>
  <c r="DL128" i="56"/>
  <c r="DK128" i="56"/>
  <c r="DJ128" i="56"/>
  <c r="DN127" i="56"/>
  <c r="DM127" i="56"/>
  <c r="DL127" i="56"/>
  <c r="DK127" i="56"/>
  <c r="DJ127" i="56"/>
  <c r="DN126" i="56"/>
  <c r="DM126" i="56"/>
  <c r="DL126" i="56"/>
  <c r="DK126" i="56"/>
  <c r="DJ126" i="56"/>
  <c r="DZ130" i="56"/>
  <c r="DY130" i="56"/>
  <c r="DX130" i="56"/>
  <c r="DW130" i="56"/>
  <c r="DV130" i="56"/>
  <c r="DZ129" i="56"/>
  <c r="DY129" i="56"/>
  <c r="DX129" i="56"/>
  <c r="DW129" i="56"/>
  <c r="DV129" i="56"/>
  <c r="DZ128" i="56"/>
  <c r="DY128" i="56"/>
  <c r="DX128" i="56"/>
  <c r="DW128" i="56"/>
  <c r="DV128" i="56"/>
  <c r="DZ127" i="56"/>
  <c r="DY127" i="56"/>
  <c r="DX127" i="56"/>
  <c r="DW127" i="56"/>
  <c r="DV127" i="56"/>
  <c r="DZ126" i="56"/>
  <c r="DY126" i="56"/>
  <c r="DX126" i="56"/>
  <c r="DW126" i="56"/>
  <c r="DV126" i="56"/>
  <c r="EE130" i="56"/>
  <c r="ED130" i="56"/>
  <c r="EC130" i="56"/>
  <c r="EB130" i="56"/>
  <c r="EE129" i="56"/>
  <c r="ED129" i="56"/>
  <c r="EC129" i="56"/>
  <c r="EB129" i="56"/>
  <c r="EE128" i="56"/>
  <c r="ED128" i="56"/>
  <c r="EC128" i="56"/>
  <c r="EB128" i="56"/>
  <c r="EE127" i="56"/>
  <c r="ED127" i="56"/>
  <c r="EC127" i="56"/>
  <c r="EB127" i="56"/>
  <c r="EE126" i="56"/>
  <c r="EE131" i="56" s="1"/>
  <c r="ED126" i="56"/>
  <c r="ED131" i="56" s="1"/>
  <c r="EC126" i="56"/>
  <c r="EC131" i="56" s="1"/>
  <c r="EB126" i="56"/>
  <c r="EB131" i="56" s="1"/>
  <c r="EF130" i="56"/>
  <c r="EF129" i="56"/>
  <c r="EF128" i="56"/>
  <c r="EF127" i="56"/>
  <c r="EF126" i="56"/>
  <c r="J130" i="57"/>
  <c r="I130" i="57"/>
  <c r="J129" i="57"/>
  <c r="I129" i="57"/>
  <c r="J128" i="57"/>
  <c r="I128" i="57"/>
  <c r="J127" i="57"/>
  <c r="I127" i="57"/>
  <c r="J126" i="57"/>
  <c r="I126" i="57"/>
  <c r="N130" i="57"/>
  <c r="M130" i="57"/>
  <c r="L130" i="57"/>
  <c r="N129" i="57"/>
  <c r="M129" i="57"/>
  <c r="L129" i="57"/>
  <c r="N128" i="57"/>
  <c r="M128" i="57"/>
  <c r="L128" i="57"/>
  <c r="N127" i="57"/>
  <c r="M127" i="57"/>
  <c r="L127" i="57"/>
  <c r="N126" i="57"/>
  <c r="M126" i="57"/>
  <c r="L126" i="57"/>
  <c r="E130" i="58"/>
  <c r="E129" i="58"/>
  <c r="E128" i="58"/>
  <c r="E127" i="58"/>
  <c r="E126" i="58"/>
  <c r="J129" i="61"/>
  <c r="H130" i="61"/>
  <c r="J130" i="61" s="1"/>
  <c r="G130" i="61"/>
  <c r="F130" i="61"/>
  <c r="E130" i="61"/>
  <c r="D130" i="61"/>
  <c r="H129" i="61"/>
  <c r="G129" i="61"/>
  <c r="F129" i="61"/>
  <c r="E129" i="61"/>
  <c r="D129" i="61"/>
  <c r="H128" i="61"/>
  <c r="G128" i="61"/>
  <c r="J128" i="61" s="1"/>
  <c r="F128" i="61"/>
  <c r="E128" i="61"/>
  <c r="D128" i="61"/>
  <c r="H127" i="61"/>
  <c r="G127" i="61"/>
  <c r="G131" i="61" s="1"/>
  <c r="F127" i="61"/>
  <c r="E127" i="61"/>
  <c r="D127" i="61"/>
  <c r="H126" i="61"/>
  <c r="J126" i="61" s="1"/>
  <c r="G126" i="61"/>
  <c r="F126" i="61"/>
  <c r="E126" i="61"/>
  <c r="D126" i="61"/>
  <c r="I130" i="59"/>
  <c r="H130" i="59"/>
  <c r="G130" i="59"/>
  <c r="F130" i="59"/>
  <c r="I129" i="59"/>
  <c r="H129" i="59"/>
  <c r="G129" i="59"/>
  <c r="F129" i="59"/>
  <c r="I128" i="59"/>
  <c r="H128" i="59"/>
  <c r="G128" i="59"/>
  <c r="F128" i="59"/>
  <c r="I127" i="59"/>
  <c r="H127" i="59"/>
  <c r="G127" i="59"/>
  <c r="F127" i="59"/>
  <c r="I126" i="59"/>
  <c r="I131" i="59" s="1"/>
  <c r="H126" i="59"/>
  <c r="G126" i="59"/>
  <c r="G131" i="59" s="1"/>
  <c r="F126" i="59"/>
  <c r="E130" i="59"/>
  <c r="E129" i="59"/>
  <c r="E128" i="59"/>
  <c r="E127" i="59"/>
  <c r="E126" i="59"/>
  <c r="J130" i="60"/>
  <c r="J129" i="60"/>
  <c r="J128" i="60"/>
  <c r="J127" i="60"/>
  <c r="J126" i="60"/>
  <c r="AF126" i="60"/>
  <c r="AL130" i="60"/>
  <c r="AK130" i="60"/>
  <c r="AJ130" i="60"/>
  <c r="AI130" i="60"/>
  <c r="AH130" i="60"/>
  <c r="AL129" i="60"/>
  <c r="AK129" i="60"/>
  <c r="AJ129" i="60"/>
  <c r="AI129" i="60"/>
  <c r="AH129" i="60"/>
  <c r="AL128" i="60"/>
  <c r="AK128" i="60"/>
  <c r="AJ128" i="60"/>
  <c r="AI128" i="60"/>
  <c r="AH128" i="60"/>
  <c r="AL127" i="60"/>
  <c r="AK127" i="60"/>
  <c r="AJ127" i="60"/>
  <c r="AI127" i="60"/>
  <c r="AH127" i="60"/>
  <c r="AL126" i="60"/>
  <c r="AK126" i="60"/>
  <c r="AJ126" i="60"/>
  <c r="AI126" i="60"/>
  <c r="AH126" i="60"/>
  <c r="AD130" i="60"/>
  <c r="AC130" i="60"/>
  <c r="AF130" i="60" s="1"/>
  <c r="AB130" i="60"/>
  <c r="AG130" i="60" s="1"/>
  <c r="AA130" i="60"/>
  <c r="Z130" i="60"/>
  <c r="AD129" i="60"/>
  <c r="AC129" i="60"/>
  <c r="AF129" i="60" s="1"/>
  <c r="AB129" i="60"/>
  <c r="AA129" i="60"/>
  <c r="Z129" i="60"/>
  <c r="AD128" i="60"/>
  <c r="AC128" i="60"/>
  <c r="AB128" i="60"/>
  <c r="AA128" i="60"/>
  <c r="Z128" i="60"/>
  <c r="AD127" i="60"/>
  <c r="AC127" i="60"/>
  <c r="AB127" i="60"/>
  <c r="AA127" i="60"/>
  <c r="Z127" i="60"/>
  <c r="AD126" i="60"/>
  <c r="AC126" i="60"/>
  <c r="AB126" i="60"/>
  <c r="AA126" i="60"/>
  <c r="Z126" i="60"/>
  <c r="V130" i="60"/>
  <c r="U130" i="60"/>
  <c r="T130" i="60"/>
  <c r="S130" i="60"/>
  <c r="R130" i="60"/>
  <c r="V129" i="60"/>
  <c r="U129" i="60"/>
  <c r="T129" i="60"/>
  <c r="S129" i="60"/>
  <c r="R129" i="60"/>
  <c r="V128" i="60"/>
  <c r="U128" i="60"/>
  <c r="T128" i="60"/>
  <c r="S128" i="60"/>
  <c r="R128" i="60"/>
  <c r="V127" i="60"/>
  <c r="U127" i="60"/>
  <c r="T127" i="60"/>
  <c r="S127" i="60"/>
  <c r="R127" i="60"/>
  <c r="V126" i="60"/>
  <c r="U126" i="60"/>
  <c r="T126" i="60"/>
  <c r="S126" i="60"/>
  <c r="R126" i="60"/>
  <c r="N130" i="60"/>
  <c r="M130" i="60"/>
  <c r="L130" i="60"/>
  <c r="N129" i="60"/>
  <c r="M129" i="60"/>
  <c r="L129" i="60"/>
  <c r="N128" i="60"/>
  <c r="M128" i="60"/>
  <c r="L128" i="60"/>
  <c r="N127" i="60"/>
  <c r="M127" i="60"/>
  <c r="L127" i="60"/>
  <c r="N126" i="60"/>
  <c r="M126" i="60"/>
  <c r="L126" i="60"/>
  <c r="K130" i="60"/>
  <c r="K129" i="60"/>
  <c r="K128" i="60"/>
  <c r="K127" i="60"/>
  <c r="K126" i="60"/>
  <c r="G130" i="117"/>
  <c r="F130" i="117"/>
  <c r="E130" i="117"/>
  <c r="G129" i="117"/>
  <c r="F129" i="117"/>
  <c r="E129" i="117"/>
  <c r="G128" i="117"/>
  <c r="F128" i="117"/>
  <c r="E128" i="117"/>
  <c r="G127" i="117"/>
  <c r="F127" i="117"/>
  <c r="E127" i="117"/>
  <c r="G126" i="117"/>
  <c r="F126" i="117"/>
  <c r="E126" i="117"/>
  <c r="D130" i="117"/>
  <c r="D129" i="117"/>
  <c r="D128" i="117"/>
  <c r="D127" i="117"/>
  <c r="D126" i="117"/>
  <c r="D130" i="101"/>
  <c r="D129" i="101"/>
  <c r="D128" i="101"/>
  <c r="D127" i="101"/>
  <c r="D126" i="101"/>
  <c r="G130" i="101"/>
  <c r="G129" i="101"/>
  <c r="G128" i="101"/>
  <c r="G127" i="101"/>
  <c r="G126" i="101"/>
  <c r="F130" i="101"/>
  <c r="F129" i="101"/>
  <c r="F128" i="101"/>
  <c r="F127" i="101"/>
  <c r="F126" i="101"/>
  <c r="E130" i="101"/>
  <c r="E129" i="101"/>
  <c r="E128" i="101"/>
  <c r="E127" i="101"/>
  <c r="E126" i="101"/>
  <c r="J131" i="57" l="1"/>
  <c r="EG130" i="56"/>
  <c r="DC130" i="56"/>
  <c r="CW126" i="56"/>
  <c r="CW130" i="56"/>
  <c r="CQ129" i="56"/>
  <c r="AC126" i="56"/>
  <c r="AC129" i="56"/>
  <c r="F131" i="59"/>
  <c r="AG128" i="60"/>
  <c r="H131" i="59"/>
  <c r="M131" i="60"/>
  <c r="N131" i="60"/>
  <c r="AA131" i="60"/>
  <c r="Z131" i="60"/>
  <c r="AD131" i="60"/>
  <c r="AF128" i="60"/>
  <c r="AG129" i="60"/>
  <c r="AK131" i="60"/>
  <c r="E131" i="59"/>
  <c r="E131" i="58"/>
  <c r="D131" i="58" s="1"/>
  <c r="EG127" i="56"/>
  <c r="D131" i="101"/>
  <c r="AB131" i="60"/>
  <c r="AI131" i="60"/>
  <c r="AL131" i="60"/>
  <c r="J131" i="60"/>
  <c r="D131" i="61"/>
  <c r="BG130" i="56"/>
  <c r="AM131" i="56"/>
  <c r="AB131" i="56"/>
  <c r="E131" i="101"/>
  <c r="F131" i="101"/>
  <c r="E131" i="117"/>
  <c r="F131" i="117"/>
  <c r="K131" i="60"/>
  <c r="L131" i="60"/>
  <c r="S131" i="60"/>
  <c r="AC131" i="60"/>
  <c r="AF131" i="60" s="1"/>
  <c r="AF127" i="60"/>
  <c r="M131" i="57"/>
  <c r="N131" i="57"/>
  <c r="I131" i="57"/>
  <c r="EG129" i="56"/>
  <c r="CU131" i="56"/>
  <c r="AI129" i="56"/>
  <c r="M131" i="56"/>
  <c r="AG127" i="60"/>
  <c r="G131" i="101"/>
  <c r="G131" i="117"/>
  <c r="T131" i="60"/>
  <c r="AH131" i="60"/>
  <c r="E131" i="61"/>
  <c r="H131" i="61"/>
  <c r="J131" i="61" s="1"/>
  <c r="CV131" i="56"/>
  <c r="BQ131" i="56"/>
  <c r="BD131" i="56"/>
  <c r="X131" i="56"/>
  <c r="Q129" i="56"/>
  <c r="D131" i="117"/>
  <c r="R131" i="60"/>
  <c r="V131" i="60"/>
  <c r="U131" i="60"/>
  <c r="AJ131" i="60"/>
  <c r="AG126" i="60"/>
  <c r="F131" i="61"/>
  <c r="J127" i="61"/>
  <c r="L131" i="57"/>
  <c r="EG128" i="56"/>
  <c r="EA127" i="56"/>
  <c r="CT131" i="56"/>
  <c r="CS131" i="56"/>
  <c r="CW128" i="56"/>
  <c r="CL131" i="56"/>
  <c r="CP131" i="56"/>
  <c r="CE128" i="56"/>
  <c r="CE129" i="56"/>
  <c r="Y131" i="56"/>
  <c r="AC128" i="56"/>
  <c r="EF131" i="56"/>
  <c r="EG126" i="56"/>
  <c r="EA130" i="56"/>
  <c r="DV131" i="56"/>
  <c r="DZ131" i="56"/>
  <c r="DY131" i="56"/>
  <c r="EA129" i="56"/>
  <c r="DW131" i="56"/>
  <c r="DX131" i="56"/>
  <c r="EA128" i="56"/>
  <c r="BM128" i="56"/>
  <c r="BM126" i="56"/>
  <c r="BM129" i="56"/>
  <c r="BJ131" i="56"/>
  <c r="BM130" i="56"/>
  <c r="BK131" i="56"/>
  <c r="BH131" i="56"/>
  <c r="BL131" i="56"/>
  <c r="BS128" i="56"/>
  <c r="BO131" i="56"/>
  <c r="BS127" i="56"/>
  <c r="BR131" i="56"/>
  <c r="BS130" i="56"/>
  <c r="BS129" i="56"/>
  <c r="BP131" i="56"/>
  <c r="BT131" i="56"/>
  <c r="BX131" i="56"/>
  <c r="BY126" i="56"/>
  <c r="BU131" i="56"/>
  <c r="BY130" i="56"/>
  <c r="BY129" i="56"/>
  <c r="BV131" i="56"/>
  <c r="BY128" i="56"/>
  <c r="BW131" i="56"/>
  <c r="CB131" i="56"/>
  <c r="CA131" i="56"/>
  <c r="BZ131" i="56"/>
  <c r="CD131" i="56"/>
  <c r="CE130" i="56"/>
  <c r="CC131" i="56"/>
  <c r="CI131" i="56"/>
  <c r="CK130" i="56"/>
  <c r="CK128" i="56"/>
  <c r="CK126" i="56"/>
  <c r="CK129" i="56"/>
  <c r="CG131" i="56"/>
  <c r="CF131" i="56"/>
  <c r="CJ131" i="56"/>
  <c r="CH131" i="56"/>
  <c r="CO131" i="56"/>
  <c r="CQ130" i="56"/>
  <c r="CQ128" i="56"/>
  <c r="CM131" i="56"/>
  <c r="CN131" i="56"/>
  <c r="CW129" i="56"/>
  <c r="CR131" i="56"/>
  <c r="DI128" i="56"/>
  <c r="DF131" i="56"/>
  <c r="DE131" i="56"/>
  <c r="DA131" i="56"/>
  <c r="DC129" i="56"/>
  <c r="DC128" i="56"/>
  <c r="CZ131" i="56"/>
  <c r="CY131" i="56"/>
  <c r="CX131" i="56"/>
  <c r="DB131" i="56"/>
  <c r="DH131" i="56"/>
  <c r="DI126" i="56"/>
  <c r="DI129" i="56"/>
  <c r="DI130" i="56"/>
  <c r="DD131" i="56"/>
  <c r="DG131" i="56"/>
  <c r="DO126" i="56"/>
  <c r="DO130" i="56"/>
  <c r="DO128" i="56"/>
  <c r="DO129" i="56"/>
  <c r="DL131" i="56"/>
  <c r="DK131" i="56"/>
  <c r="DM131" i="56"/>
  <c r="DN131" i="56"/>
  <c r="BB131" i="56"/>
  <c r="BG128" i="56"/>
  <c r="BG129" i="56"/>
  <c r="BG126" i="56"/>
  <c r="BF131" i="56"/>
  <c r="BE131" i="56"/>
  <c r="BA130" i="56"/>
  <c r="AV131" i="56"/>
  <c r="AZ131" i="56"/>
  <c r="BA128" i="56"/>
  <c r="BA126" i="56"/>
  <c r="AY131" i="56"/>
  <c r="AX131" i="56"/>
  <c r="BA129" i="56"/>
  <c r="AU130" i="56"/>
  <c r="AU129" i="56"/>
  <c r="AR131" i="56"/>
  <c r="AQ131" i="56"/>
  <c r="AU128" i="56"/>
  <c r="AP131" i="56"/>
  <c r="AT131" i="56"/>
  <c r="AS131" i="56"/>
  <c r="AK131" i="56"/>
  <c r="AJ131" i="56"/>
  <c r="AN131" i="56"/>
  <c r="AL131" i="56"/>
  <c r="AO128" i="56"/>
  <c r="AO126" i="56"/>
  <c r="AO129" i="56"/>
  <c r="AO130" i="56"/>
  <c r="AF131" i="56"/>
  <c r="AE131" i="56"/>
  <c r="AG131" i="56"/>
  <c r="AI128" i="56"/>
  <c r="AI126" i="56"/>
  <c r="AD131" i="56"/>
  <c r="AH131" i="56"/>
  <c r="AI130" i="56"/>
  <c r="AA131" i="56"/>
  <c r="Z131" i="56"/>
  <c r="AC130" i="56"/>
  <c r="W130" i="56"/>
  <c r="T131" i="56"/>
  <c r="S131" i="56"/>
  <c r="R131" i="56"/>
  <c r="V131" i="56"/>
  <c r="W128" i="56"/>
  <c r="W126" i="56"/>
  <c r="W129" i="56"/>
  <c r="U131" i="56"/>
  <c r="P131" i="56"/>
  <c r="Q128" i="56"/>
  <c r="L131" i="56"/>
  <c r="N131" i="56"/>
  <c r="Q130" i="56"/>
  <c r="O131" i="56"/>
  <c r="Q126" i="56"/>
  <c r="Q127" i="56"/>
  <c r="W127" i="56"/>
  <c r="AC127" i="56"/>
  <c r="AI127" i="56"/>
  <c r="AO127" i="56"/>
  <c r="AU126" i="56"/>
  <c r="AU127" i="56"/>
  <c r="BA127" i="56"/>
  <c r="AW131" i="56"/>
  <c r="BG127" i="56"/>
  <c r="BC131" i="56"/>
  <c r="BM127" i="56"/>
  <c r="BI131" i="56"/>
  <c r="BN131" i="56"/>
  <c r="BS126" i="56"/>
  <c r="BY127" i="56"/>
  <c r="CE126" i="56"/>
  <c r="CE127" i="56"/>
  <c r="CK127" i="56"/>
  <c r="CQ126" i="56"/>
  <c r="CQ127" i="56"/>
  <c r="CW127" i="56"/>
  <c r="DC126" i="56"/>
  <c r="DC127" i="56"/>
  <c r="DI127" i="56"/>
  <c r="DO127" i="56"/>
  <c r="DJ131" i="56"/>
  <c r="EA126" i="56"/>
  <c r="CW131" i="56" l="1"/>
  <c r="CQ131" i="56"/>
  <c r="AI131" i="56"/>
  <c r="AC131" i="56"/>
  <c r="AG131" i="60"/>
  <c r="AO131" i="56"/>
  <c r="BG131" i="56"/>
  <c r="EG131" i="56"/>
  <c r="EA131" i="56"/>
  <c r="BM131" i="56"/>
  <c r="BS131" i="56"/>
  <c r="BY131" i="56"/>
  <c r="CE131" i="56"/>
  <c r="CK131" i="56"/>
  <c r="DI131" i="56"/>
  <c r="DC131" i="56"/>
  <c r="DO131" i="56"/>
  <c r="BA131" i="56"/>
  <c r="J127" i="56"/>
  <c r="K129" i="56"/>
  <c r="K127" i="56"/>
  <c r="AU131" i="56"/>
  <c r="K130" i="56"/>
  <c r="J129" i="56"/>
  <c r="K128" i="56"/>
  <c r="J126" i="56"/>
  <c r="J130" i="56"/>
  <c r="J128" i="56"/>
  <c r="W131" i="56"/>
  <c r="Q131" i="56"/>
  <c r="K126" i="56"/>
  <c r="J131" i="56" l="1"/>
  <c r="K131" i="56"/>
  <c r="AM131" i="60" l="1"/>
  <c r="AE131" i="60"/>
  <c r="P130" i="60"/>
  <c r="Q130" i="60" s="1"/>
  <c r="O130" i="60"/>
  <c r="P129" i="60"/>
  <c r="Q129" i="60" s="1"/>
  <c r="O129" i="60"/>
  <c r="P128" i="60"/>
  <c r="Q128" i="60" s="1"/>
  <c r="O128" i="60"/>
  <c r="P127" i="60"/>
  <c r="Q127" i="60" s="1"/>
  <c r="O127" i="60"/>
  <c r="P126" i="60"/>
  <c r="Q126" i="60" s="1"/>
  <c r="O126" i="60"/>
  <c r="X130" i="60"/>
  <c r="Y130" i="60" s="1"/>
  <c r="W130" i="60"/>
  <c r="X129" i="60"/>
  <c r="Y129" i="60" s="1"/>
  <c r="W129" i="60"/>
  <c r="X128" i="60"/>
  <c r="Y128" i="60" s="1"/>
  <c r="W128" i="60"/>
  <c r="X127" i="60"/>
  <c r="Y127" i="60" s="1"/>
  <c r="W127" i="60"/>
  <c r="X126" i="60"/>
  <c r="Y126" i="60" s="1"/>
  <c r="W126" i="60"/>
  <c r="AE130" i="60"/>
  <c r="AE129" i="60"/>
  <c r="AE128" i="60"/>
  <c r="AE127" i="60"/>
  <c r="AE126" i="60"/>
  <c r="AN131" i="60"/>
  <c r="AO131" i="60" s="1"/>
  <c r="AN130" i="60"/>
  <c r="AO130" i="60" s="1"/>
  <c r="AM130" i="60"/>
  <c r="AN129" i="60"/>
  <c r="AO129" i="60" s="1"/>
  <c r="AM129" i="60"/>
  <c r="AN128" i="60"/>
  <c r="AO128" i="60" s="1"/>
  <c r="AM128" i="60"/>
  <c r="AN127" i="60"/>
  <c r="AO127" i="60" s="1"/>
  <c r="AM127" i="60"/>
  <c r="AN126" i="60"/>
  <c r="AO126" i="60" s="1"/>
  <c r="AM126" i="60"/>
  <c r="D130" i="58" l="1"/>
  <c r="D129" i="58"/>
  <c r="D128" i="58"/>
  <c r="D127" i="58"/>
  <c r="D126" i="58"/>
  <c r="F131" i="57"/>
  <c r="K131" i="57"/>
  <c r="K130" i="57"/>
  <c r="K129" i="57"/>
  <c r="K128" i="57"/>
  <c r="K127" i="57"/>
  <c r="G131" i="57"/>
  <c r="E131" i="57"/>
  <c r="H130" i="57"/>
  <c r="G130" i="57"/>
  <c r="F130" i="57"/>
  <c r="E130" i="57"/>
  <c r="H129" i="57"/>
  <c r="G129" i="57"/>
  <c r="F129" i="57"/>
  <c r="E129" i="57"/>
  <c r="H128" i="57"/>
  <c r="G128" i="57"/>
  <c r="F128" i="57"/>
  <c r="E128" i="57"/>
  <c r="H127" i="57"/>
  <c r="G127" i="57"/>
  <c r="F127" i="57"/>
  <c r="E127" i="57"/>
  <c r="K126" i="57"/>
  <c r="H126" i="57"/>
  <c r="G126" i="57"/>
  <c r="F126" i="57"/>
  <c r="E126" i="57"/>
  <c r="E4" i="120"/>
  <c r="D126" i="57" l="1"/>
  <c r="H131" i="57"/>
  <c r="D131" i="57" s="1"/>
  <c r="D130" i="57"/>
  <c r="D129" i="57"/>
  <c r="D128" i="57"/>
  <c r="D127" i="57"/>
  <c r="J131" i="101"/>
  <c r="I131" i="101"/>
  <c r="H131" i="101"/>
  <c r="J130" i="101"/>
  <c r="I130" i="101"/>
  <c r="H130" i="101"/>
  <c r="J129" i="101"/>
  <c r="I129" i="101"/>
  <c r="H129" i="101"/>
  <c r="J128" i="101"/>
  <c r="I128" i="101"/>
  <c r="H128" i="101"/>
  <c r="J127" i="101"/>
  <c r="I127" i="101"/>
  <c r="H127" i="101"/>
  <c r="J126" i="101"/>
  <c r="I126" i="101"/>
  <c r="H126" i="101"/>
  <c r="H124" i="101"/>
  <c r="H123" i="101"/>
  <c r="H122" i="101"/>
  <c r="H121" i="101"/>
  <c r="H120" i="101"/>
  <c r="H119" i="101"/>
  <c r="H118" i="101"/>
  <c r="H117" i="101"/>
  <c r="H116" i="101"/>
  <c r="H115" i="101"/>
  <c r="H114" i="101"/>
  <c r="H113" i="101"/>
  <c r="H112" i="101"/>
  <c r="H111" i="101"/>
  <c r="H110" i="101"/>
  <c r="H109" i="101"/>
  <c r="H108" i="101"/>
  <c r="H107" i="101"/>
  <c r="H106" i="101"/>
  <c r="H105" i="101"/>
  <c r="H104" i="101"/>
  <c r="H103" i="101"/>
  <c r="H102" i="101"/>
  <c r="H101" i="101"/>
  <c r="H100" i="101"/>
  <c r="H99" i="101"/>
  <c r="H98" i="101"/>
  <c r="H97" i="101"/>
  <c r="H96" i="101"/>
  <c r="H95" i="101"/>
  <c r="H94" i="101"/>
  <c r="H93" i="101"/>
  <c r="H92" i="101"/>
  <c r="H91" i="101"/>
  <c r="H90" i="101"/>
  <c r="H89" i="101"/>
  <c r="H88" i="101"/>
  <c r="H87" i="101"/>
  <c r="H86" i="101"/>
  <c r="H85" i="101"/>
  <c r="H84" i="101"/>
  <c r="H83" i="101"/>
  <c r="H82" i="101"/>
  <c r="H81" i="101"/>
  <c r="H80" i="101"/>
  <c r="H79" i="101"/>
  <c r="H78" i="101"/>
  <c r="H77" i="101"/>
  <c r="H76" i="101"/>
  <c r="H75" i="101"/>
  <c r="H74" i="101"/>
  <c r="H73" i="101"/>
  <c r="H72" i="101"/>
  <c r="H71" i="101"/>
  <c r="H70" i="101"/>
  <c r="H69" i="101"/>
  <c r="H68" i="101"/>
  <c r="H67" i="101"/>
  <c r="H66" i="101"/>
  <c r="H65" i="101"/>
  <c r="H64" i="101"/>
  <c r="H63" i="101"/>
  <c r="H62" i="101"/>
  <c r="H61" i="101"/>
  <c r="H60" i="101"/>
  <c r="H59" i="101"/>
  <c r="H58" i="101"/>
  <c r="H57" i="101"/>
  <c r="H56" i="101"/>
  <c r="H55" i="101"/>
  <c r="H54" i="101"/>
  <c r="H53" i="101"/>
  <c r="H52" i="101"/>
  <c r="H51" i="101"/>
  <c r="H50" i="101"/>
  <c r="H49" i="101"/>
  <c r="H48" i="101"/>
  <c r="H47" i="101"/>
  <c r="H46" i="101"/>
  <c r="H45" i="101"/>
  <c r="H44" i="101"/>
  <c r="H43" i="101"/>
  <c r="H42" i="101"/>
  <c r="H41" i="101"/>
  <c r="H40" i="101"/>
  <c r="H39" i="101"/>
  <c r="H38" i="101"/>
  <c r="H37" i="101"/>
  <c r="H36" i="101"/>
  <c r="H35" i="10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9" i="101"/>
  <c r="H8" i="101"/>
  <c r="H7" i="101"/>
  <c r="H6" i="101"/>
  <c r="H5" i="101"/>
  <c r="J124" i="101"/>
  <c r="I124" i="101"/>
  <c r="J123" i="101"/>
  <c r="I123" i="101"/>
  <c r="J122" i="101"/>
  <c r="I122" i="101"/>
  <c r="J121" i="101"/>
  <c r="I121" i="101"/>
  <c r="J120" i="101"/>
  <c r="I120" i="101"/>
  <c r="J119" i="101"/>
  <c r="I119" i="101"/>
  <c r="J118" i="101"/>
  <c r="I118" i="101"/>
  <c r="J117" i="101"/>
  <c r="I117" i="101"/>
  <c r="J116" i="101"/>
  <c r="I116" i="101"/>
  <c r="J115" i="101"/>
  <c r="I115" i="101"/>
  <c r="J114" i="101"/>
  <c r="I114" i="101"/>
  <c r="J113" i="101"/>
  <c r="I113" i="101"/>
  <c r="J112" i="101"/>
  <c r="I112" i="101"/>
  <c r="J111" i="101"/>
  <c r="I111" i="101"/>
  <c r="J110" i="101"/>
  <c r="I110" i="101"/>
  <c r="J109" i="101"/>
  <c r="I109" i="101"/>
  <c r="J108" i="101"/>
  <c r="I108" i="101"/>
  <c r="J107" i="101"/>
  <c r="I107" i="101"/>
  <c r="J106" i="101"/>
  <c r="I106" i="101"/>
  <c r="J105" i="101"/>
  <c r="I105" i="101"/>
  <c r="J104" i="101"/>
  <c r="I104" i="101"/>
  <c r="J103" i="101"/>
  <c r="I103" i="101"/>
  <c r="J102" i="101"/>
  <c r="I102" i="101"/>
  <c r="J101" i="101"/>
  <c r="I101" i="101"/>
  <c r="J100" i="101"/>
  <c r="I100" i="101"/>
  <c r="J99" i="101"/>
  <c r="I99" i="101"/>
  <c r="J98" i="101"/>
  <c r="I98" i="101"/>
  <c r="J97" i="101"/>
  <c r="I97" i="101"/>
  <c r="J96" i="101"/>
  <c r="I96" i="101"/>
  <c r="J95" i="101"/>
  <c r="I95" i="101"/>
  <c r="J94" i="101"/>
  <c r="I94" i="101"/>
  <c r="J93" i="101"/>
  <c r="I93" i="101"/>
  <c r="J92" i="101"/>
  <c r="I92" i="101"/>
  <c r="J91" i="101"/>
  <c r="I91" i="101"/>
  <c r="J90" i="101"/>
  <c r="I90" i="101"/>
  <c r="J89" i="101"/>
  <c r="I89" i="101"/>
  <c r="J88" i="101"/>
  <c r="I88" i="101"/>
  <c r="J87" i="101"/>
  <c r="I87" i="101"/>
  <c r="J86" i="101"/>
  <c r="I86" i="101"/>
  <c r="J85" i="101"/>
  <c r="I85" i="101"/>
  <c r="J84" i="101"/>
  <c r="I84" i="101"/>
  <c r="J83" i="101"/>
  <c r="I83" i="101"/>
  <c r="J82" i="101"/>
  <c r="I82" i="101"/>
  <c r="J81" i="101"/>
  <c r="I81" i="101"/>
  <c r="J80" i="101"/>
  <c r="I80" i="101"/>
  <c r="J79" i="101"/>
  <c r="I79" i="101"/>
  <c r="J78" i="101"/>
  <c r="I78" i="101"/>
  <c r="J77" i="101"/>
  <c r="I77" i="101"/>
  <c r="J76" i="101"/>
  <c r="I76" i="101"/>
  <c r="J75" i="101"/>
  <c r="I75" i="101"/>
  <c r="J74" i="101"/>
  <c r="I74" i="101"/>
  <c r="J73" i="101"/>
  <c r="I73" i="101"/>
  <c r="J72" i="101"/>
  <c r="I72" i="101"/>
  <c r="J71" i="101"/>
  <c r="I71" i="101"/>
  <c r="J70" i="101"/>
  <c r="I70" i="101"/>
  <c r="J69" i="101"/>
  <c r="I69" i="101"/>
  <c r="J68" i="101"/>
  <c r="I68" i="101"/>
  <c r="J67" i="101"/>
  <c r="I67" i="101"/>
  <c r="J66" i="101"/>
  <c r="I66" i="101"/>
  <c r="J65" i="101"/>
  <c r="I65" i="101"/>
  <c r="J64" i="101"/>
  <c r="I64" i="101"/>
  <c r="J63" i="101"/>
  <c r="I63" i="101"/>
  <c r="J62" i="101"/>
  <c r="I62" i="101"/>
  <c r="J61" i="101"/>
  <c r="I61" i="101"/>
  <c r="J60" i="101"/>
  <c r="I60" i="101"/>
  <c r="J59" i="101"/>
  <c r="I59" i="101"/>
  <c r="J58" i="101"/>
  <c r="I58" i="101"/>
  <c r="J57" i="101"/>
  <c r="I57" i="101"/>
  <c r="J56" i="101"/>
  <c r="I56" i="101"/>
  <c r="J55" i="101"/>
  <c r="I55" i="101"/>
  <c r="J54" i="101"/>
  <c r="I54" i="101"/>
  <c r="J53" i="101"/>
  <c r="I53" i="101"/>
  <c r="J52" i="101"/>
  <c r="I52" i="101"/>
  <c r="J51" i="101"/>
  <c r="I51" i="101"/>
  <c r="J50" i="101"/>
  <c r="I50" i="101"/>
  <c r="J49" i="101"/>
  <c r="I49" i="101"/>
  <c r="J48" i="101"/>
  <c r="I48" i="101"/>
  <c r="J47" i="101"/>
  <c r="I47" i="101"/>
  <c r="J46" i="101"/>
  <c r="I46" i="101"/>
  <c r="J45" i="101"/>
  <c r="I45" i="101"/>
  <c r="J44" i="101"/>
  <c r="I44" i="101"/>
  <c r="J43" i="101"/>
  <c r="I43" i="101"/>
  <c r="J42" i="101"/>
  <c r="I42" i="101"/>
  <c r="J41" i="101"/>
  <c r="I41" i="101"/>
  <c r="J40" i="101"/>
  <c r="I40" i="101"/>
  <c r="J39" i="101"/>
  <c r="I39" i="101"/>
  <c r="J38" i="101"/>
  <c r="I38" i="101"/>
  <c r="J37" i="101"/>
  <c r="I37" i="101"/>
  <c r="J36" i="101"/>
  <c r="I36" i="101"/>
  <c r="J35" i="101"/>
  <c r="I35" i="101"/>
  <c r="J34" i="101"/>
  <c r="I34" i="101"/>
  <c r="J33" i="101"/>
  <c r="I33" i="101"/>
  <c r="J32" i="101"/>
  <c r="I32" i="101"/>
  <c r="J31" i="101"/>
  <c r="I31" i="101"/>
  <c r="J30" i="101"/>
  <c r="I30" i="101"/>
  <c r="J29" i="101"/>
  <c r="I29" i="101"/>
  <c r="J28" i="101"/>
  <c r="I28" i="101"/>
  <c r="J27" i="101"/>
  <c r="I27" i="101"/>
  <c r="J26" i="101"/>
  <c r="I26" i="101"/>
  <c r="J25" i="101"/>
  <c r="I25" i="101"/>
  <c r="J24" i="101"/>
  <c r="I24" i="101"/>
  <c r="J23" i="101"/>
  <c r="I23" i="101"/>
  <c r="J22" i="101"/>
  <c r="I22" i="101"/>
  <c r="J21" i="101"/>
  <c r="I21" i="101"/>
  <c r="J20" i="101"/>
  <c r="I20" i="101"/>
  <c r="J19" i="101"/>
  <c r="I19" i="101"/>
  <c r="J18" i="101"/>
  <c r="I18" i="101"/>
  <c r="J17" i="101"/>
  <c r="I17" i="101"/>
  <c r="J16" i="101"/>
  <c r="I16" i="101"/>
  <c r="J15" i="101"/>
  <c r="I15" i="101"/>
  <c r="J14" i="101"/>
  <c r="I14" i="101"/>
  <c r="J13" i="101"/>
  <c r="I13" i="101"/>
  <c r="J12" i="101"/>
  <c r="I12" i="101"/>
  <c r="J11" i="101"/>
  <c r="I11" i="101"/>
  <c r="J10" i="101"/>
  <c r="I10" i="101"/>
  <c r="J9" i="101"/>
  <c r="I9" i="101"/>
  <c r="J8" i="101"/>
  <c r="I8" i="101"/>
  <c r="J7" i="101"/>
  <c r="I7" i="101"/>
  <c r="J6" i="101"/>
  <c r="I6" i="101"/>
  <c r="J5" i="101"/>
  <c r="I5" i="101"/>
  <c r="K126" i="101" l="1"/>
  <c r="K128" i="101"/>
  <c r="K129" i="101"/>
  <c r="K131" i="101"/>
  <c r="K130" i="101"/>
  <c r="K6" i="101"/>
  <c r="K10" i="101"/>
  <c r="K14" i="101"/>
  <c r="K22" i="101"/>
  <c r="K26" i="101"/>
  <c r="K30" i="101"/>
  <c r="K34" i="101"/>
  <c r="K38" i="101"/>
  <c r="K42" i="101"/>
  <c r="K46" i="101"/>
  <c r="K50" i="101"/>
  <c r="K54" i="101"/>
  <c r="K58" i="101"/>
  <c r="K62" i="101"/>
  <c r="K66" i="101"/>
  <c r="K70" i="101"/>
  <c r="K74" i="101"/>
  <c r="K78" i="101"/>
  <c r="K82" i="101"/>
  <c r="K86" i="101"/>
  <c r="K90" i="101"/>
  <c r="K94" i="101"/>
  <c r="K98" i="101"/>
  <c r="K102" i="101"/>
  <c r="K106" i="101"/>
  <c r="K110" i="101"/>
  <c r="K114" i="101"/>
  <c r="K118" i="101"/>
  <c r="K122" i="101"/>
  <c r="K18" i="101"/>
  <c r="K11" i="101"/>
  <c r="K27" i="101"/>
  <c r="K43" i="101"/>
  <c r="K59" i="101"/>
  <c r="K75" i="101"/>
  <c r="K91" i="101"/>
  <c r="K107" i="101"/>
  <c r="K123" i="101"/>
  <c r="K7" i="101"/>
  <c r="K15" i="101"/>
  <c r="K35" i="101"/>
  <c r="K39" i="101"/>
  <c r="K47" i="101"/>
  <c r="K67" i="101"/>
  <c r="K71" i="101"/>
  <c r="K95" i="101"/>
  <c r="K99" i="101"/>
  <c r="K103" i="101"/>
  <c r="K119" i="101"/>
  <c r="K19" i="101"/>
  <c r="K23" i="101"/>
  <c r="K31" i="101"/>
  <c r="K51" i="101"/>
  <c r="K55" i="101"/>
  <c r="K63" i="101"/>
  <c r="K79" i="101"/>
  <c r="K83" i="101"/>
  <c r="K87" i="101"/>
  <c r="K111" i="101"/>
  <c r="K115" i="101"/>
  <c r="K127" i="101"/>
  <c r="K5" i="101"/>
  <c r="K9" i="101"/>
  <c r="K13" i="101"/>
  <c r="K17" i="101"/>
  <c r="K21" i="101"/>
  <c r="K25" i="101"/>
  <c r="K29" i="101"/>
  <c r="K33" i="101"/>
  <c r="K37" i="101"/>
  <c r="K41" i="101"/>
  <c r="K45" i="101"/>
  <c r="K49" i="101"/>
  <c r="K53" i="101"/>
  <c r="K57" i="101"/>
  <c r="K61" i="101"/>
  <c r="K65" i="101"/>
  <c r="K69" i="101"/>
  <c r="K73" i="101"/>
  <c r="K77" i="101"/>
  <c r="K81" i="101"/>
  <c r="K85" i="101"/>
  <c r="K89" i="101"/>
  <c r="K93" i="101"/>
  <c r="K97" i="101"/>
  <c r="K101" i="101"/>
  <c r="K105" i="101"/>
  <c r="K109" i="101"/>
  <c r="K113" i="101"/>
  <c r="K117" i="101"/>
  <c r="K121" i="101"/>
  <c r="K8" i="101"/>
  <c r="K12" i="101"/>
  <c r="K16" i="101"/>
  <c r="K20" i="101"/>
  <c r="K24" i="101"/>
  <c r="K28" i="101"/>
  <c r="K32" i="101"/>
  <c r="K36" i="101"/>
  <c r="K40" i="101"/>
  <c r="K44" i="101"/>
  <c r="K48" i="101"/>
  <c r="K52" i="101"/>
  <c r="K56" i="101"/>
  <c r="K60" i="101"/>
  <c r="K64" i="101"/>
  <c r="K68" i="101"/>
  <c r="K72" i="101"/>
  <c r="K76" i="101"/>
  <c r="K80" i="101"/>
  <c r="K84" i="101"/>
  <c r="K88" i="101"/>
  <c r="K92" i="101"/>
  <c r="K96" i="101"/>
  <c r="K100" i="101"/>
  <c r="K104" i="101"/>
  <c r="K108" i="101"/>
  <c r="K112" i="101"/>
  <c r="K116" i="101"/>
  <c r="K120" i="101"/>
  <c r="K124" i="101"/>
  <c r="J131" i="59"/>
  <c r="J130" i="59"/>
  <c r="J129" i="59"/>
  <c r="J128" i="59"/>
  <c r="J127" i="59"/>
  <c r="J126" i="59"/>
  <c r="D130" i="59"/>
  <c r="D129" i="59"/>
  <c r="D128" i="59"/>
  <c r="D127" i="59"/>
  <c r="D126" i="59"/>
  <c r="I131" i="61"/>
  <c r="I130" i="61"/>
  <c r="I129" i="61"/>
  <c r="I128" i="61"/>
  <c r="I127" i="61"/>
  <c r="I126" i="61"/>
  <c r="I130" i="117"/>
  <c r="I129" i="117"/>
  <c r="I128" i="117"/>
  <c r="I127" i="117"/>
  <c r="I126" i="117"/>
  <c r="H130" i="117"/>
  <c r="H129" i="117"/>
  <c r="H128" i="117"/>
  <c r="H127" i="117"/>
  <c r="H126" i="117"/>
  <c r="F5" i="106"/>
  <c r="L5" i="106"/>
  <c r="I5" i="106"/>
  <c r="F127" i="84"/>
  <c r="G127" i="84"/>
  <c r="H127" i="84"/>
  <c r="I127" i="84"/>
  <c r="M5" i="104"/>
  <c r="L5" i="104"/>
  <c r="K5" i="104"/>
  <c r="J5" i="104"/>
  <c r="I5" i="104"/>
  <c r="H5" i="104"/>
  <c r="G5" i="104"/>
  <c r="L5" i="103"/>
  <c r="P98" i="31"/>
  <c r="P97" i="31"/>
  <c r="P124" i="31"/>
  <c r="P123" i="31"/>
  <c r="P96" i="31"/>
  <c r="P95" i="31"/>
  <c r="P94" i="31"/>
  <c r="P122" i="31"/>
  <c r="P93" i="31"/>
  <c r="P92" i="31"/>
  <c r="P91" i="31"/>
  <c r="P121" i="31"/>
  <c r="P90" i="31"/>
  <c r="P89" i="31"/>
  <c r="P88" i="31"/>
  <c r="P87" i="31"/>
  <c r="P86" i="31"/>
  <c r="P85" i="31"/>
  <c r="P84" i="31"/>
  <c r="P83" i="31"/>
  <c r="P82" i="31"/>
  <c r="P81" i="31"/>
  <c r="P120" i="31"/>
  <c r="P80" i="31"/>
  <c r="P119" i="31"/>
  <c r="P79" i="31"/>
  <c r="P118" i="31"/>
  <c r="P78" i="31"/>
  <c r="P77" i="31"/>
  <c r="P76" i="31"/>
  <c r="P75" i="31"/>
  <c r="P74" i="31"/>
  <c r="P117" i="31"/>
  <c r="P73" i="31"/>
  <c r="P116" i="31"/>
  <c r="P72" i="31"/>
  <c r="P71" i="31"/>
  <c r="P70" i="31"/>
  <c r="P69" i="31"/>
  <c r="P115" i="31"/>
  <c r="P68" i="31"/>
  <c r="P67" i="31"/>
  <c r="P114" i="31"/>
  <c r="P113" i="31"/>
  <c r="P66" i="31"/>
  <c r="P65" i="31"/>
  <c r="P64" i="31"/>
  <c r="P63" i="31"/>
  <c r="P62" i="31"/>
  <c r="P61" i="31"/>
  <c r="P112" i="31"/>
  <c r="P111" i="31"/>
  <c r="P60" i="31"/>
  <c r="P110" i="31"/>
  <c r="P59" i="31"/>
  <c r="P58" i="31"/>
  <c r="P57" i="31"/>
  <c r="P56" i="31"/>
  <c r="P55" i="31"/>
  <c r="P54" i="31"/>
  <c r="P53" i="31"/>
  <c r="P52" i="31"/>
  <c r="P51" i="31"/>
  <c r="P50" i="31"/>
  <c r="P109" i="31"/>
  <c r="P49" i="31"/>
  <c r="P48" i="31"/>
  <c r="P47" i="31"/>
  <c r="P46" i="31"/>
  <c r="P108" i="31"/>
  <c r="P45" i="31"/>
  <c r="P44" i="31"/>
  <c r="P43" i="31"/>
  <c r="P42" i="31"/>
  <c r="P41" i="31"/>
  <c r="P40" i="31"/>
  <c r="P39" i="31"/>
  <c r="P107" i="31"/>
  <c r="P106" i="31"/>
  <c r="P38" i="31"/>
  <c r="P37" i="31"/>
  <c r="P105" i="31"/>
  <c r="P36" i="31"/>
  <c r="P35" i="31"/>
  <c r="P34" i="31"/>
  <c r="P33" i="31"/>
  <c r="P32" i="31"/>
  <c r="P31" i="31"/>
  <c r="P30" i="31"/>
  <c r="P104" i="31"/>
  <c r="P29" i="31"/>
  <c r="P28" i="31"/>
  <c r="P27" i="31"/>
  <c r="P26" i="31"/>
  <c r="P25" i="31"/>
  <c r="P103" i="31"/>
  <c r="P102" i="31"/>
  <c r="P24" i="31"/>
  <c r="P23" i="31"/>
  <c r="P22" i="31"/>
  <c r="P21" i="31"/>
  <c r="P20" i="31"/>
  <c r="P19" i="31"/>
  <c r="P18" i="31"/>
  <c r="P17" i="31"/>
  <c r="P101" i="31"/>
  <c r="P16" i="31"/>
  <c r="P15" i="31"/>
  <c r="P14" i="31"/>
  <c r="P13" i="31"/>
  <c r="P12" i="31"/>
  <c r="P11" i="31"/>
  <c r="P10" i="31"/>
  <c r="P9" i="31"/>
  <c r="P8" i="31"/>
  <c r="P7" i="31"/>
  <c r="P100" i="31"/>
  <c r="P6" i="31"/>
  <c r="P5" i="31"/>
  <c r="P99" i="31"/>
  <c r="R130" i="24"/>
  <c r="R129" i="24"/>
  <c r="R128" i="24"/>
  <c r="R127" i="24"/>
  <c r="R126" i="24"/>
  <c r="R99" i="24"/>
  <c r="R98" i="24"/>
  <c r="R97" i="24"/>
  <c r="R124" i="24"/>
  <c r="R123" i="24"/>
  <c r="R96" i="24"/>
  <c r="R95" i="24"/>
  <c r="R94" i="24"/>
  <c r="R122" i="24"/>
  <c r="R93" i="24"/>
  <c r="R92" i="24"/>
  <c r="R91" i="24"/>
  <c r="R121" i="24"/>
  <c r="R90" i="24"/>
  <c r="R89" i="24"/>
  <c r="R88" i="24"/>
  <c r="R87" i="24"/>
  <c r="R86" i="24"/>
  <c r="R85" i="24"/>
  <c r="R84" i="24"/>
  <c r="R83" i="24"/>
  <c r="R82" i="24"/>
  <c r="R81" i="24"/>
  <c r="R120" i="24"/>
  <c r="R80" i="24"/>
  <c r="R119" i="24"/>
  <c r="R79" i="24"/>
  <c r="R118" i="24"/>
  <c r="R78" i="24"/>
  <c r="R77" i="24"/>
  <c r="R76" i="24"/>
  <c r="R75" i="24"/>
  <c r="R74" i="24"/>
  <c r="R117" i="24"/>
  <c r="R73" i="24"/>
  <c r="R116" i="24"/>
  <c r="R72" i="24"/>
  <c r="R71" i="24"/>
  <c r="R70" i="24"/>
  <c r="R69" i="24"/>
  <c r="R115" i="24"/>
  <c r="R68" i="24"/>
  <c r="R67" i="24"/>
  <c r="R114" i="24"/>
  <c r="R113" i="24"/>
  <c r="R66" i="24"/>
  <c r="R65" i="24"/>
  <c r="R64" i="24"/>
  <c r="R63" i="24"/>
  <c r="R62" i="24"/>
  <c r="R61" i="24"/>
  <c r="R112" i="24"/>
  <c r="R111" i="24"/>
  <c r="R60" i="24"/>
  <c r="R110" i="24"/>
  <c r="R59" i="24"/>
  <c r="R58" i="24"/>
  <c r="R57" i="24"/>
  <c r="R56" i="24"/>
  <c r="R55" i="24"/>
  <c r="R54" i="24"/>
  <c r="R53" i="24"/>
  <c r="R52" i="24"/>
  <c r="R51" i="24"/>
  <c r="R50" i="24"/>
  <c r="R109" i="24"/>
  <c r="R49" i="24"/>
  <c r="R48" i="24"/>
  <c r="R47" i="24"/>
  <c r="R46" i="24"/>
  <c r="R108" i="24"/>
  <c r="R45" i="24"/>
  <c r="R44" i="24"/>
  <c r="R43" i="24"/>
  <c r="R42" i="24"/>
  <c r="R41" i="24"/>
  <c r="R40" i="24"/>
  <c r="R39" i="24"/>
  <c r="R107" i="24"/>
  <c r="R106" i="24"/>
  <c r="R38" i="24"/>
  <c r="R37" i="24"/>
  <c r="R105" i="24"/>
  <c r="R36" i="24"/>
  <c r="R35" i="24"/>
  <c r="R34" i="24"/>
  <c r="R33" i="24"/>
  <c r="R32" i="24"/>
  <c r="R31" i="24"/>
  <c r="R30" i="24"/>
  <c r="R104" i="24"/>
  <c r="R29" i="24"/>
  <c r="R28" i="24"/>
  <c r="R27" i="24"/>
  <c r="R26" i="24"/>
  <c r="R25" i="24"/>
  <c r="R103" i="24"/>
  <c r="R102" i="24"/>
  <c r="R24" i="24"/>
  <c r="R23" i="24"/>
  <c r="R22" i="24"/>
  <c r="R21" i="24"/>
  <c r="R20" i="24"/>
  <c r="R19" i="24"/>
  <c r="R18" i="24"/>
  <c r="R17" i="24"/>
  <c r="R101" i="24"/>
  <c r="R16" i="24"/>
  <c r="R15" i="24"/>
  <c r="R14" i="24"/>
  <c r="R13" i="24"/>
  <c r="R12" i="24"/>
  <c r="R11" i="24"/>
  <c r="R10" i="24"/>
  <c r="R9" i="24"/>
  <c r="R8" i="24"/>
  <c r="R7" i="24"/>
  <c r="R100" i="24"/>
  <c r="R6" i="24"/>
  <c r="R5" i="24"/>
  <c r="R4" i="24"/>
  <c r="F55" i="1" s="1"/>
  <c r="AX131" i="113"/>
  <c r="AW131" i="113"/>
  <c r="AV131" i="113"/>
  <c r="AU131" i="113"/>
  <c r="AT131" i="113"/>
  <c r="AS131" i="113"/>
  <c r="AR131" i="113"/>
  <c r="AQ131" i="113"/>
  <c r="AP131" i="113"/>
  <c r="AO131" i="113"/>
  <c r="AN131" i="113"/>
  <c r="AM131" i="113"/>
  <c r="AL131" i="113"/>
  <c r="AK131" i="113"/>
  <c r="AJ131" i="113"/>
  <c r="AX130" i="113"/>
  <c r="AW130" i="113"/>
  <c r="AV130" i="113"/>
  <c r="AU130" i="113"/>
  <c r="AT130" i="113"/>
  <c r="AS130" i="113"/>
  <c r="AR130" i="113"/>
  <c r="AQ130" i="113"/>
  <c r="AP130" i="113"/>
  <c r="AO130" i="113"/>
  <c r="AN130" i="113"/>
  <c r="AM130" i="113"/>
  <c r="AL130" i="113"/>
  <c r="AK130" i="113"/>
  <c r="AJ130" i="113"/>
  <c r="AX129" i="113"/>
  <c r="AW129" i="113"/>
  <c r="AV129" i="113"/>
  <c r="AU129" i="113"/>
  <c r="AT129" i="113"/>
  <c r="AS129" i="113"/>
  <c r="AR129" i="113"/>
  <c r="AQ129" i="113"/>
  <c r="AP129" i="113"/>
  <c r="AO129" i="113"/>
  <c r="AN129" i="113"/>
  <c r="AM129" i="113"/>
  <c r="AL129" i="113"/>
  <c r="AK129" i="113"/>
  <c r="AJ129" i="113"/>
  <c r="AX128" i="113"/>
  <c r="AW128" i="113"/>
  <c r="AV128" i="113"/>
  <c r="AU128" i="113"/>
  <c r="AT128" i="113"/>
  <c r="AS128" i="113"/>
  <c r="AR128" i="113"/>
  <c r="AQ128" i="113"/>
  <c r="AP128" i="113"/>
  <c r="AO128" i="113"/>
  <c r="AN128" i="113"/>
  <c r="AM128" i="113"/>
  <c r="AL128" i="113"/>
  <c r="AK128" i="113"/>
  <c r="AJ128" i="113"/>
  <c r="AX127" i="113"/>
  <c r="AW127" i="113"/>
  <c r="AV127" i="113"/>
  <c r="AU127" i="113"/>
  <c r="AT127" i="113"/>
  <c r="AS127" i="113"/>
  <c r="AR127" i="113"/>
  <c r="AQ127" i="113"/>
  <c r="AP127" i="113"/>
  <c r="AO127" i="113"/>
  <c r="AN127" i="113"/>
  <c r="AM127" i="113"/>
  <c r="AL127" i="113"/>
  <c r="AK127" i="113"/>
  <c r="AJ127" i="113"/>
  <c r="AX125" i="113"/>
  <c r="AW125" i="113"/>
  <c r="AV125" i="113"/>
  <c r="AU125" i="113"/>
  <c r="AT125" i="113"/>
  <c r="AS125" i="113"/>
  <c r="AR125" i="113"/>
  <c r="AQ125" i="113"/>
  <c r="AP125" i="113"/>
  <c r="AO125" i="113"/>
  <c r="AN125" i="113"/>
  <c r="AM125" i="113"/>
  <c r="AL125" i="113"/>
  <c r="AK125" i="113"/>
  <c r="AJ125" i="113"/>
  <c r="AX124" i="113"/>
  <c r="AW124" i="113"/>
  <c r="AV124" i="113"/>
  <c r="AU124" i="113"/>
  <c r="AT124" i="113"/>
  <c r="AS124" i="113"/>
  <c r="AR124" i="113"/>
  <c r="AQ124" i="113"/>
  <c r="AP124" i="113"/>
  <c r="AO124" i="113"/>
  <c r="AN124" i="113"/>
  <c r="AM124" i="113"/>
  <c r="AL124" i="113"/>
  <c r="AK124" i="113"/>
  <c r="AJ124" i="113"/>
  <c r="AX123" i="113"/>
  <c r="AW123" i="113"/>
  <c r="AV123" i="113"/>
  <c r="AU123" i="113"/>
  <c r="AT123" i="113"/>
  <c r="AS123" i="113"/>
  <c r="AR123" i="113"/>
  <c r="AQ123" i="113"/>
  <c r="AP123" i="113"/>
  <c r="AO123" i="113"/>
  <c r="AN123" i="113"/>
  <c r="AM123" i="113"/>
  <c r="AL123" i="113"/>
  <c r="AK123" i="113"/>
  <c r="AJ123" i="113"/>
  <c r="AX122" i="113"/>
  <c r="AW122" i="113"/>
  <c r="AV122" i="113"/>
  <c r="AU122" i="113"/>
  <c r="AT122" i="113"/>
  <c r="AS122" i="113"/>
  <c r="AR122" i="113"/>
  <c r="AQ122" i="113"/>
  <c r="AP122" i="113"/>
  <c r="AO122" i="113"/>
  <c r="AN122" i="113"/>
  <c r="AM122" i="113"/>
  <c r="AL122" i="113"/>
  <c r="AK122" i="113"/>
  <c r="AJ122" i="113"/>
  <c r="AX121" i="113"/>
  <c r="AW121" i="113"/>
  <c r="AV121" i="113"/>
  <c r="AU121" i="113"/>
  <c r="AT121" i="113"/>
  <c r="AS121" i="113"/>
  <c r="AR121" i="113"/>
  <c r="AQ121" i="113"/>
  <c r="AP121" i="113"/>
  <c r="AO121" i="113"/>
  <c r="AN121" i="113"/>
  <c r="AM121" i="113"/>
  <c r="AL121" i="113"/>
  <c r="AK121" i="113"/>
  <c r="AJ121" i="113"/>
  <c r="AX120" i="113"/>
  <c r="AW120" i="113"/>
  <c r="AV120" i="113"/>
  <c r="AU120" i="113"/>
  <c r="AT120" i="113"/>
  <c r="AS120" i="113"/>
  <c r="AR120" i="113"/>
  <c r="AQ120" i="113"/>
  <c r="AP120" i="113"/>
  <c r="AO120" i="113"/>
  <c r="AN120" i="113"/>
  <c r="AM120" i="113"/>
  <c r="AL120" i="113"/>
  <c r="AK120" i="113"/>
  <c r="AJ120" i="113"/>
  <c r="AX119" i="113"/>
  <c r="AW119" i="113"/>
  <c r="AV119" i="113"/>
  <c r="AU119" i="113"/>
  <c r="AT119" i="113"/>
  <c r="AS119" i="113"/>
  <c r="AR119" i="113"/>
  <c r="AQ119" i="113"/>
  <c r="AP119" i="113"/>
  <c r="AO119" i="113"/>
  <c r="AN119" i="113"/>
  <c r="AM119" i="113"/>
  <c r="AL119" i="113"/>
  <c r="AK119" i="113"/>
  <c r="AJ119" i="113"/>
  <c r="AX118" i="113"/>
  <c r="AW118" i="113"/>
  <c r="AV118" i="113"/>
  <c r="AU118" i="113"/>
  <c r="AT118" i="113"/>
  <c r="AS118" i="113"/>
  <c r="AR118" i="113"/>
  <c r="AQ118" i="113"/>
  <c r="AP118" i="113"/>
  <c r="AO118" i="113"/>
  <c r="AN118" i="113"/>
  <c r="AM118" i="113"/>
  <c r="AL118" i="113"/>
  <c r="AK118" i="113"/>
  <c r="AJ118" i="113"/>
  <c r="AX117" i="113"/>
  <c r="AW117" i="113"/>
  <c r="AV117" i="113"/>
  <c r="AU117" i="113"/>
  <c r="AT117" i="113"/>
  <c r="AS117" i="113"/>
  <c r="AR117" i="113"/>
  <c r="AQ117" i="113"/>
  <c r="AP117" i="113"/>
  <c r="AO117" i="113"/>
  <c r="AN117" i="113"/>
  <c r="AM117" i="113"/>
  <c r="AL117" i="113"/>
  <c r="AK117" i="113"/>
  <c r="AJ117" i="113"/>
  <c r="AX116" i="113"/>
  <c r="AW116" i="113"/>
  <c r="AV116" i="113"/>
  <c r="AU116" i="113"/>
  <c r="AT116" i="113"/>
  <c r="AS116" i="113"/>
  <c r="AR116" i="113"/>
  <c r="AQ116" i="113"/>
  <c r="AP116" i="113"/>
  <c r="AO116" i="113"/>
  <c r="AN116" i="113"/>
  <c r="AM116" i="113"/>
  <c r="AL116" i="113"/>
  <c r="AK116" i="113"/>
  <c r="AJ116" i="113"/>
  <c r="AX115" i="113"/>
  <c r="AW115" i="113"/>
  <c r="AV115" i="113"/>
  <c r="AU115" i="113"/>
  <c r="AT115" i="113"/>
  <c r="AS115" i="113"/>
  <c r="AR115" i="113"/>
  <c r="AQ115" i="113"/>
  <c r="AP115" i="113"/>
  <c r="AO115" i="113"/>
  <c r="AN115" i="113"/>
  <c r="AM115" i="113"/>
  <c r="AL115" i="113"/>
  <c r="AK115" i="113"/>
  <c r="AJ115" i="113"/>
  <c r="AX114" i="113"/>
  <c r="AW114" i="113"/>
  <c r="AV114" i="113"/>
  <c r="AU114" i="113"/>
  <c r="AT114" i="113"/>
  <c r="AS114" i="113"/>
  <c r="AR114" i="113"/>
  <c r="AQ114" i="113"/>
  <c r="AP114" i="113"/>
  <c r="AO114" i="113"/>
  <c r="AN114" i="113"/>
  <c r="AM114" i="113"/>
  <c r="AL114" i="113"/>
  <c r="AK114" i="113"/>
  <c r="AJ114" i="113"/>
  <c r="AX113" i="113"/>
  <c r="AW113" i="113"/>
  <c r="AV113" i="113"/>
  <c r="AU113" i="113"/>
  <c r="AT113" i="113"/>
  <c r="AS113" i="113"/>
  <c r="AR113" i="113"/>
  <c r="AQ113" i="113"/>
  <c r="AP113" i="113"/>
  <c r="AO113" i="113"/>
  <c r="AN113" i="113"/>
  <c r="AM113" i="113"/>
  <c r="AL113" i="113"/>
  <c r="AK113" i="113"/>
  <c r="AJ113" i="113"/>
  <c r="AX112" i="113"/>
  <c r="AW112" i="113"/>
  <c r="AV112" i="113"/>
  <c r="AU112" i="113"/>
  <c r="AT112" i="113"/>
  <c r="AS112" i="113"/>
  <c r="AR112" i="113"/>
  <c r="AQ112" i="113"/>
  <c r="AP112" i="113"/>
  <c r="AO112" i="113"/>
  <c r="AN112" i="113"/>
  <c r="AM112" i="113"/>
  <c r="AL112" i="113"/>
  <c r="AK112" i="113"/>
  <c r="AJ112" i="113"/>
  <c r="AX111" i="113"/>
  <c r="AW111" i="113"/>
  <c r="AV111" i="113"/>
  <c r="AU111" i="113"/>
  <c r="AT111" i="113"/>
  <c r="AS111" i="113"/>
  <c r="AR111" i="113"/>
  <c r="AQ111" i="113"/>
  <c r="AP111" i="113"/>
  <c r="AO111" i="113"/>
  <c r="AN111" i="113"/>
  <c r="AM111" i="113"/>
  <c r="AL111" i="113"/>
  <c r="AK111" i="113"/>
  <c r="AJ111" i="113"/>
  <c r="AX110" i="113"/>
  <c r="AW110" i="113"/>
  <c r="AV110" i="113"/>
  <c r="AU110" i="113"/>
  <c r="AT110" i="113"/>
  <c r="AS110" i="113"/>
  <c r="AR110" i="113"/>
  <c r="AQ110" i="113"/>
  <c r="AP110" i="113"/>
  <c r="AO110" i="113"/>
  <c r="AN110" i="113"/>
  <c r="AM110" i="113"/>
  <c r="AL110" i="113"/>
  <c r="AK110" i="113"/>
  <c r="AJ110" i="113"/>
  <c r="AX109" i="113"/>
  <c r="AW109" i="113"/>
  <c r="AV109" i="113"/>
  <c r="AU109" i="113"/>
  <c r="AT109" i="113"/>
  <c r="AS109" i="113"/>
  <c r="AR109" i="113"/>
  <c r="AQ109" i="113"/>
  <c r="AP109" i="113"/>
  <c r="AO109" i="113"/>
  <c r="AN109" i="113"/>
  <c r="AM109" i="113"/>
  <c r="AL109" i="113"/>
  <c r="AK109" i="113"/>
  <c r="AJ109" i="113"/>
  <c r="AX108" i="113"/>
  <c r="AW108" i="113"/>
  <c r="AV108" i="113"/>
  <c r="AU108" i="113"/>
  <c r="AT108" i="113"/>
  <c r="AS108" i="113"/>
  <c r="AR108" i="113"/>
  <c r="AQ108" i="113"/>
  <c r="AP108" i="113"/>
  <c r="AO108" i="113"/>
  <c r="AN108" i="113"/>
  <c r="AM108" i="113"/>
  <c r="AL108" i="113"/>
  <c r="AK108" i="113"/>
  <c r="AJ108" i="113"/>
  <c r="AX107" i="113"/>
  <c r="AW107" i="113"/>
  <c r="AV107" i="113"/>
  <c r="AU107" i="113"/>
  <c r="AT107" i="113"/>
  <c r="AS107" i="113"/>
  <c r="AR107" i="113"/>
  <c r="AQ107" i="113"/>
  <c r="AP107" i="113"/>
  <c r="AO107" i="113"/>
  <c r="AN107" i="113"/>
  <c r="AM107" i="113"/>
  <c r="AL107" i="113"/>
  <c r="AK107" i="113"/>
  <c r="AJ107" i="113"/>
  <c r="AX106" i="113"/>
  <c r="AW106" i="113"/>
  <c r="AV106" i="113"/>
  <c r="AU106" i="113"/>
  <c r="AT106" i="113"/>
  <c r="AS106" i="113"/>
  <c r="AR106" i="113"/>
  <c r="AQ106" i="113"/>
  <c r="AP106" i="113"/>
  <c r="AO106" i="113"/>
  <c r="AN106" i="113"/>
  <c r="AM106" i="113"/>
  <c r="AL106" i="113"/>
  <c r="AK106" i="113"/>
  <c r="AJ106" i="113"/>
  <c r="AX105" i="113"/>
  <c r="AW105" i="113"/>
  <c r="AV105" i="113"/>
  <c r="AU105" i="113"/>
  <c r="AT105" i="113"/>
  <c r="AS105" i="113"/>
  <c r="AR105" i="113"/>
  <c r="AQ105" i="113"/>
  <c r="AP105" i="113"/>
  <c r="AO105" i="113"/>
  <c r="AN105" i="113"/>
  <c r="AM105" i="113"/>
  <c r="AL105" i="113"/>
  <c r="AK105" i="113"/>
  <c r="AJ105" i="113"/>
  <c r="AX104" i="113"/>
  <c r="AW104" i="113"/>
  <c r="AV104" i="113"/>
  <c r="AU104" i="113"/>
  <c r="AT104" i="113"/>
  <c r="AS104" i="113"/>
  <c r="AR104" i="113"/>
  <c r="AQ104" i="113"/>
  <c r="AP104" i="113"/>
  <c r="AO104" i="113"/>
  <c r="AN104" i="113"/>
  <c r="AM104" i="113"/>
  <c r="AL104" i="113"/>
  <c r="AK104" i="113"/>
  <c r="AJ104" i="113"/>
  <c r="AX103" i="113"/>
  <c r="AW103" i="113"/>
  <c r="AV103" i="113"/>
  <c r="AU103" i="113"/>
  <c r="AT103" i="113"/>
  <c r="AS103" i="113"/>
  <c r="AR103" i="113"/>
  <c r="AQ103" i="113"/>
  <c r="AP103" i="113"/>
  <c r="AO103" i="113"/>
  <c r="AN103" i="113"/>
  <c r="AM103" i="113"/>
  <c r="AL103" i="113"/>
  <c r="AK103" i="113"/>
  <c r="AJ103" i="113"/>
  <c r="AX102" i="113"/>
  <c r="AW102" i="113"/>
  <c r="AV102" i="113"/>
  <c r="AU102" i="113"/>
  <c r="AT102" i="113"/>
  <c r="AS102" i="113"/>
  <c r="AR102" i="113"/>
  <c r="AQ102" i="113"/>
  <c r="AP102" i="113"/>
  <c r="AO102" i="113"/>
  <c r="AN102" i="113"/>
  <c r="AM102" i="113"/>
  <c r="AL102" i="113"/>
  <c r="AK102" i="113"/>
  <c r="AJ102" i="113"/>
  <c r="AX101" i="113"/>
  <c r="AW101" i="113"/>
  <c r="AV101" i="113"/>
  <c r="AU101" i="113"/>
  <c r="AT101" i="113"/>
  <c r="AS101" i="113"/>
  <c r="AR101" i="113"/>
  <c r="AQ101" i="113"/>
  <c r="AP101" i="113"/>
  <c r="AO101" i="113"/>
  <c r="AN101" i="113"/>
  <c r="AM101" i="113"/>
  <c r="AL101" i="113"/>
  <c r="AK101" i="113"/>
  <c r="AJ101" i="113"/>
  <c r="AX100" i="113"/>
  <c r="AW100" i="113"/>
  <c r="AV100" i="113"/>
  <c r="AU100" i="113"/>
  <c r="AT100" i="113"/>
  <c r="AS100" i="113"/>
  <c r="AR100" i="113"/>
  <c r="AQ100" i="113"/>
  <c r="AP100" i="113"/>
  <c r="AO100" i="113"/>
  <c r="AN100" i="113"/>
  <c r="AM100" i="113"/>
  <c r="AL100" i="113"/>
  <c r="AK100" i="113"/>
  <c r="AJ100" i="113"/>
  <c r="AX99" i="113"/>
  <c r="AW99" i="113"/>
  <c r="AV99" i="113"/>
  <c r="AU99" i="113"/>
  <c r="AT99" i="113"/>
  <c r="AS99" i="113"/>
  <c r="AR99" i="113"/>
  <c r="AQ99" i="113"/>
  <c r="AP99" i="113"/>
  <c r="AO99" i="113"/>
  <c r="AN99" i="113"/>
  <c r="AM99" i="113"/>
  <c r="AL99" i="113"/>
  <c r="AK99" i="113"/>
  <c r="AJ99" i="113"/>
  <c r="AX98" i="113"/>
  <c r="AW98" i="113"/>
  <c r="AV98" i="113"/>
  <c r="AU98" i="113"/>
  <c r="AT98" i="113"/>
  <c r="AS98" i="113"/>
  <c r="AR98" i="113"/>
  <c r="AQ98" i="113"/>
  <c r="AP98" i="113"/>
  <c r="AO98" i="113"/>
  <c r="AN98" i="113"/>
  <c r="AM98" i="113"/>
  <c r="AL98" i="113"/>
  <c r="AK98" i="113"/>
  <c r="AJ98" i="113"/>
  <c r="AX97" i="113"/>
  <c r="AW97" i="113"/>
  <c r="AV97" i="113"/>
  <c r="AU97" i="113"/>
  <c r="AT97" i="113"/>
  <c r="AS97" i="113"/>
  <c r="AR97" i="113"/>
  <c r="AQ97" i="113"/>
  <c r="AP97" i="113"/>
  <c r="AO97" i="113"/>
  <c r="AN97" i="113"/>
  <c r="AM97" i="113"/>
  <c r="AL97" i="113"/>
  <c r="AK97" i="113"/>
  <c r="AJ97" i="113"/>
  <c r="AX96" i="113"/>
  <c r="AW96" i="113"/>
  <c r="AV96" i="113"/>
  <c r="AU96" i="113"/>
  <c r="AT96" i="113"/>
  <c r="AS96" i="113"/>
  <c r="AR96" i="113"/>
  <c r="AQ96" i="113"/>
  <c r="AP96" i="113"/>
  <c r="AO96" i="113"/>
  <c r="AN96" i="113"/>
  <c r="AM96" i="113"/>
  <c r="AL96" i="113"/>
  <c r="AK96" i="113"/>
  <c r="AJ96" i="113"/>
  <c r="AX95" i="113"/>
  <c r="AW95" i="113"/>
  <c r="AV95" i="113"/>
  <c r="AU95" i="113"/>
  <c r="AT95" i="113"/>
  <c r="AS95" i="113"/>
  <c r="AR95" i="113"/>
  <c r="AQ95" i="113"/>
  <c r="AP95" i="113"/>
  <c r="AO95" i="113"/>
  <c r="AN95" i="113"/>
  <c r="AM95" i="113"/>
  <c r="AL95" i="113"/>
  <c r="AK95" i="113"/>
  <c r="AJ95" i="113"/>
  <c r="AX94" i="113"/>
  <c r="AW94" i="113"/>
  <c r="AV94" i="113"/>
  <c r="AU94" i="113"/>
  <c r="AT94" i="113"/>
  <c r="AS94" i="113"/>
  <c r="AR94" i="113"/>
  <c r="AQ94" i="113"/>
  <c r="AP94" i="113"/>
  <c r="AO94" i="113"/>
  <c r="AN94" i="113"/>
  <c r="AM94" i="113"/>
  <c r="AL94" i="113"/>
  <c r="AK94" i="113"/>
  <c r="AJ94" i="113"/>
  <c r="AX93" i="113"/>
  <c r="AW93" i="113"/>
  <c r="AV93" i="113"/>
  <c r="AU93" i="113"/>
  <c r="AT93" i="113"/>
  <c r="AS93" i="113"/>
  <c r="AR93" i="113"/>
  <c r="AQ93" i="113"/>
  <c r="AP93" i="113"/>
  <c r="AO93" i="113"/>
  <c r="AN93" i="113"/>
  <c r="AM93" i="113"/>
  <c r="AL93" i="113"/>
  <c r="AK93" i="113"/>
  <c r="AJ93" i="113"/>
  <c r="AX92" i="113"/>
  <c r="AW92" i="113"/>
  <c r="AV92" i="113"/>
  <c r="AU92" i="113"/>
  <c r="AT92" i="113"/>
  <c r="AS92" i="113"/>
  <c r="AR92" i="113"/>
  <c r="AQ92" i="113"/>
  <c r="AP92" i="113"/>
  <c r="AO92" i="113"/>
  <c r="AN92" i="113"/>
  <c r="AM92" i="113"/>
  <c r="AL92" i="113"/>
  <c r="AK92" i="113"/>
  <c r="AJ92" i="113"/>
  <c r="AX91" i="113"/>
  <c r="AW91" i="113"/>
  <c r="AV91" i="113"/>
  <c r="AU91" i="113"/>
  <c r="AT91" i="113"/>
  <c r="AS91" i="113"/>
  <c r="AR91" i="113"/>
  <c r="AQ91" i="113"/>
  <c r="AP91" i="113"/>
  <c r="AO91" i="113"/>
  <c r="AN91" i="113"/>
  <c r="AM91" i="113"/>
  <c r="AL91" i="113"/>
  <c r="AK91" i="113"/>
  <c r="AJ91" i="113"/>
  <c r="AX90" i="113"/>
  <c r="AW90" i="113"/>
  <c r="AV90" i="113"/>
  <c r="AU90" i="113"/>
  <c r="AT90" i="113"/>
  <c r="AS90" i="113"/>
  <c r="AR90" i="113"/>
  <c r="AQ90" i="113"/>
  <c r="AP90" i="113"/>
  <c r="AO90" i="113"/>
  <c r="AN90" i="113"/>
  <c r="AM90" i="113"/>
  <c r="AL90" i="113"/>
  <c r="AK90" i="113"/>
  <c r="AJ90" i="113"/>
  <c r="AX89" i="113"/>
  <c r="AW89" i="113"/>
  <c r="AV89" i="113"/>
  <c r="AU89" i="113"/>
  <c r="AT89" i="113"/>
  <c r="AS89" i="113"/>
  <c r="AR89" i="113"/>
  <c r="AQ89" i="113"/>
  <c r="AP89" i="113"/>
  <c r="AO89" i="113"/>
  <c r="AN89" i="113"/>
  <c r="AM89" i="113"/>
  <c r="AL89" i="113"/>
  <c r="AK89" i="113"/>
  <c r="AJ89" i="113"/>
  <c r="AX88" i="113"/>
  <c r="AW88" i="113"/>
  <c r="AV88" i="113"/>
  <c r="AU88" i="113"/>
  <c r="AT88" i="113"/>
  <c r="AS88" i="113"/>
  <c r="AR88" i="113"/>
  <c r="AQ88" i="113"/>
  <c r="AP88" i="113"/>
  <c r="AO88" i="113"/>
  <c r="AN88" i="113"/>
  <c r="AM88" i="113"/>
  <c r="AL88" i="113"/>
  <c r="AK88" i="113"/>
  <c r="AJ88" i="113"/>
  <c r="AX87" i="113"/>
  <c r="AW87" i="113"/>
  <c r="AV87" i="113"/>
  <c r="AU87" i="113"/>
  <c r="AT87" i="113"/>
  <c r="AS87" i="113"/>
  <c r="AR87" i="113"/>
  <c r="AQ87" i="113"/>
  <c r="AP87" i="113"/>
  <c r="AO87" i="113"/>
  <c r="AN87" i="113"/>
  <c r="AM87" i="113"/>
  <c r="AL87" i="113"/>
  <c r="AK87" i="113"/>
  <c r="AJ87" i="113"/>
  <c r="AX86" i="113"/>
  <c r="AW86" i="113"/>
  <c r="AV86" i="113"/>
  <c r="AU86" i="113"/>
  <c r="AT86" i="113"/>
  <c r="AS86" i="113"/>
  <c r="AR86" i="113"/>
  <c r="AQ86" i="113"/>
  <c r="AP86" i="113"/>
  <c r="AO86" i="113"/>
  <c r="AN86" i="113"/>
  <c r="AM86" i="113"/>
  <c r="AL86" i="113"/>
  <c r="AK86" i="113"/>
  <c r="AJ86" i="113"/>
  <c r="AX85" i="113"/>
  <c r="AW85" i="113"/>
  <c r="AV85" i="113"/>
  <c r="AU85" i="113"/>
  <c r="AT85" i="113"/>
  <c r="AS85" i="113"/>
  <c r="AR85" i="113"/>
  <c r="AQ85" i="113"/>
  <c r="AP85" i="113"/>
  <c r="AO85" i="113"/>
  <c r="AN85" i="113"/>
  <c r="AM85" i="113"/>
  <c r="AL85" i="113"/>
  <c r="AK85" i="113"/>
  <c r="AJ85" i="113"/>
  <c r="AX84" i="113"/>
  <c r="AW84" i="113"/>
  <c r="AV84" i="113"/>
  <c r="AU84" i="113"/>
  <c r="AT84" i="113"/>
  <c r="AS84" i="113"/>
  <c r="AR84" i="113"/>
  <c r="AQ84" i="113"/>
  <c r="AP84" i="113"/>
  <c r="AO84" i="113"/>
  <c r="AN84" i="113"/>
  <c r="AM84" i="113"/>
  <c r="AL84" i="113"/>
  <c r="AK84" i="113"/>
  <c r="AJ84" i="113"/>
  <c r="AX83" i="113"/>
  <c r="AW83" i="113"/>
  <c r="AV83" i="113"/>
  <c r="AU83" i="113"/>
  <c r="AT83" i="113"/>
  <c r="AS83" i="113"/>
  <c r="AR83" i="113"/>
  <c r="AQ83" i="113"/>
  <c r="AP83" i="113"/>
  <c r="AO83" i="113"/>
  <c r="AN83" i="113"/>
  <c r="AM83" i="113"/>
  <c r="AL83" i="113"/>
  <c r="AK83" i="113"/>
  <c r="AJ83" i="113"/>
  <c r="AX82" i="113"/>
  <c r="AW82" i="113"/>
  <c r="AV82" i="113"/>
  <c r="AU82" i="113"/>
  <c r="AT82" i="113"/>
  <c r="AS82" i="113"/>
  <c r="AR82" i="113"/>
  <c r="AQ82" i="113"/>
  <c r="AP82" i="113"/>
  <c r="AO82" i="113"/>
  <c r="AN82" i="113"/>
  <c r="AM82" i="113"/>
  <c r="AL82" i="113"/>
  <c r="AK82" i="113"/>
  <c r="AJ82" i="113"/>
  <c r="AX81" i="113"/>
  <c r="AW81" i="113"/>
  <c r="AV81" i="113"/>
  <c r="AU81" i="113"/>
  <c r="AT81" i="113"/>
  <c r="AS81" i="113"/>
  <c r="AR81" i="113"/>
  <c r="AQ81" i="113"/>
  <c r="AP81" i="113"/>
  <c r="AO81" i="113"/>
  <c r="AN81" i="113"/>
  <c r="AM81" i="113"/>
  <c r="AL81" i="113"/>
  <c r="AK81" i="113"/>
  <c r="AJ81" i="113"/>
  <c r="AX80" i="113"/>
  <c r="AW80" i="113"/>
  <c r="AV80" i="113"/>
  <c r="AU80" i="113"/>
  <c r="AT80" i="113"/>
  <c r="AS80" i="113"/>
  <c r="AR80" i="113"/>
  <c r="AQ80" i="113"/>
  <c r="AP80" i="113"/>
  <c r="AO80" i="113"/>
  <c r="AN80" i="113"/>
  <c r="AM80" i="113"/>
  <c r="AL80" i="113"/>
  <c r="AK80" i="113"/>
  <c r="AJ80" i="113"/>
  <c r="AX79" i="113"/>
  <c r="AW79" i="113"/>
  <c r="AV79" i="113"/>
  <c r="AU79" i="113"/>
  <c r="AT79" i="113"/>
  <c r="AS79" i="113"/>
  <c r="AR79" i="113"/>
  <c r="AQ79" i="113"/>
  <c r="AP79" i="113"/>
  <c r="AO79" i="113"/>
  <c r="AN79" i="113"/>
  <c r="AM79" i="113"/>
  <c r="AL79" i="113"/>
  <c r="AK79" i="113"/>
  <c r="AJ79" i="113"/>
  <c r="AX78" i="113"/>
  <c r="AW78" i="113"/>
  <c r="AV78" i="113"/>
  <c r="AU78" i="113"/>
  <c r="AT78" i="113"/>
  <c r="AS78" i="113"/>
  <c r="AR78" i="113"/>
  <c r="AQ78" i="113"/>
  <c r="AP78" i="113"/>
  <c r="AO78" i="113"/>
  <c r="AN78" i="113"/>
  <c r="AM78" i="113"/>
  <c r="AL78" i="113"/>
  <c r="AK78" i="113"/>
  <c r="AJ78" i="113"/>
  <c r="AX77" i="113"/>
  <c r="AW77" i="113"/>
  <c r="AV77" i="113"/>
  <c r="AU77" i="113"/>
  <c r="AT77" i="113"/>
  <c r="AS77" i="113"/>
  <c r="AR77" i="113"/>
  <c r="AQ77" i="113"/>
  <c r="AP77" i="113"/>
  <c r="AO77" i="113"/>
  <c r="AN77" i="113"/>
  <c r="AM77" i="113"/>
  <c r="AL77" i="113"/>
  <c r="AK77" i="113"/>
  <c r="AJ77" i="113"/>
  <c r="AX76" i="113"/>
  <c r="AW76" i="113"/>
  <c r="AV76" i="113"/>
  <c r="AU76" i="113"/>
  <c r="AT76" i="113"/>
  <c r="AS76" i="113"/>
  <c r="AR76" i="113"/>
  <c r="AQ76" i="113"/>
  <c r="AP76" i="113"/>
  <c r="AO76" i="113"/>
  <c r="AN76" i="113"/>
  <c r="AM76" i="113"/>
  <c r="AL76" i="113"/>
  <c r="AK76" i="113"/>
  <c r="AJ76" i="113"/>
  <c r="AX75" i="113"/>
  <c r="AW75" i="113"/>
  <c r="AV75" i="113"/>
  <c r="AU75" i="113"/>
  <c r="AT75" i="113"/>
  <c r="AS75" i="113"/>
  <c r="AR75" i="113"/>
  <c r="AQ75" i="113"/>
  <c r="AP75" i="113"/>
  <c r="AO75" i="113"/>
  <c r="AN75" i="113"/>
  <c r="AM75" i="113"/>
  <c r="AL75" i="113"/>
  <c r="AK75" i="113"/>
  <c r="AJ75" i="113"/>
  <c r="AX74" i="113"/>
  <c r="AW74" i="113"/>
  <c r="AV74" i="113"/>
  <c r="AU74" i="113"/>
  <c r="AT74" i="113"/>
  <c r="AS74" i="113"/>
  <c r="AR74" i="113"/>
  <c r="AQ74" i="113"/>
  <c r="AP74" i="113"/>
  <c r="AO74" i="113"/>
  <c r="AN74" i="113"/>
  <c r="AM74" i="113"/>
  <c r="AL74" i="113"/>
  <c r="AK74" i="113"/>
  <c r="AJ74" i="113"/>
  <c r="AX73" i="113"/>
  <c r="AW73" i="113"/>
  <c r="AV73" i="113"/>
  <c r="AU73" i="113"/>
  <c r="AT73" i="113"/>
  <c r="AS73" i="113"/>
  <c r="AR73" i="113"/>
  <c r="AQ73" i="113"/>
  <c r="AP73" i="113"/>
  <c r="AO73" i="113"/>
  <c r="AN73" i="113"/>
  <c r="AM73" i="113"/>
  <c r="AL73" i="113"/>
  <c r="AK73" i="113"/>
  <c r="AJ73" i="113"/>
  <c r="AX72" i="113"/>
  <c r="AW72" i="113"/>
  <c r="AV72" i="113"/>
  <c r="AU72" i="113"/>
  <c r="AT72" i="113"/>
  <c r="AS72" i="113"/>
  <c r="AR72" i="113"/>
  <c r="AQ72" i="113"/>
  <c r="AP72" i="113"/>
  <c r="AO72" i="113"/>
  <c r="AN72" i="113"/>
  <c r="AM72" i="113"/>
  <c r="AL72" i="113"/>
  <c r="AK72" i="113"/>
  <c r="AJ72" i="113"/>
  <c r="AX71" i="113"/>
  <c r="AW71" i="113"/>
  <c r="AV71" i="113"/>
  <c r="AU71" i="113"/>
  <c r="AT71" i="113"/>
  <c r="AS71" i="113"/>
  <c r="AR71" i="113"/>
  <c r="AQ71" i="113"/>
  <c r="AP71" i="113"/>
  <c r="AO71" i="113"/>
  <c r="AN71" i="113"/>
  <c r="AM71" i="113"/>
  <c r="AL71" i="113"/>
  <c r="AK71" i="113"/>
  <c r="AJ71" i="113"/>
  <c r="AX70" i="113"/>
  <c r="AW70" i="113"/>
  <c r="AV70" i="113"/>
  <c r="AU70" i="113"/>
  <c r="AT70" i="113"/>
  <c r="AS70" i="113"/>
  <c r="AR70" i="113"/>
  <c r="AQ70" i="113"/>
  <c r="AP70" i="113"/>
  <c r="AO70" i="113"/>
  <c r="AN70" i="113"/>
  <c r="AM70" i="113"/>
  <c r="AL70" i="113"/>
  <c r="AK70" i="113"/>
  <c r="AJ70" i="113"/>
  <c r="AX69" i="113"/>
  <c r="AW69" i="113"/>
  <c r="AV69" i="113"/>
  <c r="AU69" i="113"/>
  <c r="AT69" i="113"/>
  <c r="AS69" i="113"/>
  <c r="AR69" i="113"/>
  <c r="AQ69" i="113"/>
  <c r="AP69" i="113"/>
  <c r="AO69" i="113"/>
  <c r="AN69" i="113"/>
  <c r="AM69" i="113"/>
  <c r="AL69" i="113"/>
  <c r="AK69" i="113"/>
  <c r="AJ69" i="113"/>
  <c r="AX68" i="113"/>
  <c r="AW68" i="113"/>
  <c r="AV68" i="113"/>
  <c r="AU68" i="113"/>
  <c r="AT68" i="113"/>
  <c r="AS68" i="113"/>
  <c r="AR68" i="113"/>
  <c r="AQ68" i="113"/>
  <c r="AP68" i="113"/>
  <c r="AO68" i="113"/>
  <c r="AN68" i="113"/>
  <c r="AM68" i="113"/>
  <c r="AL68" i="113"/>
  <c r="AK68" i="113"/>
  <c r="AJ68" i="113"/>
  <c r="AX67" i="113"/>
  <c r="AW67" i="113"/>
  <c r="AV67" i="113"/>
  <c r="AU67" i="113"/>
  <c r="AT67" i="113"/>
  <c r="AS67" i="113"/>
  <c r="AR67" i="113"/>
  <c r="AQ67" i="113"/>
  <c r="AP67" i="113"/>
  <c r="AO67" i="113"/>
  <c r="AN67" i="113"/>
  <c r="AM67" i="113"/>
  <c r="AL67" i="113"/>
  <c r="AK67" i="113"/>
  <c r="AJ67" i="113"/>
  <c r="AX66" i="113"/>
  <c r="AW66" i="113"/>
  <c r="AV66" i="113"/>
  <c r="AU66" i="113"/>
  <c r="AT66" i="113"/>
  <c r="AS66" i="113"/>
  <c r="AR66" i="113"/>
  <c r="AQ66" i="113"/>
  <c r="AP66" i="113"/>
  <c r="AO66" i="113"/>
  <c r="AN66" i="113"/>
  <c r="AM66" i="113"/>
  <c r="AL66" i="113"/>
  <c r="AK66" i="113"/>
  <c r="AJ66" i="113"/>
  <c r="AX65" i="113"/>
  <c r="AW65" i="113"/>
  <c r="AV65" i="113"/>
  <c r="AU65" i="113"/>
  <c r="AT65" i="113"/>
  <c r="AS65" i="113"/>
  <c r="AR65" i="113"/>
  <c r="AQ65" i="113"/>
  <c r="AP65" i="113"/>
  <c r="AO65" i="113"/>
  <c r="AN65" i="113"/>
  <c r="AM65" i="113"/>
  <c r="AL65" i="113"/>
  <c r="AK65" i="113"/>
  <c r="AJ65" i="113"/>
  <c r="AX64" i="113"/>
  <c r="AW64" i="113"/>
  <c r="AV64" i="113"/>
  <c r="AU64" i="113"/>
  <c r="AT64" i="113"/>
  <c r="AS64" i="113"/>
  <c r="AR64" i="113"/>
  <c r="AQ64" i="113"/>
  <c r="AP64" i="113"/>
  <c r="AO64" i="113"/>
  <c r="AN64" i="113"/>
  <c r="AM64" i="113"/>
  <c r="AL64" i="113"/>
  <c r="AK64" i="113"/>
  <c r="AJ64" i="113"/>
  <c r="AX63" i="113"/>
  <c r="AW63" i="113"/>
  <c r="AV63" i="113"/>
  <c r="AU63" i="113"/>
  <c r="AT63" i="113"/>
  <c r="AS63" i="113"/>
  <c r="AR63" i="113"/>
  <c r="AQ63" i="113"/>
  <c r="AP63" i="113"/>
  <c r="AO63" i="113"/>
  <c r="AN63" i="113"/>
  <c r="AM63" i="113"/>
  <c r="AL63" i="113"/>
  <c r="AK63" i="113"/>
  <c r="AJ63" i="113"/>
  <c r="AX62" i="113"/>
  <c r="AW62" i="113"/>
  <c r="AV62" i="113"/>
  <c r="AU62" i="113"/>
  <c r="AT62" i="113"/>
  <c r="AS62" i="113"/>
  <c r="AR62" i="113"/>
  <c r="AQ62" i="113"/>
  <c r="AP62" i="113"/>
  <c r="AO62" i="113"/>
  <c r="AN62" i="113"/>
  <c r="AM62" i="113"/>
  <c r="AL62" i="113"/>
  <c r="AK62" i="113"/>
  <c r="AJ62" i="113"/>
  <c r="AX61" i="113"/>
  <c r="AW61" i="113"/>
  <c r="AV61" i="113"/>
  <c r="AU61" i="113"/>
  <c r="AT61" i="113"/>
  <c r="AS61" i="113"/>
  <c r="AR61" i="113"/>
  <c r="AQ61" i="113"/>
  <c r="AP61" i="113"/>
  <c r="AO61" i="113"/>
  <c r="AN61" i="113"/>
  <c r="AM61" i="113"/>
  <c r="AL61" i="113"/>
  <c r="AK61" i="113"/>
  <c r="AJ61" i="113"/>
  <c r="AX60" i="113"/>
  <c r="AW60" i="113"/>
  <c r="AV60" i="113"/>
  <c r="AU60" i="113"/>
  <c r="AT60" i="113"/>
  <c r="AS60" i="113"/>
  <c r="AR60" i="113"/>
  <c r="AQ60" i="113"/>
  <c r="AP60" i="113"/>
  <c r="AO60" i="113"/>
  <c r="AN60" i="113"/>
  <c r="AM60" i="113"/>
  <c r="AL60" i="113"/>
  <c r="AK60" i="113"/>
  <c r="AJ60" i="113"/>
  <c r="AX59" i="113"/>
  <c r="AW59" i="113"/>
  <c r="AV59" i="113"/>
  <c r="AU59" i="113"/>
  <c r="AT59" i="113"/>
  <c r="AS59" i="113"/>
  <c r="AR59" i="113"/>
  <c r="AQ59" i="113"/>
  <c r="AP59" i="113"/>
  <c r="AO59" i="113"/>
  <c r="AN59" i="113"/>
  <c r="AM59" i="113"/>
  <c r="AL59" i="113"/>
  <c r="AK59" i="113"/>
  <c r="AJ59" i="113"/>
  <c r="AX58" i="113"/>
  <c r="AW58" i="113"/>
  <c r="AV58" i="113"/>
  <c r="AU58" i="113"/>
  <c r="AT58" i="113"/>
  <c r="AS58" i="113"/>
  <c r="AR58" i="113"/>
  <c r="AQ58" i="113"/>
  <c r="AP58" i="113"/>
  <c r="AO58" i="113"/>
  <c r="AN58" i="113"/>
  <c r="AM58" i="113"/>
  <c r="AL58" i="113"/>
  <c r="AK58" i="113"/>
  <c r="AJ58" i="113"/>
  <c r="AX57" i="113"/>
  <c r="AW57" i="113"/>
  <c r="AV57" i="113"/>
  <c r="AU57" i="113"/>
  <c r="AT57" i="113"/>
  <c r="AS57" i="113"/>
  <c r="AR57" i="113"/>
  <c r="AQ57" i="113"/>
  <c r="AP57" i="113"/>
  <c r="AO57" i="113"/>
  <c r="AN57" i="113"/>
  <c r="AM57" i="113"/>
  <c r="AL57" i="113"/>
  <c r="AK57" i="113"/>
  <c r="AJ57" i="113"/>
  <c r="AX56" i="113"/>
  <c r="AW56" i="113"/>
  <c r="AV56" i="113"/>
  <c r="AU56" i="113"/>
  <c r="AT56" i="113"/>
  <c r="AS56" i="113"/>
  <c r="AR56" i="113"/>
  <c r="AQ56" i="113"/>
  <c r="AP56" i="113"/>
  <c r="AO56" i="113"/>
  <c r="AN56" i="113"/>
  <c r="AM56" i="113"/>
  <c r="AL56" i="113"/>
  <c r="AK56" i="113"/>
  <c r="AJ56" i="113"/>
  <c r="AX55" i="113"/>
  <c r="AW55" i="113"/>
  <c r="AV55" i="113"/>
  <c r="AU55" i="113"/>
  <c r="AT55" i="113"/>
  <c r="AS55" i="113"/>
  <c r="AR55" i="113"/>
  <c r="AQ55" i="113"/>
  <c r="AP55" i="113"/>
  <c r="AO55" i="113"/>
  <c r="AN55" i="113"/>
  <c r="AM55" i="113"/>
  <c r="AL55" i="113"/>
  <c r="AK55" i="113"/>
  <c r="AJ55" i="113"/>
  <c r="AX54" i="113"/>
  <c r="AW54" i="113"/>
  <c r="AV54" i="113"/>
  <c r="AU54" i="113"/>
  <c r="AT54" i="113"/>
  <c r="AS54" i="113"/>
  <c r="AR54" i="113"/>
  <c r="AQ54" i="113"/>
  <c r="AP54" i="113"/>
  <c r="AO54" i="113"/>
  <c r="AN54" i="113"/>
  <c r="AM54" i="113"/>
  <c r="AL54" i="113"/>
  <c r="AK54" i="113"/>
  <c r="AJ54" i="113"/>
  <c r="AX53" i="113"/>
  <c r="AW53" i="113"/>
  <c r="AV53" i="113"/>
  <c r="AU53" i="113"/>
  <c r="AT53" i="113"/>
  <c r="AS53" i="113"/>
  <c r="AR53" i="113"/>
  <c r="AQ53" i="113"/>
  <c r="AP53" i="113"/>
  <c r="AO53" i="113"/>
  <c r="AN53" i="113"/>
  <c r="AM53" i="113"/>
  <c r="AL53" i="113"/>
  <c r="AK53" i="113"/>
  <c r="AJ53" i="113"/>
  <c r="AX52" i="113"/>
  <c r="AW52" i="113"/>
  <c r="AV52" i="113"/>
  <c r="AU52" i="113"/>
  <c r="AT52" i="113"/>
  <c r="AS52" i="113"/>
  <c r="AR52" i="113"/>
  <c r="AQ52" i="113"/>
  <c r="AP52" i="113"/>
  <c r="AO52" i="113"/>
  <c r="AN52" i="113"/>
  <c r="AM52" i="113"/>
  <c r="AL52" i="113"/>
  <c r="AK52" i="113"/>
  <c r="AJ52" i="113"/>
  <c r="AX51" i="113"/>
  <c r="AW51" i="113"/>
  <c r="AV51" i="113"/>
  <c r="AU51" i="113"/>
  <c r="AT51" i="113"/>
  <c r="AS51" i="113"/>
  <c r="AR51" i="113"/>
  <c r="AQ51" i="113"/>
  <c r="AP51" i="113"/>
  <c r="AO51" i="113"/>
  <c r="AN51" i="113"/>
  <c r="AM51" i="113"/>
  <c r="AL51" i="113"/>
  <c r="AK51" i="113"/>
  <c r="AJ51" i="113"/>
  <c r="AX50" i="113"/>
  <c r="AW50" i="113"/>
  <c r="AV50" i="113"/>
  <c r="AU50" i="113"/>
  <c r="AT50" i="113"/>
  <c r="AS50" i="113"/>
  <c r="AR50" i="113"/>
  <c r="AQ50" i="113"/>
  <c r="AP50" i="113"/>
  <c r="AO50" i="113"/>
  <c r="AN50" i="113"/>
  <c r="AM50" i="113"/>
  <c r="AL50" i="113"/>
  <c r="AK50" i="113"/>
  <c r="AJ50" i="113"/>
  <c r="AX49" i="113"/>
  <c r="AW49" i="113"/>
  <c r="AV49" i="113"/>
  <c r="AU49" i="113"/>
  <c r="AT49" i="113"/>
  <c r="AS49" i="113"/>
  <c r="AR49" i="113"/>
  <c r="AQ49" i="113"/>
  <c r="AP49" i="113"/>
  <c r="AO49" i="113"/>
  <c r="AN49" i="113"/>
  <c r="AM49" i="113"/>
  <c r="AL49" i="113"/>
  <c r="AK49" i="113"/>
  <c r="AJ49" i="113"/>
  <c r="AX48" i="113"/>
  <c r="AW48" i="113"/>
  <c r="AV48" i="113"/>
  <c r="AU48" i="113"/>
  <c r="AT48" i="113"/>
  <c r="AS48" i="113"/>
  <c r="AR48" i="113"/>
  <c r="AQ48" i="113"/>
  <c r="AP48" i="113"/>
  <c r="AO48" i="113"/>
  <c r="AN48" i="113"/>
  <c r="AM48" i="113"/>
  <c r="AL48" i="113"/>
  <c r="AK48" i="113"/>
  <c r="AJ48" i="113"/>
  <c r="AX47" i="113"/>
  <c r="AW47" i="113"/>
  <c r="AV47" i="113"/>
  <c r="AU47" i="113"/>
  <c r="AT47" i="113"/>
  <c r="AS47" i="113"/>
  <c r="AR47" i="113"/>
  <c r="AQ47" i="113"/>
  <c r="AP47" i="113"/>
  <c r="AO47" i="113"/>
  <c r="AN47" i="113"/>
  <c r="AM47" i="113"/>
  <c r="AL47" i="113"/>
  <c r="AK47" i="113"/>
  <c r="AJ47" i="113"/>
  <c r="AX46" i="113"/>
  <c r="AW46" i="113"/>
  <c r="AV46" i="113"/>
  <c r="AU46" i="113"/>
  <c r="AT46" i="113"/>
  <c r="AS46" i="113"/>
  <c r="AR46" i="113"/>
  <c r="AQ46" i="113"/>
  <c r="AP46" i="113"/>
  <c r="AO46" i="113"/>
  <c r="AN46" i="113"/>
  <c r="AM46" i="113"/>
  <c r="AL46" i="113"/>
  <c r="AK46" i="113"/>
  <c r="AJ46" i="113"/>
  <c r="AX45" i="113"/>
  <c r="AW45" i="113"/>
  <c r="AV45" i="113"/>
  <c r="AU45" i="113"/>
  <c r="AT45" i="113"/>
  <c r="AS45" i="113"/>
  <c r="AR45" i="113"/>
  <c r="AQ45" i="113"/>
  <c r="AP45" i="113"/>
  <c r="AO45" i="113"/>
  <c r="AN45" i="113"/>
  <c r="AM45" i="113"/>
  <c r="AL45" i="113"/>
  <c r="AK45" i="113"/>
  <c r="AJ45" i="113"/>
  <c r="AX44" i="113"/>
  <c r="AW44" i="113"/>
  <c r="AV44" i="113"/>
  <c r="AU44" i="113"/>
  <c r="AT44" i="113"/>
  <c r="AS44" i="113"/>
  <c r="AR44" i="113"/>
  <c r="AQ44" i="113"/>
  <c r="AP44" i="113"/>
  <c r="AO44" i="113"/>
  <c r="AN44" i="113"/>
  <c r="AM44" i="113"/>
  <c r="AL44" i="113"/>
  <c r="AK44" i="113"/>
  <c r="AJ44" i="113"/>
  <c r="AX43" i="113"/>
  <c r="AW43" i="113"/>
  <c r="AV43" i="113"/>
  <c r="AU43" i="113"/>
  <c r="AT43" i="113"/>
  <c r="AS43" i="113"/>
  <c r="AR43" i="113"/>
  <c r="AQ43" i="113"/>
  <c r="AP43" i="113"/>
  <c r="AO43" i="113"/>
  <c r="AN43" i="113"/>
  <c r="AM43" i="113"/>
  <c r="AL43" i="113"/>
  <c r="AK43" i="113"/>
  <c r="AJ43" i="113"/>
  <c r="AX42" i="113"/>
  <c r="AW42" i="113"/>
  <c r="AV42" i="113"/>
  <c r="AU42" i="113"/>
  <c r="AT42" i="113"/>
  <c r="AS42" i="113"/>
  <c r="AR42" i="113"/>
  <c r="AQ42" i="113"/>
  <c r="AP42" i="113"/>
  <c r="AO42" i="113"/>
  <c r="AN42" i="113"/>
  <c r="AM42" i="113"/>
  <c r="AL42" i="113"/>
  <c r="AK42" i="113"/>
  <c r="AJ42" i="113"/>
  <c r="AX41" i="113"/>
  <c r="AW41" i="113"/>
  <c r="AV41" i="113"/>
  <c r="AU41" i="113"/>
  <c r="AT41" i="113"/>
  <c r="AS41" i="113"/>
  <c r="AR41" i="113"/>
  <c r="AQ41" i="113"/>
  <c r="AP41" i="113"/>
  <c r="AO41" i="113"/>
  <c r="AN41" i="113"/>
  <c r="AM41" i="113"/>
  <c r="AL41" i="113"/>
  <c r="AK41" i="113"/>
  <c r="AJ41" i="113"/>
  <c r="AX40" i="113"/>
  <c r="AW40" i="113"/>
  <c r="AV40" i="113"/>
  <c r="AU40" i="113"/>
  <c r="AT40" i="113"/>
  <c r="AS40" i="113"/>
  <c r="AR40" i="113"/>
  <c r="AQ40" i="113"/>
  <c r="AP40" i="113"/>
  <c r="AO40" i="113"/>
  <c r="AN40" i="113"/>
  <c r="AM40" i="113"/>
  <c r="AL40" i="113"/>
  <c r="AK40" i="113"/>
  <c r="AJ40" i="113"/>
  <c r="AX39" i="113"/>
  <c r="AW39" i="113"/>
  <c r="AV39" i="113"/>
  <c r="AU39" i="113"/>
  <c r="AT39" i="113"/>
  <c r="AS39" i="113"/>
  <c r="AR39" i="113"/>
  <c r="AQ39" i="113"/>
  <c r="AP39" i="113"/>
  <c r="AO39" i="113"/>
  <c r="AN39" i="113"/>
  <c r="AM39" i="113"/>
  <c r="AL39" i="113"/>
  <c r="AK39" i="113"/>
  <c r="AJ39" i="113"/>
  <c r="AX38" i="113"/>
  <c r="AW38" i="113"/>
  <c r="AV38" i="113"/>
  <c r="AU38" i="113"/>
  <c r="AT38" i="113"/>
  <c r="AS38" i="113"/>
  <c r="AR38" i="113"/>
  <c r="AQ38" i="113"/>
  <c r="AP38" i="113"/>
  <c r="AO38" i="113"/>
  <c r="AN38" i="113"/>
  <c r="AM38" i="113"/>
  <c r="AL38" i="113"/>
  <c r="AK38" i="113"/>
  <c r="AJ38" i="113"/>
  <c r="AX37" i="113"/>
  <c r="AW37" i="113"/>
  <c r="AV37" i="113"/>
  <c r="AU37" i="113"/>
  <c r="AT37" i="113"/>
  <c r="AS37" i="113"/>
  <c r="AR37" i="113"/>
  <c r="AQ37" i="113"/>
  <c r="AP37" i="113"/>
  <c r="AO37" i="113"/>
  <c r="AN37" i="113"/>
  <c r="AM37" i="113"/>
  <c r="AL37" i="113"/>
  <c r="AK37" i="113"/>
  <c r="AJ37" i="113"/>
  <c r="AX36" i="113"/>
  <c r="AW36" i="113"/>
  <c r="AV36" i="113"/>
  <c r="AU36" i="113"/>
  <c r="AT36" i="113"/>
  <c r="AS36" i="113"/>
  <c r="AR36" i="113"/>
  <c r="AQ36" i="113"/>
  <c r="AP36" i="113"/>
  <c r="AO36" i="113"/>
  <c r="AN36" i="113"/>
  <c r="AM36" i="113"/>
  <c r="AL36" i="113"/>
  <c r="AK36" i="113"/>
  <c r="AJ36" i="113"/>
  <c r="AX35" i="113"/>
  <c r="AW35" i="113"/>
  <c r="AV35" i="113"/>
  <c r="AU35" i="113"/>
  <c r="AT35" i="113"/>
  <c r="AS35" i="113"/>
  <c r="AR35" i="113"/>
  <c r="AQ35" i="113"/>
  <c r="AP35" i="113"/>
  <c r="AO35" i="113"/>
  <c r="AN35" i="113"/>
  <c r="AM35" i="113"/>
  <c r="AL35" i="113"/>
  <c r="AK35" i="113"/>
  <c r="AJ35" i="113"/>
  <c r="AX34" i="113"/>
  <c r="AW34" i="113"/>
  <c r="AV34" i="113"/>
  <c r="AU34" i="113"/>
  <c r="AT34" i="113"/>
  <c r="AS34" i="113"/>
  <c r="AR34" i="113"/>
  <c r="AQ34" i="113"/>
  <c r="AP34" i="113"/>
  <c r="AO34" i="113"/>
  <c r="AN34" i="113"/>
  <c r="AM34" i="113"/>
  <c r="AL34" i="113"/>
  <c r="AK34" i="113"/>
  <c r="AJ34" i="113"/>
  <c r="AX33" i="113"/>
  <c r="AW33" i="113"/>
  <c r="AV33" i="113"/>
  <c r="AU33" i="113"/>
  <c r="AT33" i="113"/>
  <c r="AS33" i="113"/>
  <c r="AR33" i="113"/>
  <c r="AQ33" i="113"/>
  <c r="AP33" i="113"/>
  <c r="AO33" i="113"/>
  <c r="AN33" i="113"/>
  <c r="AM33" i="113"/>
  <c r="AL33" i="113"/>
  <c r="AK33" i="113"/>
  <c r="AJ33" i="113"/>
  <c r="AX32" i="113"/>
  <c r="AW32" i="113"/>
  <c r="AV32" i="113"/>
  <c r="AU32" i="113"/>
  <c r="AT32" i="113"/>
  <c r="AS32" i="113"/>
  <c r="AR32" i="113"/>
  <c r="AQ32" i="113"/>
  <c r="AP32" i="113"/>
  <c r="AO32" i="113"/>
  <c r="AN32" i="113"/>
  <c r="AM32" i="113"/>
  <c r="AL32" i="113"/>
  <c r="AK32" i="113"/>
  <c r="AJ32" i="113"/>
  <c r="AX31" i="113"/>
  <c r="AW31" i="113"/>
  <c r="AV31" i="113"/>
  <c r="AU31" i="113"/>
  <c r="AT31" i="113"/>
  <c r="AS31" i="113"/>
  <c r="AR31" i="113"/>
  <c r="AQ31" i="113"/>
  <c r="AP31" i="113"/>
  <c r="AO31" i="113"/>
  <c r="AN31" i="113"/>
  <c r="AM31" i="113"/>
  <c r="AL31" i="113"/>
  <c r="AK31" i="113"/>
  <c r="AJ31" i="113"/>
  <c r="AX30" i="113"/>
  <c r="AW30" i="113"/>
  <c r="AV30" i="113"/>
  <c r="AU30" i="113"/>
  <c r="AT30" i="113"/>
  <c r="AS30" i="113"/>
  <c r="AR30" i="113"/>
  <c r="AQ30" i="113"/>
  <c r="AP30" i="113"/>
  <c r="AO30" i="113"/>
  <c r="AN30" i="113"/>
  <c r="AM30" i="113"/>
  <c r="AL30" i="113"/>
  <c r="AK30" i="113"/>
  <c r="AJ30" i="113"/>
  <c r="AX29" i="113"/>
  <c r="AW29" i="113"/>
  <c r="AV29" i="113"/>
  <c r="AU29" i="113"/>
  <c r="AT29" i="113"/>
  <c r="AS29" i="113"/>
  <c r="AR29" i="113"/>
  <c r="AQ29" i="113"/>
  <c r="AP29" i="113"/>
  <c r="AO29" i="113"/>
  <c r="AN29" i="113"/>
  <c r="AM29" i="113"/>
  <c r="AL29" i="113"/>
  <c r="AK29" i="113"/>
  <c r="AJ29" i="113"/>
  <c r="AX28" i="113"/>
  <c r="AW28" i="113"/>
  <c r="AV28" i="113"/>
  <c r="AU28" i="113"/>
  <c r="AT28" i="113"/>
  <c r="AS28" i="113"/>
  <c r="AR28" i="113"/>
  <c r="AQ28" i="113"/>
  <c r="AP28" i="113"/>
  <c r="AO28" i="113"/>
  <c r="AN28" i="113"/>
  <c r="AM28" i="113"/>
  <c r="AL28" i="113"/>
  <c r="AK28" i="113"/>
  <c r="AJ28" i="113"/>
  <c r="AX27" i="113"/>
  <c r="AW27" i="113"/>
  <c r="AV27" i="113"/>
  <c r="AU27" i="113"/>
  <c r="AT27" i="113"/>
  <c r="AS27" i="113"/>
  <c r="AR27" i="113"/>
  <c r="AQ27" i="113"/>
  <c r="AP27" i="113"/>
  <c r="AO27" i="113"/>
  <c r="AN27" i="113"/>
  <c r="AM27" i="113"/>
  <c r="AL27" i="113"/>
  <c r="AK27" i="113"/>
  <c r="AJ27" i="113"/>
  <c r="AX26" i="113"/>
  <c r="AW26" i="113"/>
  <c r="AV26" i="113"/>
  <c r="AU26" i="113"/>
  <c r="AT26" i="113"/>
  <c r="AS26" i="113"/>
  <c r="AR26" i="113"/>
  <c r="AQ26" i="113"/>
  <c r="AP26" i="113"/>
  <c r="AO26" i="113"/>
  <c r="AN26" i="113"/>
  <c r="AM26" i="113"/>
  <c r="AL26" i="113"/>
  <c r="AK26" i="113"/>
  <c r="AJ26" i="113"/>
  <c r="AX25" i="113"/>
  <c r="AW25" i="113"/>
  <c r="AV25" i="113"/>
  <c r="AU25" i="113"/>
  <c r="AT25" i="113"/>
  <c r="AS25" i="113"/>
  <c r="AR25" i="113"/>
  <c r="AQ25" i="113"/>
  <c r="AP25" i="113"/>
  <c r="AO25" i="113"/>
  <c r="AN25" i="113"/>
  <c r="AM25" i="113"/>
  <c r="AL25" i="113"/>
  <c r="AK25" i="113"/>
  <c r="AJ25" i="113"/>
  <c r="AX24" i="113"/>
  <c r="AW24" i="113"/>
  <c r="AV24" i="113"/>
  <c r="AU24" i="113"/>
  <c r="AT24" i="113"/>
  <c r="AS24" i="113"/>
  <c r="AR24" i="113"/>
  <c r="AQ24" i="113"/>
  <c r="AP24" i="113"/>
  <c r="AO24" i="113"/>
  <c r="AN24" i="113"/>
  <c r="AM24" i="113"/>
  <c r="AL24" i="113"/>
  <c r="AK24" i="113"/>
  <c r="AJ24" i="113"/>
  <c r="AX23" i="113"/>
  <c r="AW23" i="113"/>
  <c r="AV23" i="113"/>
  <c r="AU23" i="113"/>
  <c r="AT23" i="113"/>
  <c r="AS23" i="113"/>
  <c r="AR23" i="113"/>
  <c r="AQ23" i="113"/>
  <c r="AP23" i="113"/>
  <c r="AO23" i="113"/>
  <c r="AN23" i="113"/>
  <c r="AM23" i="113"/>
  <c r="AL23" i="113"/>
  <c r="AK23" i="113"/>
  <c r="AJ23" i="113"/>
  <c r="AX22" i="113"/>
  <c r="AW22" i="113"/>
  <c r="AV22" i="113"/>
  <c r="AU22" i="113"/>
  <c r="AT22" i="113"/>
  <c r="AS22" i="113"/>
  <c r="AR22" i="113"/>
  <c r="AQ22" i="113"/>
  <c r="AP22" i="113"/>
  <c r="AO22" i="113"/>
  <c r="AN22" i="113"/>
  <c r="AM22" i="113"/>
  <c r="AL22" i="113"/>
  <c r="AK22" i="113"/>
  <c r="AJ22" i="113"/>
  <c r="AX21" i="113"/>
  <c r="AW21" i="113"/>
  <c r="AV21" i="113"/>
  <c r="AU21" i="113"/>
  <c r="AT21" i="113"/>
  <c r="AS21" i="113"/>
  <c r="AR21" i="113"/>
  <c r="AQ21" i="113"/>
  <c r="AP21" i="113"/>
  <c r="AO21" i="113"/>
  <c r="AN21" i="113"/>
  <c r="AM21" i="113"/>
  <c r="AL21" i="113"/>
  <c r="AK21" i="113"/>
  <c r="AJ21" i="113"/>
  <c r="AX20" i="113"/>
  <c r="AW20" i="113"/>
  <c r="AV20" i="113"/>
  <c r="AU20" i="113"/>
  <c r="AT20" i="113"/>
  <c r="AS20" i="113"/>
  <c r="AR20" i="113"/>
  <c r="AQ20" i="113"/>
  <c r="AP20" i="113"/>
  <c r="AO20" i="113"/>
  <c r="AN20" i="113"/>
  <c r="AM20" i="113"/>
  <c r="AL20" i="113"/>
  <c r="AK20" i="113"/>
  <c r="AJ20" i="113"/>
  <c r="AX19" i="113"/>
  <c r="AW19" i="113"/>
  <c r="AV19" i="113"/>
  <c r="AU19" i="113"/>
  <c r="AT19" i="113"/>
  <c r="AS19" i="113"/>
  <c r="AR19" i="113"/>
  <c r="AQ19" i="113"/>
  <c r="AP19" i="113"/>
  <c r="AO19" i="113"/>
  <c r="AN19" i="113"/>
  <c r="AM19" i="113"/>
  <c r="AL19" i="113"/>
  <c r="AK19" i="113"/>
  <c r="AJ19" i="113"/>
  <c r="AX18" i="113"/>
  <c r="AW18" i="113"/>
  <c r="AV18" i="113"/>
  <c r="AU18" i="113"/>
  <c r="AT18" i="113"/>
  <c r="AS18" i="113"/>
  <c r="AR18" i="113"/>
  <c r="AQ18" i="113"/>
  <c r="AP18" i="113"/>
  <c r="AO18" i="113"/>
  <c r="AN18" i="113"/>
  <c r="AM18" i="113"/>
  <c r="AL18" i="113"/>
  <c r="AK18" i="113"/>
  <c r="AJ18" i="113"/>
  <c r="AX17" i="113"/>
  <c r="AW17" i="113"/>
  <c r="AV17" i="113"/>
  <c r="AU17" i="113"/>
  <c r="AT17" i="113"/>
  <c r="AS17" i="113"/>
  <c r="AR17" i="113"/>
  <c r="AQ17" i="113"/>
  <c r="AP17" i="113"/>
  <c r="AO17" i="113"/>
  <c r="AN17" i="113"/>
  <c r="AM17" i="113"/>
  <c r="AL17" i="113"/>
  <c r="AK17" i="113"/>
  <c r="AJ17" i="113"/>
  <c r="AX16" i="113"/>
  <c r="AW16" i="113"/>
  <c r="AV16" i="113"/>
  <c r="AU16" i="113"/>
  <c r="AT16" i="113"/>
  <c r="AS16" i="113"/>
  <c r="AR16" i="113"/>
  <c r="AQ16" i="113"/>
  <c r="AP16" i="113"/>
  <c r="AO16" i="113"/>
  <c r="AN16" i="113"/>
  <c r="AM16" i="113"/>
  <c r="AL16" i="113"/>
  <c r="AK16" i="113"/>
  <c r="AJ16" i="113"/>
  <c r="AX15" i="113"/>
  <c r="AW15" i="113"/>
  <c r="AV15" i="113"/>
  <c r="AU15" i="113"/>
  <c r="AT15" i="113"/>
  <c r="AS15" i="113"/>
  <c r="AR15" i="113"/>
  <c r="AQ15" i="113"/>
  <c r="AP15" i="113"/>
  <c r="AO15" i="113"/>
  <c r="AN15" i="113"/>
  <c r="AM15" i="113"/>
  <c r="AL15" i="113"/>
  <c r="AK15" i="113"/>
  <c r="AJ15" i="113"/>
  <c r="AX14" i="113"/>
  <c r="AW14" i="113"/>
  <c r="AV14" i="113"/>
  <c r="AU14" i="113"/>
  <c r="AT14" i="113"/>
  <c r="AS14" i="113"/>
  <c r="AR14" i="113"/>
  <c r="AQ14" i="113"/>
  <c r="AP14" i="113"/>
  <c r="AO14" i="113"/>
  <c r="AN14" i="113"/>
  <c r="AM14" i="113"/>
  <c r="AL14" i="113"/>
  <c r="AK14" i="113"/>
  <c r="AJ14" i="113"/>
  <c r="AX13" i="113"/>
  <c r="AW13" i="113"/>
  <c r="AV13" i="113"/>
  <c r="AU13" i="113"/>
  <c r="AT13" i="113"/>
  <c r="AS13" i="113"/>
  <c r="AR13" i="113"/>
  <c r="AQ13" i="113"/>
  <c r="AP13" i="113"/>
  <c r="AO13" i="113"/>
  <c r="AN13" i="113"/>
  <c r="AM13" i="113"/>
  <c r="AL13" i="113"/>
  <c r="AK13" i="113"/>
  <c r="AJ13" i="113"/>
  <c r="AX12" i="113"/>
  <c r="AW12" i="113"/>
  <c r="AV12" i="113"/>
  <c r="AU12" i="113"/>
  <c r="AT12" i="113"/>
  <c r="AS12" i="113"/>
  <c r="AR12" i="113"/>
  <c r="AQ12" i="113"/>
  <c r="AP12" i="113"/>
  <c r="AO12" i="113"/>
  <c r="AN12" i="113"/>
  <c r="AM12" i="113"/>
  <c r="AL12" i="113"/>
  <c r="AK12" i="113"/>
  <c r="AJ12" i="113"/>
  <c r="AX11" i="113"/>
  <c r="AW11" i="113"/>
  <c r="AV11" i="113"/>
  <c r="AU11" i="113"/>
  <c r="AT11" i="113"/>
  <c r="AS11" i="113"/>
  <c r="AR11" i="113"/>
  <c r="AQ11" i="113"/>
  <c r="AP11" i="113"/>
  <c r="AO11" i="113"/>
  <c r="AN11" i="113"/>
  <c r="AM11" i="113"/>
  <c r="AL11" i="113"/>
  <c r="AK11" i="113"/>
  <c r="AJ11" i="113"/>
  <c r="AX10" i="113"/>
  <c r="AW10" i="113"/>
  <c r="AV10" i="113"/>
  <c r="AU10" i="113"/>
  <c r="AT10" i="113"/>
  <c r="AS10" i="113"/>
  <c r="AR10" i="113"/>
  <c r="AQ10" i="113"/>
  <c r="AP10" i="113"/>
  <c r="AO10" i="113"/>
  <c r="AN10" i="113"/>
  <c r="AM10" i="113"/>
  <c r="AL10" i="113"/>
  <c r="AK10" i="113"/>
  <c r="AJ10" i="113"/>
  <c r="AX9" i="113"/>
  <c r="AW9" i="113"/>
  <c r="AV9" i="113"/>
  <c r="AU9" i="113"/>
  <c r="AT9" i="113"/>
  <c r="AS9" i="113"/>
  <c r="AR9" i="113"/>
  <c r="AQ9" i="113"/>
  <c r="AP9" i="113"/>
  <c r="AO9" i="113"/>
  <c r="AN9" i="113"/>
  <c r="AM9" i="113"/>
  <c r="AL9" i="113"/>
  <c r="AK9" i="113"/>
  <c r="AJ9" i="113"/>
  <c r="AX8" i="113"/>
  <c r="AW8" i="113"/>
  <c r="AV8" i="113"/>
  <c r="AU8" i="113"/>
  <c r="AT8" i="113"/>
  <c r="AS8" i="113"/>
  <c r="AR8" i="113"/>
  <c r="AQ8" i="113"/>
  <c r="AP8" i="113"/>
  <c r="AO8" i="113"/>
  <c r="AN8" i="113"/>
  <c r="AM8" i="113"/>
  <c r="AL8" i="113"/>
  <c r="AK8" i="113"/>
  <c r="AJ8" i="113"/>
  <c r="AX7" i="113"/>
  <c r="AW7" i="113"/>
  <c r="AV7" i="113"/>
  <c r="AU7" i="113"/>
  <c r="AT7" i="113"/>
  <c r="AS7" i="113"/>
  <c r="AR7" i="113"/>
  <c r="AQ7" i="113"/>
  <c r="AP7" i="113"/>
  <c r="AO7" i="113"/>
  <c r="AN7" i="113"/>
  <c r="AM7" i="113"/>
  <c r="AL7" i="113"/>
  <c r="AK7" i="113"/>
  <c r="AJ7" i="113"/>
  <c r="AX6" i="113"/>
  <c r="AW6" i="113"/>
  <c r="AV6" i="113"/>
  <c r="AU6" i="113"/>
  <c r="AT6" i="113"/>
  <c r="AS6" i="113"/>
  <c r="AR6" i="113"/>
  <c r="AQ6" i="113"/>
  <c r="AP6" i="113"/>
  <c r="AO6" i="113"/>
  <c r="AN6" i="113"/>
  <c r="AM6" i="113"/>
  <c r="AL6" i="113"/>
  <c r="AK6" i="113"/>
  <c r="AJ6" i="113"/>
  <c r="AX5" i="113"/>
  <c r="AW5" i="113"/>
  <c r="AV5" i="113"/>
  <c r="AU5" i="113"/>
  <c r="AT5" i="113"/>
  <c r="AS5" i="113"/>
  <c r="AR5" i="113"/>
  <c r="AQ5" i="113"/>
  <c r="AP5" i="113"/>
  <c r="AO5" i="113"/>
  <c r="AN5" i="113"/>
  <c r="AM5" i="113"/>
  <c r="AL5" i="113"/>
  <c r="AK5" i="113"/>
  <c r="AJ5" i="113"/>
  <c r="AI131" i="113"/>
  <c r="AI130" i="113"/>
  <c r="AI129" i="113"/>
  <c r="AI128" i="113"/>
  <c r="AI127" i="113"/>
  <c r="AI125" i="113"/>
  <c r="AI124" i="113"/>
  <c r="AI123" i="113"/>
  <c r="AI122" i="113"/>
  <c r="AI121" i="113"/>
  <c r="AI120" i="113"/>
  <c r="AI119" i="113"/>
  <c r="AI118" i="113"/>
  <c r="AI117" i="113"/>
  <c r="AI116" i="113"/>
  <c r="AI115" i="113"/>
  <c r="AI114" i="113"/>
  <c r="AI113" i="113"/>
  <c r="AI112" i="113"/>
  <c r="AI111" i="113"/>
  <c r="AI110" i="113"/>
  <c r="AI109" i="113"/>
  <c r="AI108" i="113"/>
  <c r="AI107" i="113"/>
  <c r="AI106" i="113"/>
  <c r="AI105" i="113"/>
  <c r="AI104" i="113"/>
  <c r="AI103" i="113"/>
  <c r="AI102" i="113"/>
  <c r="AI101" i="113"/>
  <c r="AI100" i="113"/>
  <c r="AI99" i="113"/>
  <c r="AI98" i="113"/>
  <c r="AI97" i="113"/>
  <c r="AI96" i="113"/>
  <c r="AI95" i="113"/>
  <c r="AI94" i="113"/>
  <c r="AI93" i="113"/>
  <c r="AI92" i="113"/>
  <c r="AI91" i="113"/>
  <c r="AI90" i="113"/>
  <c r="AI89" i="113"/>
  <c r="AI88" i="113"/>
  <c r="AI87" i="113"/>
  <c r="AI86" i="113"/>
  <c r="AI85" i="113"/>
  <c r="AI84" i="113"/>
  <c r="AI83" i="113"/>
  <c r="AI82" i="113"/>
  <c r="AI81" i="113"/>
  <c r="AI80" i="113"/>
  <c r="AI79" i="113"/>
  <c r="AI78" i="113"/>
  <c r="AI77" i="113"/>
  <c r="AI76" i="113"/>
  <c r="AI75" i="113"/>
  <c r="AI74" i="113"/>
  <c r="AI73" i="113"/>
  <c r="AI72" i="113"/>
  <c r="AI71" i="113"/>
  <c r="AI70" i="113"/>
  <c r="AI69" i="113"/>
  <c r="AI68" i="113"/>
  <c r="AI67" i="113"/>
  <c r="AI66" i="113"/>
  <c r="AI65" i="113"/>
  <c r="AI64" i="113"/>
  <c r="AI63" i="113"/>
  <c r="AI62" i="113"/>
  <c r="AI61" i="113"/>
  <c r="AI60" i="113"/>
  <c r="AI59" i="113"/>
  <c r="AI58" i="113"/>
  <c r="AI57" i="113"/>
  <c r="AI56" i="113"/>
  <c r="AI55" i="113"/>
  <c r="AI54" i="113"/>
  <c r="AI53" i="113"/>
  <c r="AI52" i="113"/>
  <c r="AI51" i="113"/>
  <c r="AI50" i="113"/>
  <c r="AI49" i="113"/>
  <c r="AI48" i="113"/>
  <c r="AI47" i="113"/>
  <c r="AY47" i="113" s="1"/>
  <c r="AI46" i="113"/>
  <c r="AI45" i="113"/>
  <c r="AI44" i="113"/>
  <c r="AI43" i="113"/>
  <c r="AY43" i="113" s="1"/>
  <c r="AI42" i="113"/>
  <c r="AI41" i="113"/>
  <c r="AI40" i="113"/>
  <c r="AI39" i="113"/>
  <c r="AY39" i="113" s="1"/>
  <c r="AI38" i="113"/>
  <c r="AI37" i="113"/>
  <c r="AI36" i="113"/>
  <c r="AI35" i="113"/>
  <c r="AY35" i="113" s="1"/>
  <c r="AI34" i="113"/>
  <c r="AI33" i="113"/>
  <c r="AI32" i="113"/>
  <c r="AI31" i="113"/>
  <c r="AY31" i="113" s="1"/>
  <c r="AI30" i="113"/>
  <c r="AI29" i="113"/>
  <c r="AI28" i="113"/>
  <c r="AI27" i="113"/>
  <c r="AY27" i="113" s="1"/>
  <c r="AI26" i="113"/>
  <c r="AI25" i="113"/>
  <c r="AI24" i="113"/>
  <c r="AI23" i="113"/>
  <c r="AY23" i="113" s="1"/>
  <c r="AI22" i="113"/>
  <c r="AI21" i="113"/>
  <c r="AI20" i="113"/>
  <c r="AI19" i="113"/>
  <c r="AY19" i="113" s="1"/>
  <c r="AI18" i="113"/>
  <c r="AI17" i="113"/>
  <c r="AI16" i="113"/>
  <c r="AI15" i="113"/>
  <c r="AY15" i="113" s="1"/>
  <c r="AI14" i="113"/>
  <c r="AI13" i="113"/>
  <c r="AI12" i="113"/>
  <c r="AI11" i="113"/>
  <c r="AY11" i="113" s="1"/>
  <c r="AI10" i="113"/>
  <c r="AI9" i="113"/>
  <c r="AI8" i="113"/>
  <c r="AI7" i="113"/>
  <c r="AY7" i="113" s="1"/>
  <c r="AI6" i="113"/>
  <c r="AI5" i="113"/>
  <c r="S131" i="113"/>
  <c r="S130" i="113"/>
  <c r="S129" i="113"/>
  <c r="S128" i="113"/>
  <c r="S127" i="113"/>
  <c r="S125" i="113"/>
  <c r="S124" i="113"/>
  <c r="S123" i="113"/>
  <c r="S122" i="113"/>
  <c r="S121" i="113"/>
  <c r="S120" i="113"/>
  <c r="S119" i="113"/>
  <c r="S118" i="113"/>
  <c r="S117" i="113"/>
  <c r="S116" i="113"/>
  <c r="S115" i="113"/>
  <c r="S114" i="113"/>
  <c r="S113" i="113"/>
  <c r="S112" i="113"/>
  <c r="S111" i="113"/>
  <c r="S110" i="113"/>
  <c r="S109" i="113"/>
  <c r="S108" i="113"/>
  <c r="S107" i="113"/>
  <c r="S106" i="113"/>
  <c r="S105" i="113"/>
  <c r="S104" i="113"/>
  <c r="S103" i="113"/>
  <c r="S102" i="113"/>
  <c r="S101" i="113"/>
  <c r="S100" i="113"/>
  <c r="S99" i="113"/>
  <c r="S98" i="113"/>
  <c r="S97" i="113"/>
  <c r="S96" i="113"/>
  <c r="S95" i="113"/>
  <c r="S94" i="113"/>
  <c r="S93" i="113"/>
  <c r="S92" i="113"/>
  <c r="S91" i="113"/>
  <c r="S90" i="113"/>
  <c r="S89" i="113"/>
  <c r="S88" i="113"/>
  <c r="S87" i="113"/>
  <c r="S86" i="113"/>
  <c r="S85" i="113"/>
  <c r="S84" i="113"/>
  <c r="S83" i="113"/>
  <c r="S82" i="113"/>
  <c r="S81" i="113"/>
  <c r="S80" i="113"/>
  <c r="S79" i="113"/>
  <c r="S78" i="113"/>
  <c r="S77" i="113"/>
  <c r="S76" i="113"/>
  <c r="S75" i="113"/>
  <c r="S74" i="113"/>
  <c r="S73" i="113"/>
  <c r="S72" i="113"/>
  <c r="S71" i="113"/>
  <c r="S70" i="113"/>
  <c r="S69" i="113"/>
  <c r="S68" i="113"/>
  <c r="S67" i="113"/>
  <c r="S66" i="113"/>
  <c r="S65" i="113"/>
  <c r="S64" i="113"/>
  <c r="S63" i="113"/>
  <c r="S62" i="113"/>
  <c r="S61" i="113"/>
  <c r="S60" i="113"/>
  <c r="S59" i="113"/>
  <c r="S58" i="113"/>
  <c r="S57" i="113"/>
  <c r="S56" i="113"/>
  <c r="S55" i="113"/>
  <c r="S54" i="113"/>
  <c r="S53" i="113"/>
  <c r="S52" i="113"/>
  <c r="S51" i="113"/>
  <c r="S50" i="113"/>
  <c r="S49" i="113"/>
  <c r="S48" i="113"/>
  <c r="S47" i="113"/>
  <c r="S46" i="113"/>
  <c r="S45" i="113"/>
  <c r="S44" i="113"/>
  <c r="S43" i="113"/>
  <c r="S42" i="113"/>
  <c r="S41" i="113"/>
  <c r="S40" i="113"/>
  <c r="S39" i="113"/>
  <c r="S38" i="113"/>
  <c r="S37" i="113"/>
  <c r="S36" i="113"/>
  <c r="S35" i="113"/>
  <c r="S34" i="113"/>
  <c r="S33" i="113"/>
  <c r="S32" i="113"/>
  <c r="S31" i="113"/>
  <c r="S30" i="113"/>
  <c r="S29" i="113"/>
  <c r="S28" i="113"/>
  <c r="S27" i="113"/>
  <c r="S26" i="113"/>
  <c r="S25" i="113"/>
  <c r="S24" i="113"/>
  <c r="S23" i="113"/>
  <c r="S22" i="113"/>
  <c r="S21" i="113"/>
  <c r="S20" i="113"/>
  <c r="S19" i="113"/>
  <c r="S18" i="113"/>
  <c r="S17" i="113"/>
  <c r="S16" i="113"/>
  <c r="S15" i="113"/>
  <c r="S14" i="113"/>
  <c r="S13" i="113"/>
  <c r="S12" i="113"/>
  <c r="S11" i="113"/>
  <c r="S10" i="113"/>
  <c r="S9" i="113"/>
  <c r="S8" i="113"/>
  <c r="S7" i="113"/>
  <c r="S6" i="113"/>
  <c r="S5" i="113"/>
  <c r="O131" i="114"/>
  <c r="N131" i="114"/>
  <c r="M131" i="114"/>
  <c r="L131" i="114"/>
  <c r="O130" i="114"/>
  <c r="N130" i="114"/>
  <c r="M130" i="114"/>
  <c r="L130" i="114"/>
  <c r="O129" i="114"/>
  <c r="N129" i="114"/>
  <c r="M129" i="114"/>
  <c r="L129" i="114"/>
  <c r="O128" i="114"/>
  <c r="N128" i="114"/>
  <c r="M128" i="114"/>
  <c r="L128" i="114"/>
  <c r="O127" i="114"/>
  <c r="N127" i="114"/>
  <c r="M127" i="114"/>
  <c r="L127" i="114"/>
  <c r="O100" i="114"/>
  <c r="N100" i="114"/>
  <c r="M100" i="114"/>
  <c r="L100" i="114"/>
  <c r="O99" i="114"/>
  <c r="N99" i="114"/>
  <c r="M99" i="114"/>
  <c r="L99" i="114"/>
  <c r="O98" i="114"/>
  <c r="N98" i="114"/>
  <c r="M98" i="114"/>
  <c r="L98" i="114"/>
  <c r="O125" i="114"/>
  <c r="N125" i="114"/>
  <c r="M125" i="114"/>
  <c r="L125" i="114"/>
  <c r="O124" i="114"/>
  <c r="N124" i="114"/>
  <c r="M124" i="114"/>
  <c r="L124" i="114"/>
  <c r="O97" i="114"/>
  <c r="N97" i="114"/>
  <c r="M97" i="114"/>
  <c r="L97" i="114"/>
  <c r="O96" i="114"/>
  <c r="N96" i="114"/>
  <c r="M96" i="114"/>
  <c r="L96" i="114"/>
  <c r="O95" i="114"/>
  <c r="N95" i="114"/>
  <c r="M95" i="114"/>
  <c r="L95" i="114"/>
  <c r="O123" i="114"/>
  <c r="N123" i="114"/>
  <c r="M123" i="114"/>
  <c r="L123" i="114"/>
  <c r="O94" i="114"/>
  <c r="N94" i="114"/>
  <c r="M94" i="114"/>
  <c r="L94" i="114"/>
  <c r="O93" i="114"/>
  <c r="N93" i="114"/>
  <c r="M93" i="114"/>
  <c r="L93" i="114"/>
  <c r="O92" i="114"/>
  <c r="N92" i="114"/>
  <c r="M92" i="114"/>
  <c r="L92" i="114"/>
  <c r="O122" i="114"/>
  <c r="N122" i="114"/>
  <c r="M122" i="114"/>
  <c r="L122" i="114"/>
  <c r="O91" i="114"/>
  <c r="N91" i="114"/>
  <c r="M91" i="114"/>
  <c r="L91" i="114"/>
  <c r="O90" i="114"/>
  <c r="N90" i="114"/>
  <c r="M90" i="114"/>
  <c r="L90" i="114"/>
  <c r="O89" i="114"/>
  <c r="N89" i="114"/>
  <c r="M89" i="114"/>
  <c r="L89" i="114"/>
  <c r="O88" i="114"/>
  <c r="N88" i="114"/>
  <c r="M88" i="114"/>
  <c r="L88" i="114"/>
  <c r="O87" i="114"/>
  <c r="N87" i="114"/>
  <c r="M87" i="114"/>
  <c r="L87" i="114"/>
  <c r="O86" i="114"/>
  <c r="N86" i="114"/>
  <c r="M86" i="114"/>
  <c r="L86" i="114"/>
  <c r="O85" i="114"/>
  <c r="N85" i="114"/>
  <c r="M85" i="114"/>
  <c r="L85" i="114"/>
  <c r="O84" i="114"/>
  <c r="N84" i="114"/>
  <c r="M84" i="114"/>
  <c r="L84" i="114"/>
  <c r="O83" i="114"/>
  <c r="N83" i="114"/>
  <c r="M83" i="114"/>
  <c r="L83" i="114"/>
  <c r="O82" i="114"/>
  <c r="N82" i="114"/>
  <c r="M82" i="114"/>
  <c r="L82" i="114"/>
  <c r="O121" i="114"/>
  <c r="N121" i="114"/>
  <c r="M121" i="114"/>
  <c r="L121" i="114"/>
  <c r="O81" i="114"/>
  <c r="N81" i="114"/>
  <c r="M81" i="114"/>
  <c r="L81" i="114"/>
  <c r="O120" i="114"/>
  <c r="N120" i="114"/>
  <c r="M120" i="114"/>
  <c r="L120" i="114"/>
  <c r="O80" i="114"/>
  <c r="N80" i="114"/>
  <c r="M80" i="114"/>
  <c r="L80" i="114"/>
  <c r="O119" i="114"/>
  <c r="N119" i="114"/>
  <c r="M119" i="114"/>
  <c r="L119" i="114"/>
  <c r="O79" i="114"/>
  <c r="N79" i="114"/>
  <c r="M79" i="114"/>
  <c r="L79" i="114"/>
  <c r="O78" i="114"/>
  <c r="N78" i="114"/>
  <c r="M78" i="114"/>
  <c r="L78" i="114"/>
  <c r="O77" i="114"/>
  <c r="N77" i="114"/>
  <c r="M77" i="114"/>
  <c r="L77" i="114"/>
  <c r="O76" i="114"/>
  <c r="N76" i="114"/>
  <c r="M76" i="114"/>
  <c r="L76" i="114"/>
  <c r="O75" i="114"/>
  <c r="N75" i="114"/>
  <c r="M75" i="114"/>
  <c r="L75" i="114"/>
  <c r="O118" i="114"/>
  <c r="N118" i="114"/>
  <c r="M118" i="114"/>
  <c r="L118" i="114"/>
  <c r="O74" i="114"/>
  <c r="N74" i="114"/>
  <c r="M74" i="114"/>
  <c r="L74" i="114"/>
  <c r="O117" i="114"/>
  <c r="N117" i="114"/>
  <c r="M117" i="114"/>
  <c r="L117" i="114"/>
  <c r="O73" i="114"/>
  <c r="N73" i="114"/>
  <c r="M73" i="114"/>
  <c r="L73" i="114"/>
  <c r="O72" i="114"/>
  <c r="N72" i="114"/>
  <c r="M72" i="114"/>
  <c r="L72" i="114"/>
  <c r="O71" i="114"/>
  <c r="N71" i="114"/>
  <c r="M71" i="114"/>
  <c r="L71" i="114"/>
  <c r="O70" i="114"/>
  <c r="N70" i="114"/>
  <c r="M70" i="114"/>
  <c r="L70" i="114"/>
  <c r="O116" i="114"/>
  <c r="N116" i="114"/>
  <c r="M116" i="114"/>
  <c r="L116" i="114"/>
  <c r="O69" i="114"/>
  <c r="N69" i="114"/>
  <c r="M69" i="114"/>
  <c r="L69" i="114"/>
  <c r="O68" i="114"/>
  <c r="N68" i="114"/>
  <c r="M68" i="114"/>
  <c r="L68" i="114"/>
  <c r="O115" i="114"/>
  <c r="N115" i="114"/>
  <c r="M115" i="114"/>
  <c r="L115" i="114"/>
  <c r="O114" i="114"/>
  <c r="N114" i="114"/>
  <c r="M114" i="114"/>
  <c r="L114" i="114"/>
  <c r="O67" i="114"/>
  <c r="N67" i="114"/>
  <c r="M67" i="114"/>
  <c r="L67" i="114"/>
  <c r="O66" i="114"/>
  <c r="N66" i="114"/>
  <c r="M66" i="114"/>
  <c r="L66" i="114"/>
  <c r="O65" i="114"/>
  <c r="N65" i="114"/>
  <c r="M65" i="114"/>
  <c r="L65" i="114"/>
  <c r="O64" i="114"/>
  <c r="N64" i="114"/>
  <c r="M64" i="114"/>
  <c r="L64" i="114"/>
  <c r="O63" i="114"/>
  <c r="N63" i="114"/>
  <c r="M63" i="114"/>
  <c r="L63" i="114"/>
  <c r="O62" i="114"/>
  <c r="N62" i="114"/>
  <c r="M62" i="114"/>
  <c r="L62" i="114"/>
  <c r="O113" i="114"/>
  <c r="N113" i="114"/>
  <c r="M113" i="114"/>
  <c r="L113" i="114"/>
  <c r="O112" i="114"/>
  <c r="N112" i="114"/>
  <c r="M112" i="114"/>
  <c r="L112" i="114"/>
  <c r="O61" i="114"/>
  <c r="N61" i="114"/>
  <c r="M61" i="114"/>
  <c r="L61" i="114"/>
  <c r="O111" i="114"/>
  <c r="N111" i="114"/>
  <c r="M111" i="114"/>
  <c r="L111" i="114"/>
  <c r="O60" i="114"/>
  <c r="N60" i="114"/>
  <c r="M60" i="114"/>
  <c r="L60" i="114"/>
  <c r="O59" i="114"/>
  <c r="N59" i="114"/>
  <c r="M59" i="114"/>
  <c r="L59" i="114"/>
  <c r="O58" i="114"/>
  <c r="N58" i="114"/>
  <c r="M58" i="114"/>
  <c r="L58" i="114"/>
  <c r="O57" i="114"/>
  <c r="N57" i="114"/>
  <c r="M57" i="114"/>
  <c r="L57" i="114"/>
  <c r="O56" i="114"/>
  <c r="N56" i="114"/>
  <c r="M56" i="114"/>
  <c r="L56" i="114"/>
  <c r="O55" i="114"/>
  <c r="N55" i="114"/>
  <c r="M55" i="114"/>
  <c r="L55" i="114"/>
  <c r="O54" i="114"/>
  <c r="N54" i="114"/>
  <c r="M54" i="114"/>
  <c r="L54" i="114"/>
  <c r="O53" i="114"/>
  <c r="N53" i="114"/>
  <c r="M53" i="114"/>
  <c r="L53" i="114"/>
  <c r="O52" i="114"/>
  <c r="N52" i="114"/>
  <c r="M52" i="114"/>
  <c r="L52" i="114"/>
  <c r="O51" i="114"/>
  <c r="N51" i="114"/>
  <c r="M51" i="114"/>
  <c r="L51" i="114"/>
  <c r="O110" i="114"/>
  <c r="N110" i="114"/>
  <c r="M110" i="114"/>
  <c r="L110" i="114"/>
  <c r="O50" i="114"/>
  <c r="N50" i="114"/>
  <c r="M50" i="114"/>
  <c r="L50" i="114"/>
  <c r="O49" i="114"/>
  <c r="N49" i="114"/>
  <c r="M49" i="114"/>
  <c r="L49" i="114"/>
  <c r="O48" i="114"/>
  <c r="N48" i="114"/>
  <c r="M48" i="114"/>
  <c r="L48" i="114"/>
  <c r="O47" i="114"/>
  <c r="N47" i="114"/>
  <c r="M47" i="114"/>
  <c r="L47" i="114"/>
  <c r="O109" i="114"/>
  <c r="N109" i="114"/>
  <c r="M109" i="114"/>
  <c r="L109" i="114"/>
  <c r="O46" i="114"/>
  <c r="N46" i="114"/>
  <c r="M46" i="114"/>
  <c r="L46" i="114"/>
  <c r="O45" i="114"/>
  <c r="N45" i="114"/>
  <c r="M45" i="114"/>
  <c r="L45" i="114"/>
  <c r="O44" i="114"/>
  <c r="N44" i="114"/>
  <c r="M44" i="114"/>
  <c r="L44" i="114"/>
  <c r="O43" i="114"/>
  <c r="N43" i="114"/>
  <c r="M43" i="114"/>
  <c r="L43" i="114"/>
  <c r="O42" i="114"/>
  <c r="N42" i="114"/>
  <c r="M42" i="114"/>
  <c r="L42" i="114"/>
  <c r="O41" i="114"/>
  <c r="N41" i="114"/>
  <c r="M41" i="114"/>
  <c r="L41" i="114"/>
  <c r="O40" i="114"/>
  <c r="N40" i="114"/>
  <c r="M40" i="114"/>
  <c r="L40" i="114"/>
  <c r="O108" i="114"/>
  <c r="N108" i="114"/>
  <c r="M108" i="114"/>
  <c r="L108" i="114"/>
  <c r="O107" i="114"/>
  <c r="N107" i="114"/>
  <c r="M107" i="114"/>
  <c r="L107" i="114"/>
  <c r="O39" i="114"/>
  <c r="N39" i="114"/>
  <c r="M39" i="114"/>
  <c r="L39" i="114"/>
  <c r="O38" i="114"/>
  <c r="N38" i="114"/>
  <c r="M38" i="114"/>
  <c r="L38" i="114"/>
  <c r="O106" i="114"/>
  <c r="N106" i="114"/>
  <c r="M106" i="114"/>
  <c r="L106" i="114"/>
  <c r="O37" i="114"/>
  <c r="N37" i="114"/>
  <c r="M37" i="114"/>
  <c r="L37" i="114"/>
  <c r="O36" i="114"/>
  <c r="N36" i="114"/>
  <c r="M36" i="114"/>
  <c r="L36" i="114"/>
  <c r="O35" i="114"/>
  <c r="N35" i="114"/>
  <c r="M35" i="114"/>
  <c r="L35" i="114"/>
  <c r="O34" i="114"/>
  <c r="N34" i="114"/>
  <c r="M34" i="114"/>
  <c r="L34" i="114"/>
  <c r="O33" i="114"/>
  <c r="N33" i="114"/>
  <c r="M33" i="114"/>
  <c r="L33" i="114"/>
  <c r="O32" i="114"/>
  <c r="N32" i="114"/>
  <c r="M32" i="114"/>
  <c r="L32" i="114"/>
  <c r="O31" i="114"/>
  <c r="N31" i="114"/>
  <c r="M31" i="114"/>
  <c r="L31" i="114"/>
  <c r="O105" i="114"/>
  <c r="N105" i="114"/>
  <c r="M105" i="114"/>
  <c r="L105" i="114"/>
  <c r="O30" i="114"/>
  <c r="N30" i="114"/>
  <c r="M30" i="114"/>
  <c r="L30" i="114"/>
  <c r="O29" i="114"/>
  <c r="N29" i="114"/>
  <c r="M29" i="114"/>
  <c r="L29" i="114"/>
  <c r="O28" i="114"/>
  <c r="N28" i="114"/>
  <c r="M28" i="114"/>
  <c r="L28" i="114"/>
  <c r="O27" i="114"/>
  <c r="N27" i="114"/>
  <c r="M27" i="114"/>
  <c r="L27" i="114"/>
  <c r="O26" i="114"/>
  <c r="N26" i="114"/>
  <c r="M26" i="114"/>
  <c r="L26" i="114"/>
  <c r="O104" i="114"/>
  <c r="N104" i="114"/>
  <c r="M104" i="114"/>
  <c r="L104" i="114"/>
  <c r="O103" i="114"/>
  <c r="N103" i="114"/>
  <c r="M103" i="114"/>
  <c r="L103" i="114"/>
  <c r="O25" i="114"/>
  <c r="N25" i="114"/>
  <c r="M25" i="114"/>
  <c r="L25" i="114"/>
  <c r="O24" i="114"/>
  <c r="N24" i="114"/>
  <c r="M24" i="114"/>
  <c r="L24" i="114"/>
  <c r="O23" i="114"/>
  <c r="N23" i="114"/>
  <c r="M23" i="114"/>
  <c r="L23" i="114"/>
  <c r="O22" i="114"/>
  <c r="N22" i="114"/>
  <c r="M22" i="114"/>
  <c r="L22" i="114"/>
  <c r="O21" i="114"/>
  <c r="N21" i="114"/>
  <c r="M21" i="114"/>
  <c r="L21" i="114"/>
  <c r="O20" i="114"/>
  <c r="N20" i="114"/>
  <c r="M20" i="114"/>
  <c r="L20" i="114"/>
  <c r="O19" i="114"/>
  <c r="N19" i="114"/>
  <c r="M19" i="114"/>
  <c r="L19" i="114"/>
  <c r="O18" i="114"/>
  <c r="N18" i="114"/>
  <c r="M18" i="114"/>
  <c r="L18" i="114"/>
  <c r="O102" i="114"/>
  <c r="N102" i="114"/>
  <c r="M102" i="114"/>
  <c r="L102" i="114"/>
  <c r="O17" i="114"/>
  <c r="N17" i="114"/>
  <c r="M17" i="114"/>
  <c r="L17" i="114"/>
  <c r="O16" i="114"/>
  <c r="N16" i="114"/>
  <c r="M16" i="114"/>
  <c r="L16" i="114"/>
  <c r="O15" i="114"/>
  <c r="N15" i="114"/>
  <c r="M15" i="114"/>
  <c r="L15" i="114"/>
  <c r="O14" i="114"/>
  <c r="N14" i="114"/>
  <c r="M14" i="114"/>
  <c r="L14" i="114"/>
  <c r="O13" i="114"/>
  <c r="N13" i="114"/>
  <c r="M13" i="114"/>
  <c r="L13" i="114"/>
  <c r="O12" i="114"/>
  <c r="N12" i="114"/>
  <c r="M12" i="114"/>
  <c r="L12" i="114"/>
  <c r="O11" i="114"/>
  <c r="N11" i="114"/>
  <c r="M11" i="114"/>
  <c r="L11" i="114"/>
  <c r="O10" i="114"/>
  <c r="N10" i="114"/>
  <c r="M10" i="114"/>
  <c r="L10" i="114"/>
  <c r="O9" i="114"/>
  <c r="N9" i="114"/>
  <c r="M9" i="114"/>
  <c r="L9" i="114"/>
  <c r="O8" i="114"/>
  <c r="N8" i="114"/>
  <c r="M8" i="114"/>
  <c r="L8" i="114"/>
  <c r="O101" i="114"/>
  <c r="N101" i="114"/>
  <c r="M101" i="114"/>
  <c r="L101" i="114"/>
  <c r="O7" i="114"/>
  <c r="N7" i="114"/>
  <c r="M7" i="114"/>
  <c r="L7" i="114"/>
  <c r="O6" i="114"/>
  <c r="N6" i="114"/>
  <c r="M6" i="114"/>
  <c r="L6" i="114"/>
  <c r="O5" i="114"/>
  <c r="N5" i="114"/>
  <c r="M5" i="114"/>
  <c r="L5" i="114"/>
  <c r="AI131" i="109"/>
  <c r="AI130" i="109"/>
  <c r="AI129" i="109"/>
  <c r="AI128" i="109"/>
  <c r="AI127" i="109"/>
  <c r="AI125" i="109"/>
  <c r="AI124" i="109"/>
  <c r="AI123" i="109"/>
  <c r="AI122" i="109"/>
  <c r="AI121" i="109"/>
  <c r="AI120" i="109"/>
  <c r="AI119" i="109"/>
  <c r="AI118" i="109"/>
  <c r="AI117" i="109"/>
  <c r="AI116" i="109"/>
  <c r="AI115" i="109"/>
  <c r="AI114" i="109"/>
  <c r="AI113" i="109"/>
  <c r="AI112" i="109"/>
  <c r="AI111" i="109"/>
  <c r="AI110" i="109"/>
  <c r="AI109" i="109"/>
  <c r="AI108" i="109"/>
  <c r="AI107" i="109"/>
  <c r="AI106" i="109"/>
  <c r="AI105" i="109"/>
  <c r="AI104" i="109"/>
  <c r="AI103" i="109"/>
  <c r="AI102" i="109"/>
  <c r="AI101" i="109"/>
  <c r="AI100" i="109"/>
  <c r="AI99" i="109"/>
  <c r="AI98" i="109"/>
  <c r="AI97" i="109"/>
  <c r="AI96" i="109"/>
  <c r="AI95" i="109"/>
  <c r="AI94" i="109"/>
  <c r="AI93" i="109"/>
  <c r="AI92" i="109"/>
  <c r="AI91" i="109"/>
  <c r="AI90" i="109"/>
  <c r="AI89" i="109"/>
  <c r="AI88" i="109"/>
  <c r="AI87" i="109"/>
  <c r="AI86" i="109"/>
  <c r="AI85" i="109"/>
  <c r="AI84" i="109"/>
  <c r="AI83" i="109"/>
  <c r="AI82" i="109"/>
  <c r="AI81" i="109"/>
  <c r="AI80" i="109"/>
  <c r="AI79" i="109"/>
  <c r="AI78" i="109"/>
  <c r="AI77" i="109"/>
  <c r="AI76" i="109"/>
  <c r="AI75" i="109"/>
  <c r="AI74" i="109"/>
  <c r="AI73" i="109"/>
  <c r="AI72" i="109"/>
  <c r="AI71" i="109"/>
  <c r="AI70" i="109"/>
  <c r="AI69" i="109"/>
  <c r="AI68" i="109"/>
  <c r="AI67" i="109"/>
  <c r="AI66" i="109"/>
  <c r="AI65" i="109"/>
  <c r="AI64" i="109"/>
  <c r="AI63" i="109"/>
  <c r="AI62" i="109"/>
  <c r="AI61" i="109"/>
  <c r="AI60" i="109"/>
  <c r="AI59" i="109"/>
  <c r="AI58" i="109"/>
  <c r="AI57" i="109"/>
  <c r="AI56" i="109"/>
  <c r="AI55" i="109"/>
  <c r="AI54" i="109"/>
  <c r="AI53" i="109"/>
  <c r="AI52" i="109"/>
  <c r="AI51" i="109"/>
  <c r="AI50" i="109"/>
  <c r="AI49" i="109"/>
  <c r="AI48" i="109"/>
  <c r="AI47" i="109"/>
  <c r="AI46" i="109"/>
  <c r="AI45" i="109"/>
  <c r="AI44" i="109"/>
  <c r="AI43" i="109"/>
  <c r="AI42" i="109"/>
  <c r="AI41" i="109"/>
  <c r="AI40" i="109"/>
  <c r="AI39" i="109"/>
  <c r="AI38" i="109"/>
  <c r="AI37" i="109"/>
  <c r="AI36" i="109"/>
  <c r="AI35" i="109"/>
  <c r="AI34" i="109"/>
  <c r="AI33" i="109"/>
  <c r="AI32" i="109"/>
  <c r="AI31" i="109"/>
  <c r="AI30" i="109"/>
  <c r="AI29" i="109"/>
  <c r="AI28" i="109"/>
  <c r="AI27" i="109"/>
  <c r="AI26" i="109"/>
  <c r="AI25" i="109"/>
  <c r="AI24" i="109"/>
  <c r="AI23" i="109"/>
  <c r="AI22" i="109"/>
  <c r="AI21" i="109"/>
  <c r="AI20" i="109"/>
  <c r="AI19" i="109"/>
  <c r="AI18" i="109"/>
  <c r="AI17" i="109"/>
  <c r="AI16" i="109"/>
  <c r="AI15" i="109"/>
  <c r="AI14" i="109"/>
  <c r="AI13" i="109"/>
  <c r="AI12" i="109"/>
  <c r="AI11" i="109"/>
  <c r="AI10" i="109"/>
  <c r="AI9" i="109"/>
  <c r="AI8" i="109"/>
  <c r="AI7" i="109"/>
  <c r="AI6" i="109"/>
  <c r="AI5" i="109"/>
  <c r="S131" i="109"/>
  <c r="S130" i="109"/>
  <c r="S129" i="109"/>
  <c r="S128" i="109"/>
  <c r="S127" i="109"/>
  <c r="S125" i="109"/>
  <c r="S124" i="109"/>
  <c r="S123" i="109"/>
  <c r="S122" i="109"/>
  <c r="S121" i="109"/>
  <c r="S120" i="109"/>
  <c r="S119" i="109"/>
  <c r="S118" i="109"/>
  <c r="S117" i="109"/>
  <c r="S116" i="109"/>
  <c r="S115" i="109"/>
  <c r="S114" i="109"/>
  <c r="S113" i="109"/>
  <c r="S112" i="109"/>
  <c r="S111" i="109"/>
  <c r="S110" i="109"/>
  <c r="S109" i="109"/>
  <c r="S108" i="109"/>
  <c r="S107" i="109"/>
  <c r="S106" i="109"/>
  <c r="S105" i="109"/>
  <c r="S104" i="109"/>
  <c r="S103" i="109"/>
  <c r="S102" i="109"/>
  <c r="S101" i="109"/>
  <c r="S100" i="109"/>
  <c r="S99" i="109"/>
  <c r="S98" i="109"/>
  <c r="S97" i="109"/>
  <c r="S96" i="109"/>
  <c r="S95" i="109"/>
  <c r="S94" i="109"/>
  <c r="S93" i="109"/>
  <c r="S92" i="109"/>
  <c r="S91" i="109"/>
  <c r="S90" i="109"/>
  <c r="S89" i="109"/>
  <c r="S88" i="109"/>
  <c r="S87" i="109"/>
  <c r="S86" i="109"/>
  <c r="S85" i="109"/>
  <c r="S84" i="109"/>
  <c r="S83" i="109"/>
  <c r="S82" i="109"/>
  <c r="S81" i="109"/>
  <c r="S80" i="109"/>
  <c r="S79" i="109"/>
  <c r="S78" i="109"/>
  <c r="S77" i="109"/>
  <c r="S76" i="109"/>
  <c r="S75" i="109"/>
  <c r="S74" i="109"/>
  <c r="S73" i="109"/>
  <c r="S72" i="109"/>
  <c r="S71" i="109"/>
  <c r="S70" i="109"/>
  <c r="S69" i="109"/>
  <c r="S68" i="109"/>
  <c r="S67" i="109"/>
  <c r="S66" i="109"/>
  <c r="S65" i="109"/>
  <c r="S64" i="109"/>
  <c r="S63" i="109"/>
  <c r="S62" i="109"/>
  <c r="S61" i="109"/>
  <c r="S60" i="109"/>
  <c r="S59" i="109"/>
  <c r="S58" i="109"/>
  <c r="S57" i="109"/>
  <c r="S56" i="109"/>
  <c r="S55" i="109"/>
  <c r="S54" i="109"/>
  <c r="S53" i="109"/>
  <c r="S52" i="109"/>
  <c r="S51" i="109"/>
  <c r="S50" i="109"/>
  <c r="S49" i="109"/>
  <c r="S48" i="109"/>
  <c r="S47" i="109"/>
  <c r="S46" i="109"/>
  <c r="S45" i="109"/>
  <c r="S44" i="109"/>
  <c r="S43" i="109"/>
  <c r="S42" i="109"/>
  <c r="S41" i="109"/>
  <c r="S40" i="109"/>
  <c r="S39" i="109"/>
  <c r="S38" i="109"/>
  <c r="S37" i="109"/>
  <c r="S36" i="109"/>
  <c r="S35" i="109"/>
  <c r="S34" i="109"/>
  <c r="S33" i="109"/>
  <c r="S32" i="109"/>
  <c r="S31" i="109"/>
  <c r="S30" i="109"/>
  <c r="S29" i="109"/>
  <c r="S28" i="109"/>
  <c r="S27" i="109"/>
  <c r="S26" i="109"/>
  <c r="S25" i="109"/>
  <c r="S24" i="109"/>
  <c r="S23" i="109"/>
  <c r="S22" i="109"/>
  <c r="S21" i="109"/>
  <c r="S20" i="109"/>
  <c r="S19" i="109"/>
  <c r="S18" i="109"/>
  <c r="S17" i="109"/>
  <c r="S16" i="109"/>
  <c r="S15" i="109"/>
  <c r="S14" i="109"/>
  <c r="S13" i="109"/>
  <c r="S12" i="109"/>
  <c r="S11" i="109"/>
  <c r="S10" i="109"/>
  <c r="S9" i="109"/>
  <c r="S8" i="109"/>
  <c r="S7" i="109"/>
  <c r="S5" i="109"/>
  <c r="S6" i="109"/>
  <c r="I125" i="84"/>
  <c r="H125" i="84"/>
  <c r="I124" i="84"/>
  <c r="H124" i="84"/>
  <c r="I123" i="84"/>
  <c r="H123" i="84"/>
  <c r="I122" i="84"/>
  <c r="H122" i="84"/>
  <c r="I121" i="84"/>
  <c r="H121" i="84"/>
  <c r="I120" i="84"/>
  <c r="H120" i="84"/>
  <c r="I119" i="84"/>
  <c r="H119" i="84"/>
  <c r="I118" i="84"/>
  <c r="H118" i="84"/>
  <c r="I117" i="84"/>
  <c r="H117" i="84"/>
  <c r="I116" i="84"/>
  <c r="H116" i="84"/>
  <c r="I115" i="84"/>
  <c r="H115" i="84"/>
  <c r="I114" i="84"/>
  <c r="H114" i="84"/>
  <c r="I113" i="84"/>
  <c r="H113" i="84"/>
  <c r="I112" i="84"/>
  <c r="H112" i="84"/>
  <c r="I111" i="84"/>
  <c r="H111" i="84"/>
  <c r="I110" i="84"/>
  <c r="H110" i="84"/>
  <c r="I109" i="84"/>
  <c r="H109" i="84"/>
  <c r="I108" i="84"/>
  <c r="H108" i="84"/>
  <c r="I107" i="84"/>
  <c r="H107" i="84"/>
  <c r="I106" i="84"/>
  <c r="H106" i="84"/>
  <c r="I105" i="84"/>
  <c r="H105" i="84"/>
  <c r="I104" i="84"/>
  <c r="H104" i="84"/>
  <c r="I103" i="84"/>
  <c r="H103" i="84"/>
  <c r="I102" i="84"/>
  <c r="H102" i="84"/>
  <c r="I101" i="84"/>
  <c r="H101" i="84"/>
  <c r="I100" i="84"/>
  <c r="H100" i="84"/>
  <c r="I99" i="84"/>
  <c r="H99" i="84"/>
  <c r="I98" i="84"/>
  <c r="H98" i="84"/>
  <c r="I97" i="84"/>
  <c r="H97" i="84"/>
  <c r="I96" i="84"/>
  <c r="H96" i="84"/>
  <c r="I95" i="84"/>
  <c r="H95" i="84"/>
  <c r="I94" i="84"/>
  <c r="H94" i="84"/>
  <c r="I93" i="84"/>
  <c r="H93" i="84"/>
  <c r="I92" i="84"/>
  <c r="H92" i="84"/>
  <c r="I91" i="84"/>
  <c r="H91" i="84"/>
  <c r="I90" i="84"/>
  <c r="H90" i="84"/>
  <c r="I89" i="84"/>
  <c r="H89" i="84"/>
  <c r="I88" i="84"/>
  <c r="H88" i="84"/>
  <c r="I87" i="84"/>
  <c r="H87" i="84"/>
  <c r="I86" i="84"/>
  <c r="H86" i="84"/>
  <c r="I85" i="84"/>
  <c r="H85" i="84"/>
  <c r="I84" i="84"/>
  <c r="H84" i="84"/>
  <c r="I83" i="84"/>
  <c r="H83" i="84"/>
  <c r="I82" i="84"/>
  <c r="H82" i="84"/>
  <c r="I81" i="84"/>
  <c r="H81" i="84"/>
  <c r="I80" i="84"/>
  <c r="H80" i="84"/>
  <c r="I79" i="84"/>
  <c r="H79" i="84"/>
  <c r="I78" i="84"/>
  <c r="H78" i="84"/>
  <c r="I77" i="84"/>
  <c r="H77" i="84"/>
  <c r="I76" i="84"/>
  <c r="H76" i="84"/>
  <c r="I75" i="84"/>
  <c r="H75" i="84"/>
  <c r="I74" i="84"/>
  <c r="H74" i="84"/>
  <c r="I73" i="84"/>
  <c r="H73" i="84"/>
  <c r="I72" i="84"/>
  <c r="H72" i="84"/>
  <c r="I71" i="84"/>
  <c r="H71" i="84"/>
  <c r="I70" i="84"/>
  <c r="H70" i="84"/>
  <c r="I69" i="84"/>
  <c r="H69" i="84"/>
  <c r="I68" i="84"/>
  <c r="H68" i="84"/>
  <c r="I67" i="84"/>
  <c r="H67" i="84"/>
  <c r="I66" i="84"/>
  <c r="H66" i="84"/>
  <c r="I65" i="84"/>
  <c r="H65" i="84"/>
  <c r="I64" i="84"/>
  <c r="H64" i="84"/>
  <c r="I63" i="84"/>
  <c r="H63" i="84"/>
  <c r="I62" i="84"/>
  <c r="H62" i="84"/>
  <c r="I61" i="84"/>
  <c r="H61" i="84"/>
  <c r="I60" i="84"/>
  <c r="H60" i="84"/>
  <c r="I59" i="84"/>
  <c r="H59" i="84"/>
  <c r="I58" i="84"/>
  <c r="H58" i="84"/>
  <c r="I57" i="84"/>
  <c r="H57" i="84"/>
  <c r="I56" i="84"/>
  <c r="H56" i="84"/>
  <c r="I55" i="84"/>
  <c r="H55" i="84"/>
  <c r="I54" i="84"/>
  <c r="H54" i="84"/>
  <c r="I53" i="84"/>
  <c r="H53" i="84"/>
  <c r="I52" i="84"/>
  <c r="H52" i="84"/>
  <c r="I51" i="84"/>
  <c r="H51" i="84"/>
  <c r="I50" i="84"/>
  <c r="H50" i="84"/>
  <c r="I49" i="84"/>
  <c r="H49" i="84"/>
  <c r="I48" i="84"/>
  <c r="H48" i="84"/>
  <c r="I47" i="84"/>
  <c r="H47" i="84"/>
  <c r="I46" i="84"/>
  <c r="H46" i="84"/>
  <c r="I45" i="84"/>
  <c r="H45" i="84"/>
  <c r="I44" i="84"/>
  <c r="H44" i="84"/>
  <c r="I43" i="84"/>
  <c r="H43" i="84"/>
  <c r="I42" i="84"/>
  <c r="H42" i="84"/>
  <c r="I41" i="84"/>
  <c r="H41" i="84"/>
  <c r="I40" i="84"/>
  <c r="H40" i="84"/>
  <c r="I39" i="84"/>
  <c r="H39" i="84"/>
  <c r="I38" i="84"/>
  <c r="H38" i="84"/>
  <c r="I37" i="84"/>
  <c r="H37" i="84"/>
  <c r="I36" i="84"/>
  <c r="H36" i="84"/>
  <c r="I35" i="84"/>
  <c r="H35" i="84"/>
  <c r="I34" i="84"/>
  <c r="H34" i="84"/>
  <c r="I33" i="84"/>
  <c r="H33" i="84"/>
  <c r="I32" i="84"/>
  <c r="H32" i="84"/>
  <c r="I31" i="84"/>
  <c r="H31" i="84"/>
  <c r="I30" i="84"/>
  <c r="H30" i="84"/>
  <c r="I29" i="84"/>
  <c r="H29" i="84"/>
  <c r="I28" i="84"/>
  <c r="H28" i="84"/>
  <c r="I27" i="84"/>
  <c r="H27" i="84"/>
  <c r="I26" i="84"/>
  <c r="H26" i="84"/>
  <c r="I25" i="84"/>
  <c r="H25" i="84"/>
  <c r="I24" i="84"/>
  <c r="H24" i="84"/>
  <c r="I23" i="84"/>
  <c r="H23" i="84"/>
  <c r="I22" i="84"/>
  <c r="H22" i="84"/>
  <c r="I21" i="84"/>
  <c r="H21" i="84"/>
  <c r="I20" i="84"/>
  <c r="H20" i="84"/>
  <c r="I19" i="84"/>
  <c r="H19" i="84"/>
  <c r="I18" i="84"/>
  <c r="H18" i="84"/>
  <c r="I17" i="84"/>
  <c r="H17" i="84"/>
  <c r="I16" i="84"/>
  <c r="H16" i="84"/>
  <c r="I15" i="84"/>
  <c r="H15" i="84"/>
  <c r="I14" i="84"/>
  <c r="H14" i="84"/>
  <c r="I13" i="84"/>
  <c r="H13" i="84"/>
  <c r="I12" i="84"/>
  <c r="H12" i="84"/>
  <c r="I11" i="84"/>
  <c r="H11" i="84"/>
  <c r="I10" i="84"/>
  <c r="H10" i="84"/>
  <c r="I9" i="84"/>
  <c r="H9" i="84"/>
  <c r="I8" i="84"/>
  <c r="H8" i="84"/>
  <c r="I7" i="84"/>
  <c r="H7" i="84"/>
  <c r="I6" i="84"/>
  <c r="H6" i="84"/>
  <c r="G125" i="84"/>
  <c r="G124" i="84"/>
  <c r="G123" i="84"/>
  <c r="G122" i="84"/>
  <c r="G121" i="84"/>
  <c r="G120" i="84"/>
  <c r="G119" i="84"/>
  <c r="G118" i="84"/>
  <c r="G117" i="84"/>
  <c r="G116" i="84"/>
  <c r="G115" i="84"/>
  <c r="G114" i="84"/>
  <c r="G113" i="84"/>
  <c r="G112" i="84"/>
  <c r="G111" i="84"/>
  <c r="G110" i="84"/>
  <c r="G109" i="84"/>
  <c r="G108" i="84"/>
  <c r="G107" i="84"/>
  <c r="G106" i="84"/>
  <c r="G105" i="84"/>
  <c r="G104" i="84"/>
  <c r="G103" i="84"/>
  <c r="G102" i="84"/>
  <c r="G101" i="84"/>
  <c r="G100" i="84"/>
  <c r="G99" i="84"/>
  <c r="G98" i="84"/>
  <c r="G97" i="84"/>
  <c r="G96" i="84"/>
  <c r="G95" i="84"/>
  <c r="G94" i="84"/>
  <c r="G93" i="84"/>
  <c r="G92" i="84"/>
  <c r="G91" i="84"/>
  <c r="G90" i="84"/>
  <c r="G89" i="84"/>
  <c r="G88" i="84"/>
  <c r="G87" i="84"/>
  <c r="G86" i="84"/>
  <c r="G85" i="84"/>
  <c r="G84" i="84"/>
  <c r="G83" i="84"/>
  <c r="G82" i="84"/>
  <c r="G81" i="84"/>
  <c r="G80" i="84"/>
  <c r="G79" i="84"/>
  <c r="G78" i="84"/>
  <c r="G77" i="84"/>
  <c r="G76" i="84"/>
  <c r="G75" i="84"/>
  <c r="G74" i="84"/>
  <c r="G73" i="84"/>
  <c r="G72" i="84"/>
  <c r="G71" i="84"/>
  <c r="G70" i="84"/>
  <c r="G69" i="84"/>
  <c r="G68" i="84"/>
  <c r="G67" i="84"/>
  <c r="G66" i="84"/>
  <c r="G65" i="84"/>
  <c r="G64" i="84"/>
  <c r="G63" i="84"/>
  <c r="G62" i="84"/>
  <c r="G61" i="84"/>
  <c r="G60" i="84"/>
  <c r="G59"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G26" i="84"/>
  <c r="G25" i="84"/>
  <c r="G24" i="84"/>
  <c r="G23" i="84"/>
  <c r="G22" i="84"/>
  <c r="G21" i="84"/>
  <c r="G20" i="84"/>
  <c r="G19" i="84"/>
  <c r="G18" i="84"/>
  <c r="G17" i="84"/>
  <c r="G16" i="84"/>
  <c r="G15" i="84"/>
  <c r="G14" i="84"/>
  <c r="G13" i="84"/>
  <c r="G12" i="84"/>
  <c r="G11" i="84"/>
  <c r="G10" i="84"/>
  <c r="G9" i="84"/>
  <c r="G8" i="84"/>
  <c r="G7" i="84"/>
  <c r="G6" i="84"/>
  <c r="F125" i="84"/>
  <c r="F124" i="84"/>
  <c r="F123" i="84"/>
  <c r="F122" i="84"/>
  <c r="F121" i="84"/>
  <c r="F120" i="84"/>
  <c r="F119" i="84"/>
  <c r="F118" i="84"/>
  <c r="F117" i="84"/>
  <c r="F116" i="84"/>
  <c r="F115" i="84"/>
  <c r="F114" i="84"/>
  <c r="F113" i="84"/>
  <c r="F112" i="84"/>
  <c r="F111" i="84"/>
  <c r="F110" i="84"/>
  <c r="F109" i="84"/>
  <c r="F108" i="84"/>
  <c r="F107" i="84"/>
  <c r="F106" i="84"/>
  <c r="F105" i="84"/>
  <c r="F104" i="84"/>
  <c r="F103" i="84"/>
  <c r="F102" i="84"/>
  <c r="F101" i="84"/>
  <c r="F100" i="84"/>
  <c r="F99" i="84"/>
  <c r="F98" i="84"/>
  <c r="F97" i="84"/>
  <c r="F96" i="84"/>
  <c r="F95" i="84"/>
  <c r="F94" i="84"/>
  <c r="F93" i="84"/>
  <c r="F92" i="84"/>
  <c r="F91" i="84"/>
  <c r="F90" i="84"/>
  <c r="F89" i="84"/>
  <c r="F88" i="84"/>
  <c r="F87" i="84"/>
  <c r="F86" i="84"/>
  <c r="F85" i="84"/>
  <c r="F84" i="84"/>
  <c r="F83" i="84"/>
  <c r="F82" i="84"/>
  <c r="F81" i="84"/>
  <c r="F80" i="84"/>
  <c r="F79" i="84"/>
  <c r="F78" i="84"/>
  <c r="F77" i="84"/>
  <c r="F76" i="84"/>
  <c r="F75" i="84"/>
  <c r="F74" i="84"/>
  <c r="F73" i="84"/>
  <c r="F72" i="84"/>
  <c r="F71" i="84"/>
  <c r="F70" i="84"/>
  <c r="F69" i="84"/>
  <c r="F68" i="84"/>
  <c r="F67" i="84"/>
  <c r="F66" i="84"/>
  <c r="F65" i="84"/>
  <c r="F64" i="84"/>
  <c r="F63" i="84"/>
  <c r="F62" i="84"/>
  <c r="F61" i="84"/>
  <c r="F60" i="84"/>
  <c r="F59" i="84"/>
  <c r="F58" i="84"/>
  <c r="F57" i="84"/>
  <c r="F56" i="84"/>
  <c r="F55" i="84"/>
  <c r="F54" i="84"/>
  <c r="F53" i="84"/>
  <c r="F52" i="84"/>
  <c r="F51" i="84"/>
  <c r="F50" i="84"/>
  <c r="F49" i="84"/>
  <c r="F48" i="84"/>
  <c r="F47" i="84"/>
  <c r="F46" i="84"/>
  <c r="F45" i="84"/>
  <c r="F44" i="84"/>
  <c r="F43" i="84"/>
  <c r="F42" i="84"/>
  <c r="F41" i="84"/>
  <c r="F40" i="84"/>
  <c r="F39" i="84"/>
  <c r="F38" i="84"/>
  <c r="F37" i="84"/>
  <c r="F36" i="84"/>
  <c r="F35" i="84"/>
  <c r="F34"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F8" i="84"/>
  <c r="F7" i="84"/>
  <c r="F6" i="84"/>
  <c r="AK122" i="84"/>
  <c r="AK121" i="84"/>
  <c r="AK117" i="84"/>
  <c r="AK113" i="84"/>
  <c r="AK102" i="84"/>
  <c r="AK100" i="84"/>
  <c r="AK98" i="84"/>
  <c r="AK92" i="84"/>
  <c r="AK90" i="84"/>
  <c r="AK85" i="84"/>
  <c r="AK82" i="84"/>
  <c r="AK81" i="84"/>
  <c r="AK74" i="84"/>
  <c r="AK73" i="84"/>
  <c r="AK71" i="84"/>
  <c r="AK60" i="84"/>
  <c r="AK55" i="84"/>
  <c r="AK47" i="84"/>
  <c r="AK46" i="84"/>
  <c r="AK43" i="84"/>
  <c r="AK35" i="84"/>
  <c r="AK29" i="84"/>
  <c r="AK28" i="84"/>
  <c r="AK19" i="84"/>
  <c r="AK8" i="84"/>
  <c r="AK125" i="84"/>
  <c r="AK124" i="84"/>
  <c r="AK123" i="84"/>
  <c r="AK120" i="84"/>
  <c r="AK119" i="84"/>
  <c r="AK118" i="84"/>
  <c r="AK116" i="84"/>
  <c r="AK115" i="84"/>
  <c r="AK114" i="84"/>
  <c r="AK112" i="84"/>
  <c r="AK111" i="84"/>
  <c r="AK110" i="84"/>
  <c r="AK109" i="84"/>
  <c r="AK108" i="84"/>
  <c r="AK107" i="84"/>
  <c r="AK106" i="84"/>
  <c r="AK105" i="84"/>
  <c r="AK104" i="84"/>
  <c r="AK103" i="84"/>
  <c r="AK101" i="84"/>
  <c r="AK99" i="84"/>
  <c r="AK97" i="84"/>
  <c r="AK96" i="84"/>
  <c r="AK95" i="84"/>
  <c r="AK94" i="84"/>
  <c r="AK93" i="84"/>
  <c r="AK91" i="84"/>
  <c r="AK89" i="84"/>
  <c r="AK88" i="84"/>
  <c r="AK87" i="84"/>
  <c r="AK86" i="84"/>
  <c r="AK84" i="84"/>
  <c r="AK83" i="84"/>
  <c r="AK80" i="84"/>
  <c r="AK79" i="84"/>
  <c r="AK78" i="84"/>
  <c r="AK77" i="84"/>
  <c r="AK76" i="84"/>
  <c r="AK75" i="84"/>
  <c r="AK72" i="84"/>
  <c r="AK70" i="84"/>
  <c r="AK69" i="84"/>
  <c r="AK68" i="84"/>
  <c r="AK67" i="84"/>
  <c r="AK66" i="84"/>
  <c r="AK65" i="84"/>
  <c r="AK64" i="84"/>
  <c r="AK63" i="84"/>
  <c r="AK62" i="84"/>
  <c r="AK61" i="84"/>
  <c r="AK59" i="84"/>
  <c r="AK58" i="84"/>
  <c r="AK57" i="84"/>
  <c r="AK56" i="84"/>
  <c r="AK54" i="84"/>
  <c r="AK53" i="84"/>
  <c r="AK52" i="84"/>
  <c r="AK51" i="84"/>
  <c r="AK50" i="84"/>
  <c r="AK49" i="84"/>
  <c r="AK48" i="84"/>
  <c r="AK45" i="84"/>
  <c r="AK44" i="84"/>
  <c r="AK42" i="84"/>
  <c r="AK41" i="84"/>
  <c r="AK40" i="84"/>
  <c r="AK39" i="84"/>
  <c r="AK38" i="84"/>
  <c r="AK37" i="84"/>
  <c r="AK36" i="84"/>
  <c r="AK34" i="84"/>
  <c r="AK33" i="84"/>
  <c r="AK32" i="84"/>
  <c r="AK31" i="84"/>
  <c r="AK30" i="84"/>
  <c r="AK27" i="84"/>
  <c r="AK26" i="84"/>
  <c r="AK25" i="84"/>
  <c r="AK24" i="84"/>
  <c r="AK23" i="84"/>
  <c r="AK22" i="84"/>
  <c r="AK21" i="84"/>
  <c r="AK20" i="84"/>
  <c r="AK18" i="84"/>
  <c r="AK17" i="84"/>
  <c r="AK16" i="84"/>
  <c r="AK15" i="84"/>
  <c r="AK14" i="84"/>
  <c r="AK13" i="84"/>
  <c r="AK12" i="84"/>
  <c r="AK11" i="84"/>
  <c r="AK10" i="84"/>
  <c r="AK9" i="84"/>
  <c r="AK7" i="84"/>
  <c r="AK6" i="84"/>
  <c r="W122" i="84"/>
  <c r="W121" i="84"/>
  <c r="W117" i="84"/>
  <c r="W113" i="84"/>
  <c r="W102" i="84"/>
  <c r="W100" i="84"/>
  <c r="W98" i="84"/>
  <c r="W92" i="84"/>
  <c r="W90" i="84"/>
  <c r="W85" i="84"/>
  <c r="W82" i="84"/>
  <c r="W81" i="84"/>
  <c r="W74" i="84"/>
  <c r="W73" i="84"/>
  <c r="W71" i="84"/>
  <c r="W60" i="84"/>
  <c r="W55" i="84"/>
  <c r="W47" i="84"/>
  <c r="W46" i="84"/>
  <c r="W43" i="84"/>
  <c r="W35" i="84"/>
  <c r="W29" i="84"/>
  <c r="W28" i="84"/>
  <c r="W19" i="84"/>
  <c r="W8" i="84"/>
  <c r="W125" i="84"/>
  <c r="W124" i="84"/>
  <c r="W123" i="84"/>
  <c r="W120" i="84"/>
  <c r="W119" i="84"/>
  <c r="W118" i="84"/>
  <c r="W116" i="84"/>
  <c r="W115" i="84"/>
  <c r="W114" i="84"/>
  <c r="W112" i="84"/>
  <c r="W111" i="84"/>
  <c r="W110" i="84"/>
  <c r="W109" i="84"/>
  <c r="W108" i="84"/>
  <c r="W107" i="84"/>
  <c r="W106" i="84"/>
  <c r="W105" i="84"/>
  <c r="W104" i="84"/>
  <c r="W103" i="84"/>
  <c r="W101" i="84"/>
  <c r="W99" i="84"/>
  <c r="W97" i="84"/>
  <c r="W96" i="84"/>
  <c r="W95" i="84"/>
  <c r="W94" i="84"/>
  <c r="W93" i="84"/>
  <c r="W91" i="84"/>
  <c r="W89" i="84"/>
  <c r="W88" i="84"/>
  <c r="W87" i="84"/>
  <c r="W86" i="84"/>
  <c r="W84" i="84"/>
  <c r="W83" i="84"/>
  <c r="W80" i="84"/>
  <c r="W79" i="84"/>
  <c r="W78" i="84"/>
  <c r="W77" i="84"/>
  <c r="W76" i="84"/>
  <c r="W75" i="84"/>
  <c r="W72" i="84"/>
  <c r="W70" i="84"/>
  <c r="W69" i="84"/>
  <c r="W68" i="84"/>
  <c r="W67" i="84"/>
  <c r="W66" i="84"/>
  <c r="W65" i="84"/>
  <c r="W64" i="84"/>
  <c r="W63" i="84"/>
  <c r="W62" i="84"/>
  <c r="W61" i="84"/>
  <c r="W59" i="84"/>
  <c r="W58" i="84"/>
  <c r="W57" i="84"/>
  <c r="W56" i="84"/>
  <c r="W54" i="84"/>
  <c r="W53" i="84"/>
  <c r="W52" i="84"/>
  <c r="W51" i="84"/>
  <c r="W50" i="84"/>
  <c r="W49" i="84"/>
  <c r="W48" i="84"/>
  <c r="W45" i="84"/>
  <c r="W44" i="84"/>
  <c r="W42" i="84"/>
  <c r="W41" i="84"/>
  <c r="W40" i="84"/>
  <c r="W39" i="84"/>
  <c r="W38" i="84"/>
  <c r="W37" i="84"/>
  <c r="W36" i="84"/>
  <c r="W34" i="84"/>
  <c r="W33" i="84"/>
  <c r="W32" i="84"/>
  <c r="W31" i="84"/>
  <c r="W30" i="84"/>
  <c r="W27" i="84"/>
  <c r="W26" i="84"/>
  <c r="W25" i="84"/>
  <c r="W24" i="84"/>
  <c r="W23" i="84"/>
  <c r="W22" i="84"/>
  <c r="W21" i="84"/>
  <c r="W20" i="84"/>
  <c r="W18" i="84"/>
  <c r="W17" i="84"/>
  <c r="W16" i="84"/>
  <c r="W15" i="84"/>
  <c r="W14" i="84"/>
  <c r="W13" i="84"/>
  <c r="W12" i="84"/>
  <c r="W11" i="84"/>
  <c r="W10" i="84"/>
  <c r="W9" i="84"/>
  <c r="W7" i="84"/>
  <c r="W6" i="84"/>
  <c r="Q122" i="84"/>
  <c r="Q121" i="84"/>
  <c r="Q117" i="84"/>
  <c r="Q113" i="84"/>
  <c r="Q102" i="84"/>
  <c r="Q100" i="84"/>
  <c r="Q98" i="84"/>
  <c r="Q92" i="84"/>
  <c r="Q90" i="84"/>
  <c r="Q85" i="84"/>
  <c r="Q82" i="84"/>
  <c r="Q81" i="84"/>
  <c r="Q74" i="84"/>
  <c r="Q73" i="84"/>
  <c r="Q71" i="84"/>
  <c r="Q60" i="84"/>
  <c r="Q55" i="84"/>
  <c r="Q47" i="84"/>
  <c r="Q46" i="84"/>
  <c r="Q43" i="84"/>
  <c r="Q35" i="84"/>
  <c r="Q29" i="84"/>
  <c r="Q28" i="84"/>
  <c r="Q19" i="84"/>
  <c r="Q8" i="84"/>
  <c r="Q125" i="84"/>
  <c r="Q124" i="84"/>
  <c r="Q123" i="84"/>
  <c r="Q120" i="84"/>
  <c r="Q119" i="84"/>
  <c r="Q118" i="84"/>
  <c r="Q116" i="84"/>
  <c r="Q115" i="84"/>
  <c r="Q114" i="84"/>
  <c r="Q112" i="84"/>
  <c r="Q111" i="84"/>
  <c r="Q110" i="84"/>
  <c r="Q109" i="84"/>
  <c r="Q108" i="84"/>
  <c r="Q107" i="84"/>
  <c r="Q106" i="84"/>
  <c r="Q105" i="84"/>
  <c r="Q104" i="84"/>
  <c r="Q103" i="84"/>
  <c r="Q101" i="84"/>
  <c r="Q99" i="84"/>
  <c r="Q97" i="84"/>
  <c r="Q96" i="84"/>
  <c r="Q95" i="84"/>
  <c r="Q94" i="84"/>
  <c r="Q93" i="84"/>
  <c r="Q91" i="84"/>
  <c r="Q89" i="84"/>
  <c r="Q88" i="84"/>
  <c r="Q87" i="84"/>
  <c r="Q86" i="84"/>
  <c r="Q84" i="84"/>
  <c r="Q83" i="84"/>
  <c r="Q80" i="84"/>
  <c r="Q79" i="84"/>
  <c r="Q78" i="84"/>
  <c r="Q77" i="84"/>
  <c r="Q76" i="84"/>
  <c r="Q75" i="84"/>
  <c r="Q72" i="84"/>
  <c r="Q70" i="84"/>
  <c r="Q69" i="84"/>
  <c r="Q68" i="84"/>
  <c r="Q67" i="84"/>
  <c r="Q66" i="84"/>
  <c r="Q65" i="84"/>
  <c r="Q64" i="84"/>
  <c r="Q63" i="84"/>
  <c r="Q62" i="84"/>
  <c r="Q61" i="84"/>
  <c r="Q59" i="84"/>
  <c r="Q58" i="84"/>
  <c r="Q57" i="84"/>
  <c r="Q56" i="84"/>
  <c r="Q54" i="84"/>
  <c r="Q53" i="84"/>
  <c r="Q52" i="84"/>
  <c r="Q51" i="84"/>
  <c r="Q50" i="84"/>
  <c r="Q49" i="84"/>
  <c r="Q48" i="84"/>
  <c r="Q45" i="84"/>
  <c r="Q44" i="84"/>
  <c r="Q42" i="84"/>
  <c r="Q41" i="84"/>
  <c r="Q40" i="84"/>
  <c r="Q39" i="84"/>
  <c r="Q38" i="84"/>
  <c r="Q37" i="84"/>
  <c r="Q36" i="84"/>
  <c r="Q34" i="84"/>
  <c r="Q33" i="84"/>
  <c r="Q32" i="84"/>
  <c r="Q31" i="84"/>
  <c r="Q30" i="84"/>
  <c r="Q27" i="84"/>
  <c r="Q26" i="84"/>
  <c r="Q25" i="84"/>
  <c r="Q24" i="84"/>
  <c r="Q23" i="84"/>
  <c r="Q22" i="84"/>
  <c r="Q21" i="84"/>
  <c r="Q20" i="84"/>
  <c r="Q18" i="84"/>
  <c r="Q17" i="84"/>
  <c r="Q16" i="84"/>
  <c r="Q15" i="84"/>
  <c r="Q14" i="84"/>
  <c r="Q13" i="84"/>
  <c r="Q12" i="84"/>
  <c r="Q11" i="84"/>
  <c r="Q10" i="84"/>
  <c r="Q9" i="84"/>
  <c r="Q7" i="84"/>
  <c r="Q6" i="84"/>
  <c r="K122" i="84"/>
  <c r="K121" i="84"/>
  <c r="K117" i="84"/>
  <c r="K113" i="84"/>
  <c r="K102" i="84"/>
  <c r="K100" i="84"/>
  <c r="K98" i="84"/>
  <c r="K92" i="84"/>
  <c r="K90" i="84"/>
  <c r="K85" i="84"/>
  <c r="K82" i="84"/>
  <c r="K81" i="84"/>
  <c r="K74" i="84"/>
  <c r="K73" i="84"/>
  <c r="K71" i="84"/>
  <c r="K60" i="84"/>
  <c r="K55" i="84"/>
  <c r="K47" i="84"/>
  <c r="K46" i="84"/>
  <c r="K43" i="84"/>
  <c r="K35" i="84"/>
  <c r="K29" i="84"/>
  <c r="K28" i="84"/>
  <c r="K19" i="84"/>
  <c r="K8" i="84"/>
  <c r="K125" i="84"/>
  <c r="K124" i="84"/>
  <c r="K123" i="84"/>
  <c r="K120" i="84"/>
  <c r="K119" i="84"/>
  <c r="K118" i="84"/>
  <c r="K116" i="84"/>
  <c r="K115" i="84"/>
  <c r="K114" i="84"/>
  <c r="K112" i="84"/>
  <c r="K111" i="84"/>
  <c r="K110" i="84"/>
  <c r="K109" i="84"/>
  <c r="K108" i="84"/>
  <c r="K107" i="84"/>
  <c r="K106" i="84"/>
  <c r="K105" i="84"/>
  <c r="K104" i="84"/>
  <c r="K103" i="84"/>
  <c r="K101" i="84"/>
  <c r="K99" i="84"/>
  <c r="K97" i="84"/>
  <c r="K96" i="84"/>
  <c r="K95" i="84"/>
  <c r="K94" i="84"/>
  <c r="K93" i="84"/>
  <c r="K91" i="84"/>
  <c r="K89" i="84"/>
  <c r="K88" i="84"/>
  <c r="K87" i="84"/>
  <c r="K86" i="84"/>
  <c r="K84" i="84"/>
  <c r="K83" i="84"/>
  <c r="K80" i="84"/>
  <c r="K79" i="84"/>
  <c r="K78" i="84"/>
  <c r="K77" i="84"/>
  <c r="K76" i="84"/>
  <c r="K75" i="84"/>
  <c r="K72" i="84"/>
  <c r="K70" i="84"/>
  <c r="K69" i="84"/>
  <c r="K68" i="84"/>
  <c r="K67" i="84"/>
  <c r="K66" i="84"/>
  <c r="K65" i="84"/>
  <c r="K64" i="84"/>
  <c r="K63" i="84"/>
  <c r="K62" i="84"/>
  <c r="K61" i="84"/>
  <c r="K59" i="84"/>
  <c r="K58" i="84"/>
  <c r="K57" i="84"/>
  <c r="K56" i="84"/>
  <c r="K54" i="84"/>
  <c r="K53" i="84"/>
  <c r="K52" i="84"/>
  <c r="K51" i="84"/>
  <c r="K50" i="84"/>
  <c r="K49" i="84"/>
  <c r="K48" i="84"/>
  <c r="K45" i="84"/>
  <c r="K44" i="84"/>
  <c r="K42" i="84"/>
  <c r="K41" i="84"/>
  <c r="K40" i="84"/>
  <c r="K39" i="84"/>
  <c r="K38" i="84"/>
  <c r="K37" i="84"/>
  <c r="K36" i="84"/>
  <c r="K34" i="84"/>
  <c r="K33" i="84"/>
  <c r="K32" i="84"/>
  <c r="K31" i="84"/>
  <c r="K30" i="84"/>
  <c r="K27" i="84"/>
  <c r="K26" i="84"/>
  <c r="K25" i="84"/>
  <c r="K24" i="84"/>
  <c r="K23" i="84"/>
  <c r="K22" i="84"/>
  <c r="K21" i="84"/>
  <c r="K20" i="84"/>
  <c r="K18" i="84"/>
  <c r="K17" i="84"/>
  <c r="K16" i="84"/>
  <c r="K15" i="84"/>
  <c r="K14" i="84"/>
  <c r="K13" i="84"/>
  <c r="K12" i="84"/>
  <c r="K11" i="84"/>
  <c r="K10" i="84"/>
  <c r="K9" i="84"/>
  <c r="K7" i="84"/>
  <c r="K6" i="84"/>
  <c r="AY6" i="113" l="1"/>
  <c r="AY10" i="113"/>
  <c r="AY14" i="113"/>
  <c r="AY18" i="113"/>
  <c r="AY22" i="113"/>
  <c r="AY26" i="113"/>
  <c r="AY30" i="113"/>
  <c r="AY34" i="113"/>
  <c r="AY38" i="113"/>
  <c r="AY42" i="113"/>
  <c r="AY46" i="113"/>
  <c r="AY8" i="113"/>
  <c r="AY12" i="113"/>
  <c r="AY16" i="113"/>
  <c r="AY20" i="113"/>
  <c r="AY24" i="113"/>
  <c r="AY28" i="113"/>
  <c r="AY32" i="113"/>
  <c r="AY36" i="113"/>
  <c r="AY40" i="113"/>
  <c r="AY44" i="113"/>
  <c r="AY48" i="113"/>
  <c r="AY52" i="113"/>
  <c r="AY56" i="113"/>
  <c r="AY60" i="113"/>
  <c r="AY64" i="113"/>
  <c r="AY68" i="113"/>
  <c r="AY72" i="113"/>
  <c r="AY76" i="113"/>
  <c r="AY80" i="113"/>
  <c r="AY84" i="113"/>
  <c r="AY88" i="113"/>
  <c r="AY5" i="113"/>
  <c r="D37" i="108" s="1"/>
  <c r="AY9" i="113"/>
  <c r="AY13" i="113"/>
  <c r="AY17" i="113"/>
  <c r="AY21" i="113"/>
  <c r="AY25" i="113"/>
  <c r="AY29" i="113"/>
  <c r="AY33" i="113"/>
  <c r="AY37" i="113"/>
  <c r="AY41" i="113"/>
  <c r="AY45" i="113"/>
  <c r="AY49" i="113"/>
  <c r="AY53" i="113"/>
  <c r="AY57" i="113"/>
  <c r="AY61" i="113"/>
  <c r="AY65" i="113"/>
  <c r="AY69" i="113"/>
  <c r="AY73" i="113"/>
  <c r="AY77" i="113"/>
  <c r="AY81" i="113"/>
  <c r="AY85" i="113"/>
  <c r="AY89" i="113"/>
  <c r="D131" i="59"/>
  <c r="I131" i="117"/>
  <c r="H131" i="117"/>
  <c r="AY50" i="113"/>
  <c r="AY54" i="113"/>
  <c r="AY58" i="113"/>
  <c r="AY62" i="113"/>
  <c r="AY66" i="113"/>
  <c r="AY70" i="113"/>
  <c r="AY74" i="113"/>
  <c r="AY78" i="113"/>
  <c r="AY82" i="113"/>
  <c r="AY86" i="113"/>
  <c r="AY90" i="113"/>
  <c r="AY94" i="113"/>
  <c r="AY98" i="113"/>
  <c r="AY102" i="113"/>
  <c r="AY106" i="113"/>
  <c r="AY110" i="113"/>
  <c r="AY114" i="113"/>
  <c r="AY118" i="113"/>
  <c r="AY122" i="113"/>
  <c r="AY127" i="113"/>
  <c r="AY131" i="113"/>
  <c r="AY51" i="113"/>
  <c r="AY55" i="113"/>
  <c r="AY59" i="113"/>
  <c r="AY63" i="113"/>
  <c r="AY67" i="113"/>
  <c r="AY71" i="113"/>
  <c r="AY75" i="113"/>
  <c r="AY79" i="113"/>
  <c r="AY83" i="113"/>
  <c r="AY87" i="113"/>
  <c r="AY91" i="113"/>
  <c r="AY95" i="113"/>
  <c r="AY99" i="113"/>
  <c r="AY103" i="113"/>
  <c r="AY107" i="113"/>
  <c r="AY111" i="113"/>
  <c r="AY115" i="113"/>
  <c r="AY119" i="113"/>
  <c r="AY123" i="113"/>
  <c r="AY128" i="113"/>
  <c r="AY92" i="113"/>
  <c r="AY96" i="113"/>
  <c r="AY100" i="113"/>
  <c r="AY104" i="113"/>
  <c r="AY108" i="113"/>
  <c r="AY112" i="113"/>
  <c r="AY116" i="113"/>
  <c r="AY120" i="113"/>
  <c r="AY124" i="113"/>
  <c r="AY129" i="113"/>
  <c r="E38" i="84"/>
  <c r="E70" i="84"/>
  <c r="E98" i="84"/>
  <c r="AY93" i="113"/>
  <c r="AY97" i="113"/>
  <c r="AY101" i="113"/>
  <c r="AY105" i="113"/>
  <c r="AY109" i="113"/>
  <c r="AY113" i="113"/>
  <c r="AY117" i="113"/>
  <c r="AY121" i="113"/>
  <c r="AY125" i="113"/>
  <c r="AY130" i="113"/>
  <c r="E10" i="84"/>
  <c r="E114" i="84"/>
  <c r="E101" i="84"/>
  <c r="E14" i="84"/>
  <c r="E26" i="84"/>
  <c r="E42" i="84"/>
  <c r="E54" i="84"/>
  <c r="E74" i="84"/>
  <c r="E78" i="84"/>
  <c r="E94" i="84"/>
  <c r="E102" i="84"/>
  <c r="E118" i="84"/>
  <c r="E81" i="84"/>
  <c r="E22" i="84"/>
  <c r="E30" i="84"/>
  <c r="E46" i="84"/>
  <c r="E50" i="84"/>
  <c r="E58" i="84"/>
  <c r="E66" i="84"/>
  <c r="E90" i="84"/>
  <c r="E110" i="84"/>
  <c r="E122" i="84"/>
  <c r="E92" i="84"/>
  <c r="E62" i="84"/>
  <c r="E82" i="84"/>
  <c r="E106" i="84"/>
  <c r="E12" i="84"/>
  <c r="E20" i="84"/>
  <c r="E28" i="84"/>
  <c r="E40" i="84"/>
  <c r="E56" i="84"/>
  <c r="E64" i="84"/>
  <c r="E72" i="84"/>
  <c r="E76" i="84"/>
  <c r="E80" i="84"/>
  <c r="E84" i="84"/>
  <c r="E96" i="84"/>
  <c r="E100" i="84"/>
  <c r="E108" i="84"/>
  <c r="E112" i="84"/>
  <c r="E116" i="84"/>
  <c r="E120" i="84"/>
  <c r="E124" i="84"/>
  <c r="E13" i="84"/>
  <c r="E21" i="84"/>
  <c r="E23" i="84"/>
  <c r="E29" i="84"/>
  <c r="E33" i="84"/>
  <c r="E37" i="84"/>
  <c r="E41" i="84"/>
  <c r="E45" i="84"/>
  <c r="E49" i="84"/>
  <c r="E57" i="84"/>
  <c r="E65" i="84"/>
  <c r="E67" i="84"/>
  <c r="E73" i="84"/>
  <c r="E77" i="84"/>
  <c r="E85" i="84"/>
  <c r="E89" i="84"/>
  <c r="E91" i="84"/>
  <c r="E93" i="84"/>
  <c r="E105" i="84"/>
  <c r="E113" i="84"/>
  <c r="E121" i="84"/>
  <c r="E18" i="84"/>
  <c r="E34" i="84"/>
  <c r="E86" i="84"/>
  <c r="E8" i="84"/>
  <c r="E16" i="84"/>
  <c r="E24" i="84"/>
  <c r="E32" i="84"/>
  <c r="E36" i="84"/>
  <c r="E44" i="84"/>
  <c r="E48" i="84"/>
  <c r="E52" i="84"/>
  <c r="E60" i="84"/>
  <c r="E68" i="84"/>
  <c r="E88" i="84"/>
  <c r="E104" i="84"/>
  <c r="E6" i="84"/>
  <c r="E9" i="84"/>
  <c r="E17" i="84"/>
  <c r="E25" i="84"/>
  <c r="E43" i="84"/>
  <c r="E53" i="84"/>
  <c r="E61" i="84"/>
  <c r="E69" i="84"/>
  <c r="E97" i="84"/>
  <c r="E109" i="84"/>
  <c r="E111" i="84"/>
  <c r="E117" i="84"/>
  <c r="E125" i="84"/>
  <c r="E11" i="84"/>
  <c r="E19" i="84"/>
  <c r="E27" i="84"/>
  <c r="E39" i="84"/>
  <c r="E47" i="84"/>
  <c r="E55" i="84"/>
  <c r="E63" i="84"/>
  <c r="E71" i="84"/>
  <c r="E75" i="84"/>
  <c r="E83" i="84"/>
  <c r="E95" i="84"/>
  <c r="E99" i="84"/>
  <c r="E107" i="84"/>
  <c r="E115" i="84"/>
  <c r="E119" i="84"/>
  <c r="E7" i="84"/>
  <c r="E15" i="84"/>
  <c r="E31" i="84"/>
  <c r="E35" i="84"/>
  <c r="E51" i="84"/>
  <c r="E59" i="84"/>
  <c r="E79" i="84"/>
  <c r="E87" i="84"/>
  <c r="E103" i="84"/>
  <c r="E123" i="84"/>
  <c r="AX130" i="62" l="1"/>
  <c r="AW130" i="62"/>
  <c r="AV130" i="62"/>
  <c r="AU130" i="62"/>
  <c r="AT130" i="62"/>
  <c r="AR130" i="62"/>
  <c r="AQ130" i="62"/>
  <c r="AP130" i="62"/>
  <c r="AO130" i="62"/>
  <c r="AN130" i="62"/>
  <c r="AL130" i="62"/>
  <c r="AK130" i="62"/>
  <c r="AJ130" i="62"/>
  <c r="AI130" i="62"/>
  <c r="AH130" i="62"/>
  <c r="AF130" i="62"/>
  <c r="AE130" i="62"/>
  <c r="AD130" i="62"/>
  <c r="AC130" i="62"/>
  <c r="AB130" i="62"/>
  <c r="Z130" i="62"/>
  <c r="Y130" i="62"/>
  <c r="X130" i="62"/>
  <c r="W130" i="62"/>
  <c r="V130" i="62"/>
  <c r="T130" i="62"/>
  <c r="S130" i="62"/>
  <c r="R130" i="62"/>
  <c r="Q130" i="62"/>
  <c r="P130" i="62"/>
  <c r="N130" i="62"/>
  <c r="M130" i="62"/>
  <c r="L130" i="62"/>
  <c r="K130" i="62"/>
  <c r="J130" i="62"/>
  <c r="AX129" i="62"/>
  <c r="AW129" i="62"/>
  <c r="AV129" i="62"/>
  <c r="AU129" i="62"/>
  <c r="AT129" i="62"/>
  <c r="AR129" i="62"/>
  <c r="AQ129" i="62"/>
  <c r="AP129" i="62"/>
  <c r="AO129" i="62"/>
  <c r="AN129" i="62"/>
  <c r="AL129" i="62"/>
  <c r="AK129" i="62"/>
  <c r="AJ129" i="62"/>
  <c r="AI129" i="62"/>
  <c r="AH129" i="62"/>
  <c r="AF129" i="62"/>
  <c r="AE129" i="62"/>
  <c r="AD129" i="62"/>
  <c r="AC129" i="62"/>
  <c r="AB129" i="62"/>
  <c r="Z129" i="62"/>
  <c r="Y129" i="62"/>
  <c r="X129" i="62"/>
  <c r="W129" i="62"/>
  <c r="V129" i="62"/>
  <c r="T129" i="62"/>
  <c r="S129" i="62"/>
  <c r="R129" i="62"/>
  <c r="Q129" i="62"/>
  <c r="P129" i="62"/>
  <c r="N129" i="62"/>
  <c r="M129" i="62"/>
  <c r="L129" i="62"/>
  <c r="K129" i="62"/>
  <c r="J129" i="62"/>
  <c r="AX128" i="62"/>
  <c r="AW128" i="62"/>
  <c r="AV128" i="62"/>
  <c r="AU128" i="62"/>
  <c r="AT128" i="62"/>
  <c r="AR128" i="62"/>
  <c r="AQ128" i="62"/>
  <c r="AP128" i="62"/>
  <c r="AO128" i="62"/>
  <c r="AN128" i="62"/>
  <c r="AL128" i="62"/>
  <c r="AK128" i="62"/>
  <c r="AJ128" i="62"/>
  <c r="AI128" i="62"/>
  <c r="AH128" i="62"/>
  <c r="AF128" i="62"/>
  <c r="AE128" i="62"/>
  <c r="AD128" i="62"/>
  <c r="AC128" i="62"/>
  <c r="AB128" i="62"/>
  <c r="Z128" i="62"/>
  <c r="Y128" i="62"/>
  <c r="X128" i="62"/>
  <c r="W128" i="62"/>
  <c r="V128" i="62"/>
  <c r="T128" i="62"/>
  <c r="S128" i="62"/>
  <c r="R128" i="62"/>
  <c r="Q128" i="62"/>
  <c r="P128" i="62"/>
  <c r="N128" i="62"/>
  <c r="M128" i="62"/>
  <c r="L128" i="62"/>
  <c r="K128" i="62"/>
  <c r="J128" i="62"/>
  <c r="AX127" i="62"/>
  <c r="AW127" i="62"/>
  <c r="AV127" i="62"/>
  <c r="AU127" i="62"/>
  <c r="AT127" i="62"/>
  <c r="AR127" i="62"/>
  <c r="AQ127" i="62"/>
  <c r="AP127" i="62"/>
  <c r="AO127" i="62"/>
  <c r="AN127" i="62"/>
  <c r="AL127" i="62"/>
  <c r="AK127" i="62"/>
  <c r="AJ127" i="62"/>
  <c r="AI127" i="62"/>
  <c r="AH127" i="62"/>
  <c r="AF127" i="62"/>
  <c r="AE127" i="62"/>
  <c r="AD127" i="62"/>
  <c r="AC127" i="62"/>
  <c r="AB127" i="62"/>
  <c r="Z127" i="62"/>
  <c r="Y127" i="62"/>
  <c r="X127" i="62"/>
  <c r="W127" i="62"/>
  <c r="V127" i="62"/>
  <c r="T127" i="62"/>
  <c r="S127" i="62"/>
  <c r="R127" i="62"/>
  <c r="Q127" i="62"/>
  <c r="P127" i="62"/>
  <c r="N127" i="62"/>
  <c r="M127" i="62"/>
  <c r="L127" i="62"/>
  <c r="K127" i="62"/>
  <c r="J127" i="62"/>
  <c r="AX126" i="62"/>
  <c r="AW126" i="62"/>
  <c r="AV126" i="62"/>
  <c r="AU126" i="62"/>
  <c r="AT126" i="62"/>
  <c r="AR126" i="62"/>
  <c r="AQ126" i="62"/>
  <c r="AP126" i="62"/>
  <c r="AO126" i="62"/>
  <c r="AN126" i="62"/>
  <c r="AL126" i="62"/>
  <c r="AK126" i="62"/>
  <c r="AJ126" i="62"/>
  <c r="AI126" i="62"/>
  <c r="AH126" i="62"/>
  <c r="AF126" i="62"/>
  <c r="AE126" i="62"/>
  <c r="AD126" i="62"/>
  <c r="AC126" i="62"/>
  <c r="AB126" i="62"/>
  <c r="Z126" i="62"/>
  <c r="Y126" i="62"/>
  <c r="X126" i="62"/>
  <c r="W126" i="62"/>
  <c r="V126" i="62"/>
  <c r="T126" i="62"/>
  <c r="S126" i="62"/>
  <c r="R126" i="62"/>
  <c r="Q126" i="62"/>
  <c r="P126" i="62"/>
  <c r="N126" i="62"/>
  <c r="M126" i="62"/>
  <c r="L126" i="62"/>
  <c r="K126" i="62"/>
  <c r="J126" i="62"/>
  <c r="L17" i="123"/>
  <c r="K17" i="123"/>
  <c r="J17" i="123"/>
  <c r="I17" i="123"/>
  <c r="L16" i="123"/>
  <c r="K16" i="123"/>
  <c r="J16" i="123"/>
  <c r="I16" i="123"/>
  <c r="I15" i="123"/>
  <c r="L14" i="123"/>
  <c r="K14" i="123"/>
  <c r="J14" i="123"/>
  <c r="I14" i="123"/>
  <c r="K10" i="123"/>
  <c r="J10" i="123"/>
  <c r="I10" i="123"/>
  <c r="H4" i="111"/>
  <c r="G4" i="111"/>
  <c r="F4" i="111"/>
  <c r="E4" i="111"/>
  <c r="D4" i="111"/>
  <c r="R99" i="31"/>
  <c r="R98" i="31"/>
  <c r="R97" i="31"/>
  <c r="R124" i="31"/>
  <c r="R123" i="31"/>
  <c r="R96" i="31"/>
  <c r="R95" i="31"/>
  <c r="R94" i="31"/>
  <c r="R122" i="31"/>
  <c r="R93" i="31"/>
  <c r="R92" i="31"/>
  <c r="R91" i="31"/>
  <c r="R121" i="31"/>
  <c r="R90" i="31"/>
  <c r="R89" i="31"/>
  <c r="R88" i="31"/>
  <c r="R87" i="31"/>
  <c r="R86" i="31"/>
  <c r="R85" i="31"/>
  <c r="R84" i="31"/>
  <c r="R83" i="31"/>
  <c r="R82" i="31"/>
  <c r="R81" i="31"/>
  <c r="R120" i="31"/>
  <c r="R80" i="31"/>
  <c r="R119" i="31"/>
  <c r="R79" i="31"/>
  <c r="R118" i="31"/>
  <c r="R78" i="31"/>
  <c r="R77" i="31"/>
  <c r="R76" i="31"/>
  <c r="R75" i="31"/>
  <c r="R74" i="31"/>
  <c r="R117" i="31"/>
  <c r="R73" i="31"/>
  <c r="R116" i="31"/>
  <c r="R72" i="31"/>
  <c r="R71" i="31"/>
  <c r="R70" i="31"/>
  <c r="R69" i="31"/>
  <c r="R115" i="31"/>
  <c r="R68" i="31"/>
  <c r="R67" i="31"/>
  <c r="R114" i="31"/>
  <c r="R113" i="31"/>
  <c r="R66" i="31"/>
  <c r="R65" i="31"/>
  <c r="R64" i="31"/>
  <c r="R63" i="31"/>
  <c r="R62" i="31"/>
  <c r="R61" i="31"/>
  <c r="R112" i="31"/>
  <c r="R111" i="31"/>
  <c r="R60" i="31"/>
  <c r="R110" i="31"/>
  <c r="R59" i="31"/>
  <c r="R58" i="31"/>
  <c r="R57" i="31"/>
  <c r="R56" i="31"/>
  <c r="R55" i="31"/>
  <c r="R54" i="31"/>
  <c r="R53" i="31"/>
  <c r="R52" i="31"/>
  <c r="R51" i="31"/>
  <c r="R50" i="31"/>
  <c r="R109" i="31"/>
  <c r="R49" i="31"/>
  <c r="R48" i="31"/>
  <c r="R47" i="31"/>
  <c r="R46" i="31"/>
  <c r="R108" i="31"/>
  <c r="R45" i="31"/>
  <c r="R44" i="31"/>
  <c r="R43" i="31"/>
  <c r="R42" i="31"/>
  <c r="R41" i="31"/>
  <c r="R40" i="31"/>
  <c r="R39" i="31"/>
  <c r="R107" i="31"/>
  <c r="R106" i="31"/>
  <c r="R38" i="31"/>
  <c r="R37" i="31"/>
  <c r="R105" i="31"/>
  <c r="R36" i="31"/>
  <c r="R35" i="31"/>
  <c r="R34" i="31"/>
  <c r="R33" i="31"/>
  <c r="R32" i="31"/>
  <c r="R31" i="31"/>
  <c r="R30" i="31"/>
  <c r="R104" i="31"/>
  <c r="R29" i="31"/>
  <c r="R28" i="31"/>
  <c r="R27" i="31"/>
  <c r="R26" i="31"/>
  <c r="R25" i="31"/>
  <c r="R103" i="31"/>
  <c r="R102" i="31"/>
  <c r="R24" i="31"/>
  <c r="R23" i="31"/>
  <c r="R22" i="31"/>
  <c r="R21" i="31"/>
  <c r="R20" i="31"/>
  <c r="R19" i="31"/>
  <c r="R18" i="31"/>
  <c r="R17" i="31"/>
  <c r="R101" i="31"/>
  <c r="R16" i="31"/>
  <c r="R15" i="31"/>
  <c r="R14" i="31"/>
  <c r="R13" i="31"/>
  <c r="R12" i="31"/>
  <c r="R11" i="31"/>
  <c r="R10" i="31"/>
  <c r="R9" i="31"/>
  <c r="R8" i="31"/>
  <c r="R7" i="31"/>
  <c r="R100" i="31"/>
  <c r="R6" i="31"/>
  <c r="R5" i="31"/>
  <c r="Q99" i="31"/>
  <c r="Q98" i="31"/>
  <c r="Q97" i="31"/>
  <c r="Q124" i="31"/>
  <c r="Q123" i="31"/>
  <c r="Q96" i="31"/>
  <c r="Q95" i="31"/>
  <c r="Q94" i="31"/>
  <c r="Q122" i="31"/>
  <c r="Q93" i="31"/>
  <c r="Q92" i="31"/>
  <c r="Q91" i="31"/>
  <c r="Q121" i="31"/>
  <c r="Q90" i="31"/>
  <c r="Q89" i="31"/>
  <c r="Q88" i="31"/>
  <c r="Q87" i="31"/>
  <c r="Q86" i="31"/>
  <c r="Q85" i="31"/>
  <c r="Q84" i="31"/>
  <c r="Q83" i="31"/>
  <c r="Q82" i="31"/>
  <c r="Q81" i="31"/>
  <c r="Q120" i="31"/>
  <c r="Q80" i="31"/>
  <c r="Q119" i="31"/>
  <c r="Q79" i="31"/>
  <c r="Q118" i="31"/>
  <c r="Q78" i="31"/>
  <c r="Q77" i="31"/>
  <c r="Q76" i="31"/>
  <c r="Q75" i="31"/>
  <c r="Q74" i="31"/>
  <c r="Q117" i="31"/>
  <c r="Q73" i="31"/>
  <c r="Q116" i="31"/>
  <c r="Q72" i="31"/>
  <c r="Q71" i="31"/>
  <c r="Q70" i="31"/>
  <c r="Q69" i="31"/>
  <c r="Q115" i="31"/>
  <c r="Q68" i="31"/>
  <c r="Q67" i="31"/>
  <c r="Q114" i="31"/>
  <c r="Q113" i="31"/>
  <c r="Q66" i="31"/>
  <c r="Q65" i="31"/>
  <c r="Q64" i="31"/>
  <c r="Q63" i="31"/>
  <c r="Q62" i="31"/>
  <c r="Q61" i="31"/>
  <c r="Q112" i="31"/>
  <c r="Q111" i="31"/>
  <c r="Q60" i="31"/>
  <c r="Q110" i="31"/>
  <c r="Q59" i="31"/>
  <c r="Q58" i="31"/>
  <c r="Q57" i="31"/>
  <c r="Q56" i="31"/>
  <c r="Q55" i="31"/>
  <c r="Q54" i="31"/>
  <c r="Q53" i="31"/>
  <c r="Q52" i="31"/>
  <c r="Q51" i="31"/>
  <c r="Q50" i="31"/>
  <c r="Q109" i="31"/>
  <c r="Q49" i="31"/>
  <c r="Q48" i="31"/>
  <c r="Q47" i="31"/>
  <c r="Q46" i="31"/>
  <c r="Q108" i="31"/>
  <c r="Q45" i="31"/>
  <c r="Q44" i="31"/>
  <c r="Q43" i="31"/>
  <c r="Q42" i="31"/>
  <c r="Q41" i="31"/>
  <c r="Q40" i="31"/>
  <c r="Q39" i="31"/>
  <c r="Q107" i="31"/>
  <c r="Q106" i="31"/>
  <c r="Q38" i="31"/>
  <c r="Q37" i="31"/>
  <c r="Q105" i="31"/>
  <c r="Q36" i="31"/>
  <c r="Q35" i="31"/>
  <c r="Q34" i="31"/>
  <c r="Q33" i="31"/>
  <c r="Q32" i="31"/>
  <c r="Q31" i="31"/>
  <c r="Q30" i="31"/>
  <c r="Q104" i="31"/>
  <c r="Q29" i="31"/>
  <c r="Q28" i="31"/>
  <c r="Q27" i="31"/>
  <c r="Q26" i="31"/>
  <c r="Q25" i="31"/>
  <c r="Q103" i="31"/>
  <c r="Q102" i="31"/>
  <c r="Q24" i="31"/>
  <c r="Q23" i="31"/>
  <c r="Q22" i="31"/>
  <c r="Q21" i="31"/>
  <c r="Q20" i="31"/>
  <c r="Q19" i="31"/>
  <c r="Q18" i="31"/>
  <c r="Q17" i="31"/>
  <c r="Q101" i="31"/>
  <c r="Q16" i="31"/>
  <c r="Q15" i="31"/>
  <c r="Q14" i="31"/>
  <c r="Q13" i="31"/>
  <c r="Q12" i="31"/>
  <c r="Q11" i="31"/>
  <c r="Q10" i="31"/>
  <c r="Q9" i="31"/>
  <c r="Q8" i="31"/>
  <c r="Q7" i="31"/>
  <c r="Q100" i="31"/>
  <c r="Q6" i="31"/>
  <c r="Q5" i="31"/>
  <c r="M4" i="122"/>
  <c r="K4" i="122"/>
  <c r="S4" i="122"/>
  <c r="R4" i="122"/>
  <c r="Q4" i="122"/>
  <c r="P4" i="122"/>
  <c r="O4" i="122"/>
  <c r="L4" i="122"/>
  <c r="J4" i="122"/>
  <c r="I4" i="122"/>
  <c r="H4" i="122"/>
  <c r="G4" i="122"/>
  <c r="F4" i="122"/>
  <c r="E4" i="122"/>
  <c r="D4" i="122"/>
  <c r="R4" i="96"/>
  <c r="Q4" i="96"/>
  <c r="P4" i="96"/>
  <c r="O4" i="96"/>
  <c r="N4" i="96"/>
  <c r="W5" i="6"/>
  <c r="V5" i="6"/>
  <c r="U5" i="6"/>
  <c r="T5" i="6"/>
  <c r="S5" i="6"/>
  <c r="D4" i="121"/>
  <c r="V131" i="62" l="1"/>
  <c r="Z131" i="62"/>
  <c r="AE131" i="62"/>
  <c r="AT131" i="62"/>
  <c r="AX131" i="62"/>
  <c r="J131" i="62"/>
  <c r="N131" i="62"/>
  <c r="K131" i="62"/>
  <c r="S131" i="62"/>
  <c r="R131" i="62"/>
  <c r="W131" i="62"/>
  <c r="AD131" i="62"/>
  <c r="AI131" i="62"/>
  <c r="AH131" i="62"/>
  <c r="AL131" i="62"/>
  <c r="AQ131" i="62"/>
  <c r="AP131" i="62"/>
  <c r="AU131" i="62"/>
  <c r="J19" i="123"/>
  <c r="I19" i="123"/>
  <c r="M131" i="62"/>
  <c r="Q131" i="62"/>
  <c r="Y131" i="62"/>
  <c r="AC131" i="62"/>
  <c r="AK131" i="62"/>
  <c r="AO131" i="62"/>
  <c r="AW131" i="62"/>
  <c r="L131" i="62"/>
  <c r="P131" i="62"/>
  <c r="T131" i="62"/>
  <c r="X131" i="62"/>
  <c r="AB131" i="62"/>
  <c r="AF131" i="62"/>
  <c r="AJ131" i="62"/>
  <c r="AN131" i="62"/>
  <c r="AR131" i="62"/>
  <c r="AV131" i="62"/>
  <c r="D4" i="120"/>
  <c r="T4" i="92" l="1"/>
  <c r="S4" i="92"/>
  <c r="R4" i="92"/>
  <c r="Q4" i="92"/>
  <c r="G124" i="57"/>
  <c r="G123" i="57"/>
  <c r="G122" i="57"/>
  <c r="G121" i="57"/>
  <c r="G120" i="57"/>
  <c r="G119" i="57"/>
  <c r="G118" i="57"/>
  <c r="G117" i="57"/>
  <c r="G116" i="57"/>
  <c r="G115" i="57"/>
  <c r="G114" i="57"/>
  <c r="G113" i="57"/>
  <c r="G112" i="57"/>
  <c r="G111" i="57"/>
  <c r="G110" i="57"/>
  <c r="G109" i="57"/>
  <c r="G108" i="57"/>
  <c r="G107" i="57"/>
  <c r="G106" i="57"/>
  <c r="G105" i="57"/>
  <c r="G104" i="57"/>
  <c r="G103" i="57"/>
  <c r="G102" i="57"/>
  <c r="G101" i="57"/>
  <c r="G100" i="57"/>
  <c r="G99" i="57"/>
  <c r="G98" i="57"/>
  <c r="G97" i="57"/>
  <c r="G96" i="57"/>
  <c r="G95" i="57"/>
  <c r="G94" i="57"/>
  <c r="G93" i="57"/>
  <c r="G92" i="57"/>
  <c r="G91" i="57"/>
  <c r="G90" i="57"/>
  <c r="G89" i="57"/>
  <c r="G88" i="57"/>
  <c r="G87" i="57"/>
  <c r="G86" i="57"/>
  <c r="G85" i="57"/>
  <c r="G84" i="57"/>
  <c r="G83" i="57"/>
  <c r="G82" i="57"/>
  <c r="G81" i="57"/>
  <c r="G80" i="57"/>
  <c r="G79" i="57"/>
  <c r="G78" i="57"/>
  <c r="G77" i="57"/>
  <c r="G76" i="57"/>
  <c r="G75" i="57"/>
  <c r="G74" i="57"/>
  <c r="G73" i="57"/>
  <c r="G72" i="57"/>
  <c r="G71" i="57"/>
  <c r="G70" i="57"/>
  <c r="G69" i="57"/>
  <c r="G68" i="57"/>
  <c r="G67" i="57"/>
  <c r="G66" i="57"/>
  <c r="G65" i="57"/>
  <c r="G64" i="57"/>
  <c r="G63" i="57"/>
  <c r="G62" i="57"/>
  <c r="G61" i="57"/>
  <c r="G60" i="57"/>
  <c r="G59" i="57"/>
  <c r="G58" i="57"/>
  <c r="G57" i="57"/>
  <c r="G56" i="57"/>
  <c r="G55" i="57"/>
  <c r="G54" i="57"/>
  <c r="G53" i="57"/>
  <c r="G52" i="57"/>
  <c r="G51" i="57"/>
  <c r="G50" i="57"/>
  <c r="G49" i="57"/>
  <c r="G48" i="57"/>
  <c r="G47" i="57"/>
  <c r="G46" i="57"/>
  <c r="G45" i="57"/>
  <c r="G44" i="57"/>
  <c r="G43" i="57"/>
  <c r="G42" i="57"/>
  <c r="G41" i="57"/>
  <c r="G40" i="57"/>
  <c r="G39" i="57"/>
  <c r="G38" i="57"/>
  <c r="G37" i="57"/>
  <c r="G36" i="57"/>
  <c r="G35" i="57"/>
  <c r="G34" i="57"/>
  <c r="G33" i="57"/>
  <c r="G32" i="57"/>
  <c r="G31" i="57"/>
  <c r="G30" i="57"/>
  <c r="G29" i="57"/>
  <c r="G28" i="57"/>
  <c r="G27" i="57"/>
  <c r="G26" i="57"/>
  <c r="G25" i="57"/>
  <c r="G24" i="57"/>
  <c r="G23" i="57"/>
  <c r="G22" i="57"/>
  <c r="G21" i="57"/>
  <c r="G20" i="57"/>
  <c r="G19" i="57"/>
  <c r="G18" i="57"/>
  <c r="G17" i="57"/>
  <c r="G16" i="57"/>
  <c r="G15" i="57"/>
  <c r="G14" i="57"/>
  <c r="G13" i="57"/>
  <c r="G12" i="57"/>
  <c r="G11" i="57"/>
  <c r="G10" i="57"/>
  <c r="G9" i="57"/>
  <c r="G8" i="57"/>
  <c r="G7" i="57"/>
  <c r="G6" i="57"/>
  <c r="G5" i="57"/>
  <c r="G124" i="62"/>
  <c r="G123" i="62"/>
  <c r="G122" i="62"/>
  <c r="G121" i="62"/>
  <c r="G120" i="62"/>
  <c r="G119" i="62"/>
  <c r="G118" i="62"/>
  <c r="G117" i="62"/>
  <c r="G116" i="62"/>
  <c r="G115" i="62"/>
  <c r="G114" i="62"/>
  <c r="G113" i="62"/>
  <c r="G112" i="62"/>
  <c r="G111" i="62"/>
  <c r="G110" i="62"/>
  <c r="G109" i="62"/>
  <c r="G108" i="62"/>
  <c r="G107" i="62"/>
  <c r="G106" i="62"/>
  <c r="G105" i="62"/>
  <c r="G104" i="62"/>
  <c r="G103" i="62"/>
  <c r="G102" i="62"/>
  <c r="G101" i="62"/>
  <c r="G100" i="62"/>
  <c r="G99" i="62"/>
  <c r="G98" i="62"/>
  <c r="G97" i="62"/>
  <c r="G96" i="62"/>
  <c r="G95" i="62"/>
  <c r="G94" i="62"/>
  <c r="G93" i="62"/>
  <c r="G92" i="62"/>
  <c r="G91" i="62"/>
  <c r="G90" i="62"/>
  <c r="G89" i="62"/>
  <c r="G88" i="62"/>
  <c r="G87" i="62"/>
  <c r="G86" i="62"/>
  <c r="G85" i="62"/>
  <c r="G84" i="62"/>
  <c r="G83" i="62"/>
  <c r="G82" i="62"/>
  <c r="G81" i="62"/>
  <c r="G80" i="62"/>
  <c r="G79" i="62"/>
  <c r="G78" i="62"/>
  <c r="G77" i="62"/>
  <c r="G76" i="62"/>
  <c r="G75" i="62"/>
  <c r="G74" i="62"/>
  <c r="G73" i="62"/>
  <c r="G72" i="62"/>
  <c r="G71" i="62"/>
  <c r="G70" i="62"/>
  <c r="G69" i="62"/>
  <c r="G68" i="62"/>
  <c r="G67" i="62"/>
  <c r="G66" i="62"/>
  <c r="G65" i="62"/>
  <c r="G64" i="62"/>
  <c r="G63" i="62"/>
  <c r="G62" i="62"/>
  <c r="G61" i="62"/>
  <c r="G60" i="62"/>
  <c r="G59" i="62"/>
  <c r="G58" i="62"/>
  <c r="G57" i="62"/>
  <c r="G56" i="62"/>
  <c r="G55" i="62"/>
  <c r="G54" i="62"/>
  <c r="G53" i="62"/>
  <c r="G52" i="62"/>
  <c r="G51" i="62"/>
  <c r="G50" i="62"/>
  <c r="G49" i="62"/>
  <c r="G48" i="62"/>
  <c r="G47" i="62"/>
  <c r="G46" i="62"/>
  <c r="G45" i="62"/>
  <c r="G44" i="62"/>
  <c r="G43" i="62"/>
  <c r="G42" i="62"/>
  <c r="G41" i="62"/>
  <c r="G40" i="62"/>
  <c r="G39" i="62"/>
  <c r="G38" i="62"/>
  <c r="G37" i="62"/>
  <c r="G36" i="62"/>
  <c r="G35" i="62"/>
  <c r="G34" i="62"/>
  <c r="G33" i="62"/>
  <c r="G32" i="62"/>
  <c r="G31" i="62"/>
  <c r="G30" i="62"/>
  <c r="G29" i="62"/>
  <c r="G28" i="62"/>
  <c r="G27" i="62"/>
  <c r="G26" i="62"/>
  <c r="G25" i="62"/>
  <c r="G24" i="62"/>
  <c r="G23" i="62"/>
  <c r="G22" i="62"/>
  <c r="G21" i="62"/>
  <c r="G20" i="62"/>
  <c r="G19" i="62"/>
  <c r="G18" i="62"/>
  <c r="G17" i="62"/>
  <c r="G16" i="62"/>
  <c r="G15" i="62"/>
  <c r="G14" i="62"/>
  <c r="G13" i="62"/>
  <c r="G12" i="62"/>
  <c r="G11" i="62"/>
  <c r="G10" i="62"/>
  <c r="G9" i="62"/>
  <c r="G8" i="62"/>
  <c r="G7" i="62"/>
  <c r="G6" i="62"/>
  <c r="G5" i="62"/>
  <c r="F124" i="62"/>
  <c r="F123" i="62"/>
  <c r="F122" i="62"/>
  <c r="F121" i="62"/>
  <c r="F120" i="62"/>
  <c r="F119" i="62"/>
  <c r="F118" i="62"/>
  <c r="F117" i="62"/>
  <c r="F116" i="62"/>
  <c r="F115" i="62"/>
  <c r="F114" i="62"/>
  <c r="F113" i="62"/>
  <c r="F112" i="62"/>
  <c r="F111" i="62"/>
  <c r="F110" i="62"/>
  <c r="F109" i="62"/>
  <c r="F108" i="62"/>
  <c r="F107" i="62"/>
  <c r="F106" i="62"/>
  <c r="F105" i="62"/>
  <c r="F104" i="62"/>
  <c r="F103" i="62"/>
  <c r="F102" i="62"/>
  <c r="F101" i="62"/>
  <c r="F100" i="62"/>
  <c r="F99" i="62"/>
  <c r="F98" i="62"/>
  <c r="F97" i="62"/>
  <c r="F96" i="62"/>
  <c r="F95" i="62"/>
  <c r="F94" i="62"/>
  <c r="F93" i="62"/>
  <c r="F92" i="62"/>
  <c r="F91" i="62"/>
  <c r="F90" i="62"/>
  <c r="F89" i="62"/>
  <c r="F88" i="62"/>
  <c r="F87" i="62"/>
  <c r="F86" i="62"/>
  <c r="F85" i="62"/>
  <c r="F84" i="62"/>
  <c r="F83" i="62"/>
  <c r="F82" i="62"/>
  <c r="F81" i="62"/>
  <c r="F80" i="62"/>
  <c r="F79" i="62"/>
  <c r="F78" i="62"/>
  <c r="F77" i="62"/>
  <c r="F76" i="62"/>
  <c r="F75" i="62"/>
  <c r="F74" i="62"/>
  <c r="F73" i="62"/>
  <c r="F72" i="62"/>
  <c r="F71" i="62"/>
  <c r="F70" i="62"/>
  <c r="F69" i="62"/>
  <c r="F68" i="62"/>
  <c r="F67" i="62"/>
  <c r="F66" i="62"/>
  <c r="F65" i="62"/>
  <c r="F64" i="62"/>
  <c r="F63" i="62"/>
  <c r="F62" i="62"/>
  <c r="F61" i="62"/>
  <c r="F60" i="62"/>
  <c r="F59" i="62"/>
  <c r="F58" i="62"/>
  <c r="F57" i="62"/>
  <c r="F56" i="62"/>
  <c r="F55" i="62"/>
  <c r="F54" i="62"/>
  <c r="F53" i="62"/>
  <c r="F52" i="62"/>
  <c r="F51" i="62"/>
  <c r="F50" i="62"/>
  <c r="F49" i="62"/>
  <c r="F48" i="62"/>
  <c r="F47" i="62"/>
  <c r="F46" i="62"/>
  <c r="F45" i="62"/>
  <c r="F44" i="62"/>
  <c r="F43" i="62"/>
  <c r="F42" i="62"/>
  <c r="F41" i="62"/>
  <c r="F40" i="62"/>
  <c r="F39" i="62"/>
  <c r="F38" i="62"/>
  <c r="F37" i="62"/>
  <c r="F36" i="62"/>
  <c r="F35" i="62"/>
  <c r="F34" i="62"/>
  <c r="F33" i="62"/>
  <c r="F32" i="62"/>
  <c r="F31" i="62"/>
  <c r="F30" i="62"/>
  <c r="F29" i="62"/>
  <c r="F28" i="62"/>
  <c r="F27" i="62"/>
  <c r="F26" i="62"/>
  <c r="F25" i="62"/>
  <c r="F24" i="62"/>
  <c r="F23" i="62"/>
  <c r="F22" i="62"/>
  <c r="F21" i="62"/>
  <c r="F20" i="62"/>
  <c r="F19" i="62"/>
  <c r="F18" i="62"/>
  <c r="F17" i="62"/>
  <c r="F16" i="62"/>
  <c r="F15" i="62"/>
  <c r="F14" i="62"/>
  <c r="F13" i="62"/>
  <c r="F12" i="62"/>
  <c r="F11" i="62"/>
  <c r="F10" i="62"/>
  <c r="F9" i="62"/>
  <c r="F8" i="62"/>
  <c r="F7" i="62"/>
  <c r="F6" i="62"/>
  <c r="F5" i="62"/>
  <c r="E5" i="62"/>
  <c r="D124" i="62"/>
  <c r="D123" i="62"/>
  <c r="D122" i="62"/>
  <c r="D121" i="62"/>
  <c r="D120" i="62"/>
  <c r="D119" i="62"/>
  <c r="D118" i="62"/>
  <c r="D117" i="62"/>
  <c r="D116" i="62"/>
  <c r="D115" i="62"/>
  <c r="D114" i="62"/>
  <c r="D113" i="62"/>
  <c r="D112" i="62"/>
  <c r="D111" i="62"/>
  <c r="D110" i="62"/>
  <c r="D109" i="62"/>
  <c r="D108" i="62"/>
  <c r="D107" i="62"/>
  <c r="D106" i="62"/>
  <c r="D105" i="62"/>
  <c r="D104" i="62"/>
  <c r="D103" i="62"/>
  <c r="D102" i="62"/>
  <c r="D101" i="62"/>
  <c r="D100" i="62"/>
  <c r="D99" i="62"/>
  <c r="D98" i="62"/>
  <c r="D97" i="62"/>
  <c r="D96" i="62"/>
  <c r="D95" i="62"/>
  <c r="D94" i="62"/>
  <c r="D93" i="62"/>
  <c r="D92" i="62"/>
  <c r="D91" i="62"/>
  <c r="D90" i="62"/>
  <c r="D89" i="62"/>
  <c r="D88" i="62"/>
  <c r="D87" i="62"/>
  <c r="D86" i="62"/>
  <c r="D85" i="62"/>
  <c r="D84" i="62"/>
  <c r="D83" i="62"/>
  <c r="D82" i="62"/>
  <c r="D81" i="62"/>
  <c r="D80" i="62"/>
  <c r="D79" i="62"/>
  <c r="D78" i="62"/>
  <c r="D77" i="62"/>
  <c r="D76" i="62"/>
  <c r="D75" i="62"/>
  <c r="D74" i="62"/>
  <c r="D73" i="62"/>
  <c r="D72" i="62"/>
  <c r="D71" i="62"/>
  <c r="D70" i="62"/>
  <c r="D69" i="62"/>
  <c r="D68" i="62"/>
  <c r="D67" i="62"/>
  <c r="D66" i="62"/>
  <c r="D65" i="62"/>
  <c r="D64" i="62"/>
  <c r="D63" i="62"/>
  <c r="D62" i="62"/>
  <c r="D61" i="62"/>
  <c r="D60" i="62"/>
  <c r="D59" i="62"/>
  <c r="D58" i="62"/>
  <c r="D57" i="62"/>
  <c r="D56" i="62"/>
  <c r="D55" i="62"/>
  <c r="D54" i="62"/>
  <c r="D53" i="62"/>
  <c r="D52" i="62"/>
  <c r="D51" i="62"/>
  <c r="D50" i="62"/>
  <c r="D49" i="62"/>
  <c r="D48" i="62"/>
  <c r="D47" i="62"/>
  <c r="D46" i="62"/>
  <c r="D45" i="62"/>
  <c r="D44" i="62"/>
  <c r="D43" i="62"/>
  <c r="D42" i="62"/>
  <c r="D41" i="62"/>
  <c r="D40" i="62"/>
  <c r="D39" i="62"/>
  <c r="D38" i="62"/>
  <c r="D37" i="62"/>
  <c r="D36" i="62"/>
  <c r="D35" i="62"/>
  <c r="D34" i="62"/>
  <c r="D33" i="62"/>
  <c r="D32" i="62"/>
  <c r="D31" i="62"/>
  <c r="D30" i="62"/>
  <c r="D29" i="62"/>
  <c r="D28" i="62"/>
  <c r="D27" i="62"/>
  <c r="D26" i="62"/>
  <c r="D25" i="62"/>
  <c r="D24" i="62"/>
  <c r="D23" i="62"/>
  <c r="D22" i="62"/>
  <c r="D21" i="62"/>
  <c r="D20" i="62"/>
  <c r="D19" i="62"/>
  <c r="D18" i="62"/>
  <c r="D17" i="62"/>
  <c r="D16" i="62"/>
  <c r="D15" i="62"/>
  <c r="D14" i="62"/>
  <c r="D13" i="62"/>
  <c r="D12" i="62"/>
  <c r="D11" i="62"/>
  <c r="D10" i="62"/>
  <c r="D9" i="62"/>
  <c r="D8" i="62"/>
  <c r="D7" i="62"/>
  <c r="D6" i="62"/>
  <c r="D5" i="62"/>
  <c r="J124" i="61"/>
  <c r="J123" i="61"/>
  <c r="J122" i="61"/>
  <c r="J121" i="61"/>
  <c r="J120" i="61"/>
  <c r="J119" i="61"/>
  <c r="J118" i="61"/>
  <c r="J117" i="61"/>
  <c r="J116" i="61"/>
  <c r="J115" i="61"/>
  <c r="J114" i="61"/>
  <c r="J113" i="61"/>
  <c r="J112" i="61"/>
  <c r="J111" i="61"/>
  <c r="J110" i="61"/>
  <c r="J109" i="61"/>
  <c r="J108" i="61"/>
  <c r="J107" i="61"/>
  <c r="J106" i="61"/>
  <c r="J105" i="61"/>
  <c r="J104" i="61"/>
  <c r="J103" i="61"/>
  <c r="J102" i="61"/>
  <c r="J101" i="61"/>
  <c r="J100" i="61"/>
  <c r="J99" i="61"/>
  <c r="J98" i="61"/>
  <c r="J97" i="61"/>
  <c r="J96" i="61"/>
  <c r="J95" i="61"/>
  <c r="J94" i="61"/>
  <c r="J93" i="61"/>
  <c r="J92" i="61"/>
  <c r="J91" i="61"/>
  <c r="J90" i="61"/>
  <c r="J89" i="61"/>
  <c r="J88" i="61"/>
  <c r="J87" i="61"/>
  <c r="J86" i="61"/>
  <c r="J85" i="61"/>
  <c r="J84" i="61"/>
  <c r="J83" i="61"/>
  <c r="J82" i="61"/>
  <c r="J81" i="61"/>
  <c r="J80" i="61"/>
  <c r="J79" i="61"/>
  <c r="J78" i="61"/>
  <c r="J77" i="61"/>
  <c r="J76" i="61"/>
  <c r="J75" i="61"/>
  <c r="J74" i="61"/>
  <c r="J73" i="61"/>
  <c r="J72" i="61"/>
  <c r="J71" i="61"/>
  <c r="J70" i="61"/>
  <c r="J69" i="61"/>
  <c r="J68" i="61"/>
  <c r="J67" i="61"/>
  <c r="J66" i="61"/>
  <c r="J65" i="61"/>
  <c r="J64" i="61"/>
  <c r="J63" i="61"/>
  <c r="J62" i="61"/>
  <c r="J61" i="61"/>
  <c r="J60" i="61"/>
  <c r="J59" i="61"/>
  <c r="J58" i="61"/>
  <c r="J57" i="61"/>
  <c r="J56" i="61"/>
  <c r="J55" i="61"/>
  <c r="J54" i="61"/>
  <c r="J53" i="61"/>
  <c r="J52" i="61"/>
  <c r="J51" i="61"/>
  <c r="J50" i="61"/>
  <c r="J49" i="61"/>
  <c r="J48" i="61"/>
  <c r="J47" i="61"/>
  <c r="J46" i="61"/>
  <c r="J45" i="61"/>
  <c r="J44" i="61"/>
  <c r="J43" i="61"/>
  <c r="J42" i="61"/>
  <c r="J41" i="61"/>
  <c r="J40" i="61"/>
  <c r="J39" i="61"/>
  <c r="J38" i="61"/>
  <c r="J37" i="61"/>
  <c r="J36" i="61"/>
  <c r="J35" i="61"/>
  <c r="J34" i="61"/>
  <c r="J33" i="61"/>
  <c r="J32" i="61"/>
  <c r="J31" i="61"/>
  <c r="J30" i="61"/>
  <c r="J29" i="61"/>
  <c r="J28" i="61"/>
  <c r="J27" i="61"/>
  <c r="J26" i="61"/>
  <c r="J25" i="61"/>
  <c r="J24" i="61"/>
  <c r="J23" i="61"/>
  <c r="J22" i="61"/>
  <c r="J21" i="61"/>
  <c r="J20" i="61"/>
  <c r="J19" i="61"/>
  <c r="J18" i="61"/>
  <c r="J17" i="61"/>
  <c r="J16" i="61"/>
  <c r="J15" i="61"/>
  <c r="J14" i="61"/>
  <c r="J13" i="61"/>
  <c r="J12" i="61"/>
  <c r="J11" i="61"/>
  <c r="J10" i="61"/>
  <c r="J9" i="61"/>
  <c r="J8" i="61"/>
  <c r="J7" i="61"/>
  <c r="J6" i="61"/>
  <c r="J5" i="61"/>
  <c r="AY124" i="62"/>
  <c r="AY123" i="62"/>
  <c r="AY122" i="62"/>
  <c r="AY121" i="62"/>
  <c r="AY120" i="62"/>
  <c r="AY119" i="62"/>
  <c r="AY118" i="62"/>
  <c r="AY117" i="62"/>
  <c r="AY116" i="62"/>
  <c r="AY115" i="62"/>
  <c r="AY114" i="62"/>
  <c r="AY113" i="62"/>
  <c r="AY112" i="62"/>
  <c r="AY111" i="62"/>
  <c r="AY110" i="62"/>
  <c r="AY109" i="62"/>
  <c r="AY108" i="62"/>
  <c r="AY107" i="62"/>
  <c r="AY106" i="62"/>
  <c r="AY105" i="62"/>
  <c r="AY104" i="62"/>
  <c r="AY103" i="62"/>
  <c r="AY102" i="62"/>
  <c r="AY101" i="62"/>
  <c r="AY100" i="62"/>
  <c r="AY99" i="62"/>
  <c r="AY98" i="62"/>
  <c r="AY97" i="62"/>
  <c r="AY96" i="62"/>
  <c r="AY95" i="62"/>
  <c r="AY94" i="62"/>
  <c r="AY93" i="62"/>
  <c r="AY92" i="62"/>
  <c r="AY91" i="62"/>
  <c r="AY90" i="62"/>
  <c r="AY89" i="62"/>
  <c r="AY88" i="62"/>
  <c r="AY87" i="62"/>
  <c r="AY86" i="62"/>
  <c r="AY85" i="62"/>
  <c r="AY84" i="62"/>
  <c r="AY83" i="62"/>
  <c r="AY82" i="62"/>
  <c r="AY81" i="62"/>
  <c r="AY80" i="62"/>
  <c r="AY79" i="62"/>
  <c r="AY78" i="62"/>
  <c r="AY77" i="62"/>
  <c r="AY76" i="62"/>
  <c r="AY75" i="62"/>
  <c r="AY74" i="62"/>
  <c r="AY73" i="62"/>
  <c r="AY72" i="62"/>
  <c r="AY71" i="62"/>
  <c r="AY70" i="62"/>
  <c r="AY69" i="62"/>
  <c r="AY68" i="62"/>
  <c r="AY67" i="62"/>
  <c r="AY66" i="62"/>
  <c r="AY65" i="62"/>
  <c r="AY64" i="62"/>
  <c r="AY63" i="62"/>
  <c r="AY62" i="62"/>
  <c r="AY61" i="62"/>
  <c r="AY60" i="62"/>
  <c r="AY59" i="62"/>
  <c r="AY58" i="62"/>
  <c r="AY57" i="62"/>
  <c r="AY56" i="62"/>
  <c r="AY55" i="62"/>
  <c r="AY54" i="62"/>
  <c r="AY53" i="62"/>
  <c r="AY52" i="62"/>
  <c r="AY51" i="62"/>
  <c r="AY50" i="62"/>
  <c r="AY49" i="62"/>
  <c r="AY48" i="62"/>
  <c r="AY47" i="62"/>
  <c r="AY46" i="62"/>
  <c r="AY45" i="62"/>
  <c r="AY44" i="62"/>
  <c r="AY43" i="62"/>
  <c r="AY42" i="62"/>
  <c r="AY41" i="62"/>
  <c r="AY40" i="62"/>
  <c r="AY39" i="62"/>
  <c r="AY38" i="62"/>
  <c r="AY37" i="62"/>
  <c r="AY36" i="62"/>
  <c r="AY35" i="62"/>
  <c r="AY34" i="62"/>
  <c r="AY33" i="62"/>
  <c r="AY32" i="62"/>
  <c r="AY31" i="62"/>
  <c r="AY30" i="62"/>
  <c r="AY29" i="62"/>
  <c r="AY28" i="62"/>
  <c r="AY27" i="62"/>
  <c r="AY26" i="62"/>
  <c r="AY25" i="62"/>
  <c r="AY24" i="62"/>
  <c r="AY23" i="62"/>
  <c r="AY22" i="62"/>
  <c r="AY21" i="62"/>
  <c r="AY20" i="62"/>
  <c r="AY19" i="62"/>
  <c r="AY18" i="62"/>
  <c r="AY17" i="62"/>
  <c r="AY16" i="62"/>
  <c r="AY15" i="62"/>
  <c r="AY14" i="62"/>
  <c r="AY13" i="62"/>
  <c r="AY12" i="62"/>
  <c r="AY11" i="62"/>
  <c r="AY10" i="62"/>
  <c r="AY9" i="62"/>
  <c r="AY8" i="62"/>
  <c r="AY7" i="62"/>
  <c r="AY6" i="62"/>
  <c r="AY5" i="62"/>
  <c r="AX4" i="62"/>
  <c r="AW4" i="62"/>
  <c r="AV4" i="62"/>
  <c r="AU4" i="62"/>
  <c r="AT4"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10" i="62"/>
  <c r="AS9" i="62"/>
  <c r="AS8" i="62"/>
  <c r="AS7" i="62"/>
  <c r="AS6" i="62"/>
  <c r="AS5" i="62"/>
  <c r="AR4" i="62"/>
  <c r="AQ4" i="62"/>
  <c r="AP4" i="62"/>
  <c r="AO4" i="62"/>
  <c r="AN4"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5" i="62"/>
  <c r="AA14" i="62"/>
  <c r="AA13" i="62"/>
  <c r="AA12" i="62"/>
  <c r="AA11" i="62"/>
  <c r="AA10" i="62"/>
  <c r="AA9" i="62"/>
  <c r="AA8" i="62"/>
  <c r="AA7" i="62"/>
  <c r="AA6" i="62"/>
  <c r="AA5" i="62"/>
  <c r="Z4" i="62"/>
  <c r="Y4" i="62"/>
  <c r="X4" i="62"/>
  <c r="W4" i="62"/>
  <c r="V4" i="62"/>
  <c r="U124" i="62"/>
  <c r="U123" i="62"/>
  <c r="U122" i="62"/>
  <c r="U121" i="62"/>
  <c r="U120" i="62"/>
  <c r="U119" i="62"/>
  <c r="U118" i="62"/>
  <c r="U117" i="62"/>
  <c r="U116" i="62"/>
  <c r="U115" i="62"/>
  <c r="U114" i="62"/>
  <c r="U113" i="62"/>
  <c r="U112" i="62"/>
  <c r="U111" i="62"/>
  <c r="U110" i="62"/>
  <c r="U109" i="62"/>
  <c r="U108" i="62"/>
  <c r="U107" i="62"/>
  <c r="U106" i="62"/>
  <c r="U105" i="62"/>
  <c r="U104" i="62"/>
  <c r="U103" i="62"/>
  <c r="U102" i="62"/>
  <c r="U101" i="62"/>
  <c r="U100" i="62"/>
  <c r="U99" i="62"/>
  <c r="U98" i="62"/>
  <c r="U97" i="62"/>
  <c r="U96" i="62"/>
  <c r="U95" i="62"/>
  <c r="U94" i="62"/>
  <c r="U93" i="62"/>
  <c r="U92" i="62"/>
  <c r="U91" i="62"/>
  <c r="U90" i="62"/>
  <c r="U89" i="62"/>
  <c r="U88" i="62"/>
  <c r="U87" i="62"/>
  <c r="U86" i="62"/>
  <c r="U85" i="62"/>
  <c r="U84" i="62"/>
  <c r="U83" i="62"/>
  <c r="U82" i="62"/>
  <c r="U81" i="62"/>
  <c r="U80" i="62"/>
  <c r="U79" i="62"/>
  <c r="U78" i="62"/>
  <c r="U77" i="62"/>
  <c r="U76" i="62"/>
  <c r="U75" i="62"/>
  <c r="U74" i="62"/>
  <c r="U73" i="62"/>
  <c r="U72" i="62"/>
  <c r="U71" i="62"/>
  <c r="U70" i="62"/>
  <c r="U69" i="62"/>
  <c r="U68" i="62"/>
  <c r="U67" i="62"/>
  <c r="U66" i="62"/>
  <c r="U65" i="62"/>
  <c r="U64" i="62"/>
  <c r="U63" i="62"/>
  <c r="U62" i="62"/>
  <c r="U61" i="62"/>
  <c r="U60" i="62"/>
  <c r="U59" i="62"/>
  <c r="U58" i="62"/>
  <c r="U57" i="62"/>
  <c r="U56" i="62"/>
  <c r="U55" i="62"/>
  <c r="U54" i="62"/>
  <c r="U53" i="62"/>
  <c r="U52" i="62"/>
  <c r="U51" i="62"/>
  <c r="U50" i="62"/>
  <c r="U49" i="62"/>
  <c r="U48" i="62"/>
  <c r="U47" i="62"/>
  <c r="U46" i="62"/>
  <c r="U45" i="62"/>
  <c r="U44" i="62"/>
  <c r="U43" i="62"/>
  <c r="U42" i="62"/>
  <c r="U41" i="62"/>
  <c r="U40" i="62"/>
  <c r="U39" i="62"/>
  <c r="U38" i="62"/>
  <c r="U37" i="62"/>
  <c r="U36" i="62"/>
  <c r="U35" i="62"/>
  <c r="U34" i="62"/>
  <c r="U33" i="62"/>
  <c r="U32" i="62"/>
  <c r="U31" i="62"/>
  <c r="U30" i="62"/>
  <c r="U29" i="62"/>
  <c r="U28" i="62"/>
  <c r="U27" i="62"/>
  <c r="U26" i="62"/>
  <c r="U25" i="62"/>
  <c r="U24" i="62"/>
  <c r="U23" i="62"/>
  <c r="U22" i="62"/>
  <c r="U21" i="62"/>
  <c r="U20" i="62"/>
  <c r="U19" i="62"/>
  <c r="U18" i="62"/>
  <c r="U17" i="62"/>
  <c r="U16" i="62"/>
  <c r="U15" i="62"/>
  <c r="U14" i="62"/>
  <c r="U13" i="62"/>
  <c r="U12" i="62"/>
  <c r="U11" i="62"/>
  <c r="U10" i="62"/>
  <c r="U9" i="62"/>
  <c r="U8" i="62"/>
  <c r="U7" i="62"/>
  <c r="U6" i="62"/>
  <c r="U5" i="62"/>
  <c r="T4" i="62"/>
  <c r="S4" i="62"/>
  <c r="R4" i="62"/>
  <c r="Q4" i="62"/>
  <c r="P4" i="62"/>
  <c r="U129" i="62" l="1"/>
  <c r="U126" i="62"/>
  <c r="AA127" i="62"/>
  <c r="AA130" i="62"/>
  <c r="AS126" i="62"/>
  <c r="AY130" i="62"/>
  <c r="D130" i="62"/>
  <c r="E130" i="62"/>
  <c r="F130" i="62"/>
  <c r="G130" i="62"/>
  <c r="AY128" i="62"/>
  <c r="D128" i="62"/>
  <c r="E128" i="62"/>
  <c r="F128" i="62"/>
  <c r="G128" i="62"/>
  <c r="AY127" i="62"/>
  <c r="D127" i="62"/>
  <c r="E127" i="62"/>
  <c r="F127" i="62"/>
  <c r="G127" i="62"/>
  <c r="AA128" i="62"/>
  <c r="AS129" i="62"/>
  <c r="U127" i="62"/>
  <c r="AA126" i="62"/>
  <c r="AS128" i="62"/>
  <c r="AS130" i="62"/>
  <c r="AY129" i="62"/>
  <c r="D129" i="62"/>
  <c r="E129" i="62"/>
  <c r="F129" i="62"/>
  <c r="G129" i="62"/>
  <c r="U128" i="62"/>
  <c r="U130" i="62"/>
  <c r="AA129" i="62"/>
  <c r="AS127" i="62"/>
  <c r="AY126" i="62"/>
  <c r="D126" i="62"/>
  <c r="E126" i="62"/>
  <c r="F126" i="62"/>
  <c r="G126" i="62"/>
  <c r="AS4" i="62"/>
  <c r="G4" i="57"/>
  <c r="AY4" i="62"/>
  <c r="AA4" i="62"/>
  <c r="U4" i="62"/>
  <c r="D131" i="62" l="1"/>
  <c r="I21" i="123" s="1"/>
  <c r="E131" i="62"/>
  <c r="J21" i="123" s="1"/>
  <c r="F131" i="62"/>
  <c r="AS131" i="62"/>
  <c r="U131" i="62"/>
  <c r="G131" i="62"/>
  <c r="AY131" i="62"/>
  <c r="AA131" i="62"/>
  <c r="J123" i="56"/>
  <c r="K123" i="56" s="1"/>
  <c r="J124" i="79" s="1"/>
  <c r="J122" i="56"/>
  <c r="K122" i="56" s="1"/>
  <c r="J123" i="79" s="1"/>
  <c r="J121" i="56"/>
  <c r="J120" i="56"/>
  <c r="K120" i="56" s="1"/>
  <c r="J121" i="79" s="1"/>
  <c r="J119" i="56"/>
  <c r="J118" i="56"/>
  <c r="K118" i="56" s="1"/>
  <c r="J119" i="79" s="1"/>
  <c r="J117" i="56"/>
  <c r="K117" i="56" s="1"/>
  <c r="J118" i="79" s="1"/>
  <c r="J116" i="56"/>
  <c r="K116" i="56" s="1"/>
  <c r="J117" i="79" s="1"/>
  <c r="J115" i="56"/>
  <c r="K115" i="56" s="1"/>
  <c r="J116" i="79" s="1"/>
  <c r="J114" i="56"/>
  <c r="K114" i="56" s="1"/>
  <c r="J115" i="79" s="1"/>
  <c r="J113" i="56"/>
  <c r="K113" i="56" s="1"/>
  <c r="J114" i="79" s="1"/>
  <c r="J112" i="56"/>
  <c r="K112" i="56" s="1"/>
  <c r="J113" i="79" s="1"/>
  <c r="J111" i="56"/>
  <c r="J110" i="56"/>
  <c r="K110" i="56" s="1"/>
  <c r="J111" i="79" s="1"/>
  <c r="J109" i="56"/>
  <c r="K109" i="56" s="1"/>
  <c r="J110" i="79" s="1"/>
  <c r="J108" i="56"/>
  <c r="K108" i="56" s="1"/>
  <c r="J109" i="79" s="1"/>
  <c r="J107" i="56"/>
  <c r="K107" i="56" s="1"/>
  <c r="J108" i="79" s="1"/>
  <c r="J106" i="56"/>
  <c r="K106" i="56" s="1"/>
  <c r="J107" i="79" s="1"/>
  <c r="J105" i="56"/>
  <c r="J104" i="56"/>
  <c r="K104" i="56" s="1"/>
  <c r="J105" i="79" s="1"/>
  <c r="J103" i="56"/>
  <c r="J102" i="56"/>
  <c r="K102" i="56" s="1"/>
  <c r="J103" i="79" s="1"/>
  <c r="J101" i="56"/>
  <c r="K101" i="56" s="1"/>
  <c r="J102" i="79" s="1"/>
  <c r="J100" i="56"/>
  <c r="K100" i="56" s="1"/>
  <c r="J101" i="79" s="1"/>
  <c r="J99" i="56"/>
  <c r="K99" i="56" s="1"/>
  <c r="J100" i="79" s="1"/>
  <c r="J98" i="56"/>
  <c r="K98" i="56" s="1"/>
  <c r="J99" i="79" s="1"/>
  <c r="J97" i="56"/>
  <c r="J96" i="56"/>
  <c r="K96" i="56" s="1"/>
  <c r="J97" i="79" s="1"/>
  <c r="J95" i="56"/>
  <c r="J94" i="56"/>
  <c r="J93" i="56"/>
  <c r="K93" i="56" s="1"/>
  <c r="J94" i="79" s="1"/>
  <c r="J92" i="56"/>
  <c r="K92" i="56" s="1"/>
  <c r="J93" i="79" s="1"/>
  <c r="J91" i="56"/>
  <c r="K91" i="56" s="1"/>
  <c r="J92" i="79" s="1"/>
  <c r="J90" i="56"/>
  <c r="J89" i="56"/>
  <c r="K89" i="56" s="1"/>
  <c r="J90" i="79" s="1"/>
  <c r="J88" i="56"/>
  <c r="K88" i="56" s="1"/>
  <c r="J89" i="79" s="1"/>
  <c r="J87" i="56"/>
  <c r="J86" i="56"/>
  <c r="K86" i="56" s="1"/>
  <c r="J87" i="79" s="1"/>
  <c r="J85" i="56"/>
  <c r="J84" i="56"/>
  <c r="K84" i="56" s="1"/>
  <c r="J85" i="79" s="1"/>
  <c r="J83" i="56"/>
  <c r="K83" i="56" s="1"/>
  <c r="J84" i="79" s="1"/>
  <c r="J82" i="56"/>
  <c r="K82" i="56" s="1"/>
  <c r="J83" i="79" s="1"/>
  <c r="J81" i="56"/>
  <c r="K81" i="56" s="1"/>
  <c r="J82" i="79" s="1"/>
  <c r="J80" i="56"/>
  <c r="K80" i="56" s="1"/>
  <c r="J81" i="79" s="1"/>
  <c r="J79" i="56"/>
  <c r="J78" i="56"/>
  <c r="K78" i="56" s="1"/>
  <c r="J79" i="79" s="1"/>
  <c r="J77" i="56"/>
  <c r="J76" i="56"/>
  <c r="K76" i="56" s="1"/>
  <c r="J77" i="79" s="1"/>
  <c r="J75" i="56"/>
  <c r="K75" i="56" s="1"/>
  <c r="J76" i="79" s="1"/>
  <c r="J74" i="56"/>
  <c r="K74" i="56" s="1"/>
  <c r="J75" i="79" s="1"/>
  <c r="J73" i="56"/>
  <c r="K73" i="56" s="1"/>
  <c r="J74" i="79" s="1"/>
  <c r="J72" i="56"/>
  <c r="K72" i="56" s="1"/>
  <c r="J73" i="79" s="1"/>
  <c r="J71" i="56"/>
  <c r="J70" i="56"/>
  <c r="K70" i="56" s="1"/>
  <c r="J71" i="79" s="1"/>
  <c r="J69" i="56"/>
  <c r="J68" i="56"/>
  <c r="K68" i="56" s="1"/>
  <c r="J69" i="79" s="1"/>
  <c r="J67" i="56"/>
  <c r="K67" i="56" s="1"/>
  <c r="J68" i="79" s="1"/>
  <c r="J66" i="56"/>
  <c r="K66" i="56" s="1"/>
  <c r="J67" i="79" s="1"/>
  <c r="J65" i="56"/>
  <c r="K65" i="56" s="1"/>
  <c r="J66" i="79" s="1"/>
  <c r="J64" i="56"/>
  <c r="K64" i="56" s="1"/>
  <c r="J65" i="79" s="1"/>
  <c r="J63" i="56"/>
  <c r="J62" i="56"/>
  <c r="K62" i="56" s="1"/>
  <c r="J63" i="79" s="1"/>
  <c r="J61" i="56"/>
  <c r="J60" i="56"/>
  <c r="K60" i="56" s="1"/>
  <c r="J61" i="79" s="1"/>
  <c r="J59" i="56"/>
  <c r="K59" i="56" s="1"/>
  <c r="J60" i="79" s="1"/>
  <c r="J58" i="56"/>
  <c r="J57" i="56"/>
  <c r="J56" i="56"/>
  <c r="K56" i="56" s="1"/>
  <c r="J57" i="79" s="1"/>
  <c r="J55" i="56"/>
  <c r="J54" i="56"/>
  <c r="K54" i="56" s="1"/>
  <c r="J55" i="79" s="1"/>
  <c r="J53" i="56"/>
  <c r="J52" i="56"/>
  <c r="K52" i="56" s="1"/>
  <c r="J53" i="79" s="1"/>
  <c r="J51" i="56"/>
  <c r="K51" i="56" s="1"/>
  <c r="J52" i="79" s="1"/>
  <c r="J50" i="56"/>
  <c r="K50" i="56" s="1"/>
  <c r="J51" i="79" s="1"/>
  <c r="J49" i="56"/>
  <c r="K49" i="56" s="1"/>
  <c r="J50" i="79" s="1"/>
  <c r="J48" i="56"/>
  <c r="K48" i="56" s="1"/>
  <c r="J49" i="79" s="1"/>
  <c r="J47" i="56"/>
  <c r="J46" i="56"/>
  <c r="K46" i="56" s="1"/>
  <c r="J47" i="79" s="1"/>
  <c r="J45" i="56"/>
  <c r="J44" i="56"/>
  <c r="J43" i="56"/>
  <c r="K43" i="56" s="1"/>
  <c r="J44" i="79" s="1"/>
  <c r="J42" i="56"/>
  <c r="K42" i="56" s="1"/>
  <c r="J43" i="79" s="1"/>
  <c r="J41" i="56"/>
  <c r="K41" i="56" s="1"/>
  <c r="J42" i="79" s="1"/>
  <c r="J40" i="56"/>
  <c r="K40" i="56" s="1"/>
  <c r="J41" i="79" s="1"/>
  <c r="J39" i="56"/>
  <c r="J38" i="56"/>
  <c r="K38" i="56" s="1"/>
  <c r="J39" i="79" s="1"/>
  <c r="J37" i="56"/>
  <c r="J36" i="56"/>
  <c r="K36" i="56" s="1"/>
  <c r="J37" i="79" s="1"/>
  <c r="J35" i="56"/>
  <c r="K35" i="56" s="1"/>
  <c r="J36" i="79" s="1"/>
  <c r="J34" i="56"/>
  <c r="J33" i="56"/>
  <c r="K33" i="56" s="1"/>
  <c r="J34" i="79" s="1"/>
  <c r="J32" i="56"/>
  <c r="K32" i="56" s="1"/>
  <c r="J33" i="79" s="1"/>
  <c r="J31" i="56"/>
  <c r="J30" i="56"/>
  <c r="K30" i="56" s="1"/>
  <c r="J31" i="79" s="1"/>
  <c r="J29" i="56"/>
  <c r="J28" i="56"/>
  <c r="K28" i="56" s="1"/>
  <c r="J29" i="79" s="1"/>
  <c r="J27" i="56"/>
  <c r="K27" i="56" s="1"/>
  <c r="J28" i="79" s="1"/>
  <c r="J26" i="56"/>
  <c r="K26" i="56" s="1"/>
  <c r="J27" i="79" s="1"/>
  <c r="J25" i="56"/>
  <c r="J24" i="56"/>
  <c r="K24" i="56" s="1"/>
  <c r="J25" i="79" s="1"/>
  <c r="J23" i="56"/>
  <c r="J22" i="56"/>
  <c r="K22" i="56" s="1"/>
  <c r="J23" i="79" s="1"/>
  <c r="J21" i="56"/>
  <c r="J20" i="56"/>
  <c r="J19" i="56"/>
  <c r="K19" i="56" s="1"/>
  <c r="J20" i="79" s="1"/>
  <c r="J18" i="56"/>
  <c r="J17" i="56"/>
  <c r="J16" i="56"/>
  <c r="J15" i="56"/>
  <c r="K15" i="56" s="1"/>
  <c r="J16" i="79" s="1"/>
  <c r="J14" i="56"/>
  <c r="J13" i="56"/>
  <c r="J12" i="56"/>
  <c r="J11" i="56"/>
  <c r="K11" i="56" s="1"/>
  <c r="J12" i="79" s="1"/>
  <c r="J10" i="56"/>
  <c r="J9" i="56"/>
  <c r="J8" i="56"/>
  <c r="J7" i="56"/>
  <c r="J6" i="56"/>
  <c r="J5" i="56"/>
  <c r="K121" i="56"/>
  <c r="J122" i="79" s="1"/>
  <c r="K105" i="56"/>
  <c r="J106" i="79" s="1"/>
  <c r="K97" i="56"/>
  <c r="J98" i="79" s="1"/>
  <c r="K94" i="56"/>
  <c r="J95" i="79" s="1"/>
  <c r="K90" i="56"/>
  <c r="J91" i="79" s="1"/>
  <c r="K85" i="56"/>
  <c r="J86" i="79" s="1"/>
  <c r="K77" i="56"/>
  <c r="J78" i="79" s="1"/>
  <c r="K69" i="56"/>
  <c r="J70" i="79" s="1"/>
  <c r="K61" i="56"/>
  <c r="J62" i="79" s="1"/>
  <c r="K58" i="56"/>
  <c r="J59" i="79" s="1"/>
  <c r="K53" i="56"/>
  <c r="J54" i="79" s="1"/>
  <c r="K45" i="56"/>
  <c r="J46" i="79" s="1"/>
  <c r="K44" i="56"/>
  <c r="J45" i="79" s="1"/>
  <c r="K37" i="56"/>
  <c r="J38" i="79" s="1"/>
  <c r="K34" i="56"/>
  <c r="J35" i="79" s="1"/>
  <c r="K29" i="56"/>
  <c r="J30" i="79" s="1"/>
  <c r="I125" i="79"/>
  <c r="I124" i="79"/>
  <c r="I123" i="79"/>
  <c r="I122" i="79"/>
  <c r="I121" i="79"/>
  <c r="I120" i="79"/>
  <c r="I119" i="79"/>
  <c r="I118" i="79"/>
  <c r="I117" i="79"/>
  <c r="I116" i="79"/>
  <c r="I115" i="79"/>
  <c r="I114" i="79"/>
  <c r="I113" i="79"/>
  <c r="I112" i="79"/>
  <c r="I111" i="79"/>
  <c r="I110" i="79"/>
  <c r="I109" i="79"/>
  <c r="I108" i="79"/>
  <c r="I107" i="79"/>
  <c r="I106" i="79"/>
  <c r="I105" i="79"/>
  <c r="I104" i="79"/>
  <c r="I103" i="79"/>
  <c r="I102" i="79"/>
  <c r="I101" i="79"/>
  <c r="I100" i="79"/>
  <c r="I99" i="79"/>
  <c r="I98" i="79"/>
  <c r="I97" i="79"/>
  <c r="I96" i="79"/>
  <c r="I95" i="79"/>
  <c r="I94" i="79"/>
  <c r="I93" i="79"/>
  <c r="I92" i="79"/>
  <c r="I91" i="79"/>
  <c r="I90" i="79"/>
  <c r="I89" i="79"/>
  <c r="I88" i="79"/>
  <c r="I87" i="79"/>
  <c r="I86" i="79"/>
  <c r="I85" i="79"/>
  <c r="I84" i="79"/>
  <c r="I83" i="79"/>
  <c r="I82" i="79"/>
  <c r="I81" i="79"/>
  <c r="I80" i="79"/>
  <c r="I79" i="79"/>
  <c r="I78" i="79"/>
  <c r="I77" i="79"/>
  <c r="I76" i="79"/>
  <c r="I75" i="79"/>
  <c r="I74" i="79"/>
  <c r="I73" i="79"/>
  <c r="I72" i="79"/>
  <c r="I71" i="79"/>
  <c r="I70" i="79"/>
  <c r="I69" i="79"/>
  <c r="I68" i="79"/>
  <c r="I67" i="79"/>
  <c r="I66" i="79"/>
  <c r="I65" i="79"/>
  <c r="I64" i="79"/>
  <c r="I63" i="79"/>
  <c r="I62" i="79"/>
  <c r="I61" i="79"/>
  <c r="I60" i="79"/>
  <c r="I59" i="79"/>
  <c r="I58" i="79"/>
  <c r="I57" i="79"/>
  <c r="I56" i="79"/>
  <c r="I55" i="79"/>
  <c r="I54" i="79"/>
  <c r="I53" i="79"/>
  <c r="I52" i="79"/>
  <c r="I51" i="79"/>
  <c r="I50" i="79"/>
  <c r="I49" i="79"/>
  <c r="I48" i="79"/>
  <c r="I47" i="79"/>
  <c r="I46" i="79"/>
  <c r="I45" i="79"/>
  <c r="I44" i="79"/>
  <c r="I43" i="79"/>
  <c r="I42" i="79"/>
  <c r="I41" i="79"/>
  <c r="I40" i="79"/>
  <c r="I39" i="79"/>
  <c r="I38" i="79"/>
  <c r="I37" i="79"/>
  <c r="I36" i="79"/>
  <c r="I35" i="79"/>
  <c r="I34" i="79"/>
  <c r="I33" i="79"/>
  <c r="I32" i="79"/>
  <c r="I31" i="79"/>
  <c r="I30" i="79"/>
  <c r="I29" i="79"/>
  <c r="I28" i="79"/>
  <c r="I27" i="79"/>
  <c r="I26" i="79"/>
  <c r="I25" i="79"/>
  <c r="I24" i="79"/>
  <c r="I23" i="79"/>
  <c r="I22" i="79"/>
  <c r="I21" i="79"/>
  <c r="I20" i="79"/>
  <c r="I19" i="79"/>
  <c r="I18" i="79"/>
  <c r="I17" i="79"/>
  <c r="I16" i="79"/>
  <c r="I15" i="79"/>
  <c r="I14" i="79"/>
  <c r="I13" i="79"/>
  <c r="I12" i="79"/>
  <c r="I11" i="79"/>
  <c r="I10" i="79"/>
  <c r="I9" i="79"/>
  <c r="I8" i="79"/>
  <c r="I7" i="79"/>
  <c r="I6" i="79"/>
  <c r="H125" i="79"/>
  <c r="H124" i="79"/>
  <c r="H123" i="79"/>
  <c r="H122" i="79"/>
  <c r="I120" i="56"/>
  <c r="K121" i="79" s="1"/>
  <c r="H120" i="79"/>
  <c r="H119" i="79"/>
  <c r="H118" i="79"/>
  <c r="H117" i="79"/>
  <c r="H116" i="79"/>
  <c r="H115" i="79"/>
  <c r="H114" i="79"/>
  <c r="H113" i="79"/>
  <c r="H112" i="79"/>
  <c r="H111" i="79"/>
  <c r="H110" i="79"/>
  <c r="H109" i="79"/>
  <c r="H108" i="79"/>
  <c r="H107" i="79"/>
  <c r="H106" i="79"/>
  <c r="I104" i="56"/>
  <c r="K105" i="79" s="1"/>
  <c r="H104" i="79"/>
  <c r="H103" i="79"/>
  <c r="H102" i="79"/>
  <c r="H101" i="79"/>
  <c r="H100" i="79"/>
  <c r="H99" i="79"/>
  <c r="H98" i="79"/>
  <c r="H97" i="79"/>
  <c r="H96" i="79"/>
  <c r="H95" i="79"/>
  <c r="H94" i="79"/>
  <c r="H93" i="79"/>
  <c r="H92" i="79"/>
  <c r="H91" i="79"/>
  <c r="H90" i="79"/>
  <c r="H89" i="79"/>
  <c r="H88" i="79"/>
  <c r="H87" i="79"/>
  <c r="H86" i="79"/>
  <c r="H85" i="79"/>
  <c r="H84" i="79"/>
  <c r="H83" i="79"/>
  <c r="H82" i="79"/>
  <c r="H81" i="79"/>
  <c r="H80" i="79"/>
  <c r="H79" i="79"/>
  <c r="H78" i="79"/>
  <c r="H77" i="79"/>
  <c r="H76" i="79"/>
  <c r="H75" i="79"/>
  <c r="H74" i="79"/>
  <c r="I72" i="56"/>
  <c r="K73" i="79" s="1"/>
  <c r="H72" i="79"/>
  <c r="H71" i="79"/>
  <c r="H70" i="79"/>
  <c r="H69" i="79"/>
  <c r="H68" i="79"/>
  <c r="H67" i="79"/>
  <c r="H66" i="79"/>
  <c r="H65" i="79"/>
  <c r="H64" i="79"/>
  <c r="H63" i="79"/>
  <c r="H62" i="79"/>
  <c r="H61" i="79"/>
  <c r="H60" i="79"/>
  <c r="H59" i="79"/>
  <c r="H58" i="79"/>
  <c r="I56" i="56"/>
  <c r="K57" i="79" s="1"/>
  <c r="H56" i="79"/>
  <c r="H55" i="79"/>
  <c r="H54" i="79"/>
  <c r="H53" i="79"/>
  <c r="H52" i="79"/>
  <c r="H51" i="79"/>
  <c r="H50" i="79"/>
  <c r="H49" i="79"/>
  <c r="H48" i="79"/>
  <c r="H47" i="79"/>
  <c r="H46" i="79"/>
  <c r="H45" i="79"/>
  <c r="H44" i="79"/>
  <c r="H43" i="79"/>
  <c r="H42" i="79"/>
  <c r="I40" i="56"/>
  <c r="K41" i="79" s="1"/>
  <c r="H40" i="79"/>
  <c r="H39" i="79"/>
  <c r="H38" i="79"/>
  <c r="H37" i="79"/>
  <c r="H36" i="79"/>
  <c r="H35" i="79"/>
  <c r="H34" i="79"/>
  <c r="H33" i="79"/>
  <c r="H32" i="79"/>
  <c r="H31" i="79"/>
  <c r="H30" i="79"/>
  <c r="H29" i="79"/>
  <c r="H28" i="79"/>
  <c r="H27" i="79"/>
  <c r="H26" i="79"/>
  <c r="H25" i="79"/>
  <c r="H24" i="79"/>
  <c r="H23" i="79"/>
  <c r="H22" i="79"/>
  <c r="H21" i="79"/>
  <c r="H20" i="79"/>
  <c r="H19" i="79"/>
  <c r="H18" i="79"/>
  <c r="H17" i="79"/>
  <c r="H16" i="79"/>
  <c r="H15" i="79"/>
  <c r="H14" i="79"/>
  <c r="H13" i="79"/>
  <c r="H12" i="79"/>
  <c r="H11" i="79"/>
  <c r="H10" i="79"/>
  <c r="I8" i="56"/>
  <c r="H8" i="79"/>
  <c r="H7" i="79"/>
  <c r="H6" i="79"/>
  <c r="I124" i="62"/>
  <c r="I105" i="62"/>
  <c r="I104" i="62"/>
  <c r="I98" i="62"/>
  <c r="I97" i="62"/>
  <c r="I96" i="62"/>
  <c r="I94" i="62"/>
  <c r="I92" i="62"/>
  <c r="I88" i="62"/>
  <c r="I84" i="62"/>
  <c r="I80" i="62"/>
  <c r="I78" i="62"/>
  <c r="I76" i="62"/>
  <c r="I72" i="62"/>
  <c r="I69" i="62"/>
  <c r="I68" i="62"/>
  <c r="I65" i="62"/>
  <c r="I64" i="62"/>
  <c r="I61" i="62"/>
  <c r="I56" i="62"/>
  <c r="I32" i="62"/>
  <c r="I28" i="62"/>
  <c r="I10" i="62"/>
  <c r="I9" i="62"/>
  <c r="I8" i="62"/>
  <c r="I5" i="62"/>
  <c r="H116" i="62"/>
  <c r="H105" i="62"/>
  <c r="H104" i="62"/>
  <c r="H98" i="62"/>
  <c r="H97" i="62"/>
  <c r="H96" i="62"/>
  <c r="H94" i="62"/>
  <c r="H93" i="62"/>
  <c r="H92" i="62"/>
  <c r="H88" i="62"/>
  <c r="H85" i="62"/>
  <c r="H84" i="62"/>
  <c r="H76" i="62"/>
  <c r="H74" i="62"/>
  <c r="H72" i="62"/>
  <c r="H70" i="62"/>
  <c r="H69" i="62"/>
  <c r="H68" i="62"/>
  <c r="H66" i="62"/>
  <c r="H65" i="62"/>
  <c r="H64" i="62"/>
  <c r="H62" i="62"/>
  <c r="H61" i="62"/>
  <c r="H58" i="62"/>
  <c r="H57" i="62"/>
  <c r="H56" i="62"/>
  <c r="H54" i="62"/>
  <c r="H49" i="62"/>
  <c r="H48" i="62"/>
  <c r="H45" i="62"/>
  <c r="H44" i="62"/>
  <c r="H40" i="62"/>
  <c r="H36" i="62"/>
  <c r="H24" i="62"/>
  <c r="H22" i="62"/>
  <c r="H21" i="62"/>
  <c r="H18" i="62"/>
  <c r="H17" i="62"/>
  <c r="H16" i="62"/>
  <c r="H14" i="62"/>
  <c r="H13" i="62"/>
  <c r="H8" i="62"/>
  <c r="H124" i="62"/>
  <c r="H123" i="62"/>
  <c r="H122" i="62"/>
  <c r="H121" i="62"/>
  <c r="H120" i="62"/>
  <c r="H119" i="62"/>
  <c r="H118" i="62"/>
  <c r="H117" i="62"/>
  <c r="H115" i="62"/>
  <c r="H114" i="62"/>
  <c r="H113" i="62"/>
  <c r="H112" i="62"/>
  <c r="H111" i="62"/>
  <c r="H110" i="62"/>
  <c r="H109" i="62"/>
  <c r="H108" i="62"/>
  <c r="H107" i="62"/>
  <c r="H106" i="62"/>
  <c r="H103" i="62"/>
  <c r="H102" i="62"/>
  <c r="H101" i="62"/>
  <c r="H100" i="62"/>
  <c r="H99" i="62"/>
  <c r="H95" i="62"/>
  <c r="H91" i="62"/>
  <c r="H90" i="62"/>
  <c r="H89" i="62"/>
  <c r="H87" i="62"/>
  <c r="H86" i="62"/>
  <c r="H83" i="62"/>
  <c r="H82" i="62"/>
  <c r="H81" i="62"/>
  <c r="H80" i="62"/>
  <c r="H79" i="62"/>
  <c r="H78" i="62"/>
  <c r="H77" i="62"/>
  <c r="H75" i="62"/>
  <c r="H73" i="62"/>
  <c r="H71" i="62"/>
  <c r="H67" i="62"/>
  <c r="H63" i="62"/>
  <c r="H60" i="62"/>
  <c r="H59" i="62"/>
  <c r="H55" i="62"/>
  <c r="H53" i="62"/>
  <c r="H52" i="62"/>
  <c r="H51" i="62"/>
  <c r="H50" i="62"/>
  <c r="H47" i="62"/>
  <c r="H46" i="62"/>
  <c r="H43" i="62"/>
  <c r="H42" i="62"/>
  <c r="H41" i="62"/>
  <c r="H39" i="62"/>
  <c r="H38" i="62"/>
  <c r="H37" i="62"/>
  <c r="H35" i="62"/>
  <c r="H34" i="62"/>
  <c r="H33" i="62"/>
  <c r="H32" i="62"/>
  <c r="H31" i="62"/>
  <c r="H30" i="62"/>
  <c r="H29" i="62"/>
  <c r="H28" i="62"/>
  <c r="H27" i="62"/>
  <c r="H26" i="62"/>
  <c r="H25" i="62"/>
  <c r="H23" i="62"/>
  <c r="H20" i="62"/>
  <c r="H19" i="62"/>
  <c r="H15" i="62"/>
  <c r="H12" i="62"/>
  <c r="H11" i="62"/>
  <c r="H10" i="62"/>
  <c r="H9" i="62"/>
  <c r="H7" i="62"/>
  <c r="H6" i="62"/>
  <c r="H5" i="62"/>
  <c r="I123" i="62"/>
  <c r="I122" i="62"/>
  <c r="I121" i="62"/>
  <c r="I120" i="62"/>
  <c r="I119" i="62"/>
  <c r="I118" i="62"/>
  <c r="I117" i="62"/>
  <c r="I116" i="62"/>
  <c r="I115" i="62"/>
  <c r="I114" i="62"/>
  <c r="I113" i="62"/>
  <c r="I112" i="62"/>
  <c r="I111" i="62"/>
  <c r="I110" i="62"/>
  <c r="I109" i="62"/>
  <c r="I108" i="62"/>
  <c r="I107" i="62"/>
  <c r="I106" i="62"/>
  <c r="I103" i="62"/>
  <c r="I102" i="62"/>
  <c r="I101" i="62"/>
  <c r="I100" i="62"/>
  <c r="I99" i="62"/>
  <c r="I95" i="62"/>
  <c r="I93" i="62"/>
  <c r="I91" i="62"/>
  <c r="I90" i="62"/>
  <c r="I89" i="62"/>
  <c r="I87" i="62"/>
  <c r="I86" i="62"/>
  <c r="I85" i="62"/>
  <c r="I83" i="62"/>
  <c r="I82" i="62"/>
  <c r="I81" i="62"/>
  <c r="I79" i="62"/>
  <c r="I77" i="62"/>
  <c r="I75" i="62"/>
  <c r="I74" i="62"/>
  <c r="I73" i="62"/>
  <c r="I71" i="62"/>
  <c r="I70" i="62"/>
  <c r="I67" i="62"/>
  <c r="I66" i="62"/>
  <c r="I63" i="62"/>
  <c r="I62" i="62"/>
  <c r="I60" i="62"/>
  <c r="I59" i="62"/>
  <c r="I58" i="62"/>
  <c r="I57" i="62"/>
  <c r="I55" i="62"/>
  <c r="I54" i="62"/>
  <c r="I53" i="62"/>
  <c r="I52" i="62"/>
  <c r="I51" i="62"/>
  <c r="I50" i="62"/>
  <c r="I49" i="62"/>
  <c r="I48" i="62"/>
  <c r="I47" i="62"/>
  <c r="I46" i="62"/>
  <c r="I45" i="62"/>
  <c r="I44" i="62"/>
  <c r="I43" i="62"/>
  <c r="I42" i="62"/>
  <c r="I41" i="62"/>
  <c r="I40" i="62"/>
  <c r="I39" i="62"/>
  <c r="I38" i="62"/>
  <c r="I37" i="62"/>
  <c r="I36" i="62"/>
  <c r="I35" i="62"/>
  <c r="I34" i="62"/>
  <c r="I33" i="62"/>
  <c r="I31" i="62"/>
  <c r="I30" i="62"/>
  <c r="I29" i="62"/>
  <c r="I27" i="62"/>
  <c r="I26" i="62"/>
  <c r="I25" i="62"/>
  <c r="I24" i="62"/>
  <c r="I23" i="62"/>
  <c r="I22" i="62"/>
  <c r="I21" i="62"/>
  <c r="I20" i="62"/>
  <c r="I19" i="62"/>
  <c r="I18" i="62"/>
  <c r="I17" i="62"/>
  <c r="I16" i="62"/>
  <c r="I15" i="62"/>
  <c r="I14" i="62"/>
  <c r="I13" i="62"/>
  <c r="I12" i="62"/>
  <c r="I11" i="62"/>
  <c r="I7" i="62"/>
  <c r="I6" i="62"/>
  <c r="I124" i="117"/>
  <c r="I123" i="117"/>
  <c r="I122" i="117"/>
  <c r="I121" i="117"/>
  <c r="I120" i="117"/>
  <c r="I119" i="117"/>
  <c r="I118" i="117"/>
  <c r="I117" i="117"/>
  <c r="I116" i="117"/>
  <c r="I115" i="117"/>
  <c r="I114" i="117"/>
  <c r="I113" i="117"/>
  <c r="I112" i="117"/>
  <c r="I111" i="117"/>
  <c r="I110" i="117"/>
  <c r="I109" i="117"/>
  <c r="I108" i="117"/>
  <c r="I107" i="117"/>
  <c r="I106" i="117"/>
  <c r="I105" i="117"/>
  <c r="I104" i="117"/>
  <c r="I103" i="117"/>
  <c r="I102" i="117"/>
  <c r="I101" i="117"/>
  <c r="I100" i="117"/>
  <c r="I99" i="117"/>
  <c r="I98" i="117"/>
  <c r="I97" i="117"/>
  <c r="I96" i="117"/>
  <c r="I95" i="117"/>
  <c r="I94" i="117"/>
  <c r="I93" i="117"/>
  <c r="I92" i="117"/>
  <c r="I91" i="117"/>
  <c r="I90" i="117"/>
  <c r="I89" i="117"/>
  <c r="I88" i="117"/>
  <c r="I87" i="117"/>
  <c r="I86" i="117"/>
  <c r="I85" i="117"/>
  <c r="I84" i="117"/>
  <c r="I83" i="117"/>
  <c r="I82" i="117"/>
  <c r="I81" i="117"/>
  <c r="I80" i="117"/>
  <c r="I79" i="117"/>
  <c r="I78" i="117"/>
  <c r="I77" i="117"/>
  <c r="I76" i="117"/>
  <c r="I75" i="117"/>
  <c r="I74" i="117"/>
  <c r="I73" i="117"/>
  <c r="I72" i="117"/>
  <c r="I71" i="117"/>
  <c r="I70" i="117"/>
  <c r="I69" i="117"/>
  <c r="I68" i="117"/>
  <c r="I67" i="117"/>
  <c r="I66" i="117"/>
  <c r="I65" i="117"/>
  <c r="I64" i="117"/>
  <c r="I63" i="117"/>
  <c r="I62" i="117"/>
  <c r="I61" i="117"/>
  <c r="I60" i="117"/>
  <c r="I59" i="117"/>
  <c r="I58" i="117"/>
  <c r="I57" i="117"/>
  <c r="I56" i="117"/>
  <c r="I55" i="117"/>
  <c r="I54" i="117"/>
  <c r="I53" i="117"/>
  <c r="I52" i="117"/>
  <c r="I51" i="117"/>
  <c r="I50" i="117"/>
  <c r="I49" i="117"/>
  <c r="I48" i="117"/>
  <c r="I47" i="117"/>
  <c r="I46" i="117"/>
  <c r="I45" i="117"/>
  <c r="I44" i="117"/>
  <c r="I43" i="117"/>
  <c r="I42" i="117"/>
  <c r="I41" i="117"/>
  <c r="I40" i="117"/>
  <c r="I39" i="117"/>
  <c r="I38" i="117"/>
  <c r="I37" i="117"/>
  <c r="I36" i="117"/>
  <c r="I35" i="117"/>
  <c r="I34" i="117"/>
  <c r="I33" i="117"/>
  <c r="I32" i="117"/>
  <c r="I31" i="117"/>
  <c r="I30" i="117"/>
  <c r="I29" i="117"/>
  <c r="I28" i="117"/>
  <c r="I27" i="117"/>
  <c r="I26" i="117"/>
  <c r="I25" i="117"/>
  <c r="I24" i="117"/>
  <c r="I23" i="117"/>
  <c r="I22" i="117"/>
  <c r="I21" i="117"/>
  <c r="I20" i="117"/>
  <c r="I19" i="117"/>
  <c r="I18" i="117"/>
  <c r="I17" i="117"/>
  <c r="I16" i="117"/>
  <c r="I15" i="117"/>
  <c r="I14" i="117"/>
  <c r="I13" i="117"/>
  <c r="I12" i="117"/>
  <c r="I11" i="117"/>
  <c r="I10" i="117"/>
  <c r="I9" i="117"/>
  <c r="I8" i="117"/>
  <c r="I7" i="117"/>
  <c r="I6" i="117"/>
  <c r="I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F125" i="118"/>
  <c r="F124" i="118"/>
  <c r="F123" i="118"/>
  <c r="F122" i="118"/>
  <c r="F121" i="118"/>
  <c r="F120" i="118"/>
  <c r="F119" i="118"/>
  <c r="F118" i="118"/>
  <c r="F117" i="118"/>
  <c r="F116" i="118"/>
  <c r="F115" i="118"/>
  <c r="F114" i="118"/>
  <c r="F113" i="118"/>
  <c r="F112" i="118"/>
  <c r="F111" i="118"/>
  <c r="F110" i="118"/>
  <c r="F109" i="118"/>
  <c r="F108" i="118"/>
  <c r="F107" i="118"/>
  <c r="F106" i="118"/>
  <c r="F105" i="118"/>
  <c r="F104" i="118"/>
  <c r="F103" i="118"/>
  <c r="F102" i="118"/>
  <c r="F101" i="118"/>
  <c r="F100" i="118"/>
  <c r="F99" i="118"/>
  <c r="F98" i="118"/>
  <c r="F97" i="118"/>
  <c r="F96" i="118"/>
  <c r="F95" i="118"/>
  <c r="F94" i="118"/>
  <c r="F93" i="118"/>
  <c r="F92" i="118"/>
  <c r="F91" i="118"/>
  <c r="F90" i="118"/>
  <c r="F89" i="118"/>
  <c r="F88" i="118"/>
  <c r="F87" i="118"/>
  <c r="F86" i="118"/>
  <c r="F85" i="118"/>
  <c r="F84" i="118"/>
  <c r="F83" i="118"/>
  <c r="F82" i="118"/>
  <c r="F81" i="118"/>
  <c r="F80" i="118"/>
  <c r="F79" i="118"/>
  <c r="F78" i="118"/>
  <c r="F77" i="118"/>
  <c r="F76" i="118"/>
  <c r="F75" i="118"/>
  <c r="F74" i="118"/>
  <c r="F73" i="118"/>
  <c r="F72" i="118"/>
  <c r="F71" i="118"/>
  <c r="F70" i="118"/>
  <c r="F69" i="118"/>
  <c r="F68" i="118"/>
  <c r="F67" i="118"/>
  <c r="F66" i="118"/>
  <c r="F65" i="118"/>
  <c r="F64" i="118"/>
  <c r="F63" i="118"/>
  <c r="F62" i="118"/>
  <c r="F61" i="118"/>
  <c r="F60" i="118"/>
  <c r="F59" i="118"/>
  <c r="F58" i="118"/>
  <c r="F57" i="118"/>
  <c r="F56" i="118"/>
  <c r="F55" i="118"/>
  <c r="F54" i="118"/>
  <c r="F53" i="118"/>
  <c r="F52" i="118"/>
  <c r="F51" i="118"/>
  <c r="F50" i="118"/>
  <c r="F49" i="118"/>
  <c r="F48" i="118"/>
  <c r="F47" i="118"/>
  <c r="F46" i="118"/>
  <c r="F45" i="118"/>
  <c r="F44" i="118"/>
  <c r="F43" i="118"/>
  <c r="F42" i="118"/>
  <c r="F41" i="118"/>
  <c r="F40" i="118"/>
  <c r="F39" i="118"/>
  <c r="F38" i="118"/>
  <c r="F37" i="118"/>
  <c r="F36" i="118"/>
  <c r="F35" i="118"/>
  <c r="F34" i="118"/>
  <c r="F33" i="118"/>
  <c r="F32" i="118"/>
  <c r="F31" i="118"/>
  <c r="F30" i="118"/>
  <c r="F29" i="118"/>
  <c r="F28" i="118"/>
  <c r="F27" i="118"/>
  <c r="F26" i="118"/>
  <c r="F25" i="118"/>
  <c r="F24" i="118"/>
  <c r="F23" i="118"/>
  <c r="F22" i="118"/>
  <c r="F21" i="118"/>
  <c r="F20" i="118"/>
  <c r="F19" i="118"/>
  <c r="F18" i="118"/>
  <c r="F17" i="118"/>
  <c r="F16" i="118"/>
  <c r="F15" i="118"/>
  <c r="F14" i="118"/>
  <c r="F13" i="118"/>
  <c r="F12" i="118"/>
  <c r="F11" i="118"/>
  <c r="F10" i="118"/>
  <c r="F9" i="118"/>
  <c r="F8" i="118"/>
  <c r="F7" i="118"/>
  <c r="F6" i="118"/>
  <c r="AN124" i="60"/>
  <c r="AO124" i="60" s="1"/>
  <c r="AN123" i="60"/>
  <c r="AO123" i="60" s="1"/>
  <c r="AN122" i="60"/>
  <c r="AO122" i="60" s="1"/>
  <c r="AN121" i="60"/>
  <c r="AO121" i="60" s="1"/>
  <c r="AN120" i="60"/>
  <c r="AO120" i="60" s="1"/>
  <c r="AN119" i="60"/>
  <c r="AO119" i="60" s="1"/>
  <c r="AN118" i="60"/>
  <c r="AO118" i="60" s="1"/>
  <c r="AN117" i="60"/>
  <c r="AO117" i="60" s="1"/>
  <c r="AN116" i="60"/>
  <c r="AO116" i="60" s="1"/>
  <c r="AN115" i="60"/>
  <c r="AO115" i="60" s="1"/>
  <c r="AN114" i="60"/>
  <c r="AO114" i="60" s="1"/>
  <c r="AN113" i="60"/>
  <c r="AO113" i="60" s="1"/>
  <c r="AN112" i="60"/>
  <c r="AO112" i="60" s="1"/>
  <c r="AN111" i="60"/>
  <c r="AO111" i="60" s="1"/>
  <c r="AN110" i="60"/>
  <c r="AN109" i="60"/>
  <c r="AO109" i="60" s="1"/>
  <c r="AN108" i="60"/>
  <c r="AO108" i="60" s="1"/>
  <c r="AN107" i="60"/>
  <c r="AO107" i="60" s="1"/>
  <c r="AN106" i="60"/>
  <c r="AO106" i="60" s="1"/>
  <c r="AN105" i="60"/>
  <c r="AO105" i="60" s="1"/>
  <c r="AN104" i="60"/>
  <c r="AO104" i="60" s="1"/>
  <c r="AN103" i="60"/>
  <c r="AO103" i="60" s="1"/>
  <c r="AN102" i="60"/>
  <c r="AN101" i="60"/>
  <c r="AO101" i="60" s="1"/>
  <c r="AN100" i="60"/>
  <c r="AO100" i="60" s="1"/>
  <c r="AN99" i="60"/>
  <c r="AO99" i="60" s="1"/>
  <c r="AN98" i="60"/>
  <c r="AO98" i="60" s="1"/>
  <c r="AN97" i="60"/>
  <c r="AO97" i="60" s="1"/>
  <c r="AN96" i="60"/>
  <c r="AO96" i="60" s="1"/>
  <c r="AN95" i="60"/>
  <c r="AO95" i="60" s="1"/>
  <c r="AN94" i="60"/>
  <c r="AN93" i="60"/>
  <c r="AO93" i="60" s="1"/>
  <c r="AN92" i="60"/>
  <c r="AO92" i="60" s="1"/>
  <c r="AN91" i="60"/>
  <c r="AO91" i="60" s="1"/>
  <c r="AN90" i="60"/>
  <c r="AO90" i="60" s="1"/>
  <c r="AN89" i="60"/>
  <c r="AO89" i="60" s="1"/>
  <c r="AN88" i="60"/>
  <c r="AO88" i="60" s="1"/>
  <c r="AN87" i="60"/>
  <c r="AO87" i="60" s="1"/>
  <c r="AN86" i="60"/>
  <c r="AO86" i="60" s="1"/>
  <c r="AN85" i="60"/>
  <c r="AO85" i="60" s="1"/>
  <c r="AN84" i="60"/>
  <c r="AO84" i="60" s="1"/>
  <c r="AN83" i="60"/>
  <c r="AO83" i="60" s="1"/>
  <c r="AN82" i="60"/>
  <c r="AO82" i="60" s="1"/>
  <c r="AN81" i="60"/>
  <c r="AO81" i="60" s="1"/>
  <c r="AN80" i="60"/>
  <c r="AO80" i="60" s="1"/>
  <c r="AN79" i="60"/>
  <c r="AO79" i="60" s="1"/>
  <c r="AN78" i="60"/>
  <c r="AN77" i="60"/>
  <c r="AO77" i="60" s="1"/>
  <c r="AN76" i="60"/>
  <c r="AO76" i="60" s="1"/>
  <c r="AN75" i="60"/>
  <c r="AO75" i="60" s="1"/>
  <c r="AN74" i="60"/>
  <c r="AO74" i="60" s="1"/>
  <c r="AN73" i="60"/>
  <c r="AO73" i="60" s="1"/>
  <c r="AN72" i="60"/>
  <c r="AO72" i="60" s="1"/>
  <c r="AN71" i="60"/>
  <c r="AO71" i="60" s="1"/>
  <c r="AN70" i="60"/>
  <c r="AO70" i="60" s="1"/>
  <c r="AN69" i="60"/>
  <c r="AO69" i="60" s="1"/>
  <c r="AN68" i="60"/>
  <c r="AO68" i="60" s="1"/>
  <c r="AN67" i="60"/>
  <c r="AO67" i="60" s="1"/>
  <c r="AN66" i="60"/>
  <c r="AO66" i="60" s="1"/>
  <c r="AN65" i="60"/>
  <c r="AO65" i="60" s="1"/>
  <c r="AN64" i="60"/>
  <c r="AO64" i="60" s="1"/>
  <c r="AN63" i="60"/>
  <c r="AO63" i="60" s="1"/>
  <c r="AN62" i="60"/>
  <c r="AN61" i="60"/>
  <c r="AO61" i="60" s="1"/>
  <c r="AN60" i="60"/>
  <c r="AO60" i="60" s="1"/>
  <c r="AN59" i="60"/>
  <c r="AO59" i="60" s="1"/>
  <c r="AN58" i="60"/>
  <c r="AO58" i="60" s="1"/>
  <c r="AN57" i="60"/>
  <c r="AO57" i="60" s="1"/>
  <c r="AN56" i="60"/>
  <c r="AO56" i="60" s="1"/>
  <c r="AN55" i="60"/>
  <c r="AO55" i="60" s="1"/>
  <c r="AN54" i="60"/>
  <c r="AN53" i="60"/>
  <c r="AO53" i="60" s="1"/>
  <c r="AN52" i="60"/>
  <c r="AO52" i="60" s="1"/>
  <c r="AN51" i="60"/>
  <c r="AO51" i="60" s="1"/>
  <c r="AN50" i="60"/>
  <c r="AO50" i="60" s="1"/>
  <c r="AN49" i="60"/>
  <c r="AO49" i="60" s="1"/>
  <c r="AN48" i="60"/>
  <c r="AO48" i="60" s="1"/>
  <c r="AN47" i="60"/>
  <c r="AO47" i="60" s="1"/>
  <c r="AN46" i="60"/>
  <c r="AN45" i="60"/>
  <c r="AO45" i="60" s="1"/>
  <c r="AN44" i="60"/>
  <c r="AO44" i="60" s="1"/>
  <c r="AN43" i="60"/>
  <c r="AO43" i="60" s="1"/>
  <c r="AN42" i="60"/>
  <c r="AO42" i="60" s="1"/>
  <c r="AN41" i="60"/>
  <c r="AO41" i="60" s="1"/>
  <c r="AN40" i="60"/>
  <c r="AO40" i="60" s="1"/>
  <c r="AN39" i="60"/>
  <c r="AO39" i="60" s="1"/>
  <c r="AN38" i="60"/>
  <c r="AO38" i="60" s="1"/>
  <c r="AN37" i="60"/>
  <c r="AO37" i="60" s="1"/>
  <c r="AN36" i="60"/>
  <c r="AO36" i="60" s="1"/>
  <c r="AN35" i="60"/>
  <c r="AO35" i="60" s="1"/>
  <c r="AN34" i="60"/>
  <c r="AO34" i="60" s="1"/>
  <c r="AN33" i="60"/>
  <c r="AO33" i="60" s="1"/>
  <c r="AN32" i="60"/>
  <c r="AO32" i="60" s="1"/>
  <c r="AN31" i="60"/>
  <c r="AO31" i="60" s="1"/>
  <c r="AN30" i="60"/>
  <c r="AN29" i="60"/>
  <c r="AO29" i="60" s="1"/>
  <c r="AN28" i="60"/>
  <c r="AO28" i="60" s="1"/>
  <c r="AN27" i="60"/>
  <c r="AO27" i="60" s="1"/>
  <c r="AN26" i="60"/>
  <c r="AO26" i="60" s="1"/>
  <c r="AN25" i="60"/>
  <c r="AO25" i="60" s="1"/>
  <c r="AN24" i="60"/>
  <c r="AO24" i="60" s="1"/>
  <c r="AN23" i="60"/>
  <c r="AO23" i="60" s="1"/>
  <c r="AN22" i="60"/>
  <c r="AN21" i="60"/>
  <c r="AO21" i="60" s="1"/>
  <c r="AN20" i="60"/>
  <c r="AO20" i="60" s="1"/>
  <c r="AN19" i="60"/>
  <c r="AO19" i="60" s="1"/>
  <c r="AN18" i="60"/>
  <c r="AO18" i="60" s="1"/>
  <c r="AN17" i="60"/>
  <c r="AO17" i="60" s="1"/>
  <c r="AN16" i="60"/>
  <c r="AO16" i="60" s="1"/>
  <c r="AN15" i="60"/>
  <c r="AO15" i="60" s="1"/>
  <c r="AN14" i="60"/>
  <c r="AN13" i="60"/>
  <c r="AO13" i="60" s="1"/>
  <c r="AN12" i="60"/>
  <c r="AO12" i="60" s="1"/>
  <c r="AN11" i="60"/>
  <c r="AO11" i="60" s="1"/>
  <c r="AN10" i="60"/>
  <c r="AO10" i="60" s="1"/>
  <c r="AN9" i="60"/>
  <c r="AO9" i="60" s="1"/>
  <c r="AN8" i="60"/>
  <c r="AO8" i="60" s="1"/>
  <c r="AN7" i="60"/>
  <c r="AO7" i="60" s="1"/>
  <c r="AN6" i="60"/>
  <c r="AO6" i="60" s="1"/>
  <c r="AN5" i="60"/>
  <c r="AO5" i="60" s="1"/>
  <c r="AF124" i="60"/>
  <c r="AG124" i="60" s="1"/>
  <c r="AF123" i="60"/>
  <c r="AG123" i="60" s="1"/>
  <c r="AF122" i="60"/>
  <c r="AG122" i="60" s="1"/>
  <c r="AF121" i="60"/>
  <c r="AG121" i="60" s="1"/>
  <c r="AF120" i="60"/>
  <c r="AG120" i="60" s="1"/>
  <c r="AF119" i="60"/>
  <c r="AG119" i="60" s="1"/>
  <c r="AF118" i="60"/>
  <c r="AG118" i="60" s="1"/>
  <c r="AF117" i="60"/>
  <c r="AG117" i="60" s="1"/>
  <c r="AF116" i="60"/>
  <c r="AG116" i="60" s="1"/>
  <c r="AF115" i="60"/>
  <c r="AG115" i="60" s="1"/>
  <c r="AF114" i="60"/>
  <c r="AG114" i="60" s="1"/>
  <c r="AF113" i="60"/>
  <c r="AG113" i="60" s="1"/>
  <c r="AF112" i="60"/>
  <c r="AG112" i="60" s="1"/>
  <c r="AF111" i="60"/>
  <c r="AG111" i="60" s="1"/>
  <c r="AF110" i="60"/>
  <c r="AG110" i="60" s="1"/>
  <c r="AF109" i="60"/>
  <c r="AG109" i="60" s="1"/>
  <c r="AF108" i="60"/>
  <c r="AG108" i="60" s="1"/>
  <c r="AF107" i="60"/>
  <c r="AG107" i="60" s="1"/>
  <c r="AF106" i="60"/>
  <c r="AG106" i="60" s="1"/>
  <c r="AF105" i="60"/>
  <c r="AG105" i="60" s="1"/>
  <c r="AF104" i="60"/>
  <c r="AG104" i="60" s="1"/>
  <c r="AF103" i="60"/>
  <c r="AG103" i="60" s="1"/>
  <c r="AF102" i="60"/>
  <c r="AG102" i="60" s="1"/>
  <c r="AF101" i="60"/>
  <c r="AG101" i="60" s="1"/>
  <c r="AF100" i="60"/>
  <c r="AG100" i="60" s="1"/>
  <c r="AF99" i="60"/>
  <c r="AG99" i="60" s="1"/>
  <c r="AF98" i="60"/>
  <c r="AG98" i="60" s="1"/>
  <c r="AF97" i="60"/>
  <c r="AG97" i="60" s="1"/>
  <c r="AF96" i="60"/>
  <c r="AG96" i="60" s="1"/>
  <c r="AF95" i="60"/>
  <c r="AG95" i="60" s="1"/>
  <c r="AF94" i="60"/>
  <c r="AG94" i="60" s="1"/>
  <c r="AF93" i="60"/>
  <c r="AG93" i="60" s="1"/>
  <c r="AF92" i="60"/>
  <c r="AG92" i="60" s="1"/>
  <c r="AF91" i="60"/>
  <c r="AG91" i="60" s="1"/>
  <c r="AF90" i="60"/>
  <c r="AG90" i="60" s="1"/>
  <c r="AF89" i="60"/>
  <c r="AG89" i="60" s="1"/>
  <c r="AF88" i="60"/>
  <c r="AG88" i="60" s="1"/>
  <c r="AF87" i="60"/>
  <c r="AG87" i="60" s="1"/>
  <c r="AF86" i="60"/>
  <c r="AG86" i="60" s="1"/>
  <c r="AF85" i="60"/>
  <c r="AG85" i="60" s="1"/>
  <c r="AF84" i="60"/>
  <c r="AG84" i="60" s="1"/>
  <c r="AF83" i="60"/>
  <c r="AG83" i="60" s="1"/>
  <c r="AF82" i="60"/>
  <c r="AG82" i="60" s="1"/>
  <c r="AF81" i="60"/>
  <c r="AG81" i="60" s="1"/>
  <c r="AF80" i="60"/>
  <c r="AG80" i="60" s="1"/>
  <c r="AF79" i="60"/>
  <c r="AG79" i="60" s="1"/>
  <c r="AF78" i="60"/>
  <c r="AG78" i="60" s="1"/>
  <c r="AF77" i="60"/>
  <c r="AG77" i="60" s="1"/>
  <c r="AF76" i="60"/>
  <c r="AG76" i="60" s="1"/>
  <c r="AF75" i="60"/>
  <c r="AG75" i="60" s="1"/>
  <c r="AF74" i="60"/>
  <c r="AG74" i="60" s="1"/>
  <c r="AF73" i="60"/>
  <c r="AG73" i="60" s="1"/>
  <c r="AF72" i="60"/>
  <c r="AG72" i="60" s="1"/>
  <c r="AF71" i="60"/>
  <c r="AG71" i="60" s="1"/>
  <c r="AF70" i="60"/>
  <c r="AG70" i="60" s="1"/>
  <c r="AF69" i="60"/>
  <c r="AG69" i="60" s="1"/>
  <c r="AF68" i="60"/>
  <c r="AG68" i="60" s="1"/>
  <c r="AF67" i="60"/>
  <c r="AG67" i="60" s="1"/>
  <c r="AF66" i="60"/>
  <c r="AG66" i="60" s="1"/>
  <c r="AF65" i="60"/>
  <c r="AG65" i="60" s="1"/>
  <c r="AF64" i="60"/>
  <c r="AG64" i="60" s="1"/>
  <c r="AF63" i="60"/>
  <c r="AF62" i="60"/>
  <c r="AG62" i="60" s="1"/>
  <c r="AF61" i="60"/>
  <c r="AG61" i="60" s="1"/>
  <c r="AF60" i="60"/>
  <c r="AG60" i="60" s="1"/>
  <c r="AF59" i="60"/>
  <c r="AG59" i="60" s="1"/>
  <c r="AF58" i="60"/>
  <c r="AG58" i="60" s="1"/>
  <c r="AF57" i="60"/>
  <c r="AG57" i="60" s="1"/>
  <c r="AF56" i="60"/>
  <c r="AG56" i="60" s="1"/>
  <c r="AF55" i="60"/>
  <c r="AG55" i="60" s="1"/>
  <c r="AF54" i="60"/>
  <c r="AG54" i="60" s="1"/>
  <c r="AF53" i="60"/>
  <c r="AG53" i="60" s="1"/>
  <c r="AF52" i="60"/>
  <c r="AG52" i="60" s="1"/>
  <c r="AF51" i="60"/>
  <c r="AG51" i="60" s="1"/>
  <c r="AF50" i="60"/>
  <c r="AG50" i="60" s="1"/>
  <c r="AF49" i="60"/>
  <c r="AG49" i="60" s="1"/>
  <c r="AF48" i="60"/>
  <c r="AG48" i="60" s="1"/>
  <c r="AF47" i="60"/>
  <c r="AG47" i="60" s="1"/>
  <c r="AF46" i="60"/>
  <c r="AG46" i="60" s="1"/>
  <c r="AF45" i="60"/>
  <c r="AG45" i="60" s="1"/>
  <c r="AF44" i="60"/>
  <c r="AG44" i="60" s="1"/>
  <c r="AF43" i="60"/>
  <c r="AG43" i="60" s="1"/>
  <c r="AF42" i="60"/>
  <c r="AG42" i="60" s="1"/>
  <c r="AF41" i="60"/>
  <c r="AG41" i="60" s="1"/>
  <c r="AF40" i="60"/>
  <c r="AG40" i="60" s="1"/>
  <c r="AF39" i="60"/>
  <c r="AG39" i="60" s="1"/>
  <c r="AF38" i="60"/>
  <c r="AG38" i="60" s="1"/>
  <c r="AF37" i="60"/>
  <c r="AG37" i="60" s="1"/>
  <c r="AF36" i="60"/>
  <c r="AG36" i="60" s="1"/>
  <c r="AF35" i="60"/>
  <c r="AG35" i="60" s="1"/>
  <c r="AF34" i="60"/>
  <c r="AG34" i="60" s="1"/>
  <c r="AF33" i="60"/>
  <c r="AG33" i="60" s="1"/>
  <c r="AF32" i="60"/>
  <c r="AG32" i="60" s="1"/>
  <c r="AF31" i="60"/>
  <c r="AG31" i="60" s="1"/>
  <c r="AF30" i="60"/>
  <c r="AG30" i="60" s="1"/>
  <c r="AF29" i="60"/>
  <c r="AG29" i="60" s="1"/>
  <c r="AF28" i="60"/>
  <c r="AG28" i="60" s="1"/>
  <c r="AF27" i="60"/>
  <c r="AG27" i="60" s="1"/>
  <c r="AF26" i="60"/>
  <c r="AG26" i="60" s="1"/>
  <c r="AF25" i="60"/>
  <c r="AG25" i="60" s="1"/>
  <c r="AF24" i="60"/>
  <c r="AG24" i="60" s="1"/>
  <c r="AF23" i="60"/>
  <c r="AG23" i="60" s="1"/>
  <c r="AF22" i="60"/>
  <c r="AG22" i="60" s="1"/>
  <c r="AF21" i="60"/>
  <c r="AG21" i="60" s="1"/>
  <c r="AF20" i="60"/>
  <c r="AG20" i="60" s="1"/>
  <c r="AF19" i="60"/>
  <c r="AG19" i="60" s="1"/>
  <c r="AF18" i="60"/>
  <c r="AG18" i="60" s="1"/>
  <c r="AF17" i="60"/>
  <c r="AG17" i="60" s="1"/>
  <c r="AF16" i="60"/>
  <c r="AG16" i="60" s="1"/>
  <c r="AF15" i="60"/>
  <c r="AG15" i="60" s="1"/>
  <c r="AF14" i="60"/>
  <c r="AG14" i="60" s="1"/>
  <c r="AF13" i="60"/>
  <c r="AG13" i="60" s="1"/>
  <c r="AF12" i="60"/>
  <c r="AG12" i="60" s="1"/>
  <c r="AF11" i="60"/>
  <c r="AG11" i="60" s="1"/>
  <c r="AF10" i="60"/>
  <c r="AG10" i="60" s="1"/>
  <c r="AF9" i="60"/>
  <c r="AG9" i="60" s="1"/>
  <c r="AF8" i="60"/>
  <c r="AG8" i="60" s="1"/>
  <c r="AF7" i="60"/>
  <c r="AG7" i="60" s="1"/>
  <c r="AF6" i="60"/>
  <c r="AG6" i="60" s="1"/>
  <c r="AF5" i="60"/>
  <c r="AG5" i="60" s="1"/>
  <c r="X124" i="60"/>
  <c r="Y124" i="60" s="1"/>
  <c r="X123" i="60"/>
  <c r="X122" i="60"/>
  <c r="X121" i="60"/>
  <c r="Y121" i="60" s="1"/>
  <c r="X120" i="60"/>
  <c r="Y120" i="60" s="1"/>
  <c r="X119" i="60"/>
  <c r="Y119" i="60" s="1"/>
  <c r="X118" i="60"/>
  <c r="Y118" i="60" s="1"/>
  <c r="X117" i="60"/>
  <c r="Y117" i="60" s="1"/>
  <c r="X116" i="60"/>
  <c r="Y116" i="60" s="1"/>
  <c r="X115" i="60"/>
  <c r="Y115" i="60" s="1"/>
  <c r="X114" i="60"/>
  <c r="X113" i="60"/>
  <c r="Y113" i="60" s="1"/>
  <c r="X112" i="60"/>
  <c r="Y112" i="60" s="1"/>
  <c r="X111" i="60"/>
  <c r="Y111" i="60" s="1"/>
  <c r="X110" i="60"/>
  <c r="Y110" i="60" s="1"/>
  <c r="X109" i="60"/>
  <c r="Y109" i="60" s="1"/>
  <c r="X108" i="60"/>
  <c r="Y108" i="60" s="1"/>
  <c r="X107" i="60"/>
  <c r="Y107" i="60" s="1"/>
  <c r="X106" i="60"/>
  <c r="X105" i="60"/>
  <c r="Y105" i="60" s="1"/>
  <c r="X104" i="60"/>
  <c r="Y104" i="60" s="1"/>
  <c r="X103" i="60"/>
  <c r="Y103" i="60" s="1"/>
  <c r="X102" i="60"/>
  <c r="Y102" i="60" s="1"/>
  <c r="X101" i="60"/>
  <c r="Y101" i="60" s="1"/>
  <c r="X100" i="60"/>
  <c r="Y100" i="60" s="1"/>
  <c r="X99" i="60"/>
  <c r="Y99" i="60" s="1"/>
  <c r="X98" i="60"/>
  <c r="X97" i="60"/>
  <c r="Y97" i="60" s="1"/>
  <c r="X96" i="60"/>
  <c r="Y96" i="60" s="1"/>
  <c r="X95" i="60"/>
  <c r="Y95" i="60" s="1"/>
  <c r="X94" i="60"/>
  <c r="Y94" i="60" s="1"/>
  <c r="X93" i="60"/>
  <c r="Y93" i="60" s="1"/>
  <c r="X92" i="60"/>
  <c r="Y92" i="60" s="1"/>
  <c r="X91" i="60"/>
  <c r="Y91" i="60" s="1"/>
  <c r="X90" i="60"/>
  <c r="X89" i="60"/>
  <c r="Y89" i="60" s="1"/>
  <c r="X88" i="60"/>
  <c r="Y88" i="60" s="1"/>
  <c r="X87" i="60"/>
  <c r="Y87" i="60" s="1"/>
  <c r="X86" i="60"/>
  <c r="Y86" i="60" s="1"/>
  <c r="X85" i="60"/>
  <c r="Y85" i="60" s="1"/>
  <c r="X84" i="60"/>
  <c r="Y84" i="60" s="1"/>
  <c r="X83" i="60"/>
  <c r="Y83" i="60" s="1"/>
  <c r="X82" i="60"/>
  <c r="X81" i="60"/>
  <c r="Y81" i="60" s="1"/>
  <c r="X80" i="60"/>
  <c r="Y80" i="60" s="1"/>
  <c r="X79" i="60"/>
  <c r="Y79" i="60" s="1"/>
  <c r="X78" i="60"/>
  <c r="Y78" i="60" s="1"/>
  <c r="X77" i="60"/>
  <c r="Y77" i="60" s="1"/>
  <c r="X76" i="60"/>
  <c r="Y76" i="60" s="1"/>
  <c r="X75" i="60"/>
  <c r="Y75" i="60" s="1"/>
  <c r="X74" i="60"/>
  <c r="X73" i="60"/>
  <c r="Y73" i="60" s="1"/>
  <c r="X72" i="60"/>
  <c r="Y72" i="60" s="1"/>
  <c r="X71" i="60"/>
  <c r="Y71" i="60" s="1"/>
  <c r="X70" i="60"/>
  <c r="Y70" i="60" s="1"/>
  <c r="X69" i="60"/>
  <c r="Y69" i="60" s="1"/>
  <c r="X68" i="60"/>
  <c r="Y68" i="60" s="1"/>
  <c r="X67" i="60"/>
  <c r="Y67" i="60" s="1"/>
  <c r="X66" i="60"/>
  <c r="X65" i="60"/>
  <c r="Y65" i="60" s="1"/>
  <c r="X64" i="60"/>
  <c r="Y64" i="60" s="1"/>
  <c r="X63" i="60"/>
  <c r="Y63" i="60" s="1"/>
  <c r="X62" i="60"/>
  <c r="Y62" i="60" s="1"/>
  <c r="X61" i="60"/>
  <c r="Y61" i="60" s="1"/>
  <c r="X60" i="60"/>
  <c r="Y60" i="60" s="1"/>
  <c r="X59" i="60"/>
  <c r="Y59" i="60" s="1"/>
  <c r="X58" i="60"/>
  <c r="X57" i="60"/>
  <c r="Y57" i="60" s="1"/>
  <c r="X56" i="60"/>
  <c r="Y56" i="60" s="1"/>
  <c r="X55" i="60"/>
  <c r="Y55" i="60" s="1"/>
  <c r="X54" i="60"/>
  <c r="Y54" i="60" s="1"/>
  <c r="X53" i="60"/>
  <c r="Y53" i="60" s="1"/>
  <c r="X52" i="60"/>
  <c r="Y52" i="60" s="1"/>
  <c r="X51" i="60"/>
  <c r="Y51" i="60" s="1"/>
  <c r="X50" i="60"/>
  <c r="X49" i="60"/>
  <c r="Y49" i="60" s="1"/>
  <c r="X48" i="60"/>
  <c r="Y48" i="60" s="1"/>
  <c r="X47" i="60"/>
  <c r="Y47" i="60" s="1"/>
  <c r="X46" i="60"/>
  <c r="Y46" i="60" s="1"/>
  <c r="X45" i="60"/>
  <c r="Y45" i="60" s="1"/>
  <c r="X44" i="60"/>
  <c r="Y44" i="60" s="1"/>
  <c r="X43" i="60"/>
  <c r="Y43" i="60" s="1"/>
  <c r="X42" i="60"/>
  <c r="X41" i="60"/>
  <c r="Y41" i="60" s="1"/>
  <c r="X40" i="60"/>
  <c r="Y40" i="60" s="1"/>
  <c r="X39" i="60"/>
  <c r="Y39" i="60" s="1"/>
  <c r="X38" i="60"/>
  <c r="Y38" i="60" s="1"/>
  <c r="X37" i="60"/>
  <c r="Y37" i="60" s="1"/>
  <c r="X36" i="60"/>
  <c r="Y36" i="60" s="1"/>
  <c r="X35" i="60"/>
  <c r="Y35" i="60" s="1"/>
  <c r="X34" i="60"/>
  <c r="X33" i="60"/>
  <c r="Y33" i="60" s="1"/>
  <c r="X32" i="60"/>
  <c r="Y32" i="60" s="1"/>
  <c r="X31" i="60"/>
  <c r="Y31" i="60" s="1"/>
  <c r="X30" i="60"/>
  <c r="Y30" i="60" s="1"/>
  <c r="X29" i="60"/>
  <c r="Y29" i="60" s="1"/>
  <c r="X28" i="60"/>
  <c r="Y28" i="60" s="1"/>
  <c r="X27" i="60"/>
  <c r="Y27" i="60" s="1"/>
  <c r="X26" i="60"/>
  <c r="X25" i="60"/>
  <c r="Y25" i="60" s="1"/>
  <c r="X24" i="60"/>
  <c r="Y24" i="60" s="1"/>
  <c r="X23" i="60"/>
  <c r="Y23" i="60" s="1"/>
  <c r="X22" i="60"/>
  <c r="Y22" i="60" s="1"/>
  <c r="X21" i="60"/>
  <c r="Y21" i="60" s="1"/>
  <c r="X20" i="60"/>
  <c r="Y20" i="60" s="1"/>
  <c r="X19" i="60"/>
  <c r="Y19" i="60" s="1"/>
  <c r="X18" i="60"/>
  <c r="X17" i="60"/>
  <c r="Y17" i="60" s="1"/>
  <c r="X16" i="60"/>
  <c r="Y16" i="60" s="1"/>
  <c r="X15" i="60"/>
  <c r="Y15" i="60" s="1"/>
  <c r="X14" i="60"/>
  <c r="Y14" i="60" s="1"/>
  <c r="X13" i="60"/>
  <c r="Y13" i="60" s="1"/>
  <c r="X12" i="60"/>
  <c r="Y12" i="60" s="1"/>
  <c r="X11" i="60"/>
  <c r="Y11" i="60" s="1"/>
  <c r="X10" i="60"/>
  <c r="X9" i="60"/>
  <c r="Y9" i="60" s="1"/>
  <c r="X8" i="60"/>
  <c r="Y8" i="60" s="1"/>
  <c r="X7" i="60"/>
  <c r="Y7" i="60" s="1"/>
  <c r="X6" i="60"/>
  <c r="Y6" i="60" s="1"/>
  <c r="X5" i="60"/>
  <c r="Y5" i="60" s="1"/>
  <c r="P124" i="60"/>
  <c r="G124" i="60" s="1"/>
  <c r="P123" i="60"/>
  <c r="P122" i="60"/>
  <c r="P121" i="60"/>
  <c r="G121" i="60" s="1"/>
  <c r="P120" i="60"/>
  <c r="G120" i="60" s="1"/>
  <c r="P119" i="60"/>
  <c r="P118" i="60"/>
  <c r="P117" i="60"/>
  <c r="P116" i="60"/>
  <c r="G116" i="60" s="1"/>
  <c r="P115" i="60"/>
  <c r="P114" i="60"/>
  <c r="P113" i="60"/>
  <c r="G113" i="60" s="1"/>
  <c r="P112" i="60"/>
  <c r="G112" i="60" s="1"/>
  <c r="P111" i="60"/>
  <c r="P110" i="60"/>
  <c r="P109" i="60"/>
  <c r="P108" i="60"/>
  <c r="G108" i="60" s="1"/>
  <c r="P107" i="60"/>
  <c r="P106" i="60"/>
  <c r="P105" i="60"/>
  <c r="G105" i="60" s="1"/>
  <c r="P104" i="60"/>
  <c r="G104" i="60" s="1"/>
  <c r="P103" i="60"/>
  <c r="P102" i="60"/>
  <c r="P101" i="60"/>
  <c r="G101" i="60" s="1"/>
  <c r="P100" i="60"/>
  <c r="G100" i="60" s="1"/>
  <c r="P99" i="60"/>
  <c r="P98" i="60"/>
  <c r="P97" i="60"/>
  <c r="G97" i="60" s="1"/>
  <c r="P96" i="60"/>
  <c r="G96" i="60" s="1"/>
  <c r="P95" i="60"/>
  <c r="P94" i="60"/>
  <c r="P93" i="60"/>
  <c r="P92" i="60"/>
  <c r="G92" i="60" s="1"/>
  <c r="P91" i="60"/>
  <c r="P90" i="60"/>
  <c r="P89" i="60"/>
  <c r="G89" i="60" s="1"/>
  <c r="P88" i="60"/>
  <c r="G88" i="60" s="1"/>
  <c r="P87" i="60"/>
  <c r="P86" i="60"/>
  <c r="P85" i="60"/>
  <c r="P84" i="60"/>
  <c r="G84" i="60" s="1"/>
  <c r="P83" i="60"/>
  <c r="P82" i="60"/>
  <c r="P81" i="60"/>
  <c r="G81" i="60" s="1"/>
  <c r="P80" i="60"/>
  <c r="G80" i="60" s="1"/>
  <c r="P79" i="60"/>
  <c r="P78" i="60"/>
  <c r="P77" i="60"/>
  <c r="P76" i="60"/>
  <c r="G76" i="60" s="1"/>
  <c r="P75" i="60"/>
  <c r="P74" i="60"/>
  <c r="P73" i="60"/>
  <c r="G73" i="60" s="1"/>
  <c r="P72" i="60"/>
  <c r="G72" i="60" s="1"/>
  <c r="P71" i="60"/>
  <c r="P70" i="60"/>
  <c r="P69" i="60"/>
  <c r="G69" i="60" s="1"/>
  <c r="P68" i="60"/>
  <c r="G68" i="60" s="1"/>
  <c r="P67" i="60"/>
  <c r="P66" i="60"/>
  <c r="P65" i="60"/>
  <c r="G65" i="60" s="1"/>
  <c r="P64" i="60"/>
  <c r="G64" i="60" s="1"/>
  <c r="P63" i="60"/>
  <c r="P62" i="60"/>
  <c r="P61" i="60"/>
  <c r="P60" i="60"/>
  <c r="G60" i="60" s="1"/>
  <c r="P59" i="60"/>
  <c r="P58" i="60"/>
  <c r="P57" i="60"/>
  <c r="G57" i="60" s="1"/>
  <c r="P56" i="60"/>
  <c r="G56" i="60" s="1"/>
  <c r="P55" i="60"/>
  <c r="P54" i="60"/>
  <c r="P53" i="60"/>
  <c r="P52" i="60"/>
  <c r="G52" i="60" s="1"/>
  <c r="P51" i="60"/>
  <c r="P50" i="60"/>
  <c r="P49" i="60"/>
  <c r="G49" i="60" s="1"/>
  <c r="P48" i="60"/>
  <c r="G48" i="60" s="1"/>
  <c r="P47" i="60"/>
  <c r="P46" i="60"/>
  <c r="P45" i="60"/>
  <c r="P44" i="60"/>
  <c r="G44" i="60" s="1"/>
  <c r="P43" i="60"/>
  <c r="P42" i="60"/>
  <c r="P41" i="60"/>
  <c r="G41" i="60" s="1"/>
  <c r="P40" i="60"/>
  <c r="G40" i="60" s="1"/>
  <c r="P39" i="60"/>
  <c r="P38" i="60"/>
  <c r="P37" i="60"/>
  <c r="G37" i="60" s="1"/>
  <c r="P36" i="60"/>
  <c r="G36" i="60" s="1"/>
  <c r="P35" i="60"/>
  <c r="P34" i="60"/>
  <c r="P33" i="60"/>
  <c r="G33" i="60" s="1"/>
  <c r="P32" i="60"/>
  <c r="G32" i="60" s="1"/>
  <c r="P31" i="60"/>
  <c r="P30" i="60"/>
  <c r="P29" i="60"/>
  <c r="P28" i="60"/>
  <c r="G28" i="60" s="1"/>
  <c r="P27" i="60"/>
  <c r="P26" i="60"/>
  <c r="P25" i="60"/>
  <c r="G25" i="60" s="1"/>
  <c r="P24" i="60"/>
  <c r="G24" i="60" s="1"/>
  <c r="P23" i="60"/>
  <c r="P22" i="60"/>
  <c r="P21" i="60"/>
  <c r="P20" i="60"/>
  <c r="G20" i="60" s="1"/>
  <c r="P19" i="60"/>
  <c r="P18" i="60"/>
  <c r="P17" i="60"/>
  <c r="G17" i="60" s="1"/>
  <c r="P16" i="60"/>
  <c r="G16" i="60" s="1"/>
  <c r="P15" i="60"/>
  <c r="P14" i="60"/>
  <c r="P13" i="60"/>
  <c r="P12" i="60"/>
  <c r="G12" i="60" s="1"/>
  <c r="P11" i="60"/>
  <c r="P10" i="60"/>
  <c r="P9" i="60"/>
  <c r="G9" i="60" s="1"/>
  <c r="P8" i="60"/>
  <c r="G8" i="60" s="1"/>
  <c r="P7" i="60"/>
  <c r="P6" i="60"/>
  <c r="P5" i="60"/>
  <c r="G5" i="60" s="1"/>
  <c r="O124" i="60"/>
  <c r="O123" i="60"/>
  <c r="O122" i="60"/>
  <c r="O121" i="60"/>
  <c r="O120" i="60"/>
  <c r="O119" i="60"/>
  <c r="O118" i="60"/>
  <c r="O117" i="60"/>
  <c r="O116" i="60"/>
  <c r="O115" i="60"/>
  <c r="O114" i="60"/>
  <c r="O113" i="60"/>
  <c r="O112" i="60"/>
  <c r="O111" i="60"/>
  <c r="O110" i="60"/>
  <c r="O109" i="60"/>
  <c r="O108" i="60"/>
  <c r="O107" i="60"/>
  <c r="O106" i="60"/>
  <c r="O105" i="60"/>
  <c r="O104" i="60"/>
  <c r="O103" i="60"/>
  <c r="O102" i="60"/>
  <c r="O101" i="60"/>
  <c r="O100" i="60"/>
  <c r="O99" i="60"/>
  <c r="O98" i="60"/>
  <c r="O97" i="60"/>
  <c r="O96" i="60"/>
  <c r="O95" i="60"/>
  <c r="O94" i="60"/>
  <c r="O93" i="60"/>
  <c r="O92" i="60"/>
  <c r="O91" i="60"/>
  <c r="O90" i="60"/>
  <c r="O89" i="60"/>
  <c r="O88" i="60"/>
  <c r="O87" i="60"/>
  <c r="O86" i="60"/>
  <c r="O85" i="60"/>
  <c r="O84" i="60"/>
  <c r="O83" i="60"/>
  <c r="O82" i="60"/>
  <c r="O81" i="60"/>
  <c r="O80" i="60"/>
  <c r="O79" i="60"/>
  <c r="O78" i="60"/>
  <c r="O77" i="60"/>
  <c r="O76" i="60"/>
  <c r="O75" i="60"/>
  <c r="O74" i="60"/>
  <c r="O73" i="60"/>
  <c r="O72" i="60"/>
  <c r="O71" i="60"/>
  <c r="O70" i="60"/>
  <c r="O69" i="60"/>
  <c r="O68" i="60"/>
  <c r="O67" i="60"/>
  <c r="O66" i="60"/>
  <c r="O65" i="60"/>
  <c r="O64" i="60"/>
  <c r="O63" i="60"/>
  <c r="O62" i="60"/>
  <c r="O61" i="60"/>
  <c r="O60" i="60"/>
  <c r="O59" i="60"/>
  <c r="O58" i="60"/>
  <c r="O57" i="60"/>
  <c r="O56" i="60"/>
  <c r="O55" i="60"/>
  <c r="O54" i="60"/>
  <c r="O53" i="60"/>
  <c r="O52" i="60"/>
  <c r="O51" i="60"/>
  <c r="O50" i="60"/>
  <c r="O49" i="60"/>
  <c r="O48" i="60"/>
  <c r="O47" i="60"/>
  <c r="O46" i="60"/>
  <c r="O45" i="60"/>
  <c r="O44" i="60"/>
  <c r="O43" i="60"/>
  <c r="O42" i="60"/>
  <c r="O41" i="60"/>
  <c r="O40" i="60"/>
  <c r="O39" i="60"/>
  <c r="O38" i="60"/>
  <c r="O37" i="60"/>
  <c r="O36" i="60"/>
  <c r="O35" i="60"/>
  <c r="O34" i="60"/>
  <c r="O33" i="60"/>
  <c r="O32" i="60"/>
  <c r="O31" i="60"/>
  <c r="O30" i="60"/>
  <c r="O29" i="60"/>
  <c r="O28" i="60"/>
  <c r="O27" i="60"/>
  <c r="O26" i="60"/>
  <c r="O25" i="60"/>
  <c r="O24" i="60"/>
  <c r="O23" i="60"/>
  <c r="O22" i="60"/>
  <c r="O21" i="60"/>
  <c r="O20" i="60"/>
  <c r="O19" i="60"/>
  <c r="O18" i="60"/>
  <c r="O17" i="60"/>
  <c r="O16" i="60"/>
  <c r="O15" i="60"/>
  <c r="O14" i="60"/>
  <c r="O13" i="60"/>
  <c r="O12" i="60"/>
  <c r="O11" i="60"/>
  <c r="O10" i="60"/>
  <c r="O9" i="60"/>
  <c r="O8" i="60"/>
  <c r="O7" i="60"/>
  <c r="O6" i="60"/>
  <c r="O5" i="60"/>
  <c r="G4" i="117"/>
  <c r="F4" i="117"/>
  <c r="E4" i="117"/>
  <c r="D4" i="117"/>
  <c r="W124" i="55"/>
  <c r="W123" i="55"/>
  <c r="W122" i="55"/>
  <c r="W121" i="55"/>
  <c r="W120" i="55"/>
  <c r="W119" i="55"/>
  <c r="W118" i="55"/>
  <c r="W117" i="55"/>
  <c r="W116" i="55"/>
  <c r="W115" i="55"/>
  <c r="W114" i="55"/>
  <c r="W113" i="55"/>
  <c r="W112" i="55"/>
  <c r="W111" i="55"/>
  <c r="W110" i="55"/>
  <c r="W109" i="55"/>
  <c r="W108" i="55"/>
  <c r="W107" i="55"/>
  <c r="W106" i="55"/>
  <c r="W105" i="55"/>
  <c r="W104" i="55"/>
  <c r="W103" i="55"/>
  <c r="W102" i="55"/>
  <c r="W101" i="55"/>
  <c r="W100" i="55"/>
  <c r="W99" i="55"/>
  <c r="W98" i="55"/>
  <c r="W97" i="55"/>
  <c r="W96" i="55"/>
  <c r="W95" i="55"/>
  <c r="W94" i="55"/>
  <c r="W93" i="55"/>
  <c r="W92" i="55"/>
  <c r="W91" i="55"/>
  <c r="W90" i="55"/>
  <c r="W89" i="55"/>
  <c r="W88" i="55"/>
  <c r="W87" i="55"/>
  <c r="W86" i="55"/>
  <c r="W85" i="55"/>
  <c r="W84" i="55"/>
  <c r="W83" i="55"/>
  <c r="W82" i="55"/>
  <c r="W81" i="55"/>
  <c r="W80" i="55"/>
  <c r="W79" i="55"/>
  <c r="W78" i="55"/>
  <c r="W77" i="55"/>
  <c r="W76" i="55"/>
  <c r="W75" i="55"/>
  <c r="W74" i="55"/>
  <c r="W73" i="55"/>
  <c r="W72" i="55"/>
  <c r="W71" i="55"/>
  <c r="W70" i="55"/>
  <c r="W69" i="55"/>
  <c r="W68" i="55"/>
  <c r="W67" i="55"/>
  <c r="W66" i="55"/>
  <c r="W65" i="55"/>
  <c r="W64" i="55"/>
  <c r="W63" i="55"/>
  <c r="W62" i="55"/>
  <c r="W61" i="55"/>
  <c r="W60" i="55"/>
  <c r="W59" i="55"/>
  <c r="W58" i="55"/>
  <c r="W57" i="55"/>
  <c r="W56" i="55"/>
  <c r="W55" i="55"/>
  <c r="W54" i="55"/>
  <c r="W53" i="55"/>
  <c r="W52" i="55"/>
  <c r="W51" i="55"/>
  <c r="W50" i="55"/>
  <c r="W49" i="55"/>
  <c r="W48" i="55"/>
  <c r="W47" i="55"/>
  <c r="W46" i="55"/>
  <c r="W45" i="55"/>
  <c r="W44" i="55"/>
  <c r="W43" i="55"/>
  <c r="W42" i="55"/>
  <c r="W41" i="55"/>
  <c r="W40" i="55"/>
  <c r="W39" i="55"/>
  <c r="W38" i="55"/>
  <c r="W37" i="55"/>
  <c r="W36" i="55"/>
  <c r="W35" i="55"/>
  <c r="W34" i="55"/>
  <c r="W33" i="55"/>
  <c r="W32" i="55"/>
  <c r="W31" i="55"/>
  <c r="W30" i="55"/>
  <c r="W29" i="55"/>
  <c r="W28" i="55"/>
  <c r="W27" i="55"/>
  <c r="W26" i="55"/>
  <c r="W25" i="55"/>
  <c r="W24" i="55"/>
  <c r="W23" i="55"/>
  <c r="W22" i="55"/>
  <c r="W21" i="55"/>
  <c r="W20" i="55"/>
  <c r="W19" i="55"/>
  <c r="W18" i="55"/>
  <c r="W17" i="55"/>
  <c r="W16" i="55"/>
  <c r="W15" i="55"/>
  <c r="W14" i="55"/>
  <c r="W13" i="55"/>
  <c r="W12" i="55"/>
  <c r="W11" i="55"/>
  <c r="W10" i="55"/>
  <c r="W9" i="55"/>
  <c r="W8" i="55"/>
  <c r="W7" i="55"/>
  <c r="W6" i="55"/>
  <c r="W5" i="55"/>
  <c r="V4" i="55"/>
  <c r="U4" i="55"/>
  <c r="T4" i="55"/>
  <c r="S4" i="55"/>
  <c r="R4" i="55"/>
  <c r="Q11" i="60" l="1"/>
  <c r="H11" i="60" s="1"/>
  <c r="G11" i="60"/>
  <c r="I11" i="60" s="1"/>
  <c r="Q23" i="60"/>
  <c r="H23" i="60" s="1"/>
  <c r="G23" i="60"/>
  <c r="I23" i="60" s="1"/>
  <c r="Q31" i="60"/>
  <c r="H31" i="60" s="1"/>
  <c r="G31" i="60"/>
  <c r="Q39" i="60"/>
  <c r="H39" i="60" s="1"/>
  <c r="G39" i="60"/>
  <c r="I39" i="60" s="1"/>
  <c r="Q47" i="60"/>
  <c r="H47" i="60" s="1"/>
  <c r="G47" i="60"/>
  <c r="I47" i="60" s="1"/>
  <c r="Q51" i="60"/>
  <c r="H51" i="60" s="1"/>
  <c r="G51" i="60"/>
  <c r="I51" i="60" s="1"/>
  <c r="Q59" i="60"/>
  <c r="H59" i="60" s="1"/>
  <c r="G59" i="60"/>
  <c r="Q67" i="60"/>
  <c r="H67" i="60" s="1"/>
  <c r="G67" i="60"/>
  <c r="I67" i="60" s="1"/>
  <c r="Q75" i="60"/>
  <c r="H75" i="60" s="1"/>
  <c r="G75" i="60"/>
  <c r="I75" i="60" s="1"/>
  <c r="Q83" i="60"/>
  <c r="H83" i="60" s="1"/>
  <c r="G83" i="60"/>
  <c r="Q91" i="60"/>
  <c r="H91" i="60" s="1"/>
  <c r="G91" i="60"/>
  <c r="Q99" i="60"/>
  <c r="H99" i="60" s="1"/>
  <c r="G99" i="60"/>
  <c r="I99" i="60" s="1"/>
  <c r="Q107" i="60"/>
  <c r="H107" i="60" s="1"/>
  <c r="G107" i="60"/>
  <c r="I107" i="60" s="1"/>
  <c r="Q115" i="60"/>
  <c r="H115" i="60" s="1"/>
  <c r="G115" i="60"/>
  <c r="I115" i="60" s="1"/>
  <c r="Q123" i="60"/>
  <c r="G123" i="60"/>
  <c r="K9" i="79"/>
  <c r="Q13" i="60"/>
  <c r="H13" i="60" s="1"/>
  <c r="G13" i="60"/>
  <c r="I13" i="60" s="1"/>
  <c r="Q21" i="60"/>
  <c r="H21" i="60" s="1"/>
  <c r="G21" i="60"/>
  <c r="Q29" i="60"/>
  <c r="H29" i="60" s="1"/>
  <c r="G29" i="60"/>
  <c r="Q45" i="60"/>
  <c r="H45" i="60" s="1"/>
  <c r="G45" i="60"/>
  <c r="Q53" i="60"/>
  <c r="H53" i="60" s="1"/>
  <c r="G53" i="60"/>
  <c r="I53" i="60" s="1"/>
  <c r="Q61" i="60"/>
  <c r="H61" i="60" s="1"/>
  <c r="G61" i="60"/>
  <c r="Q77" i="60"/>
  <c r="H77" i="60" s="1"/>
  <c r="G77" i="60"/>
  <c r="I77" i="60" s="1"/>
  <c r="Q85" i="60"/>
  <c r="H85" i="60" s="1"/>
  <c r="G85" i="60"/>
  <c r="Q93" i="60"/>
  <c r="H93" i="60" s="1"/>
  <c r="G93" i="60"/>
  <c r="Q109" i="60"/>
  <c r="H109" i="60" s="1"/>
  <c r="G109" i="60"/>
  <c r="Q117" i="60"/>
  <c r="H117" i="60" s="1"/>
  <c r="G117" i="60"/>
  <c r="I117" i="60" s="1"/>
  <c r="Q7" i="60"/>
  <c r="H7" i="60" s="1"/>
  <c r="G7" i="60"/>
  <c r="Q15" i="60"/>
  <c r="H15" i="60" s="1"/>
  <c r="G15" i="60"/>
  <c r="Q19" i="60"/>
  <c r="H19" i="60" s="1"/>
  <c r="G19" i="60"/>
  <c r="Q27" i="60"/>
  <c r="H27" i="60" s="1"/>
  <c r="G27" i="60"/>
  <c r="I27" i="60" s="1"/>
  <c r="Q35" i="60"/>
  <c r="H35" i="60" s="1"/>
  <c r="G35" i="60"/>
  <c r="Q43" i="60"/>
  <c r="H43" i="60" s="1"/>
  <c r="G43" i="60"/>
  <c r="I43" i="60" s="1"/>
  <c r="Q55" i="60"/>
  <c r="H55" i="60" s="1"/>
  <c r="G55" i="60"/>
  <c r="Q63" i="60"/>
  <c r="H63" i="60" s="1"/>
  <c r="G63" i="60"/>
  <c r="I63" i="60" s="1"/>
  <c r="Q71" i="60"/>
  <c r="H71" i="60" s="1"/>
  <c r="G71" i="60"/>
  <c r="Q79" i="60"/>
  <c r="H79" i="60" s="1"/>
  <c r="G79" i="60"/>
  <c r="I79" i="60" s="1"/>
  <c r="Q87" i="60"/>
  <c r="H87" i="60" s="1"/>
  <c r="G87" i="60"/>
  <c r="Q95" i="60"/>
  <c r="H95" i="60" s="1"/>
  <c r="G95" i="60"/>
  <c r="I95" i="60" s="1"/>
  <c r="Q103" i="60"/>
  <c r="H103" i="60" s="1"/>
  <c r="G103" i="60"/>
  <c r="Q111" i="60"/>
  <c r="H111" i="60" s="1"/>
  <c r="G111" i="60"/>
  <c r="I111" i="60" s="1"/>
  <c r="Q119" i="60"/>
  <c r="H119" i="60" s="1"/>
  <c r="G119" i="60"/>
  <c r="Q6" i="60"/>
  <c r="H6" i="60" s="1"/>
  <c r="G6" i="60"/>
  <c r="Q10" i="60"/>
  <c r="G10" i="60"/>
  <c r="I10" i="60" s="1"/>
  <c r="Q14" i="60"/>
  <c r="H14" i="60" s="1"/>
  <c r="G14" i="60"/>
  <c r="Q18" i="60"/>
  <c r="G18" i="60"/>
  <c r="Q22" i="60"/>
  <c r="G22" i="60"/>
  <c r="Q26" i="60"/>
  <c r="G26" i="60"/>
  <c r="Q30" i="60"/>
  <c r="H30" i="60" s="1"/>
  <c r="G30" i="60"/>
  <c r="Q34" i="60"/>
  <c r="G34" i="60"/>
  <c r="I34" i="60" s="1"/>
  <c r="Q38" i="60"/>
  <c r="H38" i="60" s="1"/>
  <c r="G38" i="60"/>
  <c r="Q42" i="60"/>
  <c r="G42" i="60"/>
  <c r="I42" i="60" s="1"/>
  <c r="Q46" i="60"/>
  <c r="G46" i="60"/>
  <c r="Q50" i="60"/>
  <c r="G50" i="60"/>
  <c r="Q54" i="60"/>
  <c r="H54" i="60" s="1"/>
  <c r="G54" i="60"/>
  <c r="Q58" i="60"/>
  <c r="G58" i="60"/>
  <c r="Q62" i="60"/>
  <c r="G62" i="60"/>
  <c r="Q66" i="60"/>
  <c r="G66" i="60"/>
  <c r="I66" i="60" s="1"/>
  <c r="Q70" i="60"/>
  <c r="H70" i="60" s="1"/>
  <c r="G70" i="60"/>
  <c r="Q74" i="60"/>
  <c r="G74" i="60"/>
  <c r="I74" i="60" s="1"/>
  <c r="Q78" i="60"/>
  <c r="H78" i="60" s="1"/>
  <c r="G78" i="60"/>
  <c r="Q82" i="60"/>
  <c r="G82" i="60"/>
  <c r="Q86" i="60"/>
  <c r="H86" i="60" s="1"/>
  <c r="G86" i="60"/>
  <c r="Q90" i="60"/>
  <c r="G90" i="60"/>
  <c r="Q94" i="60"/>
  <c r="G94" i="60"/>
  <c r="Q98" i="60"/>
  <c r="G98" i="60"/>
  <c r="I98" i="60" s="1"/>
  <c r="Q102" i="60"/>
  <c r="H102" i="60" s="1"/>
  <c r="G102" i="60"/>
  <c r="Q106" i="60"/>
  <c r="G106" i="60"/>
  <c r="I106" i="60" s="1"/>
  <c r="Q110" i="60"/>
  <c r="G110" i="60"/>
  <c r="Q114" i="60"/>
  <c r="G114" i="60"/>
  <c r="Q118" i="60"/>
  <c r="H118" i="60" s="1"/>
  <c r="G118" i="60"/>
  <c r="Q122" i="60"/>
  <c r="G122" i="60"/>
  <c r="G127" i="55"/>
  <c r="F129" i="55"/>
  <c r="G126" i="55"/>
  <c r="D130" i="55"/>
  <c r="E129" i="55"/>
  <c r="D128" i="55"/>
  <c r="H128" i="55"/>
  <c r="F128" i="55"/>
  <c r="H130" i="55"/>
  <c r="F127" i="55"/>
  <c r="E128" i="55"/>
  <c r="E130" i="55"/>
  <c r="F130" i="55"/>
  <c r="G130" i="55"/>
  <c r="G128" i="55"/>
  <c r="F126" i="55"/>
  <c r="E127" i="55"/>
  <c r="E126" i="55"/>
  <c r="D126" i="55"/>
  <c r="H126" i="55"/>
  <c r="D127" i="55"/>
  <c r="H127" i="55"/>
  <c r="D129" i="55"/>
  <c r="H129" i="55"/>
  <c r="G129" i="55"/>
  <c r="K124" i="56"/>
  <c r="J125" i="79" s="1"/>
  <c r="J124" i="56"/>
  <c r="K57" i="56"/>
  <c r="J58" i="79" s="1"/>
  <c r="I128" i="62"/>
  <c r="I130" i="62"/>
  <c r="H127" i="62"/>
  <c r="I5" i="60"/>
  <c r="I9" i="60"/>
  <c r="I17" i="60"/>
  <c r="I57" i="60"/>
  <c r="I81" i="60"/>
  <c r="I105" i="60"/>
  <c r="I121" i="60"/>
  <c r="H130" i="62"/>
  <c r="I127" i="62"/>
  <c r="H129" i="62"/>
  <c r="H128" i="62"/>
  <c r="I126" i="62"/>
  <c r="I129" i="62"/>
  <c r="H126" i="62"/>
  <c r="I73" i="60"/>
  <c r="I41" i="60"/>
  <c r="Q5" i="60"/>
  <c r="H5" i="60" s="1"/>
  <c r="Q37" i="60"/>
  <c r="H37" i="60" s="1"/>
  <c r="I21" i="60"/>
  <c r="I33" i="60"/>
  <c r="I49" i="60"/>
  <c r="I69" i="60"/>
  <c r="I85" i="60"/>
  <c r="I89" i="60"/>
  <c r="I113" i="60"/>
  <c r="K31" i="56"/>
  <c r="J32" i="79" s="1"/>
  <c r="K47" i="56"/>
  <c r="J48" i="79" s="1"/>
  <c r="K63" i="56"/>
  <c r="J64" i="79" s="1"/>
  <c r="K79" i="56"/>
  <c r="J80" i="79" s="1"/>
  <c r="K95" i="56"/>
  <c r="J96" i="79" s="1"/>
  <c r="K111" i="56"/>
  <c r="J112" i="79" s="1"/>
  <c r="K7" i="56"/>
  <c r="J8" i="79" s="1"/>
  <c r="K23" i="56"/>
  <c r="J24" i="79" s="1"/>
  <c r="K39" i="56"/>
  <c r="J40" i="79" s="1"/>
  <c r="K55" i="56"/>
  <c r="J56" i="79" s="1"/>
  <c r="K71" i="56"/>
  <c r="J72" i="79" s="1"/>
  <c r="K87" i="56"/>
  <c r="J88" i="79" s="1"/>
  <c r="K103" i="56"/>
  <c r="J104" i="79" s="1"/>
  <c r="K119" i="56"/>
  <c r="J120" i="79" s="1"/>
  <c r="H41" i="79"/>
  <c r="Q69" i="60"/>
  <c r="H69" i="60" s="1"/>
  <c r="Q101" i="60"/>
  <c r="H101" i="60" s="1"/>
  <c r="H105" i="79"/>
  <c r="K9" i="56"/>
  <c r="J10" i="79" s="1"/>
  <c r="K13" i="56"/>
  <c r="J14" i="79" s="1"/>
  <c r="K21" i="56"/>
  <c r="J22" i="79" s="1"/>
  <c r="I5" i="56"/>
  <c r="I9" i="56"/>
  <c r="K10" i="79" s="1"/>
  <c r="I13" i="56"/>
  <c r="K14" i="79" s="1"/>
  <c r="I17" i="56"/>
  <c r="K18" i="79" s="1"/>
  <c r="I21" i="56"/>
  <c r="K22" i="79" s="1"/>
  <c r="I25" i="56"/>
  <c r="K26" i="79" s="1"/>
  <c r="I29" i="56"/>
  <c r="K30" i="79" s="1"/>
  <c r="I33" i="56"/>
  <c r="K34" i="79" s="1"/>
  <c r="I37" i="56"/>
  <c r="K38" i="79" s="1"/>
  <c r="I41" i="56"/>
  <c r="K42" i="79" s="1"/>
  <c r="I45" i="56"/>
  <c r="K46" i="79" s="1"/>
  <c r="I49" i="56"/>
  <c r="K50" i="79" s="1"/>
  <c r="I53" i="56"/>
  <c r="K54" i="79" s="1"/>
  <c r="I57" i="56"/>
  <c r="K58" i="79" s="1"/>
  <c r="I61" i="56"/>
  <c r="K62" i="79" s="1"/>
  <c r="I65" i="56"/>
  <c r="K66" i="79" s="1"/>
  <c r="I69" i="56"/>
  <c r="K70" i="79" s="1"/>
  <c r="I73" i="56"/>
  <c r="K74" i="79" s="1"/>
  <c r="I77" i="56"/>
  <c r="K78" i="79" s="1"/>
  <c r="I81" i="56"/>
  <c r="K82" i="79" s="1"/>
  <c r="I85" i="56"/>
  <c r="K86" i="79" s="1"/>
  <c r="I89" i="56"/>
  <c r="K90" i="79" s="1"/>
  <c r="I93" i="56"/>
  <c r="K94" i="79" s="1"/>
  <c r="I97" i="56"/>
  <c r="K98" i="79" s="1"/>
  <c r="I101" i="56"/>
  <c r="K102" i="79" s="1"/>
  <c r="I105" i="56"/>
  <c r="K106" i="79" s="1"/>
  <c r="I109" i="56"/>
  <c r="K110" i="79" s="1"/>
  <c r="I113" i="56"/>
  <c r="K114" i="79" s="1"/>
  <c r="I117" i="56"/>
  <c r="K118" i="79" s="1"/>
  <c r="I121" i="56"/>
  <c r="K122" i="79" s="1"/>
  <c r="AG63" i="60"/>
  <c r="I14" i="60"/>
  <c r="I30" i="60"/>
  <c r="I46" i="60"/>
  <c r="I62" i="60"/>
  <c r="I78" i="60"/>
  <c r="I110" i="60"/>
  <c r="F5" i="118"/>
  <c r="K6" i="56"/>
  <c r="J7" i="79" s="1"/>
  <c r="K10" i="56"/>
  <c r="J11" i="79" s="1"/>
  <c r="K14" i="56"/>
  <c r="J15" i="79" s="1"/>
  <c r="K18" i="56"/>
  <c r="J19" i="79" s="1"/>
  <c r="I6" i="56"/>
  <c r="I10" i="56"/>
  <c r="K11" i="79" s="1"/>
  <c r="I14" i="56"/>
  <c r="K15" i="79" s="1"/>
  <c r="I18" i="56"/>
  <c r="K19" i="79" s="1"/>
  <c r="I22" i="56"/>
  <c r="K23" i="79" s="1"/>
  <c r="I26" i="56"/>
  <c r="K27" i="79" s="1"/>
  <c r="I30" i="56"/>
  <c r="K31" i="79" s="1"/>
  <c r="I34" i="56"/>
  <c r="K35" i="79" s="1"/>
  <c r="I38" i="56"/>
  <c r="K39" i="79" s="1"/>
  <c r="I42" i="56"/>
  <c r="K43" i="79" s="1"/>
  <c r="I46" i="56"/>
  <c r="K47" i="79" s="1"/>
  <c r="I50" i="56"/>
  <c r="K51" i="79" s="1"/>
  <c r="I54" i="56"/>
  <c r="K55" i="79" s="1"/>
  <c r="I58" i="56"/>
  <c r="K59" i="79" s="1"/>
  <c r="I62" i="56"/>
  <c r="K63" i="79" s="1"/>
  <c r="I66" i="56"/>
  <c r="K67" i="79" s="1"/>
  <c r="I70" i="56"/>
  <c r="K71" i="79" s="1"/>
  <c r="I74" i="56"/>
  <c r="K75" i="79" s="1"/>
  <c r="I78" i="56"/>
  <c r="K79" i="79" s="1"/>
  <c r="I82" i="56"/>
  <c r="K83" i="79" s="1"/>
  <c r="I86" i="56"/>
  <c r="K87" i="79" s="1"/>
  <c r="I90" i="56"/>
  <c r="K91" i="79" s="1"/>
  <c r="I94" i="56"/>
  <c r="K95" i="79" s="1"/>
  <c r="I98" i="56"/>
  <c r="K99" i="79" s="1"/>
  <c r="I102" i="56"/>
  <c r="K103" i="79" s="1"/>
  <c r="I106" i="56"/>
  <c r="K107" i="79" s="1"/>
  <c r="I110" i="56"/>
  <c r="K111" i="79" s="1"/>
  <c r="I114" i="56"/>
  <c r="K115" i="79" s="1"/>
  <c r="I118" i="56"/>
  <c r="K119" i="79" s="1"/>
  <c r="I122" i="56"/>
  <c r="K123" i="79" s="1"/>
  <c r="H57" i="79"/>
  <c r="H121" i="79"/>
  <c r="K5" i="56"/>
  <c r="J6" i="79" s="1"/>
  <c r="K17" i="56"/>
  <c r="J18" i="79" s="1"/>
  <c r="K25" i="56"/>
  <c r="J26" i="79" s="1"/>
  <c r="Q9" i="60"/>
  <c r="H9" i="60" s="1"/>
  <c r="Q17" i="60"/>
  <c r="H17" i="60" s="1"/>
  <c r="Q25" i="60"/>
  <c r="H25" i="60" s="1"/>
  <c r="Q33" i="60"/>
  <c r="H33" i="60" s="1"/>
  <c r="Q41" i="60"/>
  <c r="H41" i="60" s="1"/>
  <c r="Q49" i="60"/>
  <c r="H49" i="60" s="1"/>
  <c r="Q57" i="60"/>
  <c r="H57" i="60" s="1"/>
  <c r="Q65" i="60"/>
  <c r="H65" i="60" s="1"/>
  <c r="Q73" i="60"/>
  <c r="H73" i="60" s="1"/>
  <c r="Q81" i="60"/>
  <c r="H81" i="60" s="1"/>
  <c r="Q89" i="60"/>
  <c r="H89" i="60" s="1"/>
  <c r="Q97" i="60"/>
  <c r="H97" i="60" s="1"/>
  <c r="Q105" i="60"/>
  <c r="H105" i="60" s="1"/>
  <c r="Q113" i="60"/>
  <c r="H113" i="60" s="1"/>
  <c r="Q121" i="60"/>
  <c r="H121" i="60" s="1"/>
  <c r="I18" i="60"/>
  <c r="I26" i="60"/>
  <c r="I50" i="60"/>
  <c r="I58" i="60"/>
  <c r="I82" i="60"/>
  <c r="I90" i="60"/>
  <c r="I114" i="60"/>
  <c r="I122" i="60"/>
  <c r="I7" i="56"/>
  <c r="K8" i="79" s="1"/>
  <c r="I11" i="56"/>
  <c r="I15" i="56"/>
  <c r="I19" i="56"/>
  <c r="K20" i="79" s="1"/>
  <c r="I23" i="56"/>
  <c r="K24" i="79" s="1"/>
  <c r="I27" i="56"/>
  <c r="K28" i="79" s="1"/>
  <c r="I31" i="56"/>
  <c r="K32" i="79" s="1"/>
  <c r="I35" i="56"/>
  <c r="K36" i="79" s="1"/>
  <c r="I39" i="56"/>
  <c r="K40" i="79" s="1"/>
  <c r="I43" i="56"/>
  <c r="K44" i="79" s="1"/>
  <c r="I47" i="56"/>
  <c r="K48" i="79" s="1"/>
  <c r="I51" i="56"/>
  <c r="K52" i="79" s="1"/>
  <c r="I55" i="56"/>
  <c r="K56" i="79" s="1"/>
  <c r="I59" i="56"/>
  <c r="K60" i="79" s="1"/>
  <c r="I63" i="56"/>
  <c r="K64" i="79" s="1"/>
  <c r="I67" i="56"/>
  <c r="K68" i="79" s="1"/>
  <c r="I71" i="56"/>
  <c r="K72" i="79" s="1"/>
  <c r="I75" i="56"/>
  <c r="K76" i="79" s="1"/>
  <c r="I79" i="56"/>
  <c r="K80" i="79" s="1"/>
  <c r="I83" i="56"/>
  <c r="K84" i="79" s="1"/>
  <c r="I87" i="56"/>
  <c r="K88" i="79" s="1"/>
  <c r="I91" i="56"/>
  <c r="K92" i="79" s="1"/>
  <c r="I95" i="56"/>
  <c r="K96" i="79" s="1"/>
  <c r="I99" i="56"/>
  <c r="K100" i="79" s="1"/>
  <c r="I103" i="56"/>
  <c r="K104" i="79" s="1"/>
  <c r="I107" i="56"/>
  <c r="K108" i="79" s="1"/>
  <c r="I111" i="56"/>
  <c r="K112" i="79" s="1"/>
  <c r="I115" i="56"/>
  <c r="K116" i="79" s="1"/>
  <c r="I119" i="56"/>
  <c r="K120" i="79" s="1"/>
  <c r="I123" i="56"/>
  <c r="K124" i="79" s="1"/>
  <c r="H9" i="79"/>
  <c r="H73" i="79"/>
  <c r="I29" i="60"/>
  <c r="I45" i="60"/>
  <c r="I61" i="60"/>
  <c r="I93" i="60"/>
  <c r="I109" i="60"/>
  <c r="I22" i="60"/>
  <c r="I54" i="60"/>
  <c r="I102" i="60"/>
  <c r="K8" i="56"/>
  <c r="J9" i="79" s="1"/>
  <c r="K12" i="56"/>
  <c r="J13" i="79" s="1"/>
  <c r="K16" i="56"/>
  <c r="J17" i="79" s="1"/>
  <c r="K20" i="56"/>
  <c r="J21" i="79" s="1"/>
  <c r="I12" i="56"/>
  <c r="K13" i="79" s="1"/>
  <c r="I16" i="56"/>
  <c r="K17" i="79" s="1"/>
  <c r="I20" i="56"/>
  <c r="K21" i="79" s="1"/>
  <c r="I24" i="56"/>
  <c r="K25" i="79" s="1"/>
  <c r="I28" i="56"/>
  <c r="K29" i="79" s="1"/>
  <c r="I32" i="56"/>
  <c r="K33" i="79" s="1"/>
  <c r="I36" i="56"/>
  <c r="K37" i="79" s="1"/>
  <c r="I44" i="56"/>
  <c r="K45" i="79" s="1"/>
  <c r="I48" i="56"/>
  <c r="K49" i="79" s="1"/>
  <c r="I52" i="56"/>
  <c r="K53" i="79" s="1"/>
  <c r="I60" i="56"/>
  <c r="K61" i="79" s="1"/>
  <c r="I64" i="56"/>
  <c r="K65" i="79" s="1"/>
  <c r="I68" i="56"/>
  <c r="K69" i="79" s="1"/>
  <c r="I76" i="56"/>
  <c r="K77" i="79" s="1"/>
  <c r="I80" i="56"/>
  <c r="K81" i="79" s="1"/>
  <c r="I84" i="56"/>
  <c r="K85" i="79" s="1"/>
  <c r="I88" i="56"/>
  <c r="K89" i="79" s="1"/>
  <c r="I92" i="56"/>
  <c r="K93" i="79" s="1"/>
  <c r="I96" i="56"/>
  <c r="K97" i="79" s="1"/>
  <c r="I100" i="56"/>
  <c r="K101" i="79" s="1"/>
  <c r="I108" i="56"/>
  <c r="K109" i="79" s="1"/>
  <c r="I112" i="56"/>
  <c r="K113" i="79" s="1"/>
  <c r="I116" i="56"/>
  <c r="K117" i="79" s="1"/>
  <c r="I124" i="56"/>
  <c r="K125" i="79" s="1"/>
  <c r="G4" i="56"/>
  <c r="E4" i="62"/>
  <c r="H4" i="62"/>
  <c r="F4" i="62"/>
  <c r="I4" i="62"/>
  <c r="I4" i="117"/>
  <c r="H4" i="117"/>
  <c r="I6" i="60"/>
  <c r="I38" i="60"/>
  <c r="I70" i="60"/>
  <c r="I86" i="60"/>
  <c r="I118" i="60"/>
  <c r="AO14" i="60"/>
  <c r="AO22" i="60"/>
  <c r="AO30" i="60"/>
  <c r="AO46" i="60"/>
  <c r="AO54" i="60"/>
  <c r="AO62" i="60"/>
  <c r="AO78" i="60"/>
  <c r="AO94" i="60"/>
  <c r="AO102" i="60"/>
  <c r="AO110" i="60"/>
  <c r="I94" i="60"/>
  <c r="I7" i="60"/>
  <c r="I55" i="60"/>
  <c r="I71" i="60"/>
  <c r="I87" i="60"/>
  <c r="I103" i="60"/>
  <c r="I119" i="60"/>
  <c r="AN4" i="60"/>
  <c r="Y123" i="60"/>
  <c r="I8" i="60"/>
  <c r="I12" i="60"/>
  <c r="I16" i="60"/>
  <c r="I20" i="60"/>
  <c r="I24" i="60"/>
  <c r="I28" i="60"/>
  <c r="I32" i="60"/>
  <c r="I36" i="60"/>
  <c r="I40" i="60"/>
  <c r="I44" i="60"/>
  <c r="I48" i="60"/>
  <c r="I52" i="60"/>
  <c r="I56" i="60"/>
  <c r="I60" i="60"/>
  <c r="I64" i="60"/>
  <c r="I68" i="60"/>
  <c r="I72" i="60"/>
  <c r="I76" i="60"/>
  <c r="I80" i="60"/>
  <c r="I84" i="60"/>
  <c r="I88" i="60"/>
  <c r="I92" i="60"/>
  <c r="I96" i="60"/>
  <c r="I100" i="60"/>
  <c r="I104" i="60"/>
  <c r="I108" i="60"/>
  <c r="I112" i="60"/>
  <c r="I116" i="60"/>
  <c r="I120" i="60"/>
  <c r="I124" i="60"/>
  <c r="Y10" i="60"/>
  <c r="Y18" i="60"/>
  <c r="Y26" i="60"/>
  <c r="Y34" i="60"/>
  <c r="Y42" i="60"/>
  <c r="Y50" i="60"/>
  <c r="Y58" i="60"/>
  <c r="Y66" i="60"/>
  <c r="Y74" i="60"/>
  <c r="Y82" i="60"/>
  <c r="Y90" i="60"/>
  <c r="Y98" i="60"/>
  <c r="Y106" i="60"/>
  <c r="Y114" i="60"/>
  <c r="Y122" i="60"/>
  <c r="I19" i="60"/>
  <c r="I35" i="60"/>
  <c r="I59" i="60"/>
  <c r="I83" i="60"/>
  <c r="I91" i="60"/>
  <c r="I123" i="60"/>
  <c r="I25" i="60"/>
  <c r="I37" i="60"/>
  <c r="I65" i="60"/>
  <c r="I97" i="60"/>
  <c r="I101" i="60"/>
  <c r="P4" i="60"/>
  <c r="Q8" i="60"/>
  <c r="H8" i="60" s="1"/>
  <c r="Q12" i="60"/>
  <c r="H12" i="60" s="1"/>
  <c r="Q16" i="60"/>
  <c r="H16" i="60" s="1"/>
  <c r="Q20" i="60"/>
  <c r="H20" i="60" s="1"/>
  <c r="Q24" i="60"/>
  <c r="H24" i="60" s="1"/>
  <c r="Q28" i="60"/>
  <c r="H28" i="60" s="1"/>
  <c r="Q32" i="60"/>
  <c r="H32" i="60" s="1"/>
  <c r="Q36" i="60"/>
  <c r="H36" i="60" s="1"/>
  <c r="Q40" i="60"/>
  <c r="H40" i="60" s="1"/>
  <c r="Q44" i="60"/>
  <c r="H44" i="60" s="1"/>
  <c r="Q48" i="60"/>
  <c r="H48" i="60" s="1"/>
  <c r="Q52" i="60"/>
  <c r="H52" i="60" s="1"/>
  <c r="Q56" i="60"/>
  <c r="H56" i="60" s="1"/>
  <c r="Q60" i="60"/>
  <c r="H60" i="60" s="1"/>
  <c r="Q64" i="60"/>
  <c r="H64" i="60" s="1"/>
  <c r="Q68" i="60"/>
  <c r="H68" i="60" s="1"/>
  <c r="Q72" i="60"/>
  <c r="H72" i="60" s="1"/>
  <c r="Q76" i="60"/>
  <c r="H76" i="60" s="1"/>
  <c r="Q80" i="60"/>
  <c r="H80" i="60" s="1"/>
  <c r="Q84" i="60"/>
  <c r="H84" i="60" s="1"/>
  <c r="Q88" i="60"/>
  <c r="H88" i="60" s="1"/>
  <c r="Q92" i="60"/>
  <c r="H92" i="60" s="1"/>
  <c r="Q96" i="60"/>
  <c r="H96" i="60" s="1"/>
  <c r="Q100" i="60"/>
  <c r="H100" i="60" s="1"/>
  <c r="Q104" i="60"/>
  <c r="H104" i="60" s="1"/>
  <c r="Q108" i="60"/>
  <c r="H108" i="60" s="1"/>
  <c r="Q112" i="60"/>
  <c r="H112" i="60" s="1"/>
  <c r="Q116" i="60"/>
  <c r="H116" i="60" s="1"/>
  <c r="Q120" i="60"/>
  <c r="H120" i="60" s="1"/>
  <c r="Q124" i="60"/>
  <c r="H124" i="60" s="1"/>
  <c r="AF4" i="60"/>
  <c r="X4" i="60"/>
  <c r="W4" i="55"/>
  <c r="H46" i="60" l="1"/>
  <c r="G127" i="60"/>
  <c r="H94" i="60"/>
  <c r="G126" i="60"/>
  <c r="I128" i="60"/>
  <c r="I126" i="60"/>
  <c r="K6" i="79"/>
  <c r="I127" i="56"/>
  <c r="H110" i="60"/>
  <c r="H22" i="60"/>
  <c r="I127" i="60"/>
  <c r="K16" i="79"/>
  <c r="I130" i="56"/>
  <c r="I31" i="60"/>
  <c r="G129" i="60"/>
  <c r="I126" i="56"/>
  <c r="K12" i="79"/>
  <c r="I128" i="56"/>
  <c r="K7" i="79"/>
  <c r="I129" i="56"/>
  <c r="H62" i="60"/>
  <c r="G130" i="60"/>
  <c r="G128" i="60"/>
  <c r="G131" i="60" s="1"/>
  <c r="I129" i="60"/>
  <c r="I15" i="60"/>
  <c r="I130" i="60" s="1"/>
  <c r="H122" i="60"/>
  <c r="H114" i="60"/>
  <c r="H106" i="60"/>
  <c r="H98" i="60"/>
  <c r="H90" i="60"/>
  <c r="H82" i="60"/>
  <c r="H74" i="60"/>
  <c r="H66" i="60"/>
  <c r="H58" i="60"/>
  <c r="H50" i="60"/>
  <c r="H127" i="60" s="1"/>
  <c r="H42" i="60"/>
  <c r="H34" i="60"/>
  <c r="H128" i="60" s="1"/>
  <c r="H26" i="60"/>
  <c r="H18" i="60"/>
  <c r="H10" i="60"/>
  <c r="H129" i="60" s="1"/>
  <c r="H123" i="60"/>
  <c r="K128" i="55"/>
  <c r="I127" i="55"/>
  <c r="J127" i="55"/>
  <c r="J126" i="55"/>
  <c r="K130" i="55"/>
  <c r="J130" i="55"/>
  <c r="K127" i="55"/>
  <c r="J128" i="55"/>
  <c r="I130" i="55"/>
  <c r="F131" i="55"/>
  <c r="I128" i="55"/>
  <c r="I129" i="55"/>
  <c r="K126" i="55"/>
  <c r="I126" i="55"/>
  <c r="E131" i="55"/>
  <c r="J7" i="123" s="1"/>
  <c r="H131" i="55"/>
  <c r="D131" i="55"/>
  <c r="I7" i="123" s="1"/>
  <c r="J129" i="55"/>
  <c r="K129" i="55"/>
  <c r="G131" i="55"/>
  <c r="H131" i="62"/>
  <c r="K21" i="123" s="1"/>
  <c r="AG4" i="60"/>
  <c r="L19" i="123"/>
  <c r="K19" i="123"/>
  <c r="I131" i="62"/>
  <c r="L21" i="123" s="1"/>
  <c r="I4" i="56"/>
  <c r="K5" i="79" s="1"/>
  <c r="K4" i="56"/>
  <c r="J5" i="79" s="1"/>
  <c r="AO4" i="60"/>
  <c r="Y4" i="60"/>
  <c r="Q4" i="60"/>
  <c r="H131" i="60" l="1"/>
  <c r="H126" i="60"/>
  <c r="H130" i="60"/>
  <c r="I131" i="60"/>
  <c r="I4" i="60"/>
  <c r="H135" i="62" s="1"/>
  <c r="I131" i="56"/>
  <c r="L10" i="123" s="1"/>
  <c r="J131" i="55"/>
  <c r="I131" i="55"/>
  <c r="L7" i="123" s="1"/>
  <c r="K131" i="55"/>
  <c r="K7" i="123" s="1"/>
  <c r="J124" i="59"/>
  <c r="G125" i="118" s="1"/>
  <c r="J123" i="59"/>
  <c r="G124" i="118" s="1"/>
  <c r="J122" i="59"/>
  <c r="G123" i="118" s="1"/>
  <c r="J121" i="59"/>
  <c r="G122" i="118" s="1"/>
  <c r="J120" i="59"/>
  <c r="G121" i="118" s="1"/>
  <c r="J119" i="59"/>
  <c r="G120" i="118" s="1"/>
  <c r="J118" i="59"/>
  <c r="G119" i="118" s="1"/>
  <c r="J117" i="59"/>
  <c r="G118" i="118" s="1"/>
  <c r="J116" i="59"/>
  <c r="G117" i="118" s="1"/>
  <c r="J115" i="59"/>
  <c r="G116" i="118" s="1"/>
  <c r="J114" i="59"/>
  <c r="G115" i="118" s="1"/>
  <c r="J113" i="59"/>
  <c r="G114" i="118" s="1"/>
  <c r="J112" i="59"/>
  <c r="G113" i="118" s="1"/>
  <c r="J111" i="59"/>
  <c r="G112" i="118" s="1"/>
  <c r="J110" i="59"/>
  <c r="G111" i="118" s="1"/>
  <c r="J109" i="59"/>
  <c r="G110" i="118" s="1"/>
  <c r="J108" i="59"/>
  <c r="G109" i="118" s="1"/>
  <c r="J107" i="59"/>
  <c r="G108" i="118" s="1"/>
  <c r="J106" i="59"/>
  <c r="G107" i="118" s="1"/>
  <c r="J105" i="59"/>
  <c r="G106" i="118" s="1"/>
  <c r="J104" i="59"/>
  <c r="G105" i="118" s="1"/>
  <c r="J103" i="59"/>
  <c r="G104" i="118" s="1"/>
  <c r="J102" i="59"/>
  <c r="G103" i="118" s="1"/>
  <c r="J101" i="59"/>
  <c r="G102" i="118" s="1"/>
  <c r="J100" i="59"/>
  <c r="G101" i="118" s="1"/>
  <c r="J99" i="59"/>
  <c r="G100" i="118" s="1"/>
  <c r="J98" i="59"/>
  <c r="G99" i="118" s="1"/>
  <c r="J97" i="59"/>
  <c r="G98" i="118" s="1"/>
  <c r="J96" i="59"/>
  <c r="G97" i="118" s="1"/>
  <c r="J95" i="59"/>
  <c r="G96" i="118" s="1"/>
  <c r="J94" i="59"/>
  <c r="G95" i="118" s="1"/>
  <c r="J93" i="59"/>
  <c r="G94" i="118" s="1"/>
  <c r="J92" i="59"/>
  <c r="G93" i="118" s="1"/>
  <c r="J91" i="59"/>
  <c r="G92" i="118" s="1"/>
  <c r="J90" i="59"/>
  <c r="G91" i="118" s="1"/>
  <c r="J89" i="59"/>
  <c r="G90" i="118" s="1"/>
  <c r="J88" i="59"/>
  <c r="G89" i="118" s="1"/>
  <c r="J87" i="59"/>
  <c r="G88" i="118" s="1"/>
  <c r="J86" i="59"/>
  <c r="G87" i="118" s="1"/>
  <c r="J85" i="59"/>
  <c r="G86" i="118" s="1"/>
  <c r="J84" i="59"/>
  <c r="G85" i="118" s="1"/>
  <c r="J83" i="59"/>
  <c r="G84" i="118" s="1"/>
  <c r="J82" i="59"/>
  <c r="G83" i="118" s="1"/>
  <c r="J81" i="59"/>
  <c r="G82" i="118" s="1"/>
  <c r="J80" i="59"/>
  <c r="G81" i="118" s="1"/>
  <c r="J79" i="59"/>
  <c r="G80" i="118" s="1"/>
  <c r="J78" i="59"/>
  <c r="G79" i="118" s="1"/>
  <c r="J77" i="59"/>
  <c r="G78" i="118" s="1"/>
  <c r="J76" i="59"/>
  <c r="G77" i="118" s="1"/>
  <c r="J75" i="59"/>
  <c r="G76" i="118" s="1"/>
  <c r="J74" i="59"/>
  <c r="G75" i="118" s="1"/>
  <c r="J73" i="59"/>
  <c r="G74" i="118" s="1"/>
  <c r="J72" i="59"/>
  <c r="G73" i="118" s="1"/>
  <c r="J71" i="59"/>
  <c r="G72" i="118" s="1"/>
  <c r="J70" i="59"/>
  <c r="G71" i="118" s="1"/>
  <c r="J69" i="59"/>
  <c r="G70" i="118" s="1"/>
  <c r="J68" i="59"/>
  <c r="G69" i="118" s="1"/>
  <c r="J67" i="59"/>
  <c r="G68" i="118" s="1"/>
  <c r="J66" i="59"/>
  <c r="G67" i="118" s="1"/>
  <c r="J65" i="59"/>
  <c r="G66" i="118" s="1"/>
  <c r="J64" i="59"/>
  <c r="G65" i="118" s="1"/>
  <c r="J63" i="59"/>
  <c r="G64" i="118" s="1"/>
  <c r="J62" i="59"/>
  <c r="G63" i="118" s="1"/>
  <c r="J61" i="59"/>
  <c r="G62" i="118" s="1"/>
  <c r="J60" i="59"/>
  <c r="G61" i="118" s="1"/>
  <c r="J59" i="59"/>
  <c r="G60" i="118" s="1"/>
  <c r="J58" i="59"/>
  <c r="G59" i="118" s="1"/>
  <c r="J57" i="59"/>
  <c r="G58" i="118" s="1"/>
  <c r="J56" i="59"/>
  <c r="G57" i="118" s="1"/>
  <c r="J55" i="59"/>
  <c r="G56" i="118" s="1"/>
  <c r="J54" i="59"/>
  <c r="G55" i="118" s="1"/>
  <c r="J53" i="59"/>
  <c r="G54" i="118" s="1"/>
  <c r="J52" i="59"/>
  <c r="G53" i="118" s="1"/>
  <c r="J51" i="59"/>
  <c r="G52" i="118" s="1"/>
  <c r="J50" i="59"/>
  <c r="G51" i="118" s="1"/>
  <c r="J49" i="59"/>
  <c r="G50" i="118" s="1"/>
  <c r="J48" i="59"/>
  <c r="G49" i="118" s="1"/>
  <c r="J47" i="59"/>
  <c r="G48" i="118" s="1"/>
  <c r="J46" i="59"/>
  <c r="G47" i="118" s="1"/>
  <c r="J45" i="59"/>
  <c r="G46" i="118" s="1"/>
  <c r="J44" i="59"/>
  <c r="G45" i="118" s="1"/>
  <c r="J43" i="59"/>
  <c r="G44" i="118" s="1"/>
  <c r="J42" i="59"/>
  <c r="G43" i="118" s="1"/>
  <c r="J41" i="59"/>
  <c r="G42" i="118" s="1"/>
  <c r="J40" i="59"/>
  <c r="G41" i="118" s="1"/>
  <c r="J39" i="59"/>
  <c r="G40" i="118" s="1"/>
  <c r="J38" i="59"/>
  <c r="G39" i="118" s="1"/>
  <c r="J37" i="59"/>
  <c r="G38" i="118" s="1"/>
  <c r="J36" i="59"/>
  <c r="G37" i="118" s="1"/>
  <c r="J35" i="59"/>
  <c r="G36" i="118" s="1"/>
  <c r="J34" i="59"/>
  <c r="G35" i="118" s="1"/>
  <c r="J33" i="59"/>
  <c r="G34" i="118" s="1"/>
  <c r="J32" i="59"/>
  <c r="G33" i="118" s="1"/>
  <c r="J31" i="59"/>
  <c r="G32" i="118" s="1"/>
  <c r="J30" i="59"/>
  <c r="G31" i="118" s="1"/>
  <c r="J29" i="59"/>
  <c r="G30" i="118" s="1"/>
  <c r="J28" i="59"/>
  <c r="G29" i="118" s="1"/>
  <c r="J27" i="59"/>
  <c r="G28" i="118" s="1"/>
  <c r="J26" i="59"/>
  <c r="G27" i="118" s="1"/>
  <c r="J25" i="59"/>
  <c r="G26" i="118" s="1"/>
  <c r="J24" i="59"/>
  <c r="G25" i="118" s="1"/>
  <c r="J23" i="59"/>
  <c r="G24" i="118" s="1"/>
  <c r="J22" i="59"/>
  <c r="G23" i="118" s="1"/>
  <c r="J21" i="59"/>
  <c r="G22" i="118" s="1"/>
  <c r="J20" i="59"/>
  <c r="G21" i="118" s="1"/>
  <c r="J19" i="59"/>
  <c r="G20" i="118" s="1"/>
  <c r="J18" i="59"/>
  <c r="G19" i="118" s="1"/>
  <c r="J17" i="59"/>
  <c r="G18" i="118" s="1"/>
  <c r="J16" i="59"/>
  <c r="G17" i="118" s="1"/>
  <c r="J15" i="59"/>
  <c r="G16" i="118" s="1"/>
  <c r="J14" i="59"/>
  <c r="G15" i="118" s="1"/>
  <c r="J13" i="59"/>
  <c r="G14" i="118" s="1"/>
  <c r="J12" i="59"/>
  <c r="G13" i="118" s="1"/>
  <c r="J11" i="59"/>
  <c r="G12" i="118" s="1"/>
  <c r="J10" i="59"/>
  <c r="G11" i="118" s="1"/>
  <c r="J9" i="59"/>
  <c r="G10" i="118" s="1"/>
  <c r="J8" i="59"/>
  <c r="G9" i="118" s="1"/>
  <c r="J7" i="59"/>
  <c r="G8" i="118" s="1"/>
  <c r="J6" i="59"/>
  <c r="J5" i="59"/>
  <c r="G6" i="118" s="1"/>
  <c r="D124" i="59"/>
  <c r="D123" i="59"/>
  <c r="D122" i="59"/>
  <c r="D121" i="59"/>
  <c r="D120" i="59"/>
  <c r="D119" i="59"/>
  <c r="D118" i="59"/>
  <c r="D117" i="59"/>
  <c r="D116" i="59"/>
  <c r="D115" i="59"/>
  <c r="D114" i="59"/>
  <c r="D113" i="59"/>
  <c r="D112" i="59"/>
  <c r="D111" i="59"/>
  <c r="D110" i="59"/>
  <c r="D109" i="59"/>
  <c r="D108" i="59"/>
  <c r="D107" i="59"/>
  <c r="D106" i="59"/>
  <c r="D105" i="59"/>
  <c r="D104" i="59"/>
  <c r="D103" i="59"/>
  <c r="D102" i="59"/>
  <c r="D101" i="59"/>
  <c r="D100" i="59"/>
  <c r="D99" i="59"/>
  <c r="D98" i="59"/>
  <c r="D97" i="59"/>
  <c r="D96" i="59"/>
  <c r="D95" i="59"/>
  <c r="D94" i="59"/>
  <c r="D93" i="59"/>
  <c r="D92" i="59"/>
  <c r="D91" i="59"/>
  <c r="D90" i="59"/>
  <c r="D89" i="59"/>
  <c r="D88" i="59"/>
  <c r="D87" i="59"/>
  <c r="D86" i="59"/>
  <c r="D85" i="59"/>
  <c r="D84" i="59"/>
  <c r="D83" i="59"/>
  <c r="D82" i="59"/>
  <c r="D81" i="59"/>
  <c r="D80" i="59"/>
  <c r="D79" i="59"/>
  <c r="D78" i="59"/>
  <c r="D77" i="59"/>
  <c r="D76" i="59"/>
  <c r="D75" i="59"/>
  <c r="D74" i="59"/>
  <c r="D73" i="59"/>
  <c r="D72" i="59"/>
  <c r="D71" i="59"/>
  <c r="D70" i="59"/>
  <c r="D69" i="59"/>
  <c r="D68" i="59"/>
  <c r="D67" i="59"/>
  <c r="D66" i="59"/>
  <c r="D65" i="59"/>
  <c r="D64" i="59"/>
  <c r="D63" i="59"/>
  <c r="D62" i="59"/>
  <c r="D61" i="59"/>
  <c r="D60" i="59"/>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I4" i="59"/>
  <c r="H4" i="59"/>
  <c r="G4" i="59"/>
  <c r="F4" i="59"/>
  <c r="I11" i="123" l="1"/>
  <c r="L11" i="123"/>
  <c r="J11" i="123"/>
  <c r="K11" i="123"/>
  <c r="J4" i="59"/>
  <c r="G7" i="118"/>
  <c r="G5" i="118" s="1"/>
  <c r="I124" i="61"/>
  <c r="I123" i="61"/>
  <c r="I122" i="61"/>
  <c r="I121" i="61"/>
  <c r="I120" i="61"/>
  <c r="I119" i="61"/>
  <c r="I118" i="61"/>
  <c r="I117" i="61"/>
  <c r="I116" i="61"/>
  <c r="I115" i="61"/>
  <c r="I114" i="61"/>
  <c r="I113" i="61"/>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I51" i="61"/>
  <c r="I50" i="61"/>
  <c r="I49" i="61"/>
  <c r="I48" i="61"/>
  <c r="I47" i="61"/>
  <c r="I46" i="61"/>
  <c r="I45" i="61"/>
  <c r="I44" i="61"/>
  <c r="I43" i="61"/>
  <c r="I42" i="61"/>
  <c r="I41" i="61"/>
  <c r="I40" i="61"/>
  <c r="I39" i="61"/>
  <c r="I38" i="61"/>
  <c r="I37" i="61"/>
  <c r="I36" i="61"/>
  <c r="I35" i="61"/>
  <c r="I34" i="61"/>
  <c r="I33" i="61"/>
  <c r="I32" i="61"/>
  <c r="I31" i="61"/>
  <c r="I30" i="61"/>
  <c r="I29" i="61"/>
  <c r="I28" i="61"/>
  <c r="I27" i="61"/>
  <c r="I26" i="61"/>
  <c r="I25" i="61"/>
  <c r="I24" i="61"/>
  <c r="I23" i="61"/>
  <c r="I22" i="61"/>
  <c r="I21" i="61"/>
  <c r="I20" i="61"/>
  <c r="I19" i="61"/>
  <c r="I18" i="61"/>
  <c r="I17" i="61"/>
  <c r="I16" i="61"/>
  <c r="I15" i="61"/>
  <c r="I14" i="61"/>
  <c r="I13" i="61"/>
  <c r="I12" i="61"/>
  <c r="I11" i="61"/>
  <c r="I10" i="61"/>
  <c r="I9" i="61"/>
  <c r="I8" i="61"/>
  <c r="I7" i="61"/>
  <c r="I6" i="61"/>
  <c r="I5" i="61"/>
  <c r="H4" i="61"/>
  <c r="G4" i="61"/>
  <c r="F4" i="61"/>
  <c r="E4" i="61"/>
  <c r="D4" i="61"/>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2" i="57"/>
  <c r="K31" i="57"/>
  <c r="K30" i="57"/>
  <c r="K29" i="57"/>
  <c r="K28" i="57"/>
  <c r="K27" i="57"/>
  <c r="K26" i="57"/>
  <c r="K25" i="57"/>
  <c r="K24" i="57"/>
  <c r="K23" i="57"/>
  <c r="K22" i="57"/>
  <c r="K21" i="57"/>
  <c r="K20" i="57"/>
  <c r="K19" i="57"/>
  <c r="K18" i="57"/>
  <c r="K17" i="57"/>
  <c r="K16" i="57"/>
  <c r="K15" i="57"/>
  <c r="K14" i="57"/>
  <c r="K13" i="57"/>
  <c r="K12" i="57"/>
  <c r="K11" i="57"/>
  <c r="K10" i="57"/>
  <c r="K9" i="57"/>
  <c r="K8" i="57"/>
  <c r="K7" i="57"/>
  <c r="K6" i="57"/>
  <c r="K5" i="57"/>
  <c r="H124" i="57"/>
  <c r="D124" i="57" s="1"/>
  <c r="H123" i="57"/>
  <c r="D123" i="57" s="1"/>
  <c r="H122" i="57"/>
  <c r="D122" i="57" s="1"/>
  <c r="H121" i="57"/>
  <c r="D121" i="57" s="1"/>
  <c r="H120" i="57"/>
  <c r="D120" i="57" s="1"/>
  <c r="H119" i="57"/>
  <c r="D119" i="57" s="1"/>
  <c r="H118" i="57"/>
  <c r="D118" i="57" s="1"/>
  <c r="H117" i="57"/>
  <c r="D117" i="57" s="1"/>
  <c r="H116" i="57"/>
  <c r="D116" i="57" s="1"/>
  <c r="H115" i="57"/>
  <c r="D115" i="57" s="1"/>
  <c r="H114" i="57"/>
  <c r="D114" i="57" s="1"/>
  <c r="H113" i="57"/>
  <c r="D113" i="57" s="1"/>
  <c r="H112" i="57"/>
  <c r="D112" i="57" s="1"/>
  <c r="H111" i="57"/>
  <c r="D111" i="57" s="1"/>
  <c r="H110" i="57"/>
  <c r="D110" i="57" s="1"/>
  <c r="H109" i="57"/>
  <c r="D109" i="57" s="1"/>
  <c r="H108" i="57"/>
  <c r="D108" i="57" s="1"/>
  <c r="H107" i="57"/>
  <c r="D107" i="57" s="1"/>
  <c r="H106" i="57"/>
  <c r="D106" i="57" s="1"/>
  <c r="H105" i="57"/>
  <c r="D105" i="57" s="1"/>
  <c r="H104" i="57"/>
  <c r="D104" i="57" s="1"/>
  <c r="H103" i="57"/>
  <c r="D103" i="57" s="1"/>
  <c r="H102" i="57"/>
  <c r="H101" i="57"/>
  <c r="D101" i="57" s="1"/>
  <c r="H100" i="57"/>
  <c r="D100" i="57" s="1"/>
  <c r="H99" i="57"/>
  <c r="D99" i="57" s="1"/>
  <c r="H98" i="57"/>
  <c r="D98" i="57" s="1"/>
  <c r="H97" i="57"/>
  <c r="D97" i="57" s="1"/>
  <c r="H96" i="57"/>
  <c r="D96" i="57" s="1"/>
  <c r="H95" i="57"/>
  <c r="D95" i="57" s="1"/>
  <c r="H94" i="57"/>
  <c r="D94" i="57" s="1"/>
  <c r="H93" i="57"/>
  <c r="D93" i="57" s="1"/>
  <c r="H92" i="57"/>
  <c r="D92" i="57" s="1"/>
  <c r="H91" i="57"/>
  <c r="D91" i="57" s="1"/>
  <c r="H90" i="57"/>
  <c r="D90" i="57" s="1"/>
  <c r="H89" i="57"/>
  <c r="D89" i="57" s="1"/>
  <c r="H88" i="57"/>
  <c r="D88" i="57" s="1"/>
  <c r="H87" i="57"/>
  <c r="D87" i="57" s="1"/>
  <c r="H86" i="57"/>
  <c r="D86" i="57" s="1"/>
  <c r="H85" i="57"/>
  <c r="D85" i="57" s="1"/>
  <c r="H84" i="57"/>
  <c r="D84" i="57" s="1"/>
  <c r="H83" i="57"/>
  <c r="D83" i="57" s="1"/>
  <c r="H82" i="57"/>
  <c r="D82" i="57" s="1"/>
  <c r="H81" i="57"/>
  <c r="D81" i="57" s="1"/>
  <c r="H80" i="57"/>
  <c r="D80" i="57" s="1"/>
  <c r="H79" i="57"/>
  <c r="D79" i="57" s="1"/>
  <c r="H78" i="57"/>
  <c r="D78" i="57" s="1"/>
  <c r="H77" i="57"/>
  <c r="D77" i="57" s="1"/>
  <c r="H76" i="57"/>
  <c r="D76" i="57" s="1"/>
  <c r="H75" i="57"/>
  <c r="D75" i="57" s="1"/>
  <c r="H74" i="57"/>
  <c r="D74" i="57" s="1"/>
  <c r="H73" i="57"/>
  <c r="D73" i="57" s="1"/>
  <c r="H72" i="57"/>
  <c r="D72" i="57" s="1"/>
  <c r="H71" i="57"/>
  <c r="D71" i="57" s="1"/>
  <c r="H70" i="57"/>
  <c r="D70" i="57" s="1"/>
  <c r="H69" i="57"/>
  <c r="D69" i="57" s="1"/>
  <c r="H68" i="57"/>
  <c r="D68" i="57" s="1"/>
  <c r="H67" i="57"/>
  <c r="D67" i="57" s="1"/>
  <c r="H66" i="57"/>
  <c r="D66" i="57" s="1"/>
  <c r="H65" i="57"/>
  <c r="D65" i="57" s="1"/>
  <c r="H64" i="57"/>
  <c r="D64" i="57" s="1"/>
  <c r="H63" i="57"/>
  <c r="D63" i="57" s="1"/>
  <c r="H62" i="57"/>
  <c r="D62" i="57" s="1"/>
  <c r="H61" i="57"/>
  <c r="D61" i="57" s="1"/>
  <c r="H60" i="57"/>
  <c r="D60" i="57" s="1"/>
  <c r="H59" i="57"/>
  <c r="D59" i="57" s="1"/>
  <c r="H58" i="57"/>
  <c r="D58" i="57" s="1"/>
  <c r="H57" i="57"/>
  <c r="D57" i="57" s="1"/>
  <c r="H56" i="57"/>
  <c r="D56" i="57" s="1"/>
  <c r="H55" i="57"/>
  <c r="D55" i="57" s="1"/>
  <c r="H54" i="57"/>
  <c r="D54" i="57" s="1"/>
  <c r="H53" i="57"/>
  <c r="D53" i="57" s="1"/>
  <c r="H52" i="57"/>
  <c r="D52" i="57" s="1"/>
  <c r="H51" i="57"/>
  <c r="D51" i="57" s="1"/>
  <c r="H50" i="57"/>
  <c r="D50" i="57" s="1"/>
  <c r="H49" i="57"/>
  <c r="D49" i="57" s="1"/>
  <c r="H48" i="57"/>
  <c r="D48" i="57" s="1"/>
  <c r="H47" i="57"/>
  <c r="D47" i="57" s="1"/>
  <c r="H46" i="57"/>
  <c r="D46" i="57" s="1"/>
  <c r="H45" i="57"/>
  <c r="D45" i="57" s="1"/>
  <c r="H44" i="57"/>
  <c r="D44" i="57" s="1"/>
  <c r="H43" i="57"/>
  <c r="D43" i="57" s="1"/>
  <c r="H42" i="57"/>
  <c r="D42" i="57" s="1"/>
  <c r="H41" i="57"/>
  <c r="D41" i="57" s="1"/>
  <c r="H40" i="57"/>
  <c r="D40" i="57" s="1"/>
  <c r="H39" i="57"/>
  <c r="D39" i="57" s="1"/>
  <c r="H38" i="57"/>
  <c r="D38" i="57" s="1"/>
  <c r="H37" i="57"/>
  <c r="D37" i="57" s="1"/>
  <c r="H36" i="57"/>
  <c r="D36" i="57" s="1"/>
  <c r="H35" i="57"/>
  <c r="D35" i="57" s="1"/>
  <c r="H34" i="57"/>
  <c r="D34" i="57" s="1"/>
  <c r="H33" i="57"/>
  <c r="D33" i="57" s="1"/>
  <c r="H32" i="57"/>
  <c r="D32" i="57" s="1"/>
  <c r="H31" i="57"/>
  <c r="D31" i="57" s="1"/>
  <c r="H30" i="57"/>
  <c r="D30" i="57" s="1"/>
  <c r="H29" i="57"/>
  <c r="D29" i="57" s="1"/>
  <c r="H28" i="57"/>
  <c r="D28" i="57" s="1"/>
  <c r="H27" i="57"/>
  <c r="D27" i="57" s="1"/>
  <c r="H26" i="57"/>
  <c r="D26" i="57" s="1"/>
  <c r="H25" i="57"/>
  <c r="D25" i="57" s="1"/>
  <c r="H24" i="57"/>
  <c r="D24" i="57" s="1"/>
  <c r="H23" i="57"/>
  <c r="D23" i="57" s="1"/>
  <c r="H22" i="57"/>
  <c r="D22" i="57" s="1"/>
  <c r="H21" i="57"/>
  <c r="D21" i="57" s="1"/>
  <c r="H20" i="57"/>
  <c r="D20" i="57" s="1"/>
  <c r="H19" i="57"/>
  <c r="D19" i="57" s="1"/>
  <c r="H18" i="57"/>
  <c r="D18" i="57" s="1"/>
  <c r="H17" i="57"/>
  <c r="D17" i="57" s="1"/>
  <c r="H16" i="57"/>
  <c r="D16" i="57" s="1"/>
  <c r="H15" i="57"/>
  <c r="D15" i="57" s="1"/>
  <c r="H14" i="57"/>
  <c r="D14" i="57" s="1"/>
  <c r="H13" i="57"/>
  <c r="D13" i="57" s="1"/>
  <c r="H12" i="57"/>
  <c r="D12" i="57" s="1"/>
  <c r="H11" i="57"/>
  <c r="D11" i="57" s="1"/>
  <c r="H10" i="57"/>
  <c r="D10" i="57" s="1"/>
  <c r="H9" i="57"/>
  <c r="D9" i="57" s="1"/>
  <c r="H8" i="57"/>
  <c r="D8" i="57" s="1"/>
  <c r="H7" i="57"/>
  <c r="D7" i="57" s="1"/>
  <c r="H6" i="57"/>
  <c r="D6" i="57" s="1"/>
  <c r="H5" i="57"/>
  <c r="J124" i="55"/>
  <c r="K124" i="55" s="1"/>
  <c r="J123" i="55"/>
  <c r="K123" i="55" s="1"/>
  <c r="J122" i="55"/>
  <c r="K122" i="55" s="1"/>
  <c r="J121" i="55"/>
  <c r="K121" i="55" s="1"/>
  <c r="J120" i="55"/>
  <c r="K120" i="55" s="1"/>
  <c r="J118" i="55"/>
  <c r="K118" i="55" s="1"/>
  <c r="J116" i="55"/>
  <c r="K116" i="55" s="1"/>
  <c r="J115" i="55"/>
  <c r="K115" i="55" s="1"/>
  <c r="J114" i="55"/>
  <c r="K114" i="55" s="1"/>
  <c r="J112" i="55"/>
  <c r="K112" i="55" s="1"/>
  <c r="J111" i="55"/>
  <c r="K111" i="55" s="1"/>
  <c r="J110" i="55"/>
  <c r="K110" i="55" s="1"/>
  <c r="J109" i="55"/>
  <c r="K109" i="55" s="1"/>
  <c r="J108" i="55"/>
  <c r="K108" i="55" s="1"/>
  <c r="J107" i="55"/>
  <c r="K107" i="55" s="1"/>
  <c r="J106" i="55"/>
  <c r="K106" i="55" s="1"/>
  <c r="J105" i="55"/>
  <c r="K105" i="55" s="1"/>
  <c r="J104" i="55"/>
  <c r="K104" i="55" s="1"/>
  <c r="J103" i="55"/>
  <c r="K103" i="55" s="1"/>
  <c r="J102" i="55"/>
  <c r="K102" i="55" s="1"/>
  <c r="J101" i="55"/>
  <c r="K101" i="55" s="1"/>
  <c r="J100" i="55"/>
  <c r="K100" i="55" s="1"/>
  <c r="J99" i="55"/>
  <c r="K99" i="55" s="1"/>
  <c r="J98" i="55"/>
  <c r="K98" i="55" s="1"/>
  <c r="J97" i="55"/>
  <c r="K97" i="55" s="1"/>
  <c r="J96" i="55"/>
  <c r="K96" i="55" s="1"/>
  <c r="J94" i="55"/>
  <c r="K94" i="55" s="1"/>
  <c r="J92" i="55"/>
  <c r="K92" i="55" s="1"/>
  <c r="J91" i="55"/>
  <c r="K91" i="55" s="1"/>
  <c r="J90" i="55"/>
  <c r="K90" i="55" s="1"/>
  <c r="J89" i="55"/>
  <c r="K89" i="55" s="1"/>
  <c r="J88" i="55"/>
  <c r="K88" i="55" s="1"/>
  <c r="J87" i="55"/>
  <c r="K87" i="55" s="1"/>
  <c r="J86" i="55"/>
  <c r="K86" i="55" s="1"/>
  <c r="J85" i="55"/>
  <c r="K85" i="55" s="1"/>
  <c r="J84" i="55"/>
  <c r="K84" i="55" s="1"/>
  <c r="J83" i="55"/>
  <c r="K83" i="55" s="1"/>
  <c r="J82" i="55"/>
  <c r="K82" i="55" s="1"/>
  <c r="J81" i="55"/>
  <c r="K81" i="55" s="1"/>
  <c r="J80" i="55"/>
  <c r="K80" i="55" s="1"/>
  <c r="J79" i="55"/>
  <c r="K79" i="55" s="1"/>
  <c r="J78" i="55"/>
  <c r="K78" i="55" s="1"/>
  <c r="J77" i="55"/>
  <c r="K77" i="55" s="1"/>
  <c r="J76" i="55"/>
  <c r="K76" i="55" s="1"/>
  <c r="J75" i="55"/>
  <c r="K75" i="55" s="1"/>
  <c r="J74" i="55"/>
  <c r="K74" i="55" s="1"/>
  <c r="J73" i="55"/>
  <c r="K73" i="55" s="1"/>
  <c r="J72" i="55"/>
  <c r="K72" i="55" s="1"/>
  <c r="J71" i="55"/>
  <c r="K71" i="55" s="1"/>
  <c r="J70" i="55"/>
  <c r="K70" i="55" s="1"/>
  <c r="J69" i="55"/>
  <c r="K69" i="55" s="1"/>
  <c r="J68" i="55"/>
  <c r="K68" i="55" s="1"/>
  <c r="J67" i="55"/>
  <c r="K67" i="55" s="1"/>
  <c r="J65" i="55"/>
  <c r="K65" i="55" s="1"/>
  <c r="J64" i="55"/>
  <c r="K64" i="55" s="1"/>
  <c r="J63" i="55"/>
  <c r="K63" i="55" s="1"/>
  <c r="J61" i="55"/>
  <c r="K61" i="55" s="1"/>
  <c r="J60" i="55"/>
  <c r="K60" i="55" s="1"/>
  <c r="J59" i="55"/>
  <c r="K59" i="55" s="1"/>
  <c r="J58" i="55"/>
  <c r="K58" i="55" s="1"/>
  <c r="J57" i="55"/>
  <c r="K57" i="55" s="1"/>
  <c r="J56" i="55"/>
  <c r="K56" i="55" s="1"/>
  <c r="J55" i="55"/>
  <c r="K55" i="55" s="1"/>
  <c r="J54" i="55"/>
  <c r="K54" i="55" s="1"/>
  <c r="J53" i="55"/>
  <c r="K53" i="55" s="1"/>
  <c r="J52" i="55"/>
  <c r="K52" i="55" s="1"/>
  <c r="J50" i="55"/>
  <c r="K50" i="55" s="1"/>
  <c r="J49" i="55"/>
  <c r="K49" i="55" s="1"/>
  <c r="J46" i="55"/>
  <c r="K46" i="55" s="1"/>
  <c r="J45" i="55"/>
  <c r="K45" i="55" s="1"/>
  <c r="J44" i="55"/>
  <c r="K44" i="55" s="1"/>
  <c r="J43" i="55"/>
  <c r="K43" i="55" s="1"/>
  <c r="J42" i="55"/>
  <c r="K42" i="55" s="1"/>
  <c r="J41" i="55"/>
  <c r="K41" i="55" s="1"/>
  <c r="J40" i="55"/>
  <c r="K40" i="55" s="1"/>
  <c r="J39" i="55"/>
  <c r="K39" i="55" s="1"/>
  <c r="J38" i="55"/>
  <c r="K38" i="55" s="1"/>
  <c r="J37" i="55"/>
  <c r="K37" i="55" s="1"/>
  <c r="J36" i="55"/>
  <c r="K36" i="55" s="1"/>
  <c r="J35" i="55"/>
  <c r="K35" i="55" s="1"/>
  <c r="J33" i="55"/>
  <c r="K33" i="55" s="1"/>
  <c r="J32" i="55"/>
  <c r="K32" i="55" s="1"/>
  <c r="J30" i="55"/>
  <c r="K30" i="55" s="1"/>
  <c r="J29" i="55"/>
  <c r="K29" i="55" s="1"/>
  <c r="J28" i="55"/>
  <c r="K28" i="55" s="1"/>
  <c r="J27" i="55"/>
  <c r="K27" i="55" s="1"/>
  <c r="J26" i="55"/>
  <c r="K26" i="55" s="1"/>
  <c r="J24" i="55"/>
  <c r="K24" i="55" s="1"/>
  <c r="J23" i="55"/>
  <c r="K23" i="55" s="1"/>
  <c r="J22" i="55"/>
  <c r="K22" i="55" s="1"/>
  <c r="J19" i="55"/>
  <c r="K19" i="55" s="1"/>
  <c r="J18" i="55"/>
  <c r="K18" i="55" s="1"/>
  <c r="J17" i="55"/>
  <c r="K17" i="55" s="1"/>
  <c r="J16" i="55"/>
  <c r="K16" i="55" s="1"/>
  <c r="J15" i="55"/>
  <c r="K15" i="55" s="1"/>
  <c r="J14" i="55"/>
  <c r="K14" i="55" s="1"/>
  <c r="J13" i="55"/>
  <c r="K13" i="55" s="1"/>
  <c r="J11" i="55"/>
  <c r="K11" i="55" s="1"/>
  <c r="J10" i="55"/>
  <c r="K10" i="55" s="1"/>
  <c r="J9" i="55"/>
  <c r="K9" i="55" s="1"/>
  <c r="J8" i="55"/>
  <c r="K8" i="55" s="1"/>
  <c r="J7" i="55"/>
  <c r="K7" i="55" s="1"/>
  <c r="J5" i="55"/>
  <c r="K5" i="55" s="1"/>
  <c r="I124" i="55"/>
  <c r="I123" i="55"/>
  <c r="I122" i="55"/>
  <c r="I121" i="55"/>
  <c r="I120" i="55"/>
  <c r="I119" i="55"/>
  <c r="I118" i="55"/>
  <c r="I117" i="55"/>
  <c r="I116" i="55"/>
  <c r="I115" i="55"/>
  <c r="I114" i="55"/>
  <c r="I112" i="55"/>
  <c r="I111" i="55"/>
  <c r="I110" i="55"/>
  <c r="I109" i="55"/>
  <c r="I108" i="55"/>
  <c r="I107" i="55"/>
  <c r="I106" i="55"/>
  <c r="I105" i="55"/>
  <c r="I104" i="55"/>
  <c r="I103" i="55"/>
  <c r="I102" i="55"/>
  <c r="I101" i="55"/>
  <c r="I100" i="55"/>
  <c r="I99" i="55"/>
  <c r="I98" i="55"/>
  <c r="I97" i="55"/>
  <c r="I96" i="55"/>
  <c r="I94"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1" i="55"/>
  <c r="I60" i="55"/>
  <c r="I59" i="55"/>
  <c r="I58" i="55"/>
  <c r="I57" i="55"/>
  <c r="I56" i="55"/>
  <c r="I55" i="55"/>
  <c r="I54" i="55"/>
  <c r="I53" i="55"/>
  <c r="I52" i="55"/>
  <c r="I50" i="55"/>
  <c r="I49" i="55"/>
  <c r="I46" i="55"/>
  <c r="I45" i="55"/>
  <c r="I44" i="55"/>
  <c r="I43" i="55"/>
  <c r="I42" i="55"/>
  <c r="I41" i="55"/>
  <c r="I39" i="55"/>
  <c r="I38" i="55"/>
  <c r="I37" i="55"/>
  <c r="I36" i="55"/>
  <c r="I35" i="55"/>
  <c r="I33" i="55"/>
  <c r="I32" i="55"/>
  <c r="I30" i="55"/>
  <c r="I29" i="55"/>
  <c r="I28" i="55"/>
  <c r="I27" i="55"/>
  <c r="I26" i="55"/>
  <c r="I24" i="55"/>
  <c r="I23" i="55"/>
  <c r="I22" i="55"/>
  <c r="I20" i="55"/>
  <c r="I19" i="55"/>
  <c r="I18" i="55"/>
  <c r="I17" i="55"/>
  <c r="I16" i="55"/>
  <c r="I15" i="55"/>
  <c r="I14" i="55"/>
  <c r="I13" i="55"/>
  <c r="I11" i="55"/>
  <c r="I10" i="55"/>
  <c r="I9" i="55"/>
  <c r="I8" i="55"/>
  <c r="I7" i="55"/>
  <c r="I5" i="55"/>
  <c r="J119" i="55"/>
  <c r="K119" i="55" s="1"/>
  <c r="J117" i="55"/>
  <c r="K117" i="55" s="1"/>
  <c r="J113" i="55"/>
  <c r="K113" i="55" s="1"/>
  <c r="J95" i="55"/>
  <c r="K95" i="55" s="1"/>
  <c r="J93" i="55"/>
  <c r="K93" i="55" s="1"/>
  <c r="J66" i="55"/>
  <c r="K66" i="55" s="1"/>
  <c r="J62" i="55"/>
  <c r="K62" i="55" s="1"/>
  <c r="J51" i="55"/>
  <c r="K51" i="55" s="1"/>
  <c r="J48" i="55"/>
  <c r="K48" i="55" s="1"/>
  <c r="J47" i="55"/>
  <c r="K47" i="55" s="1"/>
  <c r="J34" i="55"/>
  <c r="K34" i="55" s="1"/>
  <c r="J31" i="55"/>
  <c r="K31" i="55" s="1"/>
  <c r="J25" i="55"/>
  <c r="K25" i="55" s="1"/>
  <c r="J21" i="55"/>
  <c r="K21" i="55" s="1"/>
  <c r="J20" i="55"/>
  <c r="K20" i="55" s="1"/>
  <c r="J12" i="55"/>
  <c r="K12" i="55" s="1"/>
  <c r="J6" i="55"/>
  <c r="K6" i="55" s="1"/>
  <c r="I113" i="55"/>
  <c r="I95" i="55"/>
  <c r="I93" i="55"/>
  <c r="I92" i="55"/>
  <c r="I62" i="55"/>
  <c r="I51" i="55"/>
  <c r="I48" i="55"/>
  <c r="I47" i="55"/>
  <c r="I40" i="55"/>
  <c r="I34" i="55"/>
  <c r="I31" i="55"/>
  <c r="I21" i="55"/>
  <c r="I12" i="55"/>
  <c r="I6" i="55"/>
  <c r="Q124" i="55"/>
  <c r="Q123" i="55"/>
  <c r="Q122" i="55"/>
  <c r="Q121" i="55"/>
  <c r="Q120" i="55"/>
  <c r="Q119" i="55"/>
  <c r="Q118" i="55"/>
  <c r="Q117" i="55"/>
  <c r="Q116" i="55"/>
  <c r="Q115" i="55"/>
  <c r="Q114" i="55"/>
  <c r="Q113" i="55"/>
  <c r="Q112" i="55"/>
  <c r="Q111" i="55"/>
  <c r="Q110" i="55"/>
  <c r="Q109" i="55"/>
  <c r="Q108" i="55"/>
  <c r="Q107" i="55"/>
  <c r="Q106" i="55"/>
  <c r="Q105" i="55"/>
  <c r="Q104" i="55"/>
  <c r="Q103" i="55"/>
  <c r="Q102" i="55"/>
  <c r="Q101" i="55"/>
  <c r="Q100" i="55"/>
  <c r="Q99" i="55"/>
  <c r="Q98" i="55"/>
  <c r="Q97" i="55"/>
  <c r="Q96" i="55"/>
  <c r="Q95" i="55"/>
  <c r="Q94" i="55"/>
  <c r="Q93" i="55"/>
  <c r="Q92" i="55"/>
  <c r="Q91" i="55"/>
  <c r="Q90" i="55"/>
  <c r="Q89" i="55"/>
  <c r="Q88" i="55"/>
  <c r="Q87" i="55"/>
  <c r="Q86" i="55"/>
  <c r="Q85" i="55"/>
  <c r="Q84" i="55"/>
  <c r="Q83" i="55"/>
  <c r="Q82" i="55"/>
  <c r="Q81" i="55"/>
  <c r="Q80" i="55"/>
  <c r="Q79" i="55"/>
  <c r="Q78" i="55"/>
  <c r="Q77" i="55"/>
  <c r="Q76" i="55"/>
  <c r="Q75" i="55"/>
  <c r="Q74" i="55"/>
  <c r="Q73" i="55"/>
  <c r="Q72" i="55"/>
  <c r="Q71" i="55"/>
  <c r="Q70" i="55"/>
  <c r="Q69" i="55"/>
  <c r="Q68" i="55"/>
  <c r="Q67" i="55"/>
  <c r="Q66" i="55"/>
  <c r="Q65" i="55"/>
  <c r="Q64" i="55"/>
  <c r="Q63" i="55"/>
  <c r="Q62" i="55"/>
  <c r="Q61" i="55"/>
  <c r="Q60" i="55"/>
  <c r="Q59" i="55"/>
  <c r="Q58" i="55"/>
  <c r="Q57" i="55"/>
  <c r="Q56" i="55"/>
  <c r="Q55" i="55"/>
  <c r="Q54" i="55"/>
  <c r="Q53" i="55"/>
  <c r="Q52" i="55"/>
  <c r="Q51" i="55"/>
  <c r="Q50" i="55"/>
  <c r="Q49" i="55"/>
  <c r="Q48" i="55"/>
  <c r="Q47" i="55"/>
  <c r="Q46" i="55"/>
  <c r="Q45" i="55"/>
  <c r="Q44" i="55"/>
  <c r="Q43" i="55"/>
  <c r="Q42" i="55"/>
  <c r="Q41" i="55"/>
  <c r="Q40" i="55"/>
  <c r="Q39" i="55"/>
  <c r="Q38" i="55"/>
  <c r="Q37" i="55"/>
  <c r="Q36" i="55"/>
  <c r="Q35" i="55"/>
  <c r="Q34" i="55"/>
  <c r="Q33" i="55"/>
  <c r="Q32" i="55"/>
  <c r="Q31" i="55"/>
  <c r="Q30" i="55"/>
  <c r="Q29" i="55"/>
  <c r="Q28" i="55"/>
  <c r="Q27" i="55"/>
  <c r="Q26" i="55"/>
  <c r="Q25" i="55"/>
  <c r="Q24" i="55"/>
  <c r="Q23" i="55"/>
  <c r="Q22" i="55"/>
  <c r="Q21" i="55"/>
  <c r="Q20" i="55"/>
  <c r="Q19" i="55"/>
  <c r="Q18" i="55"/>
  <c r="Q17" i="55"/>
  <c r="Q16" i="55"/>
  <c r="Q15" i="55"/>
  <c r="Q14" i="55"/>
  <c r="Q13" i="55"/>
  <c r="Q12" i="55"/>
  <c r="Q11" i="55"/>
  <c r="Q10" i="55"/>
  <c r="Q9" i="55"/>
  <c r="Q8" i="55"/>
  <c r="Q7" i="55"/>
  <c r="Q6" i="55"/>
  <c r="Q5" i="55"/>
  <c r="H124" i="53"/>
  <c r="H123" i="53"/>
  <c r="H122" i="53"/>
  <c r="H121" i="53"/>
  <c r="H120" i="53"/>
  <c r="H119" i="53"/>
  <c r="H118" i="53"/>
  <c r="H117" i="53"/>
  <c r="H116" i="53"/>
  <c r="H115" i="53"/>
  <c r="H114" i="53"/>
  <c r="H113" i="53"/>
  <c r="H112" i="53"/>
  <c r="H111" i="53"/>
  <c r="H110" i="53"/>
  <c r="H109" i="53"/>
  <c r="H108" i="53"/>
  <c r="H107" i="53"/>
  <c r="H106" i="53"/>
  <c r="H105" i="53"/>
  <c r="H104" i="53"/>
  <c r="H103" i="53"/>
  <c r="H102" i="53"/>
  <c r="H101" i="53"/>
  <c r="H100" i="53"/>
  <c r="H99" i="53"/>
  <c r="H98" i="53"/>
  <c r="H97" i="53"/>
  <c r="H96" i="53"/>
  <c r="H95" i="53"/>
  <c r="H94" i="53"/>
  <c r="H93" i="53"/>
  <c r="H92" i="53"/>
  <c r="H91" i="53"/>
  <c r="H90" i="53"/>
  <c r="H89" i="53"/>
  <c r="H88" i="53"/>
  <c r="H87" i="53"/>
  <c r="H86" i="53"/>
  <c r="H85" i="53"/>
  <c r="H84" i="53"/>
  <c r="H83" i="53"/>
  <c r="H82" i="53"/>
  <c r="H81" i="53"/>
  <c r="H80" i="53"/>
  <c r="H79" i="53"/>
  <c r="H78" i="53"/>
  <c r="H77" i="53"/>
  <c r="H76" i="53"/>
  <c r="H75" i="53"/>
  <c r="H74" i="53"/>
  <c r="H73" i="53"/>
  <c r="H72" i="53"/>
  <c r="H71" i="53"/>
  <c r="H70" i="53"/>
  <c r="H69" i="53"/>
  <c r="H68" i="53"/>
  <c r="H67" i="53"/>
  <c r="H66" i="53"/>
  <c r="H65" i="53"/>
  <c r="H64" i="53"/>
  <c r="H63" i="53"/>
  <c r="H62" i="53"/>
  <c r="H61" i="53"/>
  <c r="H60" i="53"/>
  <c r="H59" i="53"/>
  <c r="H58" i="53"/>
  <c r="H57" i="53"/>
  <c r="H56" i="53"/>
  <c r="H55" i="53"/>
  <c r="H54" i="53"/>
  <c r="H53" i="53"/>
  <c r="H52" i="53"/>
  <c r="H51" i="53"/>
  <c r="H50" i="53"/>
  <c r="H49" i="53"/>
  <c r="H48" i="53"/>
  <c r="H47" i="53"/>
  <c r="H46" i="53"/>
  <c r="H45" i="53"/>
  <c r="H44" i="53"/>
  <c r="H43" i="53"/>
  <c r="H42" i="53"/>
  <c r="H41" i="53"/>
  <c r="H40" i="53"/>
  <c r="H39" i="53"/>
  <c r="H38" i="53"/>
  <c r="H37" i="53"/>
  <c r="H36" i="53"/>
  <c r="H35" i="53"/>
  <c r="H34" i="53"/>
  <c r="H33" i="53"/>
  <c r="H32" i="53"/>
  <c r="H31" i="53"/>
  <c r="H30" i="53"/>
  <c r="H29" i="53"/>
  <c r="H28" i="53"/>
  <c r="H27" i="53"/>
  <c r="H26" i="53"/>
  <c r="H25" i="53"/>
  <c r="H24" i="53"/>
  <c r="H23" i="53"/>
  <c r="H22" i="53"/>
  <c r="H21" i="53"/>
  <c r="H20" i="53"/>
  <c r="H19" i="53"/>
  <c r="H18" i="53"/>
  <c r="H17" i="53"/>
  <c r="H16" i="53"/>
  <c r="H15" i="53"/>
  <c r="H14" i="53"/>
  <c r="H13" i="53"/>
  <c r="H12" i="53"/>
  <c r="H11" i="53"/>
  <c r="H10" i="53"/>
  <c r="H9" i="53"/>
  <c r="H8" i="53"/>
  <c r="H7" i="53"/>
  <c r="H6" i="53"/>
  <c r="H5" i="53"/>
  <c r="G124" i="53"/>
  <c r="J124" i="53" s="1"/>
  <c r="G123" i="53"/>
  <c r="J123" i="53" s="1"/>
  <c r="G122" i="53"/>
  <c r="J122" i="53" s="1"/>
  <c r="G121" i="53"/>
  <c r="J121" i="53" s="1"/>
  <c r="G120" i="53"/>
  <c r="J120" i="53" s="1"/>
  <c r="G119" i="53"/>
  <c r="J119" i="53" s="1"/>
  <c r="G118" i="53"/>
  <c r="J118" i="53" s="1"/>
  <c r="G117" i="53"/>
  <c r="J117" i="53" s="1"/>
  <c r="G116" i="53"/>
  <c r="J116" i="53" s="1"/>
  <c r="G115" i="53"/>
  <c r="J115" i="53" s="1"/>
  <c r="G114" i="53"/>
  <c r="G113" i="53"/>
  <c r="J113" i="53" s="1"/>
  <c r="G112" i="53"/>
  <c r="J112" i="53" s="1"/>
  <c r="G111" i="53"/>
  <c r="J111" i="53" s="1"/>
  <c r="G110" i="53"/>
  <c r="J110" i="53" s="1"/>
  <c r="G109" i="53"/>
  <c r="J109" i="53" s="1"/>
  <c r="G108" i="53"/>
  <c r="J108" i="53" s="1"/>
  <c r="G107" i="53"/>
  <c r="J107" i="53" s="1"/>
  <c r="G106" i="53"/>
  <c r="J106" i="53" s="1"/>
  <c r="G105" i="53"/>
  <c r="J105" i="53" s="1"/>
  <c r="G104" i="53"/>
  <c r="J104" i="53" s="1"/>
  <c r="G103" i="53"/>
  <c r="J103" i="53" s="1"/>
  <c r="G102" i="53"/>
  <c r="J102" i="53" s="1"/>
  <c r="G101" i="53"/>
  <c r="J101" i="53" s="1"/>
  <c r="G100" i="53"/>
  <c r="J100" i="53" s="1"/>
  <c r="G99" i="53"/>
  <c r="J99" i="53" s="1"/>
  <c r="G98" i="53"/>
  <c r="J98" i="53" s="1"/>
  <c r="G97" i="53"/>
  <c r="J97" i="53" s="1"/>
  <c r="G96" i="53"/>
  <c r="J96" i="53" s="1"/>
  <c r="G95" i="53"/>
  <c r="J95" i="53" s="1"/>
  <c r="G94" i="53"/>
  <c r="J94" i="53" s="1"/>
  <c r="G93" i="53"/>
  <c r="J93" i="53" s="1"/>
  <c r="G92" i="53"/>
  <c r="J92" i="53" s="1"/>
  <c r="G91" i="53"/>
  <c r="J91" i="53" s="1"/>
  <c r="G90" i="53"/>
  <c r="J90" i="53" s="1"/>
  <c r="G89" i="53"/>
  <c r="J89" i="53" s="1"/>
  <c r="G88" i="53"/>
  <c r="J88" i="53" s="1"/>
  <c r="G87" i="53"/>
  <c r="J87" i="53" s="1"/>
  <c r="G86" i="53"/>
  <c r="J86" i="53" s="1"/>
  <c r="G85" i="53"/>
  <c r="J85" i="53" s="1"/>
  <c r="G84" i="53"/>
  <c r="J84" i="53" s="1"/>
  <c r="G83" i="53"/>
  <c r="J83" i="53" s="1"/>
  <c r="G82" i="53"/>
  <c r="J82" i="53" s="1"/>
  <c r="G81" i="53"/>
  <c r="J81" i="53" s="1"/>
  <c r="G80" i="53"/>
  <c r="J80" i="53" s="1"/>
  <c r="G79" i="53"/>
  <c r="J79" i="53" s="1"/>
  <c r="G78" i="53"/>
  <c r="J78" i="53" s="1"/>
  <c r="G77" i="53"/>
  <c r="J77" i="53" s="1"/>
  <c r="G76" i="53"/>
  <c r="J76" i="53" s="1"/>
  <c r="G75" i="53"/>
  <c r="J75" i="53" s="1"/>
  <c r="G74" i="53"/>
  <c r="J74" i="53" s="1"/>
  <c r="G73" i="53"/>
  <c r="J73" i="53" s="1"/>
  <c r="G72" i="53"/>
  <c r="J72" i="53" s="1"/>
  <c r="G71" i="53"/>
  <c r="J71" i="53" s="1"/>
  <c r="G70" i="53"/>
  <c r="J70" i="53" s="1"/>
  <c r="G69" i="53"/>
  <c r="J69" i="53" s="1"/>
  <c r="G68" i="53"/>
  <c r="J68" i="53" s="1"/>
  <c r="G67" i="53"/>
  <c r="J67" i="53" s="1"/>
  <c r="G66" i="53"/>
  <c r="J66" i="53" s="1"/>
  <c r="G65" i="53"/>
  <c r="J65" i="53" s="1"/>
  <c r="G64" i="53"/>
  <c r="J64" i="53" s="1"/>
  <c r="G63" i="53"/>
  <c r="J63" i="53" s="1"/>
  <c r="G62" i="53"/>
  <c r="J62" i="53" s="1"/>
  <c r="G61" i="53"/>
  <c r="J61" i="53" s="1"/>
  <c r="G60" i="53"/>
  <c r="J60" i="53" s="1"/>
  <c r="G59" i="53"/>
  <c r="J59" i="53" s="1"/>
  <c r="G58" i="53"/>
  <c r="J58" i="53" s="1"/>
  <c r="G57" i="53"/>
  <c r="J57" i="53" s="1"/>
  <c r="G56" i="53"/>
  <c r="J56" i="53" s="1"/>
  <c r="G55" i="53"/>
  <c r="J55" i="53" s="1"/>
  <c r="G54" i="53"/>
  <c r="J54" i="53" s="1"/>
  <c r="G53" i="53"/>
  <c r="J53" i="53" s="1"/>
  <c r="G52" i="53"/>
  <c r="J52" i="53" s="1"/>
  <c r="G51" i="53"/>
  <c r="J51" i="53" s="1"/>
  <c r="G50" i="53"/>
  <c r="J50" i="53" s="1"/>
  <c r="G49" i="53"/>
  <c r="J49" i="53" s="1"/>
  <c r="G48" i="53"/>
  <c r="J48" i="53" s="1"/>
  <c r="G47" i="53"/>
  <c r="J47" i="53" s="1"/>
  <c r="G46" i="53"/>
  <c r="G45" i="53"/>
  <c r="J45" i="53" s="1"/>
  <c r="G44" i="53"/>
  <c r="J44" i="53" s="1"/>
  <c r="G43" i="53"/>
  <c r="J43" i="53" s="1"/>
  <c r="G42" i="53"/>
  <c r="J42" i="53" s="1"/>
  <c r="G41" i="53"/>
  <c r="J41" i="53" s="1"/>
  <c r="G40" i="53"/>
  <c r="J40" i="53" s="1"/>
  <c r="G39" i="53"/>
  <c r="J39" i="53" s="1"/>
  <c r="G38" i="53"/>
  <c r="J38" i="53" s="1"/>
  <c r="G37" i="53"/>
  <c r="J37" i="53" s="1"/>
  <c r="G36" i="53"/>
  <c r="J36" i="53" s="1"/>
  <c r="G35" i="53"/>
  <c r="J35" i="53" s="1"/>
  <c r="G34" i="53"/>
  <c r="J34" i="53" s="1"/>
  <c r="G33" i="53"/>
  <c r="J33" i="53" s="1"/>
  <c r="G32" i="53"/>
  <c r="J32" i="53" s="1"/>
  <c r="G31" i="53"/>
  <c r="J31" i="53" s="1"/>
  <c r="G30" i="53"/>
  <c r="J30" i="53" s="1"/>
  <c r="G29" i="53"/>
  <c r="J29" i="53" s="1"/>
  <c r="G28" i="53"/>
  <c r="J28" i="53" s="1"/>
  <c r="G27" i="53"/>
  <c r="J27" i="53" s="1"/>
  <c r="G26" i="53"/>
  <c r="J26" i="53" s="1"/>
  <c r="G25" i="53"/>
  <c r="J25" i="53" s="1"/>
  <c r="G24" i="53"/>
  <c r="J24" i="53" s="1"/>
  <c r="G23" i="53"/>
  <c r="J23" i="53" s="1"/>
  <c r="G22" i="53"/>
  <c r="G21" i="53"/>
  <c r="J21" i="53" s="1"/>
  <c r="G20" i="53"/>
  <c r="J20" i="53" s="1"/>
  <c r="G19" i="53"/>
  <c r="J19" i="53" s="1"/>
  <c r="G18" i="53"/>
  <c r="J18" i="53" s="1"/>
  <c r="G17" i="53"/>
  <c r="J17" i="53" s="1"/>
  <c r="G16" i="53"/>
  <c r="J16" i="53" s="1"/>
  <c r="G15" i="53"/>
  <c r="G14" i="53"/>
  <c r="J14" i="53" s="1"/>
  <c r="G13" i="53"/>
  <c r="J13" i="53" s="1"/>
  <c r="G12" i="53"/>
  <c r="J12" i="53" s="1"/>
  <c r="G11" i="53"/>
  <c r="G10" i="53"/>
  <c r="J10" i="53" s="1"/>
  <c r="G9" i="53"/>
  <c r="J9" i="53" s="1"/>
  <c r="G8" i="53"/>
  <c r="G7" i="53"/>
  <c r="J7" i="53" s="1"/>
  <c r="G6" i="53"/>
  <c r="G5" i="53"/>
  <c r="F124" i="53"/>
  <c r="K124" i="53" s="1"/>
  <c r="F123" i="53"/>
  <c r="F122" i="53"/>
  <c r="K122" i="53" s="1"/>
  <c r="F121" i="53"/>
  <c r="K121" i="53" s="1"/>
  <c r="F120" i="53"/>
  <c r="K120" i="53" s="1"/>
  <c r="F119" i="53"/>
  <c r="F118" i="53"/>
  <c r="K118" i="53" s="1"/>
  <c r="F117" i="53"/>
  <c r="K117" i="53" s="1"/>
  <c r="F116" i="53"/>
  <c r="K116" i="53" s="1"/>
  <c r="F115" i="53"/>
  <c r="F114" i="53"/>
  <c r="F113" i="53"/>
  <c r="K113" i="53" s="1"/>
  <c r="F112" i="53"/>
  <c r="K112" i="53" s="1"/>
  <c r="F111" i="53"/>
  <c r="F110" i="53"/>
  <c r="K110" i="53" s="1"/>
  <c r="F109" i="53"/>
  <c r="K109" i="53" s="1"/>
  <c r="F108" i="53"/>
  <c r="K108" i="53" s="1"/>
  <c r="F107" i="53"/>
  <c r="F106" i="53"/>
  <c r="K106" i="53" s="1"/>
  <c r="F105" i="53"/>
  <c r="K105" i="53" s="1"/>
  <c r="F104" i="53"/>
  <c r="K104" i="53" s="1"/>
  <c r="F103" i="53"/>
  <c r="F102" i="53"/>
  <c r="K102" i="53" s="1"/>
  <c r="F101" i="53"/>
  <c r="K101" i="53" s="1"/>
  <c r="F100" i="53"/>
  <c r="K100" i="53" s="1"/>
  <c r="F99" i="53"/>
  <c r="F98" i="53"/>
  <c r="K98" i="53" s="1"/>
  <c r="F97" i="53"/>
  <c r="K97" i="53" s="1"/>
  <c r="F96" i="53"/>
  <c r="K96" i="53" s="1"/>
  <c r="F95" i="53"/>
  <c r="F94" i="53"/>
  <c r="K94" i="53" s="1"/>
  <c r="F93" i="53"/>
  <c r="K93" i="53" s="1"/>
  <c r="F92" i="53"/>
  <c r="K92" i="53" s="1"/>
  <c r="F91" i="53"/>
  <c r="F90" i="53"/>
  <c r="K90" i="53" s="1"/>
  <c r="F89" i="53"/>
  <c r="K89" i="53" s="1"/>
  <c r="F88" i="53"/>
  <c r="K88" i="53" s="1"/>
  <c r="F87" i="53"/>
  <c r="F86" i="53"/>
  <c r="K86" i="53" s="1"/>
  <c r="F85" i="53"/>
  <c r="K85" i="53" s="1"/>
  <c r="F84" i="53"/>
  <c r="K84" i="53" s="1"/>
  <c r="F83" i="53"/>
  <c r="F82" i="53"/>
  <c r="K82" i="53" s="1"/>
  <c r="F81" i="53"/>
  <c r="K81" i="53" s="1"/>
  <c r="F80" i="53"/>
  <c r="K80" i="53" s="1"/>
  <c r="F79" i="53"/>
  <c r="F78" i="53"/>
  <c r="K78" i="53" s="1"/>
  <c r="F77" i="53"/>
  <c r="K77" i="53" s="1"/>
  <c r="F76" i="53"/>
  <c r="K76" i="53" s="1"/>
  <c r="F75" i="53"/>
  <c r="F74" i="53"/>
  <c r="K74" i="53" s="1"/>
  <c r="F73" i="53"/>
  <c r="K73" i="53" s="1"/>
  <c r="F72" i="53"/>
  <c r="K72" i="53" s="1"/>
  <c r="F71" i="53"/>
  <c r="F70" i="53"/>
  <c r="K70" i="53" s="1"/>
  <c r="F69" i="53"/>
  <c r="K69" i="53" s="1"/>
  <c r="F68" i="53"/>
  <c r="K68" i="53" s="1"/>
  <c r="F67" i="53"/>
  <c r="F66" i="53"/>
  <c r="K66" i="53" s="1"/>
  <c r="F65" i="53"/>
  <c r="K65" i="53" s="1"/>
  <c r="F64" i="53"/>
  <c r="K64" i="53" s="1"/>
  <c r="F63" i="53"/>
  <c r="F62" i="53"/>
  <c r="K62" i="53" s="1"/>
  <c r="F61" i="53"/>
  <c r="K61" i="53" s="1"/>
  <c r="F60" i="53"/>
  <c r="K60" i="53" s="1"/>
  <c r="F59" i="53"/>
  <c r="F58" i="53"/>
  <c r="K58" i="53" s="1"/>
  <c r="F57" i="53"/>
  <c r="K57" i="53" s="1"/>
  <c r="F56" i="53"/>
  <c r="K56" i="53" s="1"/>
  <c r="F55" i="53"/>
  <c r="F54" i="53"/>
  <c r="K54" i="53" s="1"/>
  <c r="F53" i="53"/>
  <c r="K53" i="53" s="1"/>
  <c r="F52" i="53"/>
  <c r="K52" i="53" s="1"/>
  <c r="F51" i="53"/>
  <c r="F50" i="53"/>
  <c r="K50" i="53" s="1"/>
  <c r="F49" i="53"/>
  <c r="K49" i="53" s="1"/>
  <c r="F48" i="53"/>
  <c r="K48" i="53" s="1"/>
  <c r="F47" i="53"/>
  <c r="F46" i="53"/>
  <c r="F45" i="53"/>
  <c r="K45" i="53" s="1"/>
  <c r="F44" i="53"/>
  <c r="K44" i="53" s="1"/>
  <c r="F43" i="53"/>
  <c r="F42" i="53"/>
  <c r="K42" i="53" s="1"/>
  <c r="F41" i="53"/>
  <c r="K41" i="53" s="1"/>
  <c r="F40" i="53"/>
  <c r="K40" i="53" s="1"/>
  <c r="F39" i="53"/>
  <c r="F38" i="53"/>
  <c r="K38" i="53" s="1"/>
  <c r="F37" i="53"/>
  <c r="K37" i="53" s="1"/>
  <c r="F36" i="53"/>
  <c r="K36" i="53" s="1"/>
  <c r="F35" i="53"/>
  <c r="F34" i="53"/>
  <c r="K34" i="53" s="1"/>
  <c r="F33" i="53"/>
  <c r="K33" i="53" s="1"/>
  <c r="F32" i="53"/>
  <c r="K32" i="53" s="1"/>
  <c r="F31" i="53"/>
  <c r="F30" i="53"/>
  <c r="K30" i="53" s="1"/>
  <c r="F29" i="53"/>
  <c r="K29" i="53" s="1"/>
  <c r="F28" i="53"/>
  <c r="K28" i="53" s="1"/>
  <c r="F27" i="53"/>
  <c r="F26" i="53"/>
  <c r="K26" i="53" s="1"/>
  <c r="F25" i="53"/>
  <c r="K25" i="53" s="1"/>
  <c r="F24" i="53"/>
  <c r="K24" i="53" s="1"/>
  <c r="F23" i="53"/>
  <c r="F22" i="53"/>
  <c r="F21" i="53"/>
  <c r="K21" i="53" s="1"/>
  <c r="F20" i="53"/>
  <c r="K20" i="53" s="1"/>
  <c r="F19" i="53"/>
  <c r="F18" i="53"/>
  <c r="K18" i="53" s="1"/>
  <c r="F17" i="53"/>
  <c r="K17" i="53" s="1"/>
  <c r="F16" i="53"/>
  <c r="K16" i="53" s="1"/>
  <c r="F15" i="53"/>
  <c r="F14" i="53"/>
  <c r="K14" i="53" s="1"/>
  <c r="F13" i="53"/>
  <c r="K13" i="53" s="1"/>
  <c r="F12" i="53"/>
  <c r="K12" i="53" s="1"/>
  <c r="F11" i="53"/>
  <c r="F10" i="53"/>
  <c r="K10" i="53" s="1"/>
  <c r="F9" i="53"/>
  <c r="K9" i="53" s="1"/>
  <c r="F8" i="53"/>
  <c r="F7" i="53"/>
  <c r="F6" i="53"/>
  <c r="F5" i="53"/>
  <c r="E124" i="53"/>
  <c r="E125" i="79" s="1"/>
  <c r="E123" i="53"/>
  <c r="E124" i="79" s="1"/>
  <c r="E122" i="53"/>
  <c r="E123" i="79" s="1"/>
  <c r="E121" i="53"/>
  <c r="E122" i="79" s="1"/>
  <c r="E120" i="53"/>
  <c r="E121" i="79" s="1"/>
  <c r="E119" i="53"/>
  <c r="E120" i="79" s="1"/>
  <c r="E118" i="53"/>
  <c r="E119" i="79" s="1"/>
  <c r="E117" i="53"/>
  <c r="E118" i="79" s="1"/>
  <c r="E116" i="53"/>
  <c r="E117" i="79" s="1"/>
  <c r="E115" i="53"/>
  <c r="E116" i="79" s="1"/>
  <c r="E114" i="53"/>
  <c r="E113" i="53"/>
  <c r="E114" i="79" s="1"/>
  <c r="E112" i="53"/>
  <c r="E113" i="79" s="1"/>
  <c r="E111" i="53"/>
  <c r="E112" i="79" s="1"/>
  <c r="E110" i="53"/>
  <c r="E111" i="79" s="1"/>
  <c r="E109" i="53"/>
  <c r="E110" i="79" s="1"/>
  <c r="E108" i="53"/>
  <c r="E109" i="79" s="1"/>
  <c r="E107" i="53"/>
  <c r="E108" i="79" s="1"/>
  <c r="E106" i="53"/>
  <c r="E107" i="79" s="1"/>
  <c r="E105" i="53"/>
  <c r="E106" i="79" s="1"/>
  <c r="E104" i="53"/>
  <c r="E105" i="79" s="1"/>
  <c r="E103" i="53"/>
  <c r="E104" i="79" s="1"/>
  <c r="E102" i="53"/>
  <c r="E103" i="79" s="1"/>
  <c r="E101" i="53"/>
  <c r="E102" i="79" s="1"/>
  <c r="E100" i="53"/>
  <c r="E101" i="79" s="1"/>
  <c r="E99" i="53"/>
  <c r="E100" i="79" s="1"/>
  <c r="E98" i="53"/>
  <c r="E99" i="79" s="1"/>
  <c r="E97" i="53"/>
  <c r="E98" i="79" s="1"/>
  <c r="E96" i="53"/>
  <c r="E97" i="79" s="1"/>
  <c r="E95" i="53"/>
  <c r="E96" i="79" s="1"/>
  <c r="E94" i="53"/>
  <c r="E95" i="79" s="1"/>
  <c r="E93" i="53"/>
  <c r="E94" i="79" s="1"/>
  <c r="E92" i="53"/>
  <c r="E93" i="79" s="1"/>
  <c r="E91" i="53"/>
  <c r="E92" i="79" s="1"/>
  <c r="E90" i="53"/>
  <c r="E91" i="79" s="1"/>
  <c r="E89" i="53"/>
  <c r="E90" i="79" s="1"/>
  <c r="E88" i="53"/>
  <c r="E89" i="79" s="1"/>
  <c r="E87" i="53"/>
  <c r="E88" i="79" s="1"/>
  <c r="E86" i="53"/>
  <c r="E87" i="79" s="1"/>
  <c r="E85" i="53"/>
  <c r="E86" i="79" s="1"/>
  <c r="E84" i="53"/>
  <c r="E85" i="79" s="1"/>
  <c r="E83" i="53"/>
  <c r="E84" i="79" s="1"/>
  <c r="E82" i="53"/>
  <c r="E83" i="79" s="1"/>
  <c r="E81" i="53"/>
  <c r="E82" i="79" s="1"/>
  <c r="E80" i="53"/>
  <c r="E81" i="79" s="1"/>
  <c r="E79" i="53"/>
  <c r="E80" i="79" s="1"/>
  <c r="E78" i="53"/>
  <c r="E79" i="79" s="1"/>
  <c r="E77" i="53"/>
  <c r="E78" i="79" s="1"/>
  <c r="E76" i="53"/>
  <c r="E77" i="79" s="1"/>
  <c r="E75" i="53"/>
  <c r="E76" i="79" s="1"/>
  <c r="E74" i="53"/>
  <c r="E75" i="79" s="1"/>
  <c r="E73" i="53"/>
  <c r="E74" i="79" s="1"/>
  <c r="E72" i="53"/>
  <c r="E73" i="79" s="1"/>
  <c r="E71" i="53"/>
  <c r="E72" i="79" s="1"/>
  <c r="E70" i="53"/>
  <c r="E71" i="79" s="1"/>
  <c r="E69" i="53"/>
  <c r="E70" i="79" s="1"/>
  <c r="E68" i="53"/>
  <c r="E69" i="79" s="1"/>
  <c r="E67" i="53"/>
  <c r="E68" i="79" s="1"/>
  <c r="E66" i="53"/>
  <c r="E67" i="79" s="1"/>
  <c r="E65" i="53"/>
  <c r="E66" i="79" s="1"/>
  <c r="E64" i="53"/>
  <c r="E65" i="79" s="1"/>
  <c r="E63" i="53"/>
  <c r="E64" i="79" s="1"/>
  <c r="E62" i="53"/>
  <c r="E63" i="79" s="1"/>
  <c r="E61" i="53"/>
  <c r="E62" i="79" s="1"/>
  <c r="E60" i="53"/>
  <c r="E61" i="79" s="1"/>
  <c r="E59" i="53"/>
  <c r="E60" i="79" s="1"/>
  <c r="E58" i="53"/>
  <c r="E59" i="79" s="1"/>
  <c r="E57" i="53"/>
  <c r="E58" i="79" s="1"/>
  <c r="E56" i="53"/>
  <c r="E57" i="79" s="1"/>
  <c r="E55" i="53"/>
  <c r="E56" i="79" s="1"/>
  <c r="E54" i="53"/>
  <c r="E55" i="79" s="1"/>
  <c r="E53" i="53"/>
  <c r="E54" i="79" s="1"/>
  <c r="E52" i="53"/>
  <c r="E53" i="79" s="1"/>
  <c r="E51" i="53"/>
  <c r="E52" i="79" s="1"/>
  <c r="E50" i="53"/>
  <c r="E51" i="79" s="1"/>
  <c r="E49" i="53"/>
  <c r="E50" i="79" s="1"/>
  <c r="E48" i="53"/>
  <c r="E49" i="79" s="1"/>
  <c r="E47" i="53"/>
  <c r="E48" i="79" s="1"/>
  <c r="E46" i="53"/>
  <c r="E45" i="53"/>
  <c r="E46" i="79" s="1"/>
  <c r="E44" i="53"/>
  <c r="E45" i="79" s="1"/>
  <c r="E43" i="53"/>
  <c r="E44" i="79" s="1"/>
  <c r="E42" i="53"/>
  <c r="E43" i="79" s="1"/>
  <c r="E41" i="53"/>
  <c r="E42" i="79" s="1"/>
  <c r="E40" i="53"/>
  <c r="E41" i="79" s="1"/>
  <c r="E39" i="53"/>
  <c r="E40" i="79" s="1"/>
  <c r="E38" i="53"/>
  <c r="E39" i="79" s="1"/>
  <c r="E37" i="53"/>
  <c r="E38" i="79" s="1"/>
  <c r="E36" i="53"/>
  <c r="E37" i="79" s="1"/>
  <c r="E35" i="53"/>
  <c r="E36" i="79" s="1"/>
  <c r="E34" i="53"/>
  <c r="E35" i="79" s="1"/>
  <c r="E33" i="53"/>
  <c r="E34" i="79" s="1"/>
  <c r="E32" i="53"/>
  <c r="E33" i="79" s="1"/>
  <c r="E31" i="53"/>
  <c r="E32" i="79" s="1"/>
  <c r="E30" i="53"/>
  <c r="E31" i="79" s="1"/>
  <c r="E29" i="53"/>
  <c r="E30" i="79" s="1"/>
  <c r="E28" i="53"/>
  <c r="E29" i="79" s="1"/>
  <c r="E27" i="53"/>
  <c r="E28" i="79" s="1"/>
  <c r="E26" i="53"/>
  <c r="E27" i="79" s="1"/>
  <c r="E25" i="53"/>
  <c r="E26" i="79" s="1"/>
  <c r="E24" i="53"/>
  <c r="E25" i="79" s="1"/>
  <c r="E23" i="53"/>
  <c r="E24" i="79" s="1"/>
  <c r="E22" i="53"/>
  <c r="E21" i="53"/>
  <c r="E22" i="79" s="1"/>
  <c r="E20" i="53"/>
  <c r="E21" i="79" s="1"/>
  <c r="E19" i="53"/>
  <c r="E20" i="79" s="1"/>
  <c r="E18" i="53"/>
  <c r="E19" i="79" s="1"/>
  <c r="E17" i="53"/>
  <c r="E18" i="79" s="1"/>
  <c r="E16" i="53"/>
  <c r="E17" i="79" s="1"/>
  <c r="E15" i="53"/>
  <c r="E14" i="53"/>
  <c r="E15" i="79" s="1"/>
  <c r="E13" i="53"/>
  <c r="E14" i="79" s="1"/>
  <c r="E12" i="53"/>
  <c r="E13" i="79" s="1"/>
  <c r="E11" i="53"/>
  <c r="E10" i="53"/>
  <c r="E11" i="79" s="1"/>
  <c r="E9" i="53"/>
  <c r="E10" i="79" s="1"/>
  <c r="E8" i="53"/>
  <c r="E7" i="53"/>
  <c r="E8" i="79" s="1"/>
  <c r="E6" i="53"/>
  <c r="E5" i="53"/>
  <c r="D124" i="53"/>
  <c r="D125" i="79" s="1"/>
  <c r="D123" i="53"/>
  <c r="D124" i="79" s="1"/>
  <c r="D122" i="53"/>
  <c r="D123" i="79" s="1"/>
  <c r="D121" i="53"/>
  <c r="D122" i="79" s="1"/>
  <c r="D120" i="53"/>
  <c r="D121" i="79" s="1"/>
  <c r="D119" i="53"/>
  <c r="D120" i="79" s="1"/>
  <c r="D118" i="53"/>
  <c r="D119" i="79" s="1"/>
  <c r="D117" i="53"/>
  <c r="D118" i="79" s="1"/>
  <c r="D116" i="53"/>
  <c r="D117" i="79" s="1"/>
  <c r="D115" i="53"/>
  <c r="D116" i="79" s="1"/>
  <c r="D114" i="53"/>
  <c r="D113" i="53"/>
  <c r="D114" i="79" s="1"/>
  <c r="D112" i="53"/>
  <c r="D113" i="79" s="1"/>
  <c r="D111" i="53"/>
  <c r="D112" i="79" s="1"/>
  <c r="D110" i="53"/>
  <c r="D111" i="79" s="1"/>
  <c r="D109" i="53"/>
  <c r="D110" i="79" s="1"/>
  <c r="D108" i="53"/>
  <c r="D109" i="79" s="1"/>
  <c r="D107" i="53"/>
  <c r="D108" i="79" s="1"/>
  <c r="D106" i="53"/>
  <c r="D107" i="79" s="1"/>
  <c r="D105" i="53"/>
  <c r="D106" i="79" s="1"/>
  <c r="D104" i="53"/>
  <c r="D105" i="79" s="1"/>
  <c r="D103" i="53"/>
  <c r="D104" i="79" s="1"/>
  <c r="D102" i="53"/>
  <c r="D103" i="79" s="1"/>
  <c r="D101" i="53"/>
  <c r="D102" i="79" s="1"/>
  <c r="D100" i="53"/>
  <c r="D101" i="79" s="1"/>
  <c r="D99" i="53"/>
  <c r="D100" i="79" s="1"/>
  <c r="D98" i="53"/>
  <c r="D99" i="79" s="1"/>
  <c r="D97" i="53"/>
  <c r="D98" i="79" s="1"/>
  <c r="D96" i="53"/>
  <c r="D97" i="79" s="1"/>
  <c r="D95" i="53"/>
  <c r="D96" i="79" s="1"/>
  <c r="D94" i="53"/>
  <c r="D95" i="79" s="1"/>
  <c r="D93" i="53"/>
  <c r="D94" i="79" s="1"/>
  <c r="D92" i="53"/>
  <c r="D93" i="79" s="1"/>
  <c r="D91" i="53"/>
  <c r="D92" i="79" s="1"/>
  <c r="D90" i="53"/>
  <c r="D91" i="79" s="1"/>
  <c r="D89" i="53"/>
  <c r="D90" i="79" s="1"/>
  <c r="D88" i="53"/>
  <c r="D89" i="79" s="1"/>
  <c r="D87" i="53"/>
  <c r="D88" i="79" s="1"/>
  <c r="D86" i="53"/>
  <c r="D87" i="79" s="1"/>
  <c r="D85" i="53"/>
  <c r="D86" i="79" s="1"/>
  <c r="D84" i="53"/>
  <c r="D85" i="79" s="1"/>
  <c r="D83" i="53"/>
  <c r="D84" i="79" s="1"/>
  <c r="D82" i="53"/>
  <c r="D83" i="79" s="1"/>
  <c r="D81" i="53"/>
  <c r="D82" i="79" s="1"/>
  <c r="D80" i="53"/>
  <c r="D81" i="79" s="1"/>
  <c r="D79" i="53"/>
  <c r="D80" i="79" s="1"/>
  <c r="D78" i="53"/>
  <c r="D79" i="79" s="1"/>
  <c r="D77" i="53"/>
  <c r="D78" i="79" s="1"/>
  <c r="D76" i="53"/>
  <c r="D77" i="79" s="1"/>
  <c r="D75" i="53"/>
  <c r="D76" i="79" s="1"/>
  <c r="D74" i="53"/>
  <c r="D75" i="79" s="1"/>
  <c r="D73" i="53"/>
  <c r="D74" i="79" s="1"/>
  <c r="D72" i="53"/>
  <c r="D73" i="79" s="1"/>
  <c r="D71" i="53"/>
  <c r="D72" i="79" s="1"/>
  <c r="D70" i="53"/>
  <c r="D71" i="79" s="1"/>
  <c r="D69" i="53"/>
  <c r="D70" i="79" s="1"/>
  <c r="D68" i="53"/>
  <c r="D69" i="79" s="1"/>
  <c r="D67" i="53"/>
  <c r="D68" i="79" s="1"/>
  <c r="D66" i="53"/>
  <c r="D67" i="79" s="1"/>
  <c r="D65" i="53"/>
  <c r="D66" i="79" s="1"/>
  <c r="D64" i="53"/>
  <c r="D65" i="79" s="1"/>
  <c r="D63" i="53"/>
  <c r="D64" i="79" s="1"/>
  <c r="D62" i="53"/>
  <c r="D63" i="79" s="1"/>
  <c r="D61" i="53"/>
  <c r="D62" i="79" s="1"/>
  <c r="D60" i="53"/>
  <c r="D61" i="79" s="1"/>
  <c r="D59" i="53"/>
  <c r="D60" i="79" s="1"/>
  <c r="D58" i="53"/>
  <c r="D59" i="79" s="1"/>
  <c r="D57" i="53"/>
  <c r="D58" i="79" s="1"/>
  <c r="D56" i="53"/>
  <c r="D57" i="79" s="1"/>
  <c r="D55" i="53"/>
  <c r="D56" i="79" s="1"/>
  <c r="D54" i="53"/>
  <c r="D55" i="79" s="1"/>
  <c r="D53" i="53"/>
  <c r="D54" i="79" s="1"/>
  <c r="D52" i="53"/>
  <c r="D53" i="79" s="1"/>
  <c r="D51" i="53"/>
  <c r="D52" i="79" s="1"/>
  <c r="D50" i="53"/>
  <c r="D51" i="79" s="1"/>
  <c r="D49" i="53"/>
  <c r="D50" i="79" s="1"/>
  <c r="D48" i="53"/>
  <c r="D49" i="79" s="1"/>
  <c r="D47" i="53"/>
  <c r="D48" i="79" s="1"/>
  <c r="D46" i="53"/>
  <c r="D45" i="53"/>
  <c r="D46" i="79" s="1"/>
  <c r="D44" i="53"/>
  <c r="D45" i="79" s="1"/>
  <c r="D43" i="53"/>
  <c r="D44" i="79" s="1"/>
  <c r="D42" i="53"/>
  <c r="D43" i="79" s="1"/>
  <c r="D41" i="53"/>
  <c r="D42" i="79" s="1"/>
  <c r="D40" i="53"/>
  <c r="D41" i="79" s="1"/>
  <c r="D39" i="53"/>
  <c r="D40" i="79" s="1"/>
  <c r="D38" i="53"/>
  <c r="D39" i="79" s="1"/>
  <c r="D37" i="53"/>
  <c r="D38" i="79" s="1"/>
  <c r="D36" i="53"/>
  <c r="D37" i="79" s="1"/>
  <c r="D35" i="53"/>
  <c r="D36" i="79" s="1"/>
  <c r="D34" i="53"/>
  <c r="D35" i="79" s="1"/>
  <c r="D33" i="53"/>
  <c r="D34" i="79" s="1"/>
  <c r="D32" i="53"/>
  <c r="D33" i="79" s="1"/>
  <c r="D31" i="53"/>
  <c r="D32" i="79" s="1"/>
  <c r="D30" i="53"/>
  <c r="D31" i="79" s="1"/>
  <c r="D29" i="53"/>
  <c r="D30" i="79" s="1"/>
  <c r="D28" i="53"/>
  <c r="D29" i="79" s="1"/>
  <c r="D27" i="53"/>
  <c r="D28" i="79" s="1"/>
  <c r="D26" i="53"/>
  <c r="D27" i="79" s="1"/>
  <c r="D25" i="53"/>
  <c r="D26" i="79" s="1"/>
  <c r="D24" i="53"/>
  <c r="D25" i="79" s="1"/>
  <c r="D23" i="53"/>
  <c r="D24" i="79" s="1"/>
  <c r="D22" i="53"/>
  <c r="D21" i="53"/>
  <c r="D22" i="79" s="1"/>
  <c r="D20" i="53"/>
  <c r="D21" i="79" s="1"/>
  <c r="D19" i="53"/>
  <c r="D20" i="79" s="1"/>
  <c r="D18" i="53"/>
  <c r="D19" i="79" s="1"/>
  <c r="D17" i="53"/>
  <c r="D18" i="79" s="1"/>
  <c r="D16" i="53"/>
  <c r="D17" i="79" s="1"/>
  <c r="D15" i="53"/>
  <c r="D14" i="53"/>
  <c r="D15" i="79" s="1"/>
  <c r="D13" i="53"/>
  <c r="D14" i="79" s="1"/>
  <c r="D12" i="53"/>
  <c r="D13" i="79" s="1"/>
  <c r="D11" i="53"/>
  <c r="D10" i="53"/>
  <c r="D11" i="79" s="1"/>
  <c r="D9" i="53"/>
  <c r="D10" i="79" s="1"/>
  <c r="D8" i="53"/>
  <c r="D7" i="53"/>
  <c r="D8" i="79" s="1"/>
  <c r="D6" i="53"/>
  <c r="D5" i="53"/>
  <c r="AI4" i="53"/>
  <c r="AH4" i="53"/>
  <c r="AG4" i="53"/>
  <c r="AF4" i="53"/>
  <c r="AE4" i="53"/>
  <c r="AD4" i="53"/>
  <c r="AB4" i="53"/>
  <c r="AC124" i="53"/>
  <c r="AC123" i="53"/>
  <c r="AC122" i="53"/>
  <c r="AC121" i="53"/>
  <c r="AC120" i="53"/>
  <c r="AC119" i="53"/>
  <c r="AC118" i="53"/>
  <c r="AC117" i="53"/>
  <c r="AC116" i="53"/>
  <c r="AC115" i="53"/>
  <c r="AC114" i="53"/>
  <c r="AC113" i="53"/>
  <c r="AC112" i="53"/>
  <c r="AC111" i="53"/>
  <c r="AC110" i="53"/>
  <c r="AC109" i="53"/>
  <c r="AC108" i="53"/>
  <c r="AC107" i="53"/>
  <c r="AC106" i="53"/>
  <c r="AC105" i="53"/>
  <c r="AC104" i="53"/>
  <c r="AC103" i="53"/>
  <c r="AC102" i="53"/>
  <c r="AC101" i="53"/>
  <c r="AC100" i="53"/>
  <c r="AC99" i="53"/>
  <c r="AC98" i="53"/>
  <c r="AC97" i="53"/>
  <c r="AC96" i="53"/>
  <c r="AC95" i="53"/>
  <c r="AC94" i="53"/>
  <c r="AC93" i="53"/>
  <c r="AC92" i="53"/>
  <c r="AC91" i="53"/>
  <c r="AC90" i="53"/>
  <c r="AC89" i="53"/>
  <c r="AC88" i="53"/>
  <c r="AC87" i="53"/>
  <c r="AC86" i="53"/>
  <c r="AC85" i="53"/>
  <c r="AC84" i="53"/>
  <c r="AC83" i="53"/>
  <c r="AC82" i="53"/>
  <c r="AC81" i="53"/>
  <c r="AC80" i="53"/>
  <c r="AC79" i="53"/>
  <c r="AC78" i="53"/>
  <c r="AC77" i="53"/>
  <c r="AC76" i="53"/>
  <c r="AC75" i="53"/>
  <c r="AC74" i="53"/>
  <c r="AC73" i="53"/>
  <c r="AC72" i="53"/>
  <c r="AC71" i="53"/>
  <c r="AC70" i="53"/>
  <c r="AC69" i="53"/>
  <c r="AC68" i="53"/>
  <c r="AC67" i="53"/>
  <c r="AC66" i="53"/>
  <c r="AC65" i="53"/>
  <c r="AC64" i="53"/>
  <c r="AC63" i="53"/>
  <c r="AC62" i="53"/>
  <c r="AC61" i="53"/>
  <c r="AC60" i="53"/>
  <c r="AC59" i="53"/>
  <c r="AC58" i="53"/>
  <c r="AC57" i="53"/>
  <c r="AC56" i="53"/>
  <c r="AC55" i="53"/>
  <c r="AC54" i="53"/>
  <c r="AC53" i="53"/>
  <c r="AC52" i="53"/>
  <c r="AC51" i="53"/>
  <c r="AC50" i="53"/>
  <c r="AC49" i="53"/>
  <c r="AC48" i="53"/>
  <c r="AC47" i="53"/>
  <c r="AC46" i="53"/>
  <c r="AC45" i="53"/>
  <c r="AC44" i="53"/>
  <c r="AC43" i="53"/>
  <c r="AC42" i="53"/>
  <c r="AC41" i="53"/>
  <c r="AC40" i="53"/>
  <c r="AC39" i="53"/>
  <c r="AC38" i="53"/>
  <c r="AC37" i="53"/>
  <c r="AC36" i="53"/>
  <c r="AC35" i="53"/>
  <c r="AC34" i="53"/>
  <c r="AC33" i="53"/>
  <c r="AC32" i="53"/>
  <c r="AC31" i="53"/>
  <c r="AC30" i="53"/>
  <c r="AC29" i="53"/>
  <c r="AC28" i="53"/>
  <c r="AC27" i="53"/>
  <c r="AC26" i="53"/>
  <c r="AC25" i="53"/>
  <c r="AC24" i="53"/>
  <c r="AC23" i="53"/>
  <c r="AC22" i="53"/>
  <c r="AC21" i="53"/>
  <c r="AC20" i="53"/>
  <c r="AC19" i="53"/>
  <c r="AC18" i="53"/>
  <c r="AC17" i="53"/>
  <c r="AC16" i="53"/>
  <c r="AC15" i="53"/>
  <c r="AC14" i="53"/>
  <c r="AC13" i="53"/>
  <c r="AC12" i="53"/>
  <c r="AC11" i="53"/>
  <c r="AC10" i="53"/>
  <c r="AC9" i="53"/>
  <c r="AC8" i="53"/>
  <c r="AC7" i="53"/>
  <c r="AC6" i="53"/>
  <c r="AC5" i="53"/>
  <c r="X4" i="53"/>
  <c r="AA4" i="53"/>
  <c r="Z4" i="53"/>
  <c r="Y4"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P4" i="53"/>
  <c r="O4" i="53"/>
  <c r="H39" i="1"/>
  <c r="H38" i="1"/>
  <c r="H37" i="1"/>
  <c r="H36" i="1"/>
  <c r="H35" i="1"/>
  <c r="H34" i="1"/>
  <c r="H33" i="1"/>
  <c r="H32" i="1"/>
  <c r="H31" i="1"/>
  <c r="H30" i="1"/>
  <c r="G39" i="1"/>
  <c r="G38" i="1"/>
  <c r="G37" i="1"/>
  <c r="G36" i="1"/>
  <c r="G35" i="1"/>
  <c r="G34" i="1"/>
  <c r="G33" i="1"/>
  <c r="G32" i="1"/>
  <c r="G31" i="1"/>
  <c r="G30" i="1"/>
  <c r="F10" i="79" l="1"/>
  <c r="F30" i="79"/>
  <c r="F50" i="79"/>
  <c r="F122" i="79"/>
  <c r="H130" i="53"/>
  <c r="H127" i="53"/>
  <c r="H126" i="53"/>
  <c r="E23" i="79"/>
  <c r="E130" i="53"/>
  <c r="F130" i="53"/>
  <c r="D23" i="79"/>
  <c r="D130" i="53"/>
  <c r="J22" i="53"/>
  <c r="K22" i="53" s="1"/>
  <c r="F23" i="79" s="1"/>
  <c r="G130" i="53"/>
  <c r="D115" i="79"/>
  <c r="D127" i="53"/>
  <c r="E115" i="79"/>
  <c r="E127" i="53"/>
  <c r="F127" i="53"/>
  <c r="J114" i="53"/>
  <c r="K114" i="53" s="1"/>
  <c r="F115" i="79" s="1"/>
  <c r="G127" i="53"/>
  <c r="F126" i="53"/>
  <c r="D47" i="79"/>
  <c r="D126" i="53"/>
  <c r="E47" i="79"/>
  <c r="E126" i="53"/>
  <c r="J46" i="53"/>
  <c r="K46" i="53" s="1"/>
  <c r="F47" i="79" s="1"/>
  <c r="G126" i="53"/>
  <c r="E128" i="53"/>
  <c r="G128" i="53"/>
  <c r="F128" i="53"/>
  <c r="D128" i="53"/>
  <c r="H128" i="53"/>
  <c r="D129" i="53"/>
  <c r="E129" i="53"/>
  <c r="F129" i="53"/>
  <c r="G129" i="53"/>
  <c r="H129" i="53"/>
  <c r="F39" i="79"/>
  <c r="F43" i="79"/>
  <c r="F14" i="79"/>
  <c r="F18" i="79"/>
  <c r="F26" i="79"/>
  <c r="F34" i="79"/>
  <c r="F54" i="79"/>
  <c r="F58" i="79"/>
  <c r="F62" i="79"/>
  <c r="F94" i="79"/>
  <c r="F98" i="79"/>
  <c r="F102" i="79"/>
  <c r="F106" i="79"/>
  <c r="F110" i="79"/>
  <c r="F29" i="79"/>
  <c r="F49" i="79"/>
  <c r="F121" i="79"/>
  <c r="F125" i="79"/>
  <c r="F78" i="79"/>
  <c r="F86" i="79"/>
  <c r="F70" i="79"/>
  <c r="F74" i="79"/>
  <c r="F82" i="79"/>
  <c r="F90" i="79"/>
  <c r="F21" i="79"/>
  <c r="F41" i="79"/>
  <c r="F45" i="79"/>
  <c r="F65" i="79"/>
  <c r="F117" i="79"/>
  <c r="F114" i="79"/>
  <c r="F11" i="79"/>
  <c r="F27" i="79"/>
  <c r="F31" i="79"/>
  <c r="F51" i="79"/>
  <c r="F63" i="79"/>
  <c r="F67" i="79"/>
  <c r="F71" i="79"/>
  <c r="F75" i="79"/>
  <c r="F79" i="79"/>
  <c r="F83" i="79"/>
  <c r="F87" i="79"/>
  <c r="F91" i="79"/>
  <c r="F95" i="79"/>
  <c r="F119" i="79"/>
  <c r="F123" i="79"/>
  <c r="D102" i="57"/>
  <c r="D5" i="57"/>
  <c r="J4" i="61"/>
  <c r="E7" i="79"/>
  <c r="J6" i="53"/>
  <c r="K6" i="53" s="1"/>
  <c r="D16" i="79"/>
  <c r="E12" i="79"/>
  <c r="E16" i="79"/>
  <c r="J11" i="53"/>
  <c r="J15" i="53"/>
  <c r="K15" i="53" s="1"/>
  <c r="E9" i="79"/>
  <c r="J8" i="53"/>
  <c r="K8" i="53" s="1"/>
  <c r="E6" i="79"/>
  <c r="J5" i="53"/>
  <c r="K5" i="53" s="1"/>
  <c r="D7" i="79"/>
  <c r="D12" i="79"/>
  <c r="D6" i="79"/>
  <c r="D9" i="79"/>
  <c r="F13" i="79"/>
  <c r="F25" i="79"/>
  <c r="F37" i="79"/>
  <c r="F69" i="79"/>
  <c r="F73" i="79"/>
  <c r="F77" i="79"/>
  <c r="F81" i="79"/>
  <c r="F85" i="79"/>
  <c r="F89" i="79"/>
  <c r="F93" i="79"/>
  <c r="F15" i="79"/>
  <c r="F19" i="79"/>
  <c r="F35" i="79"/>
  <c r="F55" i="79"/>
  <c r="F59" i="79"/>
  <c r="F99" i="79"/>
  <c r="F103" i="79"/>
  <c r="F107" i="79"/>
  <c r="F111" i="79"/>
  <c r="F22" i="79"/>
  <c r="F38" i="79"/>
  <c r="F42" i="79"/>
  <c r="F46" i="79"/>
  <c r="F66" i="79"/>
  <c r="F118" i="79"/>
  <c r="K19" i="53"/>
  <c r="F20" i="79" s="1"/>
  <c r="K27" i="53"/>
  <c r="F28" i="79" s="1"/>
  <c r="K35" i="53"/>
  <c r="F36" i="79" s="1"/>
  <c r="K43" i="53"/>
  <c r="F44" i="79" s="1"/>
  <c r="K51" i="53"/>
  <c r="F52" i="79" s="1"/>
  <c r="K59" i="53"/>
  <c r="F60" i="79" s="1"/>
  <c r="K67" i="53"/>
  <c r="F68" i="79" s="1"/>
  <c r="K75" i="53"/>
  <c r="F76" i="79" s="1"/>
  <c r="K83" i="53"/>
  <c r="F84" i="79" s="1"/>
  <c r="K91" i="53"/>
  <c r="F92" i="79" s="1"/>
  <c r="K99" i="53"/>
  <c r="F100" i="79" s="1"/>
  <c r="K107" i="53"/>
  <c r="F108" i="79" s="1"/>
  <c r="K115" i="53"/>
  <c r="F116" i="79" s="1"/>
  <c r="K123" i="53"/>
  <c r="F124" i="79" s="1"/>
  <c r="F17" i="79"/>
  <c r="F33" i="79"/>
  <c r="F53" i="79"/>
  <c r="F57" i="79"/>
  <c r="F61" i="79"/>
  <c r="F97" i="79"/>
  <c r="F101" i="79"/>
  <c r="F105" i="79"/>
  <c r="F109" i="79"/>
  <c r="F113" i="79"/>
  <c r="K7" i="53"/>
  <c r="F8" i="79" s="1"/>
  <c r="K23" i="53"/>
  <c r="F24" i="79" s="1"/>
  <c r="K31" i="53"/>
  <c r="F32" i="79" s="1"/>
  <c r="K39" i="53"/>
  <c r="F40" i="79" s="1"/>
  <c r="K47" i="53"/>
  <c r="F48" i="79" s="1"/>
  <c r="K55" i="53"/>
  <c r="F56" i="79" s="1"/>
  <c r="K63" i="53"/>
  <c r="F64" i="79" s="1"/>
  <c r="K71" i="53"/>
  <c r="F72" i="79" s="1"/>
  <c r="K79" i="53"/>
  <c r="F80" i="79" s="1"/>
  <c r="K87" i="53"/>
  <c r="F88" i="79" s="1"/>
  <c r="K95" i="53"/>
  <c r="F96" i="79" s="1"/>
  <c r="K103" i="53"/>
  <c r="F104" i="79" s="1"/>
  <c r="K111" i="53"/>
  <c r="F112" i="79" s="1"/>
  <c r="K119" i="53"/>
  <c r="F120" i="79" s="1"/>
  <c r="I6" i="118"/>
  <c r="N6" i="79" s="1"/>
  <c r="I10" i="118"/>
  <c r="N10" i="79" s="1"/>
  <c r="R10" i="79" s="1"/>
  <c r="I14" i="118"/>
  <c r="N14" i="79" s="1"/>
  <c r="R14" i="79" s="1"/>
  <c r="AE14" i="79" s="1"/>
  <c r="I18" i="118"/>
  <c r="N18" i="79" s="1"/>
  <c r="I22" i="118"/>
  <c r="N22" i="79" s="1"/>
  <c r="I26" i="118"/>
  <c r="N26" i="79" s="1"/>
  <c r="I30" i="118"/>
  <c r="N30" i="79" s="1"/>
  <c r="I34" i="118"/>
  <c r="N34" i="79" s="1"/>
  <c r="I38" i="118"/>
  <c r="N38" i="79" s="1"/>
  <c r="I42" i="118"/>
  <c r="N42" i="79" s="1"/>
  <c r="I46" i="118"/>
  <c r="N46" i="79" s="1"/>
  <c r="I50" i="118"/>
  <c r="N50" i="79" s="1"/>
  <c r="I54" i="118"/>
  <c r="N54" i="79" s="1"/>
  <c r="I58" i="118"/>
  <c r="N58" i="79" s="1"/>
  <c r="I62" i="118"/>
  <c r="N62" i="79" s="1"/>
  <c r="I66" i="118"/>
  <c r="N66" i="79" s="1"/>
  <c r="I70" i="118"/>
  <c r="N70" i="79" s="1"/>
  <c r="I74" i="118"/>
  <c r="N74" i="79" s="1"/>
  <c r="I78" i="118"/>
  <c r="N78" i="79" s="1"/>
  <c r="I82" i="118"/>
  <c r="N82" i="79" s="1"/>
  <c r="I86" i="118"/>
  <c r="N86" i="79" s="1"/>
  <c r="I90" i="118"/>
  <c r="N90" i="79" s="1"/>
  <c r="I94" i="118"/>
  <c r="N94" i="79" s="1"/>
  <c r="I98" i="118"/>
  <c r="N98" i="79" s="1"/>
  <c r="I102" i="118"/>
  <c r="N102" i="79" s="1"/>
  <c r="I106" i="118"/>
  <c r="N106" i="79" s="1"/>
  <c r="I110" i="118"/>
  <c r="N110" i="79" s="1"/>
  <c r="I114" i="118"/>
  <c r="N114" i="79" s="1"/>
  <c r="I118" i="118"/>
  <c r="N118" i="79" s="1"/>
  <c r="I122" i="118"/>
  <c r="N122" i="79" s="1"/>
  <c r="I9" i="118"/>
  <c r="N9" i="79" s="1"/>
  <c r="I13" i="118"/>
  <c r="N13" i="79" s="1"/>
  <c r="I17" i="118"/>
  <c r="N17" i="79" s="1"/>
  <c r="I21" i="118"/>
  <c r="N21" i="79" s="1"/>
  <c r="I25" i="118"/>
  <c r="N25" i="79" s="1"/>
  <c r="I29" i="118"/>
  <c r="N29" i="79" s="1"/>
  <c r="I33" i="118"/>
  <c r="N33" i="79" s="1"/>
  <c r="I37" i="118"/>
  <c r="N37" i="79" s="1"/>
  <c r="I41" i="118"/>
  <c r="N41" i="79" s="1"/>
  <c r="I45" i="118"/>
  <c r="N45" i="79" s="1"/>
  <c r="I49" i="118"/>
  <c r="N49" i="79" s="1"/>
  <c r="I53" i="118"/>
  <c r="N53" i="79" s="1"/>
  <c r="I57" i="118"/>
  <c r="N57" i="79" s="1"/>
  <c r="I61" i="118"/>
  <c r="N61" i="79" s="1"/>
  <c r="I65" i="118"/>
  <c r="N65" i="79" s="1"/>
  <c r="I69" i="118"/>
  <c r="N69" i="79" s="1"/>
  <c r="I73" i="118"/>
  <c r="N73" i="79" s="1"/>
  <c r="I77" i="118"/>
  <c r="N77" i="79" s="1"/>
  <c r="I81" i="118"/>
  <c r="N81" i="79" s="1"/>
  <c r="I85" i="118"/>
  <c r="N85" i="79" s="1"/>
  <c r="I89" i="118"/>
  <c r="N89" i="79" s="1"/>
  <c r="I93" i="118"/>
  <c r="N93" i="79" s="1"/>
  <c r="I97" i="118"/>
  <c r="N97" i="79" s="1"/>
  <c r="I101" i="118"/>
  <c r="N101" i="79" s="1"/>
  <c r="I105" i="118"/>
  <c r="N105" i="79" s="1"/>
  <c r="I109" i="118"/>
  <c r="N109" i="79" s="1"/>
  <c r="I113" i="118"/>
  <c r="N113" i="79" s="1"/>
  <c r="I117" i="118"/>
  <c r="N117" i="79" s="1"/>
  <c r="I121" i="118"/>
  <c r="N121" i="79" s="1"/>
  <c r="I125" i="118"/>
  <c r="N125" i="79" s="1"/>
  <c r="I8" i="118"/>
  <c r="N8" i="79" s="1"/>
  <c r="I12" i="118"/>
  <c r="N12" i="79" s="1"/>
  <c r="I16" i="118"/>
  <c r="N16" i="79" s="1"/>
  <c r="I20" i="118"/>
  <c r="N20" i="79" s="1"/>
  <c r="I24" i="118"/>
  <c r="N24" i="79" s="1"/>
  <c r="I28" i="118"/>
  <c r="N28" i="79" s="1"/>
  <c r="I32" i="118"/>
  <c r="N32" i="79" s="1"/>
  <c r="I36" i="118"/>
  <c r="N36" i="79" s="1"/>
  <c r="I40" i="118"/>
  <c r="N40" i="79" s="1"/>
  <c r="I44" i="118"/>
  <c r="N44" i="79" s="1"/>
  <c r="I48" i="118"/>
  <c r="N48" i="79" s="1"/>
  <c r="I52" i="118"/>
  <c r="N52" i="79" s="1"/>
  <c r="I56" i="118"/>
  <c r="N56" i="79" s="1"/>
  <c r="I60" i="118"/>
  <c r="N60" i="79" s="1"/>
  <c r="I64" i="118"/>
  <c r="N64" i="79" s="1"/>
  <c r="I68" i="118"/>
  <c r="N68" i="79" s="1"/>
  <c r="I72" i="118"/>
  <c r="N72" i="79" s="1"/>
  <c r="I76" i="118"/>
  <c r="N76" i="79" s="1"/>
  <c r="I80" i="118"/>
  <c r="N80" i="79" s="1"/>
  <c r="I84" i="118"/>
  <c r="N84" i="79" s="1"/>
  <c r="I88" i="118"/>
  <c r="N88" i="79" s="1"/>
  <c r="I92" i="118"/>
  <c r="N92" i="79" s="1"/>
  <c r="I96" i="118"/>
  <c r="N96" i="79" s="1"/>
  <c r="I100" i="118"/>
  <c r="N100" i="79" s="1"/>
  <c r="I104" i="118"/>
  <c r="N104" i="79" s="1"/>
  <c r="I108" i="118"/>
  <c r="N108" i="79" s="1"/>
  <c r="I112" i="118"/>
  <c r="N112" i="79" s="1"/>
  <c r="I116" i="118"/>
  <c r="N116" i="79" s="1"/>
  <c r="I120" i="118"/>
  <c r="N120" i="79" s="1"/>
  <c r="I124" i="118"/>
  <c r="N124" i="79" s="1"/>
  <c r="I7" i="118"/>
  <c r="N7" i="79" s="1"/>
  <c r="I11" i="118"/>
  <c r="N11" i="79" s="1"/>
  <c r="I15" i="118"/>
  <c r="N15" i="79" s="1"/>
  <c r="I19" i="118"/>
  <c r="N19" i="79" s="1"/>
  <c r="I23" i="118"/>
  <c r="N23" i="79" s="1"/>
  <c r="I27" i="118"/>
  <c r="N27" i="79" s="1"/>
  <c r="I31" i="118"/>
  <c r="N31" i="79" s="1"/>
  <c r="I35" i="118"/>
  <c r="N35" i="79" s="1"/>
  <c r="I39" i="118"/>
  <c r="N39" i="79" s="1"/>
  <c r="I43" i="118"/>
  <c r="N43" i="79" s="1"/>
  <c r="I47" i="118"/>
  <c r="N47" i="79" s="1"/>
  <c r="I51" i="118"/>
  <c r="N51" i="79" s="1"/>
  <c r="I55" i="118"/>
  <c r="N55" i="79" s="1"/>
  <c r="I59" i="118"/>
  <c r="N59" i="79" s="1"/>
  <c r="I63" i="118"/>
  <c r="N63" i="79" s="1"/>
  <c r="I67" i="118"/>
  <c r="N67" i="79" s="1"/>
  <c r="I71" i="118"/>
  <c r="N71" i="79" s="1"/>
  <c r="I75" i="118"/>
  <c r="N75" i="79" s="1"/>
  <c r="I79" i="118"/>
  <c r="N79" i="79" s="1"/>
  <c r="I83" i="118"/>
  <c r="N83" i="79" s="1"/>
  <c r="I87" i="118"/>
  <c r="N87" i="79" s="1"/>
  <c r="I91" i="118"/>
  <c r="N91" i="79" s="1"/>
  <c r="I95" i="118"/>
  <c r="N95" i="79" s="1"/>
  <c r="I99" i="118"/>
  <c r="N99" i="79" s="1"/>
  <c r="I103" i="118"/>
  <c r="N103" i="79" s="1"/>
  <c r="I107" i="118"/>
  <c r="N107" i="79" s="1"/>
  <c r="I111" i="118"/>
  <c r="N111" i="79" s="1"/>
  <c r="I115" i="118"/>
  <c r="N115" i="79" s="1"/>
  <c r="I119" i="118"/>
  <c r="N119" i="79" s="1"/>
  <c r="I123" i="118"/>
  <c r="N123" i="79" s="1"/>
  <c r="I4" i="61"/>
  <c r="I25" i="55"/>
  <c r="I4" i="55" s="1"/>
  <c r="H4" i="55"/>
  <c r="K4" i="55"/>
  <c r="H4" i="53"/>
  <c r="AC4" i="53"/>
  <c r="M5" i="103"/>
  <c r="K5" i="103"/>
  <c r="J5" i="103"/>
  <c r="I5" i="103"/>
  <c r="L5" i="102"/>
  <c r="K5" i="102"/>
  <c r="J5" i="102"/>
  <c r="I5" i="102"/>
  <c r="L5" i="49"/>
  <c r="K5" i="49"/>
  <c r="J5" i="49"/>
  <c r="I5" i="49"/>
  <c r="R41" i="79" l="1"/>
  <c r="R110" i="79"/>
  <c r="AE110" i="79" s="1"/>
  <c r="R74" i="79"/>
  <c r="AE74" i="79" s="1"/>
  <c r="K130" i="53"/>
  <c r="J130" i="53"/>
  <c r="R43" i="79"/>
  <c r="AE43" i="79" s="1"/>
  <c r="I130" i="53"/>
  <c r="J127" i="53"/>
  <c r="K127" i="53"/>
  <c r="J126" i="53"/>
  <c r="J129" i="53"/>
  <c r="R121" i="79"/>
  <c r="AE121" i="79" s="1"/>
  <c r="D131" i="53"/>
  <c r="K126" i="53"/>
  <c r="I127" i="53"/>
  <c r="R115" i="79"/>
  <c r="AE115" i="79" s="1"/>
  <c r="J128" i="53"/>
  <c r="H131" i="53"/>
  <c r="K128" i="53"/>
  <c r="E131" i="53"/>
  <c r="R47" i="79"/>
  <c r="AE47" i="79" s="1"/>
  <c r="G131" i="53"/>
  <c r="I126" i="53"/>
  <c r="F131" i="53"/>
  <c r="I128" i="53"/>
  <c r="I129" i="53"/>
  <c r="K129" i="53"/>
  <c r="R29" i="79"/>
  <c r="AE29" i="79" s="1"/>
  <c r="R102" i="79"/>
  <c r="AF102" i="79" s="1"/>
  <c r="R106" i="79"/>
  <c r="AE106" i="79" s="1"/>
  <c r="R58" i="79"/>
  <c r="AD58" i="79" s="1"/>
  <c r="R26" i="79"/>
  <c r="AE26" i="79" s="1"/>
  <c r="R117" i="79"/>
  <c r="AE117" i="79" s="1"/>
  <c r="R21" i="79"/>
  <c r="AE21" i="79" s="1"/>
  <c r="R86" i="79"/>
  <c r="AD86" i="79" s="1"/>
  <c r="R90" i="79"/>
  <c r="AE90" i="79" s="1"/>
  <c r="R111" i="79"/>
  <c r="AD111" i="79" s="1"/>
  <c r="R51" i="79"/>
  <c r="AE51" i="79" s="1"/>
  <c r="R23" i="79"/>
  <c r="AD23" i="79" s="1"/>
  <c r="R83" i="79"/>
  <c r="AE83" i="79" s="1"/>
  <c r="R67" i="79"/>
  <c r="AD67" i="79" s="1"/>
  <c r="R119" i="79"/>
  <c r="AF119" i="79" s="1"/>
  <c r="R87" i="79"/>
  <c r="AD87" i="79" s="1"/>
  <c r="R91" i="79"/>
  <c r="AE91" i="79" s="1"/>
  <c r="R57" i="79"/>
  <c r="AE57" i="79" s="1"/>
  <c r="R84" i="79"/>
  <c r="AE84" i="79" s="1"/>
  <c r="R77" i="79"/>
  <c r="AE77" i="79" s="1"/>
  <c r="R59" i="79"/>
  <c r="AE59" i="79" s="1"/>
  <c r="R97" i="79"/>
  <c r="AD97" i="79" s="1"/>
  <c r="R118" i="79"/>
  <c r="AD118" i="79" s="1"/>
  <c r="F6" i="79"/>
  <c r="R6" i="79" s="1"/>
  <c r="F9" i="79"/>
  <c r="R9" i="79" s="1"/>
  <c r="K11" i="53"/>
  <c r="F7" i="79"/>
  <c r="R7" i="79" s="1"/>
  <c r="F16" i="79"/>
  <c r="R16" i="79" s="1"/>
  <c r="AE16" i="79" s="1"/>
  <c r="R99" i="79"/>
  <c r="AE99" i="79" s="1"/>
  <c r="R35" i="79"/>
  <c r="AE35" i="79" s="1"/>
  <c r="R19" i="79"/>
  <c r="AE19" i="79" s="1"/>
  <c r="R124" i="79"/>
  <c r="AF124" i="79" s="1"/>
  <c r="R108" i="79"/>
  <c r="AD108" i="79" s="1"/>
  <c r="R60" i="79"/>
  <c r="AE60" i="79" s="1"/>
  <c r="R44" i="79"/>
  <c r="AE44" i="79" s="1"/>
  <c r="R28" i="79"/>
  <c r="AE28" i="79" s="1"/>
  <c r="R101" i="79"/>
  <c r="AE101" i="79" s="1"/>
  <c r="R85" i="79"/>
  <c r="AE85" i="79" s="1"/>
  <c r="R69" i="79"/>
  <c r="AD69" i="79" s="1"/>
  <c r="R37" i="79"/>
  <c r="AE37" i="79" s="1"/>
  <c r="R55" i="79"/>
  <c r="AE55" i="79" s="1"/>
  <c r="R17" i="79"/>
  <c r="AE17" i="79" s="1"/>
  <c r="R22" i="79"/>
  <c r="AE22" i="79" s="1"/>
  <c r="R116" i="79"/>
  <c r="AE116" i="79" s="1"/>
  <c r="R52" i="79"/>
  <c r="AE52" i="79" s="1"/>
  <c r="R20" i="79"/>
  <c r="AE20" i="79" s="1"/>
  <c r="R105" i="79"/>
  <c r="AE105" i="79" s="1"/>
  <c r="R92" i="79"/>
  <c r="AE92" i="79" s="1"/>
  <c r="R42" i="79"/>
  <c r="AE42" i="79" s="1"/>
  <c r="AD10" i="79"/>
  <c r="AE10" i="79"/>
  <c r="AE41" i="79"/>
  <c r="AD41" i="79"/>
  <c r="R112" i="79"/>
  <c r="AF112" i="79" s="1"/>
  <c r="R80" i="79"/>
  <c r="AF80" i="79" s="1"/>
  <c r="R48" i="79"/>
  <c r="AE48" i="79" s="1"/>
  <c r="R13" i="79"/>
  <c r="R61" i="79"/>
  <c r="AF61" i="79" s="1"/>
  <c r="R79" i="79"/>
  <c r="R15" i="79"/>
  <c r="R82" i="79"/>
  <c r="AF82" i="79" s="1"/>
  <c r="R38" i="79"/>
  <c r="R18" i="79"/>
  <c r="AF18" i="79" s="1"/>
  <c r="R125" i="79"/>
  <c r="AF125" i="79" s="1"/>
  <c r="R104" i="79"/>
  <c r="AE104" i="79" s="1"/>
  <c r="R72" i="79"/>
  <c r="AE72" i="79" s="1"/>
  <c r="R40" i="79"/>
  <c r="AE40" i="79" s="1"/>
  <c r="R8" i="79"/>
  <c r="AE8" i="79" s="1"/>
  <c r="R54" i="79"/>
  <c r="AF54" i="79" s="1"/>
  <c r="AF41" i="79"/>
  <c r="AF14" i="79"/>
  <c r="R120" i="79"/>
  <c r="AE120" i="79" s="1"/>
  <c r="R100" i="79"/>
  <c r="R88" i="79"/>
  <c r="AE88" i="79" s="1"/>
  <c r="R68" i="79"/>
  <c r="AF68" i="79" s="1"/>
  <c r="R56" i="79"/>
  <c r="AE56" i="79" s="1"/>
  <c r="R36" i="79"/>
  <c r="R24" i="79"/>
  <c r="AE24" i="79" s="1"/>
  <c r="R73" i="79"/>
  <c r="AF73" i="79" s="1"/>
  <c r="R45" i="79"/>
  <c r="AF45" i="79" s="1"/>
  <c r="R34" i="79"/>
  <c r="R123" i="79"/>
  <c r="R75" i="79"/>
  <c r="AF75" i="79" s="1"/>
  <c r="R27" i="79"/>
  <c r="R113" i="79"/>
  <c r="AF113" i="79" s="1"/>
  <c r="R93" i="79"/>
  <c r="AF93" i="79" s="1"/>
  <c r="R114" i="79"/>
  <c r="R98" i="79"/>
  <c r="R78" i="79"/>
  <c r="R66" i="79"/>
  <c r="R30" i="79"/>
  <c r="AF30" i="79" s="1"/>
  <c r="R107" i="79"/>
  <c r="R11" i="79"/>
  <c r="AF10" i="79"/>
  <c r="R103" i="79"/>
  <c r="R71" i="79"/>
  <c r="AF71" i="79" s="1"/>
  <c r="R39" i="79"/>
  <c r="R96" i="79"/>
  <c r="AE96" i="79" s="1"/>
  <c r="R76" i="79"/>
  <c r="R64" i="79"/>
  <c r="AE64" i="79" s="1"/>
  <c r="R32" i="79"/>
  <c r="AE32" i="79" s="1"/>
  <c r="R70" i="79"/>
  <c r="AF70" i="79" s="1"/>
  <c r="R46" i="79"/>
  <c r="AD14" i="79"/>
  <c r="R89" i="79"/>
  <c r="R65" i="79"/>
  <c r="AF65" i="79" s="1"/>
  <c r="R49" i="79"/>
  <c r="R33" i="79"/>
  <c r="R95" i="79"/>
  <c r="R63" i="79"/>
  <c r="R31" i="79"/>
  <c r="AF31" i="79" s="1"/>
  <c r="R122" i="79"/>
  <c r="R94" i="79"/>
  <c r="AF94" i="79" s="1"/>
  <c r="R62" i="79"/>
  <c r="R50" i="79"/>
  <c r="AF50" i="79" s="1"/>
  <c r="R109" i="79"/>
  <c r="AF109" i="79" s="1"/>
  <c r="R81" i="79"/>
  <c r="R53" i="79"/>
  <c r="R25" i="79"/>
  <c r="I5" i="118"/>
  <c r="E4" i="116"/>
  <c r="D4" i="116"/>
  <c r="AD110" i="79" l="1"/>
  <c r="AF43" i="79"/>
  <c r="AF58" i="79"/>
  <c r="AE58" i="79"/>
  <c r="AF74" i="79"/>
  <c r="AF110" i="79"/>
  <c r="AD119" i="79"/>
  <c r="AE87" i="79"/>
  <c r="AD74" i="79"/>
  <c r="AF115" i="79"/>
  <c r="AD115" i="79"/>
  <c r="AF86" i="79"/>
  <c r="AD43" i="79"/>
  <c r="AF106" i="79"/>
  <c r="AF87" i="79"/>
  <c r="AD47" i="79"/>
  <c r="J131" i="53"/>
  <c r="AF121" i="79"/>
  <c r="AD121" i="79"/>
  <c r="K131" i="53"/>
  <c r="AF47" i="79"/>
  <c r="I131" i="53"/>
  <c r="AF21" i="79"/>
  <c r="AE23" i="79"/>
  <c r="AF29" i="79"/>
  <c r="AF117" i="79"/>
  <c r="AE102" i="79"/>
  <c r="AD106" i="79"/>
  <c r="AF26" i="79"/>
  <c r="AD26" i="79"/>
  <c r="AD117" i="79"/>
  <c r="AD102" i="79"/>
  <c r="AE111" i="79"/>
  <c r="AD29" i="79"/>
  <c r="AF51" i="79"/>
  <c r="AD51" i="79"/>
  <c r="AD21" i="79"/>
  <c r="AE119" i="79"/>
  <c r="AF23" i="79"/>
  <c r="AE86" i="79"/>
  <c r="AF90" i="79"/>
  <c r="AD90" i="79"/>
  <c r="AE67" i="79"/>
  <c r="AF111" i="79"/>
  <c r="AF67" i="79"/>
  <c r="AD91" i="79"/>
  <c r="AF83" i="79"/>
  <c r="AD83" i="79"/>
  <c r="AF91" i="79"/>
  <c r="AD57" i="79"/>
  <c r="AF57" i="79"/>
  <c r="AE118" i="79"/>
  <c r="AD84" i="79"/>
  <c r="AF84" i="79"/>
  <c r="AD59" i="79"/>
  <c r="AF59" i="79"/>
  <c r="AD77" i="79"/>
  <c r="AF77" i="79"/>
  <c r="AF108" i="79"/>
  <c r="AF118" i="79"/>
  <c r="AE97" i="79"/>
  <c r="AD44" i="79"/>
  <c r="AF97" i="79"/>
  <c r="AF19" i="79"/>
  <c r="AD19" i="79"/>
  <c r="AF85" i="79"/>
  <c r="F12" i="79"/>
  <c r="R12" i="79" s="1"/>
  <c r="AF12" i="79" s="1"/>
  <c r="AD85" i="79"/>
  <c r="AF44" i="79"/>
  <c r="AD55" i="79"/>
  <c r="AF42" i="79"/>
  <c r="AF105" i="79"/>
  <c r="AE108" i="79"/>
  <c r="AD22" i="79"/>
  <c r="AD124" i="79"/>
  <c r="AD60" i="79"/>
  <c r="AF22" i="79"/>
  <c r="AD35" i="79"/>
  <c r="AD42" i="79"/>
  <c r="AD101" i="79"/>
  <c r="AF101" i="79"/>
  <c r="AF60" i="79"/>
  <c r="AF35" i="79"/>
  <c r="AF52" i="79"/>
  <c r="AE124" i="79"/>
  <c r="AD52" i="79"/>
  <c r="AF28" i="79"/>
  <c r="AF55" i="79"/>
  <c r="AD28" i="79"/>
  <c r="AE69" i="79"/>
  <c r="AD116" i="79"/>
  <c r="AD37" i="79"/>
  <c r="AD105" i="79"/>
  <c r="AF37" i="79"/>
  <c r="AD99" i="79"/>
  <c r="AF69" i="79"/>
  <c r="AF92" i="79"/>
  <c r="AF99" i="79"/>
  <c r="AF17" i="79"/>
  <c r="AD92" i="79"/>
  <c r="AD17" i="79"/>
  <c r="AF20" i="79"/>
  <c r="AD20" i="79"/>
  <c r="AF48" i="79"/>
  <c r="AF56" i="79"/>
  <c r="AF16" i="79"/>
  <c r="AF116" i="79"/>
  <c r="AD104" i="79"/>
  <c r="AD24" i="79"/>
  <c r="AD16" i="79"/>
  <c r="AD120" i="79"/>
  <c r="AD40" i="79"/>
  <c r="AF120" i="79"/>
  <c r="AF104" i="79"/>
  <c r="AE25" i="79"/>
  <c r="AD25" i="79"/>
  <c r="AE46" i="79"/>
  <c r="AD46" i="79"/>
  <c r="AE76" i="79"/>
  <c r="AD76" i="79"/>
  <c r="AF76" i="79"/>
  <c r="AE6" i="79"/>
  <c r="AD6" i="79"/>
  <c r="AE100" i="79"/>
  <c r="AD100" i="79"/>
  <c r="AF72" i="79"/>
  <c r="AE53" i="79"/>
  <c r="AD53" i="79"/>
  <c r="AE33" i="79"/>
  <c r="AD33" i="79"/>
  <c r="AE70" i="79"/>
  <c r="AD70" i="79"/>
  <c r="AE7" i="79"/>
  <c r="AD7" i="79"/>
  <c r="AE107" i="79"/>
  <c r="AD107" i="79"/>
  <c r="AE98" i="79"/>
  <c r="AD98" i="79"/>
  <c r="AE27" i="79"/>
  <c r="AD27" i="79"/>
  <c r="AD34" i="79"/>
  <c r="AE34" i="79"/>
  <c r="AE68" i="79"/>
  <c r="AD68" i="79"/>
  <c r="AF46" i="79"/>
  <c r="AF64" i="79"/>
  <c r="AF7" i="79"/>
  <c r="AF100" i="79"/>
  <c r="AE15" i="79"/>
  <c r="AD15" i="79"/>
  <c r="AD80" i="79"/>
  <c r="AE80" i="79"/>
  <c r="AF34" i="79"/>
  <c r="AF98" i="79"/>
  <c r="AF33" i="79"/>
  <c r="AF15" i="79"/>
  <c r="AE122" i="79"/>
  <c r="AD122" i="79"/>
  <c r="AE9" i="79"/>
  <c r="AD9" i="79"/>
  <c r="AE103" i="79"/>
  <c r="AD103" i="79"/>
  <c r="AF122" i="79"/>
  <c r="AE11" i="79"/>
  <c r="AD11" i="79"/>
  <c r="AE113" i="79"/>
  <c r="AD113" i="79"/>
  <c r="AE82" i="79"/>
  <c r="AD82" i="79"/>
  <c r="AF11" i="79"/>
  <c r="AE62" i="79"/>
  <c r="AD62" i="79"/>
  <c r="AE31" i="79"/>
  <c r="AD31" i="79"/>
  <c r="AE81" i="79"/>
  <c r="AD81" i="79"/>
  <c r="AE94" i="79"/>
  <c r="AD94" i="79"/>
  <c r="AE63" i="79"/>
  <c r="AD63" i="79"/>
  <c r="AE49" i="79"/>
  <c r="AD49" i="79"/>
  <c r="AD64" i="79"/>
  <c r="AD96" i="79"/>
  <c r="AE39" i="79"/>
  <c r="AD39" i="79"/>
  <c r="AF81" i="79"/>
  <c r="AF63" i="79"/>
  <c r="AE30" i="79"/>
  <c r="AD30" i="79"/>
  <c r="AD114" i="79"/>
  <c r="AE114" i="79"/>
  <c r="AE75" i="79"/>
  <c r="AD75" i="79"/>
  <c r="AE45" i="79"/>
  <c r="AD45" i="79"/>
  <c r="AE36" i="79"/>
  <c r="AD36" i="79"/>
  <c r="AD88" i="79"/>
  <c r="AF62" i="79"/>
  <c r="AF9" i="79"/>
  <c r="AF107" i="79"/>
  <c r="AE54" i="79"/>
  <c r="AD54" i="79"/>
  <c r="AF40" i="79"/>
  <c r="AE18" i="79"/>
  <c r="AD18" i="79"/>
  <c r="AE79" i="79"/>
  <c r="AD79" i="79"/>
  <c r="AF114" i="79"/>
  <c r="AF79" i="79"/>
  <c r="AD50" i="79"/>
  <c r="AE50" i="79"/>
  <c r="AD89" i="79"/>
  <c r="AE89" i="79"/>
  <c r="AE78" i="79"/>
  <c r="AD78" i="79"/>
  <c r="AE125" i="79"/>
  <c r="AD125" i="79"/>
  <c r="AE109" i="79"/>
  <c r="AD109" i="79"/>
  <c r="AE95" i="79"/>
  <c r="AD95" i="79"/>
  <c r="AE65" i="79"/>
  <c r="AD65" i="79"/>
  <c r="AD32" i="79"/>
  <c r="AE71" i="79"/>
  <c r="AD71" i="79"/>
  <c r="AF53" i="79"/>
  <c r="AF8" i="79"/>
  <c r="AD66" i="79"/>
  <c r="AE66" i="79"/>
  <c r="AE93" i="79"/>
  <c r="AD93" i="79"/>
  <c r="AE123" i="79"/>
  <c r="AD123" i="79"/>
  <c r="AE73" i="79"/>
  <c r="AD73" i="79"/>
  <c r="AD56" i="79"/>
  <c r="AF78" i="79"/>
  <c r="AF25" i="79"/>
  <c r="AF89" i="79"/>
  <c r="AF32" i="79"/>
  <c r="AF96" i="79"/>
  <c r="AF39" i="79"/>
  <c r="AF103" i="79"/>
  <c r="AF36" i="79"/>
  <c r="AF27" i="79"/>
  <c r="AF123" i="79"/>
  <c r="AD8" i="79"/>
  <c r="AD72" i="79"/>
  <c r="AF6" i="79"/>
  <c r="AF49" i="79"/>
  <c r="AF88" i="79"/>
  <c r="AF95" i="79"/>
  <c r="AE38" i="79"/>
  <c r="AD38" i="79"/>
  <c r="AE61" i="79"/>
  <c r="AD61" i="79"/>
  <c r="AE13" i="79"/>
  <c r="AD13" i="79"/>
  <c r="AD48" i="79"/>
  <c r="AD112" i="79"/>
  <c r="AE112" i="79"/>
  <c r="AF66" i="79"/>
  <c r="AF13" i="79"/>
  <c r="AF38" i="79"/>
  <c r="AF24" i="79"/>
  <c r="R5" i="79" l="1"/>
  <c r="AE5" i="79" s="1"/>
  <c r="AE12" i="79"/>
  <c r="AE128" i="79" s="1"/>
  <c r="AD12" i="79"/>
  <c r="AD128" i="79" s="1"/>
  <c r="AF127" i="79"/>
  <c r="AF128" i="79"/>
  <c r="X130" i="115"/>
  <c r="W130" i="115"/>
  <c r="V130" i="115"/>
  <c r="U130" i="115"/>
  <c r="X129" i="115"/>
  <c r="W129" i="115"/>
  <c r="V129" i="115"/>
  <c r="U129" i="115"/>
  <c r="X128" i="115"/>
  <c r="W128" i="115"/>
  <c r="V128" i="115"/>
  <c r="U128" i="115"/>
  <c r="X127" i="115"/>
  <c r="W127" i="115"/>
  <c r="V127" i="115"/>
  <c r="U127" i="115"/>
  <c r="X126" i="115"/>
  <c r="W126" i="115"/>
  <c r="V126" i="115"/>
  <c r="U126" i="115"/>
  <c r="M130" i="115"/>
  <c r="L130" i="115"/>
  <c r="K130" i="115"/>
  <c r="J130" i="115"/>
  <c r="M129" i="115"/>
  <c r="L129" i="115"/>
  <c r="K129" i="115"/>
  <c r="J129" i="115"/>
  <c r="M128" i="115"/>
  <c r="L128" i="115"/>
  <c r="K128" i="115"/>
  <c r="J128" i="115"/>
  <c r="M127" i="115"/>
  <c r="L127" i="115"/>
  <c r="K127" i="115"/>
  <c r="J127" i="115"/>
  <c r="M126" i="115"/>
  <c r="L126" i="115"/>
  <c r="K126" i="115"/>
  <c r="J126" i="115"/>
  <c r="X99" i="115"/>
  <c r="W99" i="115"/>
  <c r="U99" i="115"/>
  <c r="X98" i="115"/>
  <c r="W98" i="115"/>
  <c r="U98" i="115"/>
  <c r="X97" i="115"/>
  <c r="W97" i="115"/>
  <c r="U97" i="115"/>
  <c r="X124" i="115"/>
  <c r="W124" i="115"/>
  <c r="U124" i="115"/>
  <c r="X123" i="115"/>
  <c r="W123" i="115"/>
  <c r="U123" i="115"/>
  <c r="X96" i="115"/>
  <c r="W96" i="115"/>
  <c r="U96" i="115"/>
  <c r="X95" i="115"/>
  <c r="W95" i="115"/>
  <c r="U95" i="115"/>
  <c r="X94" i="115"/>
  <c r="W94" i="115"/>
  <c r="U94" i="115"/>
  <c r="X122" i="115"/>
  <c r="W122" i="115"/>
  <c r="U122" i="115"/>
  <c r="X93" i="115"/>
  <c r="W93" i="115"/>
  <c r="U93" i="115"/>
  <c r="X92" i="115"/>
  <c r="W92" i="115"/>
  <c r="U92" i="115"/>
  <c r="X91" i="115"/>
  <c r="W91" i="115"/>
  <c r="U91" i="115"/>
  <c r="X121" i="115"/>
  <c r="W121" i="115"/>
  <c r="U121" i="115"/>
  <c r="X90" i="115"/>
  <c r="W90" i="115"/>
  <c r="U90" i="115"/>
  <c r="X89" i="115"/>
  <c r="W89" i="115"/>
  <c r="U89" i="115"/>
  <c r="X88" i="115"/>
  <c r="W88" i="115"/>
  <c r="U88" i="115"/>
  <c r="X87" i="115"/>
  <c r="W87" i="115"/>
  <c r="U87" i="115"/>
  <c r="X86" i="115"/>
  <c r="W86" i="115"/>
  <c r="U86" i="115"/>
  <c r="X85" i="115"/>
  <c r="W85" i="115"/>
  <c r="U85" i="115"/>
  <c r="X84" i="115"/>
  <c r="W84" i="115"/>
  <c r="U84" i="115"/>
  <c r="X83" i="115"/>
  <c r="W83" i="115"/>
  <c r="U83" i="115"/>
  <c r="X82" i="115"/>
  <c r="W82" i="115"/>
  <c r="U82" i="115"/>
  <c r="X81" i="115"/>
  <c r="W81" i="115"/>
  <c r="U81" i="115"/>
  <c r="X120" i="115"/>
  <c r="W120" i="115"/>
  <c r="U120" i="115"/>
  <c r="X80" i="115"/>
  <c r="W80" i="115"/>
  <c r="U80" i="115"/>
  <c r="X119" i="115"/>
  <c r="W119" i="115"/>
  <c r="U119" i="115"/>
  <c r="X79" i="115"/>
  <c r="W79" i="115"/>
  <c r="U79" i="115"/>
  <c r="X118" i="115"/>
  <c r="W118" i="115"/>
  <c r="U118" i="115"/>
  <c r="X78" i="115"/>
  <c r="W78" i="115"/>
  <c r="U78" i="115"/>
  <c r="X77" i="115"/>
  <c r="W77" i="115"/>
  <c r="U77" i="115"/>
  <c r="X76" i="115"/>
  <c r="W76" i="115"/>
  <c r="U76" i="115"/>
  <c r="X75" i="115"/>
  <c r="W75" i="115"/>
  <c r="U75" i="115"/>
  <c r="X74" i="115"/>
  <c r="W74" i="115"/>
  <c r="U74" i="115"/>
  <c r="X117" i="115"/>
  <c r="W117" i="115"/>
  <c r="U117" i="115"/>
  <c r="X73" i="115"/>
  <c r="W73" i="115"/>
  <c r="U73" i="115"/>
  <c r="X116" i="115"/>
  <c r="W116" i="115"/>
  <c r="U116" i="115"/>
  <c r="X72" i="115"/>
  <c r="W72" i="115"/>
  <c r="U72" i="115"/>
  <c r="X71" i="115"/>
  <c r="W71" i="115"/>
  <c r="U71" i="115"/>
  <c r="X70" i="115"/>
  <c r="W70" i="115"/>
  <c r="U70" i="115"/>
  <c r="X69" i="115"/>
  <c r="W69" i="115"/>
  <c r="U69" i="115"/>
  <c r="X115" i="115"/>
  <c r="W115" i="115"/>
  <c r="U115" i="115"/>
  <c r="X68" i="115"/>
  <c r="W68" i="115"/>
  <c r="U68" i="115"/>
  <c r="X67" i="115"/>
  <c r="W67" i="115"/>
  <c r="U67" i="115"/>
  <c r="X114" i="115"/>
  <c r="W114" i="115"/>
  <c r="U114" i="115"/>
  <c r="X113" i="115"/>
  <c r="W113" i="115"/>
  <c r="U113" i="115"/>
  <c r="X66" i="115"/>
  <c r="W66" i="115"/>
  <c r="U66" i="115"/>
  <c r="X65" i="115"/>
  <c r="W65" i="115"/>
  <c r="U65" i="115"/>
  <c r="X64" i="115"/>
  <c r="W64" i="115"/>
  <c r="U64" i="115"/>
  <c r="X63" i="115"/>
  <c r="W63" i="115"/>
  <c r="U63" i="115"/>
  <c r="X62" i="115"/>
  <c r="W62" i="115"/>
  <c r="U62" i="115"/>
  <c r="X61" i="115"/>
  <c r="W61" i="115"/>
  <c r="U61" i="115"/>
  <c r="X112" i="115"/>
  <c r="W112" i="115"/>
  <c r="U112" i="115"/>
  <c r="X111" i="115"/>
  <c r="W111" i="115"/>
  <c r="U111" i="115"/>
  <c r="X60" i="115"/>
  <c r="W60" i="115"/>
  <c r="U60" i="115"/>
  <c r="X110" i="115"/>
  <c r="W110" i="115"/>
  <c r="U110" i="115"/>
  <c r="X59" i="115"/>
  <c r="W59" i="115"/>
  <c r="U59" i="115"/>
  <c r="X58" i="115"/>
  <c r="W58" i="115"/>
  <c r="U58" i="115"/>
  <c r="X57" i="115"/>
  <c r="W57" i="115"/>
  <c r="U57" i="115"/>
  <c r="X56" i="115"/>
  <c r="W56" i="115"/>
  <c r="U56" i="115"/>
  <c r="X55" i="115"/>
  <c r="W55" i="115"/>
  <c r="U55" i="115"/>
  <c r="X54" i="115"/>
  <c r="W54" i="115"/>
  <c r="U54" i="115"/>
  <c r="X53" i="115"/>
  <c r="W53" i="115"/>
  <c r="U53" i="115"/>
  <c r="X52" i="115"/>
  <c r="W52" i="115"/>
  <c r="U52" i="115"/>
  <c r="X51" i="115"/>
  <c r="W51" i="115"/>
  <c r="U51" i="115"/>
  <c r="X50" i="115"/>
  <c r="W50" i="115"/>
  <c r="U50" i="115"/>
  <c r="X109" i="115"/>
  <c r="W109" i="115"/>
  <c r="U109" i="115"/>
  <c r="X49" i="115"/>
  <c r="W49" i="115"/>
  <c r="U49" i="115"/>
  <c r="X48" i="115"/>
  <c r="W48" i="115"/>
  <c r="U48" i="115"/>
  <c r="X47" i="115"/>
  <c r="W47" i="115"/>
  <c r="U47" i="115"/>
  <c r="X46" i="115"/>
  <c r="W46" i="115"/>
  <c r="U46" i="115"/>
  <c r="X108" i="115"/>
  <c r="W108" i="115"/>
  <c r="U108" i="115"/>
  <c r="X45" i="115"/>
  <c r="W45" i="115"/>
  <c r="U45" i="115"/>
  <c r="X44" i="115"/>
  <c r="W44" i="115"/>
  <c r="U44" i="115"/>
  <c r="X43" i="115"/>
  <c r="W43" i="115"/>
  <c r="U43" i="115"/>
  <c r="X42" i="115"/>
  <c r="W42" i="115"/>
  <c r="U42" i="115"/>
  <c r="X41" i="115"/>
  <c r="W41" i="115"/>
  <c r="U41" i="115"/>
  <c r="X40" i="115"/>
  <c r="W40" i="115"/>
  <c r="U40" i="115"/>
  <c r="X39" i="115"/>
  <c r="W39" i="115"/>
  <c r="U39" i="115"/>
  <c r="X107" i="115"/>
  <c r="W107" i="115"/>
  <c r="U107" i="115"/>
  <c r="X106" i="115"/>
  <c r="W106" i="115"/>
  <c r="U106" i="115"/>
  <c r="X38" i="115"/>
  <c r="W38" i="115"/>
  <c r="U38" i="115"/>
  <c r="X37" i="115"/>
  <c r="W37" i="115"/>
  <c r="U37" i="115"/>
  <c r="X105" i="115"/>
  <c r="W105" i="115"/>
  <c r="U105" i="115"/>
  <c r="X36" i="115"/>
  <c r="W36" i="115"/>
  <c r="U36" i="115"/>
  <c r="X35" i="115"/>
  <c r="W35" i="115"/>
  <c r="U35" i="115"/>
  <c r="X34" i="115"/>
  <c r="W34" i="115"/>
  <c r="U34" i="115"/>
  <c r="X33" i="115"/>
  <c r="W33" i="115"/>
  <c r="U33" i="115"/>
  <c r="X32" i="115"/>
  <c r="W32" i="115"/>
  <c r="U32" i="115"/>
  <c r="X31" i="115"/>
  <c r="W31" i="115"/>
  <c r="U31" i="115"/>
  <c r="X30" i="115"/>
  <c r="W30" i="115"/>
  <c r="U30" i="115"/>
  <c r="X104" i="115"/>
  <c r="W104" i="115"/>
  <c r="U104" i="115"/>
  <c r="X29" i="115"/>
  <c r="W29" i="115"/>
  <c r="U29" i="115"/>
  <c r="X28" i="115"/>
  <c r="W28" i="115"/>
  <c r="U28" i="115"/>
  <c r="X27" i="115"/>
  <c r="W27" i="115"/>
  <c r="U27" i="115"/>
  <c r="X26" i="115"/>
  <c r="W26" i="115"/>
  <c r="U26" i="115"/>
  <c r="X25" i="115"/>
  <c r="W25" i="115"/>
  <c r="U25" i="115"/>
  <c r="X103" i="115"/>
  <c r="W103" i="115"/>
  <c r="U103" i="115"/>
  <c r="X102" i="115"/>
  <c r="W102" i="115"/>
  <c r="U102" i="115"/>
  <c r="X24" i="115"/>
  <c r="W24" i="115"/>
  <c r="U24" i="115"/>
  <c r="X23" i="115"/>
  <c r="W23" i="115"/>
  <c r="U23" i="115"/>
  <c r="X22" i="115"/>
  <c r="W22" i="115"/>
  <c r="U22" i="115"/>
  <c r="X21" i="115"/>
  <c r="W21" i="115"/>
  <c r="U21" i="115"/>
  <c r="X20" i="115"/>
  <c r="W20" i="115"/>
  <c r="U20" i="115"/>
  <c r="X19" i="115"/>
  <c r="W19" i="115"/>
  <c r="U19" i="115"/>
  <c r="X18" i="115"/>
  <c r="W18" i="115"/>
  <c r="U18" i="115"/>
  <c r="X17" i="115"/>
  <c r="W17" i="115"/>
  <c r="U17" i="115"/>
  <c r="X101" i="115"/>
  <c r="W101" i="115"/>
  <c r="U101" i="115"/>
  <c r="X16" i="115"/>
  <c r="W16" i="115"/>
  <c r="U16" i="115"/>
  <c r="X15" i="115"/>
  <c r="W15" i="115"/>
  <c r="U15" i="115"/>
  <c r="X14" i="115"/>
  <c r="W14" i="115"/>
  <c r="U14" i="115"/>
  <c r="X13" i="115"/>
  <c r="W13" i="115"/>
  <c r="U13" i="115"/>
  <c r="X12" i="115"/>
  <c r="W12" i="115"/>
  <c r="U12" i="115"/>
  <c r="X11" i="115"/>
  <c r="W11" i="115"/>
  <c r="U11" i="115"/>
  <c r="X10" i="115"/>
  <c r="W10" i="115"/>
  <c r="U10" i="115"/>
  <c r="X9" i="115"/>
  <c r="W9" i="115"/>
  <c r="U9" i="115"/>
  <c r="X8" i="115"/>
  <c r="W8" i="115"/>
  <c r="U8" i="115"/>
  <c r="X7" i="115"/>
  <c r="W7" i="115"/>
  <c r="U7" i="115"/>
  <c r="X100" i="115"/>
  <c r="W100" i="115"/>
  <c r="U100" i="115"/>
  <c r="X6" i="115"/>
  <c r="W6" i="115"/>
  <c r="U6" i="115"/>
  <c r="X5" i="115"/>
  <c r="W5" i="115"/>
  <c r="U5" i="115"/>
  <c r="X4" i="115"/>
  <c r="W4" i="115"/>
  <c r="U4" i="115"/>
  <c r="V99" i="115"/>
  <c r="V98" i="115"/>
  <c r="V97" i="115"/>
  <c r="V124" i="115"/>
  <c r="V123" i="115"/>
  <c r="V96" i="115"/>
  <c r="V95" i="115"/>
  <c r="V94" i="115"/>
  <c r="V122" i="115"/>
  <c r="V93" i="115"/>
  <c r="V92" i="115"/>
  <c r="V91" i="115"/>
  <c r="V121" i="115"/>
  <c r="V90" i="115"/>
  <c r="V89" i="115"/>
  <c r="V88" i="115"/>
  <c r="V87" i="115"/>
  <c r="V86" i="115"/>
  <c r="V85" i="115"/>
  <c r="V84" i="115"/>
  <c r="V83" i="115"/>
  <c r="V82" i="115"/>
  <c r="V81" i="115"/>
  <c r="V120" i="115"/>
  <c r="V80" i="115"/>
  <c r="V119" i="115"/>
  <c r="V79" i="115"/>
  <c r="V118" i="115"/>
  <c r="V78" i="115"/>
  <c r="V77" i="115"/>
  <c r="V76" i="115"/>
  <c r="V75" i="115"/>
  <c r="V74" i="115"/>
  <c r="V117" i="115"/>
  <c r="V73" i="115"/>
  <c r="V116" i="115"/>
  <c r="V72" i="115"/>
  <c r="V71" i="115"/>
  <c r="V70" i="115"/>
  <c r="V69" i="115"/>
  <c r="V115" i="115"/>
  <c r="V68" i="115"/>
  <c r="V67" i="115"/>
  <c r="V114" i="115"/>
  <c r="V113" i="115"/>
  <c r="V66" i="115"/>
  <c r="V65" i="115"/>
  <c r="V64" i="115"/>
  <c r="V63" i="115"/>
  <c r="V62" i="115"/>
  <c r="V61" i="115"/>
  <c r="V112" i="115"/>
  <c r="V111" i="115"/>
  <c r="V60" i="115"/>
  <c r="V110" i="115"/>
  <c r="V59" i="115"/>
  <c r="V58" i="115"/>
  <c r="V57" i="115"/>
  <c r="V56" i="115"/>
  <c r="V55" i="115"/>
  <c r="V54" i="115"/>
  <c r="V53" i="115"/>
  <c r="V52" i="115"/>
  <c r="V51" i="115"/>
  <c r="V50" i="115"/>
  <c r="V109" i="115"/>
  <c r="V49" i="115"/>
  <c r="V48" i="115"/>
  <c r="V47" i="115"/>
  <c r="V46" i="115"/>
  <c r="V108" i="115"/>
  <c r="V45" i="115"/>
  <c r="V44" i="115"/>
  <c r="V43" i="115"/>
  <c r="V42" i="115"/>
  <c r="V41" i="115"/>
  <c r="V40" i="115"/>
  <c r="V39" i="115"/>
  <c r="V107" i="115"/>
  <c r="V106" i="115"/>
  <c r="V38" i="115"/>
  <c r="V37" i="115"/>
  <c r="V105" i="115"/>
  <c r="V36" i="115"/>
  <c r="V35" i="115"/>
  <c r="V34" i="115"/>
  <c r="V33" i="115"/>
  <c r="V32" i="115"/>
  <c r="V31" i="115"/>
  <c r="V30" i="115"/>
  <c r="V104" i="115"/>
  <c r="V29" i="115"/>
  <c r="V28" i="115"/>
  <c r="V27" i="115"/>
  <c r="V26" i="115"/>
  <c r="V25" i="115"/>
  <c r="V103" i="115"/>
  <c r="V102" i="115"/>
  <c r="V24" i="115"/>
  <c r="V23" i="115"/>
  <c r="V22" i="115"/>
  <c r="V21" i="115"/>
  <c r="V20" i="115"/>
  <c r="V19" i="115"/>
  <c r="V18" i="115"/>
  <c r="V17" i="115"/>
  <c r="V101" i="115"/>
  <c r="V16" i="115"/>
  <c r="V15" i="115"/>
  <c r="V14" i="115"/>
  <c r="V13" i="115"/>
  <c r="V12" i="115"/>
  <c r="V11" i="115"/>
  <c r="V10" i="115"/>
  <c r="V9" i="115"/>
  <c r="V8" i="115"/>
  <c r="V7" i="115"/>
  <c r="V100" i="115"/>
  <c r="V6" i="115"/>
  <c r="V5" i="115"/>
  <c r="V4" i="115"/>
  <c r="M99" i="115"/>
  <c r="M98" i="115"/>
  <c r="M97" i="115"/>
  <c r="M124" i="115"/>
  <c r="M123" i="115"/>
  <c r="M96" i="115"/>
  <c r="M95" i="115"/>
  <c r="M94" i="115"/>
  <c r="M122" i="115"/>
  <c r="M93" i="115"/>
  <c r="M92" i="115"/>
  <c r="M91" i="115"/>
  <c r="M121" i="115"/>
  <c r="M90" i="115"/>
  <c r="M89" i="115"/>
  <c r="M88" i="115"/>
  <c r="M87" i="115"/>
  <c r="M86" i="115"/>
  <c r="M85" i="115"/>
  <c r="M84" i="115"/>
  <c r="M83" i="115"/>
  <c r="M82" i="115"/>
  <c r="M81" i="115"/>
  <c r="M120" i="115"/>
  <c r="M80" i="115"/>
  <c r="M119" i="115"/>
  <c r="M79" i="115"/>
  <c r="M118" i="115"/>
  <c r="M78" i="115"/>
  <c r="M77" i="115"/>
  <c r="M76" i="115"/>
  <c r="M75" i="115"/>
  <c r="M74" i="115"/>
  <c r="M117" i="115"/>
  <c r="M73" i="115"/>
  <c r="M116" i="115"/>
  <c r="M72" i="115"/>
  <c r="M71" i="115"/>
  <c r="M70" i="115"/>
  <c r="M69" i="115"/>
  <c r="M115" i="115"/>
  <c r="M68" i="115"/>
  <c r="M67" i="115"/>
  <c r="M114" i="115"/>
  <c r="M113" i="115"/>
  <c r="M66" i="115"/>
  <c r="M65" i="115"/>
  <c r="M64" i="115"/>
  <c r="M63" i="115"/>
  <c r="M62" i="115"/>
  <c r="M61" i="115"/>
  <c r="M112" i="115"/>
  <c r="M111" i="115"/>
  <c r="M60" i="115"/>
  <c r="M110" i="115"/>
  <c r="M59" i="115"/>
  <c r="M58" i="115"/>
  <c r="M57" i="115"/>
  <c r="M56" i="115"/>
  <c r="M55" i="115"/>
  <c r="M54" i="115"/>
  <c r="M53" i="115"/>
  <c r="M52" i="115"/>
  <c r="M51" i="115"/>
  <c r="M50" i="115"/>
  <c r="M109" i="115"/>
  <c r="M49" i="115"/>
  <c r="M48" i="115"/>
  <c r="M47" i="115"/>
  <c r="M46" i="115"/>
  <c r="M108" i="115"/>
  <c r="M45" i="115"/>
  <c r="M44" i="115"/>
  <c r="M43" i="115"/>
  <c r="M42" i="115"/>
  <c r="M41" i="115"/>
  <c r="M40" i="115"/>
  <c r="M39" i="115"/>
  <c r="M107" i="115"/>
  <c r="M106" i="115"/>
  <c r="M38" i="115"/>
  <c r="M37" i="115"/>
  <c r="M105" i="115"/>
  <c r="M36" i="115"/>
  <c r="M35" i="115"/>
  <c r="M34" i="115"/>
  <c r="M33" i="115"/>
  <c r="M32" i="115"/>
  <c r="M31" i="115"/>
  <c r="M30" i="115"/>
  <c r="M104" i="115"/>
  <c r="M29" i="115"/>
  <c r="M28" i="115"/>
  <c r="M27" i="115"/>
  <c r="M26" i="115"/>
  <c r="M25" i="115"/>
  <c r="M103" i="115"/>
  <c r="M102" i="115"/>
  <c r="M24" i="115"/>
  <c r="M23" i="115"/>
  <c r="M22" i="115"/>
  <c r="M21" i="115"/>
  <c r="M20" i="115"/>
  <c r="M19" i="115"/>
  <c r="M18" i="115"/>
  <c r="M17" i="115"/>
  <c r="M101" i="115"/>
  <c r="M16" i="115"/>
  <c r="M15" i="115"/>
  <c r="M14" i="115"/>
  <c r="M13" i="115"/>
  <c r="M12" i="115"/>
  <c r="M11" i="115"/>
  <c r="M10" i="115"/>
  <c r="M9" i="115"/>
  <c r="M8" i="115"/>
  <c r="M7" i="115"/>
  <c r="M100" i="115"/>
  <c r="M6" i="115"/>
  <c r="M5" i="115"/>
  <c r="M4" i="115"/>
  <c r="L99" i="115"/>
  <c r="L98" i="115"/>
  <c r="L97" i="115"/>
  <c r="L124" i="115"/>
  <c r="L123" i="115"/>
  <c r="L96" i="115"/>
  <c r="L95" i="115"/>
  <c r="L94" i="115"/>
  <c r="L122" i="115"/>
  <c r="L93" i="115"/>
  <c r="L92" i="115"/>
  <c r="L91" i="115"/>
  <c r="L121" i="115"/>
  <c r="L90" i="115"/>
  <c r="L89" i="115"/>
  <c r="L88" i="115"/>
  <c r="L87" i="115"/>
  <c r="L86" i="115"/>
  <c r="L85" i="115"/>
  <c r="L84" i="115"/>
  <c r="L83" i="115"/>
  <c r="L82" i="115"/>
  <c r="L81" i="115"/>
  <c r="L120" i="115"/>
  <c r="L80" i="115"/>
  <c r="L119" i="115"/>
  <c r="L79" i="115"/>
  <c r="L118" i="115"/>
  <c r="L78" i="115"/>
  <c r="L77" i="115"/>
  <c r="L76" i="115"/>
  <c r="L75" i="115"/>
  <c r="L74" i="115"/>
  <c r="L117" i="115"/>
  <c r="L73" i="115"/>
  <c r="L116" i="115"/>
  <c r="L72" i="115"/>
  <c r="L71" i="115"/>
  <c r="L70" i="115"/>
  <c r="L69" i="115"/>
  <c r="L115" i="115"/>
  <c r="L68" i="115"/>
  <c r="L67" i="115"/>
  <c r="L114" i="115"/>
  <c r="L113" i="115"/>
  <c r="L66" i="115"/>
  <c r="L65" i="115"/>
  <c r="L64" i="115"/>
  <c r="L63" i="115"/>
  <c r="L62" i="115"/>
  <c r="L61" i="115"/>
  <c r="L112" i="115"/>
  <c r="L111" i="115"/>
  <c r="L60" i="115"/>
  <c r="L110" i="115"/>
  <c r="L59" i="115"/>
  <c r="L58" i="115"/>
  <c r="L57" i="115"/>
  <c r="L56" i="115"/>
  <c r="L55" i="115"/>
  <c r="L54" i="115"/>
  <c r="L53" i="115"/>
  <c r="L52" i="115"/>
  <c r="L51" i="115"/>
  <c r="L50" i="115"/>
  <c r="L109" i="115"/>
  <c r="L49" i="115"/>
  <c r="L48" i="115"/>
  <c r="L47" i="115"/>
  <c r="L46" i="115"/>
  <c r="L108" i="115"/>
  <c r="L45" i="115"/>
  <c r="L44" i="115"/>
  <c r="L43" i="115"/>
  <c r="L42" i="115"/>
  <c r="L41" i="115"/>
  <c r="L40" i="115"/>
  <c r="L39" i="115"/>
  <c r="L107" i="115"/>
  <c r="L106" i="115"/>
  <c r="L38" i="115"/>
  <c r="L37" i="115"/>
  <c r="L105" i="115"/>
  <c r="L36" i="115"/>
  <c r="L35" i="115"/>
  <c r="L34" i="115"/>
  <c r="L33" i="115"/>
  <c r="L32" i="115"/>
  <c r="L31" i="115"/>
  <c r="L30" i="115"/>
  <c r="L104" i="115"/>
  <c r="L29" i="115"/>
  <c r="L28" i="115"/>
  <c r="L27" i="115"/>
  <c r="L26" i="115"/>
  <c r="L25" i="115"/>
  <c r="L103" i="115"/>
  <c r="L102" i="115"/>
  <c r="L24" i="115"/>
  <c r="L23" i="115"/>
  <c r="L22" i="115"/>
  <c r="L21" i="115"/>
  <c r="L20" i="115"/>
  <c r="L19" i="115"/>
  <c r="L18" i="115"/>
  <c r="L17" i="115"/>
  <c r="L101" i="115"/>
  <c r="L16" i="115"/>
  <c r="L15" i="115"/>
  <c r="L14" i="115"/>
  <c r="L13" i="115"/>
  <c r="L12" i="115"/>
  <c r="L11" i="115"/>
  <c r="L10" i="115"/>
  <c r="L9" i="115"/>
  <c r="L8" i="115"/>
  <c r="L7" i="115"/>
  <c r="L100" i="115"/>
  <c r="L6" i="115"/>
  <c r="L5" i="115"/>
  <c r="L4" i="115"/>
  <c r="J99" i="115"/>
  <c r="J98" i="115"/>
  <c r="J97" i="115"/>
  <c r="J124" i="115"/>
  <c r="J123" i="115"/>
  <c r="J96" i="115"/>
  <c r="J95" i="115"/>
  <c r="J94" i="115"/>
  <c r="J122" i="115"/>
  <c r="J93" i="115"/>
  <c r="J92" i="115"/>
  <c r="J91" i="115"/>
  <c r="J121" i="115"/>
  <c r="J90" i="115"/>
  <c r="J89" i="115"/>
  <c r="J88" i="115"/>
  <c r="J87" i="115"/>
  <c r="J86" i="115"/>
  <c r="J85" i="115"/>
  <c r="J84" i="115"/>
  <c r="J83" i="115"/>
  <c r="J82" i="115"/>
  <c r="J81" i="115"/>
  <c r="J120" i="115"/>
  <c r="J80" i="115"/>
  <c r="J119" i="115"/>
  <c r="J79" i="115"/>
  <c r="J118" i="115"/>
  <c r="J78" i="115"/>
  <c r="J77" i="115"/>
  <c r="J76" i="115"/>
  <c r="J75" i="115"/>
  <c r="J74" i="115"/>
  <c r="J117" i="115"/>
  <c r="J73" i="115"/>
  <c r="J116" i="115"/>
  <c r="J72" i="115"/>
  <c r="J71" i="115"/>
  <c r="J70" i="115"/>
  <c r="J69" i="115"/>
  <c r="J115" i="115"/>
  <c r="J68" i="115"/>
  <c r="J67" i="115"/>
  <c r="J114" i="115"/>
  <c r="J113" i="115"/>
  <c r="J66" i="115"/>
  <c r="J65" i="115"/>
  <c r="J64" i="115"/>
  <c r="J63" i="115"/>
  <c r="J62" i="115"/>
  <c r="J61" i="115"/>
  <c r="J112" i="115"/>
  <c r="J111" i="115"/>
  <c r="J60" i="115"/>
  <c r="J110" i="115"/>
  <c r="J59" i="115"/>
  <c r="J58" i="115"/>
  <c r="J57" i="115"/>
  <c r="J56" i="115"/>
  <c r="J55" i="115"/>
  <c r="J54" i="115"/>
  <c r="J53" i="115"/>
  <c r="J52" i="115"/>
  <c r="J51" i="115"/>
  <c r="J50" i="115"/>
  <c r="J109" i="115"/>
  <c r="J49" i="115"/>
  <c r="J48" i="115"/>
  <c r="J47" i="115"/>
  <c r="J46" i="115"/>
  <c r="J108" i="115"/>
  <c r="J45" i="115"/>
  <c r="J44" i="115"/>
  <c r="J43" i="115"/>
  <c r="J42" i="115"/>
  <c r="J41" i="115"/>
  <c r="J40" i="115"/>
  <c r="J39" i="115"/>
  <c r="J107" i="115"/>
  <c r="J106" i="115"/>
  <c r="J38" i="115"/>
  <c r="J37" i="115"/>
  <c r="J105" i="115"/>
  <c r="J36" i="115"/>
  <c r="J35" i="115"/>
  <c r="J34" i="115"/>
  <c r="J33" i="115"/>
  <c r="J32" i="115"/>
  <c r="J31" i="115"/>
  <c r="J30" i="115"/>
  <c r="J104" i="115"/>
  <c r="J29" i="115"/>
  <c r="J28" i="115"/>
  <c r="J27" i="115"/>
  <c r="J26" i="115"/>
  <c r="J25" i="115"/>
  <c r="J103" i="115"/>
  <c r="J102" i="115"/>
  <c r="J24" i="115"/>
  <c r="J23" i="115"/>
  <c r="J22" i="115"/>
  <c r="J21" i="115"/>
  <c r="J20" i="115"/>
  <c r="J19" i="115"/>
  <c r="J18" i="115"/>
  <c r="J17" i="115"/>
  <c r="J101" i="115"/>
  <c r="J16" i="115"/>
  <c r="J15" i="115"/>
  <c r="J14" i="115"/>
  <c r="J13" i="115"/>
  <c r="J12" i="115"/>
  <c r="J11" i="115"/>
  <c r="J10" i="115"/>
  <c r="J9" i="115"/>
  <c r="J8" i="115"/>
  <c r="J7" i="115"/>
  <c r="J100" i="115"/>
  <c r="J6" i="115"/>
  <c r="J5" i="115"/>
  <c r="J4" i="115"/>
  <c r="K99" i="115"/>
  <c r="K98" i="115"/>
  <c r="K97" i="115"/>
  <c r="K124" i="115"/>
  <c r="K123" i="115"/>
  <c r="K96" i="115"/>
  <c r="K95" i="115"/>
  <c r="K94" i="115"/>
  <c r="K122" i="115"/>
  <c r="K93" i="115"/>
  <c r="K92" i="115"/>
  <c r="K91" i="115"/>
  <c r="K121" i="115"/>
  <c r="K90" i="115"/>
  <c r="K89" i="115"/>
  <c r="K88" i="115"/>
  <c r="K87" i="115"/>
  <c r="K86" i="115"/>
  <c r="K85" i="115"/>
  <c r="K84" i="115"/>
  <c r="K83" i="115"/>
  <c r="K82" i="115"/>
  <c r="K81" i="115"/>
  <c r="K120" i="115"/>
  <c r="K80" i="115"/>
  <c r="K119" i="115"/>
  <c r="K79" i="115"/>
  <c r="K118" i="115"/>
  <c r="K78" i="115"/>
  <c r="K77" i="115"/>
  <c r="K76" i="115"/>
  <c r="K75" i="115"/>
  <c r="K74" i="115"/>
  <c r="K117" i="115"/>
  <c r="K73" i="115"/>
  <c r="K116" i="115"/>
  <c r="K72" i="115"/>
  <c r="K71" i="115"/>
  <c r="K70" i="115"/>
  <c r="K69" i="115"/>
  <c r="K115" i="115"/>
  <c r="K68" i="115"/>
  <c r="K67" i="115"/>
  <c r="K114" i="115"/>
  <c r="K113" i="115"/>
  <c r="K66" i="115"/>
  <c r="K65" i="115"/>
  <c r="K64" i="115"/>
  <c r="K63" i="115"/>
  <c r="K62" i="115"/>
  <c r="K61" i="115"/>
  <c r="K112" i="115"/>
  <c r="K111" i="115"/>
  <c r="K60" i="115"/>
  <c r="K110" i="115"/>
  <c r="K59" i="115"/>
  <c r="K58" i="115"/>
  <c r="K57" i="115"/>
  <c r="K56" i="115"/>
  <c r="K55" i="115"/>
  <c r="K54" i="115"/>
  <c r="K53" i="115"/>
  <c r="K52" i="115"/>
  <c r="K51" i="115"/>
  <c r="K50" i="115"/>
  <c r="K109" i="115"/>
  <c r="K49" i="115"/>
  <c r="K48" i="115"/>
  <c r="K47" i="115"/>
  <c r="K46" i="115"/>
  <c r="K108" i="115"/>
  <c r="K45" i="115"/>
  <c r="K44" i="115"/>
  <c r="K43" i="115"/>
  <c r="K42" i="115"/>
  <c r="K41" i="115"/>
  <c r="K40" i="115"/>
  <c r="K39" i="115"/>
  <c r="K107" i="115"/>
  <c r="K106" i="115"/>
  <c r="K38" i="115"/>
  <c r="K37" i="115"/>
  <c r="K105" i="115"/>
  <c r="K36" i="115"/>
  <c r="K35" i="115"/>
  <c r="K34" i="115"/>
  <c r="K33" i="115"/>
  <c r="K32" i="115"/>
  <c r="K31" i="115"/>
  <c r="K30" i="115"/>
  <c r="K104" i="115"/>
  <c r="K29" i="115"/>
  <c r="K28" i="115"/>
  <c r="K27" i="115"/>
  <c r="K26" i="115"/>
  <c r="K25" i="115"/>
  <c r="K103" i="115"/>
  <c r="K102" i="115"/>
  <c r="K24" i="115"/>
  <c r="K23" i="115"/>
  <c r="K22" i="115"/>
  <c r="K21" i="115"/>
  <c r="K20" i="115"/>
  <c r="K19" i="115"/>
  <c r="K18" i="115"/>
  <c r="K17" i="115"/>
  <c r="K101" i="115"/>
  <c r="K16" i="115"/>
  <c r="K15" i="115"/>
  <c r="K14" i="115"/>
  <c r="K13" i="115"/>
  <c r="K12" i="115"/>
  <c r="K11" i="115"/>
  <c r="K10" i="115"/>
  <c r="K9" i="115"/>
  <c r="K8" i="115"/>
  <c r="K7" i="115"/>
  <c r="K100" i="115"/>
  <c r="K6" i="115"/>
  <c r="K5" i="115"/>
  <c r="K4" i="115"/>
  <c r="AD127" i="79" l="1"/>
  <c r="AE127" i="79"/>
  <c r="G58" i="1"/>
  <c r="J63" i="1"/>
  <c r="J62" i="1"/>
  <c r="J61" i="1"/>
  <c r="J60" i="1"/>
  <c r="B21" i="108" l="1"/>
  <c r="D36" i="108"/>
  <c r="D35" i="108"/>
  <c r="D34" i="108"/>
  <c r="D33" i="108"/>
  <c r="D32" i="108"/>
  <c r="D31" i="108"/>
  <c r="D30" i="108"/>
  <c r="D29" i="108"/>
  <c r="D28" i="108"/>
  <c r="D27" i="108"/>
  <c r="D26" i="108"/>
  <c r="D25" i="108"/>
  <c r="D24" i="108"/>
  <c r="D23" i="108"/>
  <c r="D22" i="108"/>
  <c r="B2" i="108" l="1"/>
  <c r="AX131" i="109"/>
  <c r="AW131" i="109"/>
  <c r="AV131" i="109"/>
  <c r="AU131" i="109"/>
  <c r="AT131" i="109"/>
  <c r="AS131" i="109"/>
  <c r="AR131" i="109"/>
  <c r="AQ131" i="109"/>
  <c r="AP131" i="109"/>
  <c r="AO131" i="109"/>
  <c r="AN131" i="109"/>
  <c r="AM131" i="109"/>
  <c r="AL131" i="109"/>
  <c r="AK131" i="109"/>
  <c r="AJ131" i="109"/>
  <c r="AX130" i="109"/>
  <c r="AW130" i="109"/>
  <c r="AV130" i="109"/>
  <c r="AU130" i="109"/>
  <c r="AT130" i="109"/>
  <c r="AS130" i="109"/>
  <c r="AR130" i="109"/>
  <c r="AQ130" i="109"/>
  <c r="AP130" i="109"/>
  <c r="AO130" i="109"/>
  <c r="AN130" i="109"/>
  <c r="AM130" i="109"/>
  <c r="AL130" i="109"/>
  <c r="AK130" i="109"/>
  <c r="AJ130" i="109"/>
  <c r="AX129" i="109"/>
  <c r="AW129" i="109"/>
  <c r="AV129" i="109"/>
  <c r="AU129" i="109"/>
  <c r="AT129" i="109"/>
  <c r="AS129" i="109"/>
  <c r="AR129" i="109"/>
  <c r="AQ129" i="109"/>
  <c r="AP129" i="109"/>
  <c r="AO129" i="109"/>
  <c r="AN129" i="109"/>
  <c r="AM129" i="109"/>
  <c r="AL129" i="109"/>
  <c r="AK129" i="109"/>
  <c r="AJ129" i="109"/>
  <c r="AX128" i="109"/>
  <c r="AW128" i="109"/>
  <c r="AV128" i="109"/>
  <c r="AU128" i="109"/>
  <c r="AT128" i="109"/>
  <c r="AS128" i="109"/>
  <c r="AR128" i="109"/>
  <c r="AQ128" i="109"/>
  <c r="AP128" i="109"/>
  <c r="AO128" i="109"/>
  <c r="AN128" i="109"/>
  <c r="AM128" i="109"/>
  <c r="AL128" i="109"/>
  <c r="AK128" i="109"/>
  <c r="AJ128" i="109"/>
  <c r="AX127" i="109"/>
  <c r="AW127" i="109"/>
  <c r="AV127" i="109"/>
  <c r="AU127" i="109"/>
  <c r="AT127" i="109"/>
  <c r="AS127" i="109"/>
  <c r="AR127" i="109"/>
  <c r="AQ127" i="109"/>
  <c r="AP127" i="109"/>
  <c r="AO127" i="109"/>
  <c r="AN127" i="109"/>
  <c r="AM127" i="109"/>
  <c r="AL127" i="109"/>
  <c r="AK127" i="109"/>
  <c r="AJ127" i="109"/>
  <c r="AX100" i="109"/>
  <c r="AW100" i="109"/>
  <c r="AV100" i="109"/>
  <c r="AU100" i="109"/>
  <c r="AT100" i="109"/>
  <c r="AS100" i="109"/>
  <c r="AR100" i="109"/>
  <c r="AQ100" i="109"/>
  <c r="AP100" i="109"/>
  <c r="AO100" i="109"/>
  <c r="AN100" i="109"/>
  <c r="AM100" i="109"/>
  <c r="AL100" i="109"/>
  <c r="AK100" i="109"/>
  <c r="AJ100" i="109"/>
  <c r="AX99" i="109"/>
  <c r="AW99" i="109"/>
  <c r="AV99" i="109"/>
  <c r="AU99" i="109"/>
  <c r="AT99" i="109"/>
  <c r="AS99" i="109"/>
  <c r="AR99" i="109"/>
  <c r="AQ99" i="109"/>
  <c r="AP99" i="109"/>
  <c r="AO99" i="109"/>
  <c r="AN99" i="109"/>
  <c r="AM99" i="109"/>
  <c r="AL99" i="109"/>
  <c r="AK99" i="109"/>
  <c r="AJ99" i="109"/>
  <c r="AX98" i="109"/>
  <c r="AW98" i="109"/>
  <c r="AV98" i="109"/>
  <c r="AU98" i="109"/>
  <c r="AT98" i="109"/>
  <c r="AS98" i="109"/>
  <c r="AR98" i="109"/>
  <c r="AQ98" i="109"/>
  <c r="AP98" i="109"/>
  <c r="AO98" i="109"/>
  <c r="AN98" i="109"/>
  <c r="AM98" i="109"/>
  <c r="AL98" i="109"/>
  <c r="AK98" i="109"/>
  <c r="AJ98" i="109"/>
  <c r="AX125" i="109"/>
  <c r="AW125" i="109"/>
  <c r="AV125" i="109"/>
  <c r="AU125" i="109"/>
  <c r="AT125" i="109"/>
  <c r="AS125" i="109"/>
  <c r="AR125" i="109"/>
  <c r="AQ125" i="109"/>
  <c r="AP125" i="109"/>
  <c r="AO125" i="109"/>
  <c r="AN125" i="109"/>
  <c r="AM125" i="109"/>
  <c r="AL125" i="109"/>
  <c r="AK125" i="109"/>
  <c r="AJ125" i="109"/>
  <c r="AX124" i="109"/>
  <c r="AW124" i="109"/>
  <c r="AV124" i="109"/>
  <c r="AU124" i="109"/>
  <c r="AT124" i="109"/>
  <c r="AS124" i="109"/>
  <c r="AR124" i="109"/>
  <c r="AQ124" i="109"/>
  <c r="AP124" i="109"/>
  <c r="AO124" i="109"/>
  <c r="AN124" i="109"/>
  <c r="AM124" i="109"/>
  <c r="AL124" i="109"/>
  <c r="AK124" i="109"/>
  <c r="AJ124" i="109"/>
  <c r="AX97" i="109"/>
  <c r="AW97" i="109"/>
  <c r="AV97" i="109"/>
  <c r="AU97" i="109"/>
  <c r="AT97" i="109"/>
  <c r="AS97" i="109"/>
  <c r="AR97" i="109"/>
  <c r="AQ97" i="109"/>
  <c r="AP97" i="109"/>
  <c r="AO97" i="109"/>
  <c r="AN97" i="109"/>
  <c r="AM97" i="109"/>
  <c r="AL97" i="109"/>
  <c r="AK97" i="109"/>
  <c r="AJ97" i="109"/>
  <c r="AX96" i="109"/>
  <c r="AW96" i="109"/>
  <c r="AV96" i="109"/>
  <c r="AU96" i="109"/>
  <c r="AT96" i="109"/>
  <c r="AS96" i="109"/>
  <c r="AR96" i="109"/>
  <c r="AQ96" i="109"/>
  <c r="AP96" i="109"/>
  <c r="AO96" i="109"/>
  <c r="AN96" i="109"/>
  <c r="AM96" i="109"/>
  <c r="AL96" i="109"/>
  <c r="AK96" i="109"/>
  <c r="AJ96" i="109"/>
  <c r="AX95" i="109"/>
  <c r="AW95" i="109"/>
  <c r="AV95" i="109"/>
  <c r="AU95" i="109"/>
  <c r="AT95" i="109"/>
  <c r="AS95" i="109"/>
  <c r="AR95" i="109"/>
  <c r="AQ95" i="109"/>
  <c r="AP95" i="109"/>
  <c r="AO95" i="109"/>
  <c r="AN95" i="109"/>
  <c r="AM95" i="109"/>
  <c r="AL95" i="109"/>
  <c r="AK95" i="109"/>
  <c r="AJ95" i="109"/>
  <c r="AX123" i="109"/>
  <c r="AW123" i="109"/>
  <c r="AV123" i="109"/>
  <c r="AU123" i="109"/>
  <c r="AT123" i="109"/>
  <c r="AS123" i="109"/>
  <c r="AR123" i="109"/>
  <c r="AQ123" i="109"/>
  <c r="AP123" i="109"/>
  <c r="AO123" i="109"/>
  <c r="AN123" i="109"/>
  <c r="AM123" i="109"/>
  <c r="AL123" i="109"/>
  <c r="AK123" i="109"/>
  <c r="AJ123" i="109"/>
  <c r="AX94" i="109"/>
  <c r="AW94" i="109"/>
  <c r="AV94" i="109"/>
  <c r="AU94" i="109"/>
  <c r="AT94" i="109"/>
  <c r="AS94" i="109"/>
  <c r="AR94" i="109"/>
  <c r="AQ94" i="109"/>
  <c r="AP94" i="109"/>
  <c r="AO94" i="109"/>
  <c r="AN94" i="109"/>
  <c r="AM94" i="109"/>
  <c r="AL94" i="109"/>
  <c r="AK94" i="109"/>
  <c r="AJ94" i="109"/>
  <c r="AX93" i="109"/>
  <c r="AW93" i="109"/>
  <c r="AV93" i="109"/>
  <c r="AU93" i="109"/>
  <c r="AT93" i="109"/>
  <c r="AS93" i="109"/>
  <c r="AR93" i="109"/>
  <c r="AQ93" i="109"/>
  <c r="AP93" i="109"/>
  <c r="AO93" i="109"/>
  <c r="AN93" i="109"/>
  <c r="AM93" i="109"/>
  <c r="AL93" i="109"/>
  <c r="AK93" i="109"/>
  <c r="AJ93" i="109"/>
  <c r="AX92" i="109"/>
  <c r="AW92" i="109"/>
  <c r="AV92" i="109"/>
  <c r="AU92" i="109"/>
  <c r="AT92" i="109"/>
  <c r="AS92" i="109"/>
  <c r="AR92" i="109"/>
  <c r="AQ92" i="109"/>
  <c r="AP92" i="109"/>
  <c r="AO92" i="109"/>
  <c r="AN92" i="109"/>
  <c r="AM92" i="109"/>
  <c r="AL92" i="109"/>
  <c r="AK92" i="109"/>
  <c r="AJ92" i="109"/>
  <c r="AX122" i="109"/>
  <c r="AW122" i="109"/>
  <c r="AV122" i="109"/>
  <c r="AU122" i="109"/>
  <c r="AT122" i="109"/>
  <c r="AS122" i="109"/>
  <c r="AR122" i="109"/>
  <c r="AQ122" i="109"/>
  <c r="AP122" i="109"/>
  <c r="AO122" i="109"/>
  <c r="AN122" i="109"/>
  <c r="AM122" i="109"/>
  <c r="AL122" i="109"/>
  <c r="AK122" i="109"/>
  <c r="AJ122" i="109"/>
  <c r="AX91" i="109"/>
  <c r="AW91" i="109"/>
  <c r="AV91" i="109"/>
  <c r="AU91" i="109"/>
  <c r="AT91" i="109"/>
  <c r="AS91" i="109"/>
  <c r="AR91" i="109"/>
  <c r="AQ91" i="109"/>
  <c r="AP91" i="109"/>
  <c r="AO91" i="109"/>
  <c r="AN91" i="109"/>
  <c r="AM91" i="109"/>
  <c r="AL91" i="109"/>
  <c r="AK91" i="109"/>
  <c r="AJ91" i="109"/>
  <c r="AX90" i="109"/>
  <c r="AW90" i="109"/>
  <c r="AV90" i="109"/>
  <c r="AU90" i="109"/>
  <c r="AT90" i="109"/>
  <c r="AS90" i="109"/>
  <c r="AR90" i="109"/>
  <c r="AQ90" i="109"/>
  <c r="AP90" i="109"/>
  <c r="AO90" i="109"/>
  <c r="AN90" i="109"/>
  <c r="AM90" i="109"/>
  <c r="AL90" i="109"/>
  <c r="AK90" i="109"/>
  <c r="AJ90" i="109"/>
  <c r="AX89" i="109"/>
  <c r="AW89" i="109"/>
  <c r="AV89" i="109"/>
  <c r="AU89" i="109"/>
  <c r="AT89" i="109"/>
  <c r="AS89" i="109"/>
  <c r="AR89" i="109"/>
  <c r="AQ89" i="109"/>
  <c r="AP89" i="109"/>
  <c r="AO89" i="109"/>
  <c r="AN89" i="109"/>
  <c r="AM89" i="109"/>
  <c r="AL89" i="109"/>
  <c r="AK89" i="109"/>
  <c r="AJ89" i="109"/>
  <c r="AX88" i="109"/>
  <c r="AW88" i="109"/>
  <c r="AV88" i="109"/>
  <c r="AU88" i="109"/>
  <c r="AT88" i="109"/>
  <c r="AS88" i="109"/>
  <c r="AR88" i="109"/>
  <c r="AQ88" i="109"/>
  <c r="AP88" i="109"/>
  <c r="AO88" i="109"/>
  <c r="AN88" i="109"/>
  <c r="AM88" i="109"/>
  <c r="AL88" i="109"/>
  <c r="AK88" i="109"/>
  <c r="AJ88" i="109"/>
  <c r="AX87" i="109"/>
  <c r="AW87" i="109"/>
  <c r="AV87" i="109"/>
  <c r="AU87" i="109"/>
  <c r="AT87" i="109"/>
  <c r="AS87" i="109"/>
  <c r="AR87" i="109"/>
  <c r="AQ87" i="109"/>
  <c r="AP87" i="109"/>
  <c r="AO87" i="109"/>
  <c r="AN87" i="109"/>
  <c r="AM87" i="109"/>
  <c r="AL87" i="109"/>
  <c r="AK87" i="109"/>
  <c r="AJ87" i="109"/>
  <c r="AX86" i="109"/>
  <c r="AW86" i="109"/>
  <c r="AV86" i="109"/>
  <c r="AU86" i="109"/>
  <c r="AT86" i="109"/>
  <c r="AS86" i="109"/>
  <c r="AR86" i="109"/>
  <c r="AQ86" i="109"/>
  <c r="AP86" i="109"/>
  <c r="AO86" i="109"/>
  <c r="AN86" i="109"/>
  <c r="AM86" i="109"/>
  <c r="AL86" i="109"/>
  <c r="AK86" i="109"/>
  <c r="AJ86" i="109"/>
  <c r="AX85" i="109"/>
  <c r="AW85" i="109"/>
  <c r="AV85" i="109"/>
  <c r="AU85" i="109"/>
  <c r="AT85" i="109"/>
  <c r="AS85" i="109"/>
  <c r="AR85" i="109"/>
  <c r="AQ85" i="109"/>
  <c r="AP85" i="109"/>
  <c r="AO85" i="109"/>
  <c r="AN85" i="109"/>
  <c r="AM85" i="109"/>
  <c r="AL85" i="109"/>
  <c r="AK85" i="109"/>
  <c r="AJ85" i="109"/>
  <c r="AX84" i="109"/>
  <c r="AW84" i="109"/>
  <c r="AV84" i="109"/>
  <c r="AU84" i="109"/>
  <c r="AT84" i="109"/>
  <c r="AS84" i="109"/>
  <c r="AR84" i="109"/>
  <c r="AQ84" i="109"/>
  <c r="AP84" i="109"/>
  <c r="AO84" i="109"/>
  <c r="AN84" i="109"/>
  <c r="AM84" i="109"/>
  <c r="AL84" i="109"/>
  <c r="AK84" i="109"/>
  <c r="AJ84" i="109"/>
  <c r="AX83" i="109"/>
  <c r="AW83" i="109"/>
  <c r="AV83" i="109"/>
  <c r="AU83" i="109"/>
  <c r="AT83" i="109"/>
  <c r="AS83" i="109"/>
  <c r="AR83" i="109"/>
  <c r="AQ83" i="109"/>
  <c r="AP83" i="109"/>
  <c r="AO83" i="109"/>
  <c r="AN83" i="109"/>
  <c r="AM83" i="109"/>
  <c r="AL83" i="109"/>
  <c r="AK83" i="109"/>
  <c r="AJ83" i="109"/>
  <c r="AX82" i="109"/>
  <c r="AW82" i="109"/>
  <c r="AV82" i="109"/>
  <c r="AU82" i="109"/>
  <c r="AT82" i="109"/>
  <c r="AS82" i="109"/>
  <c r="AR82" i="109"/>
  <c r="AQ82" i="109"/>
  <c r="AP82" i="109"/>
  <c r="AO82" i="109"/>
  <c r="AN82" i="109"/>
  <c r="AM82" i="109"/>
  <c r="AL82" i="109"/>
  <c r="AK82" i="109"/>
  <c r="AJ82" i="109"/>
  <c r="AX121" i="109"/>
  <c r="AW121" i="109"/>
  <c r="AV121" i="109"/>
  <c r="AU121" i="109"/>
  <c r="AT121" i="109"/>
  <c r="AS121" i="109"/>
  <c r="AR121" i="109"/>
  <c r="AQ121" i="109"/>
  <c r="AP121" i="109"/>
  <c r="AO121" i="109"/>
  <c r="AN121" i="109"/>
  <c r="AM121" i="109"/>
  <c r="AL121" i="109"/>
  <c r="AK121" i="109"/>
  <c r="AJ121" i="109"/>
  <c r="AX81" i="109"/>
  <c r="AW81" i="109"/>
  <c r="AV81" i="109"/>
  <c r="AU81" i="109"/>
  <c r="AT81" i="109"/>
  <c r="AS81" i="109"/>
  <c r="AR81" i="109"/>
  <c r="AQ81" i="109"/>
  <c r="AP81" i="109"/>
  <c r="AO81" i="109"/>
  <c r="AN81" i="109"/>
  <c r="AM81" i="109"/>
  <c r="AL81" i="109"/>
  <c r="AK81" i="109"/>
  <c r="AJ81" i="109"/>
  <c r="AX120" i="109"/>
  <c r="AW120" i="109"/>
  <c r="AV120" i="109"/>
  <c r="AU120" i="109"/>
  <c r="AT120" i="109"/>
  <c r="AS120" i="109"/>
  <c r="AR120" i="109"/>
  <c r="AQ120" i="109"/>
  <c r="AP120" i="109"/>
  <c r="AO120" i="109"/>
  <c r="AN120" i="109"/>
  <c r="AM120" i="109"/>
  <c r="AL120" i="109"/>
  <c r="AK120" i="109"/>
  <c r="AJ120" i="109"/>
  <c r="AX80" i="109"/>
  <c r="AW80" i="109"/>
  <c r="AV80" i="109"/>
  <c r="AU80" i="109"/>
  <c r="AT80" i="109"/>
  <c r="AS80" i="109"/>
  <c r="AR80" i="109"/>
  <c r="AQ80" i="109"/>
  <c r="AP80" i="109"/>
  <c r="AO80" i="109"/>
  <c r="AN80" i="109"/>
  <c r="AM80" i="109"/>
  <c r="AL80" i="109"/>
  <c r="AK80" i="109"/>
  <c r="AJ80" i="109"/>
  <c r="AX119" i="109"/>
  <c r="AW119" i="109"/>
  <c r="AV119" i="109"/>
  <c r="AU119" i="109"/>
  <c r="AT119" i="109"/>
  <c r="AS119" i="109"/>
  <c r="AR119" i="109"/>
  <c r="AQ119" i="109"/>
  <c r="AP119" i="109"/>
  <c r="AO119" i="109"/>
  <c r="AN119" i="109"/>
  <c r="AM119" i="109"/>
  <c r="AL119" i="109"/>
  <c r="AK119" i="109"/>
  <c r="AJ119" i="109"/>
  <c r="AX79" i="109"/>
  <c r="AW79" i="109"/>
  <c r="AV79" i="109"/>
  <c r="AU79" i="109"/>
  <c r="AT79" i="109"/>
  <c r="AS79" i="109"/>
  <c r="AR79" i="109"/>
  <c r="AQ79" i="109"/>
  <c r="AP79" i="109"/>
  <c r="AO79" i="109"/>
  <c r="AN79" i="109"/>
  <c r="AM79" i="109"/>
  <c r="AL79" i="109"/>
  <c r="AK79" i="109"/>
  <c r="AJ79" i="109"/>
  <c r="AX78" i="109"/>
  <c r="AW78" i="109"/>
  <c r="AV78" i="109"/>
  <c r="AU78" i="109"/>
  <c r="AT78" i="109"/>
  <c r="AS78" i="109"/>
  <c r="AR78" i="109"/>
  <c r="AQ78" i="109"/>
  <c r="AP78" i="109"/>
  <c r="AO78" i="109"/>
  <c r="AN78" i="109"/>
  <c r="AM78" i="109"/>
  <c r="AL78" i="109"/>
  <c r="AK78" i="109"/>
  <c r="AJ78" i="109"/>
  <c r="AX77" i="109"/>
  <c r="AW77" i="109"/>
  <c r="AV77" i="109"/>
  <c r="AU77" i="109"/>
  <c r="AT77" i="109"/>
  <c r="AS77" i="109"/>
  <c r="AR77" i="109"/>
  <c r="AQ77" i="109"/>
  <c r="AP77" i="109"/>
  <c r="AO77" i="109"/>
  <c r="AN77" i="109"/>
  <c r="AM77" i="109"/>
  <c r="AL77" i="109"/>
  <c r="AK77" i="109"/>
  <c r="AJ77" i="109"/>
  <c r="AX76" i="109"/>
  <c r="AW76" i="109"/>
  <c r="AV76" i="109"/>
  <c r="AU76" i="109"/>
  <c r="AT76" i="109"/>
  <c r="AS76" i="109"/>
  <c r="AR76" i="109"/>
  <c r="AQ76" i="109"/>
  <c r="AP76" i="109"/>
  <c r="AO76" i="109"/>
  <c r="AN76" i="109"/>
  <c r="AM76" i="109"/>
  <c r="AL76" i="109"/>
  <c r="AK76" i="109"/>
  <c r="AJ76" i="109"/>
  <c r="AX75" i="109"/>
  <c r="AW75" i="109"/>
  <c r="AV75" i="109"/>
  <c r="AU75" i="109"/>
  <c r="AT75" i="109"/>
  <c r="AS75" i="109"/>
  <c r="AR75" i="109"/>
  <c r="AQ75" i="109"/>
  <c r="AP75" i="109"/>
  <c r="AO75" i="109"/>
  <c r="AN75" i="109"/>
  <c r="AM75" i="109"/>
  <c r="AL75" i="109"/>
  <c r="AK75" i="109"/>
  <c r="AJ75" i="109"/>
  <c r="AX118" i="109"/>
  <c r="AW118" i="109"/>
  <c r="AV118" i="109"/>
  <c r="AU118" i="109"/>
  <c r="AT118" i="109"/>
  <c r="AS118" i="109"/>
  <c r="AR118" i="109"/>
  <c r="AQ118" i="109"/>
  <c r="AP118" i="109"/>
  <c r="AO118" i="109"/>
  <c r="AN118" i="109"/>
  <c r="AM118" i="109"/>
  <c r="AL118" i="109"/>
  <c r="AK118" i="109"/>
  <c r="AJ118" i="109"/>
  <c r="AX74" i="109"/>
  <c r="AW74" i="109"/>
  <c r="AV74" i="109"/>
  <c r="AU74" i="109"/>
  <c r="AT74" i="109"/>
  <c r="AS74" i="109"/>
  <c r="AR74" i="109"/>
  <c r="AQ74" i="109"/>
  <c r="AP74" i="109"/>
  <c r="AO74" i="109"/>
  <c r="AN74" i="109"/>
  <c r="AM74" i="109"/>
  <c r="AL74" i="109"/>
  <c r="AK74" i="109"/>
  <c r="AJ74" i="109"/>
  <c r="AX117" i="109"/>
  <c r="AW117" i="109"/>
  <c r="AV117" i="109"/>
  <c r="AU117" i="109"/>
  <c r="AT117" i="109"/>
  <c r="AS117" i="109"/>
  <c r="AR117" i="109"/>
  <c r="AQ117" i="109"/>
  <c r="AP117" i="109"/>
  <c r="AO117" i="109"/>
  <c r="AN117" i="109"/>
  <c r="AM117" i="109"/>
  <c r="AL117" i="109"/>
  <c r="AK117" i="109"/>
  <c r="AJ117" i="109"/>
  <c r="AX73" i="109"/>
  <c r="AW73" i="109"/>
  <c r="AV73" i="109"/>
  <c r="AU73" i="109"/>
  <c r="AT73" i="109"/>
  <c r="AS73" i="109"/>
  <c r="AR73" i="109"/>
  <c r="AQ73" i="109"/>
  <c r="AP73" i="109"/>
  <c r="AO73" i="109"/>
  <c r="AN73" i="109"/>
  <c r="AM73" i="109"/>
  <c r="AL73" i="109"/>
  <c r="AK73" i="109"/>
  <c r="AJ73" i="109"/>
  <c r="AX72" i="109"/>
  <c r="AW72" i="109"/>
  <c r="AV72" i="109"/>
  <c r="AU72" i="109"/>
  <c r="AT72" i="109"/>
  <c r="AS72" i="109"/>
  <c r="AR72" i="109"/>
  <c r="AQ72" i="109"/>
  <c r="AP72" i="109"/>
  <c r="AO72" i="109"/>
  <c r="AN72" i="109"/>
  <c r="AM72" i="109"/>
  <c r="AL72" i="109"/>
  <c r="AK72" i="109"/>
  <c r="AJ72" i="109"/>
  <c r="AX71" i="109"/>
  <c r="AW71" i="109"/>
  <c r="AV71" i="109"/>
  <c r="AU71" i="109"/>
  <c r="AT71" i="109"/>
  <c r="AS71" i="109"/>
  <c r="AR71" i="109"/>
  <c r="AQ71" i="109"/>
  <c r="AP71" i="109"/>
  <c r="AO71" i="109"/>
  <c r="AN71" i="109"/>
  <c r="AM71" i="109"/>
  <c r="AL71" i="109"/>
  <c r="AK71" i="109"/>
  <c r="AJ71" i="109"/>
  <c r="AX70" i="109"/>
  <c r="AW70" i="109"/>
  <c r="AV70" i="109"/>
  <c r="AU70" i="109"/>
  <c r="AT70" i="109"/>
  <c r="AS70" i="109"/>
  <c r="AR70" i="109"/>
  <c r="AQ70" i="109"/>
  <c r="AP70" i="109"/>
  <c r="AO70" i="109"/>
  <c r="AN70" i="109"/>
  <c r="AM70" i="109"/>
  <c r="AL70" i="109"/>
  <c r="AK70" i="109"/>
  <c r="AJ70" i="109"/>
  <c r="AX116" i="109"/>
  <c r="AW116" i="109"/>
  <c r="AV116" i="109"/>
  <c r="AU116" i="109"/>
  <c r="AT116" i="109"/>
  <c r="AS116" i="109"/>
  <c r="AR116" i="109"/>
  <c r="AQ116" i="109"/>
  <c r="AP116" i="109"/>
  <c r="AO116" i="109"/>
  <c r="AN116" i="109"/>
  <c r="AM116" i="109"/>
  <c r="AL116" i="109"/>
  <c r="AK116" i="109"/>
  <c r="AJ116" i="109"/>
  <c r="AX69" i="109"/>
  <c r="AW69" i="109"/>
  <c r="AV69" i="109"/>
  <c r="AU69" i="109"/>
  <c r="AT69" i="109"/>
  <c r="AS69" i="109"/>
  <c r="AR69" i="109"/>
  <c r="AQ69" i="109"/>
  <c r="AP69" i="109"/>
  <c r="AO69" i="109"/>
  <c r="AN69" i="109"/>
  <c r="AM69" i="109"/>
  <c r="AL69" i="109"/>
  <c r="AK69" i="109"/>
  <c r="AJ69" i="109"/>
  <c r="AX68" i="109"/>
  <c r="AW68" i="109"/>
  <c r="AV68" i="109"/>
  <c r="AU68" i="109"/>
  <c r="AT68" i="109"/>
  <c r="AS68" i="109"/>
  <c r="AR68" i="109"/>
  <c r="AQ68" i="109"/>
  <c r="AP68" i="109"/>
  <c r="AO68" i="109"/>
  <c r="AN68" i="109"/>
  <c r="AM68" i="109"/>
  <c r="AL68" i="109"/>
  <c r="AK68" i="109"/>
  <c r="AJ68" i="109"/>
  <c r="AX115" i="109"/>
  <c r="AW115" i="109"/>
  <c r="AV115" i="109"/>
  <c r="AU115" i="109"/>
  <c r="AT115" i="109"/>
  <c r="AS115" i="109"/>
  <c r="AR115" i="109"/>
  <c r="AQ115" i="109"/>
  <c r="AP115" i="109"/>
  <c r="AO115" i="109"/>
  <c r="AN115" i="109"/>
  <c r="AM115" i="109"/>
  <c r="AL115" i="109"/>
  <c r="AK115" i="109"/>
  <c r="AJ115" i="109"/>
  <c r="AX114" i="109"/>
  <c r="AW114" i="109"/>
  <c r="AV114" i="109"/>
  <c r="AU114" i="109"/>
  <c r="AT114" i="109"/>
  <c r="AS114" i="109"/>
  <c r="AR114" i="109"/>
  <c r="AQ114" i="109"/>
  <c r="AP114" i="109"/>
  <c r="AO114" i="109"/>
  <c r="AN114" i="109"/>
  <c r="AM114" i="109"/>
  <c r="AL114" i="109"/>
  <c r="AK114" i="109"/>
  <c r="AJ114" i="109"/>
  <c r="AX67" i="109"/>
  <c r="AW67" i="109"/>
  <c r="AV67" i="109"/>
  <c r="AU67" i="109"/>
  <c r="AT67" i="109"/>
  <c r="AS67" i="109"/>
  <c r="AR67" i="109"/>
  <c r="AQ67" i="109"/>
  <c r="AP67" i="109"/>
  <c r="AO67" i="109"/>
  <c r="AN67" i="109"/>
  <c r="AM67" i="109"/>
  <c r="AL67" i="109"/>
  <c r="AK67" i="109"/>
  <c r="AJ67" i="109"/>
  <c r="AX66" i="109"/>
  <c r="AW66" i="109"/>
  <c r="AV66" i="109"/>
  <c r="AU66" i="109"/>
  <c r="AT66" i="109"/>
  <c r="AS66" i="109"/>
  <c r="AR66" i="109"/>
  <c r="AQ66" i="109"/>
  <c r="AP66" i="109"/>
  <c r="AO66" i="109"/>
  <c r="AN66" i="109"/>
  <c r="AM66" i="109"/>
  <c r="AL66" i="109"/>
  <c r="AK66" i="109"/>
  <c r="AJ66" i="109"/>
  <c r="AX65" i="109"/>
  <c r="AW65" i="109"/>
  <c r="AV65" i="109"/>
  <c r="AU65" i="109"/>
  <c r="AT65" i="109"/>
  <c r="AS65" i="109"/>
  <c r="AR65" i="109"/>
  <c r="AQ65" i="109"/>
  <c r="AP65" i="109"/>
  <c r="AO65" i="109"/>
  <c r="AN65" i="109"/>
  <c r="AM65" i="109"/>
  <c r="AL65" i="109"/>
  <c r="AK65" i="109"/>
  <c r="AJ65" i="109"/>
  <c r="AX64" i="109"/>
  <c r="AW64" i="109"/>
  <c r="AV64" i="109"/>
  <c r="AU64" i="109"/>
  <c r="AT64" i="109"/>
  <c r="AS64" i="109"/>
  <c r="AR64" i="109"/>
  <c r="AQ64" i="109"/>
  <c r="AP64" i="109"/>
  <c r="AO64" i="109"/>
  <c r="AN64" i="109"/>
  <c r="AM64" i="109"/>
  <c r="AL64" i="109"/>
  <c r="AK64" i="109"/>
  <c r="AJ64" i="109"/>
  <c r="AX63" i="109"/>
  <c r="AW63" i="109"/>
  <c r="AV63" i="109"/>
  <c r="AU63" i="109"/>
  <c r="AT63" i="109"/>
  <c r="AS63" i="109"/>
  <c r="AR63" i="109"/>
  <c r="AQ63" i="109"/>
  <c r="AP63" i="109"/>
  <c r="AO63" i="109"/>
  <c r="AN63" i="109"/>
  <c r="AM63" i="109"/>
  <c r="AL63" i="109"/>
  <c r="AK63" i="109"/>
  <c r="AJ63" i="109"/>
  <c r="AX62" i="109"/>
  <c r="AW62" i="109"/>
  <c r="AV62" i="109"/>
  <c r="AU62" i="109"/>
  <c r="AT62" i="109"/>
  <c r="AS62" i="109"/>
  <c r="AR62" i="109"/>
  <c r="AQ62" i="109"/>
  <c r="AP62" i="109"/>
  <c r="AO62" i="109"/>
  <c r="AN62" i="109"/>
  <c r="AM62" i="109"/>
  <c r="AL62" i="109"/>
  <c r="AK62" i="109"/>
  <c r="AJ62" i="109"/>
  <c r="AX113" i="109"/>
  <c r="AW113" i="109"/>
  <c r="AV113" i="109"/>
  <c r="AU113" i="109"/>
  <c r="AT113" i="109"/>
  <c r="AS113" i="109"/>
  <c r="AR113" i="109"/>
  <c r="AQ113" i="109"/>
  <c r="AP113" i="109"/>
  <c r="AO113" i="109"/>
  <c r="AN113" i="109"/>
  <c r="AM113" i="109"/>
  <c r="AL113" i="109"/>
  <c r="AK113" i="109"/>
  <c r="AJ113" i="109"/>
  <c r="AX112" i="109"/>
  <c r="AW112" i="109"/>
  <c r="AV112" i="109"/>
  <c r="AU112" i="109"/>
  <c r="AT112" i="109"/>
  <c r="AS112" i="109"/>
  <c r="AR112" i="109"/>
  <c r="AQ112" i="109"/>
  <c r="AP112" i="109"/>
  <c r="AO112" i="109"/>
  <c r="AN112" i="109"/>
  <c r="AM112" i="109"/>
  <c r="AL112" i="109"/>
  <c r="AK112" i="109"/>
  <c r="AJ112" i="109"/>
  <c r="AX61" i="109"/>
  <c r="AW61" i="109"/>
  <c r="AV61" i="109"/>
  <c r="AU61" i="109"/>
  <c r="AT61" i="109"/>
  <c r="AS61" i="109"/>
  <c r="AR61" i="109"/>
  <c r="AQ61" i="109"/>
  <c r="AP61" i="109"/>
  <c r="AO61" i="109"/>
  <c r="AN61" i="109"/>
  <c r="AM61" i="109"/>
  <c r="AL61" i="109"/>
  <c r="AK61" i="109"/>
  <c r="AJ61" i="109"/>
  <c r="AX111" i="109"/>
  <c r="AW111" i="109"/>
  <c r="AV111" i="109"/>
  <c r="AU111" i="109"/>
  <c r="AT111" i="109"/>
  <c r="AS111" i="109"/>
  <c r="AR111" i="109"/>
  <c r="AQ111" i="109"/>
  <c r="AP111" i="109"/>
  <c r="AO111" i="109"/>
  <c r="AN111" i="109"/>
  <c r="AM111" i="109"/>
  <c r="AL111" i="109"/>
  <c r="AK111" i="109"/>
  <c r="AJ111" i="109"/>
  <c r="AX60" i="109"/>
  <c r="AW60" i="109"/>
  <c r="AV60" i="109"/>
  <c r="AU60" i="109"/>
  <c r="AT60" i="109"/>
  <c r="AS60" i="109"/>
  <c r="AR60" i="109"/>
  <c r="AQ60" i="109"/>
  <c r="AP60" i="109"/>
  <c r="AO60" i="109"/>
  <c r="AN60" i="109"/>
  <c r="AM60" i="109"/>
  <c r="AL60" i="109"/>
  <c r="AK60" i="109"/>
  <c r="AJ60" i="109"/>
  <c r="AX59" i="109"/>
  <c r="AW59" i="109"/>
  <c r="AV59" i="109"/>
  <c r="AU59" i="109"/>
  <c r="AT59" i="109"/>
  <c r="AS59" i="109"/>
  <c r="AR59" i="109"/>
  <c r="AQ59" i="109"/>
  <c r="AP59" i="109"/>
  <c r="AO59" i="109"/>
  <c r="AN59" i="109"/>
  <c r="AM59" i="109"/>
  <c r="AL59" i="109"/>
  <c r="AK59" i="109"/>
  <c r="AJ59" i="109"/>
  <c r="AX58" i="109"/>
  <c r="AW58" i="109"/>
  <c r="AV58" i="109"/>
  <c r="AU58" i="109"/>
  <c r="AT58" i="109"/>
  <c r="AS58" i="109"/>
  <c r="AR58" i="109"/>
  <c r="AQ58" i="109"/>
  <c r="AP58" i="109"/>
  <c r="AO58" i="109"/>
  <c r="AN58" i="109"/>
  <c r="AM58" i="109"/>
  <c r="AL58" i="109"/>
  <c r="AK58" i="109"/>
  <c r="AJ58" i="109"/>
  <c r="AX57" i="109"/>
  <c r="AW57" i="109"/>
  <c r="AV57" i="109"/>
  <c r="AU57" i="109"/>
  <c r="AT57" i="109"/>
  <c r="AS57" i="109"/>
  <c r="AR57" i="109"/>
  <c r="AQ57" i="109"/>
  <c r="AP57" i="109"/>
  <c r="AO57" i="109"/>
  <c r="AN57" i="109"/>
  <c r="AM57" i="109"/>
  <c r="AL57" i="109"/>
  <c r="AK57" i="109"/>
  <c r="AJ57" i="109"/>
  <c r="AX56" i="109"/>
  <c r="AW56" i="109"/>
  <c r="AV56" i="109"/>
  <c r="AU56" i="109"/>
  <c r="AT56" i="109"/>
  <c r="AS56" i="109"/>
  <c r="AR56" i="109"/>
  <c r="AQ56" i="109"/>
  <c r="AP56" i="109"/>
  <c r="AO56" i="109"/>
  <c r="AN56" i="109"/>
  <c r="AM56" i="109"/>
  <c r="AL56" i="109"/>
  <c r="AK56" i="109"/>
  <c r="AJ56" i="109"/>
  <c r="AX55" i="109"/>
  <c r="AW55" i="109"/>
  <c r="AV55" i="109"/>
  <c r="AU55" i="109"/>
  <c r="AT55" i="109"/>
  <c r="AS55" i="109"/>
  <c r="AR55" i="109"/>
  <c r="AQ55" i="109"/>
  <c r="AP55" i="109"/>
  <c r="AO55" i="109"/>
  <c r="AN55" i="109"/>
  <c r="AM55" i="109"/>
  <c r="AL55" i="109"/>
  <c r="AK55" i="109"/>
  <c r="AJ55" i="109"/>
  <c r="AX54" i="109"/>
  <c r="AW54" i="109"/>
  <c r="AV54" i="109"/>
  <c r="AU54" i="109"/>
  <c r="AT54" i="109"/>
  <c r="AS54" i="109"/>
  <c r="AR54" i="109"/>
  <c r="AQ54" i="109"/>
  <c r="AP54" i="109"/>
  <c r="AO54" i="109"/>
  <c r="AN54" i="109"/>
  <c r="AM54" i="109"/>
  <c r="AL54" i="109"/>
  <c r="AK54" i="109"/>
  <c r="AJ54" i="109"/>
  <c r="AX53" i="109"/>
  <c r="AW53" i="109"/>
  <c r="AV53" i="109"/>
  <c r="AU53" i="109"/>
  <c r="AT53" i="109"/>
  <c r="AS53" i="109"/>
  <c r="AR53" i="109"/>
  <c r="AQ53" i="109"/>
  <c r="AP53" i="109"/>
  <c r="AO53" i="109"/>
  <c r="AN53" i="109"/>
  <c r="AM53" i="109"/>
  <c r="AL53" i="109"/>
  <c r="AK53" i="109"/>
  <c r="AJ53" i="109"/>
  <c r="AX52" i="109"/>
  <c r="AW52" i="109"/>
  <c r="AV52" i="109"/>
  <c r="AU52" i="109"/>
  <c r="AT52" i="109"/>
  <c r="AS52" i="109"/>
  <c r="AR52" i="109"/>
  <c r="AQ52" i="109"/>
  <c r="AP52" i="109"/>
  <c r="AO52" i="109"/>
  <c r="AN52" i="109"/>
  <c r="AM52" i="109"/>
  <c r="AL52" i="109"/>
  <c r="AK52" i="109"/>
  <c r="AJ52" i="109"/>
  <c r="AX51" i="109"/>
  <c r="AW51" i="109"/>
  <c r="AV51" i="109"/>
  <c r="AU51" i="109"/>
  <c r="AT51" i="109"/>
  <c r="AS51" i="109"/>
  <c r="AR51" i="109"/>
  <c r="AQ51" i="109"/>
  <c r="AP51" i="109"/>
  <c r="AO51" i="109"/>
  <c r="AN51" i="109"/>
  <c r="AM51" i="109"/>
  <c r="AL51" i="109"/>
  <c r="AK51" i="109"/>
  <c r="AJ51" i="109"/>
  <c r="AX110" i="109"/>
  <c r="AW110" i="109"/>
  <c r="AV110" i="109"/>
  <c r="AU110" i="109"/>
  <c r="AT110" i="109"/>
  <c r="AS110" i="109"/>
  <c r="AR110" i="109"/>
  <c r="AQ110" i="109"/>
  <c r="AP110" i="109"/>
  <c r="AO110" i="109"/>
  <c r="AN110" i="109"/>
  <c r="AM110" i="109"/>
  <c r="AL110" i="109"/>
  <c r="AK110" i="109"/>
  <c r="AJ110" i="109"/>
  <c r="AX50" i="109"/>
  <c r="AW50" i="109"/>
  <c r="AV50" i="109"/>
  <c r="AU50" i="109"/>
  <c r="AT50" i="109"/>
  <c r="AS50" i="109"/>
  <c r="AR50" i="109"/>
  <c r="AQ50" i="109"/>
  <c r="AP50" i="109"/>
  <c r="AO50" i="109"/>
  <c r="AN50" i="109"/>
  <c r="AM50" i="109"/>
  <c r="AL50" i="109"/>
  <c r="AK50" i="109"/>
  <c r="AJ50" i="109"/>
  <c r="AX49" i="109"/>
  <c r="AW49" i="109"/>
  <c r="AV49" i="109"/>
  <c r="AU49" i="109"/>
  <c r="AT49" i="109"/>
  <c r="AS49" i="109"/>
  <c r="AR49" i="109"/>
  <c r="AQ49" i="109"/>
  <c r="AP49" i="109"/>
  <c r="AO49" i="109"/>
  <c r="AN49" i="109"/>
  <c r="AM49" i="109"/>
  <c r="AL49" i="109"/>
  <c r="AK49" i="109"/>
  <c r="AJ49" i="109"/>
  <c r="AX48" i="109"/>
  <c r="AW48" i="109"/>
  <c r="AV48" i="109"/>
  <c r="AU48" i="109"/>
  <c r="AT48" i="109"/>
  <c r="AS48" i="109"/>
  <c r="AR48" i="109"/>
  <c r="AQ48" i="109"/>
  <c r="AP48" i="109"/>
  <c r="AO48" i="109"/>
  <c r="AN48" i="109"/>
  <c r="AM48" i="109"/>
  <c r="AL48" i="109"/>
  <c r="AK48" i="109"/>
  <c r="AJ48" i="109"/>
  <c r="AX47" i="109"/>
  <c r="AW47" i="109"/>
  <c r="AV47" i="109"/>
  <c r="AU47" i="109"/>
  <c r="AT47" i="109"/>
  <c r="AS47" i="109"/>
  <c r="AR47" i="109"/>
  <c r="AQ47" i="109"/>
  <c r="AP47" i="109"/>
  <c r="AO47" i="109"/>
  <c r="AN47" i="109"/>
  <c r="AM47" i="109"/>
  <c r="AL47" i="109"/>
  <c r="AK47" i="109"/>
  <c r="AJ47" i="109"/>
  <c r="AX109" i="109"/>
  <c r="AW109" i="109"/>
  <c r="AV109" i="109"/>
  <c r="AU109" i="109"/>
  <c r="AT109" i="109"/>
  <c r="AS109" i="109"/>
  <c r="AR109" i="109"/>
  <c r="AQ109" i="109"/>
  <c r="AP109" i="109"/>
  <c r="AO109" i="109"/>
  <c r="AN109" i="109"/>
  <c r="AM109" i="109"/>
  <c r="AL109" i="109"/>
  <c r="AK109" i="109"/>
  <c r="AJ109" i="109"/>
  <c r="AX46" i="109"/>
  <c r="AW46" i="109"/>
  <c r="AV46" i="109"/>
  <c r="AU46" i="109"/>
  <c r="AT46" i="109"/>
  <c r="AS46" i="109"/>
  <c r="AR46" i="109"/>
  <c r="AQ46" i="109"/>
  <c r="AP46" i="109"/>
  <c r="AO46" i="109"/>
  <c r="AN46" i="109"/>
  <c r="AM46" i="109"/>
  <c r="AL46" i="109"/>
  <c r="AK46" i="109"/>
  <c r="AJ46" i="109"/>
  <c r="AX45" i="109"/>
  <c r="AW45" i="109"/>
  <c r="AV45" i="109"/>
  <c r="AU45" i="109"/>
  <c r="AT45" i="109"/>
  <c r="AS45" i="109"/>
  <c r="AR45" i="109"/>
  <c r="AQ45" i="109"/>
  <c r="AP45" i="109"/>
  <c r="AO45" i="109"/>
  <c r="AN45" i="109"/>
  <c r="AM45" i="109"/>
  <c r="AL45" i="109"/>
  <c r="AK45" i="109"/>
  <c r="AJ45" i="109"/>
  <c r="AX44" i="109"/>
  <c r="AW44" i="109"/>
  <c r="AV44" i="109"/>
  <c r="AU44" i="109"/>
  <c r="AT44" i="109"/>
  <c r="AS44" i="109"/>
  <c r="AR44" i="109"/>
  <c r="AQ44" i="109"/>
  <c r="AP44" i="109"/>
  <c r="AO44" i="109"/>
  <c r="AN44" i="109"/>
  <c r="AM44" i="109"/>
  <c r="AL44" i="109"/>
  <c r="AK44" i="109"/>
  <c r="AJ44" i="109"/>
  <c r="AX43" i="109"/>
  <c r="AW43" i="109"/>
  <c r="AV43" i="109"/>
  <c r="AU43" i="109"/>
  <c r="AT43" i="109"/>
  <c r="AS43" i="109"/>
  <c r="AR43" i="109"/>
  <c r="AQ43" i="109"/>
  <c r="AP43" i="109"/>
  <c r="AO43" i="109"/>
  <c r="AN43" i="109"/>
  <c r="AM43" i="109"/>
  <c r="AL43" i="109"/>
  <c r="AK43" i="109"/>
  <c r="AJ43" i="109"/>
  <c r="AX42" i="109"/>
  <c r="AW42" i="109"/>
  <c r="AV42" i="109"/>
  <c r="AU42" i="109"/>
  <c r="AT42" i="109"/>
  <c r="AS42" i="109"/>
  <c r="AR42" i="109"/>
  <c r="AQ42" i="109"/>
  <c r="AP42" i="109"/>
  <c r="AO42" i="109"/>
  <c r="AN42" i="109"/>
  <c r="AM42" i="109"/>
  <c r="AL42" i="109"/>
  <c r="AK42" i="109"/>
  <c r="AJ42" i="109"/>
  <c r="AX41" i="109"/>
  <c r="AW41" i="109"/>
  <c r="AV41" i="109"/>
  <c r="AU41" i="109"/>
  <c r="AT41" i="109"/>
  <c r="AS41" i="109"/>
  <c r="AR41" i="109"/>
  <c r="AQ41" i="109"/>
  <c r="AP41" i="109"/>
  <c r="AO41" i="109"/>
  <c r="AN41" i="109"/>
  <c r="AM41" i="109"/>
  <c r="AL41" i="109"/>
  <c r="AK41" i="109"/>
  <c r="AJ41" i="109"/>
  <c r="AX40" i="109"/>
  <c r="AW40" i="109"/>
  <c r="AV40" i="109"/>
  <c r="AU40" i="109"/>
  <c r="AT40" i="109"/>
  <c r="AS40" i="109"/>
  <c r="AR40" i="109"/>
  <c r="AQ40" i="109"/>
  <c r="AP40" i="109"/>
  <c r="AO40" i="109"/>
  <c r="AN40" i="109"/>
  <c r="AM40" i="109"/>
  <c r="AL40" i="109"/>
  <c r="AK40" i="109"/>
  <c r="AJ40" i="109"/>
  <c r="AX108" i="109"/>
  <c r="AW108" i="109"/>
  <c r="AV108" i="109"/>
  <c r="AU108" i="109"/>
  <c r="AT108" i="109"/>
  <c r="AS108" i="109"/>
  <c r="AR108" i="109"/>
  <c r="AQ108" i="109"/>
  <c r="AP108" i="109"/>
  <c r="AO108" i="109"/>
  <c r="AN108" i="109"/>
  <c r="AM108" i="109"/>
  <c r="AL108" i="109"/>
  <c r="AK108" i="109"/>
  <c r="AJ108" i="109"/>
  <c r="AX107" i="109"/>
  <c r="AW107" i="109"/>
  <c r="AV107" i="109"/>
  <c r="AU107" i="109"/>
  <c r="AT107" i="109"/>
  <c r="AS107" i="109"/>
  <c r="AR107" i="109"/>
  <c r="AQ107" i="109"/>
  <c r="AP107" i="109"/>
  <c r="AO107" i="109"/>
  <c r="AN107" i="109"/>
  <c r="AM107" i="109"/>
  <c r="AL107" i="109"/>
  <c r="AK107" i="109"/>
  <c r="AJ107" i="109"/>
  <c r="AX39" i="109"/>
  <c r="AW39" i="109"/>
  <c r="AV39" i="109"/>
  <c r="AU39" i="109"/>
  <c r="AT39" i="109"/>
  <c r="AS39" i="109"/>
  <c r="AR39" i="109"/>
  <c r="AQ39" i="109"/>
  <c r="AP39" i="109"/>
  <c r="AO39" i="109"/>
  <c r="AN39" i="109"/>
  <c r="AM39" i="109"/>
  <c r="AL39" i="109"/>
  <c r="AK39" i="109"/>
  <c r="AJ39" i="109"/>
  <c r="AX38" i="109"/>
  <c r="AW38" i="109"/>
  <c r="AV38" i="109"/>
  <c r="AU38" i="109"/>
  <c r="AT38" i="109"/>
  <c r="AS38" i="109"/>
  <c r="AR38" i="109"/>
  <c r="AQ38" i="109"/>
  <c r="AP38" i="109"/>
  <c r="AO38" i="109"/>
  <c r="AN38" i="109"/>
  <c r="AM38" i="109"/>
  <c r="AL38" i="109"/>
  <c r="AK38" i="109"/>
  <c r="AJ38" i="109"/>
  <c r="AX106" i="109"/>
  <c r="AW106" i="109"/>
  <c r="AV106" i="109"/>
  <c r="AU106" i="109"/>
  <c r="AT106" i="109"/>
  <c r="AS106" i="109"/>
  <c r="AR106" i="109"/>
  <c r="AQ106" i="109"/>
  <c r="AP106" i="109"/>
  <c r="AO106" i="109"/>
  <c r="AN106" i="109"/>
  <c r="AM106" i="109"/>
  <c r="AL106" i="109"/>
  <c r="AK106" i="109"/>
  <c r="AJ106" i="109"/>
  <c r="AX37" i="109"/>
  <c r="AW37" i="109"/>
  <c r="AV37" i="109"/>
  <c r="AU37" i="109"/>
  <c r="AT37" i="109"/>
  <c r="AS37" i="109"/>
  <c r="AR37" i="109"/>
  <c r="AQ37" i="109"/>
  <c r="AP37" i="109"/>
  <c r="AO37" i="109"/>
  <c r="AN37" i="109"/>
  <c r="AM37" i="109"/>
  <c r="AL37" i="109"/>
  <c r="AK37" i="109"/>
  <c r="AJ37" i="109"/>
  <c r="AX36" i="109"/>
  <c r="AW36" i="109"/>
  <c r="AV36" i="109"/>
  <c r="AU36" i="109"/>
  <c r="AT36" i="109"/>
  <c r="AS36" i="109"/>
  <c r="AR36" i="109"/>
  <c r="AQ36" i="109"/>
  <c r="AP36" i="109"/>
  <c r="AO36" i="109"/>
  <c r="AN36" i="109"/>
  <c r="AM36" i="109"/>
  <c r="AL36" i="109"/>
  <c r="AK36" i="109"/>
  <c r="AJ36" i="109"/>
  <c r="AX35" i="109"/>
  <c r="AW35" i="109"/>
  <c r="AV35" i="109"/>
  <c r="AU35" i="109"/>
  <c r="AT35" i="109"/>
  <c r="AS35" i="109"/>
  <c r="AR35" i="109"/>
  <c r="AQ35" i="109"/>
  <c r="AP35" i="109"/>
  <c r="AO35" i="109"/>
  <c r="AN35" i="109"/>
  <c r="AM35" i="109"/>
  <c r="AL35" i="109"/>
  <c r="AK35" i="109"/>
  <c r="AJ35" i="109"/>
  <c r="AX34" i="109"/>
  <c r="AW34" i="109"/>
  <c r="AV34" i="109"/>
  <c r="AU34" i="109"/>
  <c r="AT34" i="109"/>
  <c r="AS34" i="109"/>
  <c r="AR34" i="109"/>
  <c r="AQ34" i="109"/>
  <c r="AP34" i="109"/>
  <c r="AO34" i="109"/>
  <c r="AN34" i="109"/>
  <c r="AM34" i="109"/>
  <c r="AL34" i="109"/>
  <c r="AK34" i="109"/>
  <c r="AJ34" i="109"/>
  <c r="AX33" i="109"/>
  <c r="AW33" i="109"/>
  <c r="AV33" i="109"/>
  <c r="AU33" i="109"/>
  <c r="AT33" i="109"/>
  <c r="AS33" i="109"/>
  <c r="AR33" i="109"/>
  <c r="AQ33" i="109"/>
  <c r="AP33" i="109"/>
  <c r="AO33" i="109"/>
  <c r="AN33" i="109"/>
  <c r="AM33" i="109"/>
  <c r="AL33" i="109"/>
  <c r="AK33" i="109"/>
  <c r="AJ33" i="109"/>
  <c r="AX32" i="109"/>
  <c r="AW32" i="109"/>
  <c r="AV32" i="109"/>
  <c r="AU32" i="109"/>
  <c r="AT32" i="109"/>
  <c r="AS32" i="109"/>
  <c r="AR32" i="109"/>
  <c r="AQ32" i="109"/>
  <c r="AP32" i="109"/>
  <c r="AO32" i="109"/>
  <c r="AN32" i="109"/>
  <c r="AM32" i="109"/>
  <c r="AL32" i="109"/>
  <c r="AK32" i="109"/>
  <c r="AJ32" i="109"/>
  <c r="AX31" i="109"/>
  <c r="AW31" i="109"/>
  <c r="AV31" i="109"/>
  <c r="AU31" i="109"/>
  <c r="AT31" i="109"/>
  <c r="AS31" i="109"/>
  <c r="AR31" i="109"/>
  <c r="AQ31" i="109"/>
  <c r="AP31" i="109"/>
  <c r="AO31" i="109"/>
  <c r="AN31" i="109"/>
  <c r="AM31" i="109"/>
  <c r="AL31" i="109"/>
  <c r="AK31" i="109"/>
  <c r="AJ31" i="109"/>
  <c r="AX105" i="109"/>
  <c r="AW105" i="109"/>
  <c r="AV105" i="109"/>
  <c r="AU105" i="109"/>
  <c r="AT105" i="109"/>
  <c r="AS105" i="109"/>
  <c r="AR105" i="109"/>
  <c r="AQ105" i="109"/>
  <c r="AP105" i="109"/>
  <c r="AO105" i="109"/>
  <c r="AN105" i="109"/>
  <c r="AM105" i="109"/>
  <c r="AL105" i="109"/>
  <c r="AK105" i="109"/>
  <c r="AJ105" i="109"/>
  <c r="AX30" i="109"/>
  <c r="AW30" i="109"/>
  <c r="AV30" i="109"/>
  <c r="AU30" i="109"/>
  <c r="AT30" i="109"/>
  <c r="AS30" i="109"/>
  <c r="AR30" i="109"/>
  <c r="AQ30" i="109"/>
  <c r="AP30" i="109"/>
  <c r="AO30" i="109"/>
  <c r="AN30" i="109"/>
  <c r="AM30" i="109"/>
  <c r="AL30" i="109"/>
  <c r="AK30" i="109"/>
  <c r="AJ30" i="109"/>
  <c r="AX29" i="109"/>
  <c r="AW29" i="109"/>
  <c r="AV29" i="109"/>
  <c r="AU29" i="109"/>
  <c r="AT29" i="109"/>
  <c r="AS29" i="109"/>
  <c r="AR29" i="109"/>
  <c r="AQ29" i="109"/>
  <c r="AP29" i="109"/>
  <c r="AO29" i="109"/>
  <c r="AN29" i="109"/>
  <c r="AM29" i="109"/>
  <c r="AL29" i="109"/>
  <c r="AK29" i="109"/>
  <c r="AJ29" i="109"/>
  <c r="AX28" i="109"/>
  <c r="AW28" i="109"/>
  <c r="AV28" i="109"/>
  <c r="AU28" i="109"/>
  <c r="AT28" i="109"/>
  <c r="AS28" i="109"/>
  <c r="AR28" i="109"/>
  <c r="AQ28" i="109"/>
  <c r="AP28" i="109"/>
  <c r="AO28" i="109"/>
  <c r="AN28" i="109"/>
  <c r="AM28" i="109"/>
  <c r="AL28" i="109"/>
  <c r="AK28" i="109"/>
  <c r="AJ28" i="109"/>
  <c r="AX27" i="109"/>
  <c r="AW27" i="109"/>
  <c r="AV27" i="109"/>
  <c r="AU27" i="109"/>
  <c r="AT27" i="109"/>
  <c r="AS27" i="109"/>
  <c r="AR27" i="109"/>
  <c r="AQ27" i="109"/>
  <c r="AP27" i="109"/>
  <c r="AO27" i="109"/>
  <c r="AN27" i="109"/>
  <c r="AM27" i="109"/>
  <c r="AL27" i="109"/>
  <c r="AK27" i="109"/>
  <c r="AJ27" i="109"/>
  <c r="AX26" i="109"/>
  <c r="AW26" i="109"/>
  <c r="AV26" i="109"/>
  <c r="AU26" i="109"/>
  <c r="AT26" i="109"/>
  <c r="AS26" i="109"/>
  <c r="AR26" i="109"/>
  <c r="AQ26" i="109"/>
  <c r="AP26" i="109"/>
  <c r="AO26" i="109"/>
  <c r="AN26" i="109"/>
  <c r="AM26" i="109"/>
  <c r="AL26" i="109"/>
  <c r="AK26" i="109"/>
  <c r="AJ26" i="109"/>
  <c r="AX104" i="109"/>
  <c r="AW104" i="109"/>
  <c r="AV104" i="109"/>
  <c r="AU104" i="109"/>
  <c r="AT104" i="109"/>
  <c r="AS104" i="109"/>
  <c r="AR104" i="109"/>
  <c r="AQ104" i="109"/>
  <c r="AP104" i="109"/>
  <c r="AO104" i="109"/>
  <c r="AN104" i="109"/>
  <c r="AM104" i="109"/>
  <c r="AL104" i="109"/>
  <c r="AK104" i="109"/>
  <c r="AJ104" i="109"/>
  <c r="AX103" i="109"/>
  <c r="AW103" i="109"/>
  <c r="AV103" i="109"/>
  <c r="AU103" i="109"/>
  <c r="AT103" i="109"/>
  <c r="AS103" i="109"/>
  <c r="AR103" i="109"/>
  <c r="AQ103" i="109"/>
  <c r="AP103" i="109"/>
  <c r="AO103" i="109"/>
  <c r="AN103" i="109"/>
  <c r="AM103" i="109"/>
  <c r="AL103" i="109"/>
  <c r="AK103" i="109"/>
  <c r="AJ103" i="109"/>
  <c r="AX25" i="109"/>
  <c r="AW25" i="109"/>
  <c r="AV25" i="109"/>
  <c r="AU25" i="109"/>
  <c r="AT25" i="109"/>
  <c r="AS25" i="109"/>
  <c r="AR25" i="109"/>
  <c r="AQ25" i="109"/>
  <c r="AP25" i="109"/>
  <c r="AO25" i="109"/>
  <c r="AN25" i="109"/>
  <c r="AM25" i="109"/>
  <c r="AL25" i="109"/>
  <c r="AK25" i="109"/>
  <c r="AJ25" i="109"/>
  <c r="AX24" i="109"/>
  <c r="AW24" i="109"/>
  <c r="AV24" i="109"/>
  <c r="AU24" i="109"/>
  <c r="AT24" i="109"/>
  <c r="AS24" i="109"/>
  <c r="AR24" i="109"/>
  <c r="AQ24" i="109"/>
  <c r="AP24" i="109"/>
  <c r="AO24" i="109"/>
  <c r="AN24" i="109"/>
  <c r="AM24" i="109"/>
  <c r="AL24" i="109"/>
  <c r="AK24" i="109"/>
  <c r="AJ24" i="109"/>
  <c r="AX23" i="109"/>
  <c r="AW23" i="109"/>
  <c r="AV23" i="109"/>
  <c r="AU23" i="109"/>
  <c r="AT23" i="109"/>
  <c r="AS23" i="109"/>
  <c r="AR23" i="109"/>
  <c r="AQ23" i="109"/>
  <c r="AP23" i="109"/>
  <c r="AO23" i="109"/>
  <c r="AN23" i="109"/>
  <c r="AM23" i="109"/>
  <c r="AL23" i="109"/>
  <c r="AK23" i="109"/>
  <c r="AJ23" i="109"/>
  <c r="AX22" i="109"/>
  <c r="AW22" i="109"/>
  <c r="AV22" i="109"/>
  <c r="AU22" i="109"/>
  <c r="AT22" i="109"/>
  <c r="AS22" i="109"/>
  <c r="AR22" i="109"/>
  <c r="AQ22" i="109"/>
  <c r="AP22" i="109"/>
  <c r="AO22" i="109"/>
  <c r="AN22" i="109"/>
  <c r="AM22" i="109"/>
  <c r="AL22" i="109"/>
  <c r="AK22" i="109"/>
  <c r="AJ22" i="109"/>
  <c r="AX21" i="109"/>
  <c r="AW21" i="109"/>
  <c r="AV21" i="109"/>
  <c r="AU21" i="109"/>
  <c r="AT21" i="109"/>
  <c r="AS21" i="109"/>
  <c r="AR21" i="109"/>
  <c r="AQ21" i="109"/>
  <c r="AP21" i="109"/>
  <c r="AO21" i="109"/>
  <c r="AN21" i="109"/>
  <c r="AM21" i="109"/>
  <c r="AL21" i="109"/>
  <c r="AK21" i="109"/>
  <c r="AJ21" i="109"/>
  <c r="AX20" i="109"/>
  <c r="AW20" i="109"/>
  <c r="AV20" i="109"/>
  <c r="AU20" i="109"/>
  <c r="AT20" i="109"/>
  <c r="AS20" i="109"/>
  <c r="AR20" i="109"/>
  <c r="AQ20" i="109"/>
  <c r="AP20" i="109"/>
  <c r="AO20" i="109"/>
  <c r="AN20" i="109"/>
  <c r="AM20" i="109"/>
  <c r="AL20" i="109"/>
  <c r="AK20" i="109"/>
  <c r="AJ20" i="109"/>
  <c r="AX19" i="109"/>
  <c r="AW19" i="109"/>
  <c r="AV19" i="109"/>
  <c r="AU19" i="109"/>
  <c r="AT19" i="109"/>
  <c r="AS19" i="109"/>
  <c r="AR19" i="109"/>
  <c r="AQ19" i="109"/>
  <c r="AP19" i="109"/>
  <c r="AO19" i="109"/>
  <c r="AN19" i="109"/>
  <c r="AM19" i="109"/>
  <c r="AL19" i="109"/>
  <c r="AK19" i="109"/>
  <c r="AJ19" i="109"/>
  <c r="AX18" i="109"/>
  <c r="AW18" i="109"/>
  <c r="AV18" i="109"/>
  <c r="AU18" i="109"/>
  <c r="AT18" i="109"/>
  <c r="AS18" i="109"/>
  <c r="AR18" i="109"/>
  <c r="AQ18" i="109"/>
  <c r="AP18" i="109"/>
  <c r="AO18" i="109"/>
  <c r="AN18" i="109"/>
  <c r="AM18" i="109"/>
  <c r="AL18" i="109"/>
  <c r="AK18" i="109"/>
  <c r="AJ18" i="109"/>
  <c r="AX102" i="109"/>
  <c r="AW102" i="109"/>
  <c r="AV102" i="109"/>
  <c r="AU102" i="109"/>
  <c r="AT102" i="109"/>
  <c r="AS102" i="109"/>
  <c r="AR102" i="109"/>
  <c r="AQ102" i="109"/>
  <c r="AP102" i="109"/>
  <c r="AO102" i="109"/>
  <c r="AN102" i="109"/>
  <c r="AM102" i="109"/>
  <c r="AL102" i="109"/>
  <c r="AK102" i="109"/>
  <c r="AJ102" i="109"/>
  <c r="AX17" i="109"/>
  <c r="AW17" i="109"/>
  <c r="AV17" i="109"/>
  <c r="AU17" i="109"/>
  <c r="AT17" i="109"/>
  <c r="AS17" i="109"/>
  <c r="AR17" i="109"/>
  <c r="AQ17" i="109"/>
  <c r="AP17" i="109"/>
  <c r="AO17" i="109"/>
  <c r="AN17" i="109"/>
  <c r="AM17" i="109"/>
  <c r="AL17" i="109"/>
  <c r="AK17" i="109"/>
  <c r="AJ17" i="109"/>
  <c r="AX16" i="109"/>
  <c r="AW16" i="109"/>
  <c r="AV16" i="109"/>
  <c r="AU16" i="109"/>
  <c r="AT16" i="109"/>
  <c r="AS16" i="109"/>
  <c r="AR16" i="109"/>
  <c r="AQ16" i="109"/>
  <c r="AP16" i="109"/>
  <c r="AO16" i="109"/>
  <c r="AN16" i="109"/>
  <c r="AM16" i="109"/>
  <c r="AL16" i="109"/>
  <c r="AK16" i="109"/>
  <c r="AJ16" i="109"/>
  <c r="AX15" i="109"/>
  <c r="AW15" i="109"/>
  <c r="AV15" i="109"/>
  <c r="AU15" i="109"/>
  <c r="AT15" i="109"/>
  <c r="AS15" i="109"/>
  <c r="AR15" i="109"/>
  <c r="AQ15" i="109"/>
  <c r="AP15" i="109"/>
  <c r="AO15" i="109"/>
  <c r="AN15" i="109"/>
  <c r="AM15" i="109"/>
  <c r="AL15" i="109"/>
  <c r="AK15" i="109"/>
  <c r="AJ15" i="109"/>
  <c r="AX14" i="109"/>
  <c r="AW14" i="109"/>
  <c r="AV14" i="109"/>
  <c r="AU14" i="109"/>
  <c r="AT14" i="109"/>
  <c r="AS14" i="109"/>
  <c r="AR14" i="109"/>
  <c r="AQ14" i="109"/>
  <c r="AP14" i="109"/>
  <c r="AO14" i="109"/>
  <c r="AN14" i="109"/>
  <c r="AM14" i="109"/>
  <c r="AL14" i="109"/>
  <c r="AK14" i="109"/>
  <c r="AJ14" i="109"/>
  <c r="AX13" i="109"/>
  <c r="AW13" i="109"/>
  <c r="AV13" i="109"/>
  <c r="AU13" i="109"/>
  <c r="AT13" i="109"/>
  <c r="AS13" i="109"/>
  <c r="AR13" i="109"/>
  <c r="AQ13" i="109"/>
  <c r="AP13" i="109"/>
  <c r="AO13" i="109"/>
  <c r="AN13" i="109"/>
  <c r="AM13" i="109"/>
  <c r="AL13" i="109"/>
  <c r="AK13" i="109"/>
  <c r="AJ13" i="109"/>
  <c r="AX12" i="109"/>
  <c r="AW12" i="109"/>
  <c r="AV12" i="109"/>
  <c r="AU12" i="109"/>
  <c r="AT12" i="109"/>
  <c r="AS12" i="109"/>
  <c r="AR12" i="109"/>
  <c r="AQ12" i="109"/>
  <c r="AP12" i="109"/>
  <c r="AO12" i="109"/>
  <c r="AN12" i="109"/>
  <c r="AM12" i="109"/>
  <c r="AL12" i="109"/>
  <c r="AK12" i="109"/>
  <c r="AJ12" i="109"/>
  <c r="AX11" i="109"/>
  <c r="AW11" i="109"/>
  <c r="AV11" i="109"/>
  <c r="AU11" i="109"/>
  <c r="AT11" i="109"/>
  <c r="AS11" i="109"/>
  <c r="AR11" i="109"/>
  <c r="AQ11" i="109"/>
  <c r="AP11" i="109"/>
  <c r="AO11" i="109"/>
  <c r="AN11" i="109"/>
  <c r="AM11" i="109"/>
  <c r="AL11" i="109"/>
  <c r="AK11" i="109"/>
  <c r="AJ11" i="109"/>
  <c r="AX10" i="109"/>
  <c r="AW10" i="109"/>
  <c r="AV10" i="109"/>
  <c r="AU10" i="109"/>
  <c r="AT10" i="109"/>
  <c r="AS10" i="109"/>
  <c r="AR10" i="109"/>
  <c r="AQ10" i="109"/>
  <c r="AP10" i="109"/>
  <c r="AO10" i="109"/>
  <c r="AN10" i="109"/>
  <c r="AM10" i="109"/>
  <c r="AL10" i="109"/>
  <c r="AK10" i="109"/>
  <c r="AJ10" i="109"/>
  <c r="AX9" i="109"/>
  <c r="AW9" i="109"/>
  <c r="AV9" i="109"/>
  <c r="AU9" i="109"/>
  <c r="AT9" i="109"/>
  <c r="AS9" i="109"/>
  <c r="AR9" i="109"/>
  <c r="AQ9" i="109"/>
  <c r="AP9" i="109"/>
  <c r="AO9" i="109"/>
  <c r="AN9" i="109"/>
  <c r="AM9" i="109"/>
  <c r="AL9" i="109"/>
  <c r="AK9" i="109"/>
  <c r="AJ9" i="109"/>
  <c r="AX8" i="109"/>
  <c r="AW8" i="109"/>
  <c r="AV8" i="109"/>
  <c r="AU8" i="109"/>
  <c r="AT8" i="109"/>
  <c r="AS8" i="109"/>
  <c r="AR8" i="109"/>
  <c r="AQ8" i="109"/>
  <c r="AP8" i="109"/>
  <c r="AO8" i="109"/>
  <c r="AN8" i="109"/>
  <c r="AM8" i="109"/>
  <c r="AL8" i="109"/>
  <c r="AK8" i="109"/>
  <c r="AJ8" i="109"/>
  <c r="AX101" i="109"/>
  <c r="AW101" i="109"/>
  <c r="AV101" i="109"/>
  <c r="AU101" i="109"/>
  <c r="AT101" i="109"/>
  <c r="AS101" i="109"/>
  <c r="AR101" i="109"/>
  <c r="AQ101" i="109"/>
  <c r="AP101" i="109"/>
  <c r="AO101" i="109"/>
  <c r="AN101" i="109"/>
  <c r="AM101" i="109"/>
  <c r="AL101" i="109"/>
  <c r="AK101" i="109"/>
  <c r="AJ101" i="109"/>
  <c r="AX7" i="109"/>
  <c r="AW7" i="109"/>
  <c r="AV7" i="109"/>
  <c r="AU7" i="109"/>
  <c r="AT7" i="109"/>
  <c r="AS7" i="109"/>
  <c r="AR7" i="109"/>
  <c r="AQ7" i="109"/>
  <c r="AP7" i="109"/>
  <c r="AO7" i="109"/>
  <c r="AN7" i="109"/>
  <c r="AM7" i="109"/>
  <c r="AL7" i="109"/>
  <c r="AK7" i="109"/>
  <c r="AJ7" i="109"/>
  <c r="AX6" i="109"/>
  <c r="AW6" i="109"/>
  <c r="AV6" i="109"/>
  <c r="AU6" i="109"/>
  <c r="AT6" i="109"/>
  <c r="AS6" i="109"/>
  <c r="AR6" i="109"/>
  <c r="AQ6" i="109"/>
  <c r="AP6" i="109"/>
  <c r="AO6" i="109"/>
  <c r="AN6" i="109"/>
  <c r="AM6" i="109"/>
  <c r="AL6" i="109"/>
  <c r="AK6" i="109"/>
  <c r="AJ6" i="109"/>
  <c r="AX5" i="109"/>
  <c r="D17" i="108" s="1"/>
  <c r="AW5" i="109"/>
  <c r="D16" i="108" s="1"/>
  <c r="AV5" i="109"/>
  <c r="D15" i="108" s="1"/>
  <c r="AU5" i="109"/>
  <c r="D14" i="108" s="1"/>
  <c r="AT5" i="109"/>
  <c r="D13" i="108" s="1"/>
  <c r="AS5" i="109"/>
  <c r="D12" i="108" s="1"/>
  <c r="AR5" i="109"/>
  <c r="D11" i="108" s="1"/>
  <c r="AQ5" i="109"/>
  <c r="D10" i="108" s="1"/>
  <c r="AP5" i="109"/>
  <c r="D9" i="108" s="1"/>
  <c r="AO5" i="109"/>
  <c r="D8" i="108" s="1"/>
  <c r="AN5" i="109"/>
  <c r="D7" i="108" s="1"/>
  <c r="AM5" i="109"/>
  <c r="D6" i="108" s="1"/>
  <c r="AL5" i="109"/>
  <c r="D5" i="108" s="1"/>
  <c r="AK5" i="109"/>
  <c r="D4" i="108" s="1"/>
  <c r="AJ5" i="109"/>
  <c r="D3" i="108" s="1"/>
  <c r="C58" i="1" l="1"/>
  <c r="K5" i="106"/>
  <c r="J5" i="106"/>
  <c r="H5" i="106"/>
  <c r="G5" i="106"/>
  <c r="E5" i="106"/>
  <c r="D5" i="106"/>
  <c r="N5" i="103" l="1"/>
  <c r="M5" i="102"/>
  <c r="M5" i="49"/>
  <c r="H5" i="49" l="1"/>
  <c r="G5" i="49"/>
  <c r="H5" i="102"/>
  <c r="G5" i="102"/>
  <c r="H5" i="103"/>
  <c r="G5" i="103"/>
  <c r="F5" i="104"/>
  <c r="E5" i="104"/>
  <c r="D5" i="104"/>
  <c r="F5" i="103"/>
  <c r="E5" i="103"/>
  <c r="D5" i="103"/>
  <c r="F5" i="102"/>
  <c r="E5" i="102"/>
  <c r="D5" i="102"/>
  <c r="F5" i="49"/>
  <c r="E5" i="49"/>
  <c r="D5" i="49"/>
  <c r="Q130" i="24" l="1"/>
  <c r="P130" i="24"/>
  <c r="O130" i="24"/>
  <c r="N130" i="24"/>
  <c r="M130" i="24"/>
  <c r="L130" i="24"/>
  <c r="K130" i="24"/>
  <c r="J130" i="24"/>
  <c r="I130" i="24"/>
  <c r="H130" i="24"/>
  <c r="G130" i="24"/>
  <c r="F130" i="24"/>
  <c r="E130" i="24"/>
  <c r="D130" i="24"/>
  <c r="Q129" i="24"/>
  <c r="P129" i="24"/>
  <c r="O129" i="24"/>
  <c r="N129" i="24"/>
  <c r="M129" i="24"/>
  <c r="L129" i="24"/>
  <c r="K129" i="24"/>
  <c r="J129" i="24"/>
  <c r="I129" i="24"/>
  <c r="H129" i="24"/>
  <c r="G129" i="24"/>
  <c r="F129" i="24"/>
  <c r="E129" i="24"/>
  <c r="D129" i="24"/>
  <c r="Q128" i="24"/>
  <c r="P128" i="24"/>
  <c r="O128" i="24"/>
  <c r="N128" i="24"/>
  <c r="M128" i="24"/>
  <c r="L128" i="24"/>
  <c r="K128" i="24"/>
  <c r="J128" i="24"/>
  <c r="I128" i="24"/>
  <c r="H128" i="24"/>
  <c r="G128" i="24"/>
  <c r="F128" i="24"/>
  <c r="E128" i="24"/>
  <c r="D128" i="24"/>
  <c r="Q127" i="24"/>
  <c r="P127" i="24"/>
  <c r="O127" i="24"/>
  <c r="N127" i="24"/>
  <c r="M127" i="24"/>
  <c r="L127" i="24"/>
  <c r="K127" i="24"/>
  <c r="J127" i="24"/>
  <c r="I127" i="24"/>
  <c r="H127" i="24"/>
  <c r="G127" i="24"/>
  <c r="F127" i="24"/>
  <c r="E127" i="24"/>
  <c r="D127" i="24"/>
  <c r="Q126" i="24"/>
  <c r="P126" i="24"/>
  <c r="O126" i="24"/>
  <c r="N126" i="24"/>
  <c r="M126" i="24"/>
  <c r="L126" i="24"/>
  <c r="K126" i="24"/>
  <c r="J126" i="24"/>
  <c r="I126" i="24"/>
  <c r="H126" i="24"/>
  <c r="G126" i="24"/>
  <c r="F126" i="24"/>
  <c r="E126" i="24"/>
  <c r="D126" i="24"/>
  <c r="Q124" i="24"/>
  <c r="P124" i="24"/>
  <c r="O124" i="24"/>
  <c r="N124" i="24"/>
  <c r="M124" i="24"/>
  <c r="L124" i="24"/>
  <c r="K124" i="24"/>
  <c r="J124" i="24"/>
  <c r="I124" i="24"/>
  <c r="H124" i="24"/>
  <c r="G124" i="24"/>
  <c r="F124" i="24"/>
  <c r="E124" i="24"/>
  <c r="D124" i="24"/>
  <c r="Q123" i="24"/>
  <c r="P123" i="24"/>
  <c r="O123" i="24"/>
  <c r="N123" i="24"/>
  <c r="M123" i="24"/>
  <c r="L123" i="24"/>
  <c r="K123" i="24"/>
  <c r="J123" i="24"/>
  <c r="I123" i="24"/>
  <c r="H123" i="24"/>
  <c r="G123" i="24"/>
  <c r="F123" i="24"/>
  <c r="E123" i="24"/>
  <c r="D123" i="24"/>
  <c r="Q122" i="24"/>
  <c r="P122" i="24"/>
  <c r="O122" i="24"/>
  <c r="N122" i="24"/>
  <c r="M122" i="24"/>
  <c r="L122" i="24"/>
  <c r="K122" i="24"/>
  <c r="J122" i="24"/>
  <c r="I122" i="24"/>
  <c r="H122" i="24"/>
  <c r="G122" i="24"/>
  <c r="F122" i="24"/>
  <c r="E122" i="24"/>
  <c r="D122" i="24"/>
  <c r="Q121" i="24"/>
  <c r="P121" i="24"/>
  <c r="O121" i="24"/>
  <c r="N121" i="24"/>
  <c r="M121" i="24"/>
  <c r="L121" i="24"/>
  <c r="K121" i="24"/>
  <c r="J121" i="24"/>
  <c r="I121" i="24"/>
  <c r="H121" i="24"/>
  <c r="G121" i="24"/>
  <c r="F121" i="24"/>
  <c r="E121" i="24"/>
  <c r="D121" i="24"/>
  <c r="Q120" i="24"/>
  <c r="P120" i="24"/>
  <c r="O120" i="24"/>
  <c r="N120" i="24"/>
  <c r="M120" i="24"/>
  <c r="L120" i="24"/>
  <c r="K120" i="24"/>
  <c r="J120" i="24"/>
  <c r="I120" i="24"/>
  <c r="H120" i="24"/>
  <c r="G120" i="24"/>
  <c r="F120" i="24"/>
  <c r="E120" i="24"/>
  <c r="D120" i="24"/>
  <c r="Q119" i="24"/>
  <c r="P119" i="24"/>
  <c r="O119" i="24"/>
  <c r="N119" i="24"/>
  <c r="M119" i="24"/>
  <c r="L119" i="24"/>
  <c r="K119" i="24"/>
  <c r="J119" i="24"/>
  <c r="I119" i="24"/>
  <c r="H119" i="24"/>
  <c r="G119" i="24"/>
  <c r="F119" i="24"/>
  <c r="E119" i="24"/>
  <c r="D119" i="24"/>
  <c r="Q118" i="24"/>
  <c r="P118" i="24"/>
  <c r="O118" i="24"/>
  <c r="N118" i="24"/>
  <c r="M118" i="24"/>
  <c r="L118" i="24"/>
  <c r="K118" i="24"/>
  <c r="J118" i="24"/>
  <c r="I118" i="24"/>
  <c r="H118" i="24"/>
  <c r="G118" i="24"/>
  <c r="F118" i="24"/>
  <c r="E118" i="24"/>
  <c r="D118" i="24"/>
  <c r="Q117" i="24"/>
  <c r="P117" i="24"/>
  <c r="O117" i="24"/>
  <c r="N117" i="24"/>
  <c r="M117" i="24"/>
  <c r="L117" i="24"/>
  <c r="K117" i="24"/>
  <c r="J117" i="24"/>
  <c r="I117" i="24"/>
  <c r="H117" i="24"/>
  <c r="G117" i="24"/>
  <c r="F117" i="24"/>
  <c r="E117" i="24"/>
  <c r="D117" i="24"/>
  <c r="Q116" i="24"/>
  <c r="P116" i="24"/>
  <c r="O116" i="24"/>
  <c r="N116" i="24"/>
  <c r="M116" i="24"/>
  <c r="L116" i="24"/>
  <c r="K116" i="24"/>
  <c r="J116" i="24"/>
  <c r="I116" i="24"/>
  <c r="H116" i="24"/>
  <c r="G116" i="24"/>
  <c r="F116" i="24"/>
  <c r="E116" i="24"/>
  <c r="D116" i="24"/>
  <c r="Q115" i="24"/>
  <c r="P115" i="24"/>
  <c r="O115" i="24"/>
  <c r="N115" i="24"/>
  <c r="M115" i="24"/>
  <c r="L115" i="24"/>
  <c r="K115" i="24"/>
  <c r="J115" i="24"/>
  <c r="I115" i="24"/>
  <c r="H115" i="24"/>
  <c r="G115" i="24"/>
  <c r="F115" i="24"/>
  <c r="E115" i="24"/>
  <c r="D115" i="24"/>
  <c r="Q114" i="24"/>
  <c r="P114" i="24"/>
  <c r="O114" i="24"/>
  <c r="N114" i="24"/>
  <c r="M114" i="24"/>
  <c r="L114" i="24"/>
  <c r="K114" i="24"/>
  <c r="J114" i="24"/>
  <c r="I114" i="24"/>
  <c r="H114" i="24"/>
  <c r="G114" i="24"/>
  <c r="F114" i="24"/>
  <c r="E114" i="24"/>
  <c r="D114" i="24"/>
  <c r="Q113" i="24"/>
  <c r="P113" i="24"/>
  <c r="O113" i="24"/>
  <c r="N113" i="24"/>
  <c r="M113" i="24"/>
  <c r="L113" i="24"/>
  <c r="K113" i="24"/>
  <c r="J113" i="24"/>
  <c r="I113" i="24"/>
  <c r="H113" i="24"/>
  <c r="G113" i="24"/>
  <c r="F113" i="24"/>
  <c r="E113" i="24"/>
  <c r="D113" i="24"/>
  <c r="Q112" i="24"/>
  <c r="P112" i="24"/>
  <c r="O112" i="24"/>
  <c r="N112" i="24"/>
  <c r="M112" i="24"/>
  <c r="L112" i="24"/>
  <c r="K112" i="24"/>
  <c r="J112" i="24"/>
  <c r="I112" i="24"/>
  <c r="H112" i="24"/>
  <c r="G112" i="24"/>
  <c r="F112" i="24"/>
  <c r="E112" i="24"/>
  <c r="D112" i="24"/>
  <c r="Q111" i="24"/>
  <c r="P111" i="24"/>
  <c r="O111" i="24"/>
  <c r="N111" i="24"/>
  <c r="M111" i="24"/>
  <c r="L111" i="24"/>
  <c r="K111" i="24"/>
  <c r="J111" i="24"/>
  <c r="I111" i="24"/>
  <c r="H111" i="24"/>
  <c r="G111" i="24"/>
  <c r="F111" i="24"/>
  <c r="E111" i="24"/>
  <c r="D111" i="24"/>
  <c r="Q110" i="24"/>
  <c r="P110" i="24"/>
  <c r="O110" i="24"/>
  <c r="N110" i="24"/>
  <c r="M110" i="24"/>
  <c r="L110" i="24"/>
  <c r="K110" i="24"/>
  <c r="J110" i="24"/>
  <c r="I110" i="24"/>
  <c r="H110" i="24"/>
  <c r="G110" i="24"/>
  <c r="F110" i="24"/>
  <c r="E110" i="24"/>
  <c r="D110" i="24"/>
  <c r="Q109" i="24"/>
  <c r="P109" i="24"/>
  <c r="O109" i="24"/>
  <c r="N109" i="24"/>
  <c r="M109" i="24"/>
  <c r="L109" i="24"/>
  <c r="K109" i="24"/>
  <c r="J109" i="24"/>
  <c r="I109" i="24"/>
  <c r="H109" i="24"/>
  <c r="G109" i="24"/>
  <c r="F109" i="24"/>
  <c r="E109" i="24"/>
  <c r="D109" i="24"/>
  <c r="Q108" i="24"/>
  <c r="P108" i="24"/>
  <c r="O108" i="24"/>
  <c r="N108" i="24"/>
  <c r="M108" i="24"/>
  <c r="L108" i="24"/>
  <c r="K108" i="24"/>
  <c r="J108" i="24"/>
  <c r="I108" i="24"/>
  <c r="H108" i="24"/>
  <c r="G108" i="24"/>
  <c r="F108" i="24"/>
  <c r="E108" i="24"/>
  <c r="D108" i="24"/>
  <c r="Q107" i="24"/>
  <c r="P107" i="24"/>
  <c r="O107" i="24"/>
  <c r="N107" i="24"/>
  <c r="M107" i="24"/>
  <c r="L107" i="24"/>
  <c r="K107" i="24"/>
  <c r="J107" i="24"/>
  <c r="I107" i="24"/>
  <c r="H107" i="24"/>
  <c r="G107" i="24"/>
  <c r="F107" i="24"/>
  <c r="E107" i="24"/>
  <c r="D107" i="24"/>
  <c r="Q106" i="24"/>
  <c r="P106" i="24"/>
  <c r="O106" i="24"/>
  <c r="N106" i="24"/>
  <c r="M106" i="24"/>
  <c r="L106" i="24"/>
  <c r="K106" i="24"/>
  <c r="J106" i="24"/>
  <c r="I106" i="24"/>
  <c r="H106" i="24"/>
  <c r="G106" i="24"/>
  <c r="F106" i="24"/>
  <c r="E106" i="24"/>
  <c r="D106" i="24"/>
  <c r="Q105" i="24"/>
  <c r="P105" i="24"/>
  <c r="O105" i="24"/>
  <c r="N105" i="24"/>
  <c r="M105" i="24"/>
  <c r="L105" i="24"/>
  <c r="K105" i="24"/>
  <c r="J105" i="24"/>
  <c r="I105" i="24"/>
  <c r="H105" i="24"/>
  <c r="G105" i="24"/>
  <c r="F105" i="24"/>
  <c r="E105" i="24"/>
  <c r="D105" i="24"/>
  <c r="Q104" i="24"/>
  <c r="P104" i="24"/>
  <c r="O104" i="24"/>
  <c r="N104" i="24"/>
  <c r="M104" i="24"/>
  <c r="L104" i="24"/>
  <c r="K104" i="24"/>
  <c r="J104" i="24"/>
  <c r="I104" i="24"/>
  <c r="H104" i="24"/>
  <c r="G104" i="24"/>
  <c r="F104" i="24"/>
  <c r="E104" i="24"/>
  <c r="D104" i="24"/>
  <c r="Q103" i="24"/>
  <c r="P103" i="24"/>
  <c r="O103" i="24"/>
  <c r="N103" i="24"/>
  <c r="M103" i="24"/>
  <c r="L103" i="24"/>
  <c r="K103" i="24"/>
  <c r="J103" i="24"/>
  <c r="I103" i="24"/>
  <c r="H103" i="24"/>
  <c r="G103" i="24"/>
  <c r="F103" i="24"/>
  <c r="E103" i="24"/>
  <c r="D103" i="24"/>
  <c r="Q102" i="24"/>
  <c r="P102" i="24"/>
  <c r="O102" i="24"/>
  <c r="N102" i="24"/>
  <c r="M102" i="24"/>
  <c r="L102" i="24"/>
  <c r="K102" i="24"/>
  <c r="J102" i="24"/>
  <c r="I102" i="24"/>
  <c r="H102" i="24"/>
  <c r="G102" i="24"/>
  <c r="F102" i="24"/>
  <c r="E102" i="24"/>
  <c r="D102" i="24"/>
  <c r="Q101" i="24"/>
  <c r="P101" i="24"/>
  <c r="O101" i="24"/>
  <c r="N101" i="24"/>
  <c r="M101" i="24"/>
  <c r="L101" i="24"/>
  <c r="K101" i="24"/>
  <c r="J101" i="24"/>
  <c r="I101" i="24"/>
  <c r="H101" i="24"/>
  <c r="G101" i="24"/>
  <c r="F101" i="24"/>
  <c r="E101" i="24"/>
  <c r="D101" i="24"/>
  <c r="Q100" i="24"/>
  <c r="P100" i="24"/>
  <c r="O100" i="24"/>
  <c r="N100" i="24"/>
  <c r="M100" i="24"/>
  <c r="L100" i="24"/>
  <c r="K100" i="24"/>
  <c r="J100" i="24"/>
  <c r="I100" i="24"/>
  <c r="H100" i="24"/>
  <c r="G100" i="24"/>
  <c r="F100" i="24"/>
  <c r="E100" i="24"/>
  <c r="D100" i="24"/>
  <c r="Q99" i="24"/>
  <c r="P99" i="24"/>
  <c r="O99" i="24"/>
  <c r="N99" i="24"/>
  <c r="M99" i="24"/>
  <c r="L99" i="24"/>
  <c r="K99" i="24"/>
  <c r="J99" i="24"/>
  <c r="I99" i="24"/>
  <c r="H99" i="24"/>
  <c r="G99" i="24"/>
  <c r="F99" i="24"/>
  <c r="E99" i="24"/>
  <c r="D99" i="24"/>
  <c r="Q98" i="24"/>
  <c r="P98" i="24"/>
  <c r="O98" i="24"/>
  <c r="N98" i="24"/>
  <c r="M98" i="24"/>
  <c r="L98" i="24"/>
  <c r="K98" i="24"/>
  <c r="J98" i="24"/>
  <c r="I98" i="24"/>
  <c r="H98" i="24"/>
  <c r="G98" i="24"/>
  <c r="F98" i="24"/>
  <c r="E98" i="24"/>
  <c r="D98" i="24"/>
  <c r="Q97" i="24"/>
  <c r="P97" i="24"/>
  <c r="O97" i="24"/>
  <c r="N97" i="24"/>
  <c r="M97" i="24"/>
  <c r="L97" i="24"/>
  <c r="K97" i="24"/>
  <c r="J97" i="24"/>
  <c r="I97" i="24"/>
  <c r="H97" i="24"/>
  <c r="G97" i="24"/>
  <c r="F97" i="24"/>
  <c r="E97" i="24"/>
  <c r="D97" i="24"/>
  <c r="Q96" i="24"/>
  <c r="P96" i="24"/>
  <c r="O96" i="24"/>
  <c r="N96" i="24"/>
  <c r="M96" i="24"/>
  <c r="L96" i="24"/>
  <c r="K96" i="24"/>
  <c r="J96" i="24"/>
  <c r="I96" i="24"/>
  <c r="H96" i="24"/>
  <c r="G96" i="24"/>
  <c r="F96" i="24"/>
  <c r="E96" i="24"/>
  <c r="D96" i="24"/>
  <c r="Q95" i="24"/>
  <c r="P95" i="24"/>
  <c r="O95" i="24"/>
  <c r="N95" i="24"/>
  <c r="M95" i="24"/>
  <c r="L95" i="24"/>
  <c r="K95" i="24"/>
  <c r="J95" i="24"/>
  <c r="I95" i="24"/>
  <c r="H95" i="24"/>
  <c r="G95" i="24"/>
  <c r="F95" i="24"/>
  <c r="E95" i="24"/>
  <c r="D95" i="24"/>
  <c r="Q94" i="24"/>
  <c r="P94" i="24"/>
  <c r="O94" i="24"/>
  <c r="N94" i="24"/>
  <c r="M94" i="24"/>
  <c r="L94" i="24"/>
  <c r="K94" i="24"/>
  <c r="J94" i="24"/>
  <c r="I94" i="24"/>
  <c r="H94" i="24"/>
  <c r="G94" i="24"/>
  <c r="F94" i="24"/>
  <c r="E94" i="24"/>
  <c r="D94" i="24"/>
  <c r="Q93" i="24"/>
  <c r="P93" i="24"/>
  <c r="O93" i="24"/>
  <c r="N93" i="24"/>
  <c r="M93" i="24"/>
  <c r="L93" i="24"/>
  <c r="K93" i="24"/>
  <c r="J93" i="24"/>
  <c r="I93" i="24"/>
  <c r="H93" i="24"/>
  <c r="G93" i="24"/>
  <c r="F93" i="24"/>
  <c r="E93" i="24"/>
  <c r="D93" i="24"/>
  <c r="Q92" i="24"/>
  <c r="P92" i="24"/>
  <c r="O92" i="24"/>
  <c r="N92" i="24"/>
  <c r="M92" i="24"/>
  <c r="L92" i="24"/>
  <c r="K92" i="24"/>
  <c r="J92" i="24"/>
  <c r="I92" i="24"/>
  <c r="H92" i="24"/>
  <c r="G92" i="24"/>
  <c r="F92" i="24"/>
  <c r="E92" i="24"/>
  <c r="D92" i="24"/>
  <c r="Q91" i="24"/>
  <c r="P91" i="24"/>
  <c r="O91" i="24"/>
  <c r="N91" i="24"/>
  <c r="M91" i="24"/>
  <c r="L91" i="24"/>
  <c r="K91" i="24"/>
  <c r="J91" i="24"/>
  <c r="I91" i="24"/>
  <c r="H91" i="24"/>
  <c r="G91" i="24"/>
  <c r="F91" i="24"/>
  <c r="E91" i="24"/>
  <c r="D91" i="24"/>
  <c r="Q90" i="24"/>
  <c r="P90" i="24"/>
  <c r="O90" i="24"/>
  <c r="N90" i="24"/>
  <c r="M90" i="24"/>
  <c r="L90" i="24"/>
  <c r="K90" i="24"/>
  <c r="J90" i="24"/>
  <c r="I90" i="24"/>
  <c r="H90" i="24"/>
  <c r="G90" i="24"/>
  <c r="F90" i="24"/>
  <c r="E90" i="24"/>
  <c r="D90" i="24"/>
  <c r="Q89" i="24"/>
  <c r="P89" i="24"/>
  <c r="O89" i="24"/>
  <c r="N89" i="24"/>
  <c r="M89" i="24"/>
  <c r="L89" i="24"/>
  <c r="K89" i="24"/>
  <c r="J89" i="24"/>
  <c r="I89" i="24"/>
  <c r="H89" i="24"/>
  <c r="G89" i="24"/>
  <c r="F89" i="24"/>
  <c r="E89" i="24"/>
  <c r="D89" i="24"/>
  <c r="Q88" i="24"/>
  <c r="P88" i="24"/>
  <c r="O88" i="24"/>
  <c r="N88" i="24"/>
  <c r="M88" i="24"/>
  <c r="L88" i="24"/>
  <c r="K88" i="24"/>
  <c r="J88" i="24"/>
  <c r="I88" i="24"/>
  <c r="H88" i="24"/>
  <c r="G88" i="24"/>
  <c r="F88" i="24"/>
  <c r="E88" i="24"/>
  <c r="D88" i="24"/>
  <c r="Q87" i="24"/>
  <c r="P87" i="24"/>
  <c r="O87" i="24"/>
  <c r="N87" i="24"/>
  <c r="M87" i="24"/>
  <c r="L87" i="24"/>
  <c r="K87" i="24"/>
  <c r="J87" i="24"/>
  <c r="I87" i="24"/>
  <c r="H87" i="24"/>
  <c r="G87" i="24"/>
  <c r="F87" i="24"/>
  <c r="E87" i="24"/>
  <c r="D87" i="24"/>
  <c r="Q86" i="24"/>
  <c r="P86" i="24"/>
  <c r="O86" i="24"/>
  <c r="N86" i="24"/>
  <c r="M86" i="24"/>
  <c r="L86" i="24"/>
  <c r="K86" i="24"/>
  <c r="J86" i="24"/>
  <c r="I86" i="24"/>
  <c r="H86" i="24"/>
  <c r="G86" i="24"/>
  <c r="F86" i="24"/>
  <c r="E86" i="24"/>
  <c r="D86" i="24"/>
  <c r="Q85" i="24"/>
  <c r="P85" i="24"/>
  <c r="O85" i="24"/>
  <c r="N85" i="24"/>
  <c r="M85" i="24"/>
  <c r="L85" i="24"/>
  <c r="K85" i="24"/>
  <c r="J85" i="24"/>
  <c r="I85" i="24"/>
  <c r="H85" i="24"/>
  <c r="G85" i="24"/>
  <c r="F85" i="24"/>
  <c r="E85" i="24"/>
  <c r="D85" i="24"/>
  <c r="Q84" i="24"/>
  <c r="P84" i="24"/>
  <c r="O84" i="24"/>
  <c r="N84" i="24"/>
  <c r="M84" i="24"/>
  <c r="L84" i="24"/>
  <c r="K84" i="24"/>
  <c r="J84" i="24"/>
  <c r="I84" i="24"/>
  <c r="H84" i="24"/>
  <c r="G84" i="24"/>
  <c r="F84" i="24"/>
  <c r="E84" i="24"/>
  <c r="D84" i="24"/>
  <c r="Q83" i="24"/>
  <c r="P83" i="24"/>
  <c r="O83" i="24"/>
  <c r="N83" i="24"/>
  <c r="M83" i="24"/>
  <c r="L83" i="24"/>
  <c r="K83" i="24"/>
  <c r="J83" i="24"/>
  <c r="I83" i="24"/>
  <c r="H83" i="24"/>
  <c r="G83" i="24"/>
  <c r="F83" i="24"/>
  <c r="E83" i="24"/>
  <c r="D83" i="24"/>
  <c r="Q82" i="24"/>
  <c r="P82" i="24"/>
  <c r="O82" i="24"/>
  <c r="N82" i="24"/>
  <c r="M82" i="24"/>
  <c r="L82" i="24"/>
  <c r="K82" i="24"/>
  <c r="J82" i="24"/>
  <c r="I82" i="24"/>
  <c r="H82" i="24"/>
  <c r="G82" i="24"/>
  <c r="F82" i="24"/>
  <c r="E82" i="24"/>
  <c r="D82" i="24"/>
  <c r="Q81" i="24"/>
  <c r="P81" i="24"/>
  <c r="O81" i="24"/>
  <c r="N81" i="24"/>
  <c r="M81" i="24"/>
  <c r="L81" i="24"/>
  <c r="K81" i="24"/>
  <c r="J81" i="24"/>
  <c r="I81" i="24"/>
  <c r="H81" i="24"/>
  <c r="G81" i="24"/>
  <c r="F81" i="24"/>
  <c r="E81" i="24"/>
  <c r="D81" i="24"/>
  <c r="Q80" i="24"/>
  <c r="P80" i="24"/>
  <c r="O80" i="24"/>
  <c r="N80" i="24"/>
  <c r="M80" i="24"/>
  <c r="L80" i="24"/>
  <c r="K80" i="24"/>
  <c r="J80" i="24"/>
  <c r="I80" i="24"/>
  <c r="H80" i="24"/>
  <c r="G80" i="24"/>
  <c r="F80" i="24"/>
  <c r="E80" i="24"/>
  <c r="D80" i="24"/>
  <c r="Q79" i="24"/>
  <c r="P79" i="24"/>
  <c r="O79" i="24"/>
  <c r="N79" i="24"/>
  <c r="M79" i="24"/>
  <c r="L79" i="24"/>
  <c r="K79" i="24"/>
  <c r="J79" i="24"/>
  <c r="I79" i="24"/>
  <c r="H79" i="24"/>
  <c r="G79" i="24"/>
  <c r="F79" i="24"/>
  <c r="E79" i="24"/>
  <c r="D79" i="24"/>
  <c r="Q78" i="24"/>
  <c r="P78" i="24"/>
  <c r="O78" i="24"/>
  <c r="N78" i="24"/>
  <c r="M78" i="24"/>
  <c r="L78" i="24"/>
  <c r="K78" i="24"/>
  <c r="J78" i="24"/>
  <c r="I78" i="24"/>
  <c r="H78" i="24"/>
  <c r="G78" i="24"/>
  <c r="F78" i="24"/>
  <c r="E78" i="24"/>
  <c r="D78" i="24"/>
  <c r="Q77" i="24"/>
  <c r="P77" i="24"/>
  <c r="O77" i="24"/>
  <c r="N77" i="24"/>
  <c r="M77" i="24"/>
  <c r="L77" i="24"/>
  <c r="K77" i="24"/>
  <c r="J77" i="24"/>
  <c r="I77" i="24"/>
  <c r="H77" i="24"/>
  <c r="G77" i="24"/>
  <c r="F77" i="24"/>
  <c r="E77" i="24"/>
  <c r="D77" i="24"/>
  <c r="Q76" i="24"/>
  <c r="P76" i="24"/>
  <c r="O76" i="24"/>
  <c r="N76" i="24"/>
  <c r="M76" i="24"/>
  <c r="L76" i="24"/>
  <c r="K76" i="24"/>
  <c r="J76" i="24"/>
  <c r="I76" i="24"/>
  <c r="H76" i="24"/>
  <c r="G76" i="24"/>
  <c r="F76" i="24"/>
  <c r="E76" i="24"/>
  <c r="D76" i="24"/>
  <c r="Q75" i="24"/>
  <c r="P75" i="24"/>
  <c r="O75" i="24"/>
  <c r="N75" i="24"/>
  <c r="M75" i="24"/>
  <c r="L75" i="24"/>
  <c r="K75" i="24"/>
  <c r="J75" i="24"/>
  <c r="I75" i="24"/>
  <c r="H75" i="24"/>
  <c r="G75" i="24"/>
  <c r="F75" i="24"/>
  <c r="E75" i="24"/>
  <c r="D75" i="24"/>
  <c r="Q74" i="24"/>
  <c r="P74" i="24"/>
  <c r="O74" i="24"/>
  <c r="N74" i="24"/>
  <c r="M74" i="24"/>
  <c r="L74" i="24"/>
  <c r="K74" i="24"/>
  <c r="J74" i="24"/>
  <c r="I74" i="24"/>
  <c r="H74" i="24"/>
  <c r="G74" i="24"/>
  <c r="F74" i="24"/>
  <c r="E74" i="24"/>
  <c r="D74" i="24"/>
  <c r="Q73" i="24"/>
  <c r="P73" i="24"/>
  <c r="O73" i="24"/>
  <c r="N73" i="24"/>
  <c r="M73" i="24"/>
  <c r="L73" i="24"/>
  <c r="K73" i="24"/>
  <c r="J73" i="24"/>
  <c r="I73" i="24"/>
  <c r="H73" i="24"/>
  <c r="G73" i="24"/>
  <c r="F73" i="24"/>
  <c r="E73" i="24"/>
  <c r="D73" i="24"/>
  <c r="Q72" i="24"/>
  <c r="P72" i="24"/>
  <c r="O72" i="24"/>
  <c r="N72" i="24"/>
  <c r="M72" i="24"/>
  <c r="L72" i="24"/>
  <c r="K72" i="24"/>
  <c r="J72" i="24"/>
  <c r="I72" i="24"/>
  <c r="H72" i="24"/>
  <c r="G72" i="24"/>
  <c r="F72" i="24"/>
  <c r="E72" i="24"/>
  <c r="D72" i="24"/>
  <c r="Q71" i="24"/>
  <c r="P71" i="24"/>
  <c r="O71" i="24"/>
  <c r="N71" i="24"/>
  <c r="M71" i="24"/>
  <c r="L71" i="24"/>
  <c r="K71" i="24"/>
  <c r="J71" i="24"/>
  <c r="I71" i="24"/>
  <c r="H71" i="24"/>
  <c r="G71" i="24"/>
  <c r="F71" i="24"/>
  <c r="E71" i="24"/>
  <c r="D71" i="24"/>
  <c r="Q70" i="24"/>
  <c r="P70" i="24"/>
  <c r="O70" i="24"/>
  <c r="N70" i="24"/>
  <c r="M70" i="24"/>
  <c r="L70" i="24"/>
  <c r="K70" i="24"/>
  <c r="J70" i="24"/>
  <c r="I70" i="24"/>
  <c r="H70" i="24"/>
  <c r="G70" i="24"/>
  <c r="F70" i="24"/>
  <c r="E70" i="24"/>
  <c r="D70" i="24"/>
  <c r="Q69" i="24"/>
  <c r="P69" i="24"/>
  <c r="O69" i="24"/>
  <c r="N69" i="24"/>
  <c r="M69" i="24"/>
  <c r="L69" i="24"/>
  <c r="K69" i="24"/>
  <c r="J69" i="24"/>
  <c r="I69" i="24"/>
  <c r="H69" i="24"/>
  <c r="G69" i="24"/>
  <c r="F69" i="24"/>
  <c r="E69" i="24"/>
  <c r="D69" i="24"/>
  <c r="Q68" i="24"/>
  <c r="P68" i="24"/>
  <c r="O68" i="24"/>
  <c r="N68" i="24"/>
  <c r="M68" i="24"/>
  <c r="L68" i="24"/>
  <c r="K68" i="24"/>
  <c r="J68" i="24"/>
  <c r="I68" i="24"/>
  <c r="H68" i="24"/>
  <c r="G68" i="24"/>
  <c r="F68" i="24"/>
  <c r="E68" i="24"/>
  <c r="D68" i="24"/>
  <c r="Q67" i="24"/>
  <c r="P67" i="24"/>
  <c r="O67" i="24"/>
  <c r="N67" i="24"/>
  <c r="M67" i="24"/>
  <c r="L67" i="24"/>
  <c r="K67" i="24"/>
  <c r="J67" i="24"/>
  <c r="I67" i="24"/>
  <c r="H67" i="24"/>
  <c r="G67" i="24"/>
  <c r="F67" i="24"/>
  <c r="E67" i="24"/>
  <c r="D67" i="24"/>
  <c r="Q66" i="24"/>
  <c r="P66" i="24"/>
  <c r="O66" i="24"/>
  <c r="N66" i="24"/>
  <c r="M66" i="24"/>
  <c r="L66" i="24"/>
  <c r="K66" i="24"/>
  <c r="J66" i="24"/>
  <c r="I66" i="24"/>
  <c r="H66" i="24"/>
  <c r="G66" i="24"/>
  <c r="F66" i="24"/>
  <c r="E66" i="24"/>
  <c r="D66" i="24"/>
  <c r="Q65" i="24"/>
  <c r="P65" i="24"/>
  <c r="O65" i="24"/>
  <c r="N65" i="24"/>
  <c r="M65" i="24"/>
  <c r="L65" i="24"/>
  <c r="K65" i="24"/>
  <c r="J65" i="24"/>
  <c r="I65" i="24"/>
  <c r="H65" i="24"/>
  <c r="G65" i="24"/>
  <c r="F65" i="24"/>
  <c r="E65" i="24"/>
  <c r="D65" i="24"/>
  <c r="Q64" i="24"/>
  <c r="P64" i="24"/>
  <c r="O64" i="24"/>
  <c r="N64" i="24"/>
  <c r="M64" i="24"/>
  <c r="L64" i="24"/>
  <c r="K64" i="24"/>
  <c r="J64" i="24"/>
  <c r="I64" i="24"/>
  <c r="H64" i="24"/>
  <c r="G64" i="24"/>
  <c r="F64" i="24"/>
  <c r="E64" i="24"/>
  <c r="D64" i="24"/>
  <c r="Q63" i="24"/>
  <c r="P63" i="24"/>
  <c r="O63" i="24"/>
  <c r="N63" i="24"/>
  <c r="M63" i="24"/>
  <c r="L63" i="24"/>
  <c r="K63" i="24"/>
  <c r="J63" i="24"/>
  <c r="I63" i="24"/>
  <c r="H63" i="24"/>
  <c r="G63" i="24"/>
  <c r="F63" i="24"/>
  <c r="E63" i="24"/>
  <c r="D63" i="24"/>
  <c r="Q62" i="24"/>
  <c r="P62" i="24"/>
  <c r="O62" i="24"/>
  <c r="N62" i="24"/>
  <c r="M62" i="24"/>
  <c r="L62" i="24"/>
  <c r="K62" i="24"/>
  <c r="J62" i="24"/>
  <c r="I62" i="24"/>
  <c r="H62" i="24"/>
  <c r="G62" i="24"/>
  <c r="F62" i="24"/>
  <c r="E62" i="24"/>
  <c r="D62" i="24"/>
  <c r="Q61" i="24"/>
  <c r="P61" i="24"/>
  <c r="O61" i="24"/>
  <c r="N61" i="24"/>
  <c r="M61" i="24"/>
  <c r="L61" i="24"/>
  <c r="K61" i="24"/>
  <c r="J61" i="24"/>
  <c r="I61" i="24"/>
  <c r="H61" i="24"/>
  <c r="G61" i="24"/>
  <c r="F61" i="24"/>
  <c r="E61" i="24"/>
  <c r="D61" i="24"/>
  <c r="Q60" i="24"/>
  <c r="P60" i="24"/>
  <c r="O60" i="24"/>
  <c r="N60" i="24"/>
  <c r="M60" i="24"/>
  <c r="L60" i="24"/>
  <c r="K60" i="24"/>
  <c r="J60" i="24"/>
  <c r="I60" i="24"/>
  <c r="H60" i="24"/>
  <c r="G60" i="24"/>
  <c r="F60" i="24"/>
  <c r="E60" i="24"/>
  <c r="D60" i="24"/>
  <c r="Q59" i="24"/>
  <c r="P59" i="24"/>
  <c r="O59" i="24"/>
  <c r="N59" i="24"/>
  <c r="M59" i="24"/>
  <c r="L59" i="24"/>
  <c r="K59" i="24"/>
  <c r="J59" i="24"/>
  <c r="I59" i="24"/>
  <c r="H59" i="24"/>
  <c r="G59" i="24"/>
  <c r="F59" i="24"/>
  <c r="E59" i="24"/>
  <c r="D59" i="24"/>
  <c r="Q58" i="24"/>
  <c r="P58" i="24"/>
  <c r="O58" i="24"/>
  <c r="N58" i="24"/>
  <c r="M58" i="24"/>
  <c r="L58" i="24"/>
  <c r="K58" i="24"/>
  <c r="J58" i="24"/>
  <c r="I58" i="24"/>
  <c r="H58" i="24"/>
  <c r="G58" i="24"/>
  <c r="F58" i="24"/>
  <c r="E58" i="24"/>
  <c r="D58" i="24"/>
  <c r="Q57" i="24"/>
  <c r="P57" i="24"/>
  <c r="O57" i="24"/>
  <c r="N57" i="24"/>
  <c r="M57" i="24"/>
  <c r="L57" i="24"/>
  <c r="K57" i="24"/>
  <c r="J57" i="24"/>
  <c r="I57" i="24"/>
  <c r="H57" i="24"/>
  <c r="G57" i="24"/>
  <c r="F57" i="24"/>
  <c r="E57" i="24"/>
  <c r="D57" i="24"/>
  <c r="Q56" i="24"/>
  <c r="P56" i="24"/>
  <c r="O56" i="24"/>
  <c r="N56" i="24"/>
  <c r="M56" i="24"/>
  <c r="L56" i="24"/>
  <c r="K56" i="24"/>
  <c r="J56" i="24"/>
  <c r="I56" i="24"/>
  <c r="H56" i="24"/>
  <c r="G56" i="24"/>
  <c r="F56" i="24"/>
  <c r="E56" i="24"/>
  <c r="D56" i="24"/>
  <c r="Q55" i="24"/>
  <c r="P55" i="24"/>
  <c r="O55" i="24"/>
  <c r="N55" i="24"/>
  <c r="M55" i="24"/>
  <c r="L55" i="24"/>
  <c r="K55" i="24"/>
  <c r="J55" i="24"/>
  <c r="I55" i="24"/>
  <c r="H55" i="24"/>
  <c r="G55" i="24"/>
  <c r="F55" i="24"/>
  <c r="E55" i="24"/>
  <c r="D55" i="24"/>
  <c r="Q54" i="24"/>
  <c r="P54" i="24"/>
  <c r="O54" i="24"/>
  <c r="N54" i="24"/>
  <c r="M54" i="24"/>
  <c r="L54" i="24"/>
  <c r="K54" i="24"/>
  <c r="J54" i="24"/>
  <c r="I54" i="24"/>
  <c r="H54" i="24"/>
  <c r="G54" i="24"/>
  <c r="F54" i="24"/>
  <c r="E54" i="24"/>
  <c r="D54" i="24"/>
  <c r="Q53" i="24"/>
  <c r="P53" i="24"/>
  <c r="O53" i="24"/>
  <c r="N53" i="24"/>
  <c r="M53" i="24"/>
  <c r="L53" i="24"/>
  <c r="K53" i="24"/>
  <c r="J53" i="24"/>
  <c r="I53" i="24"/>
  <c r="H53" i="24"/>
  <c r="G53" i="24"/>
  <c r="F53" i="24"/>
  <c r="E53" i="24"/>
  <c r="D53" i="24"/>
  <c r="Q52" i="24"/>
  <c r="P52" i="24"/>
  <c r="O52" i="24"/>
  <c r="N52" i="24"/>
  <c r="M52" i="24"/>
  <c r="L52" i="24"/>
  <c r="K52" i="24"/>
  <c r="J52" i="24"/>
  <c r="I52" i="24"/>
  <c r="H52" i="24"/>
  <c r="G52" i="24"/>
  <c r="F52" i="24"/>
  <c r="E52" i="24"/>
  <c r="D52" i="24"/>
  <c r="Q51" i="24"/>
  <c r="P51" i="24"/>
  <c r="O51" i="24"/>
  <c r="N51" i="24"/>
  <c r="M51" i="24"/>
  <c r="L51" i="24"/>
  <c r="K51" i="24"/>
  <c r="J51" i="24"/>
  <c r="I51" i="24"/>
  <c r="H51" i="24"/>
  <c r="G51" i="24"/>
  <c r="F51" i="24"/>
  <c r="E51" i="24"/>
  <c r="D51" i="24"/>
  <c r="Q50" i="24"/>
  <c r="P50" i="24"/>
  <c r="O50" i="24"/>
  <c r="N50" i="24"/>
  <c r="M50" i="24"/>
  <c r="L50" i="24"/>
  <c r="K50" i="24"/>
  <c r="J50" i="24"/>
  <c r="I50" i="24"/>
  <c r="H50" i="24"/>
  <c r="G50" i="24"/>
  <c r="F50" i="24"/>
  <c r="E50" i="24"/>
  <c r="D50" i="24"/>
  <c r="Q49" i="24"/>
  <c r="P49" i="24"/>
  <c r="O49" i="24"/>
  <c r="N49" i="24"/>
  <c r="M49" i="24"/>
  <c r="L49" i="24"/>
  <c r="K49" i="24"/>
  <c r="J49" i="24"/>
  <c r="I49" i="24"/>
  <c r="H49" i="24"/>
  <c r="G49" i="24"/>
  <c r="F49" i="24"/>
  <c r="E49" i="24"/>
  <c r="D49" i="24"/>
  <c r="Q48" i="24"/>
  <c r="P48" i="24"/>
  <c r="O48" i="24"/>
  <c r="N48" i="24"/>
  <c r="M48" i="24"/>
  <c r="L48" i="24"/>
  <c r="K48" i="24"/>
  <c r="J48" i="24"/>
  <c r="I48" i="24"/>
  <c r="H48" i="24"/>
  <c r="G48" i="24"/>
  <c r="F48" i="24"/>
  <c r="E48" i="24"/>
  <c r="D48" i="24"/>
  <c r="Q47" i="24"/>
  <c r="P47" i="24"/>
  <c r="O47" i="24"/>
  <c r="N47" i="24"/>
  <c r="M47" i="24"/>
  <c r="L47" i="24"/>
  <c r="K47" i="24"/>
  <c r="J47" i="24"/>
  <c r="I47" i="24"/>
  <c r="H47" i="24"/>
  <c r="G47" i="24"/>
  <c r="F47" i="24"/>
  <c r="E47" i="24"/>
  <c r="D47" i="24"/>
  <c r="Q46" i="24"/>
  <c r="P46" i="24"/>
  <c r="O46" i="24"/>
  <c r="N46" i="24"/>
  <c r="M46" i="24"/>
  <c r="L46" i="24"/>
  <c r="K46" i="24"/>
  <c r="J46" i="24"/>
  <c r="I46" i="24"/>
  <c r="H46" i="24"/>
  <c r="G46" i="24"/>
  <c r="F46" i="24"/>
  <c r="E46" i="24"/>
  <c r="D46" i="24"/>
  <c r="Q45" i="24"/>
  <c r="P45" i="24"/>
  <c r="O45" i="24"/>
  <c r="N45" i="24"/>
  <c r="M45" i="24"/>
  <c r="L45" i="24"/>
  <c r="K45" i="24"/>
  <c r="J45" i="24"/>
  <c r="I45" i="24"/>
  <c r="H45" i="24"/>
  <c r="G45" i="24"/>
  <c r="F45" i="24"/>
  <c r="E45" i="24"/>
  <c r="D45" i="24"/>
  <c r="Q44" i="24"/>
  <c r="P44" i="24"/>
  <c r="O44" i="24"/>
  <c r="N44" i="24"/>
  <c r="M44" i="24"/>
  <c r="L44" i="24"/>
  <c r="K44" i="24"/>
  <c r="J44" i="24"/>
  <c r="I44" i="24"/>
  <c r="H44" i="24"/>
  <c r="G44" i="24"/>
  <c r="F44" i="24"/>
  <c r="E44" i="24"/>
  <c r="D44" i="24"/>
  <c r="Q43" i="24"/>
  <c r="P43" i="24"/>
  <c r="O43" i="24"/>
  <c r="N43" i="24"/>
  <c r="M43" i="24"/>
  <c r="L43" i="24"/>
  <c r="K43" i="24"/>
  <c r="J43" i="24"/>
  <c r="I43" i="24"/>
  <c r="H43" i="24"/>
  <c r="G43" i="24"/>
  <c r="F43" i="24"/>
  <c r="E43" i="24"/>
  <c r="D43" i="24"/>
  <c r="Q42" i="24"/>
  <c r="P42" i="24"/>
  <c r="O42" i="24"/>
  <c r="N42" i="24"/>
  <c r="M42" i="24"/>
  <c r="L42" i="24"/>
  <c r="K42" i="24"/>
  <c r="J42" i="24"/>
  <c r="I42" i="24"/>
  <c r="H42" i="24"/>
  <c r="G42" i="24"/>
  <c r="F42" i="24"/>
  <c r="E42" i="24"/>
  <c r="D42" i="24"/>
  <c r="Q41" i="24"/>
  <c r="P41" i="24"/>
  <c r="O41" i="24"/>
  <c r="N41" i="24"/>
  <c r="M41" i="24"/>
  <c r="L41" i="24"/>
  <c r="K41" i="24"/>
  <c r="J41" i="24"/>
  <c r="I41" i="24"/>
  <c r="H41" i="24"/>
  <c r="G41" i="24"/>
  <c r="F41" i="24"/>
  <c r="E41" i="24"/>
  <c r="D41" i="24"/>
  <c r="Q40" i="24"/>
  <c r="P40" i="24"/>
  <c r="O40" i="24"/>
  <c r="N40" i="24"/>
  <c r="M40" i="24"/>
  <c r="L40" i="24"/>
  <c r="K40" i="24"/>
  <c r="J40" i="24"/>
  <c r="I40" i="24"/>
  <c r="H40" i="24"/>
  <c r="G40" i="24"/>
  <c r="F40" i="24"/>
  <c r="E40" i="24"/>
  <c r="D40" i="24"/>
  <c r="Q39" i="24"/>
  <c r="P39" i="24"/>
  <c r="O39" i="24"/>
  <c r="N39" i="24"/>
  <c r="M39" i="24"/>
  <c r="L39" i="24"/>
  <c r="K39" i="24"/>
  <c r="J39" i="24"/>
  <c r="I39" i="24"/>
  <c r="H39" i="24"/>
  <c r="G39" i="24"/>
  <c r="F39" i="24"/>
  <c r="E39" i="24"/>
  <c r="D39" i="24"/>
  <c r="Q38" i="24"/>
  <c r="P38" i="24"/>
  <c r="O38" i="24"/>
  <c r="N38" i="24"/>
  <c r="M38" i="24"/>
  <c r="L38" i="24"/>
  <c r="K38" i="24"/>
  <c r="J38" i="24"/>
  <c r="I38" i="24"/>
  <c r="H38" i="24"/>
  <c r="G38" i="24"/>
  <c r="F38" i="24"/>
  <c r="E38" i="24"/>
  <c r="D38" i="24"/>
  <c r="Q37" i="24"/>
  <c r="P37" i="24"/>
  <c r="O37" i="24"/>
  <c r="N37" i="24"/>
  <c r="M37" i="24"/>
  <c r="L37" i="24"/>
  <c r="K37" i="24"/>
  <c r="J37" i="24"/>
  <c r="I37" i="24"/>
  <c r="H37" i="24"/>
  <c r="G37" i="24"/>
  <c r="F37" i="24"/>
  <c r="E37" i="24"/>
  <c r="D37" i="24"/>
  <c r="Q36" i="24"/>
  <c r="P36" i="24"/>
  <c r="O36" i="24"/>
  <c r="N36" i="24"/>
  <c r="M36" i="24"/>
  <c r="L36" i="24"/>
  <c r="K36" i="24"/>
  <c r="J36" i="24"/>
  <c r="I36" i="24"/>
  <c r="H36" i="24"/>
  <c r="G36" i="24"/>
  <c r="F36" i="24"/>
  <c r="E36" i="24"/>
  <c r="D36" i="24"/>
  <c r="Q35" i="24"/>
  <c r="P35" i="24"/>
  <c r="O35" i="24"/>
  <c r="N35" i="24"/>
  <c r="M35" i="24"/>
  <c r="L35" i="24"/>
  <c r="K35" i="24"/>
  <c r="J35" i="24"/>
  <c r="I35" i="24"/>
  <c r="H35" i="24"/>
  <c r="G35" i="24"/>
  <c r="F35" i="24"/>
  <c r="E35" i="24"/>
  <c r="D35" i="24"/>
  <c r="Q34" i="24"/>
  <c r="P34" i="24"/>
  <c r="O34" i="24"/>
  <c r="N34" i="24"/>
  <c r="M34" i="24"/>
  <c r="L34" i="24"/>
  <c r="K34" i="24"/>
  <c r="J34" i="24"/>
  <c r="I34" i="24"/>
  <c r="H34" i="24"/>
  <c r="G34" i="24"/>
  <c r="F34" i="24"/>
  <c r="E34" i="24"/>
  <c r="D34" i="24"/>
  <c r="Q33" i="24"/>
  <c r="P33" i="24"/>
  <c r="O33" i="24"/>
  <c r="N33" i="24"/>
  <c r="M33" i="24"/>
  <c r="L33" i="24"/>
  <c r="K33" i="24"/>
  <c r="J33" i="24"/>
  <c r="I33" i="24"/>
  <c r="H33" i="24"/>
  <c r="G33" i="24"/>
  <c r="F33" i="24"/>
  <c r="E33" i="24"/>
  <c r="D33" i="24"/>
  <c r="Q32" i="24"/>
  <c r="P32" i="24"/>
  <c r="O32" i="24"/>
  <c r="N32" i="24"/>
  <c r="M32" i="24"/>
  <c r="L32" i="24"/>
  <c r="K32" i="24"/>
  <c r="J32" i="24"/>
  <c r="I32" i="24"/>
  <c r="H32" i="24"/>
  <c r="G32" i="24"/>
  <c r="F32" i="24"/>
  <c r="E32" i="24"/>
  <c r="D32" i="24"/>
  <c r="Q31" i="24"/>
  <c r="P31" i="24"/>
  <c r="O31" i="24"/>
  <c r="N31" i="24"/>
  <c r="M31" i="24"/>
  <c r="L31" i="24"/>
  <c r="K31" i="24"/>
  <c r="J31" i="24"/>
  <c r="I31" i="24"/>
  <c r="H31" i="24"/>
  <c r="G31" i="24"/>
  <c r="F31" i="24"/>
  <c r="E31" i="24"/>
  <c r="D31" i="24"/>
  <c r="Q30" i="24"/>
  <c r="P30" i="24"/>
  <c r="O30" i="24"/>
  <c r="N30" i="24"/>
  <c r="M30" i="24"/>
  <c r="L30" i="24"/>
  <c r="K30" i="24"/>
  <c r="J30" i="24"/>
  <c r="I30" i="24"/>
  <c r="H30" i="24"/>
  <c r="G30" i="24"/>
  <c r="F30" i="24"/>
  <c r="E30" i="24"/>
  <c r="D30" i="24"/>
  <c r="Q29" i="24"/>
  <c r="P29" i="24"/>
  <c r="O29" i="24"/>
  <c r="N29" i="24"/>
  <c r="M29" i="24"/>
  <c r="L29" i="24"/>
  <c r="K29" i="24"/>
  <c r="J29" i="24"/>
  <c r="I29" i="24"/>
  <c r="H29" i="24"/>
  <c r="G29" i="24"/>
  <c r="F29" i="24"/>
  <c r="E29" i="24"/>
  <c r="D29" i="24"/>
  <c r="Q28" i="24"/>
  <c r="P28" i="24"/>
  <c r="O28" i="24"/>
  <c r="N28" i="24"/>
  <c r="M28" i="24"/>
  <c r="L28" i="24"/>
  <c r="K28" i="24"/>
  <c r="J28" i="24"/>
  <c r="I28" i="24"/>
  <c r="H28" i="24"/>
  <c r="G28" i="24"/>
  <c r="F28" i="24"/>
  <c r="E28" i="24"/>
  <c r="D28" i="24"/>
  <c r="Q27" i="24"/>
  <c r="P27" i="24"/>
  <c r="O27" i="24"/>
  <c r="N27" i="24"/>
  <c r="M27" i="24"/>
  <c r="L27" i="24"/>
  <c r="K27" i="24"/>
  <c r="J27" i="24"/>
  <c r="I27" i="24"/>
  <c r="H27" i="24"/>
  <c r="G27" i="24"/>
  <c r="F27" i="24"/>
  <c r="E27" i="24"/>
  <c r="D27" i="24"/>
  <c r="Q26" i="24"/>
  <c r="P26" i="24"/>
  <c r="O26" i="24"/>
  <c r="N26" i="24"/>
  <c r="M26" i="24"/>
  <c r="L26" i="24"/>
  <c r="K26" i="24"/>
  <c r="J26" i="24"/>
  <c r="I26" i="24"/>
  <c r="H26" i="24"/>
  <c r="G26" i="24"/>
  <c r="F26" i="24"/>
  <c r="E26" i="24"/>
  <c r="D26" i="24"/>
  <c r="Q25" i="24"/>
  <c r="P25" i="24"/>
  <c r="O25" i="24"/>
  <c r="N25" i="24"/>
  <c r="M25" i="24"/>
  <c r="L25" i="24"/>
  <c r="K25" i="24"/>
  <c r="J25" i="24"/>
  <c r="I25" i="24"/>
  <c r="H25" i="24"/>
  <c r="G25" i="24"/>
  <c r="F25" i="24"/>
  <c r="E25" i="24"/>
  <c r="D25" i="24"/>
  <c r="Q24" i="24"/>
  <c r="P24" i="24"/>
  <c r="O24" i="24"/>
  <c r="N24" i="24"/>
  <c r="M24" i="24"/>
  <c r="L24" i="24"/>
  <c r="K24" i="24"/>
  <c r="J24" i="24"/>
  <c r="I24" i="24"/>
  <c r="H24" i="24"/>
  <c r="G24" i="24"/>
  <c r="F24" i="24"/>
  <c r="E24" i="24"/>
  <c r="D24" i="24"/>
  <c r="Q23" i="24"/>
  <c r="P23" i="24"/>
  <c r="O23" i="24"/>
  <c r="N23" i="24"/>
  <c r="M23" i="24"/>
  <c r="L23" i="24"/>
  <c r="K23" i="24"/>
  <c r="J23" i="24"/>
  <c r="I23" i="24"/>
  <c r="H23" i="24"/>
  <c r="G23" i="24"/>
  <c r="F23" i="24"/>
  <c r="E23" i="24"/>
  <c r="D23" i="24"/>
  <c r="Q22" i="24"/>
  <c r="P22" i="24"/>
  <c r="O22" i="24"/>
  <c r="N22" i="24"/>
  <c r="M22" i="24"/>
  <c r="L22" i="24"/>
  <c r="K22" i="24"/>
  <c r="J22" i="24"/>
  <c r="I22" i="24"/>
  <c r="H22" i="24"/>
  <c r="G22" i="24"/>
  <c r="F22" i="24"/>
  <c r="E22" i="24"/>
  <c r="D22" i="24"/>
  <c r="Q21" i="24"/>
  <c r="P21" i="24"/>
  <c r="O21" i="24"/>
  <c r="N21" i="24"/>
  <c r="M21" i="24"/>
  <c r="L21" i="24"/>
  <c r="K21" i="24"/>
  <c r="J21" i="24"/>
  <c r="I21" i="24"/>
  <c r="H21" i="24"/>
  <c r="G21" i="24"/>
  <c r="F21" i="24"/>
  <c r="E21" i="24"/>
  <c r="D21" i="24"/>
  <c r="Q20" i="24"/>
  <c r="P20" i="24"/>
  <c r="O20" i="24"/>
  <c r="N20" i="24"/>
  <c r="M20" i="24"/>
  <c r="L20" i="24"/>
  <c r="K20" i="24"/>
  <c r="J20" i="24"/>
  <c r="I20" i="24"/>
  <c r="H20" i="24"/>
  <c r="G20" i="24"/>
  <c r="F20" i="24"/>
  <c r="E20" i="24"/>
  <c r="D20" i="24"/>
  <c r="Q19" i="24"/>
  <c r="P19" i="24"/>
  <c r="O19" i="24"/>
  <c r="N19" i="24"/>
  <c r="M19" i="24"/>
  <c r="L19" i="24"/>
  <c r="K19" i="24"/>
  <c r="J19" i="24"/>
  <c r="I19" i="24"/>
  <c r="H19" i="24"/>
  <c r="G19" i="24"/>
  <c r="F19" i="24"/>
  <c r="E19" i="24"/>
  <c r="D19" i="24"/>
  <c r="Q18" i="24"/>
  <c r="P18" i="24"/>
  <c r="O18" i="24"/>
  <c r="N18" i="24"/>
  <c r="M18" i="24"/>
  <c r="L18" i="24"/>
  <c r="K18" i="24"/>
  <c r="J18" i="24"/>
  <c r="I18" i="24"/>
  <c r="H18" i="24"/>
  <c r="G18" i="24"/>
  <c r="F18" i="24"/>
  <c r="E18" i="24"/>
  <c r="D18" i="24"/>
  <c r="Q17" i="24"/>
  <c r="P17" i="24"/>
  <c r="O17" i="24"/>
  <c r="N17" i="24"/>
  <c r="M17" i="24"/>
  <c r="L17" i="24"/>
  <c r="K17" i="24"/>
  <c r="J17" i="24"/>
  <c r="I17" i="24"/>
  <c r="H17" i="24"/>
  <c r="G17" i="24"/>
  <c r="F17" i="24"/>
  <c r="E17" i="24"/>
  <c r="D17" i="24"/>
  <c r="Q16" i="24"/>
  <c r="P16" i="24"/>
  <c r="O16" i="24"/>
  <c r="N16" i="24"/>
  <c r="M16" i="24"/>
  <c r="L16" i="24"/>
  <c r="K16" i="24"/>
  <c r="J16" i="24"/>
  <c r="I16" i="24"/>
  <c r="H16" i="24"/>
  <c r="G16" i="24"/>
  <c r="F16" i="24"/>
  <c r="E16" i="24"/>
  <c r="D16" i="24"/>
  <c r="Q15" i="24"/>
  <c r="P15" i="24"/>
  <c r="O15" i="24"/>
  <c r="N15" i="24"/>
  <c r="M15" i="24"/>
  <c r="L15" i="24"/>
  <c r="K15" i="24"/>
  <c r="J15" i="24"/>
  <c r="I15" i="24"/>
  <c r="H15" i="24"/>
  <c r="G15" i="24"/>
  <c r="F15" i="24"/>
  <c r="E15" i="24"/>
  <c r="D15" i="24"/>
  <c r="Q14" i="24"/>
  <c r="P14" i="24"/>
  <c r="O14" i="24"/>
  <c r="N14" i="24"/>
  <c r="M14" i="24"/>
  <c r="L14" i="24"/>
  <c r="K14" i="24"/>
  <c r="J14" i="24"/>
  <c r="I14" i="24"/>
  <c r="H14" i="24"/>
  <c r="G14" i="24"/>
  <c r="F14" i="24"/>
  <c r="E14" i="24"/>
  <c r="D14" i="24"/>
  <c r="Q13" i="24"/>
  <c r="P13" i="24"/>
  <c r="O13" i="24"/>
  <c r="N13" i="24"/>
  <c r="M13" i="24"/>
  <c r="L13" i="24"/>
  <c r="K13" i="24"/>
  <c r="J13" i="24"/>
  <c r="I13" i="24"/>
  <c r="H13" i="24"/>
  <c r="G13" i="24"/>
  <c r="F13" i="24"/>
  <c r="E13" i="24"/>
  <c r="D13" i="24"/>
  <c r="Q12" i="24"/>
  <c r="P12" i="24"/>
  <c r="O12" i="24"/>
  <c r="N12" i="24"/>
  <c r="M12" i="24"/>
  <c r="L12" i="24"/>
  <c r="K12" i="24"/>
  <c r="J12" i="24"/>
  <c r="I12" i="24"/>
  <c r="H12" i="24"/>
  <c r="G12" i="24"/>
  <c r="F12" i="24"/>
  <c r="E12" i="24"/>
  <c r="D12" i="24"/>
  <c r="Q11" i="24"/>
  <c r="P11" i="24"/>
  <c r="O11" i="24"/>
  <c r="N11" i="24"/>
  <c r="M11" i="24"/>
  <c r="L11" i="24"/>
  <c r="K11" i="24"/>
  <c r="J11" i="24"/>
  <c r="I11" i="24"/>
  <c r="H11" i="24"/>
  <c r="G11" i="24"/>
  <c r="F11" i="24"/>
  <c r="E11" i="24"/>
  <c r="D11" i="24"/>
  <c r="Q10" i="24"/>
  <c r="P10" i="24"/>
  <c r="O10" i="24"/>
  <c r="N10" i="24"/>
  <c r="M10" i="24"/>
  <c r="L10" i="24"/>
  <c r="K10" i="24"/>
  <c r="J10" i="24"/>
  <c r="I10" i="24"/>
  <c r="H10" i="24"/>
  <c r="G10" i="24"/>
  <c r="F10" i="24"/>
  <c r="E10" i="24"/>
  <c r="D10" i="24"/>
  <c r="Q9" i="24"/>
  <c r="P9" i="24"/>
  <c r="O9" i="24"/>
  <c r="N9" i="24"/>
  <c r="M9" i="24"/>
  <c r="L9" i="24"/>
  <c r="K9" i="24"/>
  <c r="J9" i="24"/>
  <c r="I9" i="24"/>
  <c r="H9" i="24"/>
  <c r="G9" i="24"/>
  <c r="F9" i="24"/>
  <c r="E9" i="24"/>
  <c r="D9" i="24"/>
  <c r="Q8" i="24"/>
  <c r="P8" i="24"/>
  <c r="O8" i="24"/>
  <c r="N8" i="24"/>
  <c r="M8" i="24"/>
  <c r="L8" i="24"/>
  <c r="K8" i="24"/>
  <c r="J8" i="24"/>
  <c r="I8" i="24"/>
  <c r="H8" i="24"/>
  <c r="G8" i="24"/>
  <c r="F8" i="24"/>
  <c r="E8" i="24"/>
  <c r="D8" i="24"/>
  <c r="Q7" i="24"/>
  <c r="P7" i="24"/>
  <c r="O7" i="24"/>
  <c r="N7" i="24"/>
  <c r="M7" i="24"/>
  <c r="L7" i="24"/>
  <c r="K7" i="24"/>
  <c r="J7" i="24"/>
  <c r="I7" i="24"/>
  <c r="H7" i="24"/>
  <c r="G7" i="24"/>
  <c r="F7" i="24"/>
  <c r="E7" i="24"/>
  <c r="D7" i="24"/>
  <c r="Q6" i="24"/>
  <c r="P6" i="24"/>
  <c r="O6" i="24"/>
  <c r="N6" i="24"/>
  <c r="M6" i="24"/>
  <c r="L6" i="24"/>
  <c r="K6" i="24"/>
  <c r="J6" i="24"/>
  <c r="I6" i="24"/>
  <c r="H6" i="24"/>
  <c r="G6" i="24"/>
  <c r="F6" i="24"/>
  <c r="E6" i="24"/>
  <c r="D6" i="24"/>
  <c r="Q5" i="24"/>
  <c r="P5" i="24"/>
  <c r="O5" i="24"/>
  <c r="N5" i="24"/>
  <c r="M5" i="24"/>
  <c r="L5" i="24"/>
  <c r="K5" i="24"/>
  <c r="J5" i="24"/>
  <c r="I5" i="24"/>
  <c r="H5" i="24"/>
  <c r="G5" i="24"/>
  <c r="F5" i="24"/>
  <c r="E5" i="24"/>
  <c r="D5" i="24"/>
  <c r="Q4" i="24"/>
  <c r="F54" i="1" s="1"/>
  <c r="P4" i="24"/>
  <c r="F53" i="1" s="1"/>
  <c r="F4" i="24"/>
  <c r="D4" i="24"/>
  <c r="I131" i="84"/>
  <c r="H131" i="84"/>
  <c r="G131" i="84"/>
  <c r="F131" i="84"/>
  <c r="I130" i="84"/>
  <c r="H130" i="84"/>
  <c r="G130" i="84"/>
  <c r="F130" i="84"/>
  <c r="I129" i="84"/>
  <c r="H129" i="84"/>
  <c r="G129" i="84"/>
  <c r="F129" i="84"/>
  <c r="I128" i="84"/>
  <c r="H128" i="84"/>
  <c r="G128" i="84"/>
  <c r="F128" i="84"/>
  <c r="AK131" i="84"/>
  <c r="AK130" i="84"/>
  <c r="AK129" i="84"/>
  <c r="AK128" i="84"/>
  <c r="AK127" i="84"/>
  <c r="AB131" i="84"/>
  <c r="W131" i="84" s="1"/>
  <c r="AB130" i="84"/>
  <c r="W130" i="84" s="1"/>
  <c r="AB129" i="84"/>
  <c r="W129" i="84" s="1"/>
  <c r="AB128" i="84"/>
  <c r="W128" i="84" s="1"/>
  <c r="AB127" i="84"/>
  <c r="W127" i="84" s="1"/>
  <c r="V131" i="84"/>
  <c r="Q131" i="84" s="1"/>
  <c r="V130" i="84"/>
  <c r="Q130" i="84" s="1"/>
  <c r="V129" i="84"/>
  <c r="Q129" i="84" s="1"/>
  <c r="P131" i="84"/>
  <c r="K131" i="84" s="1"/>
  <c r="P130" i="84"/>
  <c r="K130" i="84" s="1"/>
  <c r="P129" i="84"/>
  <c r="K129" i="84" s="1"/>
  <c r="P128" i="84"/>
  <c r="K128" i="84" s="1"/>
  <c r="P127" i="84"/>
  <c r="K127" i="84" s="1"/>
  <c r="V127" i="84"/>
  <c r="Q127" i="84" s="1"/>
  <c r="V128" i="84"/>
  <c r="Q128" i="84" s="1"/>
  <c r="J127" i="84" l="1"/>
  <c r="J129" i="84"/>
  <c r="J131" i="84"/>
  <c r="E131" i="84" s="1"/>
  <c r="J128" i="84"/>
  <c r="E128" i="84" s="1"/>
  <c r="J130" i="84"/>
  <c r="E130" i="84" s="1"/>
  <c r="AE130" i="84" s="1"/>
  <c r="E129" i="84"/>
  <c r="AG129" i="84" s="1"/>
  <c r="AF125" i="84"/>
  <c r="AE125" i="84"/>
  <c r="AF124" i="84"/>
  <c r="AE124" i="84"/>
  <c r="AF123" i="84"/>
  <c r="AE123" i="84"/>
  <c r="AF122" i="84"/>
  <c r="AE122" i="84"/>
  <c r="AF121" i="84"/>
  <c r="AE121" i="84"/>
  <c r="AF120" i="84"/>
  <c r="AE120" i="84"/>
  <c r="AF119" i="84"/>
  <c r="AE119" i="84"/>
  <c r="AF118" i="84"/>
  <c r="AE118" i="84"/>
  <c r="AF117" i="84"/>
  <c r="AE117" i="84"/>
  <c r="AF116" i="84"/>
  <c r="AE116" i="84"/>
  <c r="AF115" i="84"/>
  <c r="AE115" i="84"/>
  <c r="AF114" i="84"/>
  <c r="AE114" i="84"/>
  <c r="AF113" i="84"/>
  <c r="AE113" i="84"/>
  <c r="AF112" i="84"/>
  <c r="AE112" i="84"/>
  <c r="AF111" i="84"/>
  <c r="AE111" i="84"/>
  <c r="AF110" i="84"/>
  <c r="AE110" i="84"/>
  <c r="AF109" i="84"/>
  <c r="AE109" i="84"/>
  <c r="AF108" i="84"/>
  <c r="AE108" i="84"/>
  <c r="AF107" i="84"/>
  <c r="AE107" i="84"/>
  <c r="AF106" i="84"/>
  <c r="AE106" i="84"/>
  <c r="AF105" i="84"/>
  <c r="AE105" i="84"/>
  <c r="AF104" i="84"/>
  <c r="AE104" i="84"/>
  <c r="AF103" i="84"/>
  <c r="AE103" i="84"/>
  <c r="AF102" i="84"/>
  <c r="AE102" i="84"/>
  <c r="AF101" i="84"/>
  <c r="AE101" i="84"/>
  <c r="AF100" i="84"/>
  <c r="AE100" i="84"/>
  <c r="AF99" i="84"/>
  <c r="AE99" i="84"/>
  <c r="AF98" i="84"/>
  <c r="AE98" i="84"/>
  <c r="AF97" i="84"/>
  <c r="AE97" i="84"/>
  <c r="AF96" i="84"/>
  <c r="AE96" i="84"/>
  <c r="AF95" i="84"/>
  <c r="AE95" i="84"/>
  <c r="AF94" i="84"/>
  <c r="AE94" i="84"/>
  <c r="AF93" i="84"/>
  <c r="AE93" i="84"/>
  <c r="AF92" i="84"/>
  <c r="AE92" i="84"/>
  <c r="AF91" i="84"/>
  <c r="AE91" i="84"/>
  <c r="AF90" i="84"/>
  <c r="AE90" i="84"/>
  <c r="AF89" i="84"/>
  <c r="AE89" i="84"/>
  <c r="AF88" i="84"/>
  <c r="AE88" i="84"/>
  <c r="AF87" i="84"/>
  <c r="AE87" i="84"/>
  <c r="AF86" i="84"/>
  <c r="AE86" i="84"/>
  <c r="AF85" i="84"/>
  <c r="AE85" i="84"/>
  <c r="AF84" i="84"/>
  <c r="AE84" i="84"/>
  <c r="AF83" i="84"/>
  <c r="AE83" i="84"/>
  <c r="AF82" i="84"/>
  <c r="AE82" i="84"/>
  <c r="AF81" i="84"/>
  <c r="AE81" i="84"/>
  <c r="AF80" i="84"/>
  <c r="AE80" i="84"/>
  <c r="AF79" i="84"/>
  <c r="AE79" i="84"/>
  <c r="AF78" i="84"/>
  <c r="AE78" i="84"/>
  <c r="AF77" i="84"/>
  <c r="AE77" i="84"/>
  <c r="AF76" i="84"/>
  <c r="AE76" i="84"/>
  <c r="AF75" i="84"/>
  <c r="AE75" i="84"/>
  <c r="AF74" i="84"/>
  <c r="AE74" i="84"/>
  <c r="AF73" i="84"/>
  <c r="AE73" i="84"/>
  <c r="AF72" i="84"/>
  <c r="AE72" i="84"/>
  <c r="AF71" i="84"/>
  <c r="AE71" i="84"/>
  <c r="AF70" i="84"/>
  <c r="AE70" i="84"/>
  <c r="AF69" i="84"/>
  <c r="AE69" i="84"/>
  <c r="AF68" i="84"/>
  <c r="AE68" i="84"/>
  <c r="AF67" i="84"/>
  <c r="AE67" i="84"/>
  <c r="AF66" i="84"/>
  <c r="AE66" i="84"/>
  <c r="AF65" i="84"/>
  <c r="AE65" i="84"/>
  <c r="AF64" i="84"/>
  <c r="AE64" i="84"/>
  <c r="AF63" i="84"/>
  <c r="AE63" i="84"/>
  <c r="AF62" i="84"/>
  <c r="AE62" i="84"/>
  <c r="AF61" i="84"/>
  <c r="AE61" i="84"/>
  <c r="AF60" i="84"/>
  <c r="AE60" i="84"/>
  <c r="AF59" i="84"/>
  <c r="AE59" i="84"/>
  <c r="AF58" i="84"/>
  <c r="AE58" i="84"/>
  <c r="AF57" i="84"/>
  <c r="AE57" i="84"/>
  <c r="AF56" i="84"/>
  <c r="AE56" i="84"/>
  <c r="AF55" i="84"/>
  <c r="AE55" i="84"/>
  <c r="AF54" i="84"/>
  <c r="AE54" i="84"/>
  <c r="AF53" i="84"/>
  <c r="AE53" i="84"/>
  <c r="AF52" i="84"/>
  <c r="AE52" i="84"/>
  <c r="AF51" i="84"/>
  <c r="AE51" i="84"/>
  <c r="AF50" i="84"/>
  <c r="AE50" i="84"/>
  <c r="AF49" i="84"/>
  <c r="AE49" i="84"/>
  <c r="AF48" i="84"/>
  <c r="AE48" i="84"/>
  <c r="AF47" i="84"/>
  <c r="AE47" i="84"/>
  <c r="AF46" i="84"/>
  <c r="AE46" i="84"/>
  <c r="AF45" i="84"/>
  <c r="AE45" i="84"/>
  <c r="AF44" i="84"/>
  <c r="AE44" i="84"/>
  <c r="AF43" i="84"/>
  <c r="AE43" i="84"/>
  <c r="AF42" i="84"/>
  <c r="AE42" i="84"/>
  <c r="AF41" i="84"/>
  <c r="AE41" i="84"/>
  <c r="AF40" i="84"/>
  <c r="AE40" i="84"/>
  <c r="AF39" i="84"/>
  <c r="AE39" i="84"/>
  <c r="AF38" i="84"/>
  <c r="AE38" i="84"/>
  <c r="AF37" i="84"/>
  <c r="AE37" i="84"/>
  <c r="AF36" i="84"/>
  <c r="AE36" i="84"/>
  <c r="AF35" i="84"/>
  <c r="AE35" i="84"/>
  <c r="AF34" i="84"/>
  <c r="AE34" i="84"/>
  <c r="AF33" i="84"/>
  <c r="AE33" i="84"/>
  <c r="AF32" i="84"/>
  <c r="AE32" i="84"/>
  <c r="AF31" i="84"/>
  <c r="AE31" i="84"/>
  <c r="AF30" i="84"/>
  <c r="AE30" i="84"/>
  <c r="AF29" i="84"/>
  <c r="AE29" i="84"/>
  <c r="AF28" i="84"/>
  <c r="AE28" i="84"/>
  <c r="AF27" i="84"/>
  <c r="AE27" i="84"/>
  <c r="AF26" i="84"/>
  <c r="AE26" i="84"/>
  <c r="AF25" i="84"/>
  <c r="AE25" i="84"/>
  <c r="AF24" i="84"/>
  <c r="AE24" i="84"/>
  <c r="AF23" i="84"/>
  <c r="AE23" i="84"/>
  <c r="AF22" i="84"/>
  <c r="AE22" i="84"/>
  <c r="AF21" i="84"/>
  <c r="AE21" i="84"/>
  <c r="AF20" i="84"/>
  <c r="AE20" i="84"/>
  <c r="AF19" i="84"/>
  <c r="AE19" i="84"/>
  <c r="AF18" i="84"/>
  <c r="AE18" i="84"/>
  <c r="AF17" i="84"/>
  <c r="AE17" i="84"/>
  <c r="AF16" i="84"/>
  <c r="AE16" i="84"/>
  <c r="AF15" i="84"/>
  <c r="AE15" i="84"/>
  <c r="AF14" i="84"/>
  <c r="AE14" i="84"/>
  <c r="AF13" i="84"/>
  <c r="AE13" i="84"/>
  <c r="AF12" i="84"/>
  <c r="AE12" i="84"/>
  <c r="AF11" i="84"/>
  <c r="AE11" i="84"/>
  <c r="AF10" i="84"/>
  <c r="AE10" i="84"/>
  <c r="AF9" i="84"/>
  <c r="AE9" i="84"/>
  <c r="AF8" i="84"/>
  <c r="AE8" i="84"/>
  <c r="AF7" i="84"/>
  <c r="AE7" i="84"/>
  <c r="AF6" i="84"/>
  <c r="AE6" i="84"/>
  <c r="AO125" i="84"/>
  <c r="AO124" i="84"/>
  <c r="AO123" i="84"/>
  <c r="AO122" i="84"/>
  <c r="AO121" i="84"/>
  <c r="AO120" i="84"/>
  <c r="AO119" i="84"/>
  <c r="AO118" i="84"/>
  <c r="AO117" i="84"/>
  <c r="AO116" i="84"/>
  <c r="AO115" i="84"/>
  <c r="AO114" i="84"/>
  <c r="AO113" i="84"/>
  <c r="AO112" i="84"/>
  <c r="AO111" i="84"/>
  <c r="AO110" i="84"/>
  <c r="AO109" i="84"/>
  <c r="AO108" i="84"/>
  <c r="AO107" i="84"/>
  <c r="AO106" i="84"/>
  <c r="AO105" i="84"/>
  <c r="AO104" i="84"/>
  <c r="AO103" i="84"/>
  <c r="AO102" i="84"/>
  <c r="AO101" i="84"/>
  <c r="AO100" i="84"/>
  <c r="AO99" i="84"/>
  <c r="AO98" i="84"/>
  <c r="AO97" i="84"/>
  <c r="AO96" i="84"/>
  <c r="AO95" i="84"/>
  <c r="AO94" i="84"/>
  <c r="AO93" i="84"/>
  <c r="AO92" i="84"/>
  <c r="AO91" i="84"/>
  <c r="AO90" i="84"/>
  <c r="AO89" i="84"/>
  <c r="AO88" i="84"/>
  <c r="AO87" i="84"/>
  <c r="AO86" i="84"/>
  <c r="AO85" i="84"/>
  <c r="AO84" i="84"/>
  <c r="AO83" i="84"/>
  <c r="AO82" i="84"/>
  <c r="AO81" i="84"/>
  <c r="AO80" i="84"/>
  <c r="AO79" i="84"/>
  <c r="AO78" i="84"/>
  <c r="AO77" i="84"/>
  <c r="AO76" i="84"/>
  <c r="AO75" i="84"/>
  <c r="AO74" i="84"/>
  <c r="AO73" i="84"/>
  <c r="AO72" i="84"/>
  <c r="AO71" i="84"/>
  <c r="AO70" i="84"/>
  <c r="AO69" i="84"/>
  <c r="AO68" i="84"/>
  <c r="AO67" i="84"/>
  <c r="AO66" i="84"/>
  <c r="AO65" i="84"/>
  <c r="AO64" i="84"/>
  <c r="AO63" i="84"/>
  <c r="AO62" i="84"/>
  <c r="AO61" i="84"/>
  <c r="AO60" i="84"/>
  <c r="AO59" i="84"/>
  <c r="AO58" i="84"/>
  <c r="AO57" i="84"/>
  <c r="AO56" i="84"/>
  <c r="AO55" i="84"/>
  <c r="AO54" i="84"/>
  <c r="AO53" i="84"/>
  <c r="AO52" i="84"/>
  <c r="AO51" i="84"/>
  <c r="AO50" i="84"/>
  <c r="AO49" i="84"/>
  <c r="AO48" i="84"/>
  <c r="AO47" i="84"/>
  <c r="AO46" i="84"/>
  <c r="AO45" i="84"/>
  <c r="AO44" i="84"/>
  <c r="AO43" i="84"/>
  <c r="AO42" i="84"/>
  <c r="AO41" i="84"/>
  <c r="AO40" i="84"/>
  <c r="AO39" i="84"/>
  <c r="AO38" i="84"/>
  <c r="AO37" i="84"/>
  <c r="AO36" i="84"/>
  <c r="AO35" i="84"/>
  <c r="AO34" i="84"/>
  <c r="AO33" i="84"/>
  <c r="AO32" i="84"/>
  <c r="AO31" i="84"/>
  <c r="AO30" i="84"/>
  <c r="AO29" i="84"/>
  <c r="AO28" i="84"/>
  <c r="AO27" i="84"/>
  <c r="AO26" i="84"/>
  <c r="AO25" i="84"/>
  <c r="AO24" i="84"/>
  <c r="AO23" i="84"/>
  <c r="AO22" i="84"/>
  <c r="AO21" i="84"/>
  <c r="AO20" i="84"/>
  <c r="AO19" i="84"/>
  <c r="AO18" i="84"/>
  <c r="AO17" i="84"/>
  <c r="AO16" i="84"/>
  <c r="AO15" i="84"/>
  <c r="AO14" i="84"/>
  <c r="AO13" i="84"/>
  <c r="AO12" i="84"/>
  <c r="AO11" i="84"/>
  <c r="AO10" i="84"/>
  <c r="AO9" i="84"/>
  <c r="AO8" i="84"/>
  <c r="AO7" i="84"/>
  <c r="AO6" i="84"/>
  <c r="AL5" i="84"/>
  <c r="AN5" i="84"/>
  <c r="AM5" i="84"/>
  <c r="AK5" i="84"/>
  <c r="AA5" i="84"/>
  <c r="Z5" i="84"/>
  <c r="U5" i="84"/>
  <c r="T5" i="84"/>
  <c r="P125" i="84"/>
  <c r="P124" i="84"/>
  <c r="P123" i="84"/>
  <c r="P122" i="84"/>
  <c r="P121" i="84"/>
  <c r="P120" i="84"/>
  <c r="P119" i="84"/>
  <c r="P118" i="84"/>
  <c r="P117" i="84"/>
  <c r="P116" i="84"/>
  <c r="P115" i="84"/>
  <c r="P114" i="84"/>
  <c r="P113" i="84"/>
  <c r="P112" i="84"/>
  <c r="P111" i="84"/>
  <c r="P110" i="84"/>
  <c r="P109" i="84"/>
  <c r="P108" i="84"/>
  <c r="P107" i="84"/>
  <c r="P106" i="84"/>
  <c r="P105" i="84"/>
  <c r="P104" i="84"/>
  <c r="P103" i="84"/>
  <c r="P102" i="84"/>
  <c r="P101" i="84"/>
  <c r="P100" i="84"/>
  <c r="P99" i="84"/>
  <c r="P98" i="84"/>
  <c r="P97" i="84"/>
  <c r="P96" i="84"/>
  <c r="P95" i="84"/>
  <c r="P94" i="84"/>
  <c r="P93" i="84"/>
  <c r="P92" i="84"/>
  <c r="P91" i="84"/>
  <c r="P90" i="84"/>
  <c r="P89" i="84"/>
  <c r="P88" i="84"/>
  <c r="P87" i="84"/>
  <c r="P86" i="84"/>
  <c r="P85" i="84"/>
  <c r="P84" i="84"/>
  <c r="P83" i="84"/>
  <c r="P82" i="84"/>
  <c r="P81" i="84"/>
  <c r="P80" i="84"/>
  <c r="P79" i="84"/>
  <c r="P78" i="84"/>
  <c r="P77" i="84"/>
  <c r="P76" i="84"/>
  <c r="P75" i="84"/>
  <c r="P74" i="84"/>
  <c r="P73" i="84"/>
  <c r="P72" i="84"/>
  <c r="P71" i="84"/>
  <c r="P70" i="84"/>
  <c r="P69" i="84"/>
  <c r="P68" i="84"/>
  <c r="P67" i="84"/>
  <c r="P66" i="84"/>
  <c r="P65" i="84"/>
  <c r="P64" i="84"/>
  <c r="P63" i="84"/>
  <c r="P62" i="84"/>
  <c r="P61" i="84"/>
  <c r="P60" i="84"/>
  <c r="P59" i="84"/>
  <c r="P58" i="84"/>
  <c r="P57" i="84"/>
  <c r="P56" i="84"/>
  <c r="P55" i="84"/>
  <c r="P54" i="84"/>
  <c r="P53" i="84"/>
  <c r="P52" i="84"/>
  <c r="P51" i="84"/>
  <c r="P50" i="84"/>
  <c r="P49" i="84"/>
  <c r="P48" i="84"/>
  <c r="P47" i="84"/>
  <c r="P46" i="84"/>
  <c r="P45" i="84"/>
  <c r="P44" i="84"/>
  <c r="P43" i="84"/>
  <c r="P42" i="84"/>
  <c r="P41" i="84"/>
  <c r="P40" i="84"/>
  <c r="P39" i="84"/>
  <c r="P38" i="84"/>
  <c r="P37" i="84"/>
  <c r="P36" i="84"/>
  <c r="P35" i="84"/>
  <c r="P34" i="84"/>
  <c r="P33" i="84"/>
  <c r="P32" i="84"/>
  <c r="P31" i="84"/>
  <c r="P30" i="84"/>
  <c r="P29" i="84"/>
  <c r="P28" i="84"/>
  <c r="P27" i="84"/>
  <c r="P26" i="84"/>
  <c r="P25" i="84"/>
  <c r="P24" i="84"/>
  <c r="P23" i="84"/>
  <c r="P22" i="84"/>
  <c r="P21" i="84"/>
  <c r="P20" i="84"/>
  <c r="P19" i="84"/>
  <c r="P18" i="84"/>
  <c r="P17" i="84"/>
  <c r="P16" i="84"/>
  <c r="P15" i="84"/>
  <c r="P14" i="84"/>
  <c r="P13" i="84"/>
  <c r="P12" i="84"/>
  <c r="P11" i="84"/>
  <c r="P10" i="84"/>
  <c r="P9" i="84"/>
  <c r="P8" i="84"/>
  <c r="P7" i="84"/>
  <c r="P6" i="84"/>
  <c r="O5" i="84"/>
  <c r="N5" i="84"/>
  <c r="I5" i="84"/>
  <c r="H5" i="84"/>
  <c r="AB125" i="84"/>
  <c r="AB124" i="84"/>
  <c r="AB123" i="84"/>
  <c r="AB122" i="84"/>
  <c r="AB121" i="84"/>
  <c r="AB120" i="84"/>
  <c r="AB119" i="84"/>
  <c r="AB118" i="84"/>
  <c r="AB117" i="84"/>
  <c r="AB116" i="84"/>
  <c r="AB115" i="84"/>
  <c r="AB114" i="84"/>
  <c r="AB113" i="84"/>
  <c r="AB112" i="84"/>
  <c r="AB111" i="84"/>
  <c r="AB110" i="84"/>
  <c r="AB109" i="84"/>
  <c r="AB108" i="84"/>
  <c r="AB107" i="84"/>
  <c r="AB106" i="84"/>
  <c r="AB105" i="84"/>
  <c r="AB104" i="84"/>
  <c r="AB103" i="84"/>
  <c r="AB102" i="84"/>
  <c r="AB101" i="84"/>
  <c r="AB100" i="84"/>
  <c r="AB99" i="84"/>
  <c r="AB98" i="84"/>
  <c r="AB97" i="84"/>
  <c r="AB96" i="84"/>
  <c r="AB95" i="84"/>
  <c r="AB94" i="84"/>
  <c r="AB93" i="84"/>
  <c r="AB92" i="84"/>
  <c r="AB91" i="84"/>
  <c r="AB90" i="84"/>
  <c r="AB89" i="84"/>
  <c r="AB88" i="84"/>
  <c r="AB87" i="84"/>
  <c r="AB86" i="84"/>
  <c r="AB85" i="84"/>
  <c r="AB84" i="84"/>
  <c r="AB83" i="84"/>
  <c r="AB82" i="84"/>
  <c r="AB81" i="84"/>
  <c r="AB80" i="84"/>
  <c r="AB79" i="84"/>
  <c r="AB78" i="84"/>
  <c r="AB77" i="84"/>
  <c r="AB76" i="84"/>
  <c r="AB75" i="84"/>
  <c r="AB74" i="84"/>
  <c r="AB73" i="84"/>
  <c r="AB72" i="84"/>
  <c r="AB71" i="84"/>
  <c r="AB70" i="84"/>
  <c r="AB69" i="84"/>
  <c r="AB68" i="84"/>
  <c r="AB67" i="84"/>
  <c r="AB66" i="84"/>
  <c r="AB65" i="84"/>
  <c r="AB64" i="84"/>
  <c r="AB63" i="84"/>
  <c r="AB62" i="84"/>
  <c r="AB61" i="84"/>
  <c r="AB60" i="84"/>
  <c r="AB59" i="84"/>
  <c r="AB58" i="84"/>
  <c r="AB57" i="84"/>
  <c r="AB56" i="84"/>
  <c r="AB55" i="84"/>
  <c r="AB54" i="84"/>
  <c r="AB53" i="84"/>
  <c r="AB52" i="84"/>
  <c r="AB51" i="84"/>
  <c r="AB50" i="84"/>
  <c r="AB49" i="84"/>
  <c r="AB48" i="84"/>
  <c r="AB47" i="84"/>
  <c r="AB46" i="84"/>
  <c r="AB45" i="84"/>
  <c r="AB44" i="84"/>
  <c r="AB43" i="84"/>
  <c r="AB42" i="84"/>
  <c r="AB41" i="84"/>
  <c r="AB40" i="84"/>
  <c r="AB39" i="84"/>
  <c r="AB38" i="84"/>
  <c r="AB37" i="84"/>
  <c r="AB36" i="84"/>
  <c r="AB35" i="84"/>
  <c r="AB34" i="84"/>
  <c r="AB33" i="84"/>
  <c r="AB32" i="84"/>
  <c r="AB31" i="84"/>
  <c r="AB30" i="84"/>
  <c r="AB29" i="84"/>
  <c r="AB28" i="84"/>
  <c r="AB27" i="84"/>
  <c r="AB26" i="84"/>
  <c r="AB25" i="84"/>
  <c r="AB24" i="84"/>
  <c r="AB23" i="84"/>
  <c r="AB22" i="84"/>
  <c r="AB21" i="84"/>
  <c r="AB20" i="84"/>
  <c r="AB19" i="84"/>
  <c r="AB18" i="84"/>
  <c r="AB17" i="84"/>
  <c r="AB16" i="84"/>
  <c r="AB15" i="84"/>
  <c r="AB14" i="84"/>
  <c r="AB13" i="84"/>
  <c r="AB12" i="84"/>
  <c r="AB11" i="84"/>
  <c r="AB10" i="84"/>
  <c r="AB9" i="84"/>
  <c r="AB8" i="84"/>
  <c r="AB7" i="84"/>
  <c r="AB6" i="84"/>
  <c r="J125" i="84"/>
  <c r="AG125" i="84" s="1"/>
  <c r="J124" i="84"/>
  <c r="AG124" i="84" s="1"/>
  <c r="J123" i="84"/>
  <c r="AG123" i="84" s="1"/>
  <c r="J122" i="84"/>
  <c r="AG122" i="84" s="1"/>
  <c r="J121" i="84"/>
  <c r="AG121" i="84" s="1"/>
  <c r="J120" i="84"/>
  <c r="AG120" i="84" s="1"/>
  <c r="J119" i="84"/>
  <c r="AG119" i="84" s="1"/>
  <c r="J118" i="84"/>
  <c r="AG118" i="84" s="1"/>
  <c r="J117" i="84"/>
  <c r="AG117" i="84" s="1"/>
  <c r="J116" i="84"/>
  <c r="AG116" i="84" s="1"/>
  <c r="J115" i="84"/>
  <c r="AG115" i="84" s="1"/>
  <c r="J114" i="84"/>
  <c r="AG114" i="84" s="1"/>
  <c r="J113" i="84"/>
  <c r="AG113" i="84" s="1"/>
  <c r="J112" i="84"/>
  <c r="AG112" i="84" s="1"/>
  <c r="J111" i="84"/>
  <c r="AG111" i="84" s="1"/>
  <c r="J110" i="84"/>
  <c r="AG110" i="84" s="1"/>
  <c r="J109" i="84"/>
  <c r="AG109" i="84" s="1"/>
  <c r="J108" i="84"/>
  <c r="AG108" i="84" s="1"/>
  <c r="J107" i="84"/>
  <c r="AG107" i="84" s="1"/>
  <c r="J106" i="84"/>
  <c r="AG106" i="84" s="1"/>
  <c r="J105" i="84"/>
  <c r="AG105" i="84" s="1"/>
  <c r="J104" i="84"/>
  <c r="AG104" i="84" s="1"/>
  <c r="J103" i="84"/>
  <c r="AG103" i="84" s="1"/>
  <c r="J102" i="84"/>
  <c r="AG102" i="84" s="1"/>
  <c r="J101" i="84"/>
  <c r="AG101" i="84" s="1"/>
  <c r="J100" i="84"/>
  <c r="AG100" i="84" s="1"/>
  <c r="J99" i="84"/>
  <c r="AG99" i="84" s="1"/>
  <c r="J98" i="84"/>
  <c r="AG98" i="84" s="1"/>
  <c r="J97" i="84"/>
  <c r="AG97" i="84" s="1"/>
  <c r="J96" i="84"/>
  <c r="AG96" i="84" s="1"/>
  <c r="J95" i="84"/>
  <c r="AG95" i="84" s="1"/>
  <c r="J94" i="84"/>
  <c r="AG94" i="84" s="1"/>
  <c r="J93" i="84"/>
  <c r="AG93" i="84" s="1"/>
  <c r="J92" i="84"/>
  <c r="AG92" i="84" s="1"/>
  <c r="J91" i="84"/>
  <c r="AG91" i="84" s="1"/>
  <c r="J90" i="84"/>
  <c r="AG90" i="84" s="1"/>
  <c r="J89" i="84"/>
  <c r="AG89" i="84" s="1"/>
  <c r="J88" i="84"/>
  <c r="AG88" i="84" s="1"/>
  <c r="J87" i="84"/>
  <c r="AG87" i="84" s="1"/>
  <c r="J86" i="84"/>
  <c r="AG86" i="84" s="1"/>
  <c r="J85" i="84"/>
  <c r="AG85" i="84" s="1"/>
  <c r="J84" i="84"/>
  <c r="AG84" i="84" s="1"/>
  <c r="J83" i="84"/>
  <c r="AG83" i="84" s="1"/>
  <c r="J82" i="84"/>
  <c r="AG82" i="84" s="1"/>
  <c r="J81" i="84"/>
  <c r="AG81" i="84" s="1"/>
  <c r="J80" i="84"/>
  <c r="AG80" i="84" s="1"/>
  <c r="J79" i="84"/>
  <c r="AG79" i="84" s="1"/>
  <c r="J78" i="84"/>
  <c r="AG78" i="84" s="1"/>
  <c r="J77" i="84"/>
  <c r="AG77" i="84" s="1"/>
  <c r="J76" i="84"/>
  <c r="AG76" i="84" s="1"/>
  <c r="J75" i="84"/>
  <c r="AG75" i="84" s="1"/>
  <c r="J74" i="84"/>
  <c r="AG74" i="84" s="1"/>
  <c r="J73" i="84"/>
  <c r="AG73" i="84" s="1"/>
  <c r="J72" i="84"/>
  <c r="AG72" i="84" s="1"/>
  <c r="J71" i="84"/>
  <c r="AG71" i="84" s="1"/>
  <c r="J70" i="84"/>
  <c r="AG70" i="84" s="1"/>
  <c r="J69" i="84"/>
  <c r="AG69" i="84" s="1"/>
  <c r="J68" i="84"/>
  <c r="AG68" i="84" s="1"/>
  <c r="J67" i="84"/>
  <c r="AG67" i="84" s="1"/>
  <c r="J66" i="84"/>
  <c r="AG66" i="84" s="1"/>
  <c r="J65" i="84"/>
  <c r="AG65" i="84" s="1"/>
  <c r="J64" i="84"/>
  <c r="AG64" i="84" s="1"/>
  <c r="J63" i="84"/>
  <c r="AG63" i="84" s="1"/>
  <c r="J62" i="84"/>
  <c r="AG62" i="84" s="1"/>
  <c r="J61" i="84"/>
  <c r="AG61" i="84" s="1"/>
  <c r="J60" i="84"/>
  <c r="AG60" i="84" s="1"/>
  <c r="J59" i="84"/>
  <c r="AG59" i="84" s="1"/>
  <c r="J58" i="84"/>
  <c r="AG58" i="84" s="1"/>
  <c r="J57" i="84"/>
  <c r="AG57" i="84" s="1"/>
  <c r="J56" i="84"/>
  <c r="AG56" i="84" s="1"/>
  <c r="J55" i="84"/>
  <c r="AG55" i="84" s="1"/>
  <c r="J54" i="84"/>
  <c r="AG54" i="84" s="1"/>
  <c r="J53" i="84"/>
  <c r="AG53" i="84" s="1"/>
  <c r="J52" i="84"/>
  <c r="AG52" i="84" s="1"/>
  <c r="J51" i="84"/>
  <c r="AG51" i="84" s="1"/>
  <c r="J50" i="84"/>
  <c r="AG50" i="84" s="1"/>
  <c r="J49" i="84"/>
  <c r="AG49" i="84" s="1"/>
  <c r="J48" i="84"/>
  <c r="AG48" i="84" s="1"/>
  <c r="J47" i="84"/>
  <c r="AG47" i="84" s="1"/>
  <c r="J46" i="84"/>
  <c r="AG46" i="84" s="1"/>
  <c r="J45" i="84"/>
  <c r="AG45" i="84" s="1"/>
  <c r="J44" i="84"/>
  <c r="AG44" i="84" s="1"/>
  <c r="J43" i="84"/>
  <c r="AG43" i="84" s="1"/>
  <c r="J42" i="84"/>
  <c r="AG42" i="84" s="1"/>
  <c r="J41" i="84"/>
  <c r="AG41" i="84" s="1"/>
  <c r="J40" i="84"/>
  <c r="AG40" i="84" s="1"/>
  <c r="J39" i="84"/>
  <c r="AG39" i="84" s="1"/>
  <c r="J38" i="84"/>
  <c r="AG38" i="84" s="1"/>
  <c r="J37" i="84"/>
  <c r="AG37" i="84" s="1"/>
  <c r="J36" i="84"/>
  <c r="AG36" i="84" s="1"/>
  <c r="J35" i="84"/>
  <c r="AG35" i="84" s="1"/>
  <c r="J34" i="84"/>
  <c r="AG34" i="84" s="1"/>
  <c r="J33" i="84"/>
  <c r="AG33" i="84" s="1"/>
  <c r="J32" i="84"/>
  <c r="AG32" i="84" s="1"/>
  <c r="J31" i="84"/>
  <c r="AG31" i="84" s="1"/>
  <c r="J30" i="84"/>
  <c r="AG30" i="84" s="1"/>
  <c r="J29" i="84"/>
  <c r="AG29" i="84" s="1"/>
  <c r="J28" i="84"/>
  <c r="AG28" i="84" s="1"/>
  <c r="J27" i="84"/>
  <c r="AG27" i="84" s="1"/>
  <c r="J26" i="84"/>
  <c r="AG26" i="84" s="1"/>
  <c r="J25" i="84"/>
  <c r="AG25" i="84" s="1"/>
  <c r="J24" i="84"/>
  <c r="AG24" i="84" s="1"/>
  <c r="J23" i="84"/>
  <c r="AG23" i="84" s="1"/>
  <c r="J22" i="84"/>
  <c r="AG22" i="84" s="1"/>
  <c r="J21" i="84"/>
  <c r="AG21" i="84" s="1"/>
  <c r="J20" i="84"/>
  <c r="AG20" i="84" s="1"/>
  <c r="J19" i="84"/>
  <c r="AG19" i="84" s="1"/>
  <c r="J18" i="84"/>
  <c r="AG18" i="84" s="1"/>
  <c r="J17" i="84"/>
  <c r="AG17" i="84" s="1"/>
  <c r="J16" i="84"/>
  <c r="AG16" i="84" s="1"/>
  <c r="J15" i="84"/>
  <c r="AG15" i="84" s="1"/>
  <c r="J14" i="84"/>
  <c r="AG14" i="84" s="1"/>
  <c r="J13" i="84"/>
  <c r="AG13" i="84" s="1"/>
  <c r="J12" i="84"/>
  <c r="AG12" i="84" s="1"/>
  <c r="J11" i="84"/>
  <c r="AG11" i="84" s="1"/>
  <c r="J10" i="84"/>
  <c r="AG10" i="84" s="1"/>
  <c r="J9" i="84"/>
  <c r="AG9" i="84" s="1"/>
  <c r="J8" i="84"/>
  <c r="AG8" i="84" s="1"/>
  <c r="J7" i="84"/>
  <c r="AG7" i="84" s="1"/>
  <c r="J6" i="84"/>
  <c r="AG6" i="84" s="1"/>
  <c r="V125" i="84"/>
  <c r="V124" i="84"/>
  <c r="V123" i="84"/>
  <c r="V122" i="84"/>
  <c r="V121" i="84"/>
  <c r="V120" i="84"/>
  <c r="V119" i="84"/>
  <c r="V118" i="84"/>
  <c r="V117" i="84"/>
  <c r="V116" i="84"/>
  <c r="V115" i="84"/>
  <c r="V114" i="84"/>
  <c r="V113" i="84"/>
  <c r="V112" i="84"/>
  <c r="V111" i="84"/>
  <c r="V110" i="84"/>
  <c r="V109" i="84"/>
  <c r="V108" i="84"/>
  <c r="V107" i="84"/>
  <c r="V106" i="84"/>
  <c r="V105" i="84"/>
  <c r="V104" i="84"/>
  <c r="V103" i="84"/>
  <c r="V102" i="84"/>
  <c r="V101" i="84"/>
  <c r="V100" i="84"/>
  <c r="V99" i="84"/>
  <c r="V98" i="84"/>
  <c r="V97" i="84"/>
  <c r="V96" i="84"/>
  <c r="V95" i="84"/>
  <c r="V94" i="84"/>
  <c r="V93" i="84"/>
  <c r="V92" i="84"/>
  <c r="V91" i="84"/>
  <c r="V90" i="84"/>
  <c r="V89" i="84"/>
  <c r="V88" i="84"/>
  <c r="V87" i="84"/>
  <c r="V86" i="84"/>
  <c r="V85" i="84"/>
  <c r="V84" i="84"/>
  <c r="V83" i="84"/>
  <c r="V82" i="84"/>
  <c r="V81" i="84"/>
  <c r="V80" i="84"/>
  <c r="V79" i="84"/>
  <c r="V78" i="84"/>
  <c r="V77" i="84"/>
  <c r="V76" i="84"/>
  <c r="V75" i="84"/>
  <c r="V74" i="84"/>
  <c r="V73" i="84"/>
  <c r="V72" i="84"/>
  <c r="V71" i="84"/>
  <c r="V70" i="84"/>
  <c r="V69" i="84"/>
  <c r="V68" i="84"/>
  <c r="V67" i="84"/>
  <c r="V66" i="84"/>
  <c r="V65" i="84"/>
  <c r="V64" i="84"/>
  <c r="V63" i="84"/>
  <c r="V62" i="84"/>
  <c r="V61" i="84"/>
  <c r="V60" i="84"/>
  <c r="V59" i="84"/>
  <c r="V58" i="84"/>
  <c r="V57" i="84"/>
  <c r="V56" i="84"/>
  <c r="V55" i="84"/>
  <c r="V54" i="84"/>
  <c r="V53" i="84"/>
  <c r="V52" i="84"/>
  <c r="V51" i="84"/>
  <c r="V50" i="84"/>
  <c r="V49" i="84"/>
  <c r="V48" i="84"/>
  <c r="V47" i="84"/>
  <c r="V46" i="84"/>
  <c r="V45" i="84"/>
  <c r="V44" i="84"/>
  <c r="V43" i="84"/>
  <c r="V42" i="84"/>
  <c r="V41" i="84"/>
  <c r="V40" i="84"/>
  <c r="V39" i="84"/>
  <c r="V38" i="84"/>
  <c r="V37" i="84"/>
  <c r="V36" i="84"/>
  <c r="V35" i="84"/>
  <c r="V34" i="84"/>
  <c r="V33" i="84"/>
  <c r="V32" i="84"/>
  <c r="V31" i="84"/>
  <c r="V30" i="84"/>
  <c r="V29" i="84"/>
  <c r="V28" i="84"/>
  <c r="V27" i="84"/>
  <c r="V26" i="84"/>
  <c r="V25" i="84"/>
  <c r="V24" i="84"/>
  <c r="V23" i="84"/>
  <c r="V22" i="84"/>
  <c r="V21" i="84"/>
  <c r="V20" i="84"/>
  <c r="V19" i="84"/>
  <c r="V18" i="84"/>
  <c r="V17" i="84"/>
  <c r="V16" i="84"/>
  <c r="V15" i="84"/>
  <c r="V14" i="84"/>
  <c r="V13" i="84"/>
  <c r="V12" i="84"/>
  <c r="V11" i="84"/>
  <c r="V10" i="84"/>
  <c r="V9" i="84"/>
  <c r="V8" i="84"/>
  <c r="V7" i="84"/>
  <c r="V6" i="84"/>
  <c r="AJ125" i="84"/>
  <c r="AI125" i="84"/>
  <c r="AH125" i="84"/>
  <c r="AJ124" i="84"/>
  <c r="AI124" i="84"/>
  <c r="AH124" i="84"/>
  <c r="AJ123" i="84"/>
  <c r="AI123" i="84"/>
  <c r="AH123" i="84"/>
  <c r="AJ122" i="84"/>
  <c r="AI122" i="84"/>
  <c r="AH122" i="84"/>
  <c r="AJ121" i="84"/>
  <c r="AI121" i="84"/>
  <c r="AH121" i="84"/>
  <c r="AJ120" i="84"/>
  <c r="AI120" i="84"/>
  <c r="AH120" i="84"/>
  <c r="AJ119" i="84"/>
  <c r="AI119" i="84"/>
  <c r="AH119" i="84"/>
  <c r="AJ118" i="84"/>
  <c r="AI118" i="84"/>
  <c r="AH118" i="84"/>
  <c r="AJ117" i="84"/>
  <c r="AI117" i="84"/>
  <c r="AH117" i="84"/>
  <c r="AJ116" i="84"/>
  <c r="AI116" i="84"/>
  <c r="AH116" i="84"/>
  <c r="AJ115" i="84"/>
  <c r="AI115" i="84"/>
  <c r="AH115" i="84"/>
  <c r="AJ114" i="84"/>
  <c r="AI114" i="84"/>
  <c r="AH114" i="84"/>
  <c r="AJ113" i="84"/>
  <c r="AI113" i="84"/>
  <c r="AH113" i="84"/>
  <c r="AJ112" i="84"/>
  <c r="AI112" i="84"/>
  <c r="AH112" i="84"/>
  <c r="AJ111" i="84"/>
  <c r="AI111" i="84"/>
  <c r="AH111" i="84"/>
  <c r="AJ110" i="84"/>
  <c r="AI110" i="84"/>
  <c r="AH110" i="84"/>
  <c r="AJ109" i="84"/>
  <c r="AI109" i="84"/>
  <c r="AH109" i="84"/>
  <c r="AJ108" i="84"/>
  <c r="AI108" i="84"/>
  <c r="AH108" i="84"/>
  <c r="AJ107" i="84"/>
  <c r="AI107" i="84"/>
  <c r="AH107" i="84"/>
  <c r="AJ106" i="84"/>
  <c r="AI106" i="84"/>
  <c r="AH106" i="84"/>
  <c r="AJ105" i="84"/>
  <c r="AI105" i="84"/>
  <c r="AH105" i="84"/>
  <c r="AJ104" i="84"/>
  <c r="AI104" i="84"/>
  <c r="AH104" i="84"/>
  <c r="AJ103" i="84"/>
  <c r="AI103" i="84"/>
  <c r="AH103" i="84"/>
  <c r="AJ102" i="84"/>
  <c r="AI102" i="84"/>
  <c r="AH102" i="84"/>
  <c r="AJ101" i="84"/>
  <c r="AI101" i="84"/>
  <c r="AH101" i="84"/>
  <c r="AJ100" i="84"/>
  <c r="AI100" i="84"/>
  <c r="AH100" i="84"/>
  <c r="AJ99" i="84"/>
  <c r="AI99" i="84"/>
  <c r="AH99" i="84"/>
  <c r="AJ98" i="84"/>
  <c r="AI98" i="84"/>
  <c r="AH98" i="84"/>
  <c r="AJ97" i="84"/>
  <c r="AI97" i="84"/>
  <c r="AH97" i="84"/>
  <c r="AJ96" i="84"/>
  <c r="AI96" i="84"/>
  <c r="AH96" i="84"/>
  <c r="AJ95" i="84"/>
  <c r="AI95" i="84"/>
  <c r="AH95" i="84"/>
  <c r="AJ94" i="84"/>
  <c r="AI94" i="84"/>
  <c r="AH94" i="84"/>
  <c r="AJ93" i="84"/>
  <c r="AI93" i="84"/>
  <c r="AH93" i="84"/>
  <c r="AJ92" i="84"/>
  <c r="AI92" i="84"/>
  <c r="AH92" i="84"/>
  <c r="AJ91" i="84"/>
  <c r="AI91" i="84"/>
  <c r="AH91" i="84"/>
  <c r="AJ90" i="84"/>
  <c r="AI90" i="84"/>
  <c r="AH90" i="84"/>
  <c r="AJ89" i="84"/>
  <c r="AI89" i="84"/>
  <c r="AH89" i="84"/>
  <c r="AJ88" i="84"/>
  <c r="AI88" i="84"/>
  <c r="AH88" i="84"/>
  <c r="AJ87" i="84"/>
  <c r="AI87" i="84"/>
  <c r="AH87" i="84"/>
  <c r="AJ86" i="84"/>
  <c r="AI86" i="84"/>
  <c r="AH86" i="84"/>
  <c r="AJ85" i="84"/>
  <c r="AI85" i="84"/>
  <c r="AH85" i="84"/>
  <c r="AJ84" i="84"/>
  <c r="AI84" i="84"/>
  <c r="AH84" i="84"/>
  <c r="AJ83" i="84"/>
  <c r="AI83" i="84"/>
  <c r="AH83" i="84"/>
  <c r="AJ82" i="84"/>
  <c r="AI82" i="84"/>
  <c r="AH82" i="84"/>
  <c r="AJ81" i="84"/>
  <c r="AI81" i="84"/>
  <c r="AH81" i="84"/>
  <c r="AJ80" i="84"/>
  <c r="AI80" i="84"/>
  <c r="AH80" i="84"/>
  <c r="AJ79" i="84"/>
  <c r="AI79" i="84"/>
  <c r="AH79" i="84"/>
  <c r="AJ78" i="84"/>
  <c r="AI78" i="84"/>
  <c r="AH78" i="84"/>
  <c r="AJ77" i="84"/>
  <c r="AI77" i="84"/>
  <c r="AH77" i="84"/>
  <c r="AJ76" i="84"/>
  <c r="AI76" i="84"/>
  <c r="AH76" i="84"/>
  <c r="AJ75" i="84"/>
  <c r="AI75" i="84"/>
  <c r="AH75" i="84"/>
  <c r="AJ74" i="84"/>
  <c r="AI74" i="84"/>
  <c r="AH74" i="84"/>
  <c r="AJ73" i="84"/>
  <c r="AI73" i="84"/>
  <c r="AH73" i="84"/>
  <c r="AJ72" i="84"/>
  <c r="AI72" i="84"/>
  <c r="AH72" i="84"/>
  <c r="AJ71" i="84"/>
  <c r="AI71" i="84"/>
  <c r="AH71" i="84"/>
  <c r="AJ70" i="84"/>
  <c r="AI70" i="84"/>
  <c r="AH70" i="84"/>
  <c r="AJ69" i="84"/>
  <c r="AI69" i="84"/>
  <c r="AH69" i="84"/>
  <c r="AJ68" i="84"/>
  <c r="AI68" i="84"/>
  <c r="AH68" i="84"/>
  <c r="AJ67" i="84"/>
  <c r="AI67" i="84"/>
  <c r="AH67" i="84"/>
  <c r="AJ66" i="84"/>
  <c r="AI66" i="84"/>
  <c r="AH66" i="84"/>
  <c r="AJ65" i="84"/>
  <c r="AI65" i="84"/>
  <c r="AH65" i="84"/>
  <c r="AJ64" i="84"/>
  <c r="AI64" i="84"/>
  <c r="AH64" i="84"/>
  <c r="AJ63" i="84"/>
  <c r="AI63" i="84"/>
  <c r="AH63" i="84"/>
  <c r="AJ62" i="84"/>
  <c r="AI62" i="84"/>
  <c r="AH62" i="84"/>
  <c r="AJ61" i="84"/>
  <c r="AI61" i="84"/>
  <c r="AH61" i="84"/>
  <c r="AJ60" i="84"/>
  <c r="AI60" i="84"/>
  <c r="AH60" i="84"/>
  <c r="AJ59" i="84"/>
  <c r="AI59" i="84"/>
  <c r="AH59" i="84"/>
  <c r="AJ58" i="84"/>
  <c r="AI58" i="84"/>
  <c r="AH58" i="84"/>
  <c r="AJ57" i="84"/>
  <c r="AI57" i="84"/>
  <c r="AH57" i="84"/>
  <c r="AJ56" i="84"/>
  <c r="AI56" i="84"/>
  <c r="AH56" i="84"/>
  <c r="AJ55" i="84"/>
  <c r="AI55" i="84"/>
  <c r="AH55" i="84"/>
  <c r="AJ54" i="84"/>
  <c r="AI54" i="84"/>
  <c r="AH54" i="84"/>
  <c r="AJ53" i="84"/>
  <c r="AI53" i="84"/>
  <c r="AH53" i="84"/>
  <c r="AJ52" i="84"/>
  <c r="AI52" i="84"/>
  <c r="AH52" i="84"/>
  <c r="AJ51" i="84"/>
  <c r="AI51" i="84"/>
  <c r="AH51" i="84"/>
  <c r="AJ50" i="84"/>
  <c r="AI50" i="84"/>
  <c r="AH50" i="84"/>
  <c r="AJ49" i="84"/>
  <c r="AI49" i="84"/>
  <c r="AH49" i="84"/>
  <c r="AJ48" i="84"/>
  <c r="AI48" i="84"/>
  <c r="AH48" i="84"/>
  <c r="AJ47" i="84"/>
  <c r="AI47" i="84"/>
  <c r="AH47" i="84"/>
  <c r="AJ46" i="84"/>
  <c r="AI46" i="84"/>
  <c r="AH46" i="84"/>
  <c r="AJ45" i="84"/>
  <c r="AI45" i="84"/>
  <c r="AH45" i="84"/>
  <c r="AJ44" i="84"/>
  <c r="AI44" i="84"/>
  <c r="AH44" i="84"/>
  <c r="AJ43" i="84"/>
  <c r="AI43" i="84"/>
  <c r="AH43" i="84"/>
  <c r="AJ42" i="84"/>
  <c r="AI42" i="84"/>
  <c r="AH42" i="84"/>
  <c r="AJ41" i="84"/>
  <c r="AI41" i="84"/>
  <c r="AH41" i="84"/>
  <c r="AJ40" i="84"/>
  <c r="AI40" i="84"/>
  <c r="AH40" i="84"/>
  <c r="AJ39" i="84"/>
  <c r="AI39" i="84"/>
  <c r="AH39" i="84"/>
  <c r="AJ38" i="84"/>
  <c r="AI38" i="84"/>
  <c r="AH38" i="84"/>
  <c r="AJ37" i="84"/>
  <c r="AI37" i="84"/>
  <c r="AH37" i="84"/>
  <c r="AJ36" i="84"/>
  <c r="AI36" i="84"/>
  <c r="AH36" i="84"/>
  <c r="AJ35" i="84"/>
  <c r="AI35" i="84"/>
  <c r="AH35" i="84"/>
  <c r="AJ34" i="84"/>
  <c r="AI34" i="84"/>
  <c r="AH34" i="84"/>
  <c r="AJ33" i="84"/>
  <c r="AI33" i="84"/>
  <c r="AH33" i="84"/>
  <c r="AJ32" i="84"/>
  <c r="AI32" i="84"/>
  <c r="AH32" i="84"/>
  <c r="AJ31" i="84"/>
  <c r="AI31" i="84"/>
  <c r="AH31" i="84"/>
  <c r="AJ30" i="84"/>
  <c r="AI30" i="84"/>
  <c r="AH30" i="84"/>
  <c r="AJ29" i="84"/>
  <c r="AI29" i="84"/>
  <c r="AH29" i="84"/>
  <c r="AJ28" i="84"/>
  <c r="AI28" i="84"/>
  <c r="AH28" i="84"/>
  <c r="AJ27" i="84"/>
  <c r="AI27" i="84"/>
  <c r="AH27" i="84"/>
  <c r="AJ26" i="84"/>
  <c r="AI26" i="84"/>
  <c r="AH26" i="84"/>
  <c r="AJ25" i="84"/>
  <c r="AI25" i="84"/>
  <c r="AH25" i="84"/>
  <c r="AJ24" i="84"/>
  <c r="AI24" i="84"/>
  <c r="AH24" i="84"/>
  <c r="AJ23" i="84"/>
  <c r="AI23" i="84"/>
  <c r="AH23" i="84"/>
  <c r="AJ22" i="84"/>
  <c r="AI22" i="84"/>
  <c r="AH22" i="84"/>
  <c r="AJ21" i="84"/>
  <c r="AI21" i="84"/>
  <c r="AH21" i="84"/>
  <c r="AJ20" i="84"/>
  <c r="AI20" i="84"/>
  <c r="AH20" i="84"/>
  <c r="AJ19" i="84"/>
  <c r="AI19" i="84"/>
  <c r="AH19" i="84"/>
  <c r="AJ18" i="84"/>
  <c r="AI18" i="84"/>
  <c r="AH18" i="84"/>
  <c r="AJ17" i="84"/>
  <c r="AI17" i="84"/>
  <c r="AH17" i="84"/>
  <c r="AJ16" i="84"/>
  <c r="AI16" i="84"/>
  <c r="AH16" i="84"/>
  <c r="AJ15" i="84"/>
  <c r="AI15" i="84"/>
  <c r="AH15" i="84"/>
  <c r="AJ14" i="84"/>
  <c r="AI14" i="84"/>
  <c r="AH14" i="84"/>
  <c r="AJ13" i="84"/>
  <c r="AI13" i="84"/>
  <c r="AH13" i="84"/>
  <c r="AJ12" i="84"/>
  <c r="AI12" i="84"/>
  <c r="AH12" i="84"/>
  <c r="AJ11" i="84"/>
  <c r="AI11" i="84"/>
  <c r="AH11" i="84"/>
  <c r="AJ10" i="84"/>
  <c r="AI10" i="84"/>
  <c r="AH10" i="84"/>
  <c r="AJ9" i="84"/>
  <c r="AI9" i="84"/>
  <c r="AH9" i="84"/>
  <c r="AJ8" i="84"/>
  <c r="AI8" i="84"/>
  <c r="AH8" i="84"/>
  <c r="AJ7" i="84"/>
  <c r="AI7" i="84"/>
  <c r="AH7" i="84"/>
  <c r="AJ6" i="84"/>
  <c r="AI6" i="84"/>
  <c r="AH6" i="84"/>
  <c r="Y5" i="84"/>
  <c r="X5" i="84"/>
  <c r="W5" i="84"/>
  <c r="G5" i="84"/>
  <c r="F5" i="84"/>
  <c r="E5" i="84"/>
  <c r="M5" i="84"/>
  <c r="L5" i="84"/>
  <c r="K5" i="84"/>
  <c r="S5" i="84"/>
  <c r="R5" i="84"/>
  <c r="Q5" i="84"/>
  <c r="E127" i="84" l="1"/>
  <c r="AH127" i="84" s="1"/>
  <c r="AF128" i="84"/>
  <c r="AG128" i="84"/>
  <c r="AJ128" i="84"/>
  <c r="AC128" i="84"/>
  <c r="AD128" i="84"/>
  <c r="AO128" i="84"/>
  <c r="AH131" i="84"/>
  <c r="AO131" i="84"/>
  <c r="AJ131" i="84"/>
  <c r="AD131" i="84"/>
  <c r="AI131" i="84"/>
  <c r="AC131" i="84"/>
  <c r="AF131" i="84"/>
  <c r="AI130" i="84"/>
  <c r="AJ130" i="84"/>
  <c r="AO130" i="84"/>
  <c r="AH130" i="84"/>
  <c r="AD130" i="84"/>
  <c r="AE131" i="84"/>
  <c r="AF130" i="84"/>
  <c r="AG130" i="84"/>
  <c r="AC130" i="84"/>
  <c r="AG131" i="84"/>
  <c r="AO129" i="84"/>
  <c r="AJ129" i="84"/>
  <c r="AD129" i="84"/>
  <c r="AI129" i="84"/>
  <c r="AC129" i="84"/>
  <c r="AH129" i="84"/>
  <c r="AF129" i="84"/>
  <c r="AE129" i="84"/>
  <c r="AE128" i="84"/>
  <c r="AI128" i="84"/>
  <c r="AH128" i="84"/>
  <c r="AO5" i="84"/>
  <c r="AJ5" i="84"/>
  <c r="AF5" i="84"/>
  <c r="AH5" i="84"/>
  <c r="AE5" i="84"/>
  <c r="P5" i="84"/>
  <c r="AI5" i="84"/>
  <c r="J5" i="84"/>
  <c r="V5" i="84"/>
  <c r="AB5" i="84"/>
  <c r="AF127" i="84" l="1"/>
  <c r="AO127" i="84"/>
  <c r="AC127" i="84"/>
  <c r="AD127" i="84"/>
  <c r="AJ127" i="84"/>
  <c r="AG127" i="84"/>
  <c r="AI127" i="84"/>
  <c r="AE127" i="84"/>
  <c r="K4" i="96"/>
  <c r="J4" i="96"/>
  <c r="I4" i="96"/>
  <c r="H4" i="96"/>
  <c r="G4" i="96"/>
  <c r="D4" i="96"/>
  <c r="N99" i="92"/>
  <c r="M99" i="92"/>
  <c r="N98" i="92"/>
  <c r="M98" i="92"/>
  <c r="N97" i="92"/>
  <c r="M97" i="92"/>
  <c r="N124" i="92"/>
  <c r="M124" i="92"/>
  <c r="N123" i="92"/>
  <c r="M123" i="92"/>
  <c r="N96" i="92"/>
  <c r="M96" i="92"/>
  <c r="N95" i="92"/>
  <c r="M95" i="92"/>
  <c r="N94" i="92"/>
  <c r="M94" i="92"/>
  <c r="N122" i="92"/>
  <c r="M122" i="92"/>
  <c r="N93" i="92"/>
  <c r="M93" i="92"/>
  <c r="N92" i="92"/>
  <c r="M92" i="92"/>
  <c r="N91" i="92"/>
  <c r="M91" i="92"/>
  <c r="N121" i="92"/>
  <c r="M121" i="92"/>
  <c r="N90" i="92"/>
  <c r="M90" i="92"/>
  <c r="N89" i="92"/>
  <c r="M89" i="92"/>
  <c r="N88" i="92"/>
  <c r="M88" i="92"/>
  <c r="N87" i="92"/>
  <c r="M87" i="92"/>
  <c r="N86" i="92"/>
  <c r="M86" i="92"/>
  <c r="N85" i="92"/>
  <c r="M85" i="92"/>
  <c r="N84" i="92"/>
  <c r="M84" i="92"/>
  <c r="N83" i="92"/>
  <c r="M83" i="92"/>
  <c r="N82" i="92"/>
  <c r="M82" i="92"/>
  <c r="N81" i="92"/>
  <c r="M81" i="92"/>
  <c r="N120" i="92"/>
  <c r="M120" i="92"/>
  <c r="N80" i="92"/>
  <c r="M80" i="92"/>
  <c r="N119" i="92"/>
  <c r="M119" i="92"/>
  <c r="N79" i="92"/>
  <c r="M79" i="92"/>
  <c r="N118" i="92"/>
  <c r="M118" i="92"/>
  <c r="N78" i="92"/>
  <c r="M78" i="92"/>
  <c r="N77" i="92"/>
  <c r="M77" i="92"/>
  <c r="N76" i="92"/>
  <c r="M76" i="92"/>
  <c r="N75" i="92"/>
  <c r="M75" i="92"/>
  <c r="N74" i="92"/>
  <c r="M74" i="92"/>
  <c r="N117" i="92"/>
  <c r="M117" i="92"/>
  <c r="N73" i="92"/>
  <c r="M73" i="92"/>
  <c r="N116" i="92"/>
  <c r="M116" i="92"/>
  <c r="N72" i="92"/>
  <c r="M72" i="92"/>
  <c r="N71" i="92"/>
  <c r="M71" i="92"/>
  <c r="N70" i="92"/>
  <c r="M70" i="92"/>
  <c r="N69" i="92"/>
  <c r="M69" i="92"/>
  <c r="N115" i="92"/>
  <c r="M115" i="92"/>
  <c r="N68" i="92"/>
  <c r="M68" i="92"/>
  <c r="N67" i="92"/>
  <c r="M67" i="92"/>
  <c r="N114" i="92"/>
  <c r="M114" i="92"/>
  <c r="N113" i="92"/>
  <c r="M113" i="92"/>
  <c r="N66" i="92"/>
  <c r="M66" i="92"/>
  <c r="N65" i="92"/>
  <c r="M65" i="92"/>
  <c r="N64" i="92"/>
  <c r="M64" i="92"/>
  <c r="N63" i="92"/>
  <c r="M63" i="92"/>
  <c r="N62" i="92"/>
  <c r="M62" i="92"/>
  <c r="N61" i="92"/>
  <c r="M61" i="92"/>
  <c r="N112" i="92"/>
  <c r="M112" i="92"/>
  <c r="N111" i="92"/>
  <c r="M111" i="92"/>
  <c r="N60" i="92"/>
  <c r="M60" i="92"/>
  <c r="N110" i="92"/>
  <c r="M110" i="92"/>
  <c r="N59" i="92"/>
  <c r="M59" i="92"/>
  <c r="N58" i="92"/>
  <c r="M58" i="92"/>
  <c r="N57" i="92"/>
  <c r="M57" i="92"/>
  <c r="N56" i="92"/>
  <c r="M56" i="92"/>
  <c r="N55" i="92"/>
  <c r="M55" i="92"/>
  <c r="N54" i="92"/>
  <c r="M54" i="92"/>
  <c r="N53" i="92"/>
  <c r="M53" i="92"/>
  <c r="N52" i="92"/>
  <c r="M52" i="92"/>
  <c r="N51" i="92"/>
  <c r="M51" i="92"/>
  <c r="N50" i="92"/>
  <c r="M50" i="92"/>
  <c r="N109" i="92"/>
  <c r="M109" i="92"/>
  <c r="N49" i="92"/>
  <c r="M49" i="92"/>
  <c r="N48" i="92"/>
  <c r="M48" i="92"/>
  <c r="N47" i="92"/>
  <c r="M47" i="92"/>
  <c r="N46" i="92"/>
  <c r="M46" i="92"/>
  <c r="N108" i="92"/>
  <c r="M108" i="92"/>
  <c r="N45" i="92"/>
  <c r="M45" i="92"/>
  <c r="N44" i="92"/>
  <c r="M44" i="92"/>
  <c r="N43" i="92"/>
  <c r="M43" i="92"/>
  <c r="N42" i="92"/>
  <c r="M42" i="92"/>
  <c r="N41" i="92"/>
  <c r="M41" i="92"/>
  <c r="N40" i="92"/>
  <c r="M40" i="92"/>
  <c r="N39" i="92"/>
  <c r="M39" i="92"/>
  <c r="N107" i="92"/>
  <c r="M107" i="92"/>
  <c r="N106" i="92"/>
  <c r="M106" i="92"/>
  <c r="N38" i="92"/>
  <c r="M38" i="92"/>
  <c r="N37" i="92"/>
  <c r="M37" i="92"/>
  <c r="N105" i="92"/>
  <c r="M105" i="92"/>
  <c r="N36" i="92"/>
  <c r="M36" i="92"/>
  <c r="N35" i="92"/>
  <c r="M35" i="92"/>
  <c r="N34" i="92"/>
  <c r="M34" i="92"/>
  <c r="N33" i="92"/>
  <c r="M33" i="92"/>
  <c r="N32" i="92"/>
  <c r="M32" i="92"/>
  <c r="N31" i="92"/>
  <c r="M31" i="92"/>
  <c r="N30" i="92"/>
  <c r="M30" i="92"/>
  <c r="N104" i="92"/>
  <c r="M104" i="92"/>
  <c r="N29" i="92"/>
  <c r="M29" i="92"/>
  <c r="N28" i="92"/>
  <c r="M28" i="92"/>
  <c r="N27" i="92"/>
  <c r="M27" i="92"/>
  <c r="N26" i="92"/>
  <c r="M26" i="92"/>
  <c r="N25" i="92"/>
  <c r="M25" i="92"/>
  <c r="N103" i="92"/>
  <c r="M103" i="92"/>
  <c r="N102" i="92"/>
  <c r="M102" i="92"/>
  <c r="N24" i="92"/>
  <c r="M24" i="92"/>
  <c r="N23" i="92"/>
  <c r="M23" i="92"/>
  <c r="N22" i="92"/>
  <c r="M22" i="92"/>
  <c r="N21" i="92"/>
  <c r="M21" i="92"/>
  <c r="N20" i="92"/>
  <c r="M20" i="92"/>
  <c r="N19" i="92"/>
  <c r="M19" i="92"/>
  <c r="N18" i="92"/>
  <c r="M18" i="92"/>
  <c r="N17" i="92"/>
  <c r="M17" i="92"/>
  <c r="N101" i="92"/>
  <c r="M101" i="92"/>
  <c r="N16" i="92"/>
  <c r="M16" i="92"/>
  <c r="N15" i="92"/>
  <c r="M15" i="92"/>
  <c r="N14" i="92"/>
  <c r="M14" i="92"/>
  <c r="N13" i="92"/>
  <c r="M13" i="92"/>
  <c r="N12" i="92"/>
  <c r="M12" i="92"/>
  <c r="N11" i="92"/>
  <c r="M11" i="92"/>
  <c r="N10" i="92"/>
  <c r="M10" i="92"/>
  <c r="N9" i="92"/>
  <c r="M9" i="92"/>
  <c r="N8" i="92"/>
  <c r="M8" i="92"/>
  <c r="N7" i="92"/>
  <c r="M7" i="92"/>
  <c r="N100" i="92"/>
  <c r="M100" i="92"/>
  <c r="N6" i="92"/>
  <c r="M6" i="92"/>
  <c r="N5" i="92"/>
  <c r="M5" i="92"/>
  <c r="F4" i="92"/>
  <c r="E4" i="92"/>
  <c r="K4" i="92"/>
  <c r="K5" i="6"/>
  <c r="J5" i="6"/>
  <c r="L5" i="6"/>
  <c r="I5" i="6"/>
  <c r="G5" i="6"/>
  <c r="J4" i="92"/>
  <c r="I4" i="92"/>
  <c r="H4" i="92"/>
  <c r="G4" i="92"/>
  <c r="D4" i="92"/>
  <c r="Q100" i="6"/>
  <c r="Q99" i="6"/>
  <c r="Q98" i="6"/>
  <c r="Q125" i="6"/>
  <c r="Q124" i="6"/>
  <c r="Q97" i="6"/>
  <c r="Q96" i="6"/>
  <c r="Q95" i="6"/>
  <c r="Q123" i="6"/>
  <c r="Q94" i="6"/>
  <c r="Q93" i="6"/>
  <c r="Q92" i="6"/>
  <c r="Q122" i="6"/>
  <c r="Q91" i="6"/>
  <c r="Q90" i="6"/>
  <c r="Q89" i="6"/>
  <c r="Q88" i="6"/>
  <c r="Q87" i="6"/>
  <c r="Q86" i="6"/>
  <c r="Q85" i="6"/>
  <c r="Q84" i="6"/>
  <c r="Q83" i="6"/>
  <c r="Q82" i="6"/>
  <c r="Q121" i="6"/>
  <c r="Q81" i="6"/>
  <c r="Q120" i="6"/>
  <c r="Q80" i="6"/>
  <c r="Q119" i="6"/>
  <c r="Q79" i="6"/>
  <c r="Q78" i="6"/>
  <c r="Q77" i="6"/>
  <c r="Q76" i="6"/>
  <c r="Q75" i="6"/>
  <c r="Q118" i="6"/>
  <c r="Q74" i="6"/>
  <c r="Q117" i="6"/>
  <c r="Q73" i="6"/>
  <c r="Q72" i="6"/>
  <c r="Q71" i="6"/>
  <c r="Q70" i="6"/>
  <c r="Q116" i="6"/>
  <c r="Q69" i="6"/>
  <c r="Q68" i="6"/>
  <c r="Q115" i="6"/>
  <c r="Q114" i="6"/>
  <c r="Q67" i="6"/>
  <c r="Q66" i="6"/>
  <c r="Q65" i="6"/>
  <c r="Q64" i="6"/>
  <c r="Q63" i="6"/>
  <c r="Q62" i="6"/>
  <c r="Q113" i="6"/>
  <c r="Q112" i="6"/>
  <c r="Q61" i="6"/>
  <c r="Q111" i="6"/>
  <c r="Q60" i="6"/>
  <c r="Q59" i="6"/>
  <c r="Q58" i="6"/>
  <c r="Q57" i="6"/>
  <c r="Q56" i="6"/>
  <c r="Q55" i="6"/>
  <c r="Q54" i="6"/>
  <c r="Q53" i="6"/>
  <c r="Q52" i="6"/>
  <c r="Q51" i="6"/>
  <c r="Q110" i="6"/>
  <c r="Q50" i="6"/>
  <c r="Q49" i="6"/>
  <c r="Q48" i="6"/>
  <c r="Q47" i="6"/>
  <c r="Q109" i="6"/>
  <c r="Q46" i="6"/>
  <c r="Q45" i="6"/>
  <c r="Q44" i="6"/>
  <c r="Q43" i="6"/>
  <c r="Q42" i="6"/>
  <c r="Q41" i="6"/>
  <c r="Q40" i="6"/>
  <c r="Q108" i="6"/>
  <c r="Q107" i="6"/>
  <c r="Q39" i="6"/>
  <c r="Q38" i="6"/>
  <c r="Q106" i="6"/>
  <c r="Q37" i="6"/>
  <c r="Q36" i="6"/>
  <c r="Q35" i="6"/>
  <c r="Q34" i="6"/>
  <c r="Q33" i="6"/>
  <c r="Q32" i="6"/>
  <c r="Q31" i="6"/>
  <c r="Q105" i="6"/>
  <c r="Q30" i="6"/>
  <c r="Q29" i="6"/>
  <c r="Q28" i="6"/>
  <c r="Q27" i="6"/>
  <c r="Q26" i="6"/>
  <c r="Q104" i="6"/>
  <c r="Q103" i="6"/>
  <c r="Q25" i="6"/>
  <c r="Q24" i="6"/>
  <c r="Q23" i="6"/>
  <c r="Q22" i="6"/>
  <c r="Q21" i="6"/>
  <c r="Q20" i="6"/>
  <c r="Q19" i="6"/>
  <c r="Q18" i="6"/>
  <c r="Q102" i="6"/>
  <c r="Q17" i="6"/>
  <c r="Q16" i="6"/>
  <c r="Q15" i="6"/>
  <c r="Q14" i="6"/>
  <c r="Q13" i="6"/>
  <c r="Q12" i="6"/>
  <c r="Q11" i="6"/>
  <c r="Q10" i="6"/>
  <c r="Q9" i="6"/>
  <c r="Q8" i="6"/>
  <c r="Q101" i="6"/>
  <c r="Q7" i="6"/>
  <c r="Q6" i="6"/>
  <c r="P100" i="6"/>
  <c r="P99" i="6"/>
  <c r="P98" i="6"/>
  <c r="P125" i="6"/>
  <c r="P124" i="6"/>
  <c r="P97" i="6"/>
  <c r="P96" i="6"/>
  <c r="P95" i="6"/>
  <c r="P123" i="6"/>
  <c r="P94" i="6"/>
  <c r="P93" i="6"/>
  <c r="P92" i="6"/>
  <c r="P122" i="6"/>
  <c r="P91" i="6"/>
  <c r="P90" i="6"/>
  <c r="P89" i="6"/>
  <c r="P88" i="6"/>
  <c r="P87" i="6"/>
  <c r="P86" i="6"/>
  <c r="P85" i="6"/>
  <c r="P84" i="6"/>
  <c r="P83" i="6"/>
  <c r="P82" i="6"/>
  <c r="P121" i="6"/>
  <c r="P81" i="6"/>
  <c r="P120" i="6"/>
  <c r="P80" i="6"/>
  <c r="P119" i="6"/>
  <c r="P79" i="6"/>
  <c r="P78" i="6"/>
  <c r="P77" i="6"/>
  <c r="P76" i="6"/>
  <c r="P75" i="6"/>
  <c r="P118" i="6"/>
  <c r="P74" i="6"/>
  <c r="P117" i="6"/>
  <c r="P73" i="6"/>
  <c r="P72" i="6"/>
  <c r="P71" i="6"/>
  <c r="P70" i="6"/>
  <c r="P116" i="6"/>
  <c r="P69" i="6"/>
  <c r="P68" i="6"/>
  <c r="P115" i="6"/>
  <c r="P114" i="6"/>
  <c r="P67" i="6"/>
  <c r="P66" i="6"/>
  <c r="P65" i="6"/>
  <c r="P64" i="6"/>
  <c r="P63" i="6"/>
  <c r="P62" i="6"/>
  <c r="P113" i="6"/>
  <c r="P112" i="6"/>
  <c r="P61" i="6"/>
  <c r="P111" i="6"/>
  <c r="P60" i="6"/>
  <c r="P59" i="6"/>
  <c r="P58" i="6"/>
  <c r="P57" i="6"/>
  <c r="P56" i="6"/>
  <c r="P55" i="6"/>
  <c r="P54" i="6"/>
  <c r="P53" i="6"/>
  <c r="P52" i="6"/>
  <c r="P51" i="6"/>
  <c r="P110" i="6"/>
  <c r="P50" i="6"/>
  <c r="P49" i="6"/>
  <c r="P48" i="6"/>
  <c r="P47" i="6"/>
  <c r="P109" i="6"/>
  <c r="P46" i="6"/>
  <c r="P45" i="6"/>
  <c r="P44" i="6"/>
  <c r="P43" i="6"/>
  <c r="P42" i="6"/>
  <c r="P41" i="6"/>
  <c r="P40" i="6"/>
  <c r="P108" i="6"/>
  <c r="P107" i="6"/>
  <c r="P39" i="6"/>
  <c r="P38" i="6"/>
  <c r="P106" i="6"/>
  <c r="P37" i="6"/>
  <c r="P36" i="6"/>
  <c r="P35" i="6"/>
  <c r="P34" i="6"/>
  <c r="P33" i="6"/>
  <c r="P32" i="6"/>
  <c r="P31" i="6"/>
  <c r="P105" i="6"/>
  <c r="P30" i="6"/>
  <c r="P29" i="6"/>
  <c r="P28" i="6"/>
  <c r="P27" i="6"/>
  <c r="P26" i="6"/>
  <c r="P104" i="6"/>
  <c r="P103" i="6"/>
  <c r="P25" i="6"/>
  <c r="P24" i="6"/>
  <c r="P23" i="6"/>
  <c r="P22" i="6"/>
  <c r="P21" i="6"/>
  <c r="P20" i="6"/>
  <c r="P19" i="6"/>
  <c r="P18" i="6"/>
  <c r="P102" i="6"/>
  <c r="P17" i="6"/>
  <c r="P16" i="6"/>
  <c r="P15" i="6"/>
  <c r="P14" i="6"/>
  <c r="P13" i="6"/>
  <c r="P12" i="6"/>
  <c r="P11" i="6"/>
  <c r="P10" i="6"/>
  <c r="P9" i="6"/>
  <c r="P8" i="6"/>
  <c r="P101" i="6"/>
  <c r="P7" i="6"/>
  <c r="P6" i="6"/>
  <c r="F5" i="6"/>
  <c r="E5" i="6"/>
  <c r="D5" i="6"/>
  <c r="G4" i="55"/>
  <c r="G4" i="101"/>
  <c r="F4" i="101"/>
  <c r="E4" i="101"/>
  <c r="D4" i="101"/>
  <c r="G4" i="62"/>
  <c r="J4" i="56"/>
  <c r="DO124" i="56"/>
  <c r="DO123" i="56"/>
  <c r="DO122" i="56"/>
  <c r="DO121" i="56"/>
  <c r="DO120" i="56"/>
  <c r="DO119" i="56"/>
  <c r="DO118" i="56"/>
  <c r="DO117" i="56"/>
  <c r="DO116" i="56"/>
  <c r="DO115" i="56"/>
  <c r="DO114" i="56"/>
  <c r="DO113" i="56"/>
  <c r="DO112" i="56"/>
  <c r="DO111" i="56"/>
  <c r="DO110" i="56"/>
  <c r="DO109" i="56"/>
  <c r="DO108" i="56"/>
  <c r="DO107" i="56"/>
  <c r="DO106" i="56"/>
  <c r="DO105" i="56"/>
  <c r="DO104" i="56"/>
  <c r="DO103" i="56"/>
  <c r="DO102" i="56"/>
  <c r="DO101" i="56"/>
  <c r="DO100" i="56"/>
  <c r="DO99" i="56"/>
  <c r="DO98" i="56"/>
  <c r="DO97" i="56"/>
  <c r="DO96" i="56"/>
  <c r="DO95" i="56"/>
  <c r="DO94" i="56"/>
  <c r="DO93" i="56"/>
  <c r="DO92" i="56"/>
  <c r="DO91" i="56"/>
  <c r="DO90" i="56"/>
  <c r="DO89" i="56"/>
  <c r="DO88" i="56"/>
  <c r="DO87" i="56"/>
  <c r="DO86" i="56"/>
  <c r="DO85" i="56"/>
  <c r="DO84" i="56"/>
  <c r="DO83" i="56"/>
  <c r="DO82" i="56"/>
  <c r="DO81" i="56"/>
  <c r="DO80" i="56"/>
  <c r="DO79" i="56"/>
  <c r="DO78" i="56"/>
  <c r="DO77" i="56"/>
  <c r="DO76" i="56"/>
  <c r="DO75" i="56"/>
  <c r="DO74" i="56"/>
  <c r="DO73" i="56"/>
  <c r="DO72" i="56"/>
  <c r="DO71" i="56"/>
  <c r="DO70" i="56"/>
  <c r="DO69" i="56"/>
  <c r="DO68" i="56"/>
  <c r="DO67" i="56"/>
  <c r="DO66" i="56"/>
  <c r="DO65" i="56"/>
  <c r="DO64" i="56"/>
  <c r="DO63" i="56"/>
  <c r="DO62" i="56"/>
  <c r="DO61" i="56"/>
  <c r="DO60" i="56"/>
  <c r="DO59" i="56"/>
  <c r="DO58" i="56"/>
  <c r="DO57" i="56"/>
  <c r="DO56" i="56"/>
  <c r="DO55" i="56"/>
  <c r="DO54" i="56"/>
  <c r="DO53" i="56"/>
  <c r="DO52" i="56"/>
  <c r="DO51" i="56"/>
  <c r="DO50" i="56"/>
  <c r="DO49" i="56"/>
  <c r="DO48" i="56"/>
  <c r="DO47" i="56"/>
  <c r="DO46" i="56"/>
  <c r="DO45" i="56"/>
  <c r="DO44" i="56"/>
  <c r="DO43" i="56"/>
  <c r="DO42" i="56"/>
  <c r="DO41" i="56"/>
  <c r="DO40" i="56"/>
  <c r="DO39" i="56"/>
  <c r="DO38" i="56"/>
  <c r="DO37" i="56"/>
  <c r="DO36" i="56"/>
  <c r="DO35" i="56"/>
  <c r="DO34" i="56"/>
  <c r="DO33" i="56"/>
  <c r="DO32" i="56"/>
  <c r="DO31" i="56"/>
  <c r="DO30" i="56"/>
  <c r="DO29" i="56"/>
  <c r="DO28" i="56"/>
  <c r="DO27" i="56"/>
  <c r="DO26" i="56"/>
  <c r="DO25" i="56"/>
  <c r="DO24" i="56"/>
  <c r="DO23" i="56"/>
  <c r="DO22" i="56"/>
  <c r="DO21" i="56"/>
  <c r="DO20" i="56"/>
  <c r="DO19" i="56"/>
  <c r="DO18" i="56"/>
  <c r="DO17" i="56"/>
  <c r="DO16" i="56"/>
  <c r="DO15" i="56"/>
  <c r="DO14" i="56"/>
  <c r="DO13" i="56"/>
  <c r="DO12" i="56"/>
  <c r="DO11" i="56"/>
  <c r="DO10" i="56"/>
  <c r="DO9" i="56"/>
  <c r="DO8" i="56"/>
  <c r="DO7" i="56"/>
  <c r="DO6" i="56"/>
  <c r="DO5" i="56"/>
  <c r="DN4" i="56"/>
  <c r="DM4" i="56"/>
  <c r="DL4" i="56"/>
  <c r="DK4" i="56"/>
  <c r="DJ4" i="56"/>
  <c r="AC124" i="56"/>
  <c r="AC123" i="56"/>
  <c r="AC122" i="56"/>
  <c r="AC121" i="56"/>
  <c r="AC120" i="56"/>
  <c r="AC119" i="56"/>
  <c r="AC118" i="56"/>
  <c r="AC117" i="56"/>
  <c r="AC116" i="56"/>
  <c r="AC115" i="56"/>
  <c r="AC114" i="56"/>
  <c r="AC113" i="56"/>
  <c r="AC112" i="56"/>
  <c r="AC111" i="56"/>
  <c r="AC110" i="56"/>
  <c r="AC109" i="56"/>
  <c r="AC108" i="56"/>
  <c r="AC107" i="56"/>
  <c r="AC106" i="56"/>
  <c r="AC105" i="56"/>
  <c r="AC104" i="56"/>
  <c r="AC103" i="56"/>
  <c r="AC102" i="56"/>
  <c r="AC101" i="56"/>
  <c r="AC100" i="56"/>
  <c r="AC99" i="56"/>
  <c r="AC98" i="56"/>
  <c r="AC97" i="56"/>
  <c r="AC96" i="56"/>
  <c r="AC95" i="56"/>
  <c r="AC94" i="56"/>
  <c r="AC93" i="56"/>
  <c r="AC92" i="56"/>
  <c r="AC91" i="56"/>
  <c r="AC90" i="56"/>
  <c r="AC89" i="56"/>
  <c r="AC88" i="56"/>
  <c r="AC87" i="56"/>
  <c r="AC86" i="56"/>
  <c r="AC85" i="56"/>
  <c r="AC84" i="56"/>
  <c r="AC83" i="56"/>
  <c r="AC82" i="56"/>
  <c r="AC81" i="56"/>
  <c r="AC80" i="56"/>
  <c r="AC79" i="56"/>
  <c r="AC78" i="56"/>
  <c r="AC77" i="56"/>
  <c r="AC76" i="56"/>
  <c r="AC75" i="56"/>
  <c r="AC74" i="56"/>
  <c r="AC73" i="56"/>
  <c r="AC72" i="56"/>
  <c r="AC71" i="56"/>
  <c r="AC70" i="56"/>
  <c r="AC69" i="56"/>
  <c r="AC68" i="56"/>
  <c r="AC67" i="56"/>
  <c r="AC66" i="56"/>
  <c r="AC65" i="56"/>
  <c r="AC64" i="56"/>
  <c r="AC63" i="56"/>
  <c r="AC62" i="56"/>
  <c r="AC61" i="56"/>
  <c r="AC60" i="56"/>
  <c r="AC59" i="56"/>
  <c r="AC58" i="56"/>
  <c r="AC57" i="56"/>
  <c r="AC56" i="56"/>
  <c r="AC55" i="56"/>
  <c r="AC54" i="56"/>
  <c r="AC53" i="56"/>
  <c r="AC52" i="56"/>
  <c r="AC51" i="56"/>
  <c r="AC50" i="56"/>
  <c r="AC49" i="56"/>
  <c r="AC48" i="56"/>
  <c r="AC47" i="56"/>
  <c r="AC46" i="56"/>
  <c r="AC45" i="56"/>
  <c r="AC44" i="56"/>
  <c r="AC43" i="56"/>
  <c r="AC42" i="56"/>
  <c r="AC41" i="56"/>
  <c r="AC40" i="56"/>
  <c r="AC39" i="56"/>
  <c r="AC38" i="56"/>
  <c r="AC37" i="56"/>
  <c r="AC36" i="56"/>
  <c r="AC35" i="56"/>
  <c r="AC34" i="56"/>
  <c r="AC33" i="56"/>
  <c r="AC32" i="56"/>
  <c r="AC31" i="56"/>
  <c r="AC30" i="56"/>
  <c r="AC29" i="56"/>
  <c r="AC28" i="56"/>
  <c r="AC27" i="56"/>
  <c r="AC26" i="56"/>
  <c r="AC25" i="56"/>
  <c r="AC24" i="56"/>
  <c r="AC23" i="56"/>
  <c r="AC22" i="56"/>
  <c r="AC21" i="56"/>
  <c r="AC20" i="56"/>
  <c r="AC19" i="56"/>
  <c r="AC18" i="56"/>
  <c r="AC17" i="56"/>
  <c r="AC16" i="56"/>
  <c r="AC15" i="56"/>
  <c r="AC14" i="56"/>
  <c r="AC13" i="56"/>
  <c r="AC12" i="56"/>
  <c r="AC11" i="56"/>
  <c r="AC10" i="56"/>
  <c r="AC9" i="56"/>
  <c r="AC8" i="56"/>
  <c r="AC7" i="56"/>
  <c r="AC6" i="56"/>
  <c r="AC5" i="56"/>
  <c r="AB4" i="56"/>
  <c r="AA4" i="56"/>
  <c r="Z4" i="56"/>
  <c r="Y4" i="56"/>
  <c r="X4" i="56"/>
  <c r="Q124" i="53"/>
  <c r="I124" i="53" s="1"/>
  <c r="G125" i="79" s="1"/>
  <c r="Q123" i="53"/>
  <c r="I123" i="53" s="1"/>
  <c r="G124" i="79" s="1"/>
  <c r="Q122" i="53"/>
  <c r="I122" i="53" s="1"/>
  <c r="G123" i="79" s="1"/>
  <c r="Q121" i="53"/>
  <c r="I121" i="53" s="1"/>
  <c r="G122" i="79" s="1"/>
  <c r="Q120" i="53"/>
  <c r="I120" i="53" s="1"/>
  <c r="G121" i="79" s="1"/>
  <c r="Q119" i="53"/>
  <c r="I119" i="53" s="1"/>
  <c r="G120" i="79" s="1"/>
  <c r="Q118" i="53"/>
  <c r="I118" i="53" s="1"/>
  <c r="G119" i="79" s="1"/>
  <c r="Q117" i="53"/>
  <c r="I117" i="53" s="1"/>
  <c r="G118" i="79" s="1"/>
  <c r="Q116" i="53"/>
  <c r="I116" i="53" s="1"/>
  <c r="G117" i="79" s="1"/>
  <c r="Q115" i="53"/>
  <c r="I115" i="53" s="1"/>
  <c r="G116" i="79" s="1"/>
  <c r="Q114" i="53"/>
  <c r="I114" i="53" s="1"/>
  <c r="G115" i="79" s="1"/>
  <c r="Q113" i="53"/>
  <c r="I113" i="53" s="1"/>
  <c r="G114" i="79" s="1"/>
  <c r="Q112" i="53"/>
  <c r="I112" i="53" s="1"/>
  <c r="G113" i="79" s="1"/>
  <c r="Q111" i="53"/>
  <c r="I111" i="53" s="1"/>
  <c r="G112" i="79" s="1"/>
  <c r="Q110" i="53"/>
  <c r="I110" i="53" s="1"/>
  <c r="G111" i="79" s="1"/>
  <c r="Q109" i="53"/>
  <c r="I109" i="53" s="1"/>
  <c r="G110" i="79" s="1"/>
  <c r="Q108" i="53"/>
  <c r="I108" i="53" s="1"/>
  <c r="G109" i="79" s="1"/>
  <c r="Q107" i="53"/>
  <c r="I107" i="53" s="1"/>
  <c r="G108" i="79" s="1"/>
  <c r="Q106" i="53"/>
  <c r="I106" i="53" s="1"/>
  <c r="G107" i="79" s="1"/>
  <c r="Q105" i="53"/>
  <c r="I105" i="53" s="1"/>
  <c r="G106" i="79" s="1"/>
  <c r="Q104" i="53"/>
  <c r="I104" i="53" s="1"/>
  <c r="G105" i="79" s="1"/>
  <c r="Q103" i="53"/>
  <c r="I103" i="53" s="1"/>
  <c r="G104" i="79" s="1"/>
  <c r="Q102" i="53"/>
  <c r="I102" i="53" s="1"/>
  <c r="G103" i="79" s="1"/>
  <c r="Q101" i="53"/>
  <c r="I101" i="53" s="1"/>
  <c r="G102" i="79" s="1"/>
  <c r="Q100" i="53"/>
  <c r="I100" i="53" s="1"/>
  <c r="G101" i="79" s="1"/>
  <c r="Q99" i="53"/>
  <c r="I99" i="53" s="1"/>
  <c r="G100" i="79" s="1"/>
  <c r="Q98" i="53"/>
  <c r="I98" i="53" s="1"/>
  <c r="G99" i="79" s="1"/>
  <c r="Q97" i="53"/>
  <c r="I97" i="53" s="1"/>
  <c r="G98" i="79" s="1"/>
  <c r="Q96" i="53"/>
  <c r="I96" i="53" s="1"/>
  <c r="G97" i="79" s="1"/>
  <c r="Q95" i="53"/>
  <c r="I95" i="53" s="1"/>
  <c r="G96" i="79" s="1"/>
  <c r="Q94" i="53"/>
  <c r="I94" i="53" s="1"/>
  <c r="G95" i="79" s="1"/>
  <c r="Q93" i="53"/>
  <c r="I93" i="53" s="1"/>
  <c r="G94" i="79" s="1"/>
  <c r="Q92" i="53"/>
  <c r="I92" i="53" s="1"/>
  <c r="G93" i="79" s="1"/>
  <c r="Q91" i="53"/>
  <c r="I91" i="53" s="1"/>
  <c r="G92" i="79" s="1"/>
  <c r="Q90" i="53"/>
  <c r="I90" i="53" s="1"/>
  <c r="G91" i="79" s="1"/>
  <c r="Q89" i="53"/>
  <c r="I89" i="53" s="1"/>
  <c r="G90" i="79" s="1"/>
  <c r="Q88" i="53"/>
  <c r="I88" i="53" s="1"/>
  <c r="G89" i="79" s="1"/>
  <c r="Q87" i="53"/>
  <c r="I87" i="53" s="1"/>
  <c r="G88" i="79" s="1"/>
  <c r="Q86" i="53"/>
  <c r="I86" i="53" s="1"/>
  <c r="G87" i="79" s="1"/>
  <c r="Q85" i="53"/>
  <c r="I85" i="53" s="1"/>
  <c r="G86" i="79" s="1"/>
  <c r="Q84" i="53"/>
  <c r="I84" i="53" s="1"/>
  <c r="G85" i="79" s="1"/>
  <c r="Q83" i="53"/>
  <c r="I83" i="53" s="1"/>
  <c r="G84" i="79" s="1"/>
  <c r="Q82" i="53"/>
  <c r="I82" i="53" s="1"/>
  <c r="G83" i="79" s="1"/>
  <c r="Q81" i="53"/>
  <c r="I81" i="53" s="1"/>
  <c r="G82" i="79" s="1"/>
  <c r="Q80" i="53"/>
  <c r="I80" i="53" s="1"/>
  <c r="G81" i="79" s="1"/>
  <c r="Q79" i="53"/>
  <c r="I79" i="53" s="1"/>
  <c r="G80" i="79" s="1"/>
  <c r="Q78" i="53"/>
  <c r="I78" i="53" s="1"/>
  <c r="G79" i="79" s="1"/>
  <c r="Q77" i="53"/>
  <c r="I77" i="53" s="1"/>
  <c r="G78" i="79" s="1"/>
  <c r="Q76" i="53"/>
  <c r="I76" i="53" s="1"/>
  <c r="G77" i="79" s="1"/>
  <c r="Q75" i="53"/>
  <c r="I75" i="53" s="1"/>
  <c r="G76" i="79" s="1"/>
  <c r="Q74" i="53"/>
  <c r="I74" i="53" s="1"/>
  <c r="G75" i="79" s="1"/>
  <c r="Q73" i="53"/>
  <c r="I73" i="53" s="1"/>
  <c r="G74" i="79" s="1"/>
  <c r="Q72" i="53"/>
  <c r="I72" i="53" s="1"/>
  <c r="G73" i="79" s="1"/>
  <c r="Q71" i="53"/>
  <c r="I71" i="53" s="1"/>
  <c r="G72" i="79" s="1"/>
  <c r="Q70" i="53"/>
  <c r="I70" i="53" s="1"/>
  <c r="G71" i="79" s="1"/>
  <c r="Q69" i="53"/>
  <c r="I69" i="53" s="1"/>
  <c r="G70" i="79" s="1"/>
  <c r="Q68" i="53"/>
  <c r="I68" i="53" s="1"/>
  <c r="G69" i="79" s="1"/>
  <c r="Q67" i="53"/>
  <c r="I67" i="53" s="1"/>
  <c r="G68" i="79" s="1"/>
  <c r="Q66" i="53"/>
  <c r="I66" i="53" s="1"/>
  <c r="G67" i="79" s="1"/>
  <c r="Q65" i="53"/>
  <c r="I65" i="53" s="1"/>
  <c r="G66" i="79" s="1"/>
  <c r="Q64" i="53"/>
  <c r="I64" i="53" s="1"/>
  <c r="G65" i="79" s="1"/>
  <c r="Q63" i="53"/>
  <c r="I63" i="53" s="1"/>
  <c r="G64" i="79" s="1"/>
  <c r="Q62" i="53"/>
  <c r="I62" i="53" s="1"/>
  <c r="G63" i="79" s="1"/>
  <c r="Q61" i="53"/>
  <c r="I61" i="53" s="1"/>
  <c r="G62" i="79" s="1"/>
  <c r="Q60" i="53"/>
  <c r="I60" i="53" s="1"/>
  <c r="G61" i="79" s="1"/>
  <c r="Q59" i="53"/>
  <c r="I59" i="53" s="1"/>
  <c r="G60" i="79" s="1"/>
  <c r="Q58" i="53"/>
  <c r="I58" i="53" s="1"/>
  <c r="G59" i="79" s="1"/>
  <c r="Q57" i="53"/>
  <c r="I57" i="53" s="1"/>
  <c r="G58" i="79" s="1"/>
  <c r="Q56" i="53"/>
  <c r="I56" i="53" s="1"/>
  <c r="G57" i="79" s="1"/>
  <c r="Q55" i="53"/>
  <c r="I55" i="53" s="1"/>
  <c r="G56" i="79" s="1"/>
  <c r="Q54" i="53"/>
  <c r="I54" i="53" s="1"/>
  <c r="G55" i="79" s="1"/>
  <c r="Q53" i="53"/>
  <c r="I53" i="53" s="1"/>
  <c r="G54" i="79" s="1"/>
  <c r="Q52" i="53"/>
  <c r="I52" i="53" s="1"/>
  <c r="G53" i="79" s="1"/>
  <c r="Q51" i="53"/>
  <c r="I51" i="53" s="1"/>
  <c r="G52" i="79" s="1"/>
  <c r="Q50" i="53"/>
  <c r="I50" i="53" s="1"/>
  <c r="G51" i="79" s="1"/>
  <c r="Q49" i="53"/>
  <c r="I49" i="53" s="1"/>
  <c r="G50" i="79" s="1"/>
  <c r="Q48" i="53"/>
  <c r="I48" i="53" s="1"/>
  <c r="G49" i="79" s="1"/>
  <c r="Q47" i="53"/>
  <c r="I47" i="53" s="1"/>
  <c r="G48" i="79" s="1"/>
  <c r="Q46" i="53"/>
  <c r="I46" i="53" s="1"/>
  <c r="G47" i="79" s="1"/>
  <c r="Q45" i="53"/>
  <c r="I45" i="53" s="1"/>
  <c r="G46" i="79" s="1"/>
  <c r="Q44" i="53"/>
  <c r="I44" i="53" s="1"/>
  <c r="G45" i="79" s="1"/>
  <c r="Q43" i="53"/>
  <c r="I43" i="53" s="1"/>
  <c r="G44" i="79" s="1"/>
  <c r="Q42" i="53"/>
  <c r="I42" i="53" s="1"/>
  <c r="G43" i="79" s="1"/>
  <c r="Q41" i="53"/>
  <c r="I41" i="53" s="1"/>
  <c r="G42" i="79" s="1"/>
  <c r="Q40" i="53"/>
  <c r="I40" i="53" s="1"/>
  <c r="G41" i="79" s="1"/>
  <c r="Q39" i="53"/>
  <c r="I39" i="53" s="1"/>
  <c r="G40" i="79" s="1"/>
  <c r="Q38" i="53"/>
  <c r="I38" i="53" s="1"/>
  <c r="G39" i="79" s="1"/>
  <c r="Q37" i="53"/>
  <c r="I37" i="53" s="1"/>
  <c r="G38" i="79" s="1"/>
  <c r="Q36" i="53"/>
  <c r="I36" i="53" s="1"/>
  <c r="G37" i="79" s="1"/>
  <c r="Q35" i="53"/>
  <c r="I35" i="53" s="1"/>
  <c r="G36" i="79" s="1"/>
  <c r="Q34" i="53"/>
  <c r="I34" i="53" s="1"/>
  <c r="G35" i="79" s="1"/>
  <c r="Q33" i="53"/>
  <c r="I33" i="53" s="1"/>
  <c r="G34" i="79" s="1"/>
  <c r="Q32" i="53"/>
  <c r="I32" i="53" s="1"/>
  <c r="G33" i="79" s="1"/>
  <c r="Q31" i="53"/>
  <c r="I31" i="53" s="1"/>
  <c r="G32" i="79" s="1"/>
  <c r="Q30" i="53"/>
  <c r="I30" i="53" s="1"/>
  <c r="G31" i="79" s="1"/>
  <c r="Q29" i="53"/>
  <c r="I29" i="53" s="1"/>
  <c r="G30" i="79" s="1"/>
  <c r="Q28" i="53"/>
  <c r="I28" i="53" s="1"/>
  <c r="G29" i="79" s="1"/>
  <c r="Q27" i="53"/>
  <c r="I27" i="53" s="1"/>
  <c r="G28" i="79" s="1"/>
  <c r="Q26" i="53"/>
  <c r="I26" i="53" s="1"/>
  <c r="G27" i="79" s="1"/>
  <c r="Q25" i="53"/>
  <c r="I25" i="53" s="1"/>
  <c r="G26" i="79" s="1"/>
  <c r="Q24" i="53"/>
  <c r="I24" i="53" s="1"/>
  <c r="G25" i="79" s="1"/>
  <c r="Q23" i="53"/>
  <c r="I23" i="53" s="1"/>
  <c r="G24" i="79" s="1"/>
  <c r="Q22" i="53"/>
  <c r="I22" i="53" s="1"/>
  <c r="G23" i="79" s="1"/>
  <c r="Q21" i="53"/>
  <c r="I21" i="53" s="1"/>
  <c r="G22" i="79" s="1"/>
  <c r="Q20" i="53"/>
  <c r="I20" i="53" s="1"/>
  <c r="G21" i="79" s="1"/>
  <c r="Q19" i="53"/>
  <c r="I19" i="53" s="1"/>
  <c r="G20" i="79" s="1"/>
  <c r="Q18" i="53"/>
  <c r="I18" i="53" s="1"/>
  <c r="G19" i="79" s="1"/>
  <c r="Q17" i="53"/>
  <c r="I17" i="53" s="1"/>
  <c r="G18" i="79" s="1"/>
  <c r="Q16" i="53"/>
  <c r="I16" i="53" s="1"/>
  <c r="G17" i="79" s="1"/>
  <c r="Q15" i="53"/>
  <c r="Q14" i="53"/>
  <c r="I14" i="53" s="1"/>
  <c r="G15" i="79" s="1"/>
  <c r="Q13" i="53"/>
  <c r="I13" i="53" s="1"/>
  <c r="G14" i="79" s="1"/>
  <c r="Q12" i="53"/>
  <c r="I12" i="53" s="1"/>
  <c r="G13" i="79" s="1"/>
  <c r="Q11" i="53"/>
  <c r="Q10" i="53"/>
  <c r="I10" i="53" s="1"/>
  <c r="G11" i="79" s="1"/>
  <c r="Q9" i="53"/>
  <c r="I9" i="53" s="1"/>
  <c r="G10" i="79" s="1"/>
  <c r="Q8" i="53"/>
  <c r="Q7" i="53"/>
  <c r="I7" i="53" s="1"/>
  <c r="G8" i="79" s="1"/>
  <c r="Q6" i="53"/>
  <c r="Q5" i="53"/>
  <c r="AM124" i="62"/>
  <c r="AM123" i="62"/>
  <c r="AM122" i="62"/>
  <c r="AM121" i="62"/>
  <c r="AM120" i="62"/>
  <c r="AM119" i="62"/>
  <c r="AM118" i="62"/>
  <c r="AM117" i="62"/>
  <c r="AM116" i="62"/>
  <c r="AM115" i="62"/>
  <c r="AM114" i="62"/>
  <c r="AM113" i="62"/>
  <c r="AM112" i="62"/>
  <c r="AM111" i="62"/>
  <c r="AM110" i="62"/>
  <c r="AM109" i="62"/>
  <c r="AM108" i="62"/>
  <c r="AM107" i="62"/>
  <c r="AM106" i="62"/>
  <c r="AM105" i="62"/>
  <c r="AM104" i="62"/>
  <c r="AM103" i="62"/>
  <c r="AM102" i="62"/>
  <c r="AM101" i="62"/>
  <c r="AM100" i="62"/>
  <c r="AM99" i="62"/>
  <c r="AM98" i="62"/>
  <c r="AM97" i="62"/>
  <c r="AM96" i="62"/>
  <c r="AM95" i="62"/>
  <c r="AM94" i="62"/>
  <c r="AM93" i="62"/>
  <c r="AM92" i="62"/>
  <c r="AM91" i="62"/>
  <c r="AM90" i="62"/>
  <c r="AM89" i="62"/>
  <c r="AM88" i="62"/>
  <c r="AM87" i="62"/>
  <c r="AM86" i="62"/>
  <c r="AM85" i="62"/>
  <c r="AM84" i="62"/>
  <c r="AM83" i="62"/>
  <c r="AM82" i="62"/>
  <c r="AM81" i="62"/>
  <c r="AM80" i="62"/>
  <c r="AM79" i="62"/>
  <c r="AM78" i="62"/>
  <c r="AM77" i="62"/>
  <c r="AM76" i="62"/>
  <c r="AM75" i="62"/>
  <c r="AM74" i="62"/>
  <c r="AM73" i="62"/>
  <c r="AM72" i="62"/>
  <c r="AM71" i="62"/>
  <c r="AM70" i="62"/>
  <c r="AM69" i="62"/>
  <c r="AM68" i="62"/>
  <c r="AM67" i="62"/>
  <c r="AM66" i="62"/>
  <c r="AM65" i="62"/>
  <c r="AM64" i="62"/>
  <c r="AM63" i="62"/>
  <c r="AM62" i="62"/>
  <c r="AM61" i="62"/>
  <c r="AM60" i="62"/>
  <c r="AM59" i="62"/>
  <c r="AM58" i="62"/>
  <c r="AM57" i="62"/>
  <c r="AM56" i="62"/>
  <c r="AM55" i="62"/>
  <c r="AM54" i="62"/>
  <c r="AM53" i="62"/>
  <c r="AM52" i="62"/>
  <c r="AM51" i="62"/>
  <c r="AM50" i="62"/>
  <c r="AM49" i="62"/>
  <c r="AM48" i="62"/>
  <c r="AM47" i="62"/>
  <c r="AM46" i="62"/>
  <c r="AM45" i="62"/>
  <c r="AM44" i="62"/>
  <c r="AM43" i="62"/>
  <c r="AM42" i="62"/>
  <c r="AM41" i="62"/>
  <c r="AM40" i="62"/>
  <c r="AM39" i="62"/>
  <c r="AM38" i="62"/>
  <c r="AM37" i="62"/>
  <c r="AM36" i="62"/>
  <c r="AM35" i="62"/>
  <c r="AM34" i="62"/>
  <c r="AM33" i="62"/>
  <c r="AM32" i="62"/>
  <c r="AM31" i="62"/>
  <c r="AM30" i="62"/>
  <c r="AM29" i="62"/>
  <c r="AM28" i="62"/>
  <c r="AM27" i="62"/>
  <c r="AM26" i="62"/>
  <c r="AM25" i="62"/>
  <c r="AM24" i="62"/>
  <c r="AM23" i="62"/>
  <c r="AM22" i="62"/>
  <c r="AM21" i="62"/>
  <c r="AM20" i="62"/>
  <c r="AM19" i="62"/>
  <c r="AM18" i="62"/>
  <c r="AM17" i="62"/>
  <c r="AM16" i="62"/>
  <c r="AM15" i="62"/>
  <c r="AM14" i="62"/>
  <c r="AM13" i="62"/>
  <c r="AM12" i="62"/>
  <c r="AM11" i="62"/>
  <c r="AM10" i="62"/>
  <c r="AM9" i="62"/>
  <c r="AM8" i="62"/>
  <c r="AM7" i="62"/>
  <c r="AM6" i="62"/>
  <c r="AM5" i="62"/>
  <c r="AG124" i="62"/>
  <c r="AG123" i="62"/>
  <c r="AG122" i="62"/>
  <c r="AG121" i="62"/>
  <c r="AG120" i="62"/>
  <c r="AG119" i="62"/>
  <c r="AG118" i="62"/>
  <c r="AG117" i="62"/>
  <c r="AG116" i="62"/>
  <c r="AG115" i="62"/>
  <c r="AG114" i="62"/>
  <c r="AG113" i="62"/>
  <c r="AG112" i="62"/>
  <c r="AG111" i="62"/>
  <c r="AG110" i="62"/>
  <c r="AG109" i="62"/>
  <c r="AG108" i="62"/>
  <c r="AG107" i="62"/>
  <c r="AG106" i="62"/>
  <c r="AG105" i="62"/>
  <c r="AG104" i="62"/>
  <c r="AG103" i="62"/>
  <c r="AG102" i="62"/>
  <c r="AG101" i="62"/>
  <c r="AG100" i="62"/>
  <c r="AG99" i="62"/>
  <c r="AG98" i="62"/>
  <c r="AG97" i="62"/>
  <c r="AG96" i="62"/>
  <c r="AG95" i="62"/>
  <c r="AG94" i="62"/>
  <c r="AG93" i="62"/>
  <c r="AG92" i="62"/>
  <c r="AG91" i="62"/>
  <c r="AG90" i="62"/>
  <c r="AG89" i="62"/>
  <c r="AG88" i="62"/>
  <c r="AG87" i="62"/>
  <c r="AG86" i="62"/>
  <c r="AG85" i="62"/>
  <c r="AG84" i="62"/>
  <c r="AG83" i="62"/>
  <c r="AG82" i="62"/>
  <c r="AG81" i="62"/>
  <c r="AG80" i="62"/>
  <c r="AG79" i="62"/>
  <c r="AG78" i="62"/>
  <c r="AG77" i="62"/>
  <c r="AG76" i="62"/>
  <c r="AG75" i="62"/>
  <c r="AG74" i="62"/>
  <c r="AG73" i="62"/>
  <c r="AG72" i="62"/>
  <c r="AG71" i="62"/>
  <c r="AG70" i="62"/>
  <c r="AG69" i="62"/>
  <c r="AG68" i="62"/>
  <c r="AG67" i="62"/>
  <c r="AG66" i="62"/>
  <c r="AG65" i="62"/>
  <c r="AG64" i="62"/>
  <c r="AG63" i="62"/>
  <c r="AG62" i="62"/>
  <c r="AG61" i="62"/>
  <c r="AG60" i="62"/>
  <c r="AG59" i="62"/>
  <c r="AG58" i="62"/>
  <c r="AG57" i="62"/>
  <c r="AG56" i="62"/>
  <c r="AG55" i="62"/>
  <c r="AG54" i="62"/>
  <c r="AG53" i="62"/>
  <c r="AG52" i="62"/>
  <c r="AG51" i="62"/>
  <c r="AG50" i="62"/>
  <c r="AG49" i="62"/>
  <c r="AG48" i="62"/>
  <c r="AG47" i="62"/>
  <c r="AG46" i="62"/>
  <c r="AG45" i="62"/>
  <c r="AG44" i="62"/>
  <c r="AG43" i="62"/>
  <c r="AG42" i="62"/>
  <c r="AG41" i="62"/>
  <c r="AG40" i="62"/>
  <c r="AG39" i="62"/>
  <c r="AG38" i="62"/>
  <c r="AG37" i="62"/>
  <c r="AG36" i="62"/>
  <c r="AG35" i="62"/>
  <c r="AG34" i="62"/>
  <c r="AG33" i="62"/>
  <c r="AG32" i="62"/>
  <c r="AG31" i="62"/>
  <c r="AG30" i="62"/>
  <c r="AG29" i="62"/>
  <c r="AG28" i="62"/>
  <c r="AG27" i="62"/>
  <c r="AG26" i="62"/>
  <c r="AG25" i="62"/>
  <c r="AG24" i="62"/>
  <c r="AG23" i="62"/>
  <c r="AG22" i="62"/>
  <c r="AG21" i="62"/>
  <c r="AG20" i="62"/>
  <c r="AG19" i="62"/>
  <c r="AG18" i="62"/>
  <c r="AG17" i="62"/>
  <c r="AG16" i="62"/>
  <c r="AG15" i="62"/>
  <c r="AG14" i="62"/>
  <c r="AG13" i="62"/>
  <c r="AG12" i="62"/>
  <c r="AG11" i="62"/>
  <c r="AG10" i="62"/>
  <c r="AG9" i="62"/>
  <c r="AG8" i="62"/>
  <c r="AG7" i="62"/>
  <c r="AG6" i="62"/>
  <c r="AG5" i="62"/>
  <c r="O5" i="62"/>
  <c r="D4" i="60"/>
  <c r="E4" i="60"/>
  <c r="H4" i="60"/>
  <c r="AM99" i="60"/>
  <c r="AM98" i="60"/>
  <c r="AM97" i="60"/>
  <c r="AM124" i="60"/>
  <c r="AM123" i="60"/>
  <c r="AM96" i="60"/>
  <c r="AM95" i="60"/>
  <c r="AM94" i="60"/>
  <c r="AM122" i="60"/>
  <c r="AM93" i="60"/>
  <c r="AM92" i="60"/>
  <c r="AM91" i="60"/>
  <c r="AM121" i="60"/>
  <c r="AM90" i="60"/>
  <c r="AM89" i="60"/>
  <c r="AM88" i="60"/>
  <c r="AM87" i="60"/>
  <c r="AM86" i="60"/>
  <c r="AM85" i="60"/>
  <c r="AM84" i="60"/>
  <c r="AM83" i="60"/>
  <c r="AM82" i="60"/>
  <c r="AM81" i="60"/>
  <c r="AM120" i="60"/>
  <c r="AM80" i="60"/>
  <c r="AM119" i="60"/>
  <c r="AM79" i="60"/>
  <c r="AM118" i="60"/>
  <c r="AM78" i="60"/>
  <c r="AM77" i="60"/>
  <c r="AM76" i="60"/>
  <c r="AM75" i="60"/>
  <c r="AM74" i="60"/>
  <c r="AM117" i="60"/>
  <c r="AM73" i="60"/>
  <c r="AM116" i="60"/>
  <c r="AM72" i="60"/>
  <c r="AM71" i="60"/>
  <c r="AM70" i="60"/>
  <c r="AM69" i="60"/>
  <c r="AM115" i="60"/>
  <c r="AM68" i="60"/>
  <c r="AM67" i="60"/>
  <c r="AM114" i="60"/>
  <c r="AM113" i="60"/>
  <c r="AM66" i="60"/>
  <c r="AM65" i="60"/>
  <c r="AM64" i="60"/>
  <c r="AM63" i="60"/>
  <c r="AM62" i="60"/>
  <c r="AM61" i="60"/>
  <c r="AM112" i="60"/>
  <c r="AM111" i="60"/>
  <c r="AM60" i="60"/>
  <c r="AM110" i="60"/>
  <c r="AM59" i="60"/>
  <c r="AM58" i="60"/>
  <c r="AM57" i="60"/>
  <c r="AM56" i="60"/>
  <c r="AM55" i="60"/>
  <c r="AM54" i="60"/>
  <c r="AM53" i="60"/>
  <c r="AM52" i="60"/>
  <c r="AM51" i="60"/>
  <c r="AM50" i="60"/>
  <c r="AM109" i="60"/>
  <c r="AM49" i="60"/>
  <c r="AM48" i="60"/>
  <c r="AM47" i="60"/>
  <c r="AM46" i="60"/>
  <c r="AM108" i="60"/>
  <c r="AM45" i="60"/>
  <c r="AM44" i="60"/>
  <c r="AM43" i="60"/>
  <c r="AM42" i="60"/>
  <c r="AM41" i="60"/>
  <c r="AM40" i="60"/>
  <c r="AM39" i="60"/>
  <c r="AM107" i="60"/>
  <c r="AM106" i="60"/>
  <c r="AM38" i="60"/>
  <c r="AM37" i="60"/>
  <c r="AM105" i="60"/>
  <c r="AM36" i="60"/>
  <c r="AM35" i="60"/>
  <c r="AM34" i="60"/>
  <c r="AM33" i="60"/>
  <c r="AM32" i="60"/>
  <c r="AM31" i="60"/>
  <c r="AM30" i="60"/>
  <c r="AM104" i="60"/>
  <c r="AM29" i="60"/>
  <c r="AM28" i="60"/>
  <c r="AM27" i="60"/>
  <c r="AM26" i="60"/>
  <c r="AM25" i="60"/>
  <c r="AM103" i="60"/>
  <c r="AM102" i="60"/>
  <c r="AM24" i="60"/>
  <c r="AM23" i="60"/>
  <c r="AM22" i="60"/>
  <c r="AM21" i="60"/>
  <c r="AM20" i="60"/>
  <c r="AM19" i="60"/>
  <c r="AM18" i="60"/>
  <c r="AM17" i="60"/>
  <c r="AM101" i="60"/>
  <c r="AM16" i="60"/>
  <c r="AM15" i="60"/>
  <c r="AM14" i="60"/>
  <c r="AM13" i="60"/>
  <c r="AM12" i="60"/>
  <c r="AM11" i="60"/>
  <c r="AM10" i="60"/>
  <c r="AM9" i="60"/>
  <c r="AM8" i="60"/>
  <c r="AM7" i="60"/>
  <c r="AM100" i="60"/>
  <c r="AM6" i="60"/>
  <c r="AM5" i="60"/>
  <c r="AE99" i="60"/>
  <c r="AE98" i="60"/>
  <c r="AE97" i="60"/>
  <c r="AE124" i="60"/>
  <c r="AE123" i="60"/>
  <c r="AE96" i="60"/>
  <c r="AE95" i="60"/>
  <c r="AE94" i="60"/>
  <c r="AE122" i="60"/>
  <c r="AE93" i="60"/>
  <c r="AE92" i="60"/>
  <c r="AE91" i="60"/>
  <c r="AE121" i="60"/>
  <c r="AE90" i="60"/>
  <c r="AE89" i="60"/>
  <c r="AE88" i="60"/>
  <c r="AE87" i="60"/>
  <c r="AE86" i="60"/>
  <c r="AE85" i="60"/>
  <c r="AE84" i="60"/>
  <c r="AE83" i="60"/>
  <c r="AE82" i="60"/>
  <c r="AE81" i="60"/>
  <c r="AE120" i="60"/>
  <c r="AE80" i="60"/>
  <c r="AE119" i="60"/>
  <c r="AE79" i="60"/>
  <c r="AE118" i="60"/>
  <c r="AE78" i="60"/>
  <c r="AE77" i="60"/>
  <c r="AE76" i="60"/>
  <c r="AE75" i="60"/>
  <c r="AE74" i="60"/>
  <c r="AE117" i="60"/>
  <c r="AE73" i="60"/>
  <c r="AE116" i="60"/>
  <c r="AE72" i="60"/>
  <c r="AE71" i="60"/>
  <c r="AE70" i="60"/>
  <c r="AE69" i="60"/>
  <c r="AE115" i="60"/>
  <c r="AE68" i="60"/>
  <c r="AE67" i="60"/>
  <c r="AE114" i="60"/>
  <c r="AE113" i="60"/>
  <c r="AE66" i="60"/>
  <c r="AE65" i="60"/>
  <c r="AE64" i="60"/>
  <c r="AE63" i="60"/>
  <c r="AE62" i="60"/>
  <c r="AE61" i="60"/>
  <c r="AE112" i="60"/>
  <c r="AE111" i="60"/>
  <c r="AE60" i="60"/>
  <c r="AE110" i="60"/>
  <c r="AE59" i="60"/>
  <c r="AE58" i="60"/>
  <c r="AE57" i="60"/>
  <c r="AE56" i="60"/>
  <c r="AE55" i="60"/>
  <c r="AE54" i="60"/>
  <c r="AE53" i="60"/>
  <c r="AE52" i="60"/>
  <c r="AE51" i="60"/>
  <c r="AE50" i="60"/>
  <c r="AE109" i="60"/>
  <c r="AE49" i="60"/>
  <c r="AE48" i="60"/>
  <c r="AE47" i="60"/>
  <c r="AE46" i="60"/>
  <c r="AE108" i="60"/>
  <c r="AE45" i="60"/>
  <c r="AE44" i="60"/>
  <c r="AE43" i="60"/>
  <c r="AE42" i="60"/>
  <c r="AE41" i="60"/>
  <c r="AE40" i="60"/>
  <c r="AE39" i="60"/>
  <c r="AE107" i="60"/>
  <c r="AE106" i="60"/>
  <c r="AE38" i="60"/>
  <c r="AE37" i="60"/>
  <c r="AE105" i="60"/>
  <c r="AE36" i="60"/>
  <c r="AE35" i="60"/>
  <c r="AE34" i="60"/>
  <c r="AE33" i="60"/>
  <c r="AE32" i="60"/>
  <c r="AE31" i="60"/>
  <c r="AE30" i="60"/>
  <c r="AE104" i="60"/>
  <c r="AE29" i="60"/>
  <c r="AE28" i="60"/>
  <c r="AE27" i="60"/>
  <c r="AE26" i="60"/>
  <c r="AE25" i="60"/>
  <c r="AE103" i="60"/>
  <c r="AE102" i="60"/>
  <c r="AE24" i="60"/>
  <c r="AE23" i="60"/>
  <c r="AE22" i="60"/>
  <c r="AE21" i="60"/>
  <c r="AE20" i="60"/>
  <c r="AE19" i="60"/>
  <c r="AE18" i="60"/>
  <c r="AE17" i="60"/>
  <c r="AE101" i="60"/>
  <c r="AE16" i="60"/>
  <c r="AE15" i="60"/>
  <c r="AE14" i="60"/>
  <c r="AE13" i="60"/>
  <c r="AE12" i="60"/>
  <c r="AE11" i="60"/>
  <c r="AE10" i="60"/>
  <c r="AE9" i="60"/>
  <c r="AE8" i="60"/>
  <c r="AE7" i="60"/>
  <c r="AE100" i="60"/>
  <c r="AE6" i="60"/>
  <c r="AE5" i="60"/>
  <c r="W99" i="60"/>
  <c r="W98" i="60"/>
  <c r="W97" i="60"/>
  <c r="W124" i="60"/>
  <c r="W123" i="60"/>
  <c r="W96" i="60"/>
  <c r="W95" i="60"/>
  <c r="W94" i="60"/>
  <c r="W122" i="60"/>
  <c r="W93" i="60"/>
  <c r="W92" i="60"/>
  <c r="W91" i="60"/>
  <c r="W121" i="60"/>
  <c r="W90" i="60"/>
  <c r="W89" i="60"/>
  <c r="W88" i="60"/>
  <c r="W87" i="60"/>
  <c r="W86" i="60"/>
  <c r="W85" i="60"/>
  <c r="W84" i="60"/>
  <c r="W83" i="60"/>
  <c r="W82" i="60"/>
  <c r="W81" i="60"/>
  <c r="W120" i="60"/>
  <c r="W80" i="60"/>
  <c r="W119" i="60"/>
  <c r="W79" i="60"/>
  <c r="W118" i="60"/>
  <c r="W78" i="60"/>
  <c r="W77" i="60"/>
  <c r="W76" i="60"/>
  <c r="W75" i="60"/>
  <c r="W74" i="60"/>
  <c r="W117" i="60"/>
  <c r="W73" i="60"/>
  <c r="W116" i="60"/>
  <c r="W72" i="60"/>
  <c r="W71" i="60"/>
  <c r="W70" i="60"/>
  <c r="W69" i="60"/>
  <c r="W115" i="60"/>
  <c r="W68" i="60"/>
  <c r="W67" i="60"/>
  <c r="W114" i="60"/>
  <c r="W113" i="60"/>
  <c r="W66" i="60"/>
  <c r="W65" i="60"/>
  <c r="W64" i="60"/>
  <c r="W63" i="60"/>
  <c r="W62" i="60"/>
  <c r="W61" i="60"/>
  <c r="W112" i="60"/>
  <c r="W111" i="60"/>
  <c r="W60" i="60"/>
  <c r="W110" i="60"/>
  <c r="W59" i="60"/>
  <c r="W58" i="60"/>
  <c r="W57" i="60"/>
  <c r="W56" i="60"/>
  <c r="W55" i="60"/>
  <c r="W54" i="60"/>
  <c r="W53" i="60"/>
  <c r="W52" i="60"/>
  <c r="W51" i="60"/>
  <c r="W50" i="60"/>
  <c r="W109" i="60"/>
  <c r="W49" i="60"/>
  <c r="W48" i="60"/>
  <c r="W47" i="60"/>
  <c r="W46" i="60"/>
  <c r="W108" i="60"/>
  <c r="W45" i="60"/>
  <c r="W44" i="60"/>
  <c r="W43" i="60"/>
  <c r="W42" i="60"/>
  <c r="W41" i="60"/>
  <c r="W40" i="60"/>
  <c r="W39" i="60"/>
  <c r="W107" i="60"/>
  <c r="W106" i="60"/>
  <c r="W38" i="60"/>
  <c r="W37" i="60"/>
  <c r="W105" i="60"/>
  <c r="W36" i="60"/>
  <c r="W35" i="60"/>
  <c r="W34" i="60"/>
  <c r="W33" i="60"/>
  <c r="W32" i="60"/>
  <c r="W31" i="60"/>
  <c r="W30" i="60"/>
  <c r="W104" i="60"/>
  <c r="W29" i="60"/>
  <c r="W28" i="60"/>
  <c r="W27" i="60"/>
  <c r="W26" i="60"/>
  <c r="W25" i="60"/>
  <c r="W103" i="60"/>
  <c r="W102" i="60"/>
  <c r="W24" i="60"/>
  <c r="W23" i="60"/>
  <c r="W22" i="60"/>
  <c r="W21" i="60"/>
  <c r="W20" i="60"/>
  <c r="W19" i="60"/>
  <c r="W18" i="60"/>
  <c r="W17" i="60"/>
  <c r="W101" i="60"/>
  <c r="W16" i="60"/>
  <c r="W15" i="60"/>
  <c r="W14" i="60"/>
  <c r="W13" i="60"/>
  <c r="W12" i="60"/>
  <c r="W11" i="60"/>
  <c r="W10" i="60"/>
  <c r="W9" i="60"/>
  <c r="W8" i="60"/>
  <c r="W7" i="60"/>
  <c r="W100" i="60"/>
  <c r="W6" i="60"/>
  <c r="W5" i="60"/>
  <c r="O4" i="60"/>
  <c r="EA124" i="56"/>
  <c r="EA123" i="56"/>
  <c r="EA122" i="56"/>
  <c r="EA121" i="56"/>
  <c r="EA120" i="56"/>
  <c r="EA119" i="56"/>
  <c r="EA118" i="56"/>
  <c r="EA117" i="56"/>
  <c r="EA116" i="56"/>
  <c r="EA115" i="56"/>
  <c r="EA114" i="56"/>
  <c r="EA113" i="56"/>
  <c r="EA112" i="56"/>
  <c r="EA111" i="56"/>
  <c r="EA110" i="56"/>
  <c r="EA109" i="56"/>
  <c r="EA108" i="56"/>
  <c r="EA107" i="56"/>
  <c r="EA106" i="56"/>
  <c r="EA105" i="56"/>
  <c r="EA104" i="56"/>
  <c r="EA103" i="56"/>
  <c r="EA102" i="56"/>
  <c r="EA101" i="56"/>
  <c r="EA100" i="56"/>
  <c r="EA99" i="56"/>
  <c r="EA98" i="56"/>
  <c r="EA97" i="56"/>
  <c r="EA96" i="56"/>
  <c r="EA95" i="56"/>
  <c r="EA94" i="56"/>
  <c r="EA93" i="56"/>
  <c r="EA92" i="56"/>
  <c r="EA91" i="56"/>
  <c r="EA90" i="56"/>
  <c r="EA89" i="56"/>
  <c r="EA88" i="56"/>
  <c r="EA87" i="56"/>
  <c r="EA86" i="56"/>
  <c r="EA85" i="56"/>
  <c r="EA84" i="56"/>
  <c r="EA83" i="56"/>
  <c r="EA82" i="56"/>
  <c r="EA81" i="56"/>
  <c r="EA80" i="56"/>
  <c r="EA79" i="56"/>
  <c r="EA78" i="56"/>
  <c r="EA77" i="56"/>
  <c r="EA76" i="56"/>
  <c r="EA75" i="56"/>
  <c r="EA74" i="56"/>
  <c r="EA73" i="56"/>
  <c r="EA72" i="56"/>
  <c r="EA71" i="56"/>
  <c r="EA70" i="56"/>
  <c r="EA69" i="56"/>
  <c r="EA68" i="56"/>
  <c r="EA67" i="56"/>
  <c r="EA66" i="56"/>
  <c r="EA65" i="56"/>
  <c r="EA64" i="56"/>
  <c r="EA63" i="56"/>
  <c r="EA62" i="56"/>
  <c r="EA61" i="56"/>
  <c r="EA60" i="56"/>
  <c r="EA59" i="56"/>
  <c r="EA58" i="56"/>
  <c r="EA57" i="56"/>
  <c r="EA56" i="56"/>
  <c r="EA55" i="56"/>
  <c r="EA54" i="56"/>
  <c r="EA53" i="56"/>
  <c r="EA52" i="56"/>
  <c r="EA51" i="56"/>
  <c r="EA50" i="56"/>
  <c r="EA49" i="56"/>
  <c r="EA48" i="56"/>
  <c r="EA47" i="56"/>
  <c r="EA46" i="56"/>
  <c r="EA45" i="56"/>
  <c r="EA44" i="56"/>
  <c r="EA43" i="56"/>
  <c r="EA42" i="56"/>
  <c r="EA41" i="56"/>
  <c r="EA40" i="56"/>
  <c r="EA39" i="56"/>
  <c r="EA38" i="56"/>
  <c r="EA37" i="56"/>
  <c r="EA36" i="56"/>
  <c r="EA35" i="56"/>
  <c r="EA34" i="56"/>
  <c r="EA33" i="56"/>
  <c r="EA32" i="56"/>
  <c r="EA31" i="56"/>
  <c r="EA30" i="56"/>
  <c r="EA29" i="56"/>
  <c r="EA28" i="56"/>
  <c r="EA27" i="56"/>
  <c r="EA26" i="56"/>
  <c r="EA25" i="56"/>
  <c r="EA24" i="56"/>
  <c r="EA23" i="56"/>
  <c r="EA22" i="56"/>
  <c r="EA21" i="56"/>
  <c r="EA20" i="56"/>
  <c r="EA19" i="56"/>
  <c r="EA18" i="56"/>
  <c r="EA17" i="56"/>
  <c r="EA16" i="56"/>
  <c r="EA15" i="56"/>
  <c r="EA14" i="56"/>
  <c r="EA13" i="56"/>
  <c r="EA12" i="56"/>
  <c r="EA11" i="56"/>
  <c r="EA10" i="56"/>
  <c r="EA9" i="56"/>
  <c r="EA8" i="56"/>
  <c r="EA7" i="56"/>
  <c r="EA6" i="56"/>
  <c r="EA5" i="56"/>
  <c r="BS124" i="56"/>
  <c r="BS123" i="56"/>
  <c r="BS122" i="56"/>
  <c r="BS121" i="56"/>
  <c r="BS120" i="56"/>
  <c r="BS119" i="56"/>
  <c r="BS118" i="56"/>
  <c r="BS117" i="56"/>
  <c r="BS116" i="56"/>
  <c r="BS115" i="56"/>
  <c r="BS114" i="56"/>
  <c r="BS113" i="56"/>
  <c r="BS112" i="56"/>
  <c r="BS111" i="56"/>
  <c r="BS110" i="56"/>
  <c r="BS109" i="56"/>
  <c r="BS108" i="56"/>
  <c r="BS107" i="56"/>
  <c r="BS106" i="56"/>
  <c r="BS105" i="56"/>
  <c r="BS104" i="56"/>
  <c r="BS103" i="56"/>
  <c r="BS102" i="56"/>
  <c r="BS101" i="56"/>
  <c r="BS100" i="56"/>
  <c r="BS99" i="56"/>
  <c r="BS98" i="56"/>
  <c r="BS97" i="56"/>
  <c r="BS96" i="56"/>
  <c r="BS95" i="56"/>
  <c r="BS94" i="56"/>
  <c r="BS93" i="56"/>
  <c r="BS92" i="56"/>
  <c r="BS91" i="56"/>
  <c r="BS90" i="56"/>
  <c r="BS89" i="56"/>
  <c r="BS88" i="56"/>
  <c r="BS87" i="56"/>
  <c r="BS86" i="56"/>
  <c r="BS85" i="56"/>
  <c r="BS84" i="56"/>
  <c r="BS83" i="56"/>
  <c r="BS82" i="56"/>
  <c r="BS81" i="56"/>
  <c r="BS80" i="56"/>
  <c r="BS79" i="56"/>
  <c r="BS78" i="56"/>
  <c r="BS77" i="56"/>
  <c r="BS76" i="56"/>
  <c r="BS75" i="56"/>
  <c r="BS74" i="56"/>
  <c r="BS73" i="56"/>
  <c r="BS72" i="56"/>
  <c r="BS71" i="56"/>
  <c r="BS70" i="56"/>
  <c r="BS69" i="56"/>
  <c r="BS68" i="56"/>
  <c r="BS67" i="56"/>
  <c r="BS66" i="56"/>
  <c r="BS65" i="56"/>
  <c r="BS64" i="56"/>
  <c r="BS63" i="56"/>
  <c r="BS62" i="56"/>
  <c r="BS61" i="56"/>
  <c r="BS60" i="56"/>
  <c r="BS59" i="56"/>
  <c r="BS58" i="56"/>
  <c r="BS57" i="56"/>
  <c r="BS56" i="56"/>
  <c r="BS55" i="56"/>
  <c r="BS54" i="56"/>
  <c r="BS53" i="56"/>
  <c r="BS52" i="56"/>
  <c r="BS51" i="56"/>
  <c r="BS50" i="56"/>
  <c r="BS49" i="56"/>
  <c r="BS48" i="56"/>
  <c r="BS47" i="56"/>
  <c r="BS46" i="56"/>
  <c r="BS45" i="56"/>
  <c r="BS44" i="56"/>
  <c r="BS43" i="56"/>
  <c r="BS42" i="56"/>
  <c r="BS41" i="56"/>
  <c r="BS40" i="56"/>
  <c r="BS39" i="56"/>
  <c r="BS38" i="56"/>
  <c r="BS37" i="56"/>
  <c r="BS36" i="56"/>
  <c r="BS35" i="56"/>
  <c r="BS34" i="56"/>
  <c r="BS33" i="56"/>
  <c r="BS32" i="56"/>
  <c r="BS31" i="56"/>
  <c r="BS30" i="56"/>
  <c r="BS29" i="56"/>
  <c r="BS28" i="56"/>
  <c r="BS27" i="56"/>
  <c r="BS26" i="56"/>
  <c r="BS25" i="56"/>
  <c r="BS24" i="56"/>
  <c r="BS23" i="56"/>
  <c r="BS22" i="56"/>
  <c r="BS21" i="56"/>
  <c r="BS20" i="56"/>
  <c r="BS19" i="56"/>
  <c r="BS18" i="56"/>
  <c r="BS17" i="56"/>
  <c r="BS16" i="56"/>
  <c r="BS15" i="56"/>
  <c r="BS14" i="56"/>
  <c r="BS13" i="56"/>
  <c r="BS12" i="56"/>
  <c r="BS11" i="56"/>
  <c r="BS10" i="56"/>
  <c r="BS9" i="56"/>
  <c r="BS8" i="56"/>
  <c r="BS7" i="56"/>
  <c r="BS6" i="56"/>
  <c r="BS5" i="56"/>
  <c r="EG124" i="56"/>
  <c r="EG123" i="56"/>
  <c r="EG122" i="56"/>
  <c r="EG121" i="56"/>
  <c r="EG120" i="56"/>
  <c r="EG119" i="56"/>
  <c r="EG118" i="56"/>
  <c r="EG117" i="56"/>
  <c r="EG116" i="56"/>
  <c r="EG115" i="56"/>
  <c r="EG114" i="56"/>
  <c r="EG113" i="56"/>
  <c r="EG112" i="56"/>
  <c r="EG111" i="56"/>
  <c r="EG110" i="56"/>
  <c r="EG109" i="56"/>
  <c r="EG108" i="56"/>
  <c r="EG107" i="56"/>
  <c r="EG106" i="56"/>
  <c r="EG105" i="56"/>
  <c r="EG104" i="56"/>
  <c r="EG103" i="56"/>
  <c r="EG102" i="56"/>
  <c r="EG101" i="56"/>
  <c r="EG100" i="56"/>
  <c r="EG99" i="56"/>
  <c r="EG98" i="56"/>
  <c r="EG97" i="56"/>
  <c r="EG96" i="56"/>
  <c r="EG95" i="56"/>
  <c r="EG94" i="56"/>
  <c r="EG93" i="56"/>
  <c r="EG92" i="56"/>
  <c r="EG91" i="56"/>
  <c r="EG90" i="56"/>
  <c r="EG89" i="56"/>
  <c r="EG88" i="56"/>
  <c r="EG87" i="56"/>
  <c r="EG86" i="56"/>
  <c r="EG85" i="56"/>
  <c r="EG84" i="56"/>
  <c r="EG83" i="56"/>
  <c r="EG82" i="56"/>
  <c r="EG81" i="56"/>
  <c r="EG80" i="56"/>
  <c r="EG79" i="56"/>
  <c r="EG78" i="56"/>
  <c r="EG77" i="56"/>
  <c r="EG76" i="56"/>
  <c r="EG75" i="56"/>
  <c r="EG74" i="56"/>
  <c r="EG73" i="56"/>
  <c r="EG72" i="56"/>
  <c r="EG71" i="56"/>
  <c r="EG70" i="56"/>
  <c r="EG69" i="56"/>
  <c r="EG68" i="56"/>
  <c r="EG67" i="56"/>
  <c r="EG66" i="56"/>
  <c r="EG65" i="56"/>
  <c r="EG64" i="56"/>
  <c r="EG63" i="56"/>
  <c r="EG62" i="56"/>
  <c r="EG61" i="56"/>
  <c r="EG60" i="56"/>
  <c r="EG59" i="56"/>
  <c r="EG58" i="56"/>
  <c r="EG57" i="56"/>
  <c r="EG56" i="56"/>
  <c r="EG55" i="56"/>
  <c r="EG54" i="56"/>
  <c r="EG53" i="56"/>
  <c r="EG52" i="56"/>
  <c r="EG51" i="56"/>
  <c r="EG50" i="56"/>
  <c r="EG49" i="56"/>
  <c r="EG48" i="56"/>
  <c r="EG47" i="56"/>
  <c r="EG46" i="56"/>
  <c r="EG45" i="56"/>
  <c r="EG44" i="56"/>
  <c r="EG43" i="56"/>
  <c r="EG42" i="56"/>
  <c r="EG41" i="56"/>
  <c r="EG40" i="56"/>
  <c r="EG39" i="56"/>
  <c r="EG38" i="56"/>
  <c r="EG37" i="56"/>
  <c r="EG36" i="56"/>
  <c r="EG35" i="56"/>
  <c r="EG34" i="56"/>
  <c r="EG33" i="56"/>
  <c r="EG32" i="56"/>
  <c r="EG31" i="56"/>
  <c r="EG30" i="56"/>
  <c r="EG29" i="56"/>
  <c r="EG28" i="56"/>
  <c r="EG27" i="56"/>
  <c r="EG26" i="56"/>
  <c r="EG25" i="56"/>
  <c r="EG24" i="56"/>
  <c r="EG23" i="56"/>
  <c r="EG22" i="56"/>
  <c r="EG21" i="56"/>
  <c r="EG20" i="56"/>
  <c r="EG19" i="56"/>
  <c r="EG18" i="56"/>
  <c r="EG17" i="56"/>
  <c r="EG16" i="56"/>
  <c r="EG15" i="56"/>
  <c r="EG14" i="56"/>
  <c r="EG13" i="56"/>
  <c r="EG12" i="56"/>
  <c r="EG11" i="56"/>
  <c r="EG10" i="56"/>
  <c r="EG9" i="56"/>
  <c r="EG8" i="56"/>
  <c r="EG7" i="56"/>
  <c r="EG6" i="56"/>
  <c r="EG5" i="56"/>
  <c r="DI124" i="56"/>
  <c r="DI123" i="56"/>
  <c r="DI122" i="56"/>
  <c r="DI121" i="56"/>
  <c r="DI120" i="56"/>
  <c r="DI119" i="56"/>
  <c r="DI118" i="56"/>
  <c r="DI117" i="56"/>
  <c r="DI116" i="56"/>
  <c r="DI115" i="56"/>
  <c r="DI114" i="56"/>
  <c r="DI113" i="56"/>
  <c r="DI112" i="56"/>
  <c r="DI111" i="56"/>
  <c r="DI110" i="56"/>
  <c r="DI109" i="56"/>
  <c r="DI108" i="56"/>
  <c r="DI107" i="56"/>
  <c r="DI106" i="56"/>
  <c r="DI105" i="56"/>
  <c r="DI104" i="56"/>
  <c r="DI103" i="56"/>
  <c r="DI102" i="56"/>
  <c r="DI101" i="56"/>
  <c r="DI100" i="56"/>
  <c r="DI99" i="56"/>
  <c r="DI98" i="56"/>
  <c r="DI97" i="56"/>
  <c r="DI96" i="56"/>
  <c r="DI95" i="56"/>
  <c r="DI94" i="56"/>
  <c r="DI93" i="56"/>
  <c r="DI92" i="56"/>
  <c r="DI91" i="56"/>
  <c r="DI90" i="56"/>
  <c r="DI89" i="56"/>
  <c r="DI88" i="56"/>
  <c r="DI87" i="56"/>
  <c r="DI86" i="56"/>
  <c r="DI85" i="56"/>
  <c r="DI84" i="56"/>
  <c r="DI83" i="56"/>
  <c r="DI82" i="56"/>
  <c r="DI81" i="56"/>
  <c r="DI80" i="56"/>
  <c r="DI79" i="56"/>
  <c r="DI78" i="56"/>
  <c r="DI77" i="56"/>
  <c r="DI76" i="56"/>
  <c r="DI75" i="56"/>
  <c r="DI74" i="56"/>
  <c r="DI73" i="56"/>
  <c r="DI72" i="56"/>
  <c r="DI71" i="56"/>
  <c r="DI70" i="56"/>
  <c r="DI69" i="56"/>
  <c r="DI68" i="56"/>
  <c r="DI67" i="56"/>
  <c r="DI66" i="56"/>
  <c r="DI65" i="56"/>
  <c r="DI64" i="56"/>
  <c r="DI63" i="56"/>
  <c r="DI62" i="56"/>
  <c r="DI61" i="56"/>
  <c r="DI60" i="56"/>
  <c r="DI59" i="56"/>
  <c r="DI58" i="56"/>
  <c r="DI57" i="56"/>
  <c r="DI56" i="56"/>
  <c r="DI55" i="56"/>
  <c r="DI54" i="56"/>
  <c r="DI53" i="56"/>
  <c r="DI52" i="56"/>
  <c r="DI51" i="56"/>
  <c r="DI50" i="56"/>
  <c r="DI49" i="56"/>
  <c r="DI48" i="56"/>
  <c r="DI47" i="56"/>
  <c r="DI46" i="56"/>
  <c r="DI45" i="56"/>
  <c r="DI44" i="56"/>
  <c r="DI43" i="56"/>
  <c r="DI42" i="56"/>
  <c r="DI41" i="56"/>
  <c r="DI40" i="56"/>
  <c r="DI39" i="56"/>
  <c r="DI38" i="56"/>
  <c r="DI37" i="56"/>
  <c r="DI36" i="56"/>
  <c r="DI35" i="56"/>
  <c r="DI34" i="56"/>
  <c r="DI33" i="56"/>
  <c r="DI32" i="56"/>
  <c r="DI31" i="56"/>
  <c r="DI30" i="56"/>
  <c r="DI29" i="56"/>
  <c r="DI28" i="56"/>
  <c r="DI27" i="56"/>
  <c r="DI26" i="56"/>
  <c r="DI25" i="56"/>
  <c r="DI24" i="56"/>
  <c r="DI23" i="56"/>
  <c r="DI22" i="56"/>
  <c r="DI21" i="56"/>
  <c r="DI20" i="56"/>
  <c r="DI19" i="56"/>
  <c r="DI18" i="56"/>
  <c r="DI17" i="56"/>
  <c r="DI16" i="56"/>
  <c r="DI15" i="56"/>
  <c r="DI14" i="56"/>
  <c r="DI13" i="56"/>
  <c r="DI12" i="56"/>
  <c r="DI11" i="56"/>
  <c r="DI10" i="56"/>
  <c r="DI9" i="56"/>
  <c r="DI8" i="56"/>
  <c r="DI7" i="56"/>
  <c r="DI6" i="56"/>
  <c r="DI5" i="56"/>
  <c r="DC124" i="56"/>
  <c r="DC123" i="56"/>
  <c r="DC122" i="56"/>
  <c r="DC121" i="56"/>
  <c r="DC120" i="56"/>
  <c r="DC119" i="56"/>
  <c r="DC118" i="56"/>
  <c r="DC117" i="56"/>
  <c r="DC116" i="56"/>
  <c r="DC115" i="56"/>
  <c r="DC114" i="56"/>
  <c r="DC113" i="56"/>
  <c r="DC112" i="56"/>
  <c r="DC111" i="56"/>
  <c r="DC110" i="56"/>
  <c r="DC109" i="56"/>
  <c r="DC108" i="56"/>
  <c r="DC107" i="56"/>
  <c r="DC106" i="56"/>
  <c r="DC105" i="56"/>
  <c r="DC104" i="56"/>
  <c r="DC103" i="56"/>
  <c r="DC102" i="56"/>
  <c r="DC101" i="56"/>
  <c r="DC100" i="56"/>
  <c r="DC99" i="56"/>
  <c r="DC98" i="56"/>
  <c r="DC97" i="56"/>
  <c r="DC96" i="56"/>
  <c r="DC95" i="56"/>
  <c r="DC94" i="56"/>
  <c r="DC93" i="56"/>
  <c r="DC92" i="56"/>
  <c r="DC91" i="56"/>
  <c r="DC90" i="56"/>
  <c r="DC89" i="56"/>
  <c r="DC88" i="56"/>
  <c r="DC87" i="56"/>
  <c r="DC86" i="56"/>
  <c r="DC85" i="56"/>
  <c r="DC84" i="56"/>
  <c r="DC83" i="56"/>
  <c r="DC82" i="56"/>
  <c r="DC81" i="56"/>
  <c r="DC80" i="56"/>
  <c r="DC79" i="56"/>
  <c r="DC78" i="56"/>
  <c r="DC77" i="56"/>
  <c r="DC76" i="56"/>
  <c r="DC75" i="56"/>
  <c r="DC74" i="56"/>
  <c r="DC73" i="56"/>
  <c r="DC72" i="56"/>
  <c r="DC71" i="56"/>
  <c r="DC70" i="56"/>
  <c r="DC69" i="56"/>
  <c r="DC68" i="56"/>
  <c r="DC67" i="56"/>
  <c r="DC66" i="56"/>
  <c r="DC65" i="56"/>
  <c r="DC64" i="56"/>
  <c r="DC63" i="56"/>
  <c r="DC62" i="56"/>
  <c r="DC61" i="56"/>
  <c r="DC60" i="56"/>
  <c r="DC59" i="56"/>
  <c r="DC58" i="56"/>
  <c r="DC57" i="56"/>
  <c r="DC56" i="56"/>
  <c r="DC55" i="56"/>
  <c r="DC54" i="56"/>
  <c r="DC53" i="56"/>
  <c r="DC52" i="56"/>
  <c r="DC51" i="56"/>
  <c r="DC50" i="56"/>
  <c r="DC49" i="56"/>
  <c r="DC48" i="56"/>
  <c r="DC47" i="56"/>
  <c r="DC46" i="56"/>
  <c r="DC45" i="56"/>
  <c r="DC44" i="56"/>
  <c r="DC43" i="56"/>
  <c r="DC42" i="56"/>
  <c r="DC41" i="56"/>
  <c r="DC40" i="56"/>
  <c r="DC39" i="56"/>
  <c r="DC38" i="56"/>
  <c r="DC37" i="56"/>
  <c r="DC36" i="56"/>
  <c r="DC35" i="56"/>
  <c r="DC34" i="56"/>
  <c r="DC33" i="56"/>
  <c r="DC32" i="56"/>
  <c r="DC31" i="56"/>
  <c r="DC30" i="56"/>
  <c r="DC29" i="56"/>
  <c r="DC28" i="56"/>
  <c r="DC27" i="56"/>
  <c r="DC26" i="56"/>
  <c r="DC25" i="56"/>
  <c r="DC24" i="56"/>
  <c r="DC23" i="56"/>
  <c r="DC22" i="56"/>
  <c r="DC21" i="56"/>
  <c r="DC20" i="56"/>
  <c r="DC19" i="56"/>
  <c r="DC18" i="56"/>
  <c r="DC17" i="56"/>
  <c r="DC16" i="56"/>
  <c r="DC15" i="56"/>
  <c r="DC14" i="56"/>
  <c r="DC13" i="56"/>
  <c r="DC12" i="56"/>
  <c r="DC11" i="56"/>
  <c r="DC10" i="56"/>
  <c r="DC9" i="56"/>
  <c r="DC8" i="56"/>
  <c r="DC7" i="56"/>
  <c r="DC6" i="56"/>
  <c r="DC5" i="56"/>
  <c r="CW124" i="56"/>
  <c r="CW123" i="56"/>
  <c r="CW122" i="56"/>
  <c r="CW121" i="56"/>
  <c r="CW120" i="56"/>
  <c r="CW119" i="56"/>
  <c r="CW118" i="56"/>
  <c r="CW117" i="56"/>
  <c r="CW116" i="56"/>
  <c r="CW115" i="56"/>
  <c r="CW114" i="56"/>
  <c r="CW113" i="56"/>
  <c r="CW112" i="56"/>
  <c r="CW111" i="56"/>
  <c r="CW110" i="56"/>
  <c r="CW109" i="56"/>
  <c r="CW108" i="56"/>
  <c r="CW107" i="56"/>
  <c r="CW106" i="56"/>
  <c r="CW105" i="56"/>
  <c r="CW104" i="56"/>
  <c r="CW103" i="56"/>
  <c r="CW102" i="56"/>
  <c r="CW101" i="56"/>
  <c r="CW100" i="56"/>
  <c r="CW99" i="56"/>
  <c r="CW98" i="56"/>
  <c r="CW97" i="56"/>
  <c r="CW96" i="56"/>
  <c r="CW95" i="56"/>
  <c r="CW94" i="56"/>
  <c r="CW93" i="56"/>
  <c r="CW92" i="56"/>
  <c r="CW91" i="56"/>
  <c r="CW90" i="56"/>
  <c r="CW89" i="56"/>
  <c r="CW88" i="56"/>
  <c r="CW87" i="56"/>
  <c r="CW86" i="56"/>
  <c r="CW85" i="56"/>
  <c r="CW84" i="56"/>
  <c r="CW83" i="56"/>
  <c r="CW82" i="56"/>
  <c r="CW81" i="56"/>
  <c r="CW80" i="56"/>
  <c r="CW79" i="56"/>
  <c r="CW78" i="56"/>
  <c r="CW77" i="56"/>
  <c r="CW76" i="56"/>
  <c r="CW75" i="56"/>
  <c r="CW74" i="56"/>
  <c r="CW73" i="56"/>
  <c r="CW72" i="56"/>
  <c r="CW71" i="56"/>
  <c r="CW70" i="56"/>
  <c r="CW69" i="56"/>
  <c r="CW68" i="56"/>
  <c r="CW67" i="56"/>
  <c r="CW66" i="56"/>
  <c r="CW65" i="56"/>
  <c r="CW64" i="56"/>
  <c r="CW63" i="56"/>
  <c r="CW62" i="56"/>
  <c r="CW61" i="56"/>
  <c r="CW60" i="56"/>
  <c r="CW59" i="56"/>
  <c r="CW58" i="56"/>
  <c r="CW57" i="56"/>
  <c r="CW56" i="56"/>
  <c r="CW55" i="56"/>
  <c r="CW54" i="56"/>
  <c r="CW53" i="56"/>
  <c r="CW52" i="56"/>
  <c r="CW51" i="56"/>
  <c r="CW50" i="56"/>
  <c r="CW49" i="56"/>
  <c r="CW48" i="56"/>
  <c r="CW47" i="56"/>
  <c r="CW46" i="56"/>
  <c r="CW45" i="56"/>
  <c r="CW44" i="56"/>
  <c r="CW43" i="56"/>
  <c r="CW42" i="56"/>
  <c r="CW41" i="56"/>
  <c r="CW40" i="56"/>
  <c r="CW39" i="56"/>
  <c r="CW38" i="56"/>
  <c r="CW37" i="56"/>
  <c r="CW36" i="56"/>
  <c r="CW35" i="56"/>
  <c r="CW34" i="56"/>
  <c r="CW33" i="56"/>
  <c r="CW32" i="56"/>
  <c r="CW31" i="56"/>
  <c r="CW30" i="56"/>
  <c r="CW29" i="56"/>
  <c r="CW28" i="56"/>
  <c r="CW27" i="56"/>
  <c r="CW26" i="56"/>
  <c r="CW25" i="56"/>
  <c r="CW24" i="56"/>
  <c r="CW23" i="56"/>
  <c r="CW22" i="56"/>
  <c r="CW21" i="56"/>
  <c r="CW20" i="56"/>
  <c r="CW19" i="56"/>
  <c r="CW18" i="56"/>
  <c r="CW17" i="56"/>
  <c r="CW16" i="56"/>
  <c r="CW15" i="56"/>
  <c r="CW14" i="56"/>
  <c r="CW13" i="56"/>
  <c r="CW12" i="56"/>
  <c r="CW11" i="56"/>
  <c r="CW10" i="56"/>
  <c r="CW9" i="56"/>
  <c r="CW8" i="56"/>
  <c r="CW7" i="56"/>
  <c r="CW6" i="56"/>
  <c r="CW5" i="56"/>
  <c r="CQ124" i="56"/>
  <c r="CQ123" i="56"/>
  <c r="CQ122" i="56"/>
  <c r="CQ121" i="56"/>
  <c r="CQ120" i="56"/>
  <c r="CQ119" i="56"/>
  <c r="CQ118" i="56"/>
  <c r="CQ117" i="56"/>
  <c r="CQ116" i="56"/>
  <c r="CQ115" i="56"/>
  <c r="CQ114" i="56"/>
  <c r="CQ113" i="56"/>
  <c r="CQ112" i="56"/>
  <c r="CQ111" i="56"/>
  <c r="CQ110" i="56"/>
  <c r="CQ109" i="56"/>
  <c r="CQ108" i="56"/>
  <c r="CQ107" i="56"/>
  <c r="CQ106" i="56"/>
  <c r="CQ105" i="56"/>
  <c r="CQ104" i="56"/>
  <c r="CQ103" i="56"/>
  <c r="CQ102" i="56"/>
  <c r="CQ101" i="56"/>
  <c r="CQ100" i="56"/>
  <c r="CQ99" i="56"/>
  <c r="CQ98" i="56"/>
  <c r="CQ97" i="56"/>
  <c r="CQ96" i="56"/>
  <c r="CQ95" i="56"/>
  <c r="CQ94" i="56"/>
  <c r="CQ93" i="56"/>
  <c r="CQ92" i="56"/>
  <c r="CQ91" i="56"/>
  <c r="CQ90" i="56"/>
  <c r="CQ89" i="56"/>
  <c r="CQ88" i="56"/>
  <c r="CQ87" i="56"/>
  <c r="CQ86" i="56"/>
  <c r="CQ85" i="56"/>
  <c r="CQ84" i="56"/>
  <c r="CQ83" i="56"/>
  <c r="CQ82" i="56"/>
  <c r="CQ81" i="56"/>
  <c r="CQ80" i="56"/>
  <c r="CQ79" i="56"/>
  <c r="CQ78" i="56"/>
  <c r="CQ77" i="56"/>
  <c r="CQ76" i="56"/>
  <c r="CQ75" i="56"/>
  <c r="CQ74" i="56"/>
  <c r="CQ73" i="56"/>
  <c r="CQ72" i="56"/>
  <c r="CQ71" i="56"/>
  <c r="CQ70" i="56"/>
  <c r="CQ69" i="56"/>
  <c r="CQ68" i="56"/>
  <c r="CQ67" i="56"/>
  <c r="CQ66" i="56"/>
  <c r="CQ65" i="56"/>
  <c r="CQ64" i="56"/>
  <c r="CQ63" i="56"/>
  <c r="CQ62" i="56"/>
  <c r="CQ61" i="56"/>
  <c r="CQ60" i="56"/>
  <c r="CQ59" i="56"/>
  <c r="CQ58" i="56"/>
  <c r="CQ57" i="56"/>
  <c r="CQ56" i="56"/>
  <c r="CQ55" i="56"/>
  <c r="CQ54" i="56"/>
  <c r="CQ53" i="56"/>
  <c r="CQ52" i="56"/>
  <c r="CQ51" i="56"/>
  <c r="CQ50" i="56"/>
  <c r="CQ49" i="56"/>
  <c r="CQ48" i="56"/>
  <c r="CQ47" i="56"/>
  <c r="CQ46" i="56"/>
  <c r="CQ45" i="56"/>
  <c r="CQ44" i="56"/>
  <c r="CQ43" i="56"/>
  <c r="CQ42" i="56"/>
  <c r="CQ41" i="56"/>
  <c r="CQ40" i="56"/>
  <c r="CQ39" i="56"/>
  <c r="CQ38" i="56"/>
  <c r="CQ37" i="56"/>
  <c r="CQ36" i="56"/>
  <c r="CQ35" i="56"/>
  <c r="CQ34" i="56"/>
  <c r="CQ33" i="56"/>
  <c r="CQ32" i="56"/>
  <c r="CQ31" i="56"/>
  <c r="CQ30" i="56"/>
  <c r="CQ29" i="56"/>
  <c r="CQ28" i="56"/>
  <c r="CQ27" i="56"/>
  <c r="CQ26" i="56"/>
  <c r="CQ25" i="56"/>
  <c r="CQ24" i="56"/>
  <c r="CQ23" i="56"/>
  <c r="CQ22" i="56"/>
  <c r="CQ21" i="56"/>
  <c r="CQ20" i="56"/>
  <c r="CQ19" i="56"/>
  <c r="CQ18" i="56"/>
  <c r="CQ17" i="56"/>
  <c r="CQ16" i="56"/>
  <c r="CQ15" i="56"/>
  <c r="CQ14" i="56"/>
  <c r="CQ13" i="56"/>
  <c r="CQ12" i="56"/>
  <c r="CQ11" i="56"/>
  <c r="CQ10" i="56"/>
  <c r="CQ9" i="56"/>
  <c r="CQ8" i="56"/>
  <c r="CQ7" i="56"/>
  <c r="CQ6" i="56"/>
  <c r="CQ5" i="56"/>
  <c r="CK124" i="56"/>
  <c r="CK123" i="56"/>
  <c r="CK122" i="56"/>
  <c r="CK121" i="56"/>
  <c r="CK120" i="56"/>
  <c r="CK119" i="56"/>
  <c r="CK118" i="56"/>
  <c r="CK117" i="56"/>
  <c r="CK116" i="56"/>
  <c r="CK115" i="56"/>
  <c r="CK114" i="56"/>
  <c r="CK113" i="56"/>
  <c r="CK112" i="56"/>
  <c r="CK111" i="56"/>
  <c r="CK110" i="56"/>
  <c r="CK109" i="56"/>
  <c r="CK108" i="56"/>
  <c r="CK107" i="56"/>
  <c r="CK106" i="56"/>
  <c r="CK105" i="56"/>
  <c r="CK104" i="56"/>
  <c r="CK103" i="56"/>
  <c r="CK102" i="56"/>
  <c r="CK101" i="56"/>
  <c r="CK100" i="56"/>
  <c r="CK99" i="56"/>
  <c r="CK98" i="56"/>
  <c r="CK97" i="56"/>
  <c r="CK96" i="56"/>
  <c r="CK95" i="56"/>
  <c r="CK94" i="56"/>
  <c r="CK93" i="56"/>
  <c r="CK92" i="56"/>
  <c r="CK91" i="56"/>
  <c r="CK90" i="56"/>
  <c r="CK89" i="56"/>
  <c r="CK88" i="56"/>
  <c r="CK87" i="56"/>
  <c r="CK86" i="56"/>
  <c r="CK85" i="56"/>
  <c r="CK84" i="56"/>
  <c r="CK83" i="56"/>
  <c r="CK82" i="56"/>
  <c r="CK81" i="56"/>
  <c r="CK80" i="56"/>
  <c r="CK79" i="56"/>
  <c r="CK78" i="56"/>
  <c r="CK77" i="56"/>
  <c r="CK76" i="56"/>
  <c r="CK75" i="56"/>
  <c r="CK74" i="56"/>
  <c r="CK73" i="56"/>
  <c r="CK72" i="56"/>
  <c r="CK71" i="56"/>
  <c r="CK70" i="56"/>
  <c r="CK69" i="56"/>
  <c r="CK68" i="56"/>
  <c r="CK67" i="56"/>
  <c r="CK66" i="56"/>
  <c r="CK65" i="56"/>
  <c r="CK64" i="56"/>
  <c r="CK63" i="56"/>
  <c r="CK62" i="56"/>
  <c r="CK61" i="56"/>
  <c r="CK60" i="56"/>
  <c r="CK59" i="56"/>
  <c r="CK58" i="56"/>
  <c r="CK57" i="56"/>
  <c r="CK56" i="56"/>
  <c r="CK55" i="56"/>
  <c r="CK54" i="56"/>
  <c r="CK53" i="56"/>
  <c r="CK52" i="56"/>
  <c r="CK51" i="56"/>
  <c r="CK50" i="56"/>
  <c r="CK49" i="56"/>
  <c r="CK48" i="56"/>
  <c r="CK47" i="56"/>
  <c r="CK46" i="56"/>
  <c r="CK45" i="56"/>
  <c r="CK44" i="56"/>
  <c r="CK43" i="56"/>
  <c r="CK42" i="56"/>
  <c r="CK41" i="56"/>
  <c r="CK40" i="56"/>
  <c r="CK39" i="56"/>
  <c r="CK38" i="56"/>
  <c r="CK37" i="56"/>
  <c r="CK36" i="56"/>
  <c r="CK35" i="56"/>
  <c r="CK34" i="56"/>
  <c r="CK33" i="56"/>
  <c r="CK32" i="56"/>
  <c r="CK31" i="56"/>
  <c r="CK30" i="56"/>
  <c r="CK29" i="56"/>
  <c r="CK28" i="56"/>
  <c r="CK27" i="56"/>
  <c r="CK26" i="56"/>
  <c r="CK25" i="56"/>
  <c r="CK24" i="56"/>
  <c r="CK23" i="56"/>
  <c r="CK22" i="56"/>
  <c r="CK21" i="56"/>
  <c r="CK20" i="56"/>
  <c r="CK19" i="56"/>
  <c r="CK18" i="56"/>
  <c r="CK17" i="56"/>
  <c r="CK16" i="56"/>
  <c r="CK15" i="56"/>
  <c r="CK14" i="56"/>
  <c r="CK13" i="56"/>
  <c r="CK12" i="56"/>
  <c r="CK11" i="56"/>
  <c r="CK10" i="56"/>
  <c r="CK9" i="56"/>
  <c r="CK8" i="56"/>
  <c r="CK7" i="56"/>
  <c r="CK6" i="56"/>
  <c r="CK5" i="56"/>
  <c r="CE124" i="56"/>
  <c r="CE123" i="56"/>
  <c r="CE122" i="56"/>
  <c r="CE121" i="56"/>
  <c r="CE120" i="56"/>
  <c r="CE119" i="56"/>
  <c r="CE118" i="56"/>
  <c r="CE117" i="56"/>
  <c r="CE116" i="56"/>
  <c r="CE115" i="56"/>
  <c r="CE114" i="56"/>
  <c r="CE113" i="56"/>
  <c r="CE112" i="56"/>
  <c r="CE111" i="56"/>
  <c r="CE110" i="56"/>
  <c r="CE109" i="56"/>
  <c r="CE108" i="56"/>
  <c r="CE107" i="56"/>
  <c r="CE106" i="56"/>
  <c r="CE105" i="56"/>
  <c r="CE104" i="56"/>
  <c r="CE103" i="56"/>
  <c r="CE102" i="56"/>
  <c r="CE101" i="56"/>
  <c r="CE100" i="56"/>
  <c r="CE99" i="56"/>
  <c r="CE98" i="56"/>
  <c r="CE97" i="56"/>
  <c r="CE96" i="56"/>
  <c r="CE95" i="56"/>
  <c r="CE94" i="56"/>
  <c r="CE93" i="56"/>
  <c r="CE92" i="56"/>
  <c r="CE91" i="56"/>
  <c r="CE90" i="56"/>
  <c r="CE89" i="56"/>
  <c r="CE88" i="56"/>
  <c r="CE87" i="56"/>
  <c r="CE86" i="56"/>
  <c r="CE85" i="56"/>
  <c r="CE84" i="56"/>
  <c r="CE83" i="56"/>
  <c r="CE82" i="56"/>
  <c r="CE81" i="56"/>
  <c r="CE80" i="56"/>
  <c r="CE79" i="56"/>
  <c r="CE78" i="56"/>
  <c r="CE77" i="56"/>
  <c r="CE76" i="56"/>
  <c r="CE75" i="56"/>
  <c r="CE74" i="56"/>
  <c r="CE73" i="56"/>
  <c r="CE72" i="56"/>
  <c r="CE71" i="56"/>
  <c r="CE70" i="56"/>
  <c r="CE69" i="56"/>
  <c r="CE68" i="56"/>
  <c r="CE67" i="56"/>
  <c r="CE66" i="56"/>
  <c r="CE65" i="56"/>
  <c r="CE64" i="56"/>
  <c r="CE63" i="56"/>
  <c r="CE62" i="56"/>
  <c r="CE61" i="56"/>
  <c r="CE60" i="56"/>
  <c r="CE59" i="56"/>
  <c r="CE58" i="56"/>
  <c r="CE57" i="56"/>
  <c r="CE56" i="56"/>
  <c r="CE55" i="56"/>
  <c r="CE54" i="56"/>
  <c r="CE53" i="56"/>
  <c r="CE52" i="56"/>
  <c r="CE51" i="56"/>
  <c r="CE50" i="56"/>
  <c r="CE49" i="56"/>
  <c r="CE48" i="56"/>
  <c r="CE47" i="56"/>
  <c r="CE46" i="56"/>
  <c r="CE45" i="56"/>
  <c r="CE44" i="56"/>
  <c r="CE43" i="56"/>
  <c r="CE42" i="56"/>
  <c r="CE41" i="56"/>
  <c r="CE40" i="56"/>
  <c r="CE39" i="56"/>
  <c r="CE38" i="56"/>
  <c r="CE37" i="56"/>
  <c r="CE36" i="56"/>
  <c r="CE35" i="56"/>
  <c r="CE34" i="56"/>
  <c r="CE33" i="56"/>
  <c r="CE32" i="56"/>
  <c r="CE31" i="56"/>
  <c r="CE30" i="56"/>
  <c r="CE29" i="56"/>
  <c r="CE28" i="56"/>
  <c r="CE27" i="56"/>
  <c r="CE26" i="56"/>
  <c r="CE25" i="56"/>
  <c r="CE24" i="56"/>
  <c r="CE23" i="56"/>
  <c r="CE22" i="56"/>
  <c r="CE21" i="56"/>
  <c r="CE20" i="56"/>
  <c r="CE19" i="56"/>
  <c r="CE18" i="56"/>
  <c r="CE17" i="56"/>
  <c r="CE16" i="56"/>
  <c r="CE15" i="56"/>
  <c r="CE14" i="56"/>
  <c r="CE13" i="56"/>
  <c r="CE12" i="56"/>
  <c r="CE11" i="56"/>
  <c r="CE10" i="56"/>
  <c r="CE9" i="56"/>
  <c r="CE8" i="56"/>
  <c r="CE7" i="56"/>
  <c r="CE6" i="56"/>
  <c r="CE5" i="56"/>
  <c r="BY124" i="56"/>
  <c r="BY123" i="56"/>
  <c r="BY122" i="56"/>
  <c r="BY121" i="56"/>
  <c r="BY120" i="56"/>
  <c r="BY119" i="56"/>
  <c r="BY118" i="56"/>
  <c r="BY117" i="56"/>
  <c r="BY116" i="56"/>
  <c r="BY115" i="56"/>
  <c r="BY114" i="56"/>
  <c r="BY113" i="56"/>
  <c r="BY112" i="56"/>
  <c r="BY111" i="56"/>
  <c r="BY110" i="56"/>
  <c r="BY109" i="56"/>
  <c r="BY108" i="56"/>
  <c r="BY107" i="56"/>
  <c r="BY106" i="56"/>
  <c r="BY105" i="56"/>
  <c r="BY104" i="56"/>
  <c r="BY103" i="56"/>
  <c r="BY102" i="56"/>
  <c r="BY101" i="56"/>
  <c r="BY100" i="56"/>
  <c r="BY99" i="56"/>
  <c r="BY98" i="56"/>
  <c r="BY97" i="56"/>
  <c r="BY96" i="56"/>
  <c r="BY95" i="56"/>
  <c r="BY94" i="56"/>
  <c r="BY93" i="56"/>
  <c r="BY92" i="56"/>
  <c r="BY91" i="56"/>
  <c r="BY90" i="56"/>
  <c r="BY89" i="56"/>
  <c r="BY88" i="56"/>
  <c r="BY87" i="56"/>
  <c r="BY86" i="56"/>
  <c r="BY85" i="56"/>
  <c r="BY84" i="56"/>
  <c r="BY83" i="56"/>
  <c r="BY82" i="56"/>
  <c r="BY81" i="56"/>
  <c r="BY80" i="56"/>
  <c r="BY79" i="56"/>
  <c r="BY78" i="56"/>
  <c r="BY77" i="56"/>
  <c r="BY76" i="56"/>
  <c r="BY75" i="56"/>
  <c r="BY74" i="56"/>
  <c r="BY73" i="56"/>
  <c r="BY72" i="56"/>
  <c r="BY71" i="56"/>
  <c r="BY70" i="56"/>
  <c r="BY69" i="56"/>
  <c r="BY68" i="56"/>
  <c r="BY67" i="56"/>
  <c r="BY66" i="56"/>
  <c r="BY65" i="56"/>
  <c r="BY64" i="56"/>
  <c r="BY63" i="56"/>
  <c r="BY62" i="56"/>
  <c r="BY61" i="56"/>
  <c r="BY60" i="56"/>
  <c r="BY59" i="56"/>
  <c r="BY58" i="56"/>
  <c r="BY57" i="56"/>
  <c r="BY56" i="56"/>
  <c r="BY55" i="56"/>
  <c r="BY54" i="56"/>
  <c r="BY53" i="56"/>
  <c r="BY52" i="56"/>
  <c r="BY51" i="56"/>
  <c r="BY50" i="56"/>
  <c r="BY49" i="56"/>
  <c r="BY48" i="56"/>
  <c r="BY47" i="56"/>
  <c r="BY46" i="56"/>
  <c r="BY45" i="56"/>
  <c r="BY44" i="56"/>
  <c r="BY43" i="56"/>
  <c r="BY42" i="56"/>
  <c r="BY41" i="56"/>
  <c r="BY40" i="56"/>
  <c r="BY39" i="56"/>
  <c r="BY38" i="56"/>
  <c r="BY37" i="56"/>
  <c r="BY36" i="56"/>
  <c r="BY35" i="56"/>
  <c r="BY34" i="56"/>
  <c r="BY33" i="56"/>
  <c r="BY32" i="56"/>
  <c r="BY31" i="56"/>
  <c r="BY30" i="56"/>
  <c r="BY29" i="56"/>
  <c r="BY28" i="56"/>
  <c r="BY27" i="56"/>
  <c r="BY26" i="56"/>
  <c r="BY25" i="56"/>
  <c r="BY24" i="56"/>
  <c r="BY23" i="56"/>
  <c r="BY22" i="56"/>
  <c r="BY21" i="56"/>
  <c r="BY20" i="56"/>
  <c r="BY19" i="56"/>
  <c r="BY18" i="56"/>
  <c r="BY17" i="56"/>
  <c r="BY16" i="56"/>
  <c r="BY15" i="56"/>
  <c r="BY14" i="56"/>
  <c r="BY13" i="56"/>
  <c r="BY12" i="56"/>
  <c r="BY11" i="56"/>
  <c r="BY10" i="56"/>
  <c r="BY9" i="56"/>
  <c r="BY8" i="56"/>
  <c r="BY7" i="56"/>
  <c r="BY6" i="56"/>
  <c r="BY5" i="56"/>
  <c r="BM124" i="56"/>
  <c r="BM123" i="56"/>
  <c r="BM122" i="56"/>
  <c r="BM121" i="56"/>
  <c r="BM120" i="56"/>
  <c r="BM119" i="56"/>
  <c r="BM118" i="56"/>
  <c r="BM117" i="56"/>
  <c r="BM116" i="56"/>
  <c r="BM115" i="56"/>
  <c r="BM114" i="56"/>
  <c r="BM113" i="56"/>
  <c r="BM112" i="56"/>
  <c r="BM111" i="56"/>
  <c r="BM110" i="56"/>
  <c r="BM109" i="56"/>
  <c r="BM108" i="56"/>
  <c r="BM107" i="56"/>
  <c r="BM106" i="56"/>
  <c r="BM105" i="56"/>
  <c r="BM104" i="56"/>
  <c r="BM103" i="56"/>
  <c r="BM102" i="56"/>
  <c r="BM101" i="56"/>
  <c r="BM100" i="56"/>
  <c r="BM99" i="56"/>
  <c r="BM98" i="56"/>
  <c r="BM97" i="56"/>
  <c r="BM96" i="56"/>
  <c r="BM95" i="56"/>
  <c r="BM94" i="56"/>
  <c r="BM93" i="56"/>
  <c r="BM92" i="56"/>
  <c r="BM91" i="56"/>
  <c r="BM90" i="56"/>
  <c r="BM89" i="56"/>
  <c r="BM88" i="56"/>
  <c r="BM87" i="56"/>
  <c r="BM86" i="56"/>
  <c r="BM85" i="56"/>
  <c r="BM84" i="56"/>
  <c r="BM83" i="56"/>
  <c r="BM82" i="56"/>
  <c r="BM81" i="56"/>
  <c r="BM80" i="56"/>
  <c r="BM79" i="56"/>
  <c r="BM78" i="56"/>
  <c r="BM77" i="56"/>
  <c r="BM76" i="56"/>
  <c r="BM75" i="56"/>
  <c r="BM74" i="56"/>
  <c r="BM73" i="56"/>
  <c r="BM72" i="56"/>
  <c r="BM71" i="56"/>
  <c r="BM70" i="56"/>
  <c r="BM69" i="56"/>
  <c r="BM68" i="56"/>
  <c r="BM67" i="56"/>
  <c r="BM66" i="56"/>
  <c r="BM65" i="56"/>
  <c r="BM64" i="56"/>
  <c r="BM63" i="56"/>
  <c r="BM62" i="56"/>
  <c r="BM61" i="56"/>
  <c r="BM60" i="56"/>
  <c r="BM59" i="56"/>
  <c r="BM58" i="56"/>
  <c r="BM57" i="56"/>
  <c r="BM56" i="56"/>
  <c r="BM55" i="56"/>
  <c r="BM54" i="56"/>
  <c r="BM53" i="56"/>
  <c r="BM52" i="56"/>
  <c r="BM51" i="56"/>
  <c r="BM50" i="56"/>
  <c r="BM49" i="56"/>
  <c r="BM48" i="56"/>
  <c r="BM47" i="56"/>
  <c r="BM46" i="56"/>
  <c r="BM45" i="56"/>
  <c r="BM44" i="56"/>
  <c r="BM43" i="56"/>
  <c r="BM42" i="56"/>
  <c r="BM41" i="56"/>
  <c r="BM40" i="56"/>
  <c r="BM39" i="56"/>
  <c r="BM38" i="56"/>
  <c r="BM37" i="56"/>
  <c r="BM36" i="56"/>
  <c r="BM35" i="56"/>
  <c r="BM34" i="56"/>
  <c r="BM33" i="56"/>
  <c r="BM32" i="56"/>
  <c r="BM31" i="56"/>
  <c r="BM30" i="56"/>
  <c r="BM29" i="56"/>
  <c r="BM28" i="56"/>
  <c r="BM27" i="56"/>
  <c r="BM26" i="56"/>
  <c r="BM25" i="56"/>
  <c r="BM24" i="56"/>
  <c r="BM23" i="56"/>
  <c r="BM22" i="56"/>
  <c r="BM21" i="56"/>
  <c r="BM20" i="56"/>
  <c r="BM19" i="56"/>
  <c r="BM18" i="56"/>
  <c r="BM17" i="56"/>
  <c r="BM16" i="56"/>
  <c r="BM15" i="56"/>
  <c r="BM14" i="56"/>
  <c r="BM13" i="56"/>
  <c r="BM12" i="56"/>
  <c r="BM11" i="56"/>
  <c r="BM10" i="56"/>
  <c r="BM9" i="56"/>
  <c r="BM8" i="56"/>
  <c r="BM7" i="56"/>
  <c r="BM6" i="56"/>
  <c r="BM5" i="56"/>
  <c r="BG124" i="56"/>
  <c r="BG123" i="56"/>
  <c r="BG122" i="56"/>
  <c r="BG121" i="56"/>
  <c r="BG120" i="56"/>
  <c r="BG119" i="56"/>
  <c r="BG118" i="56"/>
  <c r="BG117" i="56"/>
  <c r="BG116" i="56"/>
  <c r="BG115" i="56"/>
  <c r="BG114" i="56"/>
  <c r="BG113" i="56"/>
  <c r="BG112" i="56"/>
  <c r="BG111" i="56"/>
  <c r="BG110" i="56"/>
  <c r="BG109" i="56"/>
  <c r="BG108" i="56"/>
  <c r="BG107" i="56"/>
  <c r="BG106" i="56"/>
  <c r="BG105" i="56"/>
  <c r="BG104" i="56"/>
  <c r="BG103" i="56"/>
  <c r="BG102" i="56"/>
  <c r="BG101" i="56"/>
  <c r="BG100" i="56"/>
  <c r="BG99" i="56"/>
  <c r="BG98" i="56"/>
  <c r="BG97" i="56"/>
  <c r="BG96" i="56"/>
  <c r="BG95" i="56"/>
  <c r="BG94" i="56"/>
  <c r="BG93" i="56"/>
  <c r="BG92" i="56"/>
  <c r="BG91" i="56"/>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2"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9" i="56"/>
  <c r="BG28" i="56"/>
  <c r="BG27" i="56"/>
  <c r="BG26" i="56"/>
  <c r="BG25" i="56"/>
  <c r="BG24" i="56"/>
  <c r="BG23" i="56"/>
  <c r="BG22" i="56"/>
  <c r="BG21" i="56"/>
  <c r="BG20" i="56"/>
  <c r="BG19" i="56"/>
  <c r="BG18" i="56"/>
  <c r="BG17" i="56"/>
  <c r="BG16" i="56"/>
  <c r="BG15" i="56"/>
  <c r="BG14" i="56"/>
  <c r="BG13" i="56"/>
  <c r="BG12" i="56"/>
  <c r="BG11" i="56"/>
  <c r="BG10" i="56"/>
  <c r="BG9" i="56"/>
  <c r="BG8" i="56"/>
  <c r="BG7" i="56"/>
  <c r="BG6" i="56"/>
  <c r="BG5" i="56"/>
  <c r="BA124" i="56"/>
  <c r="BA123" i="56"/>
  <c r="BA122" i="56"/>
  <c r="BA121" i="56"/>
  <c r="BA120" i="56"/>
  <c r="BA119" i="56"/>
  <c r="BA118" i="56"/>
  <c r="BA117" i="56"/>
  <c r="BA116" i="56"/>
  <c r="BA115" i="56"/>
  <c r="BA114" i="56"/>
  <c r="BA113" i="56"/>
  <c r="BA112" i="56"/>
  <c r="BA111" i="56"/>
  <c r="BA110" i="56"/>
  <c r="BA109" i="56"/>
  <c r="BA108" i="56"/>
  <c r="BA107" i="56"/>
  <c r="BA106" i="56"/>
  <c r="BA105" i="56"/>
  <c r="BA104" i="56"/>
  <c r="BA103" i="56"/>
  <c r="BA102" i="56"/>
  <c r="BA101" i="56"/>
  <c r="BA100" i="56"/>
  <c r="BA99" i="56"/>
  <c r="BA98" i="56"/>
  <c r="BA97" i="56"/>
  <c r="BA96" i="56"/>
  <c r="BA95" i="56"/>
  <c r="BA94" i="56"/>
  <c r="BA93" i="56"/>
  <c r="BA92" i="56"/>
  <c r="BA91" i="56"/>
  <c r="BA90" i="56"/>
  <c r="BA89" i="56"/>
  <c r="BA88" i="56"/>
  <c r="BA87" i="56"/>
  <c r="BA86" i="56"/>
  <c r="BA85" i="56"/>
  <c r="BA84" i="56"/>
  <c r="BA83" i="56"/>
  <c r="BA82" i="56"/>
  <c r="BA81" i="56"/>
  <c r="BA80" i="56"/>
  <c r="BA79" i="56"/>
  <c r="BA78" i="56"/>
  <c r="BA77" i="56"/>
  <c r="BA76" i="56"/>
  <c r="BA75" i="56"/>
  <c r="BA74" i="56"/>
  <c r="BA73" i="56"/>
  <c r="BA72" i="56"/>
  <c r="BA71" i="56"/>
  <c r="BA70" i="56"/>
  <c r="BA69" i="56"/>
  <c r="BA68" i="56"/>
  <c r="BA67" i="56"/>
  <c r="BA66" i="56"/>
  <c r="BA65" i="56"/>
  <c r="BA64" i="56"/>
  <c r="BA63" i="56"/>
  <c r="BA62" i="56"/>
  <c r="BA61" i="56"/>
  <c r="BA60" i="56"/>
  <c r="BA59" i="56"/>
  <c r="BA58" i="56"/>
  <c r="BA57" i="56"/>
  <c r="BA56" i="56"/>
  <c r="BA55" i="56"/>
  <c r="BA54" i="56"/>
  <c r="BA53" i="56"/>
  <c r="BA52" i="56"/>
  <c r="BA51" i="56"/>
  <c r="BA50" i="56"/>
  <c r="BA49" i="56"/>
  <c r="BA48" i="56"/>
  <c r="BA47" i="56"/>
  <c r="BA46" i="56"/>
  <c r="BA45" i="56"/>
  <c r="BA44" i="56"/>
  <c r="BA43" i="56"/>
  <c r="BA42" i="56"/>
  <c r="BA41" i="56"/>
  <c r="BA40" i="56"/>
  <c r="BA39" i="56"/>
  <c r="BA38" i="56"/>
  <c r="BA37" i="56"/>
  <c r="BA36" i="56"/>
  <c r="BA35" i="56"/>
  <c r="BA34" i="56"/>
  <c r="BA33" i="56"/>
  <c r="BA32" i="56"/>
  <c r="BA31" i="56"/>
  <c r="BA30" i="56"/>
  <c r="BA29" i="56"/>
  <c r="BA28" i="56"/>
  <c r="BA27" i="56"/>
  <c r="BA26" i="56"/>
  <c r="BA25" i="56"/>
  <c r="BA24" i="56"/>
  <c r="BA23" i="56"/>
  <c r="BA22" i="56"/>
  <c r="BA21" i="56"/>
  <c r="BA20" i="56"/>
  <c r="BA19" i="56"/>
  <c r="BA18" i="56"/>
  <c r="BA17" i="56"/>
  <c r="BA16" i="56"/>
  <c r="BA15" i="56"/>
  <c r="BA14" i="56"/>
  <c r="BA13" i="56"/>
  <c r="BA12" i="56"/>
  <c r="BA11" i="56"/>
  <c r="BA10" i="56"/>
  <c r="BA9" i="56"/>
  <c r="BA8" i="56"/>
  <c r="BA7" i="56"/>
  <c r="BA6" i="56"/>
  <c r="BA5" i="56"/>
  <c r="AU124" i="56"/>
  <c r="AU123" i="56"/>
  <c r="AU122" i="56"/>
  <c r="AU121" i="56"/>
  <c r="AU120" i="56"/>
  <c r="AU119" i="56"/>
  <c r="AU118" i="56"/>
  <c r="AU117" i="56"/>
  <c r="AU116" i="56"/>
  <c r="AU115" i="56"/>
  <c r="AU114" i="56"/>
  <c r="AU113" i="56"/>
  <c r="AU112" i="56"/>
  <c r="AU111" i="56"/>
  <c r="AU110" i="56"/>
  <c r="AU109" i="56"/>
  <c r="AU108" i="56"/>
  <c r="AU107" i="56"/>
  <c r="AU106" i="56"/>
  <c r="AU105" i="56"/>
  <c r="AU104" i="56"/>
  <c r="AU103" i="56"/>
  <c r="AU102" i="56"/>
  <c r="AU101" i="56"/>
  <c r="AU100" i="56"/>
  <c r="AU99" i="56"/>
  <c r="AU98" i="56"/>
  <c r="AU97" i="56"/>
  <c r="AU96" i="56"/>
  <c r="AU95" i="56"/>
  <c r="AU94" i="56"/>
  <c r="AU93" i="56"/>
  <c r="AU92" i="56"/>
  <c r="AU91" i="56"/>
  <c r="AU90" i="56"/>
  <c r="AU89" i="56"/>
  <c r="AU88" i="56"/>
  <c r="AU87" i="56"/>
  <c r="AU86" i="56"/>
  <c r="AU85" i="56"/>
  <c r="AU84" i="56"/>
  <c r="AU83" i="56"/>
  <c r="AU82" i="56"/>
  <c r="AU81" i="56"/>
  <c r="AU80" i="56"/>
  <c r="AU79" i="56"/>
  <c r="AU78" i="56"/>
  <c r="AU77" i="56"/>
  <c r="AU76" i="56"/>
  <c r="AU75" i="56"/>
  <c r="AU74" i="56"/>
  <c r="AU73" i="56"/>
  <c r="AU72" i="56"/>
  <c r="AU71" i="56"/>
  <c r="AU70" i="56"/>
  <c r="AU69" i="56"/>
  <c r="AU68" i="56"/>
  <c r="AU67" i="56"/>
  <c r="AU66" i="56"/>
  <c r="AU65" i="56"/>
  <c r="AU64" i="56"/>
  <c r="AU63" i="56"/>
  <c r="AU62" i="56"/>
  <c r="AU61" i="56"/>
  <c r="AU60" i="56"/>
  <c r="AU59" i="56"/>
  <c r="AU58" i="56"/>
  <c r="AU57" i="56"/>
  <c r="AU56" i="56"/>
  <c r="AU55" i="56"/>
  <c r="AU54" i="56"/>
  <c r="AU53" i="56"/>
  <c r="AU52" i="56"/>
  <c r="AU51" i="56"/>
  <c r="AU50" i="56"/>
  <c r="AU49" i="56"/>
  <c r="AU48" i="56"/>
  <c r="AU47" i="56"/>
  <c r="AU46" i="56"/>
  <c r="AU45" i="56"/>
  <c r="AU44" i="56"/>
  <c r="AU43" i="56"/>
  <c r="AU42" i="56"/>
  <c r="AU41" i="56"/>
  <c r="AU40" i="56"/>
  <c r="AU39" i="56"/>
  <c r="AU38" i="56"/>
  <c r="AU37" i="56"/>
  <c r="AU36" i="56"/>
  <c r="AU35" i="56"/>
  <c r="AU34" i="56"/>
  <c r="AU33" i="56"/>
  <c r="AU32" i="56"/>
  <c r="AU31" i="56"/>
  <c r="AU30" i="56"/>
  <c r="AU29" i="56"/>
  <c r="AU28" i="56"/>
  <c r="AU27" i="56"/>
  <c r="AU26" i="56"/>
  <c r="AU25" i="56"/>
  <c r="AU24" i="56"/>
  <c r="AU23" i="56"/>
  <c r="AU22" i="56"/>
  <c r="AU21" i="56"/>
  <c r="AU20" i="56"/>
  <c r="AU19" i="56"/>
  <c r="AU18" i="56"/>
  <c r="AU17" i="56"/>
  <c r="AU16" i="56"/>
  <c r="AU15" i="56"/>
  <c r="AU14" i="56"/>
  <c r="AU13" i="56"/>
  <c r="AU12" i="56"/>
  <c r="AU11" i="56"/>
  <c r="AU10" i="56"/>
  <c r="AU9" i="56"/>
  <c r="AU8" i="56"/>
  <c r="AU7" i="56"/>
  <c r="AU6" i="56"/>
  <c r="AU5" i="56"/>
  <c r="AO124" i="56"/>
  <c r="AO123" i="56"/>
  <c r="AO122" i="56"/>
  <c r="AO121" i="56"/>
  <c r="AO120" i="56"/>
  <c r="AO119" i="56"/>
  <c r="AO118" i="56"/>
  <c r="AO117" i="56"/>
  <c r="AO116" i="56"/>
  <c r="AO115" i="56"/>
  <c r="AO114" i="56"/>
  <c r="AO113" i="56"/>
  <c r="AO112" i="56"/>
  <c r="AO111" i="56"/>
  <c r="AO110" i="56"/>
  <c r="AO109" i="56"/>
  <c r="AO108" i="56"/>
  <c r="AO107" i="56"/>
  <c r="AO106" i="56"/>
  <c r="AO105" i="56"/>
  <c r="AO104" i="56"/>
  <c r="AO103" i="56"/>
  <c r="AO102" i="56"/>
  <c r="AO101" i="56"/>
  <c r="AO100" i="56"/>
  <c r="AO99" i="56"/>
  <c r="AO98" i="56"/>
  <c r="AO97" i="56"/>
  <c r="AO96" i="56"/>
  <c r="AO95" i="56"/>
  <c r="AO94" i="56"/>
  <c r="AO93" i="56"/>
  <c r="AO92" i="56"/>
  <c r="AO91" i="56"/>
  <c r="AO90" i="56"/>
  <c r="AO89" i="56"/>
  <c r="AO88" i="56"/>
  <c r="AO87" i="56"/>
  <c r="AO86" i="56"/>
  <c r="AO85" i="56"/>
  <c r="AO84" i="56"/>
  <c r="AO83" i="56"/>
  <c r="AO82" i="56"/>
  <c r="AO81" i="56"/>
  <c r="AO80" i="56"/>
  <c r="AO79" i="56"/>
  <c r="AO78" i="56"/>
  <c r="AO77" i="56"/>
  <c r="AO76" i="56"/>
  <c r="AO75" i="56"/>
  <c r="AO74" i="56"/>
  <c r="AO73" i="56"/>
  <c r="AO72" i="56"/>
  <c r="AO71" i="56"/>
  <c r="AO70" i="56"/>
  <c r="AO69" i="56"/>
  <c r="AO68" i="56"/>
  <c r="AO67" i="56"/>
  <c r="AO66" i="56"/>
  <c r="AO65" i="56"/>
  <c r="AO64" i="56"/>
  <c r="AO63" i="56"/>
  <c r="AO62" i="56"/>
  <c r="AO61" i="56"/>
  <c r="AO60" i="56"/>
  <c r="AO59" i="56"/>
  <c r="AO58" i="56"/>
  <c r="AO57" i="56"/>
  <c r="AO56" i="56"/>
  <c r="AO55" i="56"/>
  <c r="AO54" i="56"/>
  <c r="AO53" i="56"/>
  <c r="AO52" i="56"/>
  <c r="AO51" i="56"/>
  <c r="AO50" i="56"/>
  <c r="AO49" i="56"/>
  <c r="AO48" i="56"/>
  <c r="AO47" i="56"/>
  <c r="AO46" i="56"/>
  <c r="AO45" i="56"/>
  <c r="AO44" i="56"/>
  <c r="AO43" i="56"/>
  <c r="AO42" i="56"/>
  <c r="AO41" i="56"/>
  <c r="AO40" i="56"/>
  <c r="AO39" i="56"/>
  <c r="AO38" i="56"/>
  <c r="AO37" i="56"/>
  <c r="AO36" i="56"/>
  <c r="AO35" i="56"/>
  <c r="AO34" i="56"/>
  <c r="AO33" i="56"/>
  <c r="AO32" i="56"/>
  <c r="AO31" i="56"/>
  <c r="AO30" i="56"/>
  <c r="AO29" i="56"/>
  <c r="AO28" i="56"/>
  <c r="AO27" i="56"/>
  <c r="AO26" i="56"/>
  <c r="AO25" i="56"/>
  <c r="AO24" i="56"/>
  <c r="AO23" i="56"/>
  <c r="AO22" i="56"/>
  <c r="AO21" i="56"/>
  <c r="AO20" i="56"/>
  <c r="AO19" i="56"/>
  <c r="AO18" i="56"/>
  <c r="AO17" i="56"/>
  <c r="AO16" i="56"/>
  <c r="AO15" i="56"/>
  <c r="AO14" i="56"/>
  <c r="AO13" i="56"/>
  <c r="AO12" i="56"/>
  <c r="AO11" i="56"/>
  <c r="AO10" i="56"/>
  <c r="AO9" i="56"/>
  <c r="AO8" i="56"/>
  <c r="AO7" i="56"/>
  <c r="AO6" i="56"/>
  <c r="AO5" i="56"/>
  <c r="AI124" i="56"/>
  <c r="AI123" i="56"/>
  <c r="AI122" i="56"/>
  <c r="AI121" i="56"/>
  <c r="AI120" i="56"/>
  <c r="AI119" i="56"/>
  <c r="AI118" i="56"/>
  <c r="AI117" i="56"/>
  <c r="AI116" i="56"/>
  <c r="AI115" i="56"/>
  <c r="AI114" i="56"/>
  <c r="AI113" i="56"/>
  <c r="AI112" i="56"/>
  <c r="AI111" i="56"/>
  <c r="AI110" i="56"/>
  <c r="AI109" i="56"/>
  <c r="AI108" i="56"/>
  <c r="AI107" i="56"/>
  <c r="AI106" i="56"/>
  <c r="AI105" i="56"/>
  <c r="AI104" i="56"/>
  <c r="AI103" i="56"/>
  <c r="AI102" i="56"/>
  <c r="AI101" i="56"/>
  <c r="AI100" i="56"/>
  <c r="AI99" i="56"/>
  <c r="AI98" i="56"/>
  <c r="AI97" i="56"/>
  <c r="AI96" i="56"/>
  <c r="AI95" i="56"/>
  <c r="AI94" i="56"/>
  <c r="AI93" i="56"/>
  <c r="AI92" i="56"/>
  <c r="AI91" i="56"/>
  <c r="AI90" i="56"/>
  <c r="AI89" i="56"/>
  <c r="AI88" i="56"/>
  <c r="AI87" i="56"/>
  <c r="AI86" i="56"/>
  <c r="AI85" i="56"/>
  <c r="AI84" i="56"/>
  <c r="AI83" i="56"/>
  <c r="AI82" i="56"/>
  <c r="AI81" i="56"/>
  <c r="AI80" i="56"/>
  <c r="AI79" i="56"/>
  <c r="AI78" i="56"/>
  <c r="AI77" i="56"/>
  <c r="AI76" i="56"/>
  <c r="AI75" i="56"/>
  <c r="AI74" i="56"/>
  <c r="AI73" i="56"/>
  <c r="AI72" i="56"/>
  <c r="AI71" i="56"/>
  <c r="AI70" i="56"/>
  <c r="AI69" i="56"/>
  <c r="AI68" i="56"/>
  <c r="AI67" i="56"/>
  <c r="AI66" i="56"/>
  <c r="AI65" i="56"/>
  <c r="AI64" i="56"/>
  <c r="AI63" i="56"/>
  <c r="AI62" i="56"/>
  <c r="AI61" i="56"/>
  <c r="AI60" i="56"/>
  <c r="AI59" i="56"/>
  <c r="AI58" i="56"/>
  <c r="AI57" i="56"/>
  <c r="AI56" i="56"/>
  <c r="AI55" i="56"/>
  <c r="AI54" i="56"/>
  <c r="AI53" i="56"/>
  <c r="AI52" i="56"/>
  <c r="AI51" i="56"/>
  <c r="AI50" i="56"/>
  <c r="AI49" i="56"/>
  <c r="AI48" i="56"/>
  <c r="AI47" i="56"/>
  <c r="AI46" i="56"/>
  <c r="AI45" i="56"/>
  <c r="AI44" i="56"/>
  <c r="AI43" i="56"/>
  <c r="AI42" i="56"/>
  <c r="AI41" i="56"/>
  <c r="AI40" i="56"/>
  <c r="AI39" i="56"/>
  <c r="AI38" i="56"/>
  <c r="AI37" i="56"/>
  <c r="AI36" i="56"/>
  <c r="AI35" i="56"/>
  <c r="AI34" i="56"/>
  <c r="AI33" i="56"/>
  <c r="AI32" i="56"/>
  <c r="AI31" i="56"/>
  <c r="AI30" i="56"/>
  <c r="AI29" i="56"/>
  <c r="AI28" i="56"/>
  <c r="AI27" i="56"/>
  <c r="AI26" i="56"/>
  <c r="AI25" i="56"/>
  <c r="AI24" i="56"/>
  <c r="AI23" i="56"/>
  <c r="AI22" i="56"/>
  <c r="AI21" i="56"/>
  <c r="AI20" i="56"/>
  <c r="AI19" i="56"/>
  <c r="AI18" i="56"/>
  <c r="AI17" i="56"/>
  <c r="AI16" i="56"/>
  <c r="AI15" i="56"/>
  <c r="AI14" i="56"/>
  <c r="AI13" i="56"/>
  <c r="AI12" i="56"/>
  <c r="AI11" i="56"/>
  <c r="AI10" i="56"/>
  <c r="AI9" i="56"/>
  <c r="AI8" i="56"/>
  <c r="AI7" i="56"/>
  <c r="AI6" i="56"/>
  <c r="AI5" i="56"/>
  <c r="W124" i="56"/>
  <c r="W123" i="56"/>
  <c r="W122" i="56"/>
  <c r="W121" i="56"/>
  <c r="W120" i="56"/>
  <c r="W119" i="56"/>
  <c r="W118" i="56"/>
  <c r="W117" i="56"/>
  <c r="W116" i="56"/>
  <c r="W115" i="56"/>
  <c r="W114" i="56"/>
  <c r="W113" i="56"/>
  <c r="W112" i="56"/>
  <c r="W111" i="56"/>
  <c r="W110" i="56"/>
  <c r="W109" i="56"/>
  <c r="W108" i="56"/>
  <c r="W107" i="56"/>
  <c r="W106" i="56"/>
  <c r="W105" i="56"/>
  <c r="W104" i="56"/>
  <c r="W103" i="56"/>
  <c r="W102" i="56"/>
  <c r="W101" i="56"/>
  <c r="W100" i="56"/>
  <c r="W99" i="56"/>
  <c r="W98" i="56"/>
  <c r="W97" i="56"/>
  <c r="W96" i="56"/>
  <c r="W95" i="56"/>
  <c r="W94" i="56"/>
  <c r="W93" i="56"/>
  <c r="W92" i="56"/>
  <c r="W91" i="56"/>
  <c r="W90" i="56"/>
  <c r="W89" i="56"/>
  <c r="W88" i="56"/>
  <c r="W87" i="56"/>
  <c r="W86" i="56"/>
  <c r="W85" i="56"/>
  <c r="W84" i="56"/>
  <c r="W83" i="56"/>
  <c r="W82" i="56"/>
  <c r="W81" i="56"/>
  <c r="W80" i="56"/>
  <c r="W79" i="56"/>
  <c r="W78" i="56"/>
  <c r="W77" i="56"/>
  <c r="W76" i="56"/>
  <c r="W75" i="56"/>
  <c r="W74" i="56"/>
  <c r="W73" i="56"/>
  <c r="W72" i="56"/>
  <c r="W71" i="56"/>
  <c r="W70" i="56"/>
  <c r="W69" i="56"/>
  <c r="W68" i="56"/>
  <c r="W67" i="56"/>
  <c r="W66" i="56"/>
  <c r="W65" i="56"/>
  <c r="W64" i="56"/>
  <c r="W63" i="56"/>
  <c r="W62" i="56"/>
  <c r="W61" i="56"/>
  <c r="W60" i="56"/>
  <c r="W59" i="56"/>
  <c r="W58" i="56"/>
  <c r="W57" i="56"/>
  <c r="W56" i="56"/>
  <c r="W55" i="56"/>
  <c r="W54" i="56"/>
  <c r="W53" i="56"/>
  <c r="W52" i="56"/>
  <c r="W51" i="56"/>
  <c r="W50" i="56"/>
  <c r="W49" i="56"/>
  <c r="W48" i="56"/>
  <c r="W47" i="56"/>
  <c r="W46" i="56"/>
  <c r="W45" i="56"/>
  <c r="W44" i="56"/>
  <c r="W43" i="56"/>
  <c r="W42" i="56"/>
  <c r="W41" i="56"/>
  <c r="W40" i="56"/>
  <c r="W39" i="56"/>
  <c r="W38" i="56"/>
  <c r="W37" i="56"/>
  <c r="W36" i="56"/>
  <c r="W35" i="56"/>
  <c r="W34" i="56"/>
  <c r="W33" i="56"/>
  <c r="W32" i="56"/>
  <c r="W31" i="56"/>
  <c r="W30" i="56"/>
  <c r="W29" i="56"/>
  <c r="W28" i="56"/>
  <c r="W27" i="56"/>
  <c r="W26" i="56"/>
  <c r="W25" i="56"/>
  <c r="W24" i="56"/>
  <c r="W23" i="56"/>
  <c r="W22" i="56"/>
  <c r="W21" i="56"/>
  <c r="W20" i="56"/>
  <c r="W19" i="56"/>
  <c r="W18" i="56"/>
  <c r="W17" i="56"/>
  <c r="W16" i="56"/>
  <c r="W15" i="56"/>
  <c r="W14" i="56"/>
  <c r="W13" i="56"/>
  <c r="W12" i="56"/>
  <c r="W11" i="56"/>
  <c r="W10" i="56"/>
  <c r="W9" i="56"/>
  <c r="W8" i="56"/>
  <c r="W7" i="56"/>
  <c r="W6" i="56"/>
  <c r="W5" i="56"/>
  <c r="Q124" i="56"/>
  <c r="Q123" i="56"/>
  <c r="Q122" i="56"/>
  <c r="Q121" i="56"/>
  <c r="Q120" i="56"/>
  <c r="Q119" i="56"/>
  <c r="Q118" i="56"/>
  <c r="Q117" i="56"/>
  <c r="Q116" i="56"/>
  <c r="Q115" i="56"/>
  <c r="Q114" i="56"/>
  <c r="Q113" i="56"/>
  <c r="Q112" i="56"/>
  <c r="Q111" i="56"/>
  <c r="Q110" i="56"/>
  <c r="Q109" i="56"/>
  <c r="Q108" i="56"/>
  <c r="Q107" i="56"/>
  <c r="Q106" i="56"/>
  <c r="Q105" i="56"/>
  <c r="Q104" i="56"/>
  <c r="Q103" i="56"/>
  <c r="Q102" i="56"/>
  <c r="Q101" i="56"/>
  <c r="Q100" i="56"/>
  <c r="Q99" i="56"/>
  <c r="Q98" i="56"/>
  <c r="Q97" i="56"/>
  <c r="Q96" i="56"/>
  <c r="Q95" i="56"/>
  <c r="Q94" i="56"/>
  <c r="Q93" i="56"/>
  <c r="Q92" i="56"/>
  <c r="Q91" i="56"/>
  <c r="Q90" i="56"/>
  <c r="Q89" i="56"/>
  <c r="Q88" i="56"/>
  <c r="Q87" i="56"/>
  <c r="Q86" i="56"/>
  <c r="Q85" i="56"/>
  <c r="Q84" i="56"/>
  <c r="Q83" i="56"/>
  <c r="Q82" i="56"/>
  <c r="Q81" i="56"/>
  <c r="Q80" i="56"/>
  <c r="Q79" i="56"/>
  <c r="Q78" i="56"/>
  <c r="Q77" i="56"/>
  <c r="Q76" i="56"/>
  <c r="Q75" i="56"/>
  <c r="Q74" i="56"/>
  <c r="Q73" i="56"/>
  <c r="Q72" i="56"/>
  <c r="Q71" i="56"/>
  <c r="Q70" i="56"/>
  <c r="Q69" i="56"/>
  <c r="Q68" i="56"/>
  <c r="Q67" i="56"/>
  <c r="Q66" i="56"/>
  <c r="Q65" i="56"/>
  <c r="Q64" i="56"/>
  <c r="Q63" i="56"/>
  <c r="Q62" i="56"/>
  <c r="Q61" i="56"/>
  <c r="Q60" i="56"/>
  <c r="Q59" i="56"/>
  <c r="Q58" i="56"/>
  <c r="Q57" i="56"/>
  <c r="Q56" i="56"/>
  <c r="Q55" i="56"/>
  <c r="Q54" i="56"/>
  <c r="Q53" i="56"/>
  <c r="Q52" i="56"/>
  <c r="Q51" i="56"/>
  <c r="Q50" i="56"/>
  <c r="Q49" i="56"/>
  <c r="Q48" i="56"/>
  <c r="Q47" i="56"/>
  <c r="Q46" i="56"/>
  <c r="Q45" i="56"/>
  <c r="Q44" i="56"/>
  <c r="Q43" i="56"/>
  <c r="Q42" i="56"/>
  <c r="Q41" i="56"/>
  <c r="Q40" i="56"/>
  <c r="Q39" i="56"/>
  <c r="Q38" i="56"/>
  <c r="Q37" i="56"/>
  <c r="Q36" i="56"/>
  <c r="Q35" i="56"/>
  <c r="Q34" i="56"/>
  <c r="Q33" i="56"/>
  <c r="Q32" i="56"/>
  <c r="Q31" i="56"/>
  <c r="Q30" i="56"/>
  <c r="Q29" i="56"/>
  <c r="Q28" i="56"/>
  <c r="Q27" i="56"/>
  <c r="Q26" i="56"/>
  <c r="Q25" i="56"/>
  <c r="Q24" i="56"/>
  <c r="Q23" i="56"/>
  <c r="Q22" i="56"/>
  <c r="Q21" i="56"/>
  <c r="Q20" i="56"/>
  <c r="Q19" i="56"/>
  <c r="Q18" i="56"/>
  <c r="Q17" i="56"/>
  <c r="Q16" i="56"/>
  <c r="Q15" i="56"/>
  <c r="Q14" i="56"/>
  <c r="Q13" i="56"/>
  <c r="Q12" i="56"/>
  <c r="Q11" i="56"/>
  <c r="Q10" i="56"/>
  <c r="Q9" i="56"/>
  <c r="Q8" i="56"/>
  <c r="Q7" i="56"/>
  <c r="Q6" i="56"/>
  <c r="Q5" i="56"/>
  <c r="N4" i="57"/>
  <c r="G98" i="40"/>
  <c r="C123" i="40"/>
  <c r="G122" i="40"/>
  <c r="G121" i="40"/>
  <c r="G120" i="40"/>
  <c r="G86" i="40"/>
  <c r="C83" i="40"/>
  <c r="G82" i="40"/>
  <c r="C119" i="40"/>
  <c r="G79" i="40"/>
  <c r="G118" i="40"/>
  <c r="C117" i="40"/>
  <c r="G77" i="40"/>
  <c r="G73" i="40"/>
  <c r="G116" i="40"/>
  <c r="C115" i="40"/>
  <c r="G71" i="40"/>
  <c r="C68" i="40"/>
  <c r="G114" i="40"/>
  <c r="G112" i="40"/>
  <c r="C63" i="40"/>
  <c r="G62" i="40"/>
  <c r="C111" i="40"/>
  <c r="G110" i="40"/>
  <c r="C58" i="40"/>
  <c r="G57" i="40"/>
  <c r="G53" i="40"/>
  <c r="C50" i="40"/>
  <c r="G49" i="40"/>
  <c r="C47" i="40"/>
  <c r="G46" i="40"/>
  <c r="C44" i="40"/>
  <c r="G43" i="40"/>
  <c r="G39" i="40"/>
  <c r="C105" i="40"/>
  <c r="G37" i="40"/>
  <c r="C35" i="40"/>
  <c r="G34" i="40"/>
  <c r="C31" i="40"/>
  <c r="G30" i="40"/>
  <c r="G27" i="40"/>
  <c r="C24" i="40"/>
  <c r="G102" i="40"/>
  <c r="C22" i="40"/>
  <c r="G21" i="40"/>
  <c r="C18" i="40"/>
  <c r="G17" i="40"/>
  <c r="C15" i="40"/>
  <c r="G14" i="40"/>
  <c r="G10" i="40"/>
  <c r="C7" i="40"/>
  <c r="G6" i="40"/>
  <c r="C4" i="40"/>
  <c r="S126" i="85"/>
  <c r="R126" i="85"/>
  <c r="Q126" i="85"/>
  <c r="S125" i="85"/>
  <c r="R125" i="85"/>
  <c r="Q125" i="85"/>
  <c r="S124" i="85"/>
  <c r="R124" i="85"/>
  <c r="Q124" i="85"/>
  <c r="S123" i="85"/>
  <c r="R123" i="85"/>
  <c r="Q123" i="85"/>
  <c r="S122" i="85"/>
  <c r="R122" i="85"/>
  <c r="Q122" i="85"/>
  <c r="S121" i="85"/>
  <c r="R121" i="85"/>
  <c r="Q121" i="85"/>
  <c r="S120" i="85"/>
  <c r="R120" i="85"/>
  <c r="Q120" i="85"/>
  <c r="S119" i="85"/>
  <c r="R119" i="85"/>
  <c r="Q119" i="85"/>
  <c r="S118" i="85"/>
  <c r="R118" i="85"/>
  <c r="Q118" i="85"/>
  <c r="S117" i="85"/>
  <c r="R117" i="85"/>
  <c r="Q117" i="85"/>
  <c r="S116" i="85"/>
  <c r="R116" i="85"/>
  <c r="Q116" i="85"/>
  <c r="S115" i="85"/>
  <c r="R115" i="85"/>
  <c r="Q115" i="85"/>
  <c r="S114" i="85"/>
  <c r="R114" i="85"/>
  <c r="Q114" i="85"/>
  <c r="S113" i="85"/>
  <c r="R113" i="85"/>
  <c r="Q113" i="85"/>
  <c r="S112" i="85"/>
  <c r="R112" i="85"/>
  <c r="Q112" i="85"/>
  <c r="S111" i="85"/>
  <c r="R111" i="85"/>
  <c r="Q111" i="85"/>
  <c r="S110" i="85"/>
  <c r="R110" i="85"/>
  <c r="Q110" i="85"/>
  <c r="S109" i="85"/>
  <c r="R109" i="85"/>
  <c r="Q109" i="85"/>
  <c r="S108" i="85"/>
  <c r="R108" i="85"/>
  <c r="Q108" i="85"/>
  <c r="S107" i="85"/>
  <c r="R107" i="85"/>
  <c r="Q107" i="85"/>
  <c r="S106" i="85"/>
  <c r="R106" i="85"/>
  <c r="Q106" i="85"/>
  <c r="S105" i="85"/>
  <c r="R105" i="85"/>
  <c r="Q105" i="85"/>
  <c r="S104" i="85"/>
  <c r="R104" i="85"/>
  <c r="Q104" i="85"/>
  <c r="S103" i="85"/>
  <c r="R103" i="85"/>
  <c r="Q103" i="85"/>
  <c r="S102" i="85"/>
  <c r="R102" i="85"/>
  <c r="Q102" i="85"/>
  <c r="S101" i="85"/>
  <c r="R101" i="85"/>
  <c r="Q101" i="85"/>
  <c r="S100" i="85"/>
  <c r="R100" i="85"/>
  <c r="Q100" i="85"/>
  <c r="S99" i="85"/>
  <c r="R99" i="85"/>
  <c r="Q99" i="85"/>
  <c r="S98" i="85"/>
  <c r="R98" i="85"/>
  <c r="Q98" i="85"/>
  <c r="S97" i="85"/>
  <c r="R97" i="85"/>
  <c r="Q97" i="85"/>
  <c r="S96" i="85"/>
  <c r="R96" i="85"/>
  <c r="Q96" i="85"/>
  <c r="S95" i="85"/>
  <c r="R95" i="85"/>
  <c r="Q95" i="85"/>
  <c r="S94" i="85"/>
  <c r="R94" i="85"/>
  <c r="Q94" i="85"/>
  <c r="S93" i="85"/>
  <c r="R93" i="85"/>
  <c r="Q93" i="85"/>
  <c r="S92" i="85"/>
  <c r="R92" i="85"/>
  <c r="Q92" i="85"/>
  <c r="S91" i="85"/>
  <c r="R91" i="85"/>
  <c r="Q91" i="85"/>
  <c r="S90" i="85"/>
  <c r="R90" i="85"/>
  <c r="Q90" i="85"/>
  <c r="S89" i="85"/>
  <c r="R89" i="85"/>
  <c r="Q89" i="85"/>
  <c r="S88" i="85"/>
  <c r="R88" i="85"/>
  <c r="Q88" i="85"/>
  <c r="S87" i="85"/>
  <c r="R87" i="85"/>
  <c r="Q87" i="85"/>
  <c r="S86" i="85"/>
  <c r="R86" i="85"/>
  <c r="Q86" i="85"/>
  <c r="S85" i="85"/>
  <c r="R85" i="85"/>
  <c r="Q85" i="85"/>
  <c r="S84" i="85"/>
  <c r="R84" i="85"/>
  <c r="Q84" i="85"/>
  <c r="S83" i="85"/>
  <c r="R83" i="85"/>
  <c r="Q83" i="85"/>
  <c r="S82" i="85"/>
  <c r="R82" i="85"/>
  <c r="Q82" i="85"/>
  <c r="S81" i="85"/>
  <c r="R81" i="85"/>
  <c r="Q81" i="85"/>
  <c r="S80" i="85"/>
  <c r="R80" i="85"/>
  <c r="Q80" i="85"/>
  <c r="S79" i="85"/>
  <c r="R79" i="85"/>
  <c r="Q79" i="85"/>
  <c r="S78" i="85"/>
  <c r="R78" i="85"/>
  <c r="Q78" i="85"/>
  <c r="S77" i="85"/>
  <c r="R77" i="85"/>
  <c r="Q77" i="85"/>
  <c r="S76" i="85"/>
  <c r="R76" i="85"/>
  <c r="Q76" i="85"/>
  <c r="S75" i="85"/>
  <c r="R75" i="85"/>
  <c r="Q75" i="85"/>
  <c r="S74" i="85"/>
  <c r="R74" i="85"/>
  <c r="Q74" i="85"/>
  <c r="S73" i="85"/>
  <c r="R73" i="85"/>
  <c r="Q73" i="85"/>
  <c r="S72" i="85"/>
  <c r="R72" i="85"/>
  <c r="Q72" i="85"/>
  <c r="S71" i="85"/>
  <c r="R71" i="85"/>
  <c r="Q71" i="85"/>
  <c r="S70" i="85"/>
  <c r="R70" i="85"/>
  <c r="Q70" i="85"/>
  <c r="S69" i="85"/>
  <c r="R69" i="85"/>
  <c r="Q69" i="85"/>
  <c r="S68" i="85"/>
  <c r="R68" i="85"/>
  <c r="Q68" i="85"/>
  <c r="S67" i="85"/>
  <c r="R67" i="85"/>
  <c r="Q67" i="85"/>
  <c r="S66" i="85"/>
  <c r="R66" i="85"/>
  <c r="Q66" i="85"/>
  <c r="S65" i="85"/>
  <c r="R65" i="85"/>
  <c r="Q65" i="85"/>
  <c r="S64" i="85"/>
  <c r="R64" i="85"/>
  <c r="Q64" i="85"/>
  <c r="S63" i="85"/>
  <c r="R63" i="85"/>
  <c r="Q63" i="85"/>
  <c r="S62" i="85"/>
  <c r="R62" i="85"/>
  <c r="Q62" i="85"/>
  <c r="S61" i="85"/>
  <c r="R61" i="85"/>
  <c r="Q61" i="85"/>
  <c r="S60" i="85"/>
  <c r="R60" i="85"/>
  <c r="Q60" i="85"/>
  <c r="S59" i="85"/>
  <c r="R59" i="85"/>
  <c r="Q59" i="85"/>
  <c r="S58" i="85"/>
  <c r="R58" i="85"/>
  <c r="Q58" i="85"/>
  <c r="S57" i="85"/>
  <c r="R57" i="85"/>
  <c r="Q57" i="85"/>
  <c r="S56" i="85"/>
  <c r="R56" i="85"/>
  <c r="Q56" i="85"/>
  <c r="S55" i="85"/>
  <c r="R55" i="85"/>
  <c r="Q55" i="85"/>
  <c r="S54" i="85"/>
  <c r="R54" i="85"/>
  <c r="Q54" i="85"/>
  <c r="S53" i="85"/>
  <c r="R53" i="85"/>
  <c r="Q53" i="85"/>
  <c r="S52" i="85"/>
  <c r="R52" i="85"/>
  <c r="Q52" i="85"/>
  <c r="S51" i="85"/>
  <c r="R51" i="85"/>
  <c r="Q51" i="85"/>
  <c r="S50" i="85"/>
  <c r="R50" i="85"/>
  <c r="Q50" i="85"/>
  <c r="S49" i="85"/>
  <c r="R49" i="85"/>
  <c r="Q49" i="85"/>
  <c r="S48" i="85"/>
  <c r="R48" i="85"/>
  <c r="Q48" i="85"/>
  <c r="S47" i="85"/>
  <c r="R47" i="85"/>
  <c r="Q47" i="85"/>
  <c r="S46" i="85"/>
  <c r="R46" i="85"/>
  <c r="Q46" i="85"/>
  <c r="S45" i="85"/>
  <c r="R45" i="85"/>
  <c r="Q45" i="85"/>
  <c r="S44" i="85"/>
  <c r="R44" i="85"/>
  <c r="Q44" i="85"/>
  <c r="S43" i="85"/>
  <c r="R43" i="85"/>
  <c r="Q43" i="85"/>
  <c r="S42" i="85"/>
  <c r="R42" i="85"/>
  <c r="Q42" i="85"/>
  <c r="S41" i="85"/>
  <c r="R41" i="85"/>
  <c r="Q41" i="85"/>
  <c r="S40" i="85"/>
  <c r="R40" i="85"/>
  <c r="Q40" i="85"/>
  <c r="S39" i="85"/>
  <c r="R39" i="85"/>
  <c r="Q39" i="85"/>
  <c r="S38" i="85"/>
  <c r="R38" i="85"/>
  <c r="Q38" i="85"/>
  <c r="S37" i="85"/>
  <c r="R37" i="85"/>
  <c r="Q37" i="85"/>
  <c r="S36" i="85"/>
  <c r="R36" i="85"/>
  <c r="Q36" i="85"/>
  <c r="S35" i="85"/>
  <c r="R35" i="85"/>
  <c r="Q35" i="85"/>
  <c r="S34" i="85"/>
  <c r="R34" i="85"/>
  <c r="Q34" i="85"/>
  <c r="S33" i="85"/>
  <c r="R33" i="85"/>
  <c r="Q33" i="85"/>
  <c r="S32" i="85"/>
  <c r="R32" i="85"/>
  <c r="Q32" i="85"/>
  <c r="S31" i="85"/>
  <c r="R31" i="85"/>
  <c r="Q31" i="85"/>
  <c r="S30" i="85"/>
  <c r="R30" i="85"/>
  <c r="Q30" i="85"/>
  <c r="S29" i="85"/>
  <c r="R29" i="85"/>
  <c r="Q29" i="85"/>
  <c r="S28" i="85"/>
  <c r="R28" i="85"/>
  <c r="Q28" i="85"/>
  <c r="S27" i="85"/>
  <c r="R27" i="85"/>
  <c r="Q27" i="85"/>
  <c r="S26" i="85"/>
  <c r="R26" i="85"/>
  <c r="Q26" i="85"/>
  <c r="S25" i="85"/>
  <c r="R25" i="85"/>
  <c r="Q25" i="85"/>
  <c r="S24" i="85"/>
  <c r="R24" i="85"/>
  <c r="Q24" i="85"/>
  <c r="S23" i="85"/>
  <c r="R23" i="85"/>
  <c r="Q23" i="85"/>
  <c r="S22" i="85"/>
  <c r="R22" i="85"/>
  <c r="Q22" i="85"/>
  <c r="S21" i="85"/>
  <c r="R21" i="85"/>
  <c r="Q21" i="85"/>
  <c r="S20" i="85"/>
  <c r="R20" i="85"/>
  <c r="Q20" i="85"/>
  <c r="S19" i="85"/>
  <c r="R19" i="85"/>
  <c r="Q19" i="85"/>
  <c r="S18" i="85"/>
  <c r="R18" i="85"/>
  <c r="Q18" i="85"/>
  <c r="S17" i="85"/>
  <c r="R17" i="85"/>
  <c r="Q17" i="85"/>
  <c r="S16" i="85"/>
  <c r="R16" i="85"/>
  <c r="Q16" i="85"/>
  <c r="S15" i="85"/>
  <c r="R15" i="85"/>
  <c r="Q15" i="85"/>
  <c r="S14" i="85"/>
  <c r="R14" i="85"/>
  <c r="Q14" i="85"/>
  <c r="S13" i="85"/>
  <c r="R13" i="85"/>
  <c r="Q13" i="85"/>
  <c r="S12" i="85"/>
  <c r="R12" i="85"/>
  <c r="Q12" i="85"/>
  <c r="S11" i="85"/>
  <c r="R11" i="85"/>
  <c r="Q11" i="85"/>
  <c r="S10" i="85"/>
  <c r="R10" i="85"/>
  <c r="Q10" i="85"/>
  <c r="S9" i="85"/>
  <c r="R9" i="85"/>
  <c r="Q9" i="85"/>
  <c r="S8" i="85"/>
  <c r="R8" i="85"/>
  <c r="Q8" i="85"/>
  <c r="S7" i="85"/>
  <c r="R7" i="85"/>
  <c r="Q7" i="85"/>
  <c r="Y126" i="85"/>
  <c r="X126" i="85"/>
  <c r="W126" i="85"/>
  <c r="Y125" i="85"/>
  <c r="X125" i="85"/>
  <c r="W125" i="85"/>
  <c r="Y124" i="85"/>
  <c r="X124" i="85"/>
  <c r="W124" i="85"/>
  <c r="Y123" i="85"/>
  <c r="X123" i="85"/>
  <c r="W123" i="85"/>
  <c r="Y122" i="85"/>
  <c r="X122" i="85"/>
  <c r="W122" i="85"/>
  <c r="Y121" i="85"/>
  <c r="X121" i="85"/>
  <c r="W121" i="85"/>
  <c r="Y120" i="85"/>
  <c r="X120" i="85"/>
  <c r="W120" i="85"/>
  <c r="Y119" i="85"/>
  <c r="X119" i="85"/>
  <c r="W119" i="85"/>
  <c r="Y118" i="85"/>
  <c r="X118" i="85"/>
  <c r="W118" i="85"/>
  <c r="Y117" i="85"/>
  <c r="X117" i="85"/>
  <c r="W117" i="85"/>
  <c r="Y116" i="85"/>
  <c r="X116" i="85"/>
  <c r="W116" i="85"/>
  <c r="Y115" i="85"/>
  <c r="X115" i="85"/>
  <c r="W115" i="85"/>
  <c r="Y114" i="85"/>
  <c r="X114" i="85"/>
  <c r="W114" i="85"/>
  <c r="Y113" i="85"/>
  <c r="X113" i="85"/>
  <c r="W113" i="85"/>
  <c r="Y112" i="85"/>
  <c r="X112" i="85"/>
  <c r="W112" i="85"/>
  <c r="Y111" i="85"/>
  <c r="X111" i="85"/>
  <c r="W111" i="85"/>
  <c r="Y110" i="85"/>
  <c r="X110" i="85"/>
  <c r="W110" i="85"/>
  <c r="Y109" i="85"/>
  <c r="X109" i="85"/>
  <c r="W109" i="85"/>
  <c r="Y108" i="85"/>
  <c r="X108" i="85"/>
  <c r="W108" i="85"/>
  <c r="Y107" i="85"/>
  <c r="X107" i="85"/>
  <c r="W107" i="85"/>
  <c r="Y106" i="85"/>
  <c r="X106" i="85"/>
  <c r="W106" i="85"/>
  <c r="Y105" i="85"/>
  <c r="X105" i="85"/>
  <c r="W105" i="85"/>
  <c r="Y104" i="85"/>
  <c r="X104" i="85"/>
  <c r="W104" i="85"/>
  <c r="Y103" i="85"/>
  <c r="X103" i="85"/>
  <c r="W103" i="85"/>
  <c r="Y102" i="85"/>
  <c r="X102" i="85"/>
  <c r="W102" i="85"/>
  <c r="Y101" i="85"/>
  <c r="X101" i="85"/>
  <c r="W101" i="85"/>
  <c r="Y100" i="85"/>
  <c r="X100" i="85"/>
  <c r="W100" i="85"/>
  <c r="Y99" i="85"/>
  <c r="X99" i="85"/>
  <c r="W99" i="85"/>
  <c r="Y98" i="85"/>
  <c r="X98" i="85"/>
  <c r="W98" i="85"/>
  <c r="Y97" i="85"/>
  <c r="X97" i="85"/>
  <c r="W97" i="85"/>
  <c r="Y96" i="85"/>
  <c r="X96" i="85"/>
  <c r="W96" i="85"/>
  <c r="Y95" i="85"/>
  <c r="X95" i="85"/>
  <c r="W95" i="85"/>
  <c r="Y94" i="85"/>
  <c r="X94" i="85"/>
  <c r="W94" i="85"/>
  <c r="Y93" i="85"/>
  <c r="X93" i="85"/>
  <c r="W93" i="85"/>
  <c r="Y92" i="85"/>
  <c r="X92" i="85"/>
  <c r="W92" i="85"/>
  <c r="Y91" i="85"/>
  <c r="X91" i="85"/>
  <c r="W91" i="85"/>
  <c r="Y90" i="85"/>
  <c r="X90" i="85"/>
  <c r="W90" i="85"/>
  <c r="Y89" i="85"/>
  <c r="X89" i="85"/>
  <c r="W89" i="85"/>
  <c r="Y88" i="85"/>
  <c r="X88" i="85"/>
  <c r="W88" i="85"/>
  <c r="Y87" i="85"/>
  <c r="X87" i="85"/>
  <c r="W87" i="85"/>
  <c r="Y86" i="85"/>
  <c r="X86" i="85"/>
  <c r="W86" i="85"/>
  <c r="Y85" i="85"/>
  <c r="X85" i="85"/>
  <c r="W85" i="85"/>
  <c r="Y84" i="85"/>
  <c r="X84" i="85"/>
  <c r="W84" i="85"/>
  <c r="Y83" i="85"/>
  <c r="X83" i="85"/>
  <c r="W83" i="85"/>
  <c r="Y82" i="85"/>
  <c r="X82" i="85"/>
  <c r="W82" i="85"/>
  <c r="Y81" i="85"/>
  <c r="X81" i="85"/>
  <c r="W81" i="85"/>
  <c r="Y80" i="85"/>
  <c r="X80" i="85"/>
  <c r="W80" i="85"/>
  <c r="Y79" i="85"/>
  <c r="X79" i="85"/>
  <c r="W79" i="85"/>
  <c r="Y78" i="85"/>
  <c r="X78" i="85"/>
  <c r="W78" i="85"/>
  <c r="Y77" i="85"/>
  <c r="X77" i="85"/>
  <c r="W77" i="85"/>
  <c r="Y76" i="85"/>
  <c r="X76" i="85"/>
  <c r="W76" i="85"/>
  <c r="Y75" i="85"/>
  <c r="X75" i="85"/>
  <c r="W75" i="85"/>
  <c r="Y74" i="85"/>
  <c r="X74" i="85"/>
  <c r="W74" i="85"/>
  <c r="Y73" i="85"/>
  <c r="X73" i="85"/>
  <c r="W73" i="85"/>
  <c r="Y72" i="85"/>
  <c r="X72" i="85"/>
  <c r="W72" i="85"/>
  <c r="Y71" i="85"/>
  <c r="X71" i="85"/>
  <c r="W71" i="85"/>
  <c r="Y70" i="85"/>
  <c r="X70" i="85"/>
  <c r="W70" i="85"/>
  <c r="Y69" i="85"/>
  <c r="X69" i="85"/>
  <c r="W69" i="85"/>
  <c r="Y68" i="85"/>
  <c r="X68" i="85"/>
  <c r="W68" i="85"/>
  <c r="Y67" i="85"/>
  <c r="X67" i="85"/>
  <c r="W67" i="85"/>
  <c r="Y66" i="85"/>
  <c r="X66" i="85"/>
  <c r="W66" i="85"/>
  <c r="Y65" i="85"/>
  <c r="X65" i="85"/>
  <c r="W65" i="85"/>
  <c r="Y64" i="85"/>
  <c r="X64" i="85"/>
  <c r="W64" i="85"/>
  <c r="Y63" i="85"/>
  <c r="X63" i="85"/>
  <c r="W63" i="85"/>
  <c r="Y62" i="85"/>
  <c r="X62" i="85"/>
  <c r="W62" i="85"/>
  <c r="Y61" i="85"/>
  <c r="X61" i="85"/>
  <c r="W61" i="85"/>
  <c r="Y60" i="85"/>
  <c r="X60" i="85"/>
  <c r="W60" i="85"/>
  <c r="Y59" i="85"/>
  <c r="X59" i="85"/>
  <c r="W59" i="85"/>
  <c r="Y58" i="85"/>
  <c r="X58" i="85"/>
  <c r="W58" i="85"/>
  <c r="Y57" i="85"/>
  <c r="X57" i="85"/>
  <c r="W57" i="85"/>
  <c r="Y56" i="85"/>
  <c r="X56" i="85"/>
  <c r="W56" i="85"/>
  <c r="Y55" i="85"/>
  <c r="X55" i="85"/>
  <c r="W55" i="85"/>
  <c r="Y54" i="85"/>
  <c r="X54" i="85"/>
  <c r="W54" i="85"/>
  <c r="Y53" i="85"/>
  <c r="X53" i="85"/>
  <c r="W53" i="85"/>
  <c r="Y52" i="85"/>
  <c r="X52" i="85"/>
  <c r="W52" i="85"/>
  <c r="Y51" i="85"/>
  <c r="X51" i="85"/>
  <c r="W51" i="85"/>
  <c r="Y50" i="85"/>
  <c r="X50" i="85"/>
  <c r="W50" i="85"/>
  <c r="Y49" i="85"/>
  <c r="X49" i="85"/>
  <c r="W49" i="85"/>
  <c r="Y48" i="85"/>
  <c r="X48" i="85"/>
  <c r="W48" i="85"/>
  <c r="Y47" i="85"/>
  <c r="X47" i="85"/>
  <c r="W47" i="85"/>
  <c r="Y46" i="85"/>
  <c r="X46" i="85"/>
  <c r="W46" i="85"/>
  <c r="Y45" i="85"/>
  <c r="X45" i="85"/>
  <c r="W45" i="85"/>
  <c r="Y44" i="85"/>
  <c r="X44" i="85"/>
  <c r="W44" i="85"/>
  <c r="Y43" i="85"/>
  <c r="X43" i="85"/>
  <c r="W43" i="85"/>
  <c r="Y42" i="85"/>
  <c r="X42" i="85"/>
  <c r="W42" i="85"/>
  <c r="Y41" i="85"/>
  <c r="X41" i="85"/>
  <c r="W41" i="85"/>
  <c r="Y40" i="85"/>
  <c r="X40" i="85"/>
  <c r="W40" i="85"/>
  <c r="Y39" i="85"/>
  <c r="X39" i="85"/>
  <c r="W39" i="85"/>
  <c r="Y38" i="85"/>
  <c r="X38" i="85"/>
  <c r="W38" i="85"/>
  <c r="Y37" i="85"/>
  <c r="X37" i="85"/>
  <c r="W37" i="85"/>
  <c r="Y36" i="85"/>
  <c r="X36" i="85"/>
  <c r="W36" i="85"/>
  <c r="Y35" i="85"/>
  <c r="X35" i="85"/>
  <c r="W35" i="85"/>
  <c r="Y34" i="85"/>
  <c r="X34" i="85"/>
  <c r="W34" i="85"/>
  <c r="Y33" i="85"/>
  <c r="X33" i="85"/>
  <c r="W33" i="85"/>
  <c r="Y32" i="85"/>
  <c r="X32" i="85"/>
  <c r="W32" i="85"/>
  <c r="Y31" i="85"/>
  <c r="X31" i="85"/>
  <c r="W31" i="85"/>
  <c r="Y30" i="85"/>
  <c r="X30" i="85"/>
  <c r="W30" i="85"/>
  <c r="Y29" i="85"/>
  <c r="X29" i="85"/>
  <c r="W29" i="85"/>
  <c r="Y28" i="85"/>
  <c r="X28" i="85"/>
  <c r="W28" i="85"/>
  <c r="Y27" i="85"/>
  <c r="X27" i="85"/>
  <c r="W27" i="85"/>
  <c r="Y26" i="85"/>
  <c r="X26" i="85"/>
  <c r="W26" i="85"/>
  <c r="Y25" i="85"/>
  <c r="X25" i="85"/>
  <c r="W25" i="85"/>
  <c r="Y24" i="85"/>
  <c r="X24" i="85"/>
  <c r="W24" i="85"/>
  <c r="Y23" i="85"/>
  <c r="X23" i="85"/>
  <c r="W23" i="85"/>
  <c r="Y22" i="85"/>
  <c r="X22" i="85"/>
  <c r="W22" i="85"/>
  <c r="Y21" i="85"/>
  <c r="X21" i="85"/>
  <c r="W21" i="85"/>
  <c r="Y20" i="85"/>
  <c r="X20" i="85"/>
  <c r="W20" i="85"/>
  <c r="Y19" i="85"/>
  <c r="X19" i="85"/>
  <c r="W19" i="85"/>
  <c r="Y18" i="85"/>
  <c r="X18" i="85"/>
  <c r="W18" i="85"/>
  <c r="Y17" i="85"/>
  <c r="X17" i="85"/>
  <c r="W17" i="85"/>
  <c r="Y16" i="85"/>
  <c r="X16" i="85"/>
  <c r="W16" i="85"/>
  <c r="Y15" i="85"/>
  <c r="X15" i="85"/>
  <c r="W15" i="85"/>
  <c r="Y14" i="85"/>
  <c r="X14" i="85"/>
  <c r="W14" i="85"/>
  <c r="Y13" i="85"/>
  <c r="X13" i="85"/>
  <c r="W13" i="85"/>
  <c r="Y12" i="85"/>
  <c r="X12" i="85"/>
  <c r="W12" i="85"/>
  <c r="Y11" i="85"/>
  <c r="X11" i="85"/>
  <c r="W11" i="85"/>
  <c r="Y10" i="85"/>
  <c r="X10" i="85"/>
  <c r="W10" i="85"/>
  <c r="Y9" i="85"/>
  <c r="X9" i="85"/>
  <c r="W9" i="85"/>
  <c r="Y8" i="85"/>
  <c r="X8" i="85"/>
  <c r="W8" i="85"/>
  <c r="Y7" i="85"/>
  <c r="X7" i="85"/>
  <c r="W7" i="85"/>
  <c r="H4" i="89"/>
  <c r="G4" i="89"/>
  <c r="F4" i="89"/>
  <c r="E4" i="89"/>
  <c r="D4" i="89"/>
  <c r="L4" i="32"/>
  <c r="I4" i="32"/>
  <c r="L4" i="31"/>
  <c r="K4" i="31"/>
  <c r="J4" i="31"/>
  <c r="I4" i="31"/>
  <c r="H4" i="31"/>
  <c r="H4" i="94"/>
  <c r="AM101" i="97"/>
  <c r="AL101" i="97"/>
  <c r="AP101" i="97"/>
  <c r="AO101" i="97"/>
  <c r="AN101" i="97"/>
  <c r="AK101" i="97"/>
  <c r="AI101" i="97"/>
  <c r="AH101" i="97"/>
  <c r="AJ101" i="97"/>
  <c r="AJ100" i="97"/>
  <c r="AI100" i="97"/>
  <c r="AP100" i="97"/>
  <c r="AN100" i="97"/>
  <c r="AM100" i="97"/>
  <c r="AL100" i="97"/>
  <c r="AN99" i="97"/>
  <c r="AK99" i="97"/>
  <c r="AH99" i="97"/>
  <c r="AO126" i="97"/>
  <c r="AN126" i="97"/>
  <c r="AL126" i="97"/>
  <c r="AK126" i="97"/>
  <c r="AH126" i="97"/>
  <c r="AI126" i="97"/>
  <c r="AP125" i="97"/>
  <c r="AO125" i="97"/>
  <c r="AM125" i="97"/>
  <c r="AI125" i="97"/>
  <c r="AH125" i="97"/>
  <c r="AJ125" i="97"/>
  <c r="AP98" i="97"/>
  <c r="AN98" i="97"/>
  <c r="AM98" i="97"/>
  <c r="AJ98" i="97"/>
  <c r="AI98" i="97"/>
  <c r="AH98" i="97"/>
  <c r="AP97" i="97"/>
  <c r="AK97" i="97"/>
  <c r="AO97" i="97"/>
  <c r="AN97" i="97"/>
  <c r="AM97" i="97"/>
  <c r="AL97" i="97"/>
  <c r="AH97" i="97"/>
  <c r="AJ97" i="97"/>
  <c r="AI97" i="97"/>
  <c r="AM96" i="97"/>
  <c r="AL96" i="97"/>
  <c r="AP96" i="97"/>
  <c r="AO96" i="97"/>
  <c r="AN96" i="97"/>
  <c r="AK96" i="97"/>
  <c r="AI96" i="97"/>
  <c r="AH96" i="97"/>
  <c r="AJ96" i="97"/>
  <c r="AJ124" i="97"/>
  <c r="AP124" i="97"/>
  <c r="AO124" i="97"/>
  <c r="AN124" i="97"/>
  <c r="AM124" i="97"/>
  <c r="AI124" i="97"/>
  <c r="AK95" i="97"/>
  <c r="AO95" i="97"/>
  <c r="AN95" i="97"/>
  <c r="AJ95" i="97"/>
  <c r="AH95" i="97"/>
  <c r="AO94" i="97"/>
  <c r="AL94" i="97"/>
  <c r="AP94" i="97"/>
  <c r="AN94" i="97"/>
  <c r="AK94" i="97"/>
  <c r="AH94" i="97"/>
  <c r="AI94" i="97"/>
  <c r="AP93" i="97"/>
  <c r="AO93" i="97"/>
  <c r="AM93" i="97"/>
  <c r="AI93" i="97"/>
  <c r="AH93" i="97"/>
  <c r="AJ93" i="97"/>
  <c r="AN123" i="97"/>
  <c r="AM123" i="97"/>
  <c r="AS123" i="97" s="1"/>
  <c r="BA123" i="97" s="1"/>
  <c r="AP123" i="97"/>
  <c r="AO123" i="97"/>
  <c r="AK123" i="97"/>
  <c r="AJ123" i="97"/>
  <c r="AI123" i="97"/>
  <c r="AH123" i="97"/>
  <c r="AP92" i="97"/>
  <c r="AO92" i="97"/>
  <c r="AN92" i="97"/>
  <c r="AK92" i="97"/>
  <c r="AL92" i="97"/>
  <c r="AH92" i="97"/>
  <c r="AJ92" i="97"/>
  <c r="AI92" i="97"/>
  <c r="AM91" i="97"/>
  <c r="AL91" i="97"/>
  <c r="AP91" i="97"/>
  <c r="AO91" i="97"/>
  <c r="AN91" i="97"/>
  <c r="AK91" i="97"/>
  <c r="AI91" i="97"/>
  <c r="AH91" i="97"/>
  <c r="AJ91" i="97"/>
  <c r="AJ90" i="97"/>
  <c r="AI90" i="97"/>
  <c r="AP90" i="97"/>
  <c r="AN90" i="97"/>
  <c r="AM90" i="97"/>
  <c r="AL90" i="97"/>
  <c r="AN89" i="97"/>
  <c r="AK89" i="97"/>
  <c r="AH89" i="97"/>
  <c r="AO88" i="97"/>
  <c r="AN88" i="97"/>
  <c r="AL88" i="97"/>
  <c r="AK88" i="97"/>
  <c r="AH88" i="97"/>
  <c r="AI88" i="97"/>
  <c r="AP87" i="97"/>
  <c r="AO87" i="97"/>
  <c r="AM87" i="97"/>
  <c r="AI87" i="97"/>
  <c r="AH87" i="97"/>
  <c r="AJ87" i="97"/>
  <c r="AJ86" i="97"/>
  <c r="AP86" i="97"/>
  <c r="AO86" i="97"/>
  <c r="AN86" i="97"/>
  <c r="AL86" i="97"/>
  <c r="AK86" i="97"/>
  <c r="AI86" i="97"/>
  <c r="AH86" i="97"/>
  <c r="AP85" i="97"/>
  <c r="AK85" i="97"/>
  <c r="AO85" i="97"/>
  <c r="AN85" i="97"/>
  <c r="AM85" i="97"/>
  <c r="AL85" i="97"/>
  <c r="AH85" i="97"/>
  <c r="AJ85" i="97"/>
  <c r="AI85" i="97"/>
  <c r="AM84" i="97"/>
  <c r="AL84" i="97"/>
  <c r="AP84" i="97"/>
  <c r="AO84" i="97"/>
  <c r="AN84" i="97"/>
  <c r="AK84" i="97"/>
  <c r="AI84" i="97"/>
  <c r="AH84" i="97"/>
  <c r="AJ84" i="97"/>
  <c r="AJ83" i="97"/>
  <c r="AP83" i="97"/>
  <c r="AN83" i="97"/>
  <c r="AM83" i="97"/>
  <c r="AI83" i="97"/>
  <c r="AK122" i="97"/>
  <c r="AO122" i="97"/>
  <c r="AN122" i="97"/>
  <c r="AJ122" i="97"/>
  <c r="AH122" i="97"/>
  <c r="AO82" i="97"/>
  <c r="AL82" i="97"/>
  <c r="AP82" i="97"/>
  <c r="AN82" i="97"/>
  <c r="AK82" i="97"/>
  <c r="AH82" i="97"/>
  <c r="AI82" i="97"/>
  <c r="AP121" i="97"/>
  <c r="AO121" i="97"/>
  <c r="AM121" i="97"/>
  <c r="AI121" i="97"/>
  <c r="AH121" i="97"/>
  <c r="AJ121" i="97"/>
  <c r="AN81" i="97"/>
  <c r="AM81" i="97"/>
  <c r="AP81" i="97"/>
  <c r="AO81" i="97"/>
  <c r="AK81" i="97"/>
  <c r="AJ81" i="97"/>
  <c r="AI81" i="97"/>
  <c r="AH81" i="97"/>
  <c r="AO120" i="97"/>
  <c r="AJ120" i="97"/>
  <c r="AP120" i="97"/>
  <c r="AN120" i="97"/>
  <c r="AL120" i="97"/>
  <c r="AK120" i="97"/>
  <c r="AI120" i="97"/>
  <c r="AH120" i="97"/>
  <c r="AP80" i="97"/>
  <c r="AO80" i="97"/>
  <c r="AN80" i="97"/>
  <c r="AK80" i="97"/>
  <c r="AL80" i="97"/>
  <c r="AH80" i="97"/>
  <c r="AJ80" i="97"/>
  <c r="AI80" i="97"/>
  <c r="AM79" i="97"/>
  <c r="AL79" i="97"/>
  <c r="AP79" i="97"/>
  <c r="AO79" i="97"/>
  <c r="AN79" i="97"/>
  <c r="AK79" i="97"/>
  <c r="AI79" i="97"/>
  <c r="AH79" i="97"/>
  <c r="AJ79" i="97"/>
  <c r="AJ78" i="97"/>
  <c r="AI78" i="97"/>
  <c r="AP78" i="97"/>
  <c r="AN78" i="97"/>
  <c r="AM78" i="97"/>
  <c r="AL78" i="97"/>
  <c r="AN77" i="97"/>
  <c r="AK77" i="97"/>
  <c r="AM77" i="97"/>
  <c r="AH77" i="97"/>
  <c r="AO76" i="97"/>
  <c r="AN76" i="97"/>
  <c r="AL76" i="97"/>
  <c r="AK76" i="97"/>
  <c r="AH76" i="97"/>
  <c r="AI76" i="97"/>
  <c r="AP119" i="97"/>
  <c r="AO119" i="97"/>
  <c r="AL119" i="97"/>
  <c r="AI119" i="97"/>
  <c r="AH119" i="97"/>
  <c r="AJ119" i="97"/>
  <c r="AO75" i="97"/>
  <c r="AN75" i="97"/>
  <c r="AK75" i="97"/>
  <c r="AJ75" i="97"/>
  <c r="AR75" i="97" s="1"/>
  <c r="AZ75" i="97" s="1"/>
  <c r="AI75" i="97"/>
  <c r="AH75" i="97"/>
  <c r="AP118" i="97"/>
  <c r="AK118" i="97"/>
  <c r="AO118" i="97"/>
  <c r="AN118" i="97"/>
  <c r="AM118" i="97"/>
  <c r="AL118" i="97"/>
  <c r="AH118" i="97"/>
  <c r="AJ118" i="97"/>
  <c r="AI118" i="97"/>
  <c r="AM74" i="97"/>
  <c r="AL74" i="97"/>
  <c r="AP74" i="97"/>
  <c r="AO74" i="97"/>
  <c r="AN74" i="97"/>
  <c r="AK74" i="97"/>
  <c r="AI74" i="97"/>
  <c r="AH74" i="97"/>
  <c r="AJ74" i="97"/>
  <c r="AJ73" i="97"/>
  <c r="AP73" i="97"/>
  <c r="AM73" i="97"/>
  <c r="AI73" i="97"/>
  <c r="AK72" i="97"/>
  <c r="AO72" i="97"/>
  <c r="AN72" i="97"/>
  <c r="AJ72" i="97"/>
  <c r="AH72" i="97"/>
  <c r="AO71" i="97"/>
  <c r="AL71" i="97"/>
  <c r="AP71" i="97"/>
  <c r="AN71" i="97"/>
  <c r="AK71" i="97"/>
  <c r="AH71" i="97"/>
  <c r="AI71" i="97"/>
  <c r="AP117" i="97"/>
  <c r="AO117" i="97"/>
  <c r="AM117" i="97"/>
  <c r="AI117" i="97"/>
  <c r="AH117" i="97"/>
  <c r="AJ117" i="97"/>
  <c r="AN70" i="97"/>
  <c r="AM70" i="97"/>
  <c r="AP70" i="97"/>
  <c r="AO70" i="97"/>
  <c r="AK70" i="97"/>
  <c r="AJ70" i="97"/>
  <c r="AI70" i="97"/>
  <c r="AH70" i="97"/>
  <c r="AO69" i="97"/>
  <c r="AJ69" i="97"/>
  <c r="AP69" i="97"/>
  <c r="AN69" i="97"/>
  <c r="AL69" i="97"/>
  <c r="AK69" i="97"/>
  <c r="AI69" i="97"/>
  <c r="AH69" i="97"/>
  <c r="AP116" i="97"/>
  <c r="AO116" i="97"/>
  <c r="AN116" i="97"/>
  <c r="AK116" i="97"/>
  <c r="AL116" i="97"/>
  <c r="AH116" i="97"/>
  <c r="AJ116" i="97"/>
  <c r="AI116" i="97"/>
  <c r="AM115" i="97"/>
  <c r="AL115" i="97"/>
  <c r="AP115" i="97"/>
  <c r="AO115" i="97"/>
  <c r="AN115" i="97"/>
  <c r="AK115" i="97"/>
  <c r="AI115" i="97"/>
  <c r="AH115" i="97"/>
  <c r="AJ115" i="97"/>
  <c r="AJ68" i="97"/>
  <c r="AI68" i="97"/>
  <c r="AP68" i="97"/>
  <c r="AN68" i="97"/>
  <c r="AM68" i="97"/>
  <c r="AL68" i="97"/>
  <c r="AN67" i="97"/>
  <c r="AK67" i="97"/>
  <c r="AM67" i="97"/>
  <c r="AH67" i="97"/>
  <c r="AO66" i="97"/>
  <c r="AN66" i="97"/>
  <c r="AL66" i="97"/>
  <c r="AK66" i="97"/>
  <c r="AH66" i="97"/>
  <c r="AI66" i="97"/>
  <c r="AP65" i="97"/>
  <c r="AO65" i="97"/>
  <c r="AM65" i="97"/>
  <c r="AL65" i="97"/>
  <c r="AI65" i="97"/>
  <c r="AH65" i="97"/>
  <c r="AJ65" i="97"/>
  <c r="AP64" i="97"/>
  <c r="AO64" i="97"/>
  <c r="AN64" i="97"/>
  <c r="AM64" i="97"/>
  <c r="AK64" i="97"/>
  <c r="AJ64" i="97"/>
  <c r="AI64" i="97"/>
  <c r="AH64" i="97"/>
  <c r="AP63" i="97"/>
  <c r="AO63" i="97"/>
  <c r="AN63" i="97"/>
  <c r="AK63" i="97"/>
  <c r="AJ63" i="97"/>
  <c r="AI63" i="97"/>
  <c r="AH63" i="97"/>
  <c r="AM114" i="97"/>
  <c r="AL114" i="97"/>
  <c r="AP114" i="97"/>
  <c r="AO114" i="97"/>
  <c r="AN114" i="97"/>
  <c r="AK114" i="97"/>
  <c r="AI114" i="97"/>
  <c r="AH114" i="97"/>
  <c r="AJ114" i="97"/>
  <c r="AJ113" i="97"/>
  <c r="AP113" i="97"/>
  <c r="AN113" i="97"/>
  <c r="AM113" i="97"/>
  <c r="AI113" i="97"/>
  <c r="AK62" i="97"/>
  <c r="AO62" i="97"/>
  <c r="AN62" i="97"/>
  <c r="AJ62" i="97"/>
  <c r="AH62" i="97"/>
  <c r="AO112" i="97"/>
  <c r="AL112" i="97"/>
  <c r="AP112" i="97"/>
  <c r="AN112" i="97"/>
  <c r="AK112" i="97"/>
  <c r="AH112" i="97"/>
  <c r="AI112" i="97"/>
  <c r="AP61" i="97"/>
  <c r="AO61" i="97"/>
  <c r="AM61" i="97"/>
  <c r="AI61" i="97"/>
  <c r="AH61" i="97"/>
  <c r="AJ61" i="97"/>
  <c r="AN60" i="97"/>
  <c r="AM60" i="97"/>
  <c r="AP60" i="97"/>
  <c r="AO60" i="97"/>
  <c r="AK60" i="97"/>
  <c r="AJ60" i="97"/>
  <c r="AI60" i="97"/>
  <c r="AH60" i="97"/>
  <c r="AO59" i="97"/>
  <c r="AJ59" i="97"/>
  <c r="AP59" i="97"/>
  <c r="AN59" i="97"/>
  <c r="AL59" i="97"/>
  <c r="AK59" i="97"/>
  <c r="AI59" i="97"/>
  <c r="AH59" i="97"/>
  <c r="AM58" i="97"/>
  <c r="AL58" i="97"/>
  <c r="AP58" i="97"/>
  <c r="AO58" i="97"/>
  <c r="AN58" i="97"/>
  <c r="AK58" i="97"/>
  <c r="AI58" i="97"/>
  <c r="AH58" i="97"/>
  <c r="AJ58" i="97"/>
  <c r="AJ57" i="97"/>
  <c r="AI57" i="97"/>
  <c r="AP57" i="97"/>
  <c r="AN57" i="97"/>
  <c r="AM57" i="97"/>
  <c r="AL57" i="97"/>
  <c r="AN56" i="97"/>
  <c r="AK56" i="97"/>
  <c r="AH56" i="97"/>
  <c r="AN55" i="97"/>
  <c r="AH55" i="97"/>
  <c r="AO54" i="97"/>
  <c r="AN54" i="97"/>
  <c r="AJ54" i="97"/>
  <c r="AI54" i="97"/>
  <c r="AH54" i="97"/>
  <c r="AP53" i="97"/>
  <c r="AO53" i="97"/>
  <c r="AN53" i="97"/>
  <c r="AK53" i="97"/>
  <c r="AH53" i="97"/>
  <c r="AI53" i="97"/>
  <c r="AI52" i="97"/>
  <c r="AP52" i="97"/>
  <c r="AO52" i="97"/>
  <c r="AL52" i="97"/>
  <c r="AM52" i="97"/>
  <c r="AH52" i="97"/>
  <c r="AJ52" i="97"/>
  <c r="AN111" i="97"/>
  <c r="AI111" i="97"/>
  <c r="AP111" i="97"/>
  <c r="AO111" i="97"/>
  <c r="AM111" i="97"/>
  <c r="AL111" i="97"/>
  <c r="AK111" i="97"/>
  <c r="AJ111" i="97"/>
  <c r="AH111" i="97"/>
  <c r="AK51" i="97"/>
  <c r="AJ51" i="97"/>
  <c r="AP51" i="97"/>
  <c r="AO51" i="97"/>
  <c r="AN51" i="97"/>
  <c r="AM51" i="97"/>
  <c r="AL51" i="97"/>
  <c r="AI51" i="97"/>
  <c r="AH51" i="97"/>
  <c r="AL50" i="97"/>
  <c r="AK50" i="97"/>
  <c r="AP50" i="97"/>
  <c r="AO50" i="97"/>
  <c r="AN50" i="97"/>
  <c r="AM50" i="97"/>
  <c r="AH50" i="97"/>
  <c r="AJ50" i="97"/>
  <c r="AI50" i="97"/>
  <c r="AP49" i="97"/>
  <c r="AO49" i="97"/>
  <c r="AN49" i="97"/>
  <c r="AM49" i="97"/>
  <c r="AL49" i="97"/>
  <c r="AI49" i="97"/>
  <c r="AH49" i="97"/>
  <c r="AJ49" i="97"/>
  <c r="AO48" i="97"/>
  <c r="AN48" i="97"/>
  <c r="AK48" i="97"/>
  <c r="AJ48" i="97"/>
  <c r="AI48" i="97"/>
  <c r="AH48" i="97"/>
  <c r="AP110" i="97"/>
  <c r="AO110" i="97"/>
  <c r="AN110" i="97"/>
  <c r="AL110" i="97"/>
  <c r="AH110" i="97"/>
  <c r="AJ110" i="97"/>
  <c r="AI110" i="97"/>
  <c r="AP47" i="97"/>
  <c r="AO47" i="97"/>
  <c r="AN47" i="97"/>
  <c r="AL47" i="97"/>
  <c r="AM47" i="97"/>
  <c r="AI47" i="97"/>
  <c r="AH47" i="97"/>
  <c r="AJ47" i="97"/>
  <c r="AN46" i="97"/>
  <c r="AI46" i="97"/>
  <c r="AP46" i="97"/>
  <c r="AO46" i="97"/>
  <c r="AM46" i="97"/>
  <c r="AL46" i="97"/>
  <c r="AK46" i="97"/>
  <c r="AJ46" i="97"/>
  <c r="AH46" i="97"/>
  <c r="AK45" i="97"/>
  <c r="AJ45" i="97"/>
  <c r="AP45" i="97"/>
  <c r="AO45" i="97"/>
  <c r="AN45" i="97"/>
  <c r="AM45" i="97"/>
  <c r="AL45" i="97"/>
  <c r="AI45" i="97"/>
  <c r="AH45" i="97"/>
  <c r="AL44" i="97"/>
  <c r="AK44" i="97"/>
  <c r="AP44" i="97"/>
  <c r="AO44" i="97"/>
  <c r="AN44" i="97"/>
  <c r="AM44" i="97"/>
  <c r="AH44" i="97"/>
  <c r="AJ44" i="97"/>
  <c r="AI44" i="97"/>
  <c r="AP43" i="97"/>
  <c r="AM43" i="97"/>
  <c r="AO43" i="97"/>
  <c r="AN43" i="97"/>
  <c r="AL43" i="97"/>
  <c r="AK43" i="97"/>
  <c r="AS43" i="97" s="1"/>
  <c r="BA43" i="97" s="1"/>
  <c r="AI43" i="97"/>
  <c r="AH43" i="97"/>
  <c r="AJ43" i="97"/>
  <c r="AJ42" i="97"/>
  <c r="AP42" i="97"/>
  <c r="AM42" i="97"/>
  <c r="AH42" i="97"/>
  <c r="AO41" i="97"/>
  <c r="AN41" i="97"/>
  <c r="AJ41" i="97"/>
  <c r="AI41" i="97"/>
  <c r="AH41" i="97"/>
  <c r="AP109" i="97"/>
  <c r="AO109" i="97"/>
  <c r="AN109" i="97"/>
  <c r="AL109" i="97"/>
  <c r="AK109" i="97"/>
  <c r="AH109" i="97"/>
  <c r="AI109" i="97"/>
  <c r="AP108" i="97"/>
  <c r="AO108" i="97"/>
  <c r="AM108" i="97"/>
  <c r="AL108" i="97"/>
  <c r="AI108" i="97"/>
  <c r="AH108" i="97"/>
  <c r="AJ108" i="97"/>
  <c r="AP40" i="97"/>
  <c r="AN40" i="97"/>
  <c r="AM40" i="97"/>
  <c r="AJ40" i="97"/>
  <c r="AI40" i="97"/>
  <c r="AH40" i="97"/>
  <c r="AO39" i="97"/>
  <c r="AN39" i="97"/>
  <c r="AK39" i="97"/>
  <c r="AJ39" i="97"/>
  <c r="AI39" i="97"/>
  <c r="AH39" i="97"/>
  <c r="AP107" i="97"/>
  <c r="AO107" i="97"/>
  <c r="AN107" i="97"/>
  <c r="AL107" i="97"/>
  <c r="AK107" i="97"/>
  <c r="AH107" i="97"/>
  <c r="AJ107" i="97"/>
  <c r="AI107" i="97"/>
  <c r="AL38" i="97"/>
  <c r="AP38" i="97"/>
  <c r="AO38" i="97"/>
  <c r="AN38" i="97"/>
  <c r="AM38" i="97"/>
  <c r="AI38" i="97"/>
  <c r="AH38" i="97"/>
  <c r="AJ38" i="97"/>
  <c r="AN37" i="97"/>
  <c r="AI37" i="97"/>
  <c r="AP37" i="97"/>
  <c r="AO37" i="97"/>
  <c r="AM37" i="97"/>
  <c r="AL37" i="97"/>
  <c r="AK37" i="97"/>
  <c r="AJ37" i="97"/>
  <c r="AK36" i="97"/>
  <c r="AJ36" i="97"/>
  <c r="AP36" i="97"/>
  <c r="AO36" i="97"/>
  <c r="AN36" i="97"/>
  <c r="AM36" i="97"/>
  <c r="AL36" i="97"/>
  <c r="AH36" i="97"/>
  <c r="AP35" i="97"/>
  <c r="AO35" i="97"/>
  <c r="AM35" i="97"/>
  <c r="AL35" i="97"/>
  <c r="AI35" i="97"/>
  <c r="AH35" i="97"/>
  <c r="AJ35" i="97"/>
  <c r="AR35" i="97" s="1"/>
  <c r="AZ35" i="97" s="1"/>
  <c r="AO34" i="97"/>
  <c r="AN34" i="97"/>
  <c r="AK34" i="97"/>
  <c r="AJ34" i="97"/>
  <c r="AI34" i="97"/>
  <c r="AH34" i="97"/>
  <c r="AL33" i="97"/>
  <c r="AP33" i="97"/>
  <c r="AO33" i="97"/>
  <c r="AN33" i="97"/>
  <c r="AM33" i="97"/>
  <c r="AI33" i="97"/>
  <c r="AH33" i="97"/>
  <c r="AJ33" i="97"/>
  <c r="AN32" i="97"/>
  <c r="AJ32" i="97"/>
  <c r="AI32" i="97"/>
  <c r="AP32" i="97"/>
  <c r="AO32" i="97"/>
  <c r="AM32" i="97"/>
  <c r="AL32" i="97"/>
  <c r="AK32" i="97"/>
  <c r="AK106" i="97"/>
  <c r="AJ106" i="97"/>
  <c r="AP106" i="97"/>
  <c r="AO106" i="97"/>
  <c r="AN106" i="97"/>
  <c r="AM106" i="97"/>
  <c r="AL106" i="97"/>
  <c r="AH106" i="97"/>
  <c r="AL31" i="97"/>
  <c r="AK31" i="97"/>
  <c r="AP31" i="97"/>
  <c r="AO31" i="97"/>
  <c r="AN31" i="97"/>
  <c r="AM31" i="97"/>
  <c r="AH31" i="97"/>
  <c r="AI31" i="97"/>
  <c r="AP30" i="97"/>
  <c r="AO30" i="97"/>
  <c r="AM30" i="97"/>
  <c r="AL30" i="97"/>
  <c r="AI30" i="97"/>
  <c r="AH30" i="97"/>
  <c r="AJ30" i="97"/>
  <c r="AP29" i="97"/>
  <c r="AN29" i="97"/>
  <c r="AM29" i="97"/>
  <c r="AJ29" i="97"/>
  <c r="AI29" i="97"/>
  <c r="AH29" i="97"/>
  <c r="AL28" i="97"/>
  <c r="AP28" i="97"/>
  <c r="AO28" i="97"/>
  <c r="AN28" i="97"/>
  <c r="AM28" i="97"/>
  <c r="AI28" i="97"/>
  <c r="AH28" i="97"/>
  <c r="AJ28" i="97"/>
  <c r="AN27" i="97"/>
  <c r="AJ27" i="97"/>
  <c r="AI27" i="97"/>
  <c r="AP27" i="97"/>
  <c r="AO27" i="97"/>
  <c r="AM27" i="97"/>
  <c r="AL27" i="97"/>
  <c r="AK27" i="97"/>
  <c r="AK105" i="97"/>
  <c r="AJ105" i="97"/>
  <c r="AP105" i="97"/>
  <c r="AO105" i="97"/>
  <c r="AN105" i="97"/>
  <c r="AM105" i="97"/>
  <c r="AL105" i="97"/>
  <c r="AH105" i="97"/>
  <c r="AL104" i="97"/>
  <c r="AK104" i="97"/>
  <c r="AP104" i="97"/>
  <c r="AO104" i="97"/>
  <c r="AN104" i="97"/>
  <c r="AM104" i="97"/>
  <c r="AH104" i="97"/>
  <c r="AI104" i="97"/>
  <c r="AP26" i="97"/>
  <c r="AO26" i="97"/>
  <c r="AM26" i="97"/>
  <c r="AL26" i="97"/>
  <c r="AI26" i="97"/>
  <c r="AH26" i="97"/>
  <c r="AJ26" i="97"/>
  <c r="AP25" i="97"/>
  <c r="AN25" i="97"/>
  <c r="AM25" i="97"/>
  <c r="AJ25" i="97"/>
  <c r="AI25" i="97"/>
  <c r="AH25" i="97"/>
  <c r="AO24" i="97"/>
  <c r="AN24" i="97"/>
  <c r="AK24" i="97"/>
  <c r="AJ24" i="97"/>
  <c r="AI24" i="97"/>
  <c r="AH24" i="97"/>
  <c r="AP23" i="97"/>
  <c r="AO23" i="97"/>
  <c r="AN23" i="97"/>
  <c r="AL23" i="97"/>
  <c r="AK23" i="97"/>
  <c r="AH23" i="97"/>
  <c r="AJ23" i="97"/>
  <c r="AI23" i="97"/>
  <c r="AL22" i="97"/>
  <c r="AP22" i="97"/>
  <c r="AO22" i="97"/>
  <c r="AN22" i="97"/>
  <c r="AM22" i="97"/>
  <c r="AI22" i="97"/>
  <c r="AH22" i="97"/>
  <c r="AJ22" i="97"/>
  <c r="AK21" i="97"/>
  <c r="AJ21" i="97"/>
  <c r="AP21" i="97"/>
  <c r="AO21" i="97"/>
  <c r="AN21" i="97"/>
  <c r="AM21" i="97"/>
  <c r="AL21" i="97"/>
  <c r="AH21" i="97"/>
  <c r="AL20" i="97"/>
  <c r="AK20" i="97"/>
  <c r="AP20" i="97"/>
  <c r="AO20" i="97"/>
  <c r="AN20" i="97"/>
  <c r="AM20" i="97"/>
  <c r="AH20" i="97"/>
  <c r="AI20" i="97"/>
  <c r="AP19" i="97"/>
  <c r="AO19" i="97"/>
  <c r="AM19" i="97"/>
  <c r="AL19" i="97"/>
  <c r="AI19" i="97"/>
  <c r="AH19" i="97"/>
  <c r="AJ19" i="97"/>
  <c r="AP103" i="97"/>
  <c r="AN103" i="97"/>
  <c r="AM103" i="97"/>
  <c r="AJ103" i="97"/>
  <c r="AI103" i="97"/>
  <c r="AH103" i="97"/>
  <c r="AO18" i="97"/>
  <c r="AN18" i="97"/>
  <c r="AK18" i="97"/>
  <c r="AJ18" i="97"/>
  <c r="AI18" i="97"/>
  <c r="AH18" i="97"/>
  <c r="AP17" i="97"/>
  <c r="AO17" i="97"/>
  <c r="AJ17" i="97"/>
  <c r="AN17" i="97"/>
  <c r="AK17" i="97"/>
  <c r="AM17" i="97"/>
  <c r="AL17" i="97"/>
  <c r="AH17" i="97"/>
  <c r="AP16" i="97"/>
  <c r="AO16" i="97"/>
  <c r="AK16" i="97"/>
  <c r="AN16" i="97"/>
  <c r="AL16" i="97"/>
  <c r="AM16" i="97"/>
  <c r="AI16" i="97"/>
  <c r="AH16" i="97"/>
  <c r="AO15" i="97"/>
  <c r="AJ15" i="97"/>
  <c r="AN15" i="97"/>
  <c r="AP15" i="97"/>
  <c r="AK15" i="97"/>
  <c r="AM15" i="97"/>
  <c r="AI15" i="97"/>
  <c r="AP14" i="97"/>
  <c r="AO14" i="97"/>
  <c r="AN14" i="97"/>
  <c r="AL14" i="97"/>
  <c r="AK14" i="97"/>
  <c r="AJ14" i="97"/>
  <c r="AH14" i="97"/>
  <c r="AP13" i="97"/>
  <c r="AO13" i="97"/>
  <c r="AN13" i="97"/>
  <c r="AM13" i="97"/>
  <c r="AL13" i="97"/>
  <c r="AK13" i="97"/>
  <c r="AH13" i="97"/>
  <c r="AI13" i="97"/>
  <c r="AN12" i="97"/>
  <c r="AP12" i="97"/>
  <c r="AM12" i="97"/>
  <c r="AL12" i="97"/>
  <c r="AI12" i="97"/>
  <c r="AH12" i="97"/>
  <c r="AJ12" i="97"/>
  <c r="AO11" i="97"/>
  <c r="AN11" i="97"/>
  <c r="AK11" i="97"/>
  <c r="AM11" i="97"/>
  <c r="AJ11" i="97"/>
  <c r="AI11" i="97"/>
  <c r="AH11" i="97"/>
  <c r="AP10" i="97"/>
  <c r="AO10" i="97"/>
  <c r="AN10" i="97"/>
  <c r="AL10" i="97"/>
  <c r="AK10" i="97"/>
  <c r="AJ10" i="97"/>
  <c r="AI10" i="97"/>
  <c r="AH10" i="97"/>
  <c r="AP9" i="97"/>
  <c r="AO9" i="97"/>
  <c r="AN9" i="97"/>
  <c r="AM9" i="97"/>
  <c r="AL9" i="97"/>
  <c r="AK9" i="97"/>
  <c r="AH9" i="97"/>
  <c r="AJ9" i="97"/>
  <c r="AI9" i="97"/>
  <c r="AP102" i="97"/>
  <c r="AO102" i="97"/>
  <c r="AN102" i="97"/>
  <c r="AM102" i="97"/>
  <c r="AL102" i="97"/>
  <c r="AK102" i="97"/>
  <c r="AI102" i="97"/>
  <c r="AH102" i="97"/>
  <c r="AJ102" i="97"/>
  <c r="AP8" i="97"/>
  <c r="AO8" i="97"/>
  <c r="AN8" i="97"/>
  <c r="AM8" i="97"/>
  <c r="AL8" i="97"/>
  <c r="AK8" i="97"/>
  <c r="AJ8" i="97"/>
  <c r="AI8" i="97"/>
  <c r="AH8" i="97"/>
  <c r="AP7" i="97"/>
  <c r="AO7" i="97"/>
  <c r="AN7" i="97"/>
  <c r="AM7" i="97"/>
  <c r="AL7" i="97"/>
  <c r="AK7" i="97"/>
  <c r="AJ7" i="97"/>
  <c r="AI7" i="97"/>
  <c r="AH7" i="97"/>
  <c r="AP6" i="97"/>
  <c r="AO6" i="97"/>
  <c r="AN6" i="97"/>
  <c r="AM6" i="97"/>
  <c r="AL6" i="97"/>
  <c r="AK6" i="97"/>
  <c r="AH6" i="97"/>
  <c r="AJ6" i="97"/>
  <c r="AI6" i="97"/>
  <c r="AM14" i="97"/>
  <c r="AK30" i="97"/>
  <c r="AK35" i="97"/>
  <c r="AK49" i="97"/>
  <c r="AM56" i="97"/>
  <c r="AL87" i="97"/>
  <c r="AM89" i="97"/>
  <c r="AM10" i="97"/>
  <c r="AL11" i="97"/>
  <c r="AP11" i="97"/>
  <c r="AK12" i="97"/>
  <c r="AO12" i="97"/>
  <c r="AJ16" i="97"/>
  <c r="AI17" i="97"/>
  <c r="AM18" i="97"/>
  <c r="AL103" i="97"/>
  <c r="AN19" i="97"/>
  <c r="AJ20" i="97"/>
  <c r="AI21" i="97"/>
  <c r="AM24" i="97"/>
  <c r="AL25" i="97"/>
  <c r="AN26" i="97"/>
  <c r="AJ104" i="97"/>
  <c r="AI105" i="97"/>
  <c r="AH27" i="97"/>
  <c r="AL29" i="97"/>
  <c r="AN30" i="97"/>
  <c r="AJ31" i="97"/>
  <c r="AI106" i="97"/>
  <c r="AH32" i="97"/>
  <c r="AM34" i="97"/>
  <c r="AN35" i="97"/>
  <c r="AI36" i="97"/>
  <c r="AH37" i="97"/>
  <c r="AM39" i="97"/>
  <c r="AL40" i="97"/>
  <c r="AN108" i="97"/>
  <c r="AJ109" i="97"/>
  <c r="AK41" i="97"/>
  <c r="AI42" i="97"/>
  <c r="AN42" i="97"/>
  <c r="AN52" i="97"/>
  <c r="AJ53" i="97"/>
  <c r="AL53" i="97"/>
  <c r="AK54" i="97"/>
  <c r="AI55" i="97"/>
  <c r="AK55" i="97"/>
  <c r="AL55" i="97"/>
  <c r="AO55" i="97"/>
  <c r="AL63" i="97"/>
  <c r="AL125" i="97"/>
  <c r="AM99" i="97"/>
  <c r="AL15" i="97"/>
  <c r="AK19" i="97"/>
  <c r="AK26" i="97"/>
  <c r="AK108" i="97"/>
  <c r="AK110" i="97"/>
  <c r="AJ13" i="97"/>
  <c r="AI14" i="97"/>
  <c r="AH15" i="97"/>
  <c r="AL18" i="97"/>
  <c r="AP18" i="97"/>
  <c r="AK103" i="97"/>
  <c r="AO103" i="97"/>
  <c r="AK22" i="97"/>
  <c r="AM23" i="97"/>
  <c r="AL24" i="97"/>
  <c r="AP24" i="97"/>
  <c r="AK25" i="97"/>
  <c r="AO25" i="97"/>
  <c r="AK28" i="97"/>
  <c r="AK29" i="97"/>
  <c r="AO29" i="97"/>
  <c r="AK33" i="97"/>
  <c r="AL34" i="97"/>
  <c r="AP34" i="97"/>
  <c r="AK38" i="97"/>
  <c r="AM107" i="97"/>
  <c r="AL39" i="97"/>
  <c r="AP39" i="97"/>
  <c r="AK40" i="97"/>
  <c r="AS40" i="97" s="1"/>
  <c r="BA40" i="97" s="1"/>
  <c r="AO40" i="97"/>
  <c r="AN73" i="97"/>
  <c r="AL75" i="97"/>
  <c r="AP75" i="97"/>
  <c r="AM119" i="97"/>
  <c r="AK98" i="97"/>
  <c r="AO98" i="97"/>
  <c r="AM109" i="97"/>
  <c r="AL41" i="97"/>
  <c r="AP41" i="97"/>
  <c r="AK42" i="97"/>
  <c r="AO42" i="97"/>
  <c r="AK47" i="97"/>
  <c r="AM110" i="97"/>
  <c r="AL48" i="97"/>
  <c r="AP48" i="97"/>
  <c r="AK52" i="97"/>
  <c r="AM53" i="97"/>
  <c r="AL54" i="97"/>
  <c r="AP54" i="97"/>
  <c r="AP55" i="97"/>
  <c r="AJ56" i="97"/>
  <c r="AO56" i="97"/>
  <c r="AL61" i="97"/>
  <c r="AM62" i="97"/>
  <c r="AP66" i="97"/>
  <c r="AJ67" i="97"/>
  <c r="AO67" i="97"/>
  <c r="AM116" i="97"/>
  <c r="AL117" i="97"/>
  <c r="AM72" i="97"/>
  <c r="AP76" i="97"/>
  <c r="AJ77" i="97"/>
  <c r="AO77" i="97"/>
  <c r="AM80" i="97"/>
  <c r="AL121" i="97"/>
  <c r="AM122" i="97"/>
  <c r="AP88" i="97"/>
  <c r="AJ89" i="97"/>
  <c r="AO89" i="97"/>
  <c r="AM92" i="97"/>
  <c r="AL93" i="97"/>
  <c r="AM95" i="97"/>
  <c r="AP126" i="97"/>
  <c r="AJ99" i="97"/>
  <c r="AO99" i="97"/>
  <c r="AM41" i="97"/>
  <c r="AL42" i="97"/>
  <c r="AM48" i="97"/>
  <c r="AM54" i="97"/>
  <c r="AL113" i="97"/>
  <c r="AL73" i="97"/>
  <c r="AL83" i="97"/>
  <c r="AL124" i="97"/>
  <c r="AM55" i="97"/>
  <c r="AL56" i="97"/>
  <c r="AP56" i="97"/>
  <c r="AK57" i="97"/>
  <c r="AO57" i="97"/>
  <c r="AK61" i="97"/>
  <c r="AM112" i="97"/>
  <c r="AL62" i="97"/>
  <c r="AP62" i="97"/>
  <c r="AK113" i="97"/>
  <c r="AS113" i="97" s="1"/>
  <c r="BA113" i="97" s="1"/>
  <c r="AO113" i="97"/>
  <c r="AK65" i="97"/>
  <c r="AM66" i="97"/>
  <c r="AL67" i="97"/>
  <c r="AP67" i="97"/>
  <c r="AK68" i="97"/>
  <c r="AO68" i="97"/>
  <c r="AR69" i="97"/>
  <c r="AZ69" i="97" s="1"/>
  <c r="AK117" i="97"/>
  <c r="AM71" i="97"/>
  <c r="AL72" i="97"/>
  <c r="AP72" i="97"/>
  <c r="AK73" i="97"/>
  <c r="AO73" i="97"/>
  <c r="AK119" i="97"/>
  <c r="AM76" i="97"/>
  <c r="AL77" i="97"/>
  <c r="AP77" i="97"/>
  <c r="AK78" i="97"/>
  <c r="AS78" i="97" s="1"/>
  <c r="BA78" i="97" s="1"/>
  <c r="AO78" i="97"/>
  <c r="AK121" i="97"/>
  <c r="AM82" i="97"/>
  <c r="AL122" i="97"/>
  <c r="AP122" i="97"/>
  <c r="AK83" i="97"/>
  <c r="AO83" i="97"/>
  <c r="AK87" i="97"/>
  <c r="AM88" i="97"/>
  <c r="AL89" i="97"/>
  <c r="AP89" i="97"/>
  <c r="AK90" i="97"/>
  <c r="AS90" i="97" s="1"/>
  <c r="BA90" i="97" s="1"/>
  <c r="AO90" i="97"/>
  <c r="AK93" i="97"/>
  <c r="AM94" i="97"/>
  <c r="AL95" i="97"/>
  <c r="AP95" i="97"/>
  <c r="AK124" i="97"/>
  <c r="AK125" i="97"/>
  <c r="AM126" i="97"/>
  <c r="AL99" i="97"/>
  <c r="AP99" i="97"/>
  <c r="AK100" i="97"/>
  <c r="AS100" i="97" s="1"/>
  <c r="BA100" i="97" s="1"/>
  <c r="AO100" i="97"/>
  <c r="AJ55" i="97"/>
  <c r="AI56" i="97"/>
  <c r="AH57" i="97"/>
  <c r="AM59" i="97"/>
  <c r="AL60" i="97"/>
  <c r="AN61" i="97"/>
  <c r="AJ112" i="97"/>
  <c r="AI62" i="97"/>
  <c r="AH113" i="97"/>
  <c r="AM63" i="97"/>
  <c r="AL64" i="97"/>
  <c r="AN65" i="97"/>
  <c r="AT65" i="97" s="1"/>
  <c r="BB65" i="97" s="1"/>
  <c r="AJ66" i="97"/>
  <c r="AR66" i="97" s="1"/>
  <c r="AZ66" i="97" s="1"/>
  <c r="AI67" i="97"/>
  <c r="AH68" i="97"/>
  <c r="AM69" i="97"/>
  <c r="AS69" i="97" s="1"/>
  <c r="BA69" i="97" s="1"/>
  <c r="AL70" i="97"/>
  <c r="AN117" i="97"/>
  <c r="AJ71" i="97"/>
  <c r="AI72" i="97"/>
  <c r="AH73" i="97"/>
  <c r="AM75" i="97"/>
  <c r="AN119" i="97"/>
  <c r="AJ76" i="97"/>
  <c r="AI77" i="97"/>
  <c r="AH78" i="97"/>
  <c r="AM120" i="97"/>
  <c r="AL81" i="97"/>
  <c r="AN121" i="97"/>
  <c r="AJ82" i="97"/>
  <c r="AI122" i="97"/>
  <c r="AH83" i="97"/>
  <c r="AM86" i="97"/>
  <c r="AN87" i="97"/>
  <c r="AJ88" i="97"/>
  <c r="AI89" i="97"/>
  <c r="AH90" i="97"/>
  <c r="AL123" i="97"/>
  <c r="AN93" i="97"/>
  <c r="AJ94" i="97"/>
  <c r="AR94" i="97" s="1"/>
  <c r="AZ94" i="97" s="1"/>
  <c r="AI95" i="97"/>
  <c r="AH124" i="97"/>
  <c r="AL98" i="97"/>
  <c r="AN125" i="97"/>
  <c r="AJ126" i="97"/>
  <c r="AI99" i="97"/>
  <c r="AH100" i="97"/>
  <c r="F4" i="96"/>
  <c r="E4" i="96"/>
  <c r="N82" i="95"/>
  <c r="X82" i="95" s="1"/>
  <c r="J82" i="95"/>
  <c r="U82" i="95" s="1"/>
  <c r="F82" i="95"/>
  <c r="N12" i="95"/>
  <c r="X12" i="95" s="1"/>
  <c r="J12" i="95"/>
  <c r="U12" i="95" s="1"/>
  <c r="F12" i="95"/>
  <c r="R12" i="95" s="1"/>
  <c r="N81" i="95"/>
  <c r="X81" i="95" s="1"/>
  <c r="J81" i="95"/>
  <c r="U81" i="95" s="1"/>
  <c r="F81" i="95"/>
  <c r="R81" i="95" s="1"/>
  <c r="N99" i="95"/>
  <c r="X99" i="95" s="1"/>
  <c r="J99" i="95"/>
  <c r="U99" i="95" s="1"/>
  <c r="F99" i="95"/>
  <c r="R99" i="95" s="1"/>
  <c r="N83" i="95"/>
  <c r="X83" i="95" s="1"/>
  <c r="J83" i="95"/>
  <c r="U83" i="95" s="1"/>
  <c r="F83" i="95"/>
  <c r="R83" i="95" s="1"/>
  <c r="N33" i="95"/>
  <c r="X33" i="95" s="1"/>
  <c r="J33" i="95"/>
  <c r="U33" i="95" s="1"/>
  <c r="F33" i="95"/>
  <c r="R33" i="95" s="1"/>
  <c r="N14" i="95"/>
  <c r="X14" i="95" s="1"/>
  <c r="J14" i="95"/>
  <c r="U14" i="95" s="1"/>
  <c r="F14" i="95"/>
  <c r="R14" i="95" s="1"/>
  <c r="N44" i="95"/>
  <c r="X44" i="95" s="1"/>
  <c r="J44" i="95"/>
  <c r="U44" i="95" s="1"/>
  <c r="F44" i="95"/>
  <c r="R44" i="95" s="1"/>
  <c r="N25" i="95"/>
  <c r="X25" i="95" s="1"/>
  <c r="J25" i="95"/>
  <c r="U25" i="95" s="1"/>
  <c r="F25" i="95"/>
  <c r="R25" i="95" s="1"/>
  <c r="N7" i="95"/>
  <c r="J7" i="95"/>
  <c r="F7" i="95"/>
  <c r="R7" i="95" s="1"/>
  <c r="W125" i="95"/>
  <c r="V125" i="95"/>
  <c r="W124" i="95"/>
  <c r="V124" i="95"/>
  <c r="W123" i="95"/>
  <c r="V123" i="95"/>
  <c r="W122" i="95"/>
  <c r="V122" i="95"/>
  <c r="W121" i="95"/>
  <c r="V121" i="95"/>
  <c r="W120" i="95"/>
  <c r="V120" i="95"/>
  <c r="W119" i="95"/>
  <c r="V119" i="95"/>
  <c r="W118" i="95"/>
  <c r="V118" i="95"/>
  <c r="W117" i="95"/>
  <c r="V117" i="95"/>
  <c r="W116" i="95"/>
  <c r="V116" i="95"/>
  <c r="W115" i="95"/>
  <c r="V115" i="95"/>
  <c r="W114" i="95"/>
  <c r="V114" i="95"/>
  <c r="W113" i="95"/>
  <c r="V113" i="95"/>
  <c r="W112" i="95"/>
  <c r="V112" i="95"/>
  <c r="W111" i="95"/>
  <c r="V111" i="95"/>
  <c r="W110" i="95"/>
  <c r="V110" i="95"/>
  <c r="W109" i="95"/>
  <c r="V109" i="95"/>
  <c r="W108" i="95"/>
  <c r="V108" i="95"/>
  <c r="W107" i="95"/>
  <c r="V107" i="95"/>
  <c r="W106" i="95"/>
  <c r="V106" i="95"/>
  <c r="W105" i="95"/>
  <c r="V105" i="95"/>
  <c r="W104" i="95"/>
  <c r="V104" i="95"/>
  <c r="W103" i="95"/>
  <c r="V103" i="95"/>
  <c r="W102" i="95"/>
  <c r="V102" i="95"/>
  <c r="W101" i="95"/>
  <c r="V101" i="95"/>
  <c r="W100" i="95"/>
  <c r="V100" i="95"/>
  <c r="W99" i="95"/>
  <c r="V99" i="95"/>
  <c r="W98" i="95"/>
  <c r="V98" i="95"/>
  <c r="W97" i="95"/>
  <c r="V97" i="95"/>
  <c r="W96" i="95"/>
  <c r="V96" i="95"/>
  <c r="W95" i="95"/>
  <c r="V95" i="95"/>
  <c r="W94" i="95"/>
  <c r="V94" i="95"/>
  <c r="W93" i="95"/>
  <c r="V93" i="95"/>
  <c r="W92" i="95"/>
  <c r="V92" i="95"/>
  <c r="W91" i="95"/>
  <c r="V91" i="95"/>
  <c r="W90" i="95"/>
  <c r="V90" i="95"/>
  <c r="W89" i="95"/>
  <c r="V89" i="95"/>
  <c r="W88" i="95"/>
  <c r="V88" i="95"/>
  <c r="W87" i="95"/>
  <c r="V87" i="95"/>
  <c r="W86" i="95"/>
  <c r="V86" i="95"/>
  <c r="W85" i="95"/>
  <c r="V85" i="95"/>
  <c r="W84" i="95"/>
  <c r="V84" i="95"/>
  <c r="W83" i="95"/>
  <c r="V83" i="95"/>
  <c r="W82" i="95"/>
  <c r="V82" i="95"/>
  <c r="W81" i="95"/>
  <c r="V81" i="95"/>
  <c r="W80" i="95"/>
  <c r="V80" i="95"/>
  <c r="W79" i="95"/>
  <c r="V79" i="95"/>
  <c r="W78" i="95"/>
  <c r="V78" i="95"/>
  <c r="W77" i="95"/>
  <c r="V77" i="95"/>
  <c r="W76" i="95"/>
  <c r="V76" i="95"/>
  <c r="W75" i="95"/>
  <c r="V75" i="95"/>
  <c r="W74" i="95"/>
  <c r="V74" i="95"/>
  <c r="W73" i="95"/>
  <c r="V73" i="95"/>
  <c r="W72" i="95"/>
  <c r="V72" i="95"/>
  <c r="W71" i="95"/>
  <c r="V71" i="95"/>
  <c r="W70" i="95"/>
  <c r="V70" i="95"/>
  <c r="W69" i="95"/>
  <c r="V69" i="95"/>
  <c r="W68" i="95"/>
  <c r="V68" i="95"/>
  <c r="W67" i="95"/>
  <c r="V67" i="95"/>
  <c r="W66" i="95"/>
  <c r="V66" i="95"/>
  <c r="W65" i="95"/>
  <c r="V65" i="95"/>
  <c r="W64" i="95"/>
  <c r="V64" i="95"/>
  <c r="W63" i="95"/>
  <c r="V63" i="95"/>
  <c r="W62" i="95"/>
  <c r="V62" i="95"/>
  <c r="W61" i="95"/>
  <c r="V61" i="95"/>
  <c r="W60" i="95"/>
  <c r="V60" i="95"/>
  <c r="W59" i="95"/>
  <c r="V59" i="95"/>
  <c r="W58" i="95"/>
  <c r="V58" i="95"/>
  <c r="W57" i="95"/>
  <c r="V57" i="95"/>
  <c r="W56" i="95"/>
  <c r="V56" i="95"/>
  <c r="W55" i="95"/>
  <c r="V55" i="95"/>
  <c r="W54" i="95"/>
  <c r="V54" i="95"/>
  <c r="W53" i="95"/>
  <c r="V53" i="95"/>
  <c r="W52" i="95"/>
  <c r="V52" i="95"/>
  <c r="W51" i="95"/>
  <c r="V51" i="95"/>
  <c r="W50" i="95"/>
  <c r="V50" i="95"/>
  <c r="W49" i="95"/>
  <c r="V49" i="95"/>
  <c r="W48" i="95"/>
  <c r="V48" i="95"/>
  <c r="W47" i="95"/>
  <c r="V47" i="95"/>
  <c r="W46" i="95"/>
  <c r="V46" i="95"/>
  <c r="W45" i="95"/>
  <c r="V45" i="95"/>
  <c r="W44" i="95"/>
  <c r="V44" i="95"/>
  <c r="W43" i="95"/>
  <c r="V43" i="95"/>
  <c r="W42" i="95"/>
  <c r="V42" i="95"/>
  <c r="W41" i="95"/>
  <c r="V41" i="95"/>
  <c r="W40" i="95"/>
  <c r="V40" i="95"/>
  <c r="W39" i="95"/>
  <c r="V39" i="95"/>
  <c r="W38" i="95"/>
  <c r="V38" i="95"/>
  <c r="W37" i="95"/>
  <c r="V37" i="95"/>
  <c r="W36" i="95"/>
  <c r="V36" i="95"/>
  <c r="W35" i="95"/>
  <c r="V35" i="95"/>
  <c r="W34" i="95"/>
  <c r="V34" i="95"/>
  <c r="W33" i="95"/>
  <c r="V33" i="95"/>
  <c r="W32" i="95"/>
  <c r="V32" i="95"/>
  <c r="W31" i="95"/>
  <c r="V31" i="95"/>
  <c r="W30" i="95"/>
  <c r="V30" i="95"/>
  <c r="W29" i="95"/>
  <c r="V29" i="95"/>
  <c r="W28" i="95"/>
  <c r="V28" i="95"/>
  <c r="W27" i="95"/>
  <c r="V27" i="95"/>
  <c r="W26" i="95"/>
  <c r="V26" i="95"/>
  <c r="W25" i="95"/>
  <c r="V25" i="95"/>
  <c r="W24" i="95"/>
  <c r="V24" i="95"/>
  <c r="W23" i="95"/>
  <c r="V23" i="95"/>
  <c r="W22" i="95"/>
  <c r="V22" i="95"/>
  <c r="W21" i="95"/>
  <c r="V21" i="95"/>
  <c r="W20" i="95"/>
  <c r="V20" i="95"/>
  <c r="W19" i="95"/>
  <c r="V19" i="95"/>
  <c r="W18" i="95"/>
  <c r="V18" i="95"/>
  <c r="W17" i="95"/>
  <c r="V17" i="95"/>
  <c r="W16" i="95"/>
  <c r="V16" i="95"/>
  <c r="W15" i="95"/>
  <c r="V15" i="95"/>
  <c r="W14" i="95"/>
  <c r="V14" i="95"/>
  <c r="W13" i="95"/>
  <c r="V13" i="95"/>
  <c r="W12" i="95"/>
  <c r="V12" i="95"/>
  <c r="W11" i="95"/>
  <c r="V11" i="95"/>
  <c r="W10" i="95"/>
  <c r="V10" i="95"/>
  <c r="W9" i="95"/>
  <c r="V9" i="95"/>
  <c r="W8" i="95"/>
  <c r="V8" i="95"/>
  <c r="W7" i="95"/>
  <c r="V7" i="95"/>
  <c r="W6" i="95"/>
  <c r="V6" i="95"/>
  <c r="W5" i="95"/>
  <c r="V5" i="95"/>
  <c r="T125" i="95"/>
  <c r="S125" i="95"/>
  <c r="T124" i="95"/>
  <c r="S124" i="95"/>
  <c r="T123" i="95"/>
  <c r="S123" i="95"/>
  <c r="T122" i="95"/>
  <c r="S122" i="95"/>
  <c r="T121" i="95"/>
  <c r="S121" i="95"/>
  <c r="T120" i="95"/>
  <c r="S120" i="95"/>
  <c r="T119" i="95"/>
  <c r="S119" i="95"/>
  <c r="T118" i="95"/>
  <c r="S118" i="95"/>
  <c r="T117" i="95"/>
  <c r="S117" i="95"/>
  <c r="T116" i="95"/>
  <c r="S116" i="95"/>
  <c r="T115" i="95"/>
  <c r="S115" i="95"/>
  <c r="T114" i="95"/>
  <c r="S114" i="95"/>
  <c r="T113" i="95"/>
  <c r="S113" i="95"/>
  <c r="T112" i="95"/>
  <c r="S112" i="95"/>
  <c r="T111" i="95"/>
  <c r="S111" i="95"/>
  <c r="T110" i="95"/>
  <c r="S110" i="95"/>
  <c r="T109" i="95"/>
  <c r="S109" i="95"/>
  <c r="T108" i="95"/>
  <c r="S108" i="95"/>
  <c r="T107" i="95"/>
  <c r="S107" i="95"/>
  <c r="T106" i="95"/>
  <c r="S106" i="95"/>
  <c r="T105" i="95"/>
  <c r="S105" i="95"/>
  <c r="T104" i="95"/>
  <c r="S104" i="95"/>
  <c r="T103" i="95"/>
  <c r="S103" i="95"/>
  <c r="T102" i="95"/>
  <c r="S102" i="95"/>
  <c r="T101" i="95"/>
  <c r="S101" i="95"/>
  <c r="T100" i="95"/>
  <c r="S100" i="95"/>
  <c r="T99" i="95"/>
  <c r="S99" i="95"/>
  <c r="T98" i="95"/>
  <c r="S98" i="95"/>
  <c r="T97" i="95"/>
  <c r="S97" i="95"/>
  <c r="T96" i="95"/>
  <c r="S96" i="95"/>
  <c r="T95" i="95"/>
  <c r="S95" i="95"/>
  <c r="T94" i="95"/>
  <c r="S94" i="95"/>
  <c r="T93" i="95"/>
  <c r="S93" i="95"/>
  <c r="T92" i="95"/>
  <c r="S92" i="95"/>
  <c r="T91" i="95"/>
  <c r="S91" i="95"/>
  <c r="T90" i="95"/>
  <c r="S90" i="95"/>
  <c r="T89" i="95"/>
  <c r="S89" i="95"/>
  <c r="T88" i="95"/>
  <c r="S88" i="95"/>
  <c r="T87" i="95"/>
  <c r="S87" i="95"/>
  <c r="T86" i="95"/>
  <c r="S86" i="95"/>
  <c r="T85" i="95"/>
  <c r="S85" i="95"/>
  <c r="T84" i="95"/>
  <c r="S84" i="95"/>
  <c r="T83" i="95"/>
  <c r="S83" i="95"/>
  <c r="T82" i="95"/>
  <c r="S82" i="95"/>
  <c r="T81" i="95"/>
  <c r="S81" i="95"/>
  <c r="T80" i="95"/>
  <c r="S80" i="95"/>
  <c r="T79" i="95"/>
  <c r="S79" i="95"/>
  <c r="T78" i="95"/>
  <c r="S78" i="95"/>
  <c r="T77" i="95"/>
  <c r="S77" i="95"/>
  <c r="T76" i="95"/>
  <c r="S76" i="95"/>
  <c r="T75" i="95"/>
  <c r="S75" i="95"/>
  <c r="T74" i="95"/>
  <c r="S74" i="95"/>
  <c r="T73" i="95"/>
  <c r="S73" i="95"/>
  <c r="T72" i="95"/>
  <c r="S72" i="95"/>
  <c r="T71" i="95"/>
  <c r="S71" i="95"/>
  <c r="T70" i="95"/>
  <c r="S70" i="95"/>
  <c r="T69" i="95"/>
  <c r="S69" i="95"/>
  <c r="T68" i="95"/>
  <c r="S68" i="95"/>
  <c r="T67" i="95"/>
  <c r="S67" i="95"/>
  <c r="T66" i="95"/>
  <c r="S66" i="95"/>
  <c r="T65" i="95"/>
  <c r="S65" i="95"/>
  <c r="T64" i="95"/>
  <c r="S64" i="95"/>
  <c r="T63" i="95"/>
  <c r="S63" i="95"/>
  <c r="T62" i="95"/>
  <c r="S62" i="95"/>
  <c r="T61" i="95"/>
  <c r="S61" i="95"/>
  <c r="T60" i="95"/>
  <c r="S60" i="95"/>
  <c r="T59" i="95"/>
  <c r="S59" i="95"/>
  <c r="T58" i="95"/>
  <c r="S58" i="95"/>
  <c r="T57" i="95"/>
  <c r="S57" i="95"/>
  <c r="T56" i="95"/>
  <c r="S56" i="95"/>
  <c r="T55" i="95"/>
  <c r="S55" i="95"/>
  <c r="T54" i="95"/>
  <c r="S54" i="95"/>
  <c r="T53" i="95"/>
  <c r="S53" i="95"/>
  <c r="T52" i="95"/>
  <c r="S52" i="95"/>
  <c r="T51" i="95"/>
  <c r="S51" i="95"/>
  <c r="T50" i="95"/>
  <c r="S50" i="95"/>
  <c r="T49" i="95"/>
  <c r="S49" i="95"/>
  <c r="T48" i="95"/>
  <c r="S48" i="95"/>
  <c r="T47" i="95"/>
  <c r="S47" i="95"/>
  <c r="T46" i="95"/>
  <c r="S46" i="95"/>
  <c r="T45" i="95"/>
  <c r="S45" i="95"/>
  <c r="T44" i="95"/>
  <c r="S44" i="95"/>
  <c r="T43" i="95"/>
  <c r="S43" i="95"/>
  <c r="T42" i="95"/>
  <c r="S42" i="95"/>
  <c r="T41" i="95"/>
  <c r="S41" i="95"/>
  <c r="T40" i="95"/>
  <c r="S40" i="95"/>
  <c r="T39" i="95"/>
  <c r="S39" i="95"/>
  <c r="T38" i="95"/>
  <c r="S38" i="95"/>
  <c r="T37" i="95"/>
  <c r="S37" i="95"/>
  <c r="T36" i="95"/>
  <c r="S36" i="95"/>
  <c r="T35" i="95"/>
  <c r="S35" i="95"/>
  <c r="T34" i="95"/>
  <c r="S34" i="95"/>
  <c r="T33" i="95"/>
  <c r="S33" i="95"/>
  <c r="T32" i="95"/>
  <c r="S32" i="95"/>
  <c r="T31" i="95"/>
  <c r="S31" i="95"/>
  <c r="T30" i="95"/>
  <c r="S30" i="95"/>
  <c r="T29" i="95"/>
  <c r="S29" i="95"/>
  <c r="T28" i="95"/>
  <c r="S28" i="95"/>
  <c r="T27" i="95"/>
  <c r="S27" i="95"/>
  <c r="T26" i="95"/>
  <c r="S26" i="95"/>
  <c r="T25" i="95"/>
  <c r="S25" i="95"/>
  <c r="T24" i="95"/>
  <c r="S24" i="95"/>
  <c r="T23" i="95"/>
  <c r="S23" i="95"/>
  <c r="T22" i="95"/>
  <c r="S22" i="95"/>
  <c r="T21" i="95"/>
  <c r="S21" i="95"/>
  <c r="T20" i="95"/>
  <c r="S20" i="95"/>
  <c r="T19" i="95"/>
  <c r="S19" i="95"/>
  <c r="T18" i="95"/>
  <c r="S18" i="95"/>
  <c r="T17" i="95"/>
  <c r="S17" i="95"/>
  <c r="T16" i="95"/>
  <c r="S16" i="95"/>
  <c r="T15" i="95"/>
  <c r="S15" i="95"/>
  <c r="T14" i="95"/>
  <c r="S14" i="95"/>
  <c r="T13" i="95"/>
  <c r="S13" i="95"/>
  <c r="T12" i="95"/>
  <c r="S12" i="95"/>
  <c r="T11" i="95"/>
  <c r="S11" i="95"/>
  <c r="T10" i="95"/>
  <c r="S10" i="95"/>
  <c r="T9" i="95"/>
  <c r="S9" i="95"/>
  <c r="T8" i="95"/>
  <c r="S8" i="95"/>
  <c r="U7" i="95"/>
  <c r="T7" i="95"/>
  <c r="S7" i="95"/>
  <c r="T6" i="95"/>
  <c r="S6" i="95"/>
  <c r="T5" i="95"/>
  <c r="S5" i="95"/>
  <c r="Q125" i="95"/>
  <c r="P125" i="95"/>
  <c r="Q124" i="95"/>
  <c r="P124" i="95"/>
  <c r="Q123" i="95"/>
  <c r="P123" i="95"/>
  <c r="Q122" i="95"/>
  <c r="P122" i="95"/>
  <c r="Q121" i="95"/>
  <c r="P121" i="95"/>
  <c r="Q120" i="95"/>
  <c r="P120" i="95"/>
  <c r="Q119" i="95"/>
  <c r="P119" i="95"/>
  <c r="Q118" i="95"/>
  <c r="P118" i="95"/>
  <c r="Q117" i="95"/>
  <c r="P117" i="95"/>
  <c r="Q116" i="95"/>
  <c r="P116" i="95"/>
  <c r="Q115" i="95"/>
  <c r="P115" i="95"/>
  <c r="Q114" i="95"/>
  <c r="P114" i="95"/>
  <c r="Q113" i="95"/>
  <c r="P113" i="95"/>
  <c r="Q112" i="95"/>
  <c r="P112" i="95"/>
  <c r="Q111" i="95"/>
  <c r="P111" i="95"/>
  <c r="Q110" i="95"/>
  <c r="P110" i="95"/>
  <c r="Q109" i="95"/>
  <c r="P109" i="95"/>
  <c r="Q108" i="95"/>
  <c r="P108" i="95"/>
  <c r="Q107" i="95"/>
  <c r="P107" i="95"/>
  <c r="Q106" i="95"/>
  <c r="P106" i="95"/>
  <c r="Q105" i="95"/>
  <c r="P105" i="95"/>
  <c r="Q104" i="95"/>
  <c r="P104" i="95"/>
  <c r="Q103" i="95"/>
  <c r="P103" i="95"/>
  <c r="Q102" i="95"/>
  <c r="P102" i="95"/>
  <c r="Q101" i="95"/>
  <c r="P101" i="95"/>
  <c r="Q100" i="95"/>
  <c r="P100" i="95"/>
  <c r="Q99" i="95"/>
  <c r="P99" i="95"/>
  <c r="Q98" i="95"/>
  <c r="P98" i="95"/>
  <c r="Q97" i="95"/>
  <c r="P97" i="95"/>
  <c r="Q96" i="95"/>
  <c r="P96" i="95"/>
  <c r="Q95" i="95"/>
  <c r="P95" i="95"/>
  <c r="Q94" i="95"/>
  <c r="P94" i="95"/>
  <c r="Q93" i="95"/>
  <c r="P93" i="95"/>
  <c r="Q92" i="95"/>
  <c r="P92" i="95"/>
  <c r="Q91" i="95"/>
  <c r="P91" i="95"/>
  <c r="Q90" i="95"/>
  <c r="P90" i="95"/>
  <c r="Q89" i="95"/>
  <c r="P89" i="95"/>
  <c r="Q88" i="95"/>
  <c r="P88" i="95"/>
  <c r="Q87" i="95"/>
  <c r="P87" i="95"/>
  <c r="Q86" i="95"/>
  <c r="P86" i="95"/>
  <c r="Q85" i="95"/>
  <c r="P85" i="95"/>
  <c r="Q84" i="95"/>
  <c r="P84" i="95"/>
  <c r="Q83" i="95"/>
  <c r="P83" i="95"/>
  <c r="Q82" i="95"/>
  <c r="P82" i="95"/>
  <c r="Q81" i="95"/>
  <c r="P81" i="95"/>
  <c r="Q80" i="95"/>
  <c r="P80" i="95"/>
  <c r="Q79" i="95"/>
  <c r="P79" i="95"/>
  <c r="Q78" i="95"/>
  <c r="P78" i="95"/>
  <c r="Q77" i="95"/>
  <c r="P77" i="95"/>
  <c r="Q76" i="95"/>
  <c r="P76" i="95"/>
  <c r="Q75" i="95"/>
  <c r="P75" i="95"/>
  <c r="Q74" i="95"/>
  <c r="P74" i="95"/>
  <c r="Q73" i="95"/>
  <c r="P73" i="95"/>
  <c r="Q72" i="95"/>
  <c r="P72" i="95"/>
  <c r="Q71" i="95"/>
  <c r="P71" i="95"/>
  <c r="Q70" i="95"/>
  <c r="P70" i="95"/>
  <c r="Q69" i="95"/>
  <c r="P69" i="95"/>
  <c r="Q68" i="95"/>
  <c r="P68" i="95"/>
  <c r="Q67" i="95"/>
  <c r="P67" i="95"/>
  <c r="Q66" i="95"/>
  <c r="P66" i="95"/>
  <c r="Q65" i="95"/>
  <c r="P65" i="95"/>
  <c r="Q64" i="95"/>
  <c r="P64" i="95"/>
  <c r="Q63" i="95"/>
  <c r="P63" i="95"/>
  <c r="Q62" i="95"/>
  <c r="P62" i="95"/>
  <c r="Q61" i="95"/>
  <c r="P61" i="95"/>
  <c r="Q60" i="95"/>
  <c r="P60" i="95"/>
  <c r="Q59" i="95"/>
  <c r="P59" i="95"/>
  <c r="Q58" i="95"/>
  <c r="P58" i="95"/>
  <c r="Q57" i="95"/>
  <c r="P57" i="95"/>
  <c r="Q56" i="95"/>
  <c r="P56" i="95"/>
  <c r="Q55" i="95"/>
  <c r="P55" i="95"/>
  <c r="Q54" i="95"/>
  <c r="P54" i="95"/>
  <c r="Q53" i="95"/>
  <c r="P53" i="95"/>
  <c r="Q52" i="95"/>
  <c r="P52" i="95"/>
  <c r="Q51" i="95"/>
  <c r="P51" i="95"/>
  <c r="Q50" i="95"/>
  <c r="P50" i="95"/>
  <c r="Q49" i="95"/>
  <c r="P49" i="95"/>
  <c r="Q48" i="95"/>
  <c r="P48" i="95"/>
  <c r="Q47" i="95"/>
  <c r="P47" i="95"/>
  <c r="Q46" i="95"/>
  <c r="P46" i="95"/>
  <c r="Q45" i="95"/>
  <c r="P45" i="95"/>
  <c r="Q44" i="95"/>
  <c r="P44" i="95"/>
  <c r="Q43" i="95"/>
  <c r="P43" i="95"/>
  <c r="Q42" i="95"/>
  <c r="P42" i="95"/>
  <c r="Q41" i="95"/>
  <c r="P41" i="95"/>
  <c r="Q40" i="95"/>
  <c r="P40" i="95"/>
  <c r="Q39" i="95"/>
  <c r="P39" i="95"/>
  <c r="Q38" i="95"/>
  <c r="P38" i="95"/>
  <c r="Q37" i="95"/>
  <c r="P37" i="95"/>
  <c r="Q36" i="95"/>
  <c r="P36" i="95"/>
  <c r="Q35" i="95"/>
  <c r="P35" i="95"/>
  <c r="Q34" i="95"/>
  <c r="P34" i="95"/>
  <c r="Q33" i="95"/>
  <c r="P33" i="95"/>
  <c r="Q32" i="95"/>
  <c r="P32" i="95"/>
  <c r="Q31" i="95"/>
  <c r="P31" i="95"/>
  <c r="Q30" i="95"/>
  <c r="P30" i="95"/>
  <c r="Q29" i="95"/>
  <c r="P29" i="95"/>
  <c r="Q28" i="95"/>
  <c r="P28" i="95"/>
  <c r="Q27" i="95"/>
  <c r="P27" i="95"/>
  <c r="Q26" i="95"/>
  <c r="P26" i="95"/>
  <c r="Q25" i="95"/>
  <c r="P25" i="95"/>
  <c r="Q24" i="95"/>
  <c r="P24" i="95"/>
  <c r="Q23" i="95"/>
  <c r="P23" i="95"/>
  <c r="Q22" i="95"/>
  <c r="P22" i="95"/>
  <c r="Q21" i="95"/>
  <c r="P21" i="95"/>
  <c r="Q20" i="95"/>
  <c r="P20" i="95"/>
  <c r="Q19" i="95"/>
  <c r="P19" i="95"/>
  <c r="Q18" i="95"/>
  <c r="P18" i="95"/>
  <c r="Q17" i="95"/>
  <c r="P17" i="95"/>
  <c r="Q16" i="95"/>
  <c r="P16" i="95"/>
  <c r="Q15" i="95"/>
  <c r="P15" i="95"/>
  <c r="Q14" i="95"/>
  <c r="P14" i="95"/>
  <c r="Q13" i="95"/>
  <c r="P13" i="95"/>
  <c r="Q12" i="95"/>
  <c r="P12" i="95"/>
  <c r="Q11" i="95"/>
  <c r="P11" i="95"/>
  <c r="Q10" i="95"/>
  <c r="P10" i="95"/>
  <c r="Q9" i="95"/>
  <c r="P9" i="95"/>
  <c r="Q8" i="95"/>
  <c r="P8" i="95"/>
  <c r="Q7" i="95"/>
  <c r="P7" i="95"/>
  <c r="Q6" i="95"/>
  <c r="P6" i="95"/>
  <c r="Q5" i="95"/>
  <c r="P5" i="95"/>
  <c r="M4" i="95"/>
  <c r="L4" i="95"/>
  <c r="K4" i="95"/>
  <c r="I4" i="95"/>
  <c r="H4" i="95"/>
  <c r="G4" i="95"/>
  <c r="E4" i="95"/>
  <c r="D4" i="95"/>
  <c r="C4" i="95"/>
  <c r="N125" i="95"/>
  <c r="X125" i="95" s="1"/>
  <c r="N124" i="95"/>
  <c r="X124" i="95" s="1"/>
  <c r="N123" i="95"/>
  <c r="X123" i="95" s="1"/>
  <c r="N122" i="95"/>
  <c r="X122" i="95" s="1"/>
  <c r="N121" i="95"/>
  <c r="X121" i="95" s="1"/>
  <c r="N120" i="95"/>
  <c r="X120" i="95" s="1"/>
  <c r="N119" i="95"/>
  <c r="X119" i="95" s="1"/>
  <c r="N118" i="95"/>
  <c r="X118" i="95" s="1"/>
  <c r="N117" i="95"/>
  <c r="X117" i="95" s="1"/>
  <c r="N116" i="95"/>
  <c r="X116" i="95" s="1"/>
  <c r="N115" i="95"/>
  <c r="X115" i="95" s="1"/>
  <c r="N114" i="95"/>
  <c r="X114" i="95" s="1"/>
  <c r="N113" i="95"/>
  <c r="X113" i="95" s="1"/>
  <c r="N112" i="95"/>
  <c r="X112" i="95" s="1"/>
  <c r="N111" i="95"/>
  <c r="X111" i="95" s="1"/>
  <c r="N110" i="95"/>
  <c r="X110" i="95" s="1"/>
  <c r="N109" i="95"/>
  <c r="X109" i="95" s="1"/>
  <c r="N108" i="95"/>
  <c r="X108" i="95" s="1"/>
  <c r="N107" i="95"/>
  <c r="X107" i="95" s="1"/>
  <c r="N106" i="95"/>
  <c r="X106" i="95" s="1"/>
  <c r="N105" i="95"/>
  <c r="X105" i="95" s="1"/>
  <c r="N104" i="95"/>
  <c r="X104" i="95" s="1"/>
  <c r="N103" i="95"/>
  <c r="X103" i="95" s="1"/>
  <c r="N102" i="95"/>
  <c r="X102" i="95" s="1"/>
  <c r="N101" i="95"/>
  <c r="X101" i="95" s="1"/>
  <c r="N100" i="95"/>
  <c r="X100" i="95" s="1"/>
  <c r="N98" i="95"/>
  <c r="X98" i="95" s="1"/>
  <c r="N97" i="95"/>
  <c r="X97" i="95" s="1"/>
  <c r="N96" i="95"/>
  <c r="X96" i="95" s="1"/>
  <c r="N95" i="95"/>
  <c r="X95" i="95" s="1"/>
  <c r="N94" i="95"/>
  <c r="X94" i="95" s="1"/>
  <c r="N93" i="95"/>
  <c r="X93" i="95" s="1"/>
  <c r="N92" i="95"/>
  <c r="X92" i="95" s="1"/>
  <c r="N91" i="95"/>
  <c r="X91" i="95" s="1"/>
  <c r="N90" i="95"/>
  <c r="X90" i="95" s="1"/>
  <c r="N89" i="95"/>
  <c r="X89" i="95" s="1"/>
  <c r="N88" i="95"/>
  <c r="X88" i="95" s="1"/>
  <c r="N87" i="95"/>
  <c r="X87" i="95" s="1"/>
  <c r="N86" i="95"/>
  <c r="X86" i="95" s="1"/>
  <c r="N85" i="95"/>
  <c r="X85" i="95" s="1"/>
  <c r="N84" i="95"/>
  <c r="X84" i="95" s="1"/>
  <c r="N80" i="95"/>
  <c r="X80" i="95" s="1"/>
  <c r="N79" i="95"/>
  <c r="X79" i="95" s="1"/>
  <c r="N78" i="95"/>
  <c r="X78" i="95" s="1"/>
  <c r="N77" i="95"/>
  <c r="X77" i="95" s="1"/>
  <c r="N76" i="95"/>
  <c r="X76" i="95" s="1"/>
  <c r="N75" i="95"/>
  <c r="X75" i="95" s="1"/>
  <c r="N74" i="95"/>
  <c r="X74" i="95" s="1"/>
  <c r="N73" i="95"/>
  <c r="X73" i="95" s="1"/>
  <c r="N72" i="95"/>
  <c r="X72" i="95" s="1"/>
  <c r="N71" i="95"/>
  <c r="X71" i="95" s="1"/>
  <c r="N70" i="95"/>
  <c r="X70" i="95" s="1"/>
  <c r="N69" i="95"/>
  <c r="X69" i="95" s="1"/>
  <c r="N68" i="95"/>
  <c r="X68" i="95" s="1"/>
  <c r="N67" i="95"/>
  <c r="X67" i="95" s="1"/>
  <c r="N66" i="95"/>
  <c r="X66" i="95" s="1"/>
  <c r="N65" i="95"/>
  <c r="X65" i="95" s="1"/>
  <c r="N64" i="95"/>
  <c r="X64" i="95" s="1"/>
  <c r="N63" i="95"/>
  <c r="X63" i="95" s="1"/>
  <c r="N62" i="95"/>
  <c r="X62" i="95" s="1"/>
  <c r="N61" i="95"/>
  <c r="X61" i="95" s="1"/>
  <c r="N60" i="95"/>
  <c r="X60" i="95" s="1"/>
  <c r="N59" i="95"/>
  <c r="X59" i="95" s="1"/>
  <c r="N58" i="95"/>
  <c r="X58" i="95" s="1"/>
  <c r="N57" i="95"/>
  <c r="X57" i="95" s="1"/>
  <c r="N56" i="95"/>
  <c r="X56" i="95" s="1"/>
  <c r="N55" i="95"/>
  <c r="X55" i="95" s="1"/>
  <c r="N54" i="95"/>
  <c r="X54" i="95" s="1"/>
  <c r="N53" i="95"/>
  <c r="X53" i="95" s="1"/>
  <c r="N52" i="95"/>
  <c r="X52" i="95" s="1"/>
  <c r="N51" i="95"/>
  <c r="X51" i="95" s="1"/>
  <c r="N50" i="95"/>
  <c r="X50" i="95" s="1"/>
  <c r="N49" i="95"/>
  <c r="X49" i="95" s="1"/>
  <c r="N48" i="95"/>
  <c r="X48" i="95" s="1"/>
  <c r="N47" i="95"/>
  <c r="X47" i="95" s="1"/>
  <c r="N46" i="95"/>
  <c r="X46" i="95" s="1"/>
  <c r="N45" i="95"/>
  <c r="X45" i="95" s="1"/>
  <c r="N43" i="95"/>
  <c r="X43" i="95" s="1"/>
  <c r="N42" i="95"/>
  <c r="X42" i="95" s="1"/>
  <c r="N41" i="95"/>
  <c r="X41" i="95" s="1"/>
  <c r="N40" i="95"/>
  <c r="X40" i="95" s="1"/>
  <c r="N39" i="95"/>
  <c r="X39" i="95" s="1"/>
  <c r="N38" i="95"/>
  <c r="X38" i="95" s="1"/>
  <c r="N37" i="95"/>
  <c r="X37" i="95" s="1"/>
  <c r="N36" i="95"/>
  <c r="X36" i="95" s="1"/>
  <c r="N35" i="95"/>
  <c r="X35" i="95" s="1"/>
  <c r="N34" i="95"/>
  <c r="X34" i="95" s="1"/>
  <c r="N32" i="95"/>
  <c r="X32" i="95" s="1"/>
  <c r="N31" i="95"/>
  <c r="X31" i="95" s="1"/>
  <c r="N30" i="95"/>
  <c r="X30" i="95" s="1"/>
  <c r="N29" i="95"/>
  <c r="X29" i="95" s="1"/>
  <c r="N28" i="95"/>
  <c r="X28" i="95" s="1"/>
  <c r="N27" i="95"/>
  <c r="X27" i="95" s="1"/>
  <c r="N26" i="95"/>
  <c r="X26" i="95" s="1"/>
  <c r="N24" i="95"/>
  <c r="X24" i="95" s="1"/>
  <c r="N23" i="95"/>
  <c r="X23" i="95" s="1"/>
  <c r="N22" i="95"/>
  <c r="X22" i="95" s="1"/>
  <c r="N21" i="95"/>
  <c r="X21" i="95" s="1"/>
  <c r="N20" i="95"/>
  <c r="X20" i="95" s="1"/>
  <c r="N19" i="95"/>
  <c r="X19" i="95" s="1"/>
  <c r="N18" i="95"/>
  <c r="X18" i="95" s="1"/>
  <c r="N17" i="95"/>
  <c r="X17" i="95" s="1"/>
  <c r="N16" i="95"/>
  <c r="X16" i="95" s="1"/>
  <c r="N15" i="95"/>
  <c r="X15" i="95" s="1"/>
  <c r="N13" i="95"/>
  <c r="X13" i="95" s="1"/>
  <c r="N11" i="95"/>
  <c r="X11" i="95" s="1"/>
  <c r="N10" i="95"/>
  <c r="X10" i="95" s="1"/>
  <c r="N9" i="95"/>
  <c r="X9" i="95" s="1"/>
  <c r="N8" i="95"/>
  <c r="X8" i="95" s="1"/>
  <c r="N6" i="95"/>
  <c r="X6" i="95" s="1"/>
  <c r="N5" i="95"/>
  <c r="X5" i="95" s="1"/>
  <c r="J125" i="95"/>
  <c r="U125" i="95" s="1"/>
  <c r="J124" i="95"/>
  <c r="U124" i="95" s="1"/>
  <c r="J123" i="95"/>
  <c r="U123" i="95" s="1"/>
  <c r="J122" i="95"/>
  <c r="U122" i="95" s="1"/>
  <c r="J121" i="95"/>
  <c r="U121" i="95" s="1"/>
  <c r="J120" i="95"/>
  <c r="U120" i="95" s="1"/>
  <c r="J119" i="95"/>
  <c r="U119" i="95" s="1"/>
  <c r="J118" i="95"/>
  <c r="U118" i="95" s="1"/>
  <c r="J117" i="95"/>
  <c r="U117" i="95" s="1"/>
  <c r="J116" i="95"/>
  <c r="U116" i="95" s="1"/>
  <c r="J115" i="95"/>
  <c r="U115" i="95" s="1"/>
  <c r="J114" i="95"/>
  <c r="U114" i="95" s="1"/>
  <c r="J113" i="95"/>
  <c r="U113" i="95" s="1"/>
  <c r="J112" i="95"/>
  <c r="U112" i="95" s="1"/>
  <c r="J111" i="95"/>
  <c r="U111" i="95" s="1"/>
  <c r="J110" i="95"/>
  <c r="U110" i="95" s="1"/>
  <c r="J109" i="95"/>
  <c r="U109" i="95" s="1"/>
  <c r="J108" i="95"/>
  <c r="U108" i="95" s="1"/>
  <c r="J107" i="95"/>
  <c r="U107" i="95" s="1"/>
  <c r="J106" i="95"/>
  <c r="U106" i="95" s="1"/>
  <c r="J105" i="95"/>
  <c r="U105" i="95" s="1"/>
  <c r="J104" i="95"/>
  <c r="U104" i="95" s="1"/>
  <c r="J103" i="95"/>
  <c r="U103" i="95" s="1"/>
  <c r="J102" i="95"/>
  <c r="U102" i="95" s="1"/>
  <c r="J101" i="95"/>
  <c r="U101" i="95" s="1"/>
  <c r="J100" i="95"/>
  <c r="U100" i="95" s="1"/>
  <c r="J98" i="95"/>
  <c r="U98" i="95" s="1"/>
  <c r="J97" i="95"/>
  <c r="U97" i="95" s="1"/>
  <c r="J96" i="95"/>
  <c r="U96" i="95" s="1"/>
  <c r="J95" i="95"/>
  <c r="U95" i="95" s="1"/>
  <c r="J94" i="95"/>
  <c r="U94" i="95" s="1"/>
  <c r="J93" i="95"/>
  <c r="U93" i="95" s="1"/>
  <c r="J92" i="95"/>
  <c r="U92" i="95" s="1"/>
  <c r="J91" i="95"/>
  <c r="U91" i="95" s="1"/>
  <c r="J90" i="95"/>
  <c r="U90" i="95" s="1"/>
  <c r="J89" i="95"/>
  <c r="U89" i="95" s="1"/>
  <c r="J88" i="95"/>
  <c r="U88" i="95" s="1"/>
  <c r="J87" i="95"/>
  <c r="U87" i="95" s="1"/>
  <c r="J86" i="95"/>
  <c r="U86" i="95" s="1"/>
  <c r="J85" i="95"/>
  <c r="U85" i="95" s="1"/>
  <c r="J84" i="95"/>
  <c r="U84" i="95" s="1"/>
  <c r="J80" i="95"/>
  <c r="U80" i="95" s="1"/>
  <c r="J79" i="95"/>
  <c r="U79" i="95" s="1"/>
  <c r="J78" i="95"/>
  <c r="U78" i="95" s="1"/>
  <c r="J77" i="95"/>
  <c r="U77" i="95" s="1"/>
  <c r="J76" i="95"/>
  <c r="U76" i="95" s="1"/>
  <c r="J75" i="95"/>
  <c r="U75" i="95" s="1"/>
  <c r="J74" i="95"/>
  <c r="U74" i="95" s="1"/>
  <c r="J73" i="95"/>
  <c r="U73" i="95" s="1"/>
  <c r="J72" i="95"/>
  <c r="U72" i="95" s="1"/>
  <c r="J71" i="95"/>
  <c r="U71" i="95" s="1"/>
  <c r="J70" i="95"/>
  <c r="U70" i="95" s="1"/>
  <c r="J69" i="95"/>
  <c r="U69" i="95" s="1"/>
  <c r="J68" i="95"/>
  <c r="U68" i="95" s="1"/>
  <c r="J67" i="95"/>
  <c r="U67" i="95" s="1"/>
  <c r="J66" i="95"/>
  <c r="U66" i="95" s="1"/>
  <c r="J65" i="95"/>
  <c r="U65" i="95" s="1"/>
  <c r="J64" i="95"/>
  <c r="U64" i="95" s="1"/>
  <c r="J63" i="95"/>
  <c r="U63" i="95" s="1"/>
  <c r="J62" i="95"/>
  <c r="U62" i="95" s="1"/>
  <c r="J61" i="95"/>
  <c r="U61" i="95" s="1"/>
  <c r="J60" i="95"/>
  <c r="U60" i="95" s="1"/>
  <c r="J59" i="95"/>
  <c r="U59" i="95" s="1"/>
  <c r="J58" i="95"/>
  <c r="U58" i="95" s="1"/>
  <c r="J57" i="95"/>
  <c r="U57" i="95" s="1"/>
  <c r="J56" i="95"/>
  <c r="U56" i="95" s="1"/>
  <c r="J55" i="95"/>
  <c r="U55" i="95" s="1"/>
  <c r="J54" i="95"/>
  <c r="U54" i="95" s="1"/>
  <c r="J53" i="95"/>
  <c r="U53" i="95" s="1"/>
  <c r="J52" i="95"/>
  <c r="U52" i="95" s="1"/>
  <c r="J51" i="95"/>
  <c r="U51" i="95" s="1"/>
  <c r="J50" i="95"/>
  <c r="U50" i="95" s="1"/>
  <c r="J49" i="95"/>
  <c r="U49" i="95" s="1"/>
  <c r="J48" i="95"/>
  <c r="U48" i="95" s="1"/>
  <c r="J47" i="95"/>
  <c r="U47" i="95" s="1"/>
  <c r="J46" i="95"/>
  <c r="U46" i="95" s="1"/>
  <c r="J45" i="95"/>
  <c r="U45" i="95" s="1"/>
  <c r="J43" i="95"/>
  <c r="U43" i="95" s="1"/>
  <c r="J42" i="95"/>
  <c r="U42" i="95" s="1"/>
  <c r="J41" i="95"/>
  <c r="U41" i="95" s="1"/>
  <c r="J40" i="95"/>
  <c r="U40" i="95" s="1"/>
  <c r="J39" i="95"/>
  <c r="U39" i="95" s="1"/>
  <c r="J38" i="95"/>
  <c r="U38" i="95" s="1"/>
  <c r="J37" i="95"/>
  <c r="U37" i="95" s="1"/>
  <c r="J36" i="95"/>
  <c r="U36" i="95" s="1"/>
  <c r="J35" i="95"/>
  <c r="U35" i="95" s="1"/>
  <c r="J34" i="95"/>
  <c r="U34" i="95" s="1"/>
  <c r="J32" i="95"/>
  <c r="U32" i="95" s="1"/>
  <c r="J31" i="95"/>
  <c r="U31" i="95" s="1"/>
  <c r="J30" i="95"/>
  <c r="U30" i="95" s="1"/>
  <c r="J29" i="95"/>
  <c r="U29" i="95" s="1"/>
  <c r="J28" i="95"/>
  <c r="U28" i="95" s="1"/>
  <c r="J27" i="95"/>
  <c r="U27" i="95" s="1"/>
  <c r="J26" i="95"/>
  <c r="U26" i="95" s="1"/>
  <c r="J24" i="95"/>
  <c r="U24" i="95" s="1"/>
  <c r="J23" i="95"/>
  <c r="U23" i="95" s="1"/>
  <c r="J22" i="95"/>
  <c r="U22" i="95" s="1"/>
  <c r="J21" i="95"/>
  <c r="U21" i="95" s="1"/>
  <c r="J20" i="95"/>
  <c r="U20" i="95" s="1"/>
  <c r="J19" i="95"/>
  <c r="U19" i="95" s="1"/>
  <c r="J18" i="95"/>
  <c r="U18" i="95" s="1"/>
  <c r="J17" i="95"/>
  <c r="U17" i="95" s="1"/>
  <c r="J16" i="95"/>
  <c r="U16" i="95" s="1"/>
  <c r="J15" i="95"/>
  <c r="U15" i="95" s="1"/>
  <c r="J13" i="95"/>
  <c r="U13" i="95" s="1"/>
  <c r="J11" i="95"/>
  <c r="U11" i="95" s="1"/>
  <c r="J10" i="95"/>
  <c r="U10" i="95" s="1"/>
  <c r="J9" i="95"/>
  <c r="U9" i="95" s="1"/>
  <c r="J8" i="95"/>
  <c r="U8" i="95" s="1"/>
  <c r="J6" i="95"/>
  <c r="U6" i="95" s="1"/>
  <c r="J5" i="95"/>
  <c r="U5" i="95" s="1"/>
  <c r="F125" i="95"/>
  <c r="R125" i="95" s="1"/>
  <c r="F124" i="95"/>
  <c r="R124" i="95" s="1"/>
  <c r="F123" i="95"/>
  <c r="R123" i="95" s="1"/>
  <c r="F122" i="95"/>
  <c r="R122" i="95" s="1"/>
  <c r="F121" i="95"/>
  <c r="R121" i="95" s="1"/>
  <c r="F120" i="95"/>
  <c r="R120" i="95" s="1"/>
  <c r="F119" i="95"/>
  <c r="R119" i="95" s="1"/>
  <c r="F118" i="95"/>
  <c r="R118" i="95" s="1"/>
  <c r="F117" i="95"/>
  <c r="R117" i="95" s="1"/>
  <c r="F116" i="95"/>
  <c r="R116" i="95" s="1"/>
  <c r="F115" i="95"/>
  <c r="R115" i="95" s="1"/>
  <c r="F114" i="95"/>
  <c r="R114" i="95" s="1"/>
  <c r="F113" i="95"/>
  <c r="R113" i="95" s="1"/>
  <c r="F112" i="95"/>
  <c r="R112" i="95" s="1"/>
  <c r="F111" i="95"/>
  <c r="R111" i="95" s="1"/>
  <c r="F110" i="95"/>
  <c r="R110" i="95" s="1"/>
  <c r="F109" i="95"/>
  <c r="R109" i="95" s="1"/>
  <c r="F108" i="95"/>
  <c r="R108" i="95" s="1"/>
  <c r="F107" i="95"/>
  <c r="R107" i="95" s="1"/>
  <c r="F106" i="95"/>
  <c r="R106" i="95" s="1"/>
  <c r="F105" i="95"/>
  <c r="R105" i="95" s="1"/>
  <c r="F104" i="95"/>
  <c r="R104" i="95" s="1"/>
  <c r="F103" i="95"/>
  <c r="R103" i="95" s="1"/>
  <c r="F102" i="95"/>
  <c r="R102" i="95" s="1"/>
  <c r="F101" i="95"/>
  <c r="R101" i="95" s="1"/>
  <c r="F100" i="95"/>
  <c r="R100" i="95" s="1"/>
  <c r="F98" i="95"/>
  <c r="R98" i="95" s="1"/>
  <c r="F97" i="95"/>
  <c r="R97" i="95" s="1"/>
  <c r="F96" i="95"/>
  <c r="R96" i="95" s="1"/>
  <c r="F95" i="95"/>
  <c r="R95" i="95" s="1"/>
  <c r="F94" i="95"/>
  <c r="R94" i="95" s="1"/>
  <c r="F93" i="95"/>
  <c r="R93" i="95" s="1"/>
  <c r="F92" i="95"/>
  <c r="R92" i="95" s="1"/>
  <c r="F91" i="95"/>
  <c r="R91" i="95" s="1"/>
  <c r="F90" i="95"/>
  <c r="R90" i="95" s="1"/>
  <c r="F89" i="95"/>
  <c r="R89" i="95" s="1"/>
  <c r="F88" i="95"/>
  <c r="R88" i="95" s="1"/>
  <c r="F87" i="95"/>
  <c r="R87" i="95" s="1"/>
  <c r="F86" i="95"/>
  <c r="R86" i="95" s="1"/>
  <c r="F85" i="95"/>
  <c r="R85" i="95" s="1"/>
  <c r="F84" i="95"/>
  <c r="R84" i="95" s="1"/>
  <c r="R82" i="95"/>
  <c r="F80" i="95"/>
  <c r="R80" i="95" s="1"/>
  <c r="F79" i="95"/>
  <c r="R79" i="95" s="1"/>
  <c r="F78" i="95"/>
  <c r="R78" i="95" s="1"/>
  <c r="F77" i="95"/>
  <c r="R77" i="95" s="1"/>
  <c r="F76" i="95"/>
  <c r="R76" i="95" s="1"/>
  <c r="F75" i="95"/>
  <c r="R75" i="95" s="1"/>
  <c r="F74" i="95"/>
  <c r="R74" i="95" s="1"/>
  <c r="F73" i="95"/>
  <c r="R73" i="95" s="1"/>
  <c r="F72" i="95"/>
  <c r="R72" i="95" s="1"/>
  <c r="F71" i="95"/>
  <c r="R71" i="95" s="1"/>
  <c r="F70" i="95"/>
  <c r="R70" i="95" s="1"/>
  <c r="F69" i="95"/>
  <c r="R69" i="95" s="1"/>
  <c r="F68" i="95"/>
  <c r="R68" i="95" s="1"/>
  <c r="F67" i="95"/>
  <c r="R67" i="95" s="1"/>
  <c r="F66" i="95"/>
  <c r="R66" i="95" s="1"/>
  <c r="F65" i="95"/>
  <c r="R65" i="95" s="1"/>
  <c r="F64" i="95"/>
  <c r="R64" i="95" s="1"/>
  <c r="F63" i="95"/>
  <c r="R63" i="95" s="1"/>
  <c r="F62" i="95"/>
  <c r="R62" i="95" s="1"/>
  <c r="F61" i="95"/>
  <c r="R61" i="95" s="1"/>
  <c r="F60" i="95"/>
  <c r="R60" i="95" s="1"/>
  <c r="F59" i="95"/>
  <c r="R59" i="95" s="1"/>
  <c r="F58" i="95"/>
  <c r="R58" i="95" s="1"/>
  <c r="F57" i="95"/>
  <c r="R57" i="95" s="1"/>
  <c r="F56" i="95"/>
  <c r="R56" i="95" s="1"/>
  <c r="F55" i="95"/>
  <c r="R55" i="95" s="1"/>
  <c r="F54" i="95"/>
  <c r="R54" i="95" s="1"/>
  <c r="F53" i="95"/>
  <c r="R53" i="95" s="1"/>
  <c r="F52" i="95"/>
  <c r="R52" i="95" s="1"/>
  <c r="F51" i="95"/>
  <c r="R51" i="95" s="1"/>
  <c r="F50" i="95"/>
  <c r="R50" i="95" s="1"/>
  <c r="F49" i="95"/>
  <c r="R49" i="95" s="1"/>
  <c r="F48" i="95"/>
  <c r="R48" i="95" s="1"/>
  <c r="F47" i="95"/>
  <c r="R47" i="95" s="1"/>
  <c r="F46" i="95"/>
  <c r="R46" i="95" s="1"/>
  <c r="F45" i="95"/>
  <c r="R45" i="95" s="1"/>
  <c r="F43" i="95"/>
  <c r="R43" i="95" s="1"/>
  <c r="F42" i="95"/>
  <c r="R42" i="95" s="1"/>
  <c r="F41" i="95"/>
  <c r="R41" i="95" s="1"/>
  <c r="F40" i="95"/>
  <c r="R40" i="95" s="1"/>
  <c r="F39" i="95"/>
  <c r="R39" i="95" s="1"/>
  <c r="F38" i="95"/>
  <c r="R38" i="95" s="1"/>
  <c r="F37" i="95"/>
  <c r="R37" i="95" s="1"/>
  <c r="F36" i="95"/>
  <c r="R36" i="95" s="1"/>
  <c r="F35" i="95"/>
  <c r="R35" i="95" s="1"/>
  <c r="F34" i="95"/>
  <c r="R34" i="95" s="1"/>
  <c r="F32" i="95"/>
  <c r="R32" i="95"/>
  <c r="F31" i="95"/>
  <c r="R31" i="95" s="1"/>
  <c r="F30" i="95"/>
  <c r="R30" i="95" s="1"/>
  <c r="F29" i="95"/>
  <c r="R29" i="95" s="1"/>
  <c r="F28" i="95"/>
  <c r="R28" i="95" s="1"/>
  <c r="F27" i="95"/>
  <c r="R27" i="95" s="1"/>
  <c r="F26" i="95"/>
  <c r="R26" i="95" s="1"/>
  <c r="F24" i="95"/>
  <c r="R24" i="95" s="1"/>
  <c r="F23" i="95"/>
  <c r="R23" i="95" s="1"/>
  <c r="F22" i="95"/>
  <c r="R22" i="95" s="1"/>
  <c r="F21" i="95"/>
  <c r="R21" i="95" s="1"/>
  <c r="F20" i="95"/>
  <c r="F19" i="95"/>
  <c r="R19" i="95" s="1"/>
  <c r="F18" i="95"/>
  <c r="R18" i="95" s="1"/>
  <c r="F17" i="95"/>
  <c r="R17" i="95" s="1"/>
  <c r="F16" i="95"/>
  <c r="R16" i="95" s="1"/>
  <c r="F15" i="95"/>
  <c r="R15" i="95" s="1"/>
  <c r="F13" i="95"/>
  <c r="R13" i="95" s="1"/>
  <c r="F11" i="95"/>
  <c r="R11" i="95" s="1"/>
  <c r="F10" i="95"/>
  <c r="R10" i="95" s="1"/>
  <c r="F9" i="95"/>
  <c r="R9" i="95" s="1"/>
  <c r="F8" i="95"/>
  <c r="R8" i="95" s="1"/>
  <c r="F6" i="95"/>
  <c r="R6" i="95" s="1"/>
  <c r="F5" i="95"/>
  <c r="R5" i="95" s="1"/>
  <c r="G4" i="94"/>
  <c r="F4" i="94"/>
  <c r="E4" i="94"/>
  <c r="D4" i="94"/>
  <c r="H5" i="90"/>
  <c r="I5" i="90"/>
  <c r="J5" i="90"/>
  <c r="G5" i="90"/>
  <c r="F5" i="90"/>
  <c r="E5" i="90"/>
  <c r="D5" i="90"/>
  <c r="J5" i="91"/>
  <c r="I5" i="91"/>
  <c r="F5" i="91"/>
  <c r="E5" i="91"/>
  <c r="D5" i="91"/>
  <c r="G4" i="63"/>
  <c r="F4" i="63"/>
  <c r="E4" i="63"/>
  <c r="D4" i="63"/>
  <c r="N133" i="72"/>
  <c r="M133" i="72"/>
  <c r="N132" i="72"/>
  <c r="M132" i="72"/>
  <c r="N131" i="72"/>
  <c r="M131" i="72"/>
  <c r="N130" i="72"/>
  <c r="M130" i="72"/>
  <c r="N129" i="72"/>
  <c r="M129" i="72"/>
  <c r="K133" i="72"/>
  <c r="J133" i="72"/>
  <c r="K132" i="72"/>
  <c r="J132" i="72"/>
  <c r="K131" i="72"/>
  <c r="J131" i="72"/>
  <c r="K130" i="72"/>
  <c r="J130" i="72"/>
  <c r="K129" i="72"/>
  <c r="J129" i="72"/>
  <c r="H133" i="72"/>
  <c r="G133" i="72"/>
  <c r="H132" i="72"/>
  <c r="G132" i="72"/>
  <c r="H131" i="72"/>
  <c r="Q131" i="72" s="1"/>
  <c r="G131" i="72"/>
  <c r="H130" i="72"/>
  <c r="G130" i="72"/>
  <c r="H129" i="72"/>
  <c r="G129" i="72"/>
  <c r="E133" i="72"/>
  <c r="E132" i="72"/>
  <c r="E131" i="72"/>
  <c r="E130" i="72"/>
  <c r="E129" i="72"/>
  <c r="D133" i="72"/>
  <c r="D132" i="72"/>
  <c r="D131" i="72"/>
  <c r="D130" i="72"/>
  <c r="D129" i="72"/>
  <c r="F124" i="57"/>
  <c r="E125" i="118" s="1"/>
  <c r="E124" i="57"/>
  <c r="F123" i="57"/>
  <c r="E124" i="118" s="1"/>
  <c r="E123" i="57"/>
  <c r="D124" i="118" s="1"/>
  <c r="L124" i="79" s="1"/>
  <c r="P124" i="79" s="1"/>
  <c r="F122" i="57"/>
  <c r="E123" i="118" s="1"/>
  <c r="E122" i="57"/>
  <c r="F121" i="57"/>
  <c r="E122" i="118" s="1"/>
  <c r="E121" i="57"/>
  <c r="D122" i="118" s="1"/>
  <c r="L122" i="79" s="1"/>
  <c r="P122" i="79" s="1"/>
  <c r="F120" i="57"/>
  <c r="E121" i="118" s="1"/>
  <c r="E120" i="57"/>
  <c r="F119" i="57"/>
  <c r="E120" i="118" s="1"/>
  <c r="E119" i="57"/>
  <c r="D120" i="118" s="1"/>
  <c r="L120" i="79" s="1"/>
  <c r="P120" i="79" s="1"/>
  <c r="F118" i="57"/>
  <c r="E119" i="118" s="1"/>
  <c r="E118" i="57"/>
  <c r="F117" i="57"/>
  <c r="E118" i="118" s="1"/>
  <c r="E117" i="57"/>
  <c r="D118" i="118" s="1"/>
  <c r="L118" i="79" s="1"/>
  <c r="P118" i="79" s="1"/>
  <c r="F116" i="57"/>
  <c r="E117" i="118" s="1"/>
  <c r="E116" i="57"/>
  <c r="F115" i="57"/>
  <c r="E116" i="118" s="1"/>
  <c r="E115" i="57"/>
  <c r="D116" i="118" s="1"/>
  <c r="L116" i="79" s="1"/>
  <c r="P116" i="79" s="1"/>
  <c r="F114" i="57"/>
  <c r="E115" i="118" s="1"/>
  <c r="E114" i="57"/>
  <c r="F113" i="57"/>
  <c r="E114" i="118" s="1"/>
  <c r="E113" i="57"/>
  <c r="D114" i="118" s="1"/>
  <c r="L114" i="79" s="1"/>
  <c r="P114" i="79" s="1"/>
  <c r="F112" i="57"/>
  <c r="E113" i="118" s="1"/>
  <c r="E112" i="57"/>
  <c r="F111" i="57"/>
  <c r="E112" i="118" s="1"/>
  <c r="E111" i="57"/>
  <c r="D112" i="118" s="1"/>
  <c r="L112" i="79" s="1"/>
  <c r="P112" i="79" s="1"/>
  <c r="F110" i="57"/>
  <c r="E111" i="118" s="1"/>
  <c r="E110" i="57"/>
  <c r="F109" i="57"/>
  <c r="E110" i="118" s="1"/>
  <c r="E109" i="57"/>
  <c r="D110" i="118" s="1"/>
  <c r="L110" i="79" s="1"/>
  <c r="P110" i="79" s="1"/>
  <c r="F108" i="57"/>
  <c r="E109" i="118" s="1"/>
  <c r="E108" i="57"/>
  <c r="F107" i="57"/>
  <c r="E108" i="118" s="1"/>
  <c r="E107" i="57"/>
  <c r="D108" i="118" s="1"/>
  <c r="L108" i="79" s="1"/>
  <c r="P108" i="79" s="1"/>
  <c r="F106" i="57"/>
  <c r="E107" i="118" s="1"/>
  <c r="E106" i="57"/>
  <c r="F105" i="57"/>
  <c r="E106" i="118" s="1"/>
  <c r="E105" i="57"/>
  <c r="D106" i="118" s="1"/>
  <c r="L106" i="79" s="1"/>
  <c r="P106" i="79" s="1"/>
  <c r="F104" i="57"/>
  <c r="E105" i="118" s="1"/>
  <c r="E104" i="57"/>
  <c r="F103" i="57"/>
  <c r="E104" i="118" s="1"/>
  <c r="E103" i="57"/>
  <c r="D104" i="118" s="1"/>
  <c r="L104" i="79" s="1"/>
  <c r="P104" i="79" s="1"/>
  <c r="F102" i="57"/>
  <c r="E103" i="118" s="1"/>
  <c r="E102" i="57"/>
  <c r="F101" i="57"/>
  <c r="E102" i="118" s="1"/>
  <c r="E101" i="57"/>
  <c r="D102" i="118" s="1"/>
  <c r="L102" i="79" s="1"/>
  <c r="P102" i="79" s="1"/>
  <c r="F100" i="57"/>
  <c r="E101" i="118" s="1"/>
  <c r="E100" i="57"/>
  <c r="F99" i="57"/>
  <c r="E100" i="118" s="1"/>
  <c r="E99" i="57"/>
  <c r="D100" i="118" s="1"/>
  <c r="L100" i="79" s="1"/>
  <c r="P100" i="79" s="1"/>
  <c r="F98" i="57"/>
  <c r="E99" i="118" s="1"/>
  <c r="E98" i="57"/>
  <c r="F97" i="57"/>
  <c r="E98" i="118" s="1"/>
  <c r="E97" i="57"/>
  <c r="D98" i="118" s="1"/>
  <c r="L98" i="79" s="1"/>
  <c r="P98" i="79" s="1"/>
  <c r="F96" i="57"/>
  <c r="E97" i="118" s="1"/>
  <c r="E96" i="57"/>
  <c r="F95" i="57"/>
  <c r="E96" i="118" s="1"/>
  <c r="E95" i="57"/>
  <c r="D96" i="118" s="1"/>
  <c r="L96" i="79" s="1"/>
  <c r="P96" i="79" s="1"/>
  <c r="F94" i="57"/>
  <c r="E95" i="118" s="1"/>
  <c r="E94" i="57"/>
  <c r="F93" i="57"/>
  <c r="E94" i="118" s="1"/>
  <c r="E93" i="57"/>
  <c r="D94" i="118" s="1"/>
  <c r="L94" i="79" s="1"/>
  <c r="P94" i="79" s="1"/>
  <c r="F92" i="57"/>
  <c r="E93" i="118" s="1"/>
  <c r="E92" i="57"/>
  <c r="F91" i="57"/>
  <c r="E92" i="118" s="1"/>
  <c r="E91" i="57"/>
  <c r="D92" i="118" s="1"/>
  <c r="L92" i="79" s="1"/>
  <c r="P92" i="79" s="1"/>
  <c r="F90" i="57"/>
  <c r="E91" i="118" s="1"/>
  <c r="E90" i="57"/>
  <c r="F89" i="57"/>
  <c r="E90" i="118" s="1"/>
  <c r="E89" i="57"/>
  <c r="D90" i="118" s="1"/>
  <c r="L90" i="79" s="1"/>
  <c r="P90" i="79" s="1"/>
  <c r="F88" i="57"/>
  <c r="E89" i="118" s="1"/>
  <c r="E88" i="57"/>
  <c r="F87" i="57"/>
  <c r="E88" i="118" s="1"/>
  <c r="E87" i="57"/>
  <c r="D88" i="118" s="1"/>
  <c r="L88" i="79" s="1"/>
  <c r="P88" i="79" s="1"/>
  <c r="F86" i="57"/>
  <c r="E87" i="118" s="1"/>
  <c r="E86" i="57"/>
  <c r="F85" i="57"/>
  <c r="E86" i="118" s="1"/>
  <c r="E85" i="57"/>
  <c r="D86" i="118" s="1"/>
  <c r="L86" i="79" s="1"/>
  <c r="P86" i="79" s="1"/>
  <c r="F84" i="57"/>
  <c r="E85" i="118" s="1"/>
  <c r="E84" i="57"/>
  <c r="F83" i="57"/>
  <c r="E84" i="118" s="1"/>
  <c r="E83" i="57"/>
  <c r="D84" i="118" s="1"/>
  <c r="L84" i="79" s="1"/>
  <c r="P84" i="79" s="1"/>
  <c r="F82" i="57"/>
  <c r="E83" i="118" s="1"/>
  <c r="E82" i="57"/>
  <c r="F81" i="57"/>
  <c r="E82" i="118" s="1"/>
  <c r="E81" i="57"/>
  <c r="D82" i="118" s="1"/>
  <c r="L82" i="79" s="1"/>
  <c r="P82" i="79" s="1"/>
  <c r="F80" i="57"/>
  <c r="E81" i="118" s="1"/>
  <c r="E80" i="57"/>
  <c r="F79" i="57"/>
  <c r="E80" i="118" s="1"/>
  <c r="E79" i="57"/>
  <c r="D80" i="118" s="1"/>
  <c r="L80" i="79" s="1"/>
  <c r="P80" i="79" s="1"/>
  <c r="F78" i="57"/>
  <c r="E79" i="118" s="1"/>
  <c r="E78" i="57"/>
  <c r="F77" i="57"/>
  <c r="E78" i="118" s="1"/>
  <c r="E77" i="57"/>
  <c r="D78" i="118" s="1"/>
  <c r="L78" i="79" s="1"/>
  <c r="P78" i="79" s="1"/>
  <c r="F76" i="57"/>
  <c r="E77" i="118" s="1"/>
  <c r="E76" i="57"/>
  <c r="F75" i="57"/>
  <c r="E76" i="118" s="1"/>
  <c r="E75" i="57"/>
  <c r="D76" i="118" s="1"/>
  <c r="L76" i="79" s="1"/>
  <c r="P76" i="79" s="1"/>
  <c r="F74" i="57"/>
  <c r="E75" i="118" s="1"/>
  <c r="E74" i="57"/>
  <c r="F73" i="57"/>
  <c r="E74" i="118" s="1"/>
  <c r="E73" i="57"/>
  <c r="D74" i="118" s="1"/>
  <c r="L74" i="79" s="1"/>
  <c r="P74" i="79" s="1"/>
  <c r="F72" i="57"/>
  <c r="E73" i="118" s="1"/>
  <c r="E72" i="57"/>
  <c r="F71" i="57"/>
  <c r="E72" i="118" s="1"/>
  <c r="E71" i="57"/>
  <c r="D72" i="118" s="1"/>
  <c r="L72" i="79" s="1"/>
  <c r="P72" i="79" s="1"/>
  <c r="F70" i="57"/>
  <c r="E71" i="118" s="1"/>
  <c r="E70" i="57"/>
  <c r="F69" i="57"/>
  <c r="E70" i="118" s="1"/>
  <c r="E69" i="57"/>
  <c r="D70" i="118" s="1"/>
  <c r="L70" i="79" s="1"/>
  <c r="P70" i="79" s="1"/>
  <c r="F68" i="57"/>
  <c r="E69" i="118" s="1"/>
  <c r="E68" i="57"/>
  <c r="F67" i="57"/>
  <c r="E68" i="118" s="1"/>
  <c r="E67" i="57"/>
  <c r="D68" i="118" s="1"/>
  <c r="L68" i="79" s="1"/>
  <c r="P68" i="79" s="1"/>
  <c r="F66" i="57"/>
  <c r="E67" i="118" s="1"/>
  <c r="E66" i="57"/>
  <c r="F65" i="57"/>
  <c r="E66" i="118" s="1"/>
  <c r="E65" i="57"/>
  <c r="D66" i="118" s="1"/>
  <c r="L66" i="79" s="1"/>
  <c r="P66" i="79" s="1"/>
  <c r="F64" i="57"/>
  <c r="E65" i="118" s="1"/>
  <c r="E64" i="57"/>
  <c r="F63" i="57"/>
  <c r="E64" i="118" s="1"/>
  <c r="E63" i="57"/>
  <c r="D64" i="118" s="1"/>
  <c r="L64" i="79" s="1"/>
  <c r="P64" i="79" s="1"/>
  <c r="F62" i="57"/>
  <c r="E63" i="118" s="1"/>
  <c r="E62" i="57"/>
  <c r="F61" i="57"/>
  <c r="E62" i="118" s="1"/>
  <c r="E61" i="57"/>
  <c r="D62" i="118" s="1"/>
  <c r="L62" i="79" s="1"/>
  <c r="P62" i="79" s="1"/>
  <c r="F60" i="57"/>
  <c r="E61" i="118" s="1"/>
  <c r="E60" i="57"/>
  <c r="F59" i="57"/>
  <c r="E60" i="118" s="1"/>
  <c r="E59" i="57"/>
  <c r="D60" i="118" s="1"/>
  <c r="L60" i="79" s="1"/>
  <c r="P60" i="79" s="1"/>
  <c r="F58" i="57"/>
  <c r="E59" i="118" s="1"/>
  <c r="E58" i="57"/>
  <c r="F57" i="57"/>
  <c r="E58" i="118" s="1"/>
  <c r="E57" i="57"/>
  <c r="D58" i="118" s="1"/>
  <c r="L58" i="79" s="1"/>
  <c r="P58" i="79" s="1"/>
  <c r="F56" i="57"/>
  <c r="E57" i="118" s="1"/>
  <c r="E56" i="57"/>
  <c r="F55" i="57"/>
  <c r="E56" i="118" s="1"/>
  <c r="E55" i="57"/>
  <c r="D56" i="118" s="1"/>
  <c r="L56" i="79" s="1"/>
  <c r="P56" i="79" s="1"/>
  <c r="F54" i="57"/>
  <c r="E55" i="118" s="1"/>
  <c r="E54" i="57"/>
  <c r="F53" i="57"/>
  <c r="E54" i="118" s="1"/>
  <c r="E53" i="57"/>
  <c r="D54" i="118" s="1"/>
  <c r="L54" i="79" s="1"/>
  <c r="P54" i="79" s="1"/>
  <c r="F52" i="57"/>
  <c r="E53" i="118" s="1"/>
  <c r="E52" i="57"/>
  <c r="F51" i="57"/>
  <c r="E52" i="118" s="1"/>
  <c r="E51" i="57"/>
  <c r="D52" i="118" s="1"/>
  <c r="L52" i="79" s="1"/>
  <c r="P52" i="79" s="1"/>
  <c r="F50" i="57"/>
  <c r="E51" i="118" s="1"/>
  <c r="E50" i="57"/>
  <c r="F49" i="57"/>
  <c r="E50" i="118" s="1"/>
  <c r="E49" i="57"/>
  <c r="D50" i="118" s="1"/>
  <c r="L50" i="79" s="1"/>
  <c r="P50" i="79" s="1"/>
  <c r="F48" i="57"/>
  <c r="E49" i="118" s="1"/>
  <c r="E48" i="57"/>
  <c r="F47" i="57"/>
  <c r="E47" i="57"/>
  <c r="D48" i="118" s="1"/>
  <c r="L48" i="79" s="1"/>
  <c r="P48" i="79" s="1"/>
  <c r="F46" i="57"/>
  <c r="E47" i="118" s="1"/>
  <c r="E46" i="57"/>
  <c r="F45" i="57"/>
  <c r="E45" i="57"/>
  <c r="D46" i="118" s="1"/>
  <c r="L46" i="79" s="1"/>
  <c r="P46" i="79" s="1"/>
  <c r="F44" i="57"/>
  <c r="E45" i="118" s="1"/>
  <c r="E44" i="57"/>
  <c r="F43" i="57"/>
  <c r="E43" i="57"/>
  <c r="D44" i="118" s="1"/>
  <c r="L44" i="79" s="1"/>
  <c r="P44" i="79" s="1"/>
  <c r="F42" i="57"/>
  <c r="E43" i="118" s="1"/>
  <c r="E42" i="57"/>
  <c r="F41" i="57"/>
  <c r="E41" i="57"/>
  <c r="D42" i="118" s="1"/>
  <c r="L42" i="79" s="1"/>
  <c r="P42" i="79" s="1"/>
  <c r="F40" i="57"/>
  <c r="E41" i="118" s="1"/>
  <c r="E40" i="57"/>
  <c r="F39" i="57"/>
  <c r="E39" i="57"/>
  <c r="D40" i="118" s="1"/>
  <c r="L40" i="79" s="1"/>
  <c r="P40" i="79" s="1"/>
  <c r="F38" i="57"/>
  <c r="E39" i="118" s="1"/>
  <c r="E38" i="57"/>
  <c r="F37" i="57"/>
  <c r="E37" i="57"/>
  <c r="D38" i="118" s="1"/>
  <c r="L38" i="79" s="1"/>
  <c r="P38" i="79" s="1"/>
  <c r="F36" i="57"/>
  <c r="E37" i="118" s="1"/>
  <c r="E36" i="57"/>
  <c r="F35" i="57"/>
  <c r="E35" i="57"/>
  <c r="D36" i="118" s="1"/>
  <c r="L36" i="79" s="1"/>
  <c r="P36" i="79" s="1"/>
  <c r="F34" i="57"/>
  <c r="E35" i="118" s="1"/>
  <c r="E34" i="57"/>
  <c r="F33" i="57"/>
  <c r="E33" i="57"/>
  <c r="D34" i="118" s="1"/>
  <c r="L34" i="79" s="1"/>
  <c r="P34" i="79" s="1"/>
  <c r="F32" i="57"/>
  <c r="E33" i="118" s="1"/>
  <c r="E32" i="57"/>
  <c r="F31" i="57"/>
  <c r="E31" i="57"/>
  <c r="D32" i="118" s="1"/>
  <c r="L32" i="79" s="1"/>
  <c r="P32" i="79" s="1"/>
  <c r="F30" i="57"/>
  <c r="E31" i="118" s="1"/>
  <c r="E30" i="57"/>
  <c r="F29" i="57"/>
  <c r="E29" i="57"/>
  <c r="D30" i="118" s="1"/>
  <c r="L30" i="79" s="1"/>
  <c r="P30" i="79" s="1"/>
  <c r="F28" i="57"/>
  <c r="E29" i="118" s="1"/>
  <c r="E28" i="57"/>
  <c r="F27" i="57"/>
  <c r="E27" i="57"/>
  <c r="D28" i="118" s="1"/>
  <c r="L28" i="79" s="1"/>
  <c r="P28" i="79" s="1"/>
  <c r="F26" i="57"/>
  <c r="E27" i="118" s="1"/>
  <c r="E26" i="57"/>
  <c r="F25" i="57"/>
  <c r="E25" i="57"/>
  <c r="D26" i="118" s="1"/>
  <c r="L26" i="79" s="1"/>
  <c r="P26" i="79" s="1"/>
  <c r="F24" i="57"/>
  <c r="E25" i="118" s="1"/>
  <c r="E24" i="57"/>
  <c r="F23" i="57"/>
  <c r="E23" i="57"/>
  <c r="D24" i="118" s="1"/>
  <c r="L24" i="79" s="1"/>
  <c r="P24" i="79" s="1"/>
  <c r="F22" i="57"/>
  <c r="E23" i="118" s="1"/>
  <c r="E22" i="57"/>
  <c r="F21" i="57"/>
  <c r="E21" i="57"/>
  <c r="D22" i="118" s="1"/>
  <c r="L22" i="79" s="1"/>
  <c r="P22" i="79" s="1"/>
  <c r="F20" i="57"/>
  <c r="E21" i="118" s="1"/>
  <c r="E20" i="57"/>
  <c r="F19" i="57"/>
  <c r="E19" i="57"/>
  <c r="D20" i="118" s="1"/>
  <c r="L20" i="79" s="1"/>
  <c r="P20" i="79" s="1"/>
  <c r="F18" i="57"/>
  <c r="E19" i="118" s="1"/>
  <c r="E18" i="57"/>
  <c r="F17" i="57"/>
  <c r="E17" i="57"/>
  <c r="D18" i="118" s="1"/>
  <c r="L18" i="79" s="1"/>
  <c r="P18" i="79" s="1"/>
  <c r="F16" i="57"/>
  <c r="E17" i="118" s="1"/>
  <c r="E16" i="57"/>
  <c r="F15" i="57"/>
  <c r="E15" i="57"/>
  <c r="D16" i="118" s="1"/>
  <c r="L16" i="79" s="1"/>
  <c r="P16" i="79" s="1"/>
  <c r="F14" i="57"/>
  <c r="E15" i="118" s="1"/>
  <c r="E14" i="57"/>
  <c r="F13" i="57"/>
  <c r="E13" i="57"/>
  <c r="D14" i="118" s="1"/>
  <c r="L14" i="79" s="1"/>
  <c r="P14" i="79" s="1"/>
  <c r="F12" i="57"/>
  <c r="E13" i="118" s="1"/>
  <c r="E12" i="57"/>
  <c r="F11" i="57"/>
  <c r="E11" i="57"/>
  <c r="D12" i="118" s="1"/>
  <c r="L12" i="79" s="1"/>
  <c r="P12" i="79" s="1"/>
  <c r="F10" i="57"/>
  <c r="E11" i="118" s="1"/>
  <c r="E10" i="57"/>
  <c r="F9" i="57"/>
  <c r="E9" i="57"/>
  <c r="D10" i="118" s="1"/>
  <c r="L10" i="79" s="1"/>
  <c r="P10" i="79" s="1"/>
  <c r="F8" i="57"/>
  <c r="E9" i="118" s="1"/>
  <c r="E8" i="57"/>
  <c r="F7" i="57"/>
  <c r="E7" i="57"/>
  <c r="D8" i="118" s="1"/>
  <c r="L8" i="79" s="1"/>
  <c r="P8" i="79" s="1"/>
  <c r="F6" i="57"/>
  <c r="E7" i="118" s="1"/>
  <c r="E6" i="57"/>
  <c r="F5" i="57"/>
  <c r="E5" i="57"/>
  <c r="D6" i="118" s="1"/>
  <c r="D2" i="4"/>
  <c r="E2" i="4" s="1"/>
  <c r="N133" i="75"/>
  <c r="M133" i="75"/>
  <c r="L133" i="75"/>
  <c r="G133" i="75"/>
  <c r="F133" i="75"/>
  <c r="E133" i="75"/>
  <c r="N132" i="75"/>
  <c r="M132" i="75"/>
  <c r="L132" i="75"/>
  <c r="G132" i="75"/>
  <c r="F132" i="75"/>
  <c r="E132" i="75"/>
  <c r="N131" i="75"/>
  <c r="M131" i="75"/>
  <c r="L131" i="75"/>
  <c r="G131" i="75"/>
  <c r="F131" i="75"/>
  <c r="E131" i="75"/>
  <c r="N130" i="75"/>
  <c r="M130" i="75"/>
  <c r="L130" i="75"/>
  <c r="G130" i="75"/>
  <c r="F130" i="75"/>
  <c r="E130" i="75"/>
  <c r="N129" i="75"/>
  <c r="M129" i="75"/>
  <c r="L129" i="75"/>
  <c r="G129" i="75"/>
  <c r="F129" i="75"/>
  <c r="E129" i="75"/>
  <c r="Q126" i="75"/>
  <c r="P126" i="75"/>
  <c r="J126" i="75"/>
  <c r="I126" i="75"/>
  <c r="Q125" i="75"/>
  <c r="P125" i="75"/>
  <c r="J125" i="75"/>
  <c r="I125" i="75"/>
  <c r="Q124" i="75"/>
  <c r="P124" i="75"/>
  <c r="J124" i="75"/>
  <c r="I124" i="75"/>
  <c r="Q123" i="75"/>
  <c r="P123" i="75"/>
  <c r="J123" i="75"/>
  <c r="I123" i="75"/>
  <c r="Q122" i="75"/>
  <c r="P122" i="75"/>
  <c r="J122" i="75"/>
  <c r="I122" i="75"/>
  <c r="Q121" i="75"/>
  <c r="P121" i="75"/>
  <c r="J121" i="75"/>
  <c r="I121" i="75"/>
  <c r="Q120" i="75"/>
  <c r="P120" i="75"/>
  <c r="J120" i="75"/>
  <c r="I120" i="75"/>
  <c r="Q119" i="75"/>
  <c r="P119" i="75"/>
  <c r="J119" i="75"/>
  <c r="I119" i="75"/>
  <c r="Q118" i="75"/>
  <c r="P118" i="75"/>
  <c r="J118" i="75"/>
  <c r="I118" i="75"/>
  <c r="Q117" i="75"/>
  <c r="P117" i="75"/>
  <c r="J117" i="75"/>
  <c r="I117" i="75"/>
  <c r="Q116" i="75"/>
  <c r="P116" i="75"/>
  <c r="J116" i="75"/>
  <c r="I116" i="75"/>
  <c r="Q115" i="75"/>
  <c r="P115" i="75"/>
  <c r="J115" i="75"/>
  <c r="I115" i="75"/>
  <c r="Q114" i="75"/>
  <c r="P114" i="75"/>
  <c r="J114" i="75"/>
  <c r="I114" i="75"/>
  <c r="Q113" i="75"/>
  <c r="P113" i="75"/>
  <c r="J113" i="75"/>
  <c r="I113" i="75"/>
  <c r="Q112" i="75"/>
  <c r="P112" i="75"/>
  <c r="J112" i="75"/>
  <c r="I112" i="75"/>
  <c r="Q111" i="75"/>
  <c r="P111" i="75"/>
  <c r="J111" i="75"/>
  <c r="I111" i="75"/>
  <c r="Q110" i="75"/>
  <c r="P110" i="75"/>
  <c r="J110" i="75"/>
  <c r="I110" i="75"/>
  <c r="Q109" i="75"/>
  <c r="P109" i="75"/>
  <c r="J109" i="75"/>
  <c r="I109" i="75"/>
  <c r="Q108" i="75"/>
  <c r="P108" i="75"/>
  <c r="J108" i="75"/>
  <c r="I108" i="75"/>
  <c r="Q107" i="75"/>
  <c r="P107" i="75"/>
  <c r="J107" i="75"/>
  <c r="I107" i="75"/>
  <c r="Q106" i="75"/>
  <c r="P106" i="75"/>
  <c r="J106" i="75"/>
  <c r="I106" i="75"/>
  <c r="Q105" i="75"/>
  <c r="P105" i="75"/>
  <c r="J105" i="75"/>
  <c r="I105" i="75"/>
  <c r="Q104" i="75"/>
  <c r="P104" i="75"/>
  <c r="J104" i="75"/>
  <c r="I104" i="75"/>
  <c r="Q103" i="75"/>
  <c r="P103" i="75"/>
  <c r="J103" i="75"/>
  <c r="I103" i="75"/>
  <c r="Q102" i="75"/>
  <c r="P102" i="75"/>
  <c r="J102" i="75"/>
  <c r="I102" i="75"/>
  <c r="Q101" i="75"/>
  <c r="P101" i="75"/>
  <c r="J101" i="75"/>
  <c r="I101" i="75"/>
  <c r="Q100" i="75"/>
  <c r="P100" i="75"/>
  <c r="J100" i="75"/>
  <c r="I100" i="75"/>
  <c r="Q99" i="75"/>
  <c r="P99" i="75"/>
  <c r="J99" i="75"/>
  <c r="I99" i="75"/>
  <c r="Q98" i="75"/>
  <c r="P98" i="75"/>
  <c r="J98" i="75"/>
  <c r="I98" i="75"/>
  <c r="Q97" i="75"/>
  <c r="P97" i="75"/>
  <c r="J97" i="75"/>
  <c r="I97" i="75"/>
  <c r="Q96" i="75"/>
  <c r="P96" i="75"/>
  <c r="J96" i="75"/>
  <c r="I96" i="75"/>
  <c r="Q95" i="75"/>
  <c r="P95" i="75"/>
  <c r="J95" i="75"/>
  <c r="I95" i="75"/>
  <c r="Q94" i="75"/>
  <c r="P94" i="75"/>
  <c r="J94" i="75"/>
  <c r="I94" i="75"/>
  <c r="Q93" i="75"/>
  <c r="P93" i="75"/>
  <c r="J93" i="75"/>
  <c r="I93" i="75"/>
  <c r="Q92" i="75"/>
  <c r="P92" i="75"/>
  <c r="J92" i="75"/>
  <c r="I92" i="75"/>
  <c r="Q91" i="75"/>
  <c r="P91" i="75"/>
  <c r="J91" i="75"/>
  <c r="I91" i="75"/>
  <c r="Q90" i="75"/>
  <c r="P90" i="75"/>
  <c r="J90" i="75"/>
  <c r="I90" i="75"/>
  <c r="Q89" i="75"/>
  <c r="P89" i="75"/>
  <c r="J89" i="75"/>
  <c r="I89" i="75"/>
  <c r="Q88" i="75"/>
  <c r="P88" i="75"/>
  <c r="J88" i="75"/>
  <c r="I88" i="75"/>
  <c r="Q87" i="75"/>
  <c r="P87" i="75"/>
  <c r="J87" i="75"/>
  <c r="I87" i="75"/>
  <c r="Q86" i="75"/>
  <c r="P86" i="75"/>
  <c r="J86" i="75"/>
  <c r="I86" i="75"/>
  <c r="Q85" i="75"/>
  <c r="P85" i="75"/>
  <c r="J85" i="75"/>
  <c r="I85" i="75"/>
  <c r="Q84" i="75"/>
  <c r="P84" i="75"/>
  <c r="J84" i="75"/>
  <c r="I84" i="75"/>
  <c r="Q83" i="75"/>
  <c r="P83" i="75"/>
  <c r="J83" i="75"/>
  <c r="I83" i="75"/>
  <c r="Q82" i="75"/>
  <c r="P82" i="75"/>
  <c r="J82" i="75"/>
  <c r="I82" i="75"/>
  <c r="Q81" i="75"/>
  <c r="P81" i="75"/>
  <c r="J81" i="75"/>
  <c r="I81" i="75"/>
  <c r="Q80" i="75"/>
  <c r="P80" i="75"/>
  <c r="J80" i="75"/>
  <c r="I80" i="75"/>
  <c r="Q79" i="75"/>
  <c r="P79" i="75"/>
  <c r="J79" i="75"/>
  <c r="I79" i="75"/>
  <c r="Q78" i="75"/>
  <c r="P78" i="75"/>
  <c r="J78" i="75"/>
  <c r="I78" i="75"/>
  <c r="Q77" i="75"/>
  <c r="P77" i="75"/>
  <c r="J77" i="75"/>
  <c r="I77" i="75"/>
  <c r="Q76" i="75"/>
  <c r="P76" i="75"/>
  <c r="J76" i="75"/>
  <c r="I76" i="75"/>
  <c r="Q75" i="75"/>
  <c r="P75" i="75"/>
  <c r="J75" i="75"/>
  <c r="I75" i="75"/>
  <c r="Q74" i="75"/>
  <c r="P74" i="75"/>
  <c r="J74" i="75"/>
  <c r="I74" i="75"/>
  <c r="Q73" i="75"/>
  <c r="P73" i="75"/>
  <c r="J73" i="75"/>
  <c r="I73" i="75"/>
  <c r="Q72" i="75"/>
  <c r="P72" i="75"/>
  <c r="J72" i="75"/>
  <c r="I72" i="75"/>
  <c r="Q71" i="75"/>
  <c r="P71" i="75"/>
  <c r="J71" i="75"/>
  <c r="I71" i="75"/>
  <c r="Q70" i="75"/>
  <c r="P70" i="75"/>
  <c r="J70" i="75"/>
  <c r="I70" i="75"/>
  <c r="Q69" i="75"/>
  <c r="P69" i="75"/>
  <c r="J69" i="75"/>
  <c r="I69" i="75"/>
  <c r="Q68" i="75"/>
  <c r="P68" i="75"/>
  <c r="J68" i="75"/>
  <c r="I68" i="75"/>
  <c r="Q67" i="75"/>
  <c r="P67" i="75"/>
  <c r="J67" i="75"/>
  <c r="I67" i="75"/>
  <c r="Q66" i="75"/>
  <c r="P66" i="75"/>
  <c r="J66" i="75"/>
  <c r="I66" i="75"/>
  <c r="Q65" i="75"/>
  <c r="P65" i="75"/>
  <c r="J65" i="75"/>
  <c r="I65" i="75"/>
  <c r="Q64" i="75"/>
  <c r="P64" i="75"/>
  <c r="J64" i="75"/>
  <c r="I64" i="75"/>
  <c r="Q63" i="75"/>
  <c r="P63" i="75"/>
  <c r="J63" i="75"/>
  <c r="I63" i="75"/>
  <c r="Q62" i="75"/>
  <c r="P62" i="75"/>
  <c r="J62" i="75"/>
  <c r="I62" i="75"/>
  <c r="Q61" i="75"/>
  <c r="P61" i="75"/>
  <c r="J61" i="75"/>
  <c r="I61" i="75"/>
  <c r="Q60" i="75"/>
  <c r="P60" i="75"/>
  <c r="J60" i="75"/>
  <c r="I60" i="75"/>
  <c r="Q59" i="75"/>
  <c r="P59" i="75"/>
  <c r="J59" i="75"/>
  <c r="I59" i="75"/>
  <c r="Q58" i="75"/>
  <c r="P58" i="75"/>
  <c r="J58" i="75"/>
  <c r="I58" i="75"/>
  <c r="Q57" i="75"/>
  <c r="P57" i="75"/>
  <c r="J57" i="75"/>
  <c r="I57" i="75"/>
  <c r="Q56" i="75"/>
  <c r="P56" i="75"/>
  <c r="J56" i="75"/>
  <c r="I56" i="75"/>
  <c r="Q55" i="75"/>
  <c r="P55" i="75"/>
  <c r="J55" i="75"/>
  <c r="I55" i="75"/>
  <c r="Q54" i="75"/>
  <c r="P54" i="75"/>
  <c r="J54" i="75"/>
  <c r="I54" i="75"/>
  <c r="Q53" i="75"/>
  <c r="P53" i="75"/>
  <c r="J53" i="75"/>
  <c r="I53" i="75"/>
  <c r="Q52" i="75"/>
  <c r="P52" i="75"/>
  <c r="J52" i="75"/>
  <c r="I52" i="75"/>
  <c r="Q51" i="75"/>
  <c r="P51" i="75"/>
  <c r="J51" i="75"/>
  <c r="I51" i="75"/>
  <c r="Q50" i="75"/>
  <c r="P50" i="75"/>
  <c r="J50" i="75"/>
  <c r="I50" i="75"/>
  <c r="Q49" i="75"/>
  <c r="P49" i="75"/>
  <c r="J49" i="75"/>
  <c r="I49" i="75"/>
  <c r="Q48" i="75"/>
  <c r="P48" i="75"/>
  <c r="J48" i="75"/>
  <c r="I48" i="75"/>
  <c r="Q47" i="75"/>
  <c r="P47" i="75"/>
  <c r="J47" i="75"/>
  <c r="I47" i="75"/>
  <c r="Q46" i="75"/>
  <c r="P46" i="75"/>
  <c r="J46" i="75"/>
  <c r="I46" i="75"/>
  <c r="Q45" i="75"/>
  <c r="P45" i="75"/>
  <c r="J45" i="75"/>
  <c r="I45" i="75"/>
  <c r="Q44" i="75"/>
  <c r="P44" i="75"/>
  <c r="J44" i="75"/>
  <c r="I44" i="75"/>
  <c r="Q43" i="75"/>
  <c r="P43" i="75"/>
  <c r="J43" i="75"/>
  <c r="I43" i="75"/>
  <c r="Q42" i="75"/>
  <c r="P42" i="75"/>
  <c r="J42" i="75"/>
  <c r="I42" i="75"/>
  <c r="Q41" i="75"/>
  <c r="P41" i="75"/>
  <c r="J41" i="75"/>
  <c r="I41" i="75"/>
  <c r="Q40" i="75"/>
  <c r="P40" i="75"/>
  <c r="J40" i="75"/>
  <c r="I40" i="75"/>
  <c r="Q39" i="75"/>
  <c r="P39" i="75"/>
  <c r="J39" i="75"/>
  <c r="I39" i="75"/>
  <c r="Q38" i="75"/>
  <c r="P38" i="75"/>
  <c r="J38" i="75"/>
  <c r="I38" i="75"/>
  <c r="Q37" i="75"/>
  <c r="P37" i="75"/>
  <c r="J37" i="75"/>
  <c r="I37" i="75"/>
  <c r="Q36" i="75"/>
  <c r="P36" i="75"/>
  <c r="J36" i="75"/>
  <c r="I36" i="75"/>
  <c r="Q35" i="75"/>
  <c r="P35" i="75"/>
  <c r="J35" i="75"/>
  <c r="I35" i="75"/>
  <c r="Q34" i="75"/>
  <c r="P34" i="75"/>
  <c r="J34" i="75"/>
  <c r="I34" i="75"/>
  <c r="Q33" i="75"/>
  <c r="P33" i="75"/>
  <c r="J33" i="75"/>
  <c r="I33" i="75"/>
  <c r="Q32" i="75"/>
  <c r="P32" i="75"/>
  <c r="J32" i="75"/>
  <c r="I32" i="75"/>
  <c r="Q31" i="75"/>
  <c r="P31" i="75"/>
  <c r="J31" i="75"/>
  <c r="I31" i="75"/>
  <c r="Q30" i="75"/>
  <c r="P30" i="75"/>
  <c r="J30" i="75"/>
  <c r="I30" i="75"/>
  <c r="Q29" i="75"/>
  <c r="P29" i="75"/>
  <c r="J29" i="75"/>
  <c r="I29" i="75"/>
  <c r="Q28" i="75"/>
  <c r="P28" i="75"/>
  <c r="J28" i="75"/>
  <c r="I28" i="75"/>
  <c r="Q27" i="75"/>
  <c r="P27" i="75"/>
  <c r="J27" i="75"/>
  <c r="I27" i="75"/>
  <c r="Q26" i="75"/>
  <c r="P26" i="75"/>
  <c r="J26" i="75"/>
  <c r="I26" i="75"/>
  <c r="Q25" i="75"/>
  <c r="P25" i="75"/>
  <c r="J25" i="75"/>
  <c r="I25" i="75"/>
  <c r="Q24" i="75"/>
  <c r="P24" i="75"/>
  <c r="J24" i="75"/>
  <c r="I24" i="75"/>
  <c r="Q23" i="75"/>
  <c r="P23" i="75"/>
  <c r="J23" i="75"/>
  <c r="I23" i="75"/>
  <c r="Q22" i="75"/>
  <c r="P22" i="75"/>
  <c r="J22" i="75"/>
  <c r="I22" i="75"/>
  <c r="Q21" i="75"/>
  <c r="P21" i="75"/>
  <c r="J21" i="75"/>
  <c r="I21" i="75"/>
  <c r="Q20" i="75"/>
  <c r="P20" i="75"/>
  <c r="J20" i="75"/>
  <c r="I20" i="75"/>
  <c r="Q19" i="75"/>
  <c r="P19" i="75"/>
  <c r="J19" i="75"/>
  <c r="I19" i="75"/>
  <c r="Q18" i="75"/>
  <c r="P18" i="75"/>
  <c r="J18" i="75"/>
  <c r="I18" i="75"/>
  <c r="Q17" i="75"/>
  <c r="P17" i="75"/>
  <c r="J17" i="75"/>
  <c r="I17" i="75"/>
  <c r="Q16" i="75"/>
  <c r="P16" i="75"/>
  <c r="J16" i="75"/>
  <c r="I16" i="75"/>
  <c r="Q15" i="75"/>
  <c r="P15" i="75"/>
  <c r="J15" i="75"/>
  <c r="I15" i="75"/>
  <c r="Q14" i="75"/>
  <c r="P14" i="75"/>
  <c r="J14" i="75"/>
  <c r="I14" i="75"/>
  <c r="Q13" i="75"/>
  <c r="P13" i="75"/>
  <c r="J13" i="75"/>
  <c r="I13" i="75"/>
  <c r="Q12" i="75"/>
  <c r="P12" i="75"/>
  <c r="J12" i="75"/>
  <c r="I12" i="75"/>
  <c r="Q11" i="75"/>
  <c r="P11" i="75"/>
  <c r="J11" i="75"/>
  <c r="I11" i="75"/>
  <c r="Q10" i="75"/>
  <c r="P10" i="75"/>
  <c r="J10" i="75"/>
  <c r="I10" i="75"/>
  <c r="Q9" i="75"/>
  <c r="P9" i="75"/>
  <c r="J9" i="75"/>
  <c r="I9" i="75"/>
  <c r="Q8" i="75"/>
  <c r="P8" i="75"/>
  <c r="J8" i="75"/>
  <c r="I8" i="75"/>
  <c r="Q7" i="75"/>
  <c r="P7" i="75"/>
  <c r="J7" i="75"/>
  <c r="I7" i="75"/>
  <c r="Q6" i="75"/>
  <c r="P6" i="75"/>
  <c r="J6" i="75"/>
  <c r="I6" i="75"/>
  <c r="L132" i="73"/>
  <c r="AY131" i="109" s="1"/>
  <c r="M131" i="73"/>
  <c r="L131" i="73"/>
  <c r="AY130" i="109" s="1"/>
  <c r="M130" i="73"/>
  <c r="L130" i="73"/>
  <c r="AY129" i="109" s="1"/>
  <c r="M129" i="73"/>
  <c r="L129" i="73"/>
  <c r="AY128" i="109" s="1"/>
  <c r="M128" i="73"/>
  <c r="L128" i="73"/>
  <c r="AY127" i="109" s="1"/>
  <c r="O126" i="73"/>
  <c r="N126" i="73"/>
  <c r="M126" i="73"/>
  <c r="L126" i="73"/>
  <c r="AY125" i="109" s="1"/>
  <c r="O125" i="73"/>
  <c r="N125" i="73"/>
  <c r="M125" i="73"/>
  <c r="L125" i="73"/>
  <c r="AY124" i="109" s="1"/>
  <c r="O124" i="73"/>
  <c r="N124" i="73"/>
  <c r="M124" i="73"/>
  <c r="L124" i="73"/>
  <c r="AY123" i="109" s="1"/>
  <c r="O123" i="73"/>
  <c r="N123" i="73"/>
  <c r="M123" i="73"/>
  <c r="L123" i="73"/>
  <c r="AY122" i="109" s="1"/>
  <c r="O122" i="73"/>
  <c r="N122" i="73"/>
  <c r="M122" i="73"/>
  <c r="L122" i="73"/>
  <c r="AY121" i="109" s="1"/>
  <c r="O121" i="73"/>
  <c r="N121" i="73"/>
  <c r="M121" i="73"/>
  <c r="L121" i="73"/>
  <c r="AY120" i="109" s="1"/>
  <c r="O120" i="73"/>
  <c r="N120" i="73"/>
  <c r="M120" i="73"/>
  <c r="L120" i="73"/>
  <c r="AY119" i="109" s="1"/>
  <c r="O119" i="73"/>
  <c r="N119" i="73"/>
  <c r="M119" i="73"/>
  <c r="L119" i="73"/>
  <c r="AY118" i="109" s="1"/>
  <c r="O118" i="73"/>
  <c r="N118" i="73"/>
  <c r="M118" i="73"/>
  <c r="L118" i="73"/>
  <c r="AY117" i="109" s="1"/>
  <c r="O117" i="73"/>
  <c r="N117" i="73"/>
  <c r="M117" i="73"/>
  <c r="L117" i="73"/>
  <c r="AY116" i="109" s="1"/>
  <c r="O116" i="73"/>
  <c r="N116" i="73"/>
  <c r="M116" i="73"/>
  <c r="L116" i="73"/>
  <c r="AY115" i="109" s="1"/>
  <c r="O115" i="73"/>
  <c r="N115" i="73"/>
  <c r="M115" i="73"/>
  <c r="L115" i="73"/>
  <c r="AY114" i="109" s="1"/>
  <c r="O114" i="73"/>
  <c r="N114" i="73"/>
  <c r="M114" i="73"/>
  <c r="L114" i="73"/>
  <c r="AY113" i="109" s="1"/>
  <c r="O113" i="73"/>
  <c r="N113" i="73"/>
  <c r="M113" i="73"/>
  <c r="L113" i="73"/>
  <c r="AY112" i="109" s="1"/>
  <c r="O112" i="73"/>
  <c r="N112" i="73"/>
  <c r="M112" i="73"/>
  <c r="L112" i="73"/>
  <c r="AY111" i="109" s="1"/>
  <c r="O111" i="73"/>
  <c r="N111" i="73"/>
  <c r="M111" i="73"/>
  <c r="L111" i="73"/>
  <c r="AY110" i="109" s="1"/>
  <c r="O110" i="73"/>
  <c r="N110" i="73"/>
  <c r="M110" i="73"/>
  <c r="L110" i="73"/>
  <c r="AY109" i="109" s="1"/>
  <c r="O109" i="73"/>
  <c r="N109" i="73"/>
  <c r="M109" i="73"/>
  <c r="L109" i="73"/>
  <c r="AY108" i="109" s="1"/>
  <c r="O108" i="73"/>
  <c r="N108" i="73"/>
  <c r="M108" i="73"/>
  <c r="L108" i="73"/>
  <c r="AY107" i="109" s="1"/>
  <c r="O107" i="73"/>
  <c r="N107" i="73"/>
  <c r="M107" i="73"/>
  <c r="L107" i="73"/>
  <c r="AY106" i="109" s="1"/>
  <c r="O106" i="73"/>
  <c r="N106" i="73"/>
  <c r="M106" i="73"/>
  <c r="L106" i="73"/>
  <c r="AY105" i="109" s="1"/>
  <c r="O105" i="73"/>
  <c r="N105" i="73"/>
  <c r="M105" i="73"/>
  <c r="L105" i="73"/>
  <c r="AY104" i="109" s="1"/>
  <c r="O104" i="73"/>
  <c r="N104" i="73"/>
  <c r="M104" i="73"/>
  <c r="L104" i="73"/>
  <c r="AY103" i="109" s="1"/>
  <c r="O103" i="73"/>
  <c r="N103" i="73"/>
  <c r="M103" i="73"/>
  <c r="L103" i="73"/>
  <c r="AY102" i="109" s="1"/>
  <c r="O102" i="73"/>
  <c r="N102" i="73"/>
  <c r="M102" i="73"/>
  <c r="L102" i="73"/>
  <c r="AY101" i="109" s="1"/>
  <c r="O101" i="73"/>
  <c r="N101" i="73"/>
  <c r="M101" i="73"/>
  <c r="L101" i="73"/>
  <c r="AY100" i="109" s="1"/>
  <c r="O100" i="73"/>
  <c r="N100" i="73"/>
  <c r="M100" i="73"/>
  <c r="L100" i="73"/>
  <c r="AY99" i="109" s="1"/>
  <c r="O99" i="73"/>
  <c r="N99" i="73"/>
  <c r="M99" i="73"/>
  <c r="L99" i="73"/>
  <c r="AY98" i="109" s="1"/>
  <c r="O98" i="73"/>
  <c r="N98" i="73"/>
  <c r="M98" i="73"/>
  <c r="L98" i="73"/>
  <c r="AY97" i="109" s="1"/>
  <c r="O97" i="73"/>
  <c r="N97" i="73"/>
  <c r="M97" i="73"/>
  <c r="L97" i="73"/>
  <c r="AY96" i="109" s="1"/>
  <c r="O96" i="73"/>
  <c r="N96" i="73"/>
  <c r="M96" i="73"/>
  <c r="L96" i="73"/>
  <c r="AY95" i="109" s="1"/>
  <c r="O95" i="73"/>
  <c r="N95" i="73"/>
  <c r="M95" i="73"/>
  <c r="L95" i="73"/>
  <c r="AY94" i="109" s="1"/>
  <c r="O94" i="73"/>
  <c r="N94" i="73"/>
  <c r="M94" i="73"/>
  <c r="L94" i="73"/>
  <c r="AY93" i="109" s="1"/>
  <c r="O93" i="73"/>
  <c r="N93" i="73"/>
  <c r="M93" i="73"/>
  <c r="L93" i="73"/>
  <c r="AY92" i="109" s="1"/>
  <c r="O92" i="73"/>
  <c r="N92" i="73"/>
  <c r="M92" i="73"/>
  <c r="L92" i="73"/>
  <c r="AY91" i="109" s="1"/>
  <c r="O91" i="73"/>
  <c r="N91" i="73"/>
  <c r="M91" i="73"/>
  <c r="L91" i="73"/>
  <c r="AY90" i="109" s="1"/>
  <c r="O90" i="73"/>
  <c r="N90" i="73"/>
  <c r="M90" i="73"/>
  <c r="L90" i="73"/>
  <c r="AY89" i="109" s="1"/>
  <c r="O89" i="73"/>
  <c r="N89" i="73"/>
  <c r="M89" i="73"/>
  <c r="L89" i="73"/>
  <c r="AY88" i="109" s="1"/>
  <c r="O88" i="73"/>
  <c r="N88" i="73"/>
  <c r="M88" i="73"/>
  <c r="L88" i="73"/>
  <c r="AY87" i="109" s="1"/>
  <c r="O87" i="73"/>
  <c r="N87" i="73"/>
  <c r="M87" i="73"/>
  <c r="L87" i="73"/>
  <c r="AY86" i="109" s="1"/>
  <c r="O86" i="73"/>
  <c r="N86" i="73"/>
  <c r="M86" i="73"/>
  <c r="L86" i="73"/>
  <c r="AY85" i="109" s="1"/>
  <c r="O85" i="73"/>
  <c r="N85" i="73"/>
  <c r="M85" i="73"/>
  <c r="L85" i="73"/>
  <c r="AY84" i="109" s="1"/>
  <c r="O84" i="73"/>
  <c r="N84" i="73"/>
  <c r="M84" i="73"/>
  <c r="L84" i="73"/>
  <c r="AY83" i="109" s="1"/>
  <c r="O83" i="73"/>
  <c r="N83" i="73"/>
  <c r="M83" i="73"/>
  <c r="L83" i="73"/>
  <c r="AY82" i="109" s="1"/>
  <c r="O82" i="73"/>
  <c r="N82" i="73"/>
  <c r="M82" i="73"/>
  <c r="L82" i="73"/>
  <c r="AY81" i="109" s="1"/>
  <c r="O81" i="73"/>
  <c r="N81" i="73"/>
  <c r="M81" i="73"/>
  <c r="L81" i="73"/>
  <c r="AY80" i="109" s="1"/>
  <c r="O80" i="73"/>
  <c r="N80" i="73"/>
  <c r="M80" i="73"/>
  <c r="L80" i="73"/>
  <c r="AY79" i="109" s="1"/>
  <c r="O79" i="73"/>
  <c r="N79" i="73"/>
  <c r="M79" i="73"/>
  <c r="L79" i="73"/>
  <c r="AY78" i="109" s="1"/>
  <c r="O78" i="73"/>
  <c r="N78" i="73"/>
  <c r="M78" i="73"/>
  <c r="L78" i="73"/>
  <c r="AY77" i="109" s="1"/>
  <c r="O77" i="73"/>
  <c r="N77" i="73"/>
  <c r="M77" i="73"/>
  <c r="L77" i="73"/>
  <c r="AY76" i="109" s="1"/>
  <c r="O76" i="73"/>
  <c r="N76" i="73"/>
  <c r="M76" i="73"/>
  <c r="L76" i="73"/>
  <c r="AY75" i="109" s="1"/>
  <c r="O75" i="73"/>
  <c r="N75" i="73"/>
  <c r="M75" i="73"/>
  <c r="L75" i="73"/>
  <c r="AY74" i="109" s="1"/>
  <c r="O74" i="73"/>
  <c r="N74" i="73"/>
  <c r="M74" i="73"/>
  <c r="L74" i="73"/>
  <c r="AY73" i="109" s="1"/>
  <c r="O73" i="73"/>
  <c r="N73" i="73"/>
  <c r="M73" i="73"/>
  <c r="L73" i="73"/>
  <c r="AY72" i="109" s="1"/>
  <c r="O72" i="73"/>
  <c r="N72" i="73"/>
  <c r="M72" i="73"/>
  <c r="L72" i="73"/>
  <c r="AY71" i="109" s="1"/>
  <c r="O71" i="73"/>
  <c r="N71" i="73"/>
  <c r="M71" i="73"/>
  <c r="L71" i="73"/>
  <c r="AY70" i="109" s="1"/>
  <c r="O70" i="73"/>
  <c r="N70" i="73"/>
  <c r="M70" i="73"/>
  <c r="L70" i="73"/>
  <c r="AY69" i="109" s="1"/>
  <c r="O69" i="73"/>
  <c r="N69" i="73"/>
  <c r="M69" i="73"/>
  <c r="L69" i="73"/>
  <c r="AY68" i="109" s="1"/>
  <c r="O68" i="73"/>
  <c r="N68" i="73"/>
  <c r="M68" i="73"/>
  <c r="L68" i="73"/>
  <c r="AY67" i="109" s="1"/>
  <c r="O67" i="73"/>
  <c r="N67" i="73"/>
  <c r="M67" i="73"/>
  <c r="L67" i="73"/>
  <c r="AY66" i="109" s="1"/>
  <c r="O66" i="73"/>
  <c r="N66" i="73"/>
  <c r="M66" i="73"/>
  <c r="L66" i="73"/>
  <c r="AY65" i="109" s="1"/>
  <c r="O65" i="73"/>
  <c r="N65" i="73"/>
  <c r="M65" i="73"/>
  <c r="L65" i="73"/>
  <c r="AY64" i="109" s="1"/>
  <c r="O64" i="73"/>
  <c r="N64" i="73"/>
  <c r="M64" i="73"/>
  <c r="L64" i="73"/>
  <c r="AY63" i="109" s="1"/>
  <c r="O63" i="73"/>
  <c r="N63" i="73"/>
  <c r="M63" i="73"/>
  <c r="L63" i="73"/>
  <c r="AY62" i="109" s="1"/>
  <c r="O62" i="73"/>
  <c r="N62" i="73"/>
  <c r="M62" i="73"/>
  <c r="L62" i="73"/>
  <c r="AY61" i="109" s="1"/>
  <c r="O61" i="73"/>
  <c r="N61" i="73"/>
  <c r="M61" i="73"/>
  <c r="L61" i="73"/>
  <c r="AY60" i="109" s="1"/>
  <c r="O60" i="73"/>
  <c r="N60" i="73"/>
  <c r="M60" i="73"/>
  <c r="L60" i="73"/>
  <c r="AY59" i="109" s="1"/>
  <c r="O59" i="73"/>
  <c r="N59" i="73"/>
  <c r="M59" i="73"/>
  <c r="L59" i="73"/>
  <c r="AY58" i="109" s="1"/>
  <c r="O58" i="73"/>
  <c r="N58" i="73"/>
  <c r="M58" i="73"/>
  <c r="L58" i="73"/>
  <c r="AY57" i="109" s="1"/>
  <c r="O57" i="73"/>
  <c r="N57" i="73"/>
  <c r="M57" i="73"/>
  <c r="L57" i="73"/>
  <c r="AY56" i="109" s="1"/>
  <c r="O56" i="73"/>
  <c r="N56" i="73"/>
  <c r="M56" i="73"/>
  <c r="L56" i="73"/>
  <c r="AY55" i="109" s="1"/>
  <c r="O55" i="73"/>
  <c r="N55" i="73"/>
  <c r="M55" i="73"/>
  <c r="L55" i="73"/>
  <c r="AY54" i="109" s="1"/>
  <c r="O54" i="73"/>
  <c r="N54" i="73"/>
  <c r="M54" i="73"/>
  <c r="L54" i="73"/>
  <c r="AY53" i="109" s="1"/>
  <c r="O53" i="73"/>
  <c r="N53" i="73"/>
  <c r="M53" i="73"/>
  <c r="L53" i="73"/>
  <c r="AY52" i="109" s="1"/>
  <c r="O52" i="73"/>
  <c r="N52" i="73"/>
  <c r="M52" i="73"/>
  <c r="L52" i="73"/>
  <c r="AY51" i="109" s="1"/>
  <c r="O51" i="73"/>
  <c r="N51" i="73"/>
  <c r="M51" i="73"/>
  <c r="L51" i="73"/>
  <c r="AY50" i="109" s="1"/>
  <c r="O50" i="73"/>
  <c r="N50" i="73"/>
  <c r="M50" i="73"/>
  <c r="L50" i="73"/>
  <c r="AY49" i="109" s="1"/>
  <c r="O49" i="73"/>
  <c r="N49" i="73"/>
  <c r="M49" i="73"/>
  <c r="L49" i="73"/>
  <c r="AY48" i="109" s="1"/>
  <c r="O48" i="73"/>
  <c r="N48" i="73"/>
  <c r="M48" i="73"/>
  <c r="L48" i="73"/>
  <c r="AY47" i="109" s="1"/>
  <c r="O47" i="73"/>
  <c r="N47" i="73"/>
  <c r="M47" i="73"/>
  <c r="L47" i="73"/>
  <c r="AY46" i="109" s="1"/>
  <c r="O46" i="73"/>
  <c r="N46" i="73"/>
  <c r="M46" i="73"/>
  <c r="L46" i="73"/>
  <c r="AY45" i="109" s="1"/>
  <c r="O45" i="73"/>
  <c r="N45" i="73"/>
  <c r="M45" i="73"/>
  <c r="L45" i="73"/>
  <c r="AY44" i="109" s="1"/>
  <c r="O44" i="73"/>
  <c r="N44" i="73"/>
  <c r="M44" i="73"/>
  <c r="L44" i="73"/>
  <c r="AY43" i="109" s="1"/>
  <c r="O43" i="73"/>
  <c r="N43" i="73"/>
  <c r="M43" i="73"/>
  <c r="L43" i="73"/>
  <c r="AY42" i="109" s="1"/>
  <c r="O42" i="73"/>
  <c r="N42" i="73"/>
  <c r="M42" i="73"/>
  <c r="L42" i="73"/>
  <c r="AY41" i="109" s="1"/>
  <c r="O41" i="73"/>
  <c r="N41" i="73"/>
  <c r="M41" i="73"/>
  <c r="L41" i="73"/>
  <c r="AY40" i="109" s="1"/>
  <c r="O40" i="73"/>
  <c r="N40" i="73"/>
  <c r="M40" i="73"/>
  <c r="L40" i="73"/>
  <c r="AY39" i="109" s="1"/>
  <c r="O39" i="73"/>
  <c r="N39" i="73"/>
  <c r="M39" i="73"/>
  <c r="L39" i="73"/>
  <c r="AY38" i="109" s="1"/>
  <c r="O38" i="73"/>
  <c r="N38" i="73"/>
  <c r="M38" i="73"/>
  <c r="L38" i="73"/>
  <c r="AY37" i="109" s="1"/>
  <c r="O37" i="73"/>
  <c r="N37" i="73"/>
  <c r="M37" i="73"/>
  <c r="L37" i="73"/>
  <c r="AY36" i="109" s="1"/>
  <c r="O36" i="73"/>
  <c r="N36" i="73"/>
  <c r="M36" i="73"/>
  <c r="L36" i="73"/>
  <c r="AY35" i="109" s="1"/>
  <c r="O35" i="73"/>
  <c r="N35" i="73"/>
  <c r="M35" i="73"/>
  <c r="L35" i="73"/>
  <c r="AY34" i="109" s="1"/>
  <c r="O34" i="73"/>
  <c r="N34" i="73"/>
  <c r="M34" i="73"/>
  <c r="L34" i="73"/>
  <c r="AY33" i="109" s="1"/>
  <c r="O33" i="73"/>
  <c r="N33" i="73"/>
  <c r="M33" i="73"/>
  <c r="L33" i="73"/>
  <c r="AY32" i="109" s="1"/>
  <c r="O32" i="73"/>
  <c r="N32" i="73"/>
  <c r="M32" i="73"/>
  <c r="L32" i="73"/>
  <c r="AY31" i="109" s="1"/>
  <c r="O31" i="73"/>
  <c r="N31" i="73"/>
  <c r="M31" i="73"/>
  <c r="L31" i="73"/>
  <c r="AY30" i="109" s="1"/>
  <c r="O30" i="73"/>
  <c r="N30" i="73"/>
  <c r="M30" i="73"/>
  <c r="L30" i="73"/>
  <c r="AY29" i="109" s="1"/>
  <c r="O29" i="73"/>
  <c r="N29" i="73"/>
  <c r="M29" i="73"/>
  <c r="L29" i="73"/>
  <c r="AY28" i="109" s="1"/>
  <c r="O28" i="73"/>
  <c r="N28" i="73"/>
  <c r="M28" i="73"/>
  <c r="L28" i="73"/>
  <c r="AY27" i="109" s="1"/>
  <c r="O27" i="73"/>
  <c r="N27" i="73"/>
  <c r="M27" i="73"/>
  <c r="L27" i="73"/>
  <c r="AY26" i="109" s="1"/>
  <c r="O26" i="73"/>
  <c r="N26" i="73"/>
  <c r="M26" i="73"/>
  <c r="L26" i="73"/>
  <c r="AY25" i="109" s="1"/>
  <c r="O25" i="73"/>
  <c r="N25" i="73"/>
  <c r="M25" i="73"/>
  <c r="L25" i="73"/>
  <c r="AY24" i="109" s="1"/>
  <c r="O24" i="73"/>
  <c r="N24" i="73"/>
  <c r="M24" i="73"/>
  <c r="L24" i="73"/>
  <c r="AY23" i="109" s="1"/>
  <c r="O23" i="73"/>
  <c r="N23" i="73"/>
  <c r="M23" i="73"/>
  <c r="L23" i="73"/>
  <c r="AY22" i="109" s="1"/>
  <c r="O22" i="73"/>
  <c r="N22" i="73"/>
  <c r="M22" i="73"/>
  <c r="L22" i="73"/>
  <c r="AY21" i="109" s="1"/>
  <c r="O21" i="73"/>
  <c r="N21" i="73"/>
  <c r="M21" i="73"/>
  <c r="L21" i="73"/>
  <c r="AY20" i="109" s="1"/>
  <c r="O20" i="73"/>
  <c r="N20" i="73"/>
  <c r="M20" i="73"/>
  <c r="L20" i="73"/>
  <c r="AY19" i="109" s="1"/>
  <c r="O19" i="73"/>
  <c r="N19" i="73"/>
  <c r="M19" i="73"/>
  <c r="L19" i="73"/>
  <c r="AY18" i="109" s="1"/>
  <c r="O18" i="73"/>
  <c r="N18" i="73"/>
  <c r="M18" i="73"/>
  <c r="L18" i="73"/>
  <c r="AY17" i="109" s="1"/>
  <c r="O17" i="73"/>
  <c r="N17" i="73"/>
  <c r="M17" i="73"/>
  <c r="L17" i="73"/>
  <c r="AY16" i="109" s="1"/>
  <c r="O16" i="73"/>
  <c r="N16" i="73"/>
  <c r="M16" i="73"/>
  <c r="L16" i="73"/>
  <c r="AY15" i="109" s="1"/>
  <c r="O15" i="73"/>
  <c r="N15" i="73"/>
  <c r="M15" i="73"/>
  <c r="L15" i="73"/>
  <c r="AY14" i="109" s="1"/>
  <c r="O14" i="73"/>
  <c r="N14" i="73"/>
  <c r="M14" i="73"/>
  <c r="L14" i="73"/>
  <c r="AY13" i="109" s="1"/>
  <c r="O13" i="73"/>
  <c r="N13" i="73"/>
  <c r="M13" i="73"/>
  <c r="L13" i="73"/>
  <c r="AY12" i="109" s="1"/>
  <c r="O12" i="73"/>
  <c r="N12" i="73"/>
  <c r="M12" i="73"/>
  <c r="L12" i="73"/>
  <c r="AY11" i="109" s="1"/>
  <c r="O11" i="73"/>
  <c r="N11" i="73"/>
  <c r="M11" i="73"/>
  <c r="L11" i="73"/>
  <c r="AY10" i="109" s="1"/>
  <c r="O10" i="73"/>
  <c r="N10" i="73"/>
  <c r="M10" i="73"/>
  <c r="L10" i="73"/>
  <c r="AY9" i="109" s="1"/>
  <c r="O9" i="73"/>
  <c r="N9" i="73"/>
  <c r="M9" i="73"/>
  <c r="L9" i="73"/>
  <c r="AY8" i="109" s="1"/>
  <c r="O8" i="73"/>
  <c r="N8" i="73"/>
  <c r="M8" i="73"/>
  <c r="L8" i="73"/>
  <c r="AY7" i="109" s="1"/>
  <c r="O7" i="73"/>
  <c r="N7" i="73"/>
  <c r="M7" i="73"/>
  <c r="L7" i="73"/>
  <c r="AY6" i="109" s="1"/>
  <c r="O6" i="73"/>
  <c r="F63" i="1" s="1"/>
  <c r="N6" i="73"/>
  <c r="F62" i="1" s="1"/>
  <c r="M6" i="73"/>
  <c r="F61" i="1" s="1"/>
  <c r="L6" i="73"/>
  <c r="S126" i="72"/>
  <c r="R126" i="72"/>
  <c r="Q126" i="72"/>
  <c r="P126" i="72"/>
  <c r="S125" i="72"/>
  <c r="R125" i="72"/>
  <c r="Q125" i="72"/>
  <c r="P125" i="72"/>
  <c r="S124" i="72"/>
  <c r="R124" i="72"/>
  <c r="Q124" i="72"/>
  <c r="P124" i="72"/>
  <c r="S123" i="72"/>
  <c r="R123" i="72"/>
  <c r="Q123" i="72"/>
  <c r="P123" i="72"/>
  <c r="S122" i="72"/>
  <c r="R122" i="72"/>
  <c r="Q122" i="72"/>
  <c r="P122" i="72"/>
  <c r="S121" i="72"/>
  <c r="R121" i="72"/>
  <c r="Q121" i="72"/>
  <c r="P121" i="72"/>
  <c r="S120" i="72"/>
  <c r="R120" i="72"/>
  <c r="Q120" i="72"/>
  <c r="P120" i="72"/>
  <c r="S119" i="72"/>
  <c r="R119" i="72"/>
  <c r="Q119" i="72"/>
  <c r="P119" i="72"/>
  <c r="S118" i="72"/>
  <c r="R118" i="72"/>
  <c r="Q118" i="72"/>
  <c r="P118" i="72"/>
  <c r="S117" i="72"/>
  <c r="R117" i="72"/>
  <c r="Q117" i="72"/>
  <c r="P117" i="72"/>
  <c r="S116" i="72"/>
  <c r="R116" i="72"/>
  <c r="Q116" i="72"/>
  <c r="P116" i="72"/>
  <c r="S115" i="72"/>
  <c r="R115" i="72"/>
  <c r="Q115" i="72"/>
  <c r="P115" i="72"/>
  <c r="S114" i="72"/>
  <c r="R114" i="72"/>
  <c r="Q114" i="72"/>
  <c r="P114" i="72"/>
  <c r="S113" i="72"/>
  <c r="R113" i="72"/>
  <c r="Q113" i="72"/>
  <c r="P113" i="72"/>
  <c r="S112" i="72"/>
  <c r="R112" i="72"/>
  <c r="Q112" i="72"/>
  <c r="P112" i="72"/>
  <c r="S111" i="72"/>
  <c r="R111" i="72"/>
  <c r="Q111" i="72"/>
  <c r="P111" i="72"/>
  <c r="S110" i="72"/>
  <c r="R110" i="72"/>
  <c r="Q110" i="72"/>
  <c r="P110" i="72"/>
  <c r="S109" i="72"/>
  <c r="R109" i="72"/>
  <c r="Q109" i="72"/>
  <c r="P109" i="72"/>
  <c r="S108" i="72"/>
  <c r="R108" i="72"/>
  <c r="Q108" i="72"/>
  <c r="P108" i="72"/>
  <c r="S107" i="72"/>
  <c r="R107" i="72"/>
  <c r="Q107" i="72"/>
  <c r="P107" i="72"/>
  <c r="S106" i="72"/>
  <c r="R106" i="72"/>
  <c r="Q106" i="72"/>
  <c r="P106" i="72"/>
  <c r="S105" i="72"/>
  <c r="R105" i="72"/>
  <c r="Q105" i="72"/>
  <c r="P105" i="72"/>
  <c r="S104" i="72"/>
  <c r="R104" i="72"/>
  <c r="Q104" i="72"/>
  <c r="P104" i="72"/>
  <c r="S103" i="72"/>
  <c r="R103" i="72"/>
  <c r="Q103" i="72"/>
  <c r="P103" i="72"/>
  <c r="S102" i="72"/>
  <c r="R102" i="72"/>
  <c r="Q102" i="72"/>
  <c r="P102" i="72"/>
  <c r="S101" i="72"/>
  <c r="R101" i="72"/>
  <c r="Q101" i="72"/>
  <c r="P101" i="72"/>
  <c r="S100" i="72"/>
  <c r="R100" i="72"/>
  <c r="Q100" i="72"/>
  <c r="P100" i="72"/>
  <c r="S99" i="72"/>
  <c r="R99" i="72"/>
  <c r="Q99" i="72"/>
  <c r="P99" i="72"/>
  <c r="S98" i="72"/>
  <c r="R98" i="72"/>
  <c r="Q98" i="72"/>
  <c r="P98" i="72"/>
  <c r="S97" i="72"/>
  <c r="R97" i="72"/>
  <c r="Q97" i="72"/>
  <c r="P97" i="72"/>
  <c r="S96" i="72"/>
  <c r="R96" i="72"/>
  <c r="Q96" i="72"/>
  <c r="P96" i="72"/>
  <c r="S95" i="72"/>
  <c r="R95" i="72"/>
  <c r="Q95" i="72"/>
  <c r="P95" i="72"/>
  <c r="S94" i="72"/>
  <c r="R94" i="72"/>
  <c r="Q94" i="72"/>
  <c r="P94" i="72"/>
  <c r="S93" i="72"/>
  <c r="R93" i="72"/>
  <c r="Q93" i="72"/>
  <c r="P93" i="72"/>
  <c r="S92" i="72"/>
  <c r="R92" i="72"/>
  <c r="Q92" i="72"/>
  <c r="P92" i="72"/>
  <c r="S91" i="72"/>
  <c r="R91" i="72"/>
  <c r="Q91" i="72"/>
  <c r="P91" i="72"/>
  <c r="S90" i="72"/>
  <c r="R90" i="72"/>
  <c r="Q90" i="72"/>
  <c r="P90" i="72"/>
  <c r="S89" i="72"/>
  <c r="R89" i="72"/>
  <c r="Q89" i="72"/>
  <c r="P89" i="72"/>
  <c r="S88" i="72"/>
  <c r="R88" i="72"/>
  <c r="Q88" i="72"/>
  <c r="P88" i="72"/>
  <c r="S87" i="72"/>
  <c r="R87" i="72"/>
  <c r="Q87" i="72"/>
  <c r="P87" i="72"/>
  <c r="S86" i="72"/>
  <c r="R86" i="72"/>
  <c r="Q86" i="72"/>
  <c r="P86" i="72"/>
  <c r="S85" i="72"/>
  <c r="R85" i="72"/>
  <c r="Q85" i="72"/>
  <c r="P85" i="72"/>
  <c r="S84" i="72"/>
  <c r="R84" i="72"/>
  <c r="Q84" i="72"/>
  <c r="P84" i="72"/>
  <c r="S83" i="72"/>
  <c r="R83" i="72"/>
  <c r="Q83" i="72"/>
  <c r="P83" i="72"/>
  <c r="S82" i="72"/>
  <c r="R82" i="72"/>
  <c r="Q82" i="72"/>
  <c r="P82" i="72"/>
  <c r="S81" i="72"/>
  <c r="R81" i="72"/>
  <c r="Q81" i="72"/>
  <c r="P81" i="72"/>
  <c r="S80" i="72"/>
  <c r="R80" i="72"/>
  <c r="Q80" i="72"/>
  <c r="P80" i="72"/>
  <c r="S79" i="72"/>
  <c r="R79" i="72"/>
  <c r="Q79" i="72"/>
  <c r="P79" i="72"/>
  <c r="S78" i="72"/>
  <c r="R78" i="72"/>
  <c r="Q78" i="72"/>
  <c r="P78" i="72"/>
  <c r="S77" i="72"/>
  <c r="R77" i="72"/>
  <c r="Q77" i="72"/>
  <c r="P77" i="72"/>
  <c r="S76" i="72"/>
  <c r="R76" i="72"/>
  <c r="Q76" i="72"/>
  <c r="P76" i="72"/>
  <c r="S75" i="72"/>
  <c r="R75" i="72"/>
  <c r="Q75" i="72"/>
  <c r="P75" i="72"/>
  <c r="S74" i="72"/>
  <c r="R74" i="72"/>
  <c r="Q74" i="72"/>
  <c r="P74" i="72"/>
  <c r="S73" i="72"/>
  <c r="R73" i="72"/>
  <c r="Q73" i="72"/>
  <c r="P73" i="72"/>
  <c r="S72" i="72"/>
  <c r="R72" i="72"/>
  <c r="Q72" i="72"/>
  <c r="P72" i="72"/>
  <c r="S71" i="72"/>
  <c r="R71" i="72"/>
  <c r="Q71" i="72"/>
  <c r="P71" i="72"/>
  <c r="S70" i="72"/>
  <c r="R70" i="72"/>
  <c r="Q70" i="72"/>
  <c r="P70" i="72"/>
  <c r="S69" i="72"/>
  <c r="R69" i="72"/>
  <c r="Q69" i="72"/>
  <c r="P69" i="72"/>
  <c r="S68" i="72"/>
  <c r="R68" i="72"/>
  <c r="Q68" i="72"/>
  <c r="P68" i="72"/>
  <c r="S67" i="72"/>
  <c r="R67" i="72"/>
  <c r="Q67" i="72"/>
  <c r="P67" i="72"/>
  <c r="S66" i="72"/>
  <c r="R66" i="72"/>
  <c r="Q66" i="72"/>
  <c r="P66" i="72"/>
  <c r="S65" i="72"/>
  <c r="R65" i="72"/>
  <c r="Q65" i="72"/>
  <c r="P65" i="72"/>
  <c r="S64" i="72"/>
  <c r="R64" i="72"/>
  <c r="Q64" i="72"/>
  <c r="P64" i="72"/>
  <c r="S63" i="72"/>
  <c r="R63" i="72"/>
  <c r="Q63" i="72"/>
  <c r="P63" i="72"/>
  <c r="S62" i="72"/>
  <c r="R62" i="72"/>
  <c r="Q62" i="72"/>
  <c r="P62" i="72"/>
  <c r="S61" i="72"/>
  <c r="R61" i="72"/>
  <c r="Q61" i="72"/>
  <c r="P61" i="72"/>
  <c r="S60" i="72"/>
  <c r="R60" i="72"/>
  <c r="Q60" i="72"/>
  <c r="P60" i="72"/>
  <c r="S59" i="72"/>
  <c r="R59" i="72"/>
  <c r="Q59" i="72"/>
  <c r="P59" i="72"/>
  <c r="S58" i="72"/>
  <c r="R58" i="72"/>
  <c r="Q58" i="72"/>
  <c r="P58" i="72"/>
  <c r="S57" i="72"/>
  <c r="R57" i="72"/>
  <c r="Q57" i="72"/>
  <c r="P57" i="72"/>
  <c r="S56" i="72"/>
  <c r="R56" i="72"/>
  <c r="Q56" i="72"/>
  <c r="P56" i="72"/>
  <c r="S55" i="72"/>
  <c r="R55" i="72"/>
  <c r="Q55" i="72"/>
  <c r="P55" i="72"/>
  <c r="S54" i="72"/>
  <c r="R54" i="72"/>
  <c r="Q54" i="72"/>
  <c r="P54" i="72"/>
  <c r="S53" i="72"/>
  <c r="R53" i="72"/>
  <c r="Q53" i="72"/>
  <c r="P53" i="72"/>
  <c r="S52" i="72"/>
  <c r="R52" i="72"/>
  <c r="Q52" i="72"/>
  <c r="P52" i="72"/>
  <c r="S51" i="72"/>
  <c r="R51" i="72"/>
  <c r="Q51" i="72"/>
  <c r="P51" i="72"/>
  <c r="S50" i="72"/>
  <c r="R50" i="72"/>
  <c r="Q50" i="72"/>
  <c r="P50" i="72"/>
  <c r="S49" i="72"/>
  <c r="R49" i="72"/>
  <c r="Q49" i="72"/>
  <c r="P49" i="72"/>
  <c r="S48" i="72"/>
  <c r="R48" i="72"/>
  <c r="Q48" i="72"/>
  <c r="P48" i="72"/>
  <c r="S47" i="72"/>
  <c r="R47" i="72"/>
  <c r="Q47" i="72"/>
  <c r="P47" i="72"/>
  <c r="S46" i="72"/>
  <c r="R46" i="72"/>
  <c r="Q46" i="72"/>
  <c r="P46" i="72"/>
  <c r="S45" i="72"/>
  <c r="R45" i="72"/>
  <c r="Q45" i="72"/>
  <c r="P45" i="72"/>
  <c r="S44" i="72"/>
  <c r="R44" i="72"/>
  <c r="Q44" i="72"/>
  <c r="P44" i="72"/>
  <c r="S43" i="72"/>
  <c r="R43" i="72"/>
  <c r="Q43" i="72"/>
  <c r="P43" i="72"/>
  <c r="S42" i="72"/>
  <c r="R42" i="72"/>
  <c r="Q42" i="72"/>
  <c r="P42" i="72"/>
  <c r="S41" i="72"/>
  <c r="R41" i="72"/>
  <c r="Q41" i="72"/>
  <c r="P41" i="72"/>
  <c r="S40" i="72"/>
  <c r="R40" i="72"/>
  <c r="Q40" i="72"/>
  <c r="P40" i="72"/>
  <c r="S39" i="72"/>
  <c r="R39" i="72"/>
  <c r="Q39" i="72"/>
  <c r="P39" i="72"/>
  <c r="S38" i="72"/>
  <c r="R38" i="72"/>
  <c r="Q38" i="72"/>
  <c r="P38" i="72"/>
  <c r="S37" i="72"/>
  <c r="R37" i="72"/>
  <c r="Q37" i="72"/>
  <c r="P37" i="72"/>
  <c r="S36" i="72"/>
  <c r="R36" i="72"/>
  <c r="Q36" i="72"/>
  <c r="P36" i="72"/>
  <c r="S35" i="72"/>
  <c r="R35" i="72"/>
  <c r="Q35" i="72"/>
  <c r="P35" i="72"/>
  <c r="S34" i="72"/>
  <c r="R34" i="72"/>
  <c r="Q34" i="72"/>
  <c r="P34" i="72"/>
  <c r="S33" i="72"/>
  <c r="R33" i="72"/>
  <c r="Q33" i="72"/>
  <c r="P33" i="72"/>
  <c r="S32" i="72"/>
  <c r="R32" i="72"/>
  <c r="Q32" i="72"/>
  <c r="P32" i="72"/>
  <c r="S31" i="72"/>
  <c r="R31" i="72"/>
  <c r="Q31" i="72"/>
  <c r="P31" i="72"/>
  <c r="S30" i="72"/>
  <c r="R30" i="72"/>
  <c r="Q30" i="72"/>
  <c r="P30" i="72"/>
  <c r="S29" i="72"/>
  <c r="R29" i="72"/>
  <c r="Q29" i="72"/>
  <c r="P29" i="72"/>
  <c r="S28" i="72"/>
  <c r="R28" i="72"/>
  <c r="Q28" i="72"/>
  <c r="P28" i="72"/>
  <c r="S27" i="72"/>
  <c r="R27" i="72"/>
  <c r="Q27" i="72"/>
  <c r="P27" i="72"/>
  <c r="S26" i="72"/>
  <c r="R26" i="72"/>
  <c r="Q26" i="72"/>
  <c r="P26" i="72"/>
  <c r="S25" i="72"/>
  <c r="R25" i="72"/>
  <c r="Q25" i="72"/>
  <c r="P25" i="72"/>
  <c r="S24" i="72"/>
  <c r="R24" i="72"/>
  <c r="Q24" i="72"/>
  <c r="P24" i="72"/>
  <c r="S23" i="72"/>
  <c r="R23" i="72"/>
  <c r="Q23" i="72"/>
  <c r="P23" i="72"/>
  <c r="S22" i="72"/>
  <c r="R22" i="72"/>
  <c r="Q22" i="72"/>
  <c r="P22" i="72"/>
  <c r="S21" i="72"/>
  <c r="R21" i="72"/>
  <c r="Q21" i="72"/>
  <c r="P21" i="72"/>
  <c r="S20" i="72"/>
  <c r="R20" i="72"/>
  <c r="Q20" i="72"/>
  <c r="P20" i="72"/>
  <c r="S19" i="72"/>
  <c r="R19" i="72"/>
  <c r="Q19" i="72"/>
  <c r="P19" i="72"/>
  <c r="S18" i="72"/>
  <c r="R18" i="72"/>
  <c r="Q18" i="72"/>
  <c r="P18" i="72"/>
  <c r="S17" i="72"/>
  <c r="R17" i="72"/>
  <c r="Q17" i="72"/>
  <c r="P17" i="72"/>
  <c r="S16" i="72"/>
  <c r="R16" i="72"/>
  <c r="Q16" i="72"/>
  <c r="P16" i="72"/>
  <c r="S15" i="72"/>
  <c r="R15" i="72"/>
  <c r="Q15" i="72"/>
  <c r="P15" i="72"/>
  <c r="S14" i="72"/>
  <c r="R14" i="72"/>
  <c r="Q14" i="72"/>
  <c r="P14" i="72"/>
  <c r="S13" i="72"/>
  <c r="R13" i="72"/>
  <c r="Q13" i="72"/>
  <c r="P13" i="72"/>
  <c r="S12" i="72"/>
  <c r="R12" i="72"/>
  <c r="Q12" i="72"/>
  <c r="P12" i="72"/>
  <c r="S11" i="72"/>
  <c r="R11" i="72"/>
  <c r="Q11" i="72"/>
  <c r="P11" i="72"/>
  <c r="S10" i="72"/>
  <c r="R10" i="72"/>
  <c r="Q10" i="72"/>
  <c r="P10" i="72"/>
  <c r="S9" i="72"/>
  <c r="R9" i="72"/>
  <c r="Q9" i="72"/>
  <c r="P9" i="72"/>
  <c r="S8" i="72"/>
  <c r="R8" i="72"/>
  <c r="Q8" i="72"/>
  <c r="P8" i="72"/>
  <c r="S7" i="72"/>
  <c r="R7" i="72"/>
  <c r="Q7" i="72"/>
  <c r="P7" i="72"/>
  <c r="S6" i="72"/>
  <c r="R6" i="72"/>
  <c r="Q6" i="72"/>
  <c r="P6" i="72"/>
  <c r="O126" i="85"/>
  <c r="K126" i="85"/>
  <c r="G126" i="85"/>
  <c r="O125" i="85"/>
  <c r="K125" i="85"/>
  <c r="G125" i="85"/>
  <c r="O124" i="85"/>
  <c r="K124" i="85"/>
  <c r="G124" i="85"/>
  <c r="O123" i="85"/>
  <c r="K123" i="85"/>
  <c r="G123" i="85"/>
  <c r="O122" i="85"/>
  <c r="K122" i="85"/>
  <c r="G122" i="85"/>
  <c r="O121" i="85"/>
  <c r="K121" i="85"/>
  <c r="G121" i="85"/>
  <c r="O120" i="85"/>
  <c r="K120" i="85"/>
  <c r="G120" i="85"/>
  <c r="O119" i="85"/>
  <c r="K119" i="85"/>
  <c r="G119" i="85"/>
  <c r="O118" i="85"/>
  <c r="K118" i="85"/>
  <c r="G118" i="85"/>
  <c r="O117" i="85"/>
  <c r="K117" i="85"/>
  <c r="G117" i="85"/>
  <c r="O116" i="85"/>
  <c r="K116" i="85"/>
  <c r="G116" i="85"/>
  <c r="O115" i="85"/>
  <c r="K115" i="85"/>
  <c r="G115" i="85"/>
  <c r="O114" i="85"/>
  <c r="K114" i="85"/>
  <c r="G114" i="85"/>
  <c r="O113" i="85"/>
  <c r="K113" i="85"/>
  <c r="G113" i="85"/>
  <c r="O112" i="85"/>
  <c r="K112" i="85"/>
  <c r="G112" i="85"/>
  <c r="O111" i="85"/>
  <c r="K111" i="85"/>
  <c r="G111" i="85"/>
  <c r="O110" i="85"/>
  <c r="K110" i="85"/>
  <c r="G110" i="85"/>
  <c r="O109" i="85"/>
  <c r="K109" i="85"/>
  <c r="G109" i="85"/>
  <c r="O108" i="85"/>
  <c r="K108" i="85"/>
  <c r="G108" i="85"/>
  <c r="O107" i="85"/>
  <c r="K107" i="85"/>
  <c r="G107" i="85"/>
  <c r="O106" i="85"/>
  <c r="K106" i="85"/>
  <c r="G106" i="85"/>
  <c r="O105" i="85"/>
  <c r="K105" i="85"/>
  <c r="G105" i="85"/>
  <c r="O104" i="85"/>
  <c r="K104" i="85"/>
  <c r="G104" i="85"/>
  <c r="O103" i="85"/>
  <c r="K103" i="85"/>
  <c r="G103" i="85"/>
  <c r="O102" i="85"/>
  <c r="K102" i="85"/>
  <c r="G102" i="85"/>
  <c r="O101" i="85"/>
  <c r="K101" i="85"/>
  <c r="G101" i="85"/>
  <c r="O100" i="85"/>
  <c r="K100" i="85"/>
  <c r="G100" i="85"/>
  <c r="O99" i="85"/>
  <c r="K99" i="85"/>
  <c r="G99" i="85"/>
  <c r="O98" i="85"/>
  <c r="K98" i="85"/>
  <c r="G98" i="85"/>
  <c r="O97" i="85"/>
  <c r="K97" i="85"/>
  <c r="G97" i="85"/>
  <c r="O96" i="85"/>
  <c r="K96" i="85"/>
  <c r="G96" i="85"/>
  <c r="O95" i="85"/>
  <c r="K95" i="85"/>
  <c r="G95" i="85"/>
  <c r="O94" i="85"/>
  <c r="K94" i="85"/>
  <c r="G94" i="85"/>
  <c r="O93" i="85"/>
  <c r="K93" i="85"/>
  <c r="G93" i="85"/>
  <c r="O92" i="85"/>
  <c r="K92" i="85"/>
  <c r="G92" i="85"/>
  <c r="O91" i="85"/>
  <c r="K91" i="85"/>
  <c r="G91" i="85"/>
  <c r="O90" i="85"/>
  <c r="K90" i="85"/>
  <c r="G90" i="85"/>
  <c r="O89" i="85"/>
  <c r="K89" i="85"/>
  <c r="G89" i="85"/>
  <c r="O88" i="85"/>
  <c r="K88" i="85"/>
  <c r="G88" i="85"/>
  <c r="O87" i="85"/>
  <c r="K87" i="85"/>
  <c r="G87" i="85"/>
  <c r="O86" i="85"/>
  <c r="K86" i="85"/>
  <c r="G86" i="85"/>
  <c r="O85" i="85"/>
  <c r="K85" i="85"/>
  <c r="G85" i="85"/>
  <c r="O84" i="85"/>
  <c r="K84" i="85"/>
  <c r="G84" i="85"/>
  <c r="O83" i="85"/>
  <c r="K83" i="85"/>
  <c r="G83" i="85"/>
  <c r="O82" i="85"/>
  <c r="K82" i="85"/>
  <c r="G82" i="85"/>
  <c r="O81" i="85"/>
  <c r="K81" i="85"/>
  <c r="G81" i="85"/>
  <c r="O80" i="85"/>
  <c r="K80" i="85"/>
  <c r="G80" i="85"/>
  <c r="O79" i="85"/>
  <c r="K79" i="85"/>
  <c r="G79" i="85"/>
  <c r="O78" i="85"/>
  <c r="K78" i="85"/>
  <c r="G78" i="85"/>
  <c r="O77" i="85"/>
  <c r="K77" i="85"/>
  <c r="G77" i="85"/>
  <c r="O76" i="85"/>
  <c r="K76" i="85"/>
  <c r="G76" i="85"/>
  <c r="O75" i="85"/>
  <c r="K75" i="85"/>
  <c r="G75" i="85"/>
  <c r="O74" i="85"/>
  <c r="K74" i="85"/>
  <c r="G74" i="85"/>
  <c r="O73" i="85"/>
  <c r="K73" i="85"/>
  <c r="G73" i="85"/>
  <c r="O72" i="85"/>
  <c r="K72" i="85"/>
  <c r="G72" i="85"/>
  <c r="O71" i="85"/>
  <c r="K71" i="85"/>
  <c r="G71" i="85"/>
  <c r="O70" i="85"/>
  <c r="K70" i="85"/>
  <c r="G70" i="85"/>
  <c r="O69" i="85"/>
  <c r="K69" i="85"/>
  <c r="G69" i="85"/>
  <c r="O68" i="85"/>
  <c r="K68" i="85"/>
  <c r="G68" i="85"/>
  <c r="O67" i="85"/>
  <c r="K67" i="85"/>
  <c r="G67" i="85"/>
  <c r="O66" i="85"/>
  <c r="K66" i="85"/>
  <c r="G66" i="85"/>
  <c r="O65" i="85"/>
  <c r="K65" i="85"/>
  <c r="G65" i="85"/>
  <c r="O64" i="85"/>
  <c r="K64" i="85"/>
  <c r="G64" i="85"/>
  <c r="O63" i="85"/>
  <c r="K63" i="85"/>
  <c r="G63" i="85"/>
  <c r="O62" i="85"/>
  <c r="K62" i="85"/>
  <c r="G62" i="85"/>
  <c r="O61" i="85"/>
  <c r="K61" i="85"/>
  <c r="G61" i="85"/>
  <c r="O60" i="85"/>
  <c r="K60" i="85"/>
  <c r="G60" i="85"/>
  <c r="O59" i="85"/>
  <c r="K59" i="85"/>
  <c r="G59" i="85"/>
  <c r="O58" i="85"/>
  <c r="K58" i="85"/>
  <c r="G58" i="85"/>
  <c r="O57" i="85"/>
  <c r="K57" i="85"/>
  <c r="G57" i="85"/>
  <c r="O56" i="85"/>
  <c r="K56" i="85"/>
  <c r="G56" i="85"/>
  <c r="O55" i="85"/>
  <c r="K55" i="85"/>
  <c r="G55" i="85"/>
  <c r="O54" i="85"/>
  <c r="K54" i="85"/>
  <c r="G54" i="85"/>
  <c r="O53" i="85"/>
  <c r="K53" i="85"/>
  <c r="G53" i="85"/>
  <c r="O52" i="85"/>
  <c r="K52" i="85"/>
  <c r="G52" i="85"/>
  <c r="O51" i="85"/>
  <c r="K51" i="85"/>
  <c r="G51" i="85"/>
  <c r="O50" i="85"/>
  <c r="K50" i="85"/>
  <c r="G50" i="85"/>
  <c r="O49" i="85"/>
  <c r="K49" i="85"/>
  <c r="G49" i="85"/>
  <c r="O48" i="85"/>
  <c r="K48" i="85"/>
  <c r="G48" i="85"/>
  <c r="O47" i="85"/>
  <c r="K47" i="85"/>
  <c r="G47" i="85"/>
  <c r="O46" i="85"/>
  <c r="K46" i="85"/>
  <c r="G46" i="85"/>
  <c r="O45" i="85"/>
  <c r="K45" i="85"/>
  <c r="G45" i="85"/>
  <c r="O44" i="85"/>
  <c r="K44" i="85"/>
  <c r="G44" i="85"/>
  <c r="O43" i="85"/>
  <c r="K43" i="85"/>
  <c r="G43" i="85"/>
  <c r="O42" i="85"/>
  <c r="K42" i="85"/>
  <c r="G42" i="85"/>
  <c r="O41" i="85"/>
  <c r="K41" i="85"/>
  <c r="G41" i="85"/>
  <c r="O40" i="85"/>
  <c r="K40" i="85"/>
  <c r="G40" i="85"/>
  <c r="O39" i="85"/>
  <c r="K39" i="85"/>
  <c r="G39" i="85"/>
  <c r="O38" i="85"/>
  <c r="K38" i="85"/>
  <c r="G38" i="85"/>
  <c r="O37" i="85"/>
  <c r="K37" i="85"/>
  <c r="G37" i="85"/>
  <c r="O36" i="85"/>
  <c r="K36" i="85"/>
  <c r="G36" i="85"/>
  <c r="O35" i="85"/>
  <c r="K35" i="85"/>
  <c r="G35" i="85"/>
  <c r="O34" i="85"/>
  <c r="K34" i="85"/>
  <c r="G34" i="85"/>
  <c r="O33" i="85"/>
  <c r="K33" i="85"/>
  <c r="G33" i="85"/>
  <c r="O32" i="85"/>
  <c r="K32" i="85"/>
  <c r="G32" i="85"/>
  <c r="O31" i="85"/>
  <c r="K31" i="85"/>
  <c r="G31" i="85"/>
  <c r="O30" i="85"/>
  <c r="K30" i="85"/>
  <c r="G30" i="85"/>
  <c r="O29" i="85"/>
  <c r="K29" i="85"/>
  <c r="G29" i="85"/>
  <c r="O28" i="85"/>
  <c r="K28" i="85"/>
  <c r="G28" i="85"/>
  <c r="O27" i="85"/>
  <c r="K27" i="85"/>
  <c r="G27" i="85"/>
  <c r="O26" i="85"/>
  <c r="K26" i="85"/>
  <c r="G26" i="85"/>
  <c r="O25" i="85"/>
  <c r="K25" i="85"/>
  <c r="G25" i="85"/>
  <c r="O24" i="85"/>
  <c r="K24" i="85"/>
  <c r="G24" i="85"/>
  <c r="O23" i="85"/>
  <c r="K23" i="85"/>
  <c r="G23" i="85"/>
  <c r="O22" i="85"/>
  <c r="K22" i="85"/>
  <c r="G22" i="85"/>
  <c r="O21" i="85"/>
  <c r="K21" i="85"/>
  <c r="G21" i="85"/>
  <c r="O20" i="85"/>
  <c r="K20" i="85"/>
  <c r="G20" i="85"/>
  <c r="O19" i="85"/>
  <c r="K19" i="85"/>
  <c r="G19" i="85"/>
  <c r="O18" i="85"/>
  <c r="K18" i="85"/>
  <c r="G18" i="85"/>
  <c r="O17" i="85"/>
  <c r="K17" i="85"/>
  <c r="G17" i="85"/>
  <c r="O16" i="85"/>
  <c r="K16" i="85"/>
  <c r="G16" i="85"/>
  <c r="O15" i="85"/>
  <c r="K15" i="85"/>
  <c r="G15" i="85"/>
  <c r="O14" i="85"/>
  <c r="K14" i="85"/>
  <c r="G14" i="85"/>
  <c r="O13" i="85"/>
  <c r="K13" i="85"/>
  <c r="G13" i="85"/>
  <c r="O12" i="85"/>
  <c r="K12" i="85"/>
  <c r="G12" i="85"/>
  <c r="O11" i="85"/>
  <c r="K11" i="85"/>
  <c r="G11" i="85"/>
  <c r="O10" i="85"/>
  <c r="K10" i="85"/>
  <c r="G10" i="85"/>
  <c r="O9" i="85"/>
  <c r="K9" i="85"/>
  <c r="G9" i="85"/>
  <c r="O8" i="85"/>
  <c r="K8" i="85"/>
  <c r="G8" i="85"/>
  <c r="O7" i="85"/>
  <c r="K7" i="85"/>
  <c r="G7" i="85"/>
  <c r="N6" i="85"/>
  <c r="M6" i="85"/>
  <c r="L6" i="85"/>
  <c r="J6" i="85"/>
  <c r="I6" i="85"/>
  <c r="H6" i="85"/>
  <c r="F6" i="85"/>
  <c r="E6" i="85"/>
  <c r="D6" i="85"/>
  <c r="D125" i="46"/>
  <c r="C123" i="46"/>
  <c r="F122" i="46"/>
  <c r="E122" i="46"/>
  <c r="D122" i="46"/>
  <c r="F121" i="46"/>
  <c r="E121" i="46"/>
  <c r="D121" i="46"/>
  <c r="F120" i="46"/>
  <c r="E120" i="46"/>
  <c r="D120" i="46"/>
  <c r="F119" i="46"/>
  <c r="E119" i="46"/>
  <c r="D119" i="46"/>
  <c r="F118" i="46"/>
  <c r="E118" i="46"/>
  <c r="D118" i="46"/>
  <c r="F117" i="46"/>
  <c r="E117" i="46"/>
  <c r="D117" i="46"/>
  <c r="F116" i="46"/>
  <c r="E116" i="46"/>
  <c r="D116" i="46"/>
  <c r="F115" i="46"/>
  <c r="E115" i="46"/>
  <c r="D115" i="46"/>
  <c r="F114" i="46"/>
  <c r="E114" i="46"/>
  <c r="D114" i="46"/>
  <c r="F113" i="46"/>
  <c r="E113" i="46"/>
  <c r="D113" i="46"/>
  <c r="F112" i="46"/>
  <c r="E112" i="46"/>
  <c r="D112" i="46"/>
  <c r="F111" i="46"/>
  <c r="E111" i="46"/>
  <c r="D111" i="46"/>
  <c r="F110" i="46"/>
  <c r="E110" i="46"/>
  <c r="D110" i="46"/>
  <c r="F109" i="46"/>
  <c r="E109" i="46"/>
  <c r="D109" i="46"/>
  <c r="F108" i="46"/>
  <c r="E108" i="46"/>
  <c r="D108" i="46"/>
  <c r="F107" i="46"/>
  <c r="E107" i="46"/>
  <c r="D107" i="46"/>
  <c r="F106" i="46"/>
  <c r="E106" i="46"/>
  <c r="D106" i="46"/>
  <c r="F105" i="46"/>
  <c r="E105" i="46"/>
  <c r="D105" i="46"/>
  <c r="F104" i="46"/>
  <c r="E104" i="46"/>
  <c r="D104" i="46"/>
  <c r="F103" i="46"/>
  <c r="E103" i="46"/>
  <c r="D103" i="46"/>
  <c r="F102" i="46"/>
  <c r="E102" i="46"/>
  <c r="D102" i="46"/>
  <c r="F101" i="46"/>
  <c r="E101" i="46"/>
  <c r="D101" i="46"/>
  <c r="F100" i="46"/>
  <c r="E100" i="46"/>
  <c r="D100" i="46"/>
  <c r="F99" i="46"/>
  <c r="E99" i="46"/>
  <c r="D99" i="46"/>
  <c r="F98" i="46"/>
  <c r="E98" i="46"/>
  <c r="D98" i="46"/>
  <c r="F97" i="46"/>
  <c r="E97" i="46"/>
  <c r="D97" i="46"/>
  <c r="F96" i="46"/>
  <c r="E96" i="46"/>
  <c r="D96" i="46"/>
  <c r="F95" i="46"/>
  <c r="E95" i="46"/>
  <c r="D95" i="46"/>
  <c r="F94" i="46"/>
  <c r="E94" i="46"/>
  <c r="D94" i="46"/>
  <c r="F93" i="46"/>
  <c r="E93" i="46"/>
  <c r="D93" i="46"/>
  <c r="F92" i="46"/>
  <c r="E92" i="46"/>
  <c r="D92" i="46"/>
  <c r="F91" i="46"/>
  <c r="E91" i="46"/>
  <c r="D91" i="46"/>
  <c r="F90" i="46"/>
  <c r="E90" i="46"/>
  <c r="D90" i="46"/>
  <c r="F89" i="46"/>
  <c r="E89" i="46"/>
  <c r="D89" i="46"/>
  <c r="F88" i="46"/>
  <c r="E88" i="46"/>
  <c r="D88" i="46"/>
  <c r="F87" i="46"/>
  <c r="E87" i="46"/>
  <c r="D87" i="46"/>
  <c r="F86" i="46"/>
  <c r="E86" i="46"/>
  <c r="D86" i="46"/>
  <c r="F85" i="46"/>
  <c r="E85" i="46"/>
  <c r="D85" i="46"/>
  <c r="F84" i="46"/>
  <c r="E84" i="46"/>
  <c r="D84" i="46"/>
  <c r="F83" i="46"/>
  <c r="E83" i="46"/>
  <c r="D83" i="46"/>
  <c r="F82" i="46"/>
  <c r="E82" i="46"/>
  <c r="D82" i="46"/>
  <c r="F81" i="46"/>
  <c r="E81" i="46"/>
  <c r="D81" i="46"/>
  <c r="F80" i="46"/>
  <c r="E80" i="46"/>
  <c r="D80" i="46"/>
  <c r="F79" i="46"/>
  <c r="E79" i="46"/>
  <c r="D79" i="46"/>
  <c r="F78" i="46"/>
  <c r="E78" i="46"/>
  <c r="D78" i="46"/>
  <c r="F77" i="46"/>
  <c r="E77" i="46"/>
  <c r="D77" i="46"/>
  <c r="F76" i="46"/>
  <c r="E76" i="46"/>
  <c r="D76" i="46"/>
  <c r="F75" i="46"/>
  <c r="E75" i="46"/>
  <c r="D75" i="46"/>
  <c r="F74" i="46"/>
  <c r="E74" i="46"/>
  <c r="D74" i="46"/>
  <c r="F73" i="46"/>
  <c r="E73" i="46"/>
  <c r="D73" i="46"/>
  <c r="F72" i="46"/>
  <c r="E72" i="46"/>
  <c r="D72" i="46"/>
  <c r="F71" i="46"/>
  <c r="E71" i="46"/>
  <c r="D71" i="46"/>
  <c r="F70" i="46"/>
  <c r="E70" i="46"/>
  <c r="D70" i="46"/>
  <c r="F69" i="46"/>
  <c r="E69" i="46"/>
  <c r="D69" i="46"/>
  <c r="F68" i="46"/>
  <c r="E68" i="46"/>
  <c r="D68" i="46"/>
  <c r="F67" i="46"/>
  <c r="E67" i="46"/>
  <c r="D67" i="46"/>
  <c r="F66" i="46"/>
  <c r="E66" i="46"/>
  <c r="D66" i="46"/>
  <c r="F65" i="46"/>
  <c r="E65" i="46"/>
  <c r="D65" i="46"/>
  <c r="F64" i="46"/>
  <c r="E64" i="46"/>
  <c r="D64" i="46"/>
  <c r="F63" i="46"/>
  <c r="E63" i="46"/>
  <c r="D63" i="46"/>
  <c r="F62" i="46"/>
  <c r="E62" i="46"/>
  <c r="D62" i="46"/>
  <c r="F61" i="46"/>
  <c r="E61" i="46"/>
  <c r="D61" i="46"/>
  <c r="F60" i="46"/>
  <c r="E60" i="46"/>
  <c r="D60" i="46"/>
  <c r="F59" i="46"/>
  <c r="E59" i="46"/>
  <c r="D59" i="46"/>
  <c r="F58" i="46"/>
  <c r="E58" i="46"/>
  <c r="D58" i="46"/>
  <c r="F57" i="46"/>
  <c r="E57" i="46"/>
  <c r="D57" i="46"/>
  <c r="F56" i="46"/>
  <c r="E56" i="46"/>
  <c r="D56" i="46"/>
  <c r="F55" i="46"/>
  <c r="E55" i="46"/>
  <c r="D55" i="46"/>
  <c r="F54" i="46"/>
  <c r="E54" i="46"/>
  <c r="D54" i="46"/>
  <c r="F53" i="46"/>
  <c r="E53" i="46"/>
  <c r="D53" i="46"/>
  <c r="F52" i="46"/>
  <c r="E52" i="46"/>
  <c r="D52" i="46"/>
  <c r="F51" i="46"/>
  <c r="E51" i="46"/>
  <c r="D51" i="46"/>
  <c r="F50" i="46"/>
  <c r="E50" i="46"/>
  <c r="D50" i="46"/>
  <c r="F49" i="46"/>
  <c r="E49" i="46"/>
  <c r="D49" i="46"/>
  <c r="F48" i="46"/>
  <c r="E48" i="46"/>
  <c r="D48" i="46"/>
  <c r="F47" i="46"/>
  <c r="E47" i="46"/>
  <c r="D47" i="46"/>
  <c r="F46" i="46"/>
  <c r="E46" i="46"/>
  <c r="D46" i="46"/>
  <c r="F45" i="46"/>
  <c r="E45" i="46"/>
  <c r="D45" i="46"/>
  <c r="F44" i="46"/>
  <c r="E44" i="46"/>
  <c r="D44" i="46"/>
  <c r="F43" i="46"/>
  <c r="E43" i="46"/>
  <c r="D43" i="46"/>
  <c r="F42" i="46"/>
  <c r="E42" i="46"/>
  <c r="D42" i="46"/>
  <c r="F41" i="46"/>
  <c r="E41" i="46"/>
  <c r="D41" i="46"/>
  <c r="F40" i="46"/>
  <c r="E40" i="46"/>
  <c r="D40" i="46"/>
  <c r="F39" i="46"/>
  <c r="E39" i="46"/>
  <c r="D39" i="46"/>
  <c r="F38" i="46"/>
  <c r="E38" i="46"/>
  <c r="D38" i="46"/>
  <c r="F37" i="46"/>
  <c r="E37" i="46"/>
  <c r="D37" i="46"/>
  <c r="F36" i="46"/>
  <c r="E36" i="46"/>
  <c r="D36" i="46"/>
  <c r="F35" i="46"/>
  <c r="E35" i="46"/>
  <c r="D35" i="46"/>
  <c r="F34" i="46"/>
  <c r="E34" i="46"/>
  <c r="D34" i="46"/>
  <c r="F33" i="46"/>
  <c r="E33" i="46"/>
  <c r="D33" i="46"/>
  <c r="F32" i="46"/>
  <c r="E32" i="46"/>
  <c r="D32" i="46"/>
  <c r="F31" i="46"/>
  <c r="E31" i="46"/>
  <c r="D31" i="46"/>
  <c r="F30" i="46"/>
  <c r="E30" i="46"/>
  <c r="D30" i="46"/>
  <c r="F29" i="46"/>
  <c r="E29" i="46"/>
  <c r="D29" i="46"/>
  <c r="F28" i="46"/>
  <c r="E28" i="46"/>
  <c r="D28" i="46"/>
  <c r="F27" i="46"/>
  <c r="E27" i="46"/>
  <c r="D27" i="46"/>
  <c r="F26" i="46"/>
  <c r="E26" i="46"/>
  <c r="D26" i="46"/>
  <c r="F25" i="46"/>
  <c r="E25" i="46"/>
  <c r="D25" i="46"/>
  <c r="F24" i="46"/>
  <c r="E24" i="46"/>
  <c r="D24" i="46"/>
  <c r="F23" i="46"/>
  <c r="E23" i="46"/>
  <c r="D23" i="46"/>
  <c r="F22" i="46"/>
  <c r="E22" i="46"/>
  <c r="D22" i="46"/>
  <c r="F21" i="46"/>
  <c r="E21" i="46"/>
  <c r="D21" i="46"/>
  <c r="F20" i="46"/>
  <c r="E20" i="46"/>
  <c r="D20" i="46"/>
  <c r="F19" i="46"/>
  <c r="E19" i="46"/>
  <c r="D19" i="46"/>
  <c r="F18" i="46"/>
  <c r="E18" i="46"/>
  <c r="D18" i="46"/>
  <c r="F17" i="46"/>
  <c r="E17" i="46"/>
  <c r="D17" i="46"/>
  <c r="F16" i="46"/>
  <c r="E16" i="46"/>
  <c r="D16" i="46"/>
  <c r="F15" i="46"/>
  <c r="E15" i="46"/>
  <c r="D15" i="46"/>
  <c r="F14" i="46"/>
  <c r="E14" i="46"/>
  <c r="D14" i="46"/>
  <c r="F13" i="46"/>
  <c r="E13" i="46"/>
  <c r="D13" i="46"/>
  <c r="F12" i="46"/>
  <c r="E12" i="46"/>
  <c r="D12" i="46"/>
  <c r="F11" i="46"/>
  <c r="E11" i="46"/>
  <c r="D11" i="46"/>
  <c r="F10" i="46"/>
  <c r="E10" i="46"/>
  <c r="D10" i="46"/>
  <c r="F9" i="46"/>
  <c r="E9" i="46"/>
  <c r="D9" i="46"/>
  <c r="F8" i="46"/>
  <c r="E8" i="46"/>
  <c r="D8" i="46"/>
  <c r="F7" i="46"/>
  <c r="E7" i="46"/>
  <c r="D7" i="46"/>
  <c r="F6" i="46"/>
  <c r="E6" i="46"/>
  <c r="D6" i="46"/>
  <c r="F5" i="46"/>
  <c r="E5" i="46"/>
  <c r="D5" i="46"/>
  <c r="F4" i="46"/>
  <c r="E4" i="46"/>
  <c r="D4" i="46"/>
  <c r="F3" i="46"/>
  <c r="F123" i="46" s="1"/>
  <c r="E3" i="46"/>
  <c r="E123" i="46" s="1"/>
  <c r="D3" i="46"/>
  <c r="D123" i="46" s="1"/>
  <c r="AL4" i="62"/>
  <c r="AK4" i="62"/>
  <c r="AJ4" i="62"/>
  <c r="AI4" i="62"/>
  <c r="AH4" i="62"/>
  <c r="AF4" i="62"/>
  <c r="AE4" i="62"/>
  <c r="AD4" i="62"/>
  <c r="AC4" i="62"/>
  <c r="AB4" i="62"/>
  <c r="N4" i="62"/>
  <c r="M4" i="62"/>
  <c r="L4" i="62"/>
  <c r="K4" i="62"/>
  <c r="J4" i="62"/>
  <c r="E4" i="59"/>
  <c r="D4" i="59"/>
  <c r="AL4" i="60"/>
  <c r="AK4" i="60"/>
  <c r="AJ4" i="60"/>
  <c r="AI4" i="60"/>
  <c r="AH4" i="60"/>
  <c r="AD4" i="60"/>
  <c r="AC4" i="60"/>
  <c r="AB4" i="60"/>
  <c r="AA4" i="60"/>
  <c r="Z4" i="60"/>
  <c r="V4" i="60"/>
  <c r="U4" i="60"/>
  <c r="X131" i="60" s="1"/>
  <c r="T4" i="60"/>
  <c r="S4" i="60"/>
  <c r="R4" i="60"/>
  <c r="N4" i="60"/>
  <c r="M4" i="60"/>
  <c r="L4" i="60"/>
  <c r="K4" i="60"/>
  <c r="J4" i="60"/>
  <c r="I18" i="123" s="1"/>
  <c r="E4" i="58"/>
  <c r="D4" i="58"/>
  <c r="L15" i="123" s="1"/>
  <c r="M4" i="57"/>
  <c r="L4" i="57"/>
  <c r="K4" i="57"/>
  <c r="J4" i="57"/>
  <c r="I4" i="57"/>
  <c r="H4" i="57"/>
  <c r="EF4" i="56"/>
  <c r="EE4" i="56"/>
  <c r="ED4" i="56"/>
  <c r="EC4" i="56"/>
  <c r="EB4" i="56"/>
  <c r="DZ4" i="56"/>
  <c r="DY4" i="56"/>
  <c r="DX4" i="56"/>
  <c r="DW4" i="56"/>
  <c r="DV4" i="56"/>
  <c r="DH4" i="56"/>
  <c r="DG4" i="56"/>
  <c r="DF4" i="56"/>
  <c r="DE4" i="56"/>
  <c r="DD4" i="56"/>
  <c r="DB4" i="56"/>
  <c r="DA4" i="56"/>
  <c r="CZ4" i="56"/>
  <c r="CY4" i="56"/>
  <c r="CX4" i="56"/>
  <c r="CV4" i="56"/>
  <c r="CU4" i="56"/>
  <c r="CT4" i="56"/>
  <c r="CS4" i="56"/>
  <c r="CR4" i="56"/>
  <c r="CP4" i="56"/>
  <c r="CO4" i="56"/>
  <c r="CN4" i="56"/>
  <c r="CM4" i="56"/>
  <c r="CL4" i="56"/>
  <c r="CJ4" i="56"/>
  <c r="CI4" i="56"/>
  <c r="CH4" i="56"/>
  <c r="CG4" i="56"/>
  <c r="CF4" i="56"/>
  <c r="CD4" i="56"/>
  <c r="CC4" i="56"/>
  <c r="CB4" i="56"/>
  <c r="CA4" i="56"/>
  <c r="BZ4" i="56"/>
  <c r="BX4" i="56"/>
  <c r="BW4" i="56"/>
  <c r="BV4" i="56"/>
  <c r="BU4" i="56"/>
  <c r="BT4" i="56"/>
  <c r="BR4" i="56"/>
  <c r="BQ4" i="56"/>
  <c r="BP4" i="56"/>
  <c r="BO4" i="56"/>
  <c r="BN4" i="56"/>
  <c r="BL4" i="56"/>
  <c r="BK4" i="56"/>
  <c r="BJ4" i="56"/>
  <c r="BI4" i="56"/>
  <c r="BH4" i="56"/>
  <c r="BF4" i="56"/>
  <c r="BE4" i="56"/>
  <c r="BD4" i="56"/>
  <c r="BC4" i="56"/>
  <c r="BB4" i="56"/>
  <c r="AZ4" i="56"/>
  <c r="AY4" i="56"/>
  <c r="AX4" i="56"/>
  <c r="AW4" i="56"/>
  <c r="AV4" i="56"/>
  <c r="AT4" i="56"/>
  <c r="AS4" i="56"/>
  <c r="AR4" i="56"/>
  <c r="AQ4" i="56"/>
  <c r="AP4" i="56"/>
  <c r="AN4" i="56"/>
  <c r="AM4" i="56"/>
  <c r="AL4" i="56"/>
  <c r="AK4" i="56"/>
  <c r="AJ4" i="56"/>
  <c r="AH4" i="56"/>
  <c r="AG4" i="56"/>
  <c r="AF4" i="56"/>
  <c r="AE4" i="56"/>
  <c r="AD4" i="56"/>
  <c r="V4" i="56"/>
  <c r="U4" i="56"/>
  <c r="T4" i="56"/>
  <c r="S4" i="56"/>
  <c r="R4" i="56"/>
  <c r="P4" i="56"/>
  <c r="O4" i="56"/>
  <c r="N4" i="56"/>
  <c r="M4" i="56"/>
  <c r="L4" i="56"/>
  <c r="Q4" i="55"/>
  <c r="U4" i="53"/>
  <c r="T4" i="53"/>
  <c r="S4" i="53"/>
  <c r="R4" i="53"/>
  <c r="N4" i="53"/>
  <c r="M4" i="53"/>
  <c r="L4" i="53"/>
  <c r="X125" i="36"/>
  <c r="W125" i="36"/>
  <c r="V125" i="36"/>
  <c r="U125" i="36"/>
  <c r="T125" i="36"/>
  <c r="S125" i="36"/>
  <c r="R125" i="36"/>
  <c r="Q125" i="36"/>
  <c r="N125" i="36"/>
  <c r="M125" i="36"/>
  <c r="L125" i="36"/>
  <c r="K125" i="36"/>
  <c r="J125" i="36"/>
  <c r="I125" i="36"/>
  <c r="H125" i="36"/>
  <c r="G125" i="36"/>
  <c r="F125" i="36"/>
  <c r="E125" i="36"/>
  <c r="O124" i="36"/>
  <c r="O123" i="36"/>
  <c r="O122" i="36"/>
  <c r="O121" i="36"/>
  <c r="O120" i="36"/>
  <c r="O119" i="36"/>
  <c r="O118" i="36"/>
  <c r="O117" i="36"/>
  <c r="O116" i="36"/>
  <c r="O115" i="36"/>
  <c r="O114" i="36"/>
  <c r="O113" i="36"/>
  <c r="O112" i="36"/>
  <c r="O111" i="36"/>
  <c r="O110" i="36"/>
  <c r="O109" i="36"/>
  <c r="O108" i="36"/>
  <c r="O107" i="36"/>
  <c r="O106" i="36"/>
  <c r="O105" i="36"/>
  <c r="O104" i="36"/>
  <c r="O103" i="36"/>
  <c r="O102" i="36"/>
  <c r="O101" i="36"/>
  <c r="O100" i="36"/>
  <c r="O99" i="36"/>
  <c r="O98" i="36"/>
  <c r="O97" i="36"/>
  <c r="O96" i="36"/>
  <c r="O95" i="36"/>
  <c r="O94" i="36"/>
  <c r="O93" i="36"/>
  <c r="O92" i="36"/>
  <c r="O91" i="36"/>
  <c r="O90" i="36"/>
  <c r="O89" i="36"/>
  <c r="O88" i="36"/>
  <c r="O87" i="36"/>
  <c r="O86" i="36"/>
  <c r="O85" i="36"/>
  <c r="O84" i="36"/>
  <c r="O83" i="36"/>
  <c r="O82" i="36"/>
  <c r="O81" i="36"/>
  <c r="O80" i="36"/>
  <c r="O79"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C1" i="36"/>
  <c r="D1" i="36" s="1"/>
  <c r="E1" i="36" s="1"/>
  <c r="F1" i="36" s="1"/>
  <c r="G1" i="36" s="1"/>
  <c r="H1" i="36" s="1"/>
  <c r="I1" i="36" s="1"/>
  <c r="J1" i="36" s="1"/>
  <c r="K1" i="36" s="1"/>
  <c r="L1" i="36" s="1"/>
  <c r="M1" i="36" s="1"/>
  <c r="N1" i="36" s="1"/>
  <c r="O1" i="36" s="1"/>
  <c r="E122" i="38"/>
  <c r="E123" i="38" s="1"/>
  <c r="D122" i="38"/>
  <c r="D123" i="38" s="1"/>
  <c r="C122" i="38"/>
  <c r="C123" i="38" s="1"/>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F5" i="38"/>
  <c r="F4" i="38"/>
  <c r="F3" i="38"/>
  <c r="F2" i="38"/>
  <c r="X123" i="41"/>
  <c r="W123" i="41"/>
  <c r="T123" i="41"/>
  <c r="S123" i="41"/>
  <c r="P123" i="41"/>
  <c r="L123" i="41"/>
  <c r="K123" i="41"/>
  <c r="H123" i="41"/>
  <c r="G123" i="41"/>
  <c r="D123" i="41"/>
  <c r="C123" i="41"/>
  <c r="X122" i="41"/>
  <c r="W122" i="41"/>
  <c r="T122" i="41"/>
  <c r="S122" i="41"/>
  <c r="P122" i="41"/>
  <c r="L122" i="41"/>
  <c r="K122" i="41"/>
  <c r="H122" i="41"/>
  <c r="G122" i="41"/>
  <c r="D122" i="41"/>
  <c r="C122" i="41"/>
  <c r="X121" i="41"/>
  <c r="W121" i="41"/>
  <c r="T121" i="41"/>
  <c r="S121" i="41"/>
  <c r="P121" i="41"/>
  <c r="L121" i="41"/>
  <c r="K121" i="41"/>
  <c r="H121" i="41"/>
  <c r="G121" i="41"/>
  <c r="D121" i="41"/>
  <c r="C121" i="41"/>
  <c r="X120" i="41"/>
  <c r="W120" i="41"/>
  <c r="T120" i="41"/>
  <c r="S120" i="41"/>
  <c r="P120" i="41"/>
  <c r="L120" i="41"/>
  <c r="K120" i="41"/>
  <c r="H120" i="41"/>
  <c r="G120" i="41"/>
  <c r="D120" i="41"/>
  <c r="C120" i="41"/>
  <c r="X119" i="41"/>
  <c r="W119" i="41"/>
  <c r="T119" i="41"/>
  <c r="S119" i="41"/>
  <c r="P119" i="41"/>
  <c r="L119" i="41"/>
  <c r="K119" i="41"/>
  <c r="H119" i="41"/>
  <c r="G119" i="41"/>
  <c r="D119" i="41"/>
  <c r="C119" i="41"/>
  <c r="X118" i="41"/>
  <c r="W118" i="41"/>
  <c r="T118" i="41"/>
  <c r="S118" i="41"/>
  <c r="P118" i="41"/>
  <c r="L118" i="41"/>
  <c r="K118" i="41"/>
  <c r="H118" i="41"/>
  <c r="G118" i="41"/>
  <c r="D118" i="41"/>
  <c r="C118" i="41"/>
  <c r="X117" i="41"/>
  <c r="W117" i="41"/>
  <c r="T117" i="41"/>
  <c r="S117" i="41"/>
  <c r="P117" i="41"/>
  <c r="L117" i="41"/>
  <c r="K117" i="41"/>
  <c r="H117" i="41"/>
  <c r="G117" i="41"/>
  <c r="D117" i="41"/>
  <c r="C117" i="41"/>
  <c r="X116" i="41"/>
  <c r="W116" i="41"/>
  <c r="T116" i="41"/>
  <c r="S116" i="41"/>
  <c r="P116" i="41"/>
  <c r="L116" i="41"/>
  <c r="K116" i="41"/>
  <c r="H116" i="41"/>
  <c r="G116" i="41"/>
  <c r="D116" i="41"/>
  <c r="C116" i="41"/>
  <c r="X115" i="41"/>
  <c r="W115" i="41"/>
  <c r="T115" i="41"/>
  <c r="S115" i="41"/>
  <c r="P115" i="41"/>
  <c r="L115" i="41"/>
  <c r="K115" i="41"/>
  <c r="H115" i="41"/>
  <c r="G115" i="41"/>
  <c r="D115" i="41"/>
  <c r="C115" i="41"/>
  <c r="X114" i="41"/>
  <c r="W114" i="41"/>
  <c r="T114" i="41"/>
  <c r="S114" i="41"/>
  <c r="P114" i="41"/>
  <c r="L114" i="41"/>
  <c r="K114" i="41"/>
  <c r="H114" i="41"/>
  <c r="G114" i="41"/>
  <c r="D114" i="41"/>
  <c r="C114" i="41"/>
  <c r="X113" i="41"/>
  <c r="W113" i="41"/>
  <c r="T113" i="41"/>
  <c r="S113" i="41"/>
  <c r="P113" i="41"/>
  <c r="L113" i="41"/>
  <c r="K113" i="41"/>
  <c r="H113" i="41"/>
  <c r="G113" i="41"/>
  <c r="D113" i="41"/>
  <c r="C113" i="41"/>
  <c r="X112" i="41"/>
  <c r="W112" i="41"/>
  <c r="T112" i="41"/>
  <c r="S112" i="41"/>
  <c r="P112" i="41"/>
  <c r="L112" i="41"/>
  <c r="K112" i="41"/>
  <c r="H112" i="41"/>
  <c r="G112" i="41"/>
  <c r="D112" i="41"/>
  <c r="C112" i="41"/>
  <c r="X111" i="41"/>
  <c r="W111" i="41"/>
  <c r="T111" i="41"/>
  <c r="S111" i="41"/>
  <c r="P111" i="41"/>
  <c r="L111" i="41"/>
  <c r="K111" i="41"/>
  <c r="H111" i="41"/>
  <c r="G111" i="41"/>
  <c r="D111" i="41"/>
  <c r="C111" i="41"/>
  <c r="X110" i="41"/>
  <c r="W110" i="41"/>
  <c r="T110" i="41"/>
  <c r="S110" i="41"/>
  <c r="P110" i="41"/>
  <c r="L110" i="41"/>
  <c r="K110" i="41"/>
  <c r="H110" i="41"/>
  <c r="G110" i="41"/>
  <c r="D110" i="41"/>
  <c r="C110" i="41"/>
  <c r="X109" i="41"/>
  <c r="W109" i="41"/>
  <c r="T109" i="41"/>
  <c r="S109" i="41"/>
  <c r="P109" i="41"/>
  <c r="L109" i="41"/>
  <c r="K109" i="41"/>
  <c r="H109" i="41"/>
  <c r="G109" i="41"/>
  <c r="D109" i="41"/>
  <c r="C109" i="41"/>
  <c r="X108" i="41"/>
  <c r="W108" i="41"/>
  <c r="T108" i="41"/>
  <c r="S108" i="41"/>
  <c r="P108" i="41"/>
  <c r="L108" i="41"/>
  <c r="K108" i="41"/>
  <c r="H108" i="41"/>
  <c r="G108" i="41"/>
  <c r="D108" i="41"/>
  <c r="C108" i="41"/>
  <c r="X107" i="41"/>
  <c r="W107" i="41"/>
  <c r="T107" i="41"/>
  <c r="S107" i="41"/>
  <c r="P107" i="41"/>
  <c r="L107" i="41"/>
  <c r="K107" i="41"/>
  <c r="H107" i="41"/>
  <c r="G107" i="41"/>
  <c r="D107" i="41"/>
  <c r="C107" i="41"/>
  <c r="X106" i="41"/>
  <c r="W106" i="41"/>
  <c r="T106" i="41"/>
  <c r="S106" i="41"/>
  <c r="P106" i="41"/>
  <c r="L106" i="41"/>
  <c r="K106" i="41"/>
  <c r="H106" i="41"/>
  <c r="G106" i="41"/>
  <c r="D106" i="41"/>
  <c r="C106" i="41"/>
  <c r="X105" i="41"/>
  <c r="W105" i="41"/>
  <c r="T105" i="41"/>
  <c r="S105" i="41"/>
  <c r="P105" i="41"/>
  <c r="L105" i="41"/>
  <c r="K105" i="41"/>
  <c r="H105" i="41"/>
  <c r="G105" i="41"/>
  <c r="D105" i="41"/>
  <c r="C105" i="41"/>
  <c r="X104" i="41"/>
  <c r="W104" i="41"/>
  <c r="T104" i="41"/>
  <c r="S104" i="41"/>
  <c r="P104" i="41"/>
  <c r="L104" i="41"/>
  <c r="K104" i="41"/>
  <c r="H104" i="41"/>
  <c r="G104" i="41"/>
  <c r="D104" i="41"/>
  <c r="C104" i="41"/>
  <c r="X103" i="41"/>
  <c r="W103" i="41"/>
  <c r="T103" i="41"/>
  <c r="S103" i="41"/>
  <c r="P103" i="41"/>
  <c r="L103" i="41"/>
  <c r="K103" i="41"/>
  <c r="H103" i="41"/>
  <c r="G103" i="41"/>
  <c r="D103" i="41"/>
  <c r="C103" i="41"/>
  <c r="X102" i="41"/>
  <c r="W102" i="41"/>
  <c r="T102" i="41"/>
  <c r="S102" i="41"/>
  <c r="P102" i="41"/>
  <c r="L102" i="41"/>
  <c r="K102" i="41"/>
  <c r="H102" i="41"/>
  <c r="G102" i="41"/>
  <c r="D102" i="41"/>
  <c r="C102" i="41"/>
  <c r="X101" i="41"/>
  <c r="W101" i="41"/>
  <c r="T101" i="41"/>
  <c r="S101" i="41"/>
  <c r="P101" i="41"/>
  <c r="L101" i="41"/>
  <c r="K101" i="41"/>
  <c r="H101" i="41"/>
  <c r="G101" i="41"/>
  <c r="D101" i="41"/>
  <c r="C101" i="41"/>
  <c r="X100" i="41"/>
  <c r="W100" i="41"/>
  <c r="T100" i="41"/>
  <c r="S100" i="41"/>
  <c r="P100" i="41"/>
  <c r="L100" i="41"/>
  <c r="K100" i="41"/>
  <c r="H100" i="41"/>
  <c r="G100" i="41"/>
  <c r="D100" i="41"/>
  <c r="C100" i="41"/>
  <c r="X99" i="41"/>
  <c r="W99" i="41"/>
  <c r="T99" i="41"/>
  <c r="S99" i="41"/>
  <c r="P99" i="41"/>
  <c r="L99" i="41"/>
  <c r="K99" i="41"/>
  <c r="H99" i="41"/>
  <c r="G99" i="41"/>
  <c r="D99" i="41"/>
  <c r="C99" i="41"/>
  <c r="X98" i="41"/>
  <c r="W98" i="41"/>
  <c r="T98" i="41"/>
  <c r="S98" i="41"/>
  <c r="P98" i="41"/>
  <c r="L98" i="41"/>
  <c r="K98" i="41"/>
  <c r="H98" i="41"/>
  <c r="G98" i="41"/>
  <c r="D98" i="41"/>
  <c r="C98" i="41"/>
  <c r="X97" i="41"/>
  <c r="W97" i="41"/>
  <c r="T97" i="41"/>
  <c r="S97" i="41"/>
  <c r="P97" i="41"/>
  <c r="L97" i="41"/>
  <c r="K97" i="41"/>
  <c r="H97" i="41"/>
  <c r="G97" i="41"/>
  <c r="D97" i="41"/>
  <c r="C97" i="41"/>
  <c r="X96" i="41"/>
  <c r="W96" i="41"/>
  <c r="T96" i="41"/>
  <c r="S96" i="41"/>
  <c r="P96" i="41"/>
  <c r="L96" i="41"/>
  <c r="K96" i="41"/>
  <c r="H96" i="41"/>
  <c r="G96" i="41"/>
  <c r="D96" i="41"/>
  <c r="C96" i="41"/>
  <c r="X95" i="41"/>
  <c r="W95" i="41"/>
  <c r="T95" i="41"/>
  <c r="S95" i="41"/>
  <c r="P95" i="41"/>
  <c r="L95" i="41"/>
  <c r="K95" i="41"/>
  <c r="H95" i="41"/>
  <c r="G95" i="41"/>
  <c r="D95" i="41"/>
  <c r="C95" i="41"/>
  <c r="X94" i="41"/>
  <c r="W94" i="41"/>
  <c r="T94" i="41"/>
  <c r="S94" i="41"/>
  <c r="P94" i="41"/>
  <c r="L94" i="41"/>
  <c r="K94" i="41"/>
  <c r="H94" i="41"/>
  <c r="G94" i="41"/>
  <c r="D94" i="41"/>
  <c r="C94" i="41"/>
  <c r="X93" i="41"/>
  <c r="W93" i="41"/>
  <c r="T93" i="41"/>
  <c r="S93" i="41"/>
  <c r="P93" i="41"/>
  <c r="L93" i="41"/>
  <c r="K93" i="41"/>
  <c r="H93" i="41"/>
  <c r="G93" i="41"/>
  <c r="D93" i="41"/>
  <c r="C93" i="41"/>
  <c r="X92" i="41"/>
  <c r="W92" i="41"/>
  <c r="T92" i="41"/>
  <c r="S92" i="41"/>
  <c r="P92" i="41"/>
  <c r="L92" i="41"/>
  <c r="K92" i="41"/>
  <c r="H92" i="41"/>
  <c r="G92" i="41"/>
  <c r="D92" i="41"/>
  <c r="C92" i="41"/>
  <c r="X91" i="41"/>
  <c r="W91" i="41"/>
  <c r="T91" i="41"/>
  <c r="S91" i="41"/>
  <c r="P91" i="41"/>
  <c r="L91" i="41"/>
  <c r="K91" i="41"/>
  <c r="H91" i="41"/>
  <c r="G91" i="41"/>
  <c r="D91" i="41"/>
  <c r="C91" i="41"/>
  <c r="X90" i="41"/>
  <c r="W90" i="41"/>
  <c r="T90" i="41"/>
  <c r="S90" i="41"/>
  <c r="P90" i="41"/>
  <c r="L90" i="41"/>
  <c r="K90" i="41"/>
  <c r="H90" i="41"/>
  <c r="G90" i="41"/>
  <c r="D90" i="41"/>
  <c r="C90" i="41"/>
  <c r="X89" i="41"/>
  <c r="W89" i="41"/>
  <c r="T89" i="41"/>
  <c r="S89" i="41"/>
  <c r="P89" i="41"/>
  <c r="L89" i="41"/>
  <c r="K89" i="41"/>
  <c r="H89" i="41"/>
  <c r="G89" i="41"/>
  <c r="D89" i="41"/>
  <c r="C89" i="41"/>
  <c r="X88" i="41"/>
  <c r="W88" i="41"/>
  <c r="T88" i="41"/>
  <c r="S88" i="41"/>
  <c r="P88" i="41"/>
  <c r="L88" i="41"/>
  <c r="K88" i="41"/>
  <c r="H88" i="41"/>
  <c r="G88" i="41"/>
  <c r="D88" i="41"/>
  <c r="C88" i="41"/>
  <c r="X87" i="41"/>
  <c r="W87" i="41"/>
  <c r="T87" i="41"/>
  <c r="S87" i="41"/>
  <c r="P87" i="41"/>
  <c r="L87" i="41"/>
  <c r="K87" i="41"/>
  <c r="H87" i="41"/>
  <c r="G87" i="41"/>
  <c r="D87" i="41"/>
  <c r="C87" i="41"/>
  <c r="X86" i="41"/>
  <c r="W86" i="41"/>
  <c r="T86" i="41"/>
  <c r="S86" i="41"/>
  <c r="P86" i="41"/>
  <c r="L86" i="41"/>
  <c r="K86" i="41"/>
  <c r="H86" i="41"/>
  <c r="G86" i="41"/>
  <c r="D86" i="41"/>
  <c r="C86" i="41"/>
  <c r="X85" i="41"/>
  <c r="W85" i="41"/>
  <c r="T85" i="41"/>
  <c r="S85" i="41"/>
  <c r="P85" i="41"/>
  <c r="L85" i="41"/>
  <c r="K85" i="41"/>
  <c r="H85" i="41"/>
  <c r="G85" i="41"/>
  <c r="D85" i="41"/>
  <c r="C85" i="41"/>
  <c r="X84" i="41"/>
  <c r="W84" i="41"/>
  <c r="T84" i="41"/>
  <c r="S84" i="41"/>
  <c r="P84" i="41"/>
  <c r="L84" i="41"/>
  <c r="K84" i="41"/>
  <c r="H84" i="41"/>
  <c r="G84" i="41"/>
  <c r="D84" i="41"/>
  <c r="C84" i="41"/>
  <c r="X83" i="41"/>
  <c r="W83" i="41"/>
  <c r="T83" i="41"/>
  <c r="S83" i="41"/>
  <c r="P83" i="41"/>
  <c r="L83" i="41"/>
  <c r="K83" i="41"/>
  <c r="H83" i="41"/>
  <c r="G83" i="41"/>
  <c r="D83" i="41"/>
  <c r="C83" i="41"/>
  <c r="X82" i="41"/>
  <c r="W82" i="41"/>
  <c r="T82" i="41"/>
  <c r="S82" i="41"/>
  <c r="P82" i="41"/>
  <c r="L82" i="41"/>
  <c r="K82" i="41"/>
  <c r="H82" i="41"/>
  <c r="G82" i="41"/>
  <c r="D82" i="41"/>
  <c r="C82" i="41"/>
  <c r="X81" i="41"/>
  <c r="W81" i="41"/>
  <c r="T81" i="41"/>
  <c r="S81" i="41"/>
  <c r="P81" i="41"/>
  <c r="L81" i="41"/>
  <c r="K81" i="41"/>
  <c r="H81" i="41"/>
  <c r="G81" i="41"/>
  <c r="D81" i="41"/>
  <c r="C81" i="41"/>
  <c r="X80" i="41"/>
  <c r="W80" i="41"/>
  <c r="T80" i="41"/>
  <c r="S80" i="41"/>
  <c r="P80" i="41"/>
  <c r="L80" i="41"/>
  <c r="K80" i="41"/>
  <c r="H80" i="41"/>
  <c r="G80" i="41"/>
  <c r="D80" i="41"/>
  <c r="C80" i="41"/>
  <c r="X79" i="41"/>
  <c r="W79" i="41"/>
  <c r="T79" i="41"/>
  <c r="S79" i="41"/>
  <c r="P79" i="41"/>
  <c r="L79" i="41"/>
  <c r="K79" i="41"/>
  <c r="H79" i="41"/>
  <c r="G79" i="41"/>
  <c r="D79" i="41"/>
  <c r="C79" i="41"/>
  <c r="X78" i="41"/>
  <c r="W78" i="41"/>
  <c r="T78" i="41"/>
  <c r="S78" i="41"/>
  <c r="P78" i="41"/>
  <c r="L78" i="41"/>
  <c r="K78" i="41"/>
  <c r="H78" i="41"/>
  <c r="G78" i="41"/>
  <c r="D78" i="41"/>
  <c r="C78" i="41"/>
  <c r="X77" i="41"/>
  <c r="W77" i="41"/>
  <c r="T77" i="41"/>
  <c r="S77" i="41"/>
  <c r="P77" i="41"/>
  <c r="L77" i="41"/>
  <c r="K77" i="41"/>
  <c r="H77" i="41"/>
  <c r="G77" i="41"/>
  <c r="D77" i="41"/>
  <c r="C77" i="41"/>
  <c r="X76" i="41"/>
  <c r="W76" i="41"/>
  <c r="T76" i="41"/>
  <c r="S76" i="41"/>
  <c r="P76" i="41"/>
  <c r="L76" i="41"/>
  <c r="K76" i="41"/>
  <c r="H76" i="41"/>
  <c r="G76" i="41"/>
  <c r="D76" i="41"/>
  <c r="C76" i="41"/>
  <c r="X75" i="41"/>
  <c r="W75" i="41"/>
  <c r="T75" i="41"/>
  <c r="S75" i="41"/>
  <c r="P75" i="41"/>
  <c r="L75" i="41"/>
  <c r="K75" i="41"/>
  <c r="H75" i="41"/>
  <c r="G75" i="41"/>
  <c r="D75" i="41"/>
  <c r="C75" i="41"/>
  <c r="X74" i="41"/>
  <c r="W74" i="41"/>
  <c r="T74" i="41"/>
  <c r="S74" i="41"/>
  <c r="P74" i="41"/>
  <c r="L74" i="41"/>
  <c r="K74" i="41"/>
  <c r="H74" i="41"/>
  <c r="G74" i="41"/>
  <c r="D74" i="41"/>
  <c r="C74" i="41"/>
  <c r="X73" i="41"/>
  <c r="W73" i="41"/>
  <c r="T73" i="41"/>
  <c r="S73" i="41"/>
  <c r="P73" i="41"/>
  <c r="L73" i="41"/>
  <c r="K73" i="41"/>
  <c r="H73" i="41"/>
  <c r="G73" i="41"/>
  <c r="D73" i="41"/>
  <c r="C73" i="41"/>
  <c r="X72" i="41"/>
  <c r="W72" i="41"/>
  <c r="T72" i="41"/>
  <c r="S72" i="41"/>
  <c r="P72" i="41"/>
  <c r="L72" i="41"/>
  <c r="K72" i="41"/>
  <c r="H72" i="41"/>
  <c r="G72" i="41"/>
  <c r="D72" i="41"/>
  <c r="C72" i="41"/>
  <c r="X71" i="41"/>
  <c r="W71" i="41"/>
  <c r="T71" i="41"/>
  <c r="S71" i="41"/>
  <c r="P71" i="41"/>
  <c r="L71" i="41"/>
  <c r="K71" i="41"/>
  <c r="H71" i="41"/>
  <c r="G71" i="41"/>
  <c r="D71" i="41"/>
  <c r="C71" i="41"/>
  <c r="X70" i="41"/>
  <c r="W70" i="41"/>
  <c r="T70" i="41"/>
  <c r="S70" i="41"/>
  <c r="P70" i="41"/>
  <c r="L70" i="41"/>
  <c r="K70" i="41"/>
  <c r="H70" i="41"/>
  <c r="G70" i="41"/>
  <c r="D70" i="41"/>
  <c r="C70" i="41"/>
  <c r="X69" i="41"/>
  <c r="W69" i="41"/>
  <c r="T69" i="41"/>
  <c r="S69" i="41"/>
  <c r="P69" i="41"/>
  <c r="L69" i="41"/>
  <c r="K69" i="41"/>
  <c r="H69" i="41"/>
  <c r="G69" i="41"/>
  <c r="D69" i="41"/>
  <c r="C69" i="41"/>
  <c r="X68" i="41"/>
  <c r="W68" i="41"/>
  <c r="T68" i="41"/>
  <c r="S68" i="41"/>
  <c r="P68" i="41"/>
  <c r="L68" i="41"/>
  <c r="K68" i="41"/>
  <c r="H68" i="41"/>
  <c r="G68" i="41"/>
  <c r="D68" i="41"/>
  <c r="C68" i="41"/>
  <c r="X67" i="41"/>
  <c r="W67" i="41"/>
  <c r="T67" i="41"/>
  <c r="S67" i="41"/>
  <c r="P67" i="41"/>
  <c r="L67" i="41"/>
  <c r="K67" i="41"/>
  <c r="H67" i="41"/>
  <c r="G67" i="41"/>
  <c r="D67" i="41"/>
  <c r="C67" i="41"/>
  <c r="X66" i="41"/>
  <c r="W66" i="41"/>
  <c r="T66" i="41"/>
  <c r="S66" i="41"/>
  <c r="P66" i="41"/>
  <c r="L66" i="41"/>
  <c r="K66" i="41"/>
  <c r="H66" i="41"/>
  <c r="G66" i="41"/>
  <c r="D66" i="41"/>
  <c r="C66" i="41"/>
  <c r="X65" i="41"/>
  <c r="W65" i="41"/>
  <c r="T65" i="41"/>
  <c r="S65" i="41"/>
  <c r="P65" i="41"/>
  <c r="L65" i="41"/>
  <c r="K65" i="41"/>
  <c r="H65" i="41"/>
  <c r="G65" i="41"/>
  <c r="D65" i="41"/>
  <c r="C65" i="41"/>
  <c r="X64" i="41"/>
  <c r="W64" i="41"/>
  <c r="T64" i="41"/>
  <c r="S64" i="41"/>
  <c r="P64" i="41"/>
  <c r="L64" i="41"/>
  <c r="K64" i="41"/>
  <c r="H64" i="41"/>
  <c r="G64" i="41"/>
  <c r="D64" i="41"/>
  <c r="C64" i="41"/>
  <c r="X63" i="41"/>
  <c r="W63" i="41"/>
  <c r="T63" i="41"/>
  <c r="S63" i="41"/>
  <c r="P63" i="41"/>
  <c r="L63" i="41"/>
  <c r="K63" i="41"/>
  <c r="H63" i="41"/>
  <c r="G63" i="41"/>
  <c r="D63" i="41"/>
  <c r="C63" i="41"/>
  <c r="X62" i="41"/>
  <c r="W62" i="41"/>
  <c r="T62" i="41"/>
  <c r="S62" i="41"/>
  <c r="P62" i="41"/>
  <c r="L62" i="41"/>
  <c r="K62" i="41"/>
  <c r="H62" i="41"/>
  <c r="G62" i="41"/>
  <c r="D62" i="41"/>
  <c r="C62" i="41"/>
  <c r="X61" i="41"/>
  <c r="W61" i="41"/>
  <c r="T61" i="41"/>
  <c r="S61" i="41"/>
  <c r="P61" i="41"/>
  <c r="L61" i="41"/>
  <c r="K61" i="41"/>
  <c r="H61" i="41"/>
  <c r="G61" i="41"/>
  <c r="D61" i="41"/>
  <c r="C61" i="41"/>
  <c r="X60" i="41"/>
  <c r="W60" i="41"/>
  <c r="T60" i="41"/>
  <c r="S60" i="41"/>
  <c r="P60" i="41"/>
  <c r="L60" i="41"/>
  <c r="K60" i="41"/>
  <c r="H60" i="41"/>
  <c r="G60" i="41"/>
  <c r="D60" i="41"/>
  <c r="C60" i="41"/>
  <c r="X59" i="41"/>
  <c r="W59" i="41"/>
  <c r="T59" i="41"/>
  <c r="S59" i="41"/>
  <c r="P59" i="41"/>
  <c r="L59" i="41"/>
  <c r="K59" i="41"/>
  <c r="H59" i="41"/>
  <c r="G59" i="41"/>
  <c r="D59" i="41"/>
  <c r="C59" i="41"/>
  <c r="X58" i="41"/>
  <c r="W58" i="41"/>
  <c r="T58" i="41"/>
  <c r="S58" i="41"/>
  <c r="P58" i="41"/>
  <c r="L58" i="41"/>
  <c r="K58" i="41"/>
  <c r="H58" i="41"/>
  <c r="G58" i="41"/>
  <c r="D58" i="41"/>
  <c r="C58" i="41"/>
  <c r="X57" i="41"/>
  <c r="W57" i="41"/>
  <c r="T57" i="41"/>
  <c r="S57" i="41"/>
  <c r="P57" i="41"/>
  <c r="L57" i="41"/>
  <c r="K57" i="41"/>
  <c r="H57" i="41"/>
  <c r="G57" i="41"/>
  <c r="D57" i="41"/>
  <c r="C57" i="41"/>
  <c r="X56" i="41"/>
  <c r="W56" i="41"/>
  <c r="T56" i="41"/>
  <c r="S56" i="41"/>
  <c r="P56" i="41"/>
  <c r="L56" i="41"/>
  <c r="K56" i="41"/>
  <c r="H56" i="41"/>
  <c r="G56" i="41"/>
  <c r="D56" i="41"/>
  <c r="C56" i="41"/>
  <c r="X55" i="41"/>
  <c r="W55" i="41"/>
  <c r="T55" i="41"/>
  <c r="S55" i="41"/>
  <c r="P55" i="41"/>
  <c r="L55" i="41"/>
  <c r="K55" i="41"/>
  <c r="H55" i="41"/>
  <c r="G55" i="41"/>
  <c r="D55" i="41"/>
  <c r="C55" i="41"/>
  <c r="X54" i="41"/>
  <c r="W54" i="41"/>
  <c r="T54" i="41"/>
  <c r="S54" i="41"/>
  <c r="P54" i="41"/>
  <c r="L54" i="41"/>
  <c r="K54" i="41"/>
  <c r="H54" i="41"/>
  <c r="G54" i="41"/>
  <c r="D54" i="41"/>
  <c r="C54" i="41"/>
  <c r="X53" i="41"/>
  <c r="W53" i="41"/>
  <c r="T53" i="41"/>
  <c r="S53" i="41"/>
  <c r="P53" i="41"/>
  <c r="L53" i="41"/>
  <c r="K53" i="41"/>
  <c r="H53" i="41"/>
  <c r="G53" i="41"/>
  <c r="D53" i="41"/>
  <c r="C53" i="41"/>
  <c r="X52" i="41"/>
  <c r="W52" i="41"/>
  <c r="T52" i="41"/>
  <c r="S52" i="41"/>
  <c r="P52" i="41"/>
  <c r="L52" i="41"/>
  <c r="K52" i="41"/>
  <c r="H52" i="41"/>
  <c r="G52" i="41"/>
  <c r="D52" i="41"/>
  <c r="C52" i="41"/>
  <c r="X51" i="41"/>
  <c r="W51" i="41"/>
  <c r="T51" i="41"/>
  <c r="S51" i="41"/>
  <c r="P51" i="41"/>
  <c r="L51" i="41"/>
  <c r="K51" i="41"/>
  <c r="H51" i="41"/>
  <c r="G51" i="41"/>
  <c r="D51" i="41"/>
  <c r="C51" i="41"/>
  <c r="X50" i="41"/>
  <c r="W50" i="41"/>
  <c r="T50" i="41"/>
  <c r="S50" i="41"/>
  <c r="P50" i="41"/>
  <c r="L50" i="41"/>
  <c r="K50" i="41"/>
  <c r="H50" i="41"/>
  <c r="G50" i="41"/>
  <c r="D50" i="41"/>
  <c r="C50" i="41"/>
  <c r="X49" i="41"/>
  <c r="W49" i="41"/>
  <c r="T49" i="41"/>
  <c r="S49" i="41"/>
  <c r="P49" i="41"/>
  <c r="L49" i="41"/>
  <c r="K49" i="41"/>
  <c r="H49" i="41"/>
  <c r="G49" i="41"/>
  <c r="D49" i="41"/>
  <c r="C49" i="41"/>
  <c r="X48" i="41"/>
  <c r="W48" i="41"/>
  <c r="T48" i="41"/>
  <c r="S48" i="41"/>
  <c r="P48" i="41"/>
  <c r="L48" i="41"/>
  <c r="K48" i="41"/>
  <c r="H48" i="41"/>
  <c r="G48" i="41"/>
  <c r="D48" i="41"/>
  <c r="C48" i="41"/>
  <c r="X47" i="41"/>
  <c r="W47" i="41"/>
  <c r="T47" i="41"/>
  <c r="S47" i="41"/>
  <c r="P47" i="41"/>
  <c r="L47" i="41"/>
  <c r="K47" i="41"/>
  <c r="H47" i="41"/>
  <c r="G47" i="41"/>
  <c r="D47" i="41"/>
  <c r="C47" i="41"/>
  <c r="X46" i="41"/>
  <c r="W46" i="41"/>
  <c r="T46" i="41"/>
  <c r="S46" i="41"/>
  <c r="P46" i="41"/>
  <c r="L46" i="41"/>
  <c r="K46" i="41"/>
  <c r="H46" i="41"/>
  <c r="G46" i="41"/>
  <c r="D46" i="41"/>
  <c r="C46" i="41"/>
  <c r="X45" i="41"/>
  <c r="W45" i="41"/>
  <c r="T45" i="41"/>
  <c r="S45" i="41"/>
  <c r="P45" i="41"/>
  <c r="L45" i="41"/>
  <c r="K45" i="41"/>
  <c r="H45" i="41"/>
  <c r="G45" i="41"/>
  <c r="D45" i="41"/>
  <c r="C45" i="41"/>
  <c r="X44" i="41"/>
  <c r="W44" i="41"/>
  <c r="T44" i="41"/>
  <c r="S44" i="41"/>
  <c r="P44" i="41"/>
  <c r="L44" i="41"/>
  <c r="K44" i="41"/>
  <c r="H44" i="41"/>
  <c r="G44" i="41"/>
  <c r="D44" i="41"/>
  <c r="C44" i="41"/>
  <c r="X43" i="41"/>
  <c r="W43" i="41"/>
  <c r="T43" i="41"/>
  <c r="S43" i="41"/>
  <c r="P43" i="41"/>
  <c r="L43" i="41"/>
  <c r="K43" i="41"/>
  <c r="H43" i="41"/>
  <c r="G43" i="41"/>
  <c r="D43" i="41"/>
  <c r="C43" i="41"/>
  <c r="X42" i="41"/>
  <c r="W42" i="41"/>
  <c r="T42" i="41"/>
  <c r="S42" i="41"/>
  <c r="P42" i="41"/>
  <c r="L42" i="41"/>
  <c r="K42" i="41"/>
  <c r="H42" i="41"/>
  <c r="G42" i="41"/>
  <c r="D42" i="41"/>
  <c r="C42" i="41"/>
  <c r="X41" i="41"/>
  <c r="W41" i="41"/>
  <c r="T41" i="41"/>
  <c r="S41" i="41"/>
  <c r="P41" i="41"/>
  <c r="L41" i="41"/>
  <c r="K41" i="41"/>
  <c r="H41" i="41"/>
  <c r="G41" i="41"/>
  <c r="D41" i="41"/>
  <c r="C41" i="41"/>
  <c r="X40" i="41"/>
  <c r="W40" i="41"/>
  <c r="T40" i="41"/>
  <c r="S40" i="41"/>
  <c r="P40" i="41"/>
  <c r="L40" i="41"/>
  <c r="K40" i="41"/>
  <c r="H40" i="41"/>
  <c r="G40" i="41"/>
  <c r="D40" i="41"/>
  <c r="C40" i="41"/>
  <c r="X39" i="41"/>
  <c r="W39" i="41"/>
  <c r="T39" i="41"/>
  <c r="S39" i="41"/>
  <c r="P39" i="41"/>
  <c r="L39" i="41"/>
  <c r="K39" i="41"/>
  <c r="H39" i="41"/>
  <c r="G39" i="41"/>
  <c r="D39" i="41"/>
  <c r="C39" i="41"/>
  <c r="X38" i="41"/>
  <c r="W38" i="41"/>
  <c r="T38" i="41"/>
  <c r="S38" i="41"/>
  <c r="P38" i="41"/>
  <c r="L38" i="41"/>
  <c r="K38" i="41"/>
  <c r="H38" i="41"/>
  <c r="G38" i="41"/>
  <c r="D38" i="41"/>
  <c r="C38" i="41"/>
  <c r="X37" i="41"/>
  <c r="W37" i="41"/>
  <c r="T37" i="41"/>
  <c r="S37" i="41"/>
  <c r="P37" i="41"/>
  <c r="L37" i="41"/>
  <c r="K37" i="41"/>
  <c r="H37" i="41"/>
  <c r="G37" i="41"/>
  <c r="D37" i="41"/>
  <c r="C37" i="41"/>
  <c r="X36" i="41"/>
  <c r="W36" i="41"/>
  <c r="T36" i="41"/>
  <c r="S36" i="41"/>
  <c r="P36" i="41"/>
  <c r="L36" i="41"/>
  <c r="K36" i="41"/>
  <c r="H36" i="41"/>
  <c r="G36" i="41"/>
  <c r="D36" i="41"/>
  <c r="C36" i="41"/>
  <c r="X35" i="41"/>
  <c r="W35" i="41"/>
  <c r="T35" i="41"/>
  <c r="S35" i="41"/>
  <c r="P35" i="41"/>
  <c r="L35" i="41"/>
  <c r="K35" i="41"/>
  <c r="H35" i="41"/>
  <c r="G35" i="41"/>
  <c r="D35" i="41"/>
  <c r="C35" i="41"/>
  <c r="X34" i="41"/>
  <c r="W34" i="41"/>
  <c r="T34" i="41"/>
  <c r="S34" i="41"/>
  <c r="P34" i="41"/>
  <c r="L34" i="41"/>
  <c r="K34" i="41"/>
  <c r="H34" i="41"/>
  <c r="G34" i="41"/>
  <c r="D34" i="41"/>
  <c r="C34" i="41"/>
  <c r="X33" i="41"/>
  <c r="W33" i="41"/>
  <c r="T33" i="41"/>
  <c r="S33" i="41"/>
  <c r="P33" i="41"/>
  <c r="L33" i="41"/>
  <c r="K33" i="41"/>
  <c r="H33" i="41"/>
  <c r="G33" i="41"/>
  <c r="D33" i="41"/>
  <c r="C33" i="41"/>
  <c r="X32" i="41"/>
  <c r="W32" i="41"/>
  <c r="T32" i="41"/>
  <c r="S32" i="41"/>
  <c r="P32" i="41"/>
  <c r="L32" i="41"/>
  <c r="K32" i="41"/>
  <c r="H32" i="41"/>
  <c r="G32" i="41"/>
  <c r="D32" i="41"/>
  <c r="C32" i="41"/>
  <c r="X31" i="41"/>
  <c r="W31" i="41"/>
  <c r="T31" i="41"/>
  <c r="S31" i="41"/>
  <c r="P31" i="41"/>
  <c r="L31" i="41"/>
  <c r="K31" i="41"/>
  <c r="H31" i="41"/>
  <c r="G31" i="41"/>
  <c r="D31" i="41"/>
  <c r="C31" i="41"/>
  <c r="X30" i="41"/>
  <c r="W30" i="41"/>
  <c r="T30" i="41"/>
  <c r="S30" i="41"/>
  <c r="P30" i="41"/>
  <c r="L30" i="41"/>
  <c r="K30" i="41"/>
  <c r="H30" i="41"/>
  <c r="G30" i="41"/>
  <c r="D30" i="41"/>
  <c r="C30" i="41"/>
  <c r="X29" i="41"/>
  <c r="W29" i="41"/>
  <c r="T29" i="41"/>
  <c r="S29" i="41"/>
  <c r="P29" i="41"/>
  <c r="L29" i="41"/>
  <c r="K29" i="41"/>
  <c r="H29" i="41"/>
  <c r="G29" i="41"/>
  <c r="D29" i="41"/>
  <c r="C29" i="41"/>
  <c r="X28" i="41"/>
  <c r="W28" i="41"/>
  <c r="T28" i="41"/>
  <c r="S28" i="41"/>
  <c r="P28" i="41"/>
  <c r="L28" i="41"/>
  <c r="K28" i="41"/>
  <c r="H28" i="41"/>
  <c r="G28" i="41"/>
  <c r="D28" i="41"/>
  <c r="C28" i="41"/>
  <c r="X27" i="41"/>
  <c r="W27" i="41"/>
  <c r="T27" i="41"/>
  <c r="S27" i="41"/>
  <c r="P27" i="41"/>
  <c r="L27" i="41"/>
  <c r="K27" i="41"/>
  <c r="H27" i="41"/>
  <c r="G27" i="41"/>
  <c r="D27" i="41"/>
  <c r="C27" i="41"/>
  <c r="X26" i="41"/>
  <c r="W26" i="41"/>
  <c r="T26" i="41"/>
  <c r="S26" i="41"/>
  <c r="P26" i="41"/>
  <c r="L26" i="41"/>
  <c r="K26" i="41"/>
  <c r="H26" i="41"/>
  <c r="G26" i="41"/>
  <c r="D26" i="41"/>
  <c r="C26" i="41"/>
  <c r="X25" i="41"/>
  <c r="W25" i="41"/>
  <c r="T25" i="41"/>
  <c r="S25" i="41"/>
  <c r="P25" i="41"/>
  <c r="L25" i="41"/>
  <c r="K25" i="41"/>
  <c r="H25" i="41"/>
  <c r="G25" i="41"/>
  <c r="D25" i="41"/>
  <c r="C25" i="41"/>
  <c r="X24" i="41"/>
  <c r="W24" i="41"/>
  <c r="T24" i="41"/>
  <c r="S24" i="41"/>
  <c r="P24" i="41"/>
  <c r="L24" i="41"/>
  <c r="K24" i="41"/>
  <c r="H24" i="41"/>
  <c r="G24" i="41"/>
  <c r="D24" i="41"/>
  <c r="C24" i="41"/>
  <c r="X23" i="41"/>
  <c r="W23" i="41"/>
  <c r="T23" i="41"/>
  <c r="S23" i="41"/>
  <c r="P23" i="41"/>
  <c r="L23" i="41"/>
  <c r="K23" i="41"/>
  <c r="H23" i="41"/>
  <c r="G23" i="41"/>
  <c r="D23" i="41"/>
  <c r="C23" i="41"/>
  <c r="X22" i="41"/>
  <c r="W22" i="41"/>
  <c r="T22" i="41"/>
  <c r="S22" i="41"/>
  <c r="P22" i="41"/>
  <c r="L22" i="41"/>
  <c r="K22" i="41"/>
  <c r="H22" i="41"/>
  <c r="G22" i="41"/>
  <c r="D22" i="41"/>
  <c r="C22" i="41"/>
  <c r="X21" i="41"/>
  <c r="W21" i="41"/>
  <c r="T21" i="41"/>
  <c r="S21" i="41"/>
  <c r="P21" i="41"/>
  <c r="L21" i="41"/>
  <c r="K21" i="41"/>
  <c r="H21" i="41"/>
  <c r="G21" i="41"/>
  <c r="D21" i="41"/>
  <c r="C21" i="41"/>
  <c r="X20" i="41"/>
  <c r="W20" i="41"/>
  <c r="T20" i="41"/>
  <c r="S20" i="41"/>
  <c r="P20" i="41"/>
  <c r="L20" i="41"/>
  <c r="K20" i="41"/>
  <c r="H20" i="41"/>
  <c r="G20" i="41"/>
  <c r="D20" i="41"/>
  <c r="C20" i="41"/>
  <c r="X19" i="41"/>
  <c r="W19" i="41"/>
  <c r="T19" i="41"/>
  <c r="S19" i="41"/>
  <c r="P19" i="41"/>
  <c r="L19" i="41"/>
  <c r="K19" i="41"/>
  <c r="H19" i="41"/>
  <c r="G19" i="41"/>
  <c r="D19" i="41"/>
  <c r="C19" i="41"/>
  <c r="X18" i="41"/>
  <c r="W18" i="41"/>
  <c r="T18" i="41"/>
  <c r="S18" i="41"/>
  <c r="P18" i="41"/>
  <c r="L18" i="41"/>
  <c r="K18" i="41"/>
  <c r="H18" i="41"/>
  <c r="G18" i="41"/>
  <c r="D18" i="41"/>
  <c r="C18" i="41"/>
  <c r="X17" i="41"/>
  <c r="W17" i="41"/>
  <c r="T17" i="41"/>
  <c r="S17" i="41"/>
  <c r="P17" i="41"/>
  <c r="L17" i="41"/>
  <c r="K17" i="41"/>
  <c r="H17" i="41"/>
  <c r="G17" i="41"/>
  <c r="D17" i="41"/>
  <c r="C17" i="41"/>
  <c r="X16" i="41"/>
  <c r="W16" i="41"/>
  <c r="T16" i="41"/>
  <c r="S16" i="41"/>
  <c r="P16" i="41"/>
  <c r="L16" i="41"/>
  <c r="K16" i="41"/>
  <c r="H16" i="41"/>
  <c r="G16" i="41"/>
  <c r="D16" i="41"/>
  <c r="C16" i="41"/>
  <c r="X15" i="41"/>
  <c r="W15" i="41"/>
  <c r="T15" i="41"/>
  <c r="S15" i="41"/>
  <c r="P15" i="41"/>
  <c r="L15" i="41"/>
  <c r="K15" i="41"/>
  <c r="H15" i="41"/>
  <c r="G15" i="41"/>
  <c r="D15" i="41"/>
  <c r="C15" i="41"/>
  <c r="X14" i="41"/>
  <c r="W14" i="41"/>
  <c r="T14" i="41"/>
  <c r="S14" i="41"/>
  <c r="P14" i="41"/>
  <c r="L14" i="41"/>
  <c r="K14" i="41"/>
  <c r="H14" i="41"/>
  <c r="G14" i="41"/>
  <c r="D14" i="41"/>
  <c r="C14" i="41"/>
  <c r="X13" i="41"/>
  <c r="W13" i="41"/>
  <c r="T13" i="41"/>
  <c r="S13" i="41"/>
  <c r="P13" i="41"/>
  <c r="L13" i="41"/>
  <c r="K13" i="41"/>
  <c r="H13" i="41"/>
  <c r="G13" i="41"/>
  <c r="D13" i="41"/>
  <c r="C13" i="41"/>
  <c r="X12" i="41"/>
  <c r="W12" i="41"/>
  <c r="T12" i="41"/>
  <c r="S12" i="41"/>
  <c r="P12" i="41"/>
  <c r="L12" i="41"/>
  <c r="K12" i="41"/>
  <c r="H12" i="41"/>
  <c r="G12" i="41"/>
  <c r="D12" i="41"/>
  <c r="C12" i="41"/>
  <c r="X11" i="41"/>
  <c r="W11" i="41"/>
  <c r="T11" i="41"/>
  <c r="S11" i="41"/>
  <c r="P11" i="41"/>
  <c r="L11" i="41"/>
  <c r="K11" i="41"/>
  <c r="H11" i="41"/>
  <c r="G11" i="41"/>
  <c r="D11" i="41"/>
  <c r="C11" i="41"/>
  <c r="X10" i="41"/>
  <c r="W10" i="41"/>
  <c r="T10" i="41"/>
  <c r="S10" i="41"/>
  <c r="P10" i="41"/>
  <c r="L10" i="41"/>
  <c r="K10" i="41"/>
  <c r="H10" i="41"/>
  <c r="G10" i="41"/>
  <c r="D10" i="41"/>
  <c r="C10" i="41"/>
  <c r="X9" i="41"/>
  <c r="W9" i="41"/>
  <c r="T9" i="41"/>
  <c r="S9" i="41"/>
  <c r="P9" i="41"/>
  <c r="L9" i="41"/>
  <c r="K9" i="41"/>
  <c r="H9" i="41"/>
  <c r="G9" i="41"/>
  <c r="D9" i="41"/>
  <c r="C9" i="41"/>
  <c r="X8" i="41"/>
  <c r="W8" i="41"/>
  <c r="T8" i="41"/>
  <c r="S8" i="41"/>
  <c r="P8" i="41"/>
  <c r="L8" i="41"/>
  <c r="K8" i="41"/>
  <c r="H8" i="41"/>
  <c r="G8" i="41"/>
  <c r="D8" i="41"/>
  <c r="C8" i="41"/>
  <c r="X7" i="41"/>
  <c r="W7" i="41"/>
  <c r="T7" i="41"/>
  <c r="S7" i="41"/>
  <c r="P7" i="41"/>
  <c r="L7" i="41"/>
  <c r="K7" i="41"/>
  <c r="H7" i="41"/>
  <c r="G7" i="41"/>
  <c r="D7" i="41"/>
  <c r="C7" i="41"/>
  <c r="X6" i="41"/>
  <c r="W6" i="41"/>
  <c r="T6" i="41"/>
  <c r="S6" i="41"/>
  <c r="P6" i="41"/>
  <c r="L6" i="41"/>
  <c r="K6" i="41"/>
  <c r="H6" i="41"/>
  <c r="G6" i="41"/>
  <c r="D6" i="41"/>
  <c r="C6" i="41"/>
  <c r="X5" i="41"/>
  <c r="W5" i="41"/>
  <c r="T5" i="41"/>
  <c r="S5" i="41"/>
  <c r="P5" i="41"/>
  <c r="L5" i="41"/>
  <c r="K5" i="41"/>
  <c r="H5" i="41"/>
  <c r="G5" i="41"/>
  <c r="D5" i="41"/>
  <c r="C5" i="41"/>
  <c r="X4" i="41"/>
  <c r="W4" i="41"/>
  <c r="T4" i="41"/>
  <c r="S4" i="41"/>
  <c r="P4" i="41"/>
  <c r="L4" i="41"/>
  <c r="K4" i="41"/>
  <c r="H4" i="41"/>
  <c r="G4" i="41"/>
  <c r="D4" i="41"/>
  <c r="C4" i="41"/>
  <c r="X123" i="40"/>
  <c r="W123" i="40"/>
  <c r="T123" i="40"/>
  <c r="S123" i="40"/>
  <c r="P123" i="40"/>
  <c r="O123" i="40"/>
  <c r="L123" i="40"/>
  <c r="K123" i="40"/>
  <c r="H123" i="40"/>
  <c r="G123" i="40"/>
  <c r="D123" i="40"/>
  <c r="X122" i="40"/>
  <c r="W122" i="40"/>
  <c r="T122" i="40"/>
  <c r="S122" i="40"/>
  <c r="P122" i="40"/>
  <c r="O122" i="40"/>
  <c r="L122" i="40"/>
  <c r="K122" i="40"/>
  <c r="H122" i="40"/>
  <c r="D122" i="40"/>
  <c r="C122" i="40"/>
  <c r="X121" i="40"/>
  <c r="W121" i="40"/>
  <c r="T121" i="40"/>
  <c r="S121" i="40"/>
  <c r="P121" i="40"/>
  <c r="O121" i="40"/>
  <c r="L121" i="40"/>
  <c r="K121" i="40"/>
  <c r="H121" i="40"/>
  <c r="D121" i="40"/>
  <c r="C121" i="40"/>
  <c r="X120" i="40"/>
  <c r="W120" i="40"/>
  <c r="T120" i="40"/>
  <c r="S120" i="40"/>
  <c r="P120" i="40"/>
  <c r="O120" i="40"/>
  <c r="L120" i="40"/>
  <c r="K120" i="40"/>
  <c r="H120" i="40"/>
  <c r="D120" i="40"/>
  <c r="C120" i="40"/>
  <c r="X119" i="40"/>
  <c r="W119" i="40"/>
  <c r="T119" i="40"/>
  <c r="S119" i="40"/>
  <c r="P119" i="40"/>
  <c r="O119" i="40"/>
  <c r="L119" i="40"/>
  <c r="K119" i="40"/>
  <c r="H119" i="40"/>
  <c r="G119" i="40"/>
  <c r="D119" i="40"/>
  <c r="X118" i="40"/>
  <c r="W118" i="40"/>
  <c r="T118" i="40"/>
  <c r="S118" i="40"/>
  <c r="P118" i="40"/>
  <c r="O118" i="40"/>
  <c r="L118" i="40"/>
  <c r="K118" i="40"/>
  <c r="H118" i="40"/>
  <c r="D118" i="40"/>
  <c r="C118" i="40"/>
  <c r="X117" i="40"/>
  <c r="W117" i="40"/>
  <c r="T117" i="40"/>
  <c r="S117" i="40"/>
  <c r="P117" i="40"/>
  <c r="O117" i="40"/>
  <c r="L117" i="40"/>
  <c r="K117" i="40"/>
  <c r="H117" i="40"/>
  <c r="G117" i="40"/>
  <c r="D117" i="40"/>
  <c r="X116" i="40"/>
  <c r="W116" i="40"/>
  <c r="T116" i="40"/>
  <c r="S116" i="40"/>
  <c r="P116" i="40"/>
  <c r="O116" i="40"/>
  <c r="L116" i="40"/>
  <c r="K116" i="40"/>
  <c r="H116" i="40"/>
  <c r="D116" i="40"/>
  <c r="C116" i="40"/>
  <c r="X115" i="40"/>
  <c r="W115" i="40"/>
  <c r="T115" i="40"/>
  <c r="S115" i="40"/>
  <c r="P115" i="40"/>
  <c r="O115" i="40"/>
  <c r="L115" i="40"/>
  <c r="K115" i="40"/>
  <c r="H115" i="40"/>
  <c r="G115" i="40"/>
  <c r="D115" i="40"/>
  <c r="X114" i="40"/>
  <c r="W114" i="40"/>
  <c r="T114" i="40"/>
  <c r="S114" i="40"/>
  <c r="P114" i="40"/>
  <c r="O114" i="40"/>
  <c r="L114" i="40"/>
  <c r="K114" i="40"/>
  <c r="H114" i="40"/>
  <c r="D114" i="40"/>
  <c r="C114" i="40"/>
  <c r="X113" i="40"/>
  <c r="W113" i="40"/>
  <c r="T113" i="40"/>
  <c r="S113" i="40"/>
  <c r="P113" i="40"/>
  <c r="O113" i="40"/>
  <c r="L113" i="40"/>
  <c r="K113" i="40"/>
  <c r="H113" i="40"/>
  <c r="G113" i="40"/>
  <c r="D113" i="40"/>
  <c r="C113" i="40"/>
  <c r="X112" i="40"/>
  <c r="W112" i="40"/>
  <c r="T112" i="40"/>
  <c r="S112" i="40"/>
  <c r="P112" i="40"/>
  <c r="O112" i="40"/>
  <c r="L112" i="40"/>
  <c r="K112" i="40"/>
  <c r="H112" i="40"/>
  <c r="D112" i="40"/>
  <c r="C112" i="40"/>
  <c r="X111" i="40"/>
  <c r="W111" i="40"/>
  <c r="T111" i="40"/>
  <c r="S111" i="40"/>
  <c r="P111" i="40"/>
  <c r="O111" i="40"/>
  <c r="L111" i="40"/>
  <c r="K111" i="40"/>
  <c r="H111" i="40"/>
  <c r="G111" i="40"/>
  <c r="D111" i="40"/>
  <c r="X110" i="40"/>
  <c r="W110" i="40"/>
  <c r="T110" i="40"/>
  <c r="S110" i="40"/>
  <c r="P110" i="40"/>
  <c r="O110" i="40"/>
  <c r="L110" i="40"/>
  <c r="K110" i="40"/>
  <c r="H110" i="40"/>
  <c r="D110" i="40"/>
  <c r="C110" i="40"/>
  <c r="X109" i="40"/>
  <c r="W109" i="40"/>
  <c r="T109" i="40"/>
  <c r="S109" i="40"/>
  <c r="P109" i="40"/>
  <c r="O109" i="40"/>
  <c r="L109" i="40"/>
  <c r="K109" i="40"/>
  <c r="H109" i="40"/>
  <c r="G109" i="40"/>
  <c r="D109" i="40"/>
  <c r="C109" i="40"/>
  <c r="X108" i="40"/>
  <c r="W108" i="40"/>
  <c r="T108" i="40"/>
  <c r="S108" i="40"/>
  <c r="P108" i="40"/>
  <c r="O108" i="40"/>
  <c r="L108" i="40"/>
  <c r="K108" i="40"/>
  <c r="H108" i="40"/>
  <c r="G108" i="40"/>
  <c r="D108" i="40"/>
  <c r="C108" i="40"/>
  <c r="X107" i="40"/>
  <c r="W107" i="40"/>
  <c r="T107" i="40"/>
  <c r="S107" i="40"/>
  <c r="P107" i="40"/>
  <c r="O107" i="40"/>
  <c r="L107" i="40"/>
  <c r="K107" i="40"/>
  <c r="H107" i="40"/>
  <c r="G107" i="40"/>
  <c r="D107" i="40"/>
  <c r="C107" i="40"/>
  <c r="X106" i="40"/>
  <c r="W106" i="40"/>
  <c r="T106" i="40"/>
  <c r="S106" i="40"/>
  <c r="P106" i="40"/>
  <c r="O106" i="40"/>
  <c r="L106" i="40"/>
  <c r="K106" i="40"/>
  <c r="H106" i="40"/>
  <c r="G106" i="40"/>
  <c r="D106" i="40"/>
  <c r="C106" i="40"/>
  <c r="X105" i="40"/>
  <c r="W105" i="40"/>
  <c r="T105" i="40"/>
  <c r="S105" i="40"/>
  <c r="P105" i="40"/>
  <c r="O105" i="40"/>
  <c r="L105" i="40"/>
  <c r="K105" i="40"/>
  <c r="H105" i="40"/>
  <c r="G105" i="40"/>
  <c r="D105" i="40"/>
  <c r="X104" i="40"/>
  <c r="W104" i="40"/>
  <c r="T104" i="40"/>
  <c r="S104" i="40"/>
  <c r="P104" i="40"/>
  <c r="O104" i="40"/>
  <c r="L104" i="40"/>
  <c r="K104" i="40"/>
  <c r="H104" i="40"/>
  <c r="G104" i="40"/>
  <c r="D104" i="40"/>
  <c r="C104" i="40"/>
  <c r="X103" i="40"/>
  <c r="W103" i="40"/>
  <c r="T103" i="40"/>
  <c r="S103" i="40"/>
  <c r="P103" i="40"/>
  <c r="O103" i="40"/>
  <c r="L103" i="40"/>
  <c r="K103" i="40"/>
  <c r="H103" i="40"/>
  <c r="G103" i="40"/>
  <c r="D103" i="40"/>
  <c r="C103" i="40"/>
  <c r="X102" i="40"/>
  <c r="W102" i="40"/>
  <c r="T102" i="40"/>
  <c r="S102" i="40"/>
  <c r="P102" i="40"/>
  <c r="O102" i="40"/>
  <c r="L102" i="40"/>
  <c r="K102" i="40"/>
  <c r="H102" i="40"/>
  <c r="D102" i="40"/>
  <c r="C102" i="40"/>
  <c r="X101" i="40"/>
  <c r="W101" i="40"/>
  <c r="T101" i="40"/>
  <c r="S101" i="40"/>
  <c r="P101" i="40"/>
  <c r="O101" i="40"/>
  <c r="L101" i="40"/>
  <c r="K101" i="40"/>
  <c r="H101" i="40"/>
  <c r="G101" i="40"/>
  <c r="D101" i="40"/>
  <c r="C101" i="40"/>
  <c r="X100" i="40"/>
  <c r="W100" i="40"/>
  <c r="T100" i="40"/>
  <c r="S100" i="40"/>
  <c r="P100" i="40"/>
  <c r="O100" i="40"/>
  <c r="L100" i="40"/>
  <c r="K100" i="40"/>
  <c r="H100" i="40"/>
  <c r="G100" i="40"/>
  <c r="D100" i="40"/>
  <c r="C100" i="40"/>
  <c r="X99" i="40"/>
  <c r="W99" i="40"/>
  <c r="T99" i="40"/>
  <c r="S99" i="40"/>
  <c r="P99" i="40"/>
  <c r="O99" i="40"/>
  <c r="L99" i="40"/>
  <c r="K99" i="40"/>
  <c r="H99" i="40"/>
  <c r="G99" i="40"/>
  <c r="D99" i="40"/>
  <c r="C99" i="40"/>
  <c r="X98" i="40"/>
  <c r="W98" i="40"/>
  <c r="T98" i="40"/>
  <c r="S98" i="40"/>
  <c r="P98" i="40"/>
  <c r="O98" i="40"/>
  <c r="L98" i="40"/>
  <c r="K98" i="40"/>
  <c r="H98" i="40"/>
  <c r="D98" i="40"/>
  <c r="C98" i="40"/>
  <c r="X97" i="40"/>
  <c r="W97" i="40"/>
  <c r="T97" i="40"/>
  <c r="S97" i="40"/>
  <c r="P97" i="40"/>
  <c r="O97" i="40"/>
  <c r="L97" i="40"/>
  <c r="K97" i="40"/>
  <c r="H97" i="40"/>
  <c r="G97" i="40"/>
  <c r="D97" i="40"/>
  <c r="C97" i="40"/>
  <c r="X96" i="40"/>
  <c r="W96" i="40"/>
  <c r="T96" i="40"/>
  <c r="S96" i="40"/>
  <c r="P96" i="40"/>
  <c r="O96" i="40"/>
  <c r="L96" i="40"/>
  <c r="K96" i="40"/>
  <c r="H96" i="40"/>
  <c r="G96" i="40"/>
  <c r="D96" i="40"/>
  <c r="C96" i="40"/>
  <c r="X95" i="40"/>
  <c r="W95" i="40"/>
  <c r="T95" i="40"/>
  <c r="S95" i="40"/>
  <c r="P95" i="40"/>
  <c r="O95" i="40"/>
  <c r="L95" i="40"/>
  <c r="K95" i="40"/>
  <c r="H95" i="40"/>
  <c r="G95" i="40"/>
  <c r="D95" i="40"/>
  <c r="C95" i="40"/>
  <c r="X94" i="40"/>
  <c r="W94" i="40"/>
  <c r="T94" i="40"/>
  <c r="S94" i="40"/>
  <c r="P94" i="40"/>
  <c r="O94" i="40"/>
  <c r="L94" i="40"/>
  <c r="K94" i="40"/>
  <c r="H94" i="40"/>
  <c r="G94" i="40"/>
  <c r="D94" i="40"/>
  <c r="C94" i="40"/>
  <c r="X93" i="40"/>
  <c r="W93" i="40"/>
  <c r="T93" i="40"/>
  <c r="S93" i="40"/>
  <c r="P93" i="40"/>
  <c r="O93" i="40"/>
  <c r="L93" i="40"/>
  <c r="K93" i="40"/>
  <c r="H93" i="40"/>
  <c r="G93" i="40"/>
  <c r="D93" i="40"/>
  <c r="C93" i="40"/>
  <c r="X92" i="40"/>
  <c r="W92" i="40"/>
  <c r="T92" i="40"/>
  <c r="S92" i="40"/>
  <c r="P92" i="40"/>
  <c r="O92" i="40"/>
  <c r="L92" i="40"/>
  <c r="K92" i="40"/>
  <c r="H92" i="40"/>
  <c r="G92" i="40"/>
  <c r="D92" i="40"/>
  <c r="C92" i="40"/>
  <c r="X91" i="40"/>
  <c r="W91" i="40"/>
  <c r="T91" i="40"/>
  <c r="S91" i="40"/>
  <c r="P91" i="40"/>
  <c r="O91" i="40"/>
  <c r="L91" i="40"/>
  <c r="K91" i="40"/>
  <c r="H91" i="40"/>
  <c r="G91" i="40"/>
  <c r="D91" i="40"/>
  <c r="C91" i="40"/>
  <c r="X90" i="40"/>
  <c r="W90" i="40"/>
  <c r="T90" i="40"/>
  <c r="S90" i="40"/>
  <c r="P90" i="40"/>
  <c r="O90" i="40"/>
  <c r="L90" i="40"/>
  <c r="K90" i="40"/>
  <c r="H90" i="40"/>
  <c r="G90" i="40"/>
  <c r="D90" i="40"/>
  <c r="C90" i="40"/>
  <c r="X89" i="40"/>
  <c r="W89" i="40"/>
  <c r="T89" i="40"/>
  <c r="S89" i="40"/>
  <c r="P89" i="40"/>
  <c r="O89" i="40"/>
  <c r="L89" i="40"/>
  <c r="K89" i="40"/>
  <c r="H89" i="40"/>
  <c r="G89" i="40"/>
  <c r="D89" i="40"/>
  <c r="C89" i="40"/>
  <c r="X88" i="40"/>
  <c r="W88" i="40"/>
  <c r="T88" i="40"/>
  <c r="S88" i="40"/>
  <c r="P88" i="40"/>
  <c r="O88" i="40"/>
  <c r="L88" i="40"/>
  <c r="K88" i="40"/>
  <c r="H88" i="40"/>
  <c r="G88" i="40"/>
  <c r="D88" i="40"/>
  <c r="C88" i="40"/>
  <c r="X87" i="40"/>
  <c r="W87" i="40"/>
  <c r="T87" i="40"/>
  <c r="S87" i="40"/>
  <c r="P87" i="40"/>
  <c r="O87" i="40"/>
  <c r="L87" i="40"/>
  <c r="K87" i="40"/>
  <c r="H87" i="40"/>
  <c r="G87" i="40"/>
  <c r="D87" i="40"/>
  <c r="C87" i="40"/>
  <c r="X86" i="40"/>
  <c r="W86" i="40"/>
  <c r="T86" i="40"/>
  <c r="S86" i="40"/>
  <c r="P86" i="40"/>
  <c r="O86" i="40"/>
  <c r="L86" i="40"/>
  <c r="K86" i="40"/>
  <c r="H86" i="40"/>
  <c r="D86" i="40"/>
  <c r="C86" i="40"/>
  <c r="X85" i="40"/>
  <c r="W85" i="40"/>
  <c r="T85" i="40"/>
  <c r="S85" i="40"/>
  <c r="P85" i="40"/>
  <c r="O85" i="40"/>
  <c r="L85" i="40"/>
  <c r="K85" i="40"/>
  <c r="H85" i="40"/>
  <c r="G85" i="40"/>
  <c r="D85" i="40"/>
  <c r="C85" i="40"/>
  <c r="X84" i="40"/>
  <c r="W84" i="40"/>
  <c r="T84" i="40"/>
  <c r="S84" i="40"/>
  <c r="P84" i="40"/>
  <c r="O84" i="40"/>
  <c r="L84" i="40"/>
  <c r="K84" i="40"/>
  <c r="H84" i="40"/>
  <c r="G84" i="40"/>
  <c r="D84" i="40"/>
  <c r="C84" i="40"/>
  <c r="X83" i="40"/>
  <c r="W83" i="40"/>
  <c r="T83" i="40"/>
  <c r="S83" i="40"/>
  <c r="P83" i="40"/>
  <c r="O83" i="40"/>
  <c r="L83" i="40"/>
  <c r="K83" i="40"/>
  <c r="H83" i="40"/>
  <c r="G83" i="40"/>
  <c r="D83" i="40"/>
  <c r="X82" i="40"/>
  <c r="W82" i="40"/>
  <c r="T82" i="40"/>
  <c r="S82" i="40"/>
  <c r="P82" i="40"/>
  <c r="O82" i="40"/>
  <c r="L82" i="40"/>
  <c r="K82" i="40"/>
  <c r="H82" i="40"/>
  <c r="D82" i="40"/>
  <c r="C82" i="40"/>
  <c r="X81" i="40"/>
  <c r="W81" i="40"/>
  <c r="T81" i="40"/>
  <c r="S81" i="40"/>
  <c r="P81" i="40"/>
  <c r="O81" i="40"/>
  <c r="L81" i="40"/>
  <c r="K81" i="40"/>
  <c r="H81" i="40"/>
  <c r="G81" i="40"/>
  <c r="D81" i="40"/>
  <c r="C81" i="40"/>
  <c r="X80" i="40"/>
  <c r="W80" i="40"/>
  <c r="T80" i="40"/>
  <c r="S80" i="40"/>
  <c r="P80" i="40"/>
  <c r="O80" i="40"/>
  <c r="L80" i="40"/>
  <c r="K80" i="40"/>
  <c r="H80" i="40"/>
  <c r="G80" i="40"/>
  <c r="D80" i="40"/>
  <c r="C80" i="40"/>
  <c r="X79" i="40"/>
  <c r="W79" i="40"/>
  <c r="T79" i="40"/>
  <c r="S79" i="40"/>
  <c r="P79" i="40"/>
  <c r="O79" i="40"/>
  <c r="L79" i="40"/>
  <c r="K79" i="40"/>
  <c r="H79" i="40"/>
  <c r="D79" i="40"/>
  <c r="C79" i="40"/>
  <c r="X78" i="40"/>
  <c r="W78" i="40"/>
  <c r="T78" i="40"/>
  <c r="S78" i="40"/>
  <c r="P78" i="40"/>
  <c r="O78" i="40"/>
  <c r="L78" i="40"/>
  <c r="K78" i="40"/>
  <c r="H78" i="40"/>
  <c r="G78" i="40"/>
  <c r="D78" i="40"/>
  <c r="C78" i="40"/>
  <c r="X77" i="40"/>
  <c r="W77" i="40"/>
  <c r="T77" i="40"/>
  <c r="S77" i="40"/>
  <c r="P77" i="40"/>
  <c r="O77" i="40"/>
  <c r="L77" i="40"/>
  <c r="K77" i="40"/>
  <c r="H77" i="40"/>
  <c r="D77" i="40"/>
  <c r="C77" i="40"/>
  <c r="X76" i="40"/>
  <c r="W76" i="40"/>
  <c r="T76" i="40"/>
  <c r="S76" i="40"/>
  <c r="P76" i="40"/>
  <c r="O76" i="40"/>
  <c r="L76" i="40"/>
  <c r="K76" i="40"/>
  <c r="H76" i="40"/>
  <c r="G76" i="40"/>
  <c r="D76" i="40"/>
  <c r="C76" i="40"/>
  <c r="X75" i="40"/>
  <c r="W75" i="40"/>
  <c r="T75" i="40"/>
  <c r="S75" i="40"/>
  <c r="P75" i="40"/>
  <c r="O75" i="40"/>
  <c r="L75" i="40"/>
  <c r="K75" i="40"/>
  <c r="H75" i="40"/>
  <c r="G75" i="40"/>
  <c r="D75" i="40"/>
  <c r="C75" i="40"/>
  <c r="X74" i="40"/>
  <c r="W74" i="40"/>
  <c r="T74" i="40"/>
  <c r="S74" i="40"/>
  <c r="P74" i="40"/>
  <c r="O74" i="40"/>
  <c r="L74" i="40"/>
  <c r="K74" i="40"/>
  <c r="H74" i="40"/>
  <c r="G74" i="40"/>
  <c r="D74" i="40"/>
  <c r="C74" i="40"/>
  <c r="X73" i="40"/>
  <c r="W73" i="40"/>
  <c r="T73" i="40"/>
  <c r="S73" i="40"/>
  <c r="P73" i="40"/>
  <c r="O73" i="40"/>
  <c r="L73" i="40"/>
  <c r="K73" i="40"/>
  <c r="H73" i="40"/>
  <c r="D73" i="40"/>
  <c r="C73" i="40"/>
  <c r="X72" i="40"/>
  <c r="W72" i="40"/>
  <c r="T72" i="40"/>
  <c r="S72" i="40"/>
  <c r="P72" i="40"/>
  <c r="O72" i="40"/>
  <c r="L72" i="40"/>
  <c r="K72" i="40"/>
  <c r="H72" i="40"/>
  <c r="G72" i="40"/>
  <c r="D72" i="40"/>
  <c r="C72" i="40"/>
  <c r="X71" i="40"/>
  <c r="W71" i="40"/>
  <c r="T71" i="40"/>
  <c r="S71" i="40"/>
  <c r="P71" i="40"/>
  <c r="O71" i="40"/>
  <c r="L71" i="40"/>
  <c r="K71" i="40"/>
  <c r="H71" i="40"/>
  <c r="D71" i="40"/>
  <c r="C71" i="40"/>
  <c r="X70" i="40"/>
  <c r="W70" i="40"/>
  <c r="T70" i="40"/>
  <c r="S70" i="40"/>
  <c r="P70" i="40"/>
  <c r="O70" i="40"/>
  <c r="L70" i="40"/>
  <c r="K70" i="40"/>
  <c r="H70" i="40"/>
  <c r="G70" i="40"/>
  <c r="D70" i="40"/>
  <c r="C70" i="40"/>
  <c r="X69" i="40"/>
  <c r="W69" i="40"/>
  <c r="T69" i="40"/>
  <c r="S69" i="40"/>
  <c r="P69" i="40"/>
  <c r="O69" i="40"/>
  <c r="L69" i="40"/>
  <c r="K69" i="40"/>
  <c r="H69" i="40"/>
  <c r="G69" i="40"/>
  <c r="D69" i="40"/>
  <c r="C69" i="40"/>
  <c r="X68" i="40"/>
  <c r="W68" i="40"/>
  <c r="T68" i="40"/>
  <c r="S68" i="40"/>
  <c r="P68" i="40"/>
  <c r="O68" i="40"/>
  <c r="L68" i="40"/>
  <c r="K68" i="40"/>
  <c r="H68" i="40"/>
  <c r="G68" i="40"/>
  <c r="D68" i="40"/>
  <c r="X67" i="40"/>
  <c r="W67" i="40"/>
  <c r="T67" i="40"/>
  <c r="S67" i="40"/>
  <c r="P67" i="40"/>
  <c r="O67" i="40"/>
  <c r="L67" i="40"/>
  <c r="K67" i="40"/>
  <c r="H67" i="40"/>
  <c r="G67" i="40"/>
  <c r="D67" i="40"/>
  <c r="C67" i="40"/>
  <c r="X66" i="40"/>
  <c r="W66" i="40"/>
  <c r="T66" i="40"/>
  <c r="S66" i="40"/>
  <c r="P66" i="40"/>
  <c r="O66" i="40"/>
  <c r="L66" i="40"/>
  <c r="K66" i="40"/>
  <c r="H66" i="40"/>
  <c r="G66" i="40"/>
  <c r="D66" i="40"/>
  <c r="C66" i="40"/>
  <c r="X65" i="40"/>
  <c r="W65" i="40"/>
  <c r="T65" i="40"/>
  <c r="S65" i="40"/>
  <c r="P65" i="40"/>
  <c r="O65" i="40"/>
  <c r="L65" i="40"/>
  <c r="K65" i="40"/>
  <c r="H65" i="40"/>
  <c r="G65" i="40"/>
  <c r="D65" i="40"/>
  <c r="C65" i="40"/>
  <c r="X64" i="40"/>
  <c r="W64" i="40"/>
  <c r="T64" i="40"/>
  <c r="S64" i="40"/>
  <c r="P64" i="40"/>
  <c r="O64" i="40"/>
  <c r="L64" i="40"/>
  <c r="K64" i="40"/>
  <c r="H64" i="40"/>
  <c r="G64" i="40"/>
  <c r="D64" i="40"/>
  <c r="C64" i="40"/>
  <c r="X63" i="40"/>
  <c r="W63" i="40"/>
  <c r="T63" i="40"/>
  <c r="S63" i="40"/>
  <c r="P63" i="40"/>
  <c r="O63" i="40"/>
  <c r="L63" i="40"/>
  <c r="K63" i="40"/>
  <c r="H63" i="40"/>
  <c r="G63" i="40"/>
  <c r="D63" i="40"/>
  <c r="X62" i="40"/>
  <c r="W62" i="40"/>
  <c r="T62" i="40"/>
  <c r="S62" i="40"/>
  <c r="P62" i="40"/>
  <c r="O62" i="40"/>
  <c r="L62" i="40"/>
  <c r="K62" i="40"/>
  <c r="H62" i="40"/>
  <c r="D62" i="40"/>
  <c r="C62" i="40"/>
  <c r="X61" i="40"/>
  <c r="W61" i="40"/>
  <c r="T61" i="40"/>
  <c r="S61" i="40"/>
  <c r="P61" i="40"/>
  <c r="O61" i="40"/>
  <c r="L61" i="40"/>
  <c r="K61" i="40"/>
  <c r="H61" i="40"/>
  <c r="G61" i="40"/>
  <c r="D61" i="40"/>
  <c r="C61" i="40"/>
  <c r="X60" i="40"/>
  <c r="W60" i="40"/>
  <c r="T60" i="40"/>
  <c r="S60" i="40"/>
  <c r="P60" i="40"/>
  <c r="O60" i="40"/>
  <c r="L60" i="40"/>
  <c r="K60" i="40"/>
  <c r="H60" i="40"/>
  <c r="G60" i="40"/>
  <c r="D60" i="40"/>
  <c r="C60" i="40"/>
  <c r="X59" i="40"/>
  <c r="W59" i="40"/>
  <c r="T59" i="40"/>
  <c r="S59" i="40"/>
  <c r="P59" i="40"/>
  <c r="O59" i="40"/>
  <c r="L59" i="40"/>
  <c r="K59" i="40"/>
  <c r="H59" i="40"/>
  <c r="G59" i="40"/>
  <c r="D59" i="40"/>
  <c r="C59" i="40"/>
  <c r="X58" i="40"/>
  <c r="W58" i="40"/>
  <c r="T58" i="40"/>
  <c r="S58" i="40"/>
  <c r="P58" i="40"/>
  <c r="O58" i="40"/>
  <c r="L58" i="40"/>
  <c r="K58" i="40"/>
  <c r="H58" i="40"/>
  <c r="G58" i="40"/>
  <c r="D58" i="40"/>
  <c r="X57" i="40"/>
  <c r="W57" i="40"/>
  <c r="T57" i="40"/>
  <c r="S57" i="40"/>
  <c r="P57" i="40"/>
  <c r="O57" i="40"/>
  <c r="L57" i="40"/>
  <c r="K57" i="40"/>
  <c r="H57" i="40"/>
  <c r="D57" i="40"/>
  <c r="C57" i="40"/>
  <c r="X56" i="40"/>
  <c r="W56" i="40"/>
  <c r="T56" i="40"/>
  <c r="S56" i="40"/>
  <c r="P56" i="40"/>
  <c r="O56" i="40"/>
  <c r="L56" i="40"/>
  <c r="K56" i="40"/>
  <c r="H56" i="40"/>
  <c r="G56" i="40"/>
  <c r="D56" i="40"/>
  <c r="C56" i="40"/>
  <c r="X55" i="40"/>
  <c r="W55" i="40"/>
  <c r="T55" i="40"/>
  <c r="S55" i="40"/>
  <c r="P55" i="40"/>
  <c r="O55" i="40"/>
  <c r="L55" i="40"/>
  <c r="K55" i="40"/>
  <c r="H55" i="40"/>
  <c r="G55" i="40"/>
  <c r="D55" i="40"/>
  <c r="C55" i="40"/>
  <c r="X54" i="40"/>
  <c r="W54" i="40"/>
  <c r="T54" i="40"/>
  <c r="S54" i="40"/>
  <c r="P54" i="40"/>
  <c r="O54" i="40"/>
  <c r="L54" i="40"/>
  <c r="K54" i="40"/>
  <c r="H54" i="40"/>
  <c r="G54" i="40"/>
  <c r="D54" i="40"/>
  <c r="C54" i="40"/>
  <c r="X53" i="40"/>
  <c r="W53" i="40"/>
  <c r="T53" i="40"/>
  <c r="S53" i="40"/>
  <c r="P53" i="40"/>
  <c r="O53" i="40"/>
  <c r="L53" i="40"/>
  <c r="K53" i="40"/>
  <c r="H53" i="40"/>
  <c r="D53" i="40"/>
  <c r="C53" i="40"/>
  <c r="X52" i="40"/>
  <c r="W52" i="40"/>
  <c r="T52" i="40"/>
  <c r="S52" i="40"/>
  <c r="P52" i="40"/>
  <c r="O52" i="40"/>
  <c r="L52" i="40"/>
  <c r="K52" i="40"/>
  <c r="H52" i="40"/>
  <c r="G52" i="40"/>
  <c r="D52" i="40"/>
  <c r="C52" i="40"/>
  <c r="X51" i="40"/>
  <c r="W51" i="40"/>
  <c r="T51" i="40"/>
  <c r="S51" i="40"/>
  <c r="P51" i="40"/>
  <c r="O51" i="40"/>
  <c r="L51" i="40"/>
  <c r="K51" i="40"/>
  <c r="H51" i="40"/>
  <c r="G51" i="40"/>
  <c r="D51" i="40"/>
  <c r="C51" i="40"/>
  <c r="X50" i="40"/>
  <c r="W50" i="40"/>
  <c r="T50" i="40"/>
  <c r="S50" i="40"/>
  <c r="P50" i="40"/>
  <c r="O50" i="40"/>
  <c r="L50" i="40"/>
  <c r="K50" i="40"/>
  <c r="H50" i="40"/>
  <c r="G50" i="40"/>
  <c r="D50" i="40"/>
  <c r="X49" i="40"/>
  <c r="W49" i="40"/>
  <c r="T49" i="40"/>
  <c r="S49" i="40"/>
  <c r="P49" i="40"/>
  <c r="O49" i="40"/>
  <c r="L49" i="40"/>
  <c r="K49" i="40"/>
  <c r="H49" i="40"/>
  <c r="D49" i="40"/>
  <c r="C49" i="40"/>
  <c r="X48" i="40"/>
  <c r="W48" i="40"/>
  <c r="T48" i="40"/>
  <c r="S48" i="40"/>
  <c r="P48" i="40"/>
  <c r="O48" i="40"/>
  <c r="L48" i="40"/>
  <c r="K48" i="40"/>
  <c r="H48" i="40"/>
  <c r="G48" i="40"/>
  <c r="D48" i="40"/>
  <c r="C48" i="40"/>
  <c r="X47" i="40"/>
  <c r="W47" i="40"/>
  <c r="T47" i="40"/>
  <c r="S47" i="40"/>
  <c r="P47" i="40"/>
  <c r="O47" i="40"/>
  <c r="L47" i="40"/>
  <c r="K47" i="40"/>
  <c r="H47" i="40"/>
  <c r="G47" i="40"/>
  <c r="D47" i="40"/>
  <c r="X46" i="40"/>
  <c r="W46" i="40"/>
  <c r="T46" i="40"/>
  <c r="S46" i="40"/>
  <c r="P46" i="40"/>
  <c r="O46" i="40"/>
  <c r="L46" i="40"/>
  <c r="K46" i="40"/>
  <c r="H46" i="40"/>
  <c r="D46" i="40"/>
  <c r="C46" i="40"/>
  <c r="X45" i="40"/>
  <c r="W45" i="40"/>
  <c r="T45" i="40"/>
  <c r="S45" i="40"/>
  <c r="P45" i="40"/>
  <c r="O45" i="40"/>
  <c r="L45" i="40"/>
  <c r="K45" i="40"/>
  <c r="H45" i="40"/>
  <c r="G45" i="40"/>
  <c r="D45" i="40"/>
  <c r="C45" i="40"/>
  <c r="X44" i="40"/>
  <c r="W44" i="40"/>
  <c r="T44" i="40"/>
  <c r="S44" i="40"/>
  <c r="P44" i="40"/>
  <c r="O44" i="40"/>
  <c r="L44" i="40"/>
  <c r="K44" i="40"/>
  <c r="H44" i="40"/>
  <c r="G44" i="40"/>
  <c r="D44" i="40"/>
  <c r="X43" i="40"/>
  <c r="W43" i="40"/>
  <c r="T43" i="40"/>
  <c r="S43" i="40"/>
  <c r="P43" i="40"/>
  <c r="O43" i="40"/>
  <c r="L43" i="40"/>
  <c r="K43" i="40"/>
  <c r="H43" i="40"/>
  <c r="D43" i="40"/>
  <c r="C43" i="40"/>
  <c r="X42" i="40"/>
  <c r="W42" i="40"/>
  <c r="T42" i="40"/>
  <c r="S42" i="40"/>
  <c r="P42" i="40"/>
  <c r="O42" i="40"/>
  <c r="L42" i="40"/>
  <c r="K42" i="40"/>
  <c r="H42" i="40"/>
  <c r="G42" i="40"/>
  <c r="D42" i="40"/>
  <c r="C42" i="40"/>
  <c r="X41" i="40"/>
  <c r="W41" i="40"/>
  <c r="T41" i="40"/>
  <c r="S41" i="40"/>
  <c r="P41" i="40"/>
  <c r="O41" i="40"/>
  <c r="L41" i="40"/>
  <c r="K41" i="40"/>
  <c r="H41" i="40"/>
  <c r="G41" i="40"/>
  <c r="D41" i="40"/>
  <c r="C41" i="40"/>
  <c r="X40" i="40"/>
  <c r="W40" i="40"/>
  <c r="T40" i="40"/>
  <c r="S40" i="40"/>
  <c r="P40" i="40"/>
  <c r="O40" i="40"/>
  <c r="L40" i="40"/>
  <c r="K40" i="40"/>
  <c r="H40" i="40"/>
  <c r="G40" i="40"/>
  <c r="D40" i="40"/>
  <c r="C40" i="40"/>
  <c r="X39" i="40"/>
  <c r="W39" i="40"/>
  <c r="T39" i="40"/>
  <c r="S39" i="40"/>
  <c r="P39" i="40"/>
  <c r="O39" i="40"/>
  <c r="L39" i="40"/>
  <c r="K39" i="40"/>
  <c r="H39" i="40"/>
  <c r="D39" i="40"/>
  <c r="C39" i="40"/>
  <c r="X38" i="40"/>
  <c r="W38" i="40"/>
  <c r="T38" i="40"/>
  <c r="S38" i="40"/>
  <c r="P38" i="40"/>
  <c r="O38" i="40"/>
  <c r="L38" i="40"/>
  <c r="K38" i="40"/>
  <c r="H38" i="40"/>
  <c r="G38" i="40"/>
  <c r="D38" i="40"/>
  <c r="C38" i="40"/>
  <c r="X37" i="40"/>
  <c r="W37" i="40"/>
  <c r="T37" i="40"/>
  <c r="S37" i="40"/>
  <c r="P37" i="40"/>
  <c r="O37" i="40"/>
  <c r="L37" i="40"/>
  <c r="K37" i="40"/>
  <c r="H37" i="40"/>
  <c r="D37" i="40"/>
  <c r="C37" i="40"/>
  <c r="X36" i="40"/>
  <c r="W36" i="40"/>
  <c r="T36" i="40"/>
  <c r="S36" i="40"/>
  <c r="P36" i="40"/>
  <c r="O36" i="40"/>
  <c r="L36" i="40"/>
  <c r="K36" i="40"/>
  <c r="H36" i="40"/>
  <c r="G36" i="40"/>
  <c r="D36" i="40"/>
  <c r="C36" i="40"/>
  <c r="X35" i="40"/>
  <c r="W35" i="40"/>
  <c r="T35" i="40"/>
  <c r="S35" i="40"/>
  <c r="P35" i="40"/>
  <c r="O35" i="40"/>
  <c r="L35" i="40"/>
  <c r="K35" i="40"/>
  <c r="H35" i="40"/>
  <c r="G35" i="40"/>
  <c r="D35" i="40"/>
  <c r="X34" i="40"/>
  <c r="W34" i="40"/>
  <c r="T34" i="40"/>
  <c r="S34" i="40"/>
  <c r="P34" i="40"/>
  <c r="O34" i="40"/>
  <c r="L34" i="40"/>
  <c r="K34" i="40"/>
  <c r="H34" i="40"/>
  <c r="D34" i="40"/>
  <c r="C34" i="40"/>
  <c r="X33" i="40"/>
  <c r="W33" i="40"/>
  <c r="T33" i="40"/>
  <c r="S33" i="40"/>
  <c r="P33" i="40"/>
  <c r="O33" i="40"/>
  <c r="L33" i="40"/>
  <c r="K33" i="40"/>
  <c r="H33" i="40"/>
  <c r="G33" i="40"/>
  <c r="D33" i="40"/>
  <c r="C33" i="40"/>
  <c r="X32" i="40"/>
  <c r="W32" i="40"/>
  <c r="T32" i="40"/>
  <c r="S32" i="40"/>
  <c r="P32" i="40"/>
  <c r="O32" i="40"/>
  <c r="L32" i="40"/>
  <c r="K32" i="40"/>
  <c r="H32" i="40"/>
  <c r="G32" i="40"/>
  <c r="D32" i="40"/>
  <c r="C32" i="40"/>
  <c r="X31" i="40"/>
  <c r="W31" i="40"/>
  <c r="T31" i="40"/>
  <c r="S31" i="40"/>
  <c r="P31" i="40"/>
  <c r="O31" i="40"/>
  <c r="L31" i="40"/>
  <c r="K31" i="40"/>
  <c r="H31" i="40"/>
  <c r="G31" i="40"/>
  <c r="D31" i="40"/>
  <c r="X30" i="40"/>
  <c r="W30" i="40"/>
  <c r="T30" i="40"/>
  <c r="S30" i="40"/>
  <c r="P30" i="40"/>
  <c r="O30" i="40"/>
  <c r="L30" i="40"/>
  <c r="K30" i="40"/>
  <c r="H30" i="40"/>
  <c r="D30" i="40"/>
  <c r="C30" i="40"/>
  <c r="X29" i="40"/>
  <c r="W29" i="40"/>
  <c r="T29" i="40"/>
  <c r="S29" i="40"/>
  <c r="P29" i="40"/>
  <c r="O29" i="40"/>
  <c r="L29" i="40"/>
  <c r="K29" i="40"/>
  <c r="H29" i="40"/>
  <c r="G29" i="40"/>
  <c r="D29" i="40"/>
  <c r="C29" i="40"/>
  <c r="X28" i="40"/>
  <c r="W28" i="40"/>
  <c r="T28" i="40"/>
  <c r="S28" i="40"/>
  <c r="P28" i="40"/>
  <c r="O28" i="40"/>
  <c r="L28" i="40"/>
  <c r="K28" i="40"/>
  <c r="H28" i="40"/>
  <c r="G28" i="40"/>
  <c r="D28" i="40"/>
  <c r="C28" i="40"/>
  <c r="X27" i="40"/>
  <c r="W27" i="40"/>
  <c r="T27" i="40"/>
  <c r="S27" i="40"/>
  <c r="P27" i="40"/>
  <c r="O27" i="40"/>
  <c r="L27" i="40"/>
  <c r="K27" i="40"/>
  <c r="H27" i="40"/>
  <c r="D27" i="40"/>
  <c r="C27" i="40"/>
  <c r="X26" i="40"/>
  <c r="W26" i="40"/>
  <c r="T26" i="40"/>
  <c r="S26" i="40"/>
  <c r="P26" i="40"/>
  <c r="O26" i="40"/>
  <c r="L26" i="40"/>
  <c r="K26" i="40"/>
  <c r="H26" i="40"/>
  <c r="G26" i="40"/>
  <c r="D26" i="40"/>
  <c r="C26" i="40"/>
  <c r="X25" i="40"/>
  <c r="W25" i="40"/>
  <c r="T25" i="40"/>
  <c r="S25" i="40"/>
  <c r="P25" i="40"/>
  <c r="O25" i="40"/>
  <c r="L25" i="40"/>
  <c r="K25" i="40"/>
  <c r="H25" i="40"/>
  <c r="G25" i="40"/>
  <c r="D25" i="40"/>
  <c r="C25" i="40"/>
  <c r="X24" i="40"/>
  <c r="W24" i="40"/>
  <c r="T24" i="40"/>
  <c r="S24" i="40"/>
  <c r="P24" i="40"/>
  <c r="O24" i="40"/>
  <c r="L24" i="40"/>
  <c r="K24" i="40"/>
  <c r="H24" i="40"/>
  <c r="G24" i="40"/>
  <c r="D24" i="40"/>
  <c r="X23" i="40"/>
  <c r="W23" i="40"/>
  <c r="T23" i="40"/>
  <c r="S23" i="40"/>
  <c r="P23" i="40"/>
  <c r="O23" i="40"/>
  <c r="L23" i="40"/>
  <c r="K23" i="40"/>
  <c r="H23" i="40"/>
  <c r="G23" i="40"/>
  <c r="D23" i="40"/>
  <c r="C23" i="40"/>
  <c r="X22" i="40"/>
  <c r="W22" i="40"/>
  <c r="T22" i="40"/>
  <c r="S22" i="40"/>
  <c r="P22" i="40"/>
  <c r="O22" i="40"/>
  <c r="L22" i="40"/>
  <c r="K22" i="40"/>
  <c r="H22" i="40"/>
  <c r="G22" i="40"/>
  <c r="D22" i="40"/>
  <c r="X21" i="40"/>
  <c r="W21" i="40"/>
  <c r="T21" i="40"/>
  <c r="S21" i="40"/>
  <c r="P21" i="40"/>
  <c r="O21" i="40"/>
  <c r="L21" i="40"/>
  <c r="K21" i="40"/>
  <c r="H21" i="40"/>
  <c r="D21" i="40"/>
  <c r="C21" i="40"/>
  <c r="X20" i="40"/>
  <c r="W20" i="40"/>
  <c r="T20" i="40"/>
  <c r="S20" i="40"/>
  <c r="P20" i="40"/>
  <c r="O20" i="40"/>
  <c r="L20" i="40"/>
  <c r="K20" i="40"/>
  <c r="H20" i="40"/>
  <c r="G20" i="40"/>
  <c r="D20" i="40"/>
  <c r="C20" i="40"/>
  <c r="X19" i="40"/>
  <c r="W19" i="40"/>
  <c r="T19" i="40"/>
  <c r="S19" i="40"/>
  <c r="P19" i="40"/>
  <c r="O19" i="40"/>
  <c r="L19" i="40"/>
  <c r="K19" i="40"/>
  <c r="H19" i="40"/>
  <c r="G19" i="40"/>
  <c r="D19" i="40"/>
  <c r="C19" i="40"/>
  <c r="X18" i="40"/>
  <c r="W18" i="40"/>
  <c r="T18" i="40"/>
  <c r="S18" i="40"/>
  <c r="P18" i="40"/>
  <c r="O18" i="40"/>
  <c r="L18" i="40"/>
  <c r="K18" i="40"/>
  <c r="H18" i="40"/>
  <c r="G18" i="40"/>
  <c r="D18" i="40"/>
  <c r="X17" i="40"/>
  <c r="W17" i="40"/>
  <c r="T17" i="40"/>
  <c r="S17" i="40"/>
  <c r="P17" i="40"/>
  <c r="O17" i="40"/>
  <c r="L17" i="40"/>
  <c r="K17" i="40"/>
  <c r="H17" i="40"/>
  <c r="D17" i="40"/>
  <c r="C17" i="40"/>
  <c r="X16" i="40"/>
  <c r="W16" i="40"/>
  <c r="T16" i="40"/>
  <c r="S16" i="40"/>
  <c r="P16" i="40"/>
  <c r="O16" i="40"/>
  <c r="L16" i="40"/>
  <c r="K16" i="40"/>
  <c r="H16" i="40"/>
  <c r="G16" i="40"/>
  <c r="D16" i="40"/>
  <c r="C16" i="40"/>
  <c r="X15" i="40"/>
  <c r="W15" i="40"/>
  <c r="T15" i="40"/>
  <c r="S15" i="40"/>
  <c r="P15" i="40"/>
  <c r="O15" i="40"/>
  <c r="L15" i="40"/>
  <c r="K15" i="40"/>
  <c r="H15" i="40"/>
  <c r="G15" i="40"/>
  <c r="D15" i="40"/>
  <c r="X14" i="40"/>
  <c r="W14" i="40"/>
  <c r="T14" i="40"/>
  <c r="S14" i="40"/>
  <c r="P14" i="40"/>
  <c r="O14" i="40"/>
  <c r="L14" i="40"/>
  <c r="K14" i="40"/>
  <c r="H14" i="40"/>
  <c r="D14" i="40"/>
  <c r="C14" i="40"/>
  <c r="X13" i="40"/>
  <c r="W13" i="40"/>
  <c r="T13" i="40"/>
  <c r="S13" i="40"/>
  <c r="P13" i="40"/>
  <c r="O13" i="40"/>
  <c r="L13" i="40"/>
  <c r="K13" i="40"/>
  <c r="H13" i="40"/>
  <c r="G13" i="40"/>
  <c r="D13" i="40"/>
  <c r="C13" i="40"/>
  <c r="X12" i="40"/>
  <c r="W12" i="40"/>
  <c r="T12" i="40"/>
  <c r="S12" i="40"/>
  <c r="P12" i="40"/>
  <c r="O12" i="40"/>
  <c r="L12" i="40"/>
  <c r="K12" i="40"/>
  <c r="H12" i="40"/>
  <c r="G12" i="40"/>
  <c r="D12" i="40"/>
  <c r="C12" i="40"/>
  <c r="X11" i="40"/>
  <c r="W11" i="40"/>
  <c r="T11" i="40"/>
  <c r="S11" i="40"/>
  <c r="P11" i="40"/>
  <c r="O11" i="40"/>
  <c r="L11" i="40"/>
  <c r="K11" i="40"/>
  <c r="H11" i="40"/>
  <c r="G11" i="40"/>
  <c r="D11" i="40"/>
  <c r="C11" i="40"/>
  <c r="X10" i="40"/>
  <c r="W10" i="40"/>
  <c r="T10" i="40"/>
  <c r="S10" i="40"/>
  <c r="P10" i="40"/>
  <c r="O10" i="40"/>
  <c r="L10" i="40"/>
  <c r="K10" i="40"/>
  <c r="H10" i="40"/>
  <c r="D10" i="40"/>
  <c r="C10" i="40"/>
  <c r="X9" i="40"/>
  <c r="W9" i="40"/>
  <c r="T9" i="40"/>
  <c r="S9" i="40"/>
  <c r="P9" i="40"/>
  <c r="O9" i="40"/>
  <c r="L9" i="40"/>
  <c r="K9" i="40"/>
  <c r="H9" i="40"/>
  <c r="G9" i="40"/>
  <c r="D9" i="40"/>
  <c r="C9" i="40"/>
  <c r="X8" i="40"/>
  <c r="W8" i="40"/>
  <c r="T8" i="40"/>
  <c r="S8" i="40"/>
  <c r="P8" i="40"/>
  <c r="O8" i="40"/>
  <c r="L8" i="40"/>
  <c r="K8" i="40"/>
  <c r="H8" i="40"/>
  <c r="G8" i="40"/>
  <c r="D8" i="40"/>
  <c r="C8" i="40"/>
  <c r="X7" i="40"/>
  <c r="W7" i="40"/>
  <c r="T7" i="40"/>
  <c r="S7" i="40"/>
  <c r="P7" i="40"/>
  <c r="O7" i="40"/>
  <c r="L7" i="40"/>
  <c r="K7" i="40"/>
  <c r="H7" i="40"/>
  <c r="G7" i="40"/>
  <c r="D7" i="40"/>
  <c r="X6" i="40"/>
  <c r="W6" i="40"/>
  <c r="T6" i="40"/>
  <c r="S6" i="40"/>
  <c r="P6" i="40"/>
  <c r="O6" i="40"/>
  <c r="L6" i="40"/>
  <c r="K6" i="40"/>
  <c r="H6" i="40"/>
  <c r="D6" i="40"/>
  <c r="C6" i="40"/>
  <c r="X5" i="40"/>
  <c r="W5" i="40"/>
  <c r="T5" i="40"/>
  <c r="S5" i="40"/>
  <c r="P5" i="40"/>
  <c r="O5" i="40"/>
  <c r="L5" i="40"/>
  <c r="K5" i="40"/>
  <c r="H5" i="40"/>
  <c r="G5" i="40"/>
  <c r="D5" i="40"/>
  <c r="C5" i="40"/>
  <c r="X4" i="40"/>
  <c r="W4" i="40"/>
  <c r="T4" i="40"/>
  <c r="S4" i="40"/>
  <c r="P4" i="40"/>
  <c r="O4" i="40"/>
  <c r="L4" i="40"/>
  <c r="K4" i="40"/>
  <c r="H4" i="40"/>
  <c r="G4" i="40"/>
  <c r="D4" i="40"/>
  <c r="X123" i="39"/>
  <c r="W123" i="39"/>
  <c r="T123" i="39"/>
  <c r="S123" i="39"/>
  <c r="P123" i="39"/>
  <c r="O123" i="39"/>
  <c r="L123" i="39"/>
  <c r="K123" i="39"/>
  <c r="H123" i="39"/>
  <c r="G123" i="39"/>
  <c r="D123" i="39"/>
  <c r="C123" i="39"/>
  <c r="X122" i="39"/>
  <c r="W122" i="39"/>
  <c r="T122" i="39"/>
  <c r="S122" i="39"/>
  <c r="P122" i="39"/>
  <c r="O122" i="39"/>
  <c r="L122" i="39"/>
  <c r="K122" i="39"/>
  <c r="H122" i="39"/>
  <c r="G122" i="39"/>
  <c r="D122" i="39"/>
  <c r="C122" i="39"/>
  <c r="X121" i="39"/>
  <c r="W121" i="39"/>
  <c r="T121" i="39"/>
  <c r="S121" i="39"/>
  <c r="P121" i="39"/>
  <c r="O121" i="39"/>
  <c r="L121" i="39"/>
  <c r="K121" i="39"/>
  <c r="H121" i="39"/>
  <c r="G121" i="39"/>
  <c r="D121" i="39"/>
  <c r="C121" i="39"/>
  <c r="X120" i="39"/>
  <c r="W120" i="39"/>
  <c r="T120" i="39"/>
  <c r="S120" i="39"/>
  <c r="P120" i="39"/>
  <c r="O120" i="39"/>
  <c r="L120" i="39"/>
  <c r="K120" i="39"/>
  <c r="H120" i="39"/>
  <c r="G120" i="39"/>
  <c r="D120" i="39"/>
  <c r="C120" i="39"/>
  <c r="X119" i="39"/>
  <c r="W119" i="39"/>
  <c r="T119" i="39"/>
  <c r="S119" i="39"/>
  <c r="P119" i="39"/>
  <c r="O119" i="39"/>
  <c r="L119" i="39"/>
  <c r="K119" i="39"/>
  <c r="H119" i="39"/>
  <c r="G119" i="39"/>
  <c r="D119" i="39"/>
  <c r="C119" i="39"/>
  <c r="X118" i="39"/>
  <c r="W118" i="39"/>
  <c r="T118" i="39"/>
  <c r="S118" i="39"/>
  <c r="P118" i="39"/>
  <c r="O118" i="39"/>
  <c r="L118" i="39"/>
  <c r="K118" i="39"/>
  <c r="H118" i="39"/>
  <c r="G118" i="39"/>
  <c r="D118" i="39"/>
  <c r="C118" i="39"/>
  <c r="X117" i="39"/>
  <c r="W117" i="39"/>
  <c r="T117" i="39"/>
  <c r="S117" i="39"/>
  <c r="P117" i="39"/>
  <c r="O117" i="39"/>
  <c r="L117" i="39"/>
  <c r="K117" i="39"/>
  <c r="H117" i="39"/>
  <c r="G117" i="39"/>
  <c r="D117" i="39"/>
  <c r="C117" i="39"/>
  <c r="X116" i="39"/>
  <c r="W116" i="39"/>
  <c r="T116" i="39"/>
  <c r="S116" i="39"/>
  <c r="P116" i="39"/>
  <c r="O116" i="39"/>
  <c r="L116" i="39"/>
  <c r="K116" i="39"/>
  <c r="H116" i="39"/>
  <c r="G116" i="39"/>
  <c r="D116" i="39"/>
  <c r="C116" i="39"/>
  <c r="X115" i="39"/>
  <c r="W115" i="39"/>
  <c r="T115" i="39"/>
  <c r="S115" i="39"/>
  <c r="P115" i="39"/>
  <c r="O115" i="39"/>
  <c r="L115" i="39"/>
  <c r="K115" i="39"/>
  <c r="H115" i="39"/>
  <c r="G115" i="39"/>
  <c r="D115" i="39"/>
  <c r="C115" i="39"/>
  <c r="X114" i="39"/>
  <c r="W114" i="39"/>
  <c r="T114" i="39"/>
  <c r="S114" i="39"/>
  <c r="P114" i="39"/>
  <c r="O114" i="39"/>
  <c r="L114" i="39"/>
  <c r="K114" i="39"/>
  <c r="H114" i="39"/>
  <c r="G114" i="39"/>
  <c r="D114" i="39"/>
  <c r="C114" i="39"/>
  <c r="X113" i="39"/>
  <c r="W113" i="39"/>
  <c r="T113" i="39"/>
  <c r="S113" i="39"/>
  <c r="P113" i="39"/>
  <c r="O113" i="39"/>
  <c r="L113" i="39"/>
  <c r="K113" i="39"/>
  <c r="H113" i="39"/>
  <c r="G113" i="39"/>
  <c r="D113" i="39"/>
  <c r="C113" i="39"/>
  <c r="X112" i="39"/>
  <c r="W112" i="39"/>
  <c r="T112" i="39"/>
  <c r="S112" i="39"/>
  <c r="P112" i="39"/>
  <c r="O112" i="39"/>
  <c r="L112" i="39"/>
  <c r="K112" i="39"/>
  <c r="H112" i="39"/>
  <c r="G112" i="39"/>
  <c r="D112" i="39"/>
  <c r="C112" i="39"/>
  <c r="X111" i="39"/>
  <c r="W111" i="39"/>
  <c r="T111" i="39"/>
  <c r="S111" i="39"/>
  <c r="P111" i="39"/>
  <c r="O111" i="39"/>
  <c r="L111" i="39"/>
  <c r="K111" i="39"/>
  <c r="H111" i="39"/>
  <c r="G111" i="39"/>
  <c r="D111" i="39"/>
  <c r="C111" i="39"/>
  <c r="X110" i="39"/>
  <c r="W110" i="39"/>
  <c r="T110" i="39"/>
  <c r="S110" i="39"/>
  <c r="P110" i="39"/>
  <c r="O110" i="39"/>
  <c r="L110" i="39"/>
  <c r="K110" i="39"/>
  <c r="H110" i="39"/>
  <c r="G110" i="39"/>
  <c r="D110" i="39"/>
  <c r="C110" i="39"/>
  <c r="X109" i="39"/>
  <c r="W109" i="39"/>
  <c r="T109" i="39"/>
  <c r="S109" i="39"/>
  <c r="P109" i="39"/>
  <c r="O109" i="39"/>
  <c r="L109" i="39"/>
  <c r="K109" i="39"/>
  <c r="H109" i="39"/>
  <c r="G109" i="39"/>
  <c r="D109" i="39"/>
  <c r="C109" i="39"/>
  <c r="X108" i="39"/>
  <c r="W108" i="39"/>
  <c r="T108" i="39"/>
  <c r="S108" i="39"/>
  <c r="P108" i="39"/>
  <c r="O108" i="39"/>
  <c r="L108" i="39"/>
  <c r="K108" i="39"/>
  <c r="H108" i="39"/>
  <c r="G108" i="39"/>
  <c r="D108" i="39"/>
  <c r="C108" i="39"/>
  <c r="X107" i="39"/>
  <c r="W107" i="39"/>
  <c r="T107" i="39"/>
  <c r="S107" i="39"/>
  <c r="P107" i="39"/>
  <c r="O107" i="39"/>
  <c r="L107" i="39"/>
  <c r="K107" i="39"/>
  <c r="H107" i="39"/>
  <c r="G107" i="39"/>
  <c r="D107" i="39"/>
  <c r="C107" i="39"/>
  <c r="X106" i="39"/>
  <c r="W106" i="39"/>
  <c r="T106" i="39"/>
  <c r="S106" i="39"/>
  <c r="P106" i="39"/>
  <c r="O106" i="39"/>
  <c r="L106" i="39"/>
  <c r="K106" i="39"/>
  <c r="H106" i="39"/>
  <c r="G106" i="39"/>
  <c r="D106" i="39"/>
  <c r="C106" i="39"/>
  <c r="X105" i="39"/>
  <c r="W105" i="39"/>
  <c r="T105" i="39"/>
  <c r="S105" i="39"/>
  <c r="P105" i="39"/>
  <c r="O105" i="39"/>
  <c r="L105" i="39"/>
  <c r="K105" i="39"/>
  <c r="H105" i="39"/>
  <c r="G105" i="39"/>
  <c r="D105" i="39"/>
  <c r="C105" i="39"/>
  <c r="X104" i="39"/>
  <c r="W104" i="39"/>
  <c r="T104" i="39"/>
  <c r="S104" i="39"/>
  <c r="P104" i="39"/>
  <c r="O104" i="39"/>
  <c r="L104" i="39"/>
  <c r="K104" i="39"/>
  <c r="H104" i="39"/>
  <c r="G104" i="39"/>
  <c r="D104" i="39"/>
  <c r="C104" i="39"/>
  <c r="X103" i="39"/>
  <c r="W103" i="39"/>
  <c r="T103" i="39"/>
  <c r="S103" i="39"/>
  <c r="P103" i="39"/>
  <c r="O103" i="39"/>
  <c r="L103" i="39"/>
  <c r="K103" i="39"/>
  <c r="H103" i="39"/>
  <c r="G103" i="39"/>
  <c r="D103" i="39"/>
  <c r="C103" i="39"/>
  <c r="X102" i="39"/>
  <c r="W102" i="39"/>
  <c r="T102" i="39"/>
  <c r="S102" i="39"/>
  <c r="P102" i="39"/>
  <c r="O102" i="39"/>
  <c r="L102" i="39"/>
  <c r="K102" i="39"/>
  <c r="H102" i="39"/>
  <c r="G102" i="39"/>
  <c r="D102" i="39"/>
  <c r="C102" i="39"/>
  <c r="X101" i="39"/>
  <c r="W101" i="39"/>
  <c r="T101" i="39"/>
  <c r="S101" i="39"/>
  <c r="P101" i="39"/>
  <c r="O101" i="39"/>
  <c r="L101" i="39"/>
  <c r="K101" i="39"/>
  <c r="H101" i="39"/>
  <c r="G101" i="39"/>
  <c r="D101" i="39"/>
  <c r="C101" i="39"/>
  <c r="X100" i="39"/>
  <c r="W100" i="39"/>
  <c r="T100" i="39"/>
  <c r="S100" i="39"/>
  <c r="P100" i="39"/>
  <c r="O100" i="39"/>
  <c r="L100" i="39"/>
  <c r="K100" i="39"/>
  <c r="H100" i="39"/>
  <c r="G100" i="39"/>
  <c r="D100" i="39"/>
  <c r="C100" i="39"/>
  <c r="X99" i="39"/>
  <c r="W99" i="39"/>
  <c r="T99" i="39"/>
  <c r="S99" i="39"/>
  <c r="P99" i="39"/>
  <c r="O99" i="39"/>
  <c r="L99" i="39"/>
  <c r="K99" i="39"/>
  <c r="H99" i="39"/>
  <c r="G99" i="39"/>
  <c r="D99" i="39"/>
  <c r="C99" i="39"/>
  <c r="X98" i="39"/>
  <c r="W98" i="39"/>
  <c r="T98" i="39"/>
  <c r="S98" i="39"/>
  <c r="P98" i="39"/>
  <c r="O98" i="39"/>
  <c r="L98" i="39"/>
  <c r="K98" i="39"/>
  <c r="H98" i="39"/>
  <c r="G98" i="39"/>
  <c r="D98" i="39"/>
  <c r="C98" i="39"/>
  <c r="X97" i="39"/>
  <c r="W97" i="39"/>
  <c r="T97" i="39"/>
  <c r="S97" i="39"/>
  <c r="P97" i="39"/>
  <c r="O97" i="39"/>
  <c r="L97" i="39"/>
  <c r="K97" i="39"/>
  <c r="H97" i="39"/>
  <c r="G97" i="39"/>
  <c r="D97" i="39"/>
  <c r="C97" i="39"/>
  <c r="X96" i="39"/>
  <c r="W96" i="39"/>
  <c r="T96" i="39"/>
  <c r="S96" i="39"/>
  <c r="P96" i="39"/>
  <c r="O96" i="39"/>
  <c r="L96" i="39"/>
  <c r="K96" i="39"/>
  <c r="H96" i="39"/>
  <c r="G96" i="39"/>
  <c r="D96" i="39"/>
  <c r="C96" i="39"/>
  <c r="X95" i="39"/>
  <c r="W95" i="39"/>
  <c r="T95" i="39"/>
  <c r="S95" i="39"/>
  <c r="P95" i="39"/>
  <c r="O95" i="39"/>
  <c r="L95" i="39"/>
  <c r="K95" i="39"/>
  <c r="H95" i="39"/>
  <c r="G95" i="39"/>
  <c r="D95" i="39"/>
  <c r="C95" i="39"/>
  <c r="X94" i="39"/>
  <c r="W94" i="39"/>
  <c r="T94" i="39"/>
  <c r="S94" i="39"/>
  <c r="P94" i="39"/>
  <c r="O94" i="39"/>
  <c r="L94" i="39"/>
  <c r="K94" i="39"/>
  <c r="H94" i="39"/>
  <c r="G94" i="39"/>
  <c r="D94" i="39"/>
  <c r="C94" i="39"/>
  <c r="X93" i="39"/>
  <c r="W93" i="39"/>
  <c r="T93" i="39"/>
  <c r="S93" i="39"/>
  <c r="P93" i="39"/>
  <c r="O93" i="39"/>
  <c r="L93" i="39"/>
  <c r="K93" i="39"/>
  <c r="H93" i="39"/>
  <c r="G93" i="39"/>
  <c r="D93" i="39"/>
  <c r="C93" i="39"/>
  <c r="X92" i="39"/>
  <c r="W92" i="39"/>
  <c r="T92" i="39"/>
  <c r="S92" i="39"/>
  <c r="P92" i="39"/>
  <c r="O92" i="39"/>
  <c r="L92" i="39"/>
  <c r="K92" i="39"/>
  <c r="H92" i="39"/>
  <c r="G92" i="39"/>
  <c r="D92" i="39"/>
  <c r="C92" i="39"/>
  <c r="X91" i="39"/>
  <c r="W91" i="39"/>
  <c r="T91" i="39"/>
  <c r="S91" i="39"/>
  <c r="P91" i="39"/>
  <c r="O91" i="39"/>
  <c r="L91" i="39"/>
  <c r="K91" i="39"/>
  <c r="H91" i="39"/>
  <c r="G91" i="39"/>
  <c r="D91" i="39"/>
  <c r="C91" i="39"/>
  <c r="X90" i="39"/>
  <c r="W90" i="39"/>
  <c r="T90" i="39"/>
  <c r="S90" i="39"/>
  <c r="P90" i="39"/>
  <c r="O90" i="39"/>
  <c r="L90" i="39"/>
  <c r="K90" i="39"/>
  <c r="H90" i="39"/>
  <c r="G90" i="39"/>
  <c r="D90" i="39"/>
  <c r="C90" i="39"/>
  <c r="X89" i="39"/>
  <c r="W89" i="39"/>
  <c r="T89" i="39"/>
  <c r="S89" i="39"/>
  <c r="P89" i="39"/>
  <c r="O89" i="39"/>
  <c r="L89" i="39"/>
  <c r="K89" i="39"/>
  <c r="H89" i="39"/>
  <c r="G89" i="39"/>
  <c r="D89" i="39"/>
  <c r="C89" i="39"/>
  <c r="X88" i="39"/>
  <c r="W88" i="39"/>
  <c r="T88" i="39"/>
  <c r="S88" i="39"/>
  <c r="P88" i="39"/>
  <c r="O88" i="39"/>
  <c r="L88" i="39"/>
  <c r="K88" i="39"/>
  <c r="H88" i="39"/>
  <c r="G88" i="39"/>
  <c r="D88" i="39"/>
  <c r="C88" i="39"/>
  <c r="X87" i="39"/>
  <c r="W87" i="39"/>
  <c r="T87" i="39"/>
  <c r="S87" i="39"/>
  <c r="P87" i="39"/>
  <c r="O87" i="39"/>
  <c r="L87" i="39"/>
  <c r="K87" i="39"/>
  <c r="H87" i="39"/>
  <c r="G87" i="39"/>
  <c r="D87" i="39"/>
  <c r="C87" i="39"/>
  <c r="X86" i="39"/>
  <c r="W86" i="39"/>
  <c r="T86" i="39"/>
  <c r="S86" i="39"/>
  <c r="P86" i="39"/>
  <c r="O86" i="39"/>
  <c r="L86" i="39"/>
  <c r="K86" i="39"/>
  <c r="H86" i="39"/>
  <c r="G86" i="39"/>
  <c r="D86" i="39"/>
  <c r="C86" i="39"/>
  <c r="X85" i="39"/>
  <c r="W85" i="39"/>
  <c r="T85" i="39"/>
  <c r="S85" i="39"/>
  <c r="P85" i="39"/>
  <c r="O85" i="39"/>
  <c r="L85" i="39"/>
  <c r="K85" i="39"/>
  <c r="H85" i="39"/>
  <c r="G85" i="39"/>
  <c r="D85" i="39"/>
  <c r="C85" i="39"/>
  <c r="X84" i="39"/>
  <c r="W84" i="39"/>
  <c r="T84" i="39"/>
  <c r="S84" i="39"/>
  <c r="P84" i="39"/>
  <c r="O84" i="39"/>
  <c r="L84" i="39"/>
  <c r="K84" i="39"/>
  <c r="H84" i="39"/>
  <c r="G84" i="39"/>
  <c r="D84" i="39"/>
  <c r="C84" i="39"/>
  <c r="X83" i="39"/>
  <c r="W83" i="39"/>
  <c r="T83" i="39"/>
  <c r="S83" i="39"/>
  <c r="P83" i="39"/>
  <c r="O83" i="39"/>
  <c r="L83" i="39"/>
  <c r="K83" i="39"/>
  <c r="H83" i="39"/>
  <c r="G83" i="39"/>
  <c r="D83" i="39"/>
  <c r="C83" i="39"/>
  <c r="X82" i="39"/>
  <c r="W82" i="39"/>
  <c r="T82" i="39"/>
  <c r="S82" i="39"/>
  <c r="P82" i="39"/>
  <c r="O82" i="39"/>
  <c r="L82" i="39"/>
  <c r="K82" i="39"/>
  <c r="H82" i="39"/>
  <c r="G82" i="39"/>
  <c r="D82" i="39"/>
  <c r="C82" i="39"/>
  <c r="X81" i="39"/>
  <c r="W81" i="39"/>
  <c r="T81" i="39"/>
  <c r="S81" i="39"/>
  <c r="P81" i="39"/>
  <c r="O81" i="39"/>
  <c r="L81" i="39"/>
  <c r="K81" i="39"/>
  <c r="H81" i="39"/>
  <c r="G81" i="39"/>
  <c r="D81" i="39"/>
  <c r="C81" i="39"/>
  <c r="X80" i="39"/>
  <c r="W80" i="39"/>
  <c r="T80" i="39"/>
  <c r="S80" i="39"/>
  <c r="P80" i="39"/>
  <c r="O80" i="39"/>
  <c r="L80" i="39"/>
  <c r="K80" i="39"/>
  <c r="H80" i="39"/>
  <c r="G80" i="39"/>
  <c r="D80" i="39"/>
  <c r="C80" i="39"/>
  <c r="X79" i="39"/>
  <c r="W79" i="39"/>
  <c r="T79" i="39"/>
  <c r="S79" i="39"/>
  <c r="P79" i="39"/>
  <c r="O79" i="39"/>
  <c r="L79" i="39"/>
  <c r="K79" i="39"/>
  <c r="H79" i="39"/>
  <c r="G79" i="39"/>
  <c r="D79" i="39"/>
  <c r="C79" i="39"/>
  <c r="X78" i="39"/>
  <c r="W78" i="39"/>
  <c r="T78" i="39"/>
  <c r="S78" i="39"/>
  <c r="P78" i="39"/>
  <c r="O78" i="39"/>
  <c r="L78" i="39"/>
  <c r="K78" i="39"/>
  <c r="H78" i="39"/>
  <c r="G78" i="39"/>
  <c r="D78" i="39"/>
  <c r="C78" i="39"/>
  <c r="X77" i="39"/>
  <c r="W77" i="39"/>
  <c r="T77" i="39"/>
  <c r="S77" i="39"/>
  <c r="P77" i="39"/>
  <c r="O77" i="39"/>
  <c r="L77" i="39"/>
  <c r="K77" i="39"/>
  <c r="H77" i="39"/>
  <c r="G77" i="39"/>
  <c r="D77" i="39"/>
  <c r="C77" i="39"/>
  <c r="X76" i="39"/>
  <c r="W76" i="39"/>
  <c r="T76" i="39"/>
  <c r="S76" i="39"/>
  <c r="P76" i="39"/>
  <c r="O76" i="39"/>
  <c r="L76" i="39"/>
  <c r="K76" i="39"/>
  <c r="H76" i="39"/>
  <c r="G76" i="39"/>
  <c r="D76" i="39"/>
  <c r="C76" i="39"/>
  <c r="X75" i="39"/>
  <c r="W75" i="39"/>
  <c r="T75" i="39"/>
  <c r="S75" i="39"/>
  <c r="P75" i="39"/>
  <c r="O75" i="39"/>
  <c r="L75" i="39"/>
  <c r="K75" i="39"/>
  <c r="H75" i="39"/>
  <c r="G75" i="39"/>
  <c r="D75" i="39"/>
  <c r="C75" i="39"/>
  <c r="X74" i="39"/>
  <c r="W74" i="39"/>
  <c r="T74" i="39"/>
  <c r="S74" i="39"/>
  <c r="P74" i="39"/>
  <c r="O74" i="39"/>
  <c r="L74" i="39"/>
  <c r="K74" i="39"/>
  <c r="H74" i="39"/>
  <c r="G74" i="39"/>
  <c r="D74" i="39"/>
  <c r="C74" i="39"/>
  <c r="X73" i="39"/>
  <c r="W73" i="39"/>
  <c r="T73" i="39"/>
  <c r="S73" i="39"/>
  <c r="P73" i="39"/>
  <c r="O73" i="39"/>
  <c r="L73" i="39"/>
  <c r="K73" i="39"/>
  <c r="H73" i="39"/>
  <c r="G73" i="39"/>
  <c r="D73" i="39"/>
  <c r="C73" i="39"/>
  <c r="X72" i="39"/>
  <c r="W72" i="39"/>
  <c r="T72" i="39"/>
  <c r="S72" i="39"/>
  <c r="P72" i="39"/>
  <c r="O72" i="39"/>
  <c r="L72" i="39"/>
  <c r="K72" i="39"/>
  <c r="H72" i="39"/>
  <c r="G72" i="39"/>
  <c r="D72" i="39"/>
  <c r="C72" i="39"/>
  <c r="X71" i="39"/>
  <c r="W71" i="39"/>
  <c r="T71" i="39"/>
  <c r="S71" i="39"/>
  <c r="P71" i="39"/>
  <c r="O71" i="39"/>
  <c r="L71" i="39"/>
  <c r="K71" i="39"/>
  <c r="H71" i="39"/>
  <c r="G71" i="39"/>
  <c r="D71" i="39"/>
  <c r="C71" i="39"/>
  <c r="X70" i="39"/>
  <c r="W70" i="39"/>
  <c r="T70" i="39"/>
  <c r="S70" i="39"/>
  <c r="P70" i="39"/>
  <c r="O70" i="39"/>
  <c r="L70" i="39"/>
  <c r="K70" i="39"/>
  <c r="H70" i="39"/>
  <c r="G70" i="39"/>
  <c r="D70" i="39"/>
  <c r="C70" i="39"/>
  <c r="X69" i="39"/>
  <c r="W69" i="39"/>
  <c r="T69" i="39"/>
  <c r="S69" i="39"/>
  <c r="P69" i="39"/>
  <c r="O69" i="39"/>
  <c r="L69" i="39"/>
  <c r="K69" i="39"/>
  <c r="H69" i="39"/>
  <c r="G69" i="39"/>
  <c r="D69" i="39"/>
  <c r="C69" i="39"/>
  <c r="X68" i="39"/>
  <c r="W68" i="39"/>
  <c r="T68" i="39"/>
  <c r="S68" i="39"/>
  <c r="P68" i="39"/>
  <c r="O68" i="39"/>
  <c r="L68" i="39"/>
  <c r="K68" i="39"/>
  <c r="H68" i="39"/>
  <c r="G68" i="39"/>
  <c r="D68" i="39"/>
  <c r="C68" i="39"/>
  <c r="X67" i="39"/>
  <c r="W67" i="39"/>
  <c r="T67" i="39"/>
  <c r="S67" i="39"/>
  <c r="P67" i="39"/>
  <c r="O67" i="39"/>
  <c r="L67" i="39"/>
  <c r="K67" i="39"/>
  <c r="H67" i="39"/>
  <c r="G67" i="39"/>
  <c r="D67" i="39"/>
  <c r="C67" i="39"/>
  <c r="X66" i="39"/>
  <c r="W66" i="39"/>
  <c r="T66" i="39"/>
  <c r="S66" i="39"/>
  <c r="P66" i="39"/>
  <c r="O66" i="39"/>
  <c r="L66" i="39"/>
  <c r="K66" i="39"/>
  <c r="H66" i="39"/>
  <c r="G66" i="39"/>
  <c r="D66" i="39"/>
  <c r="C66" i="39"/>
  <c r="X65" i="39"/>
  <c r="W65" i="39"/>
  <c r="T65" i="39"/>
  <c r="S65" i="39"/>
  <c r="P65" i="39"/>
  <c r="O65" i="39"/>
  <c r="L65" i="39"/>
  <c r="K65" i="39"/>
  <c r="H65" i="39"/>
  <c r="G65" i="39"/>
  <c r="D65" i="39"/>
  <c r="C65" i="39"/>
  <c r="X64" i="39"/>
  <c r="W64" i="39"/>
  <c r="T64" i="39"/>
  <c r="S64" i="39"/>
  <c r="P64" i="39"/>
  <c r="O64" i="39"/>
  <c r="L64" i="39"/>
  <c r="K64" i="39"/>
  <c r="H64" i="39"/>
  <c r="G64" i="39"/>
  <c r="D64" i="39"/>
  <c r="C64" i="39"/>
  <c r="X63" i="39"/>
  <c r="W63" i="39"/>
  <c r="T63" i="39"/>
  <c r="S63" i="39"/>
  <c r="P63" i="39"/>
  <c r="O63" i="39"/>
  <c r="L63" i="39"/>
  <c r="K63" i="39"/>
  <c r="H63" i="39"/>
  <c r="G63" i="39"/>
  <c r="D63" i="39"/>
  <c r="C63" i="39"/>
  <c r="X62" i="39"/>
  <c r="W62" i="39"/>
  <c r="T62" i="39"/>
  <c r="S62" i="39"/>
  <c r="P62" i="39"/>
  <c r="O62" i="39"/>
  <c r="L62" i="39"/>
  <c r="K62" i="39"/>
  <c r="H62" i="39"/>
  <c r="G62" i="39"/>
  <c r="D62" i="39"/>
  <c r="C62" i="39"/>
  <c r="X61" i="39"/>
  <c r="W61" i="39"/>
  <c r="T61" i="39"/>
  <c r="S61" i="39"/>
  <c r="P61" i="39"/>
  <c r="O61" i="39"/>
  <c r="L61" i="39"/>
  <c r="K61" i="39"/>
  <c r="H61" i="39"/>
  <c r="G61" i="39"/>
  <c r="D61" i="39"/>
  <c r="C61" i="39"/>
  <c r="X60" i="39"/>
  <c r="W60" i="39"/>
  <c r="T60" i="39"/>
  <c r="S60" i="39"/>
  <c r="P60" i="39"/>
  <c r="O60" i="39"/>
  <c r="L60" i="39"/>
  <c r="K60" i="39"/>
  <c r="H60" i="39"/>
  <c r="G60" i="39"/>
  <c r="D60" i="39"/>
  <c r="C60" i="39"/>
  <c r="X59" i="39"/>
  <c r="W59" i="39"/>
  <c r="T59" i="39"/>
  <c r="S59" i="39"/>
  <c r="P59" i="39"/>
  <c r="O59" i="39"/>
  <c r="L59" i="39"/>
  <c r="K59" i="39"/>
  <c r="H59" i="39"/>
  <c r="G59" i="39"/>
  <c r="D59" i="39"/>
  <c r="C59" i="39"/>
  <c r="X58" i="39"/>
  <c r="W58" i="39"/>
  <c r="T58" i="39"/>
  <c r="S58" i="39"/>
  <c r="P58" i="39"/>
  <c r="O58" i="39"/>
  <c r="L58" i="39"/>
  <c r="K58" i="39"/>
  <c r="H58" i="39"/>
  <c r="G58" i="39"/>
  <c r="D58" i="39"/>
  <c r="C58" i="39"/>
  <c r="X57" i="39"/>
  <c r="W57" i="39"/>
  <c r="T57" i="39"/>
  <c r="S57" i="39"/>
  <c r="P57" i="39"/>
  <c r="O57" i="39"/>
  <c r="L57" i="39"/>
  <c r="K57" i="39"/>
  <c r="H57" i="39"/>
  <c r="G57" i="39"/>
  <c r="D57" i="39"/>
  <c r="C57" i="39"/>
  <c r="X56" i="39"/>
  <c r="W56" i="39"/>
  <c r="T56" i="39"/>
  <c r="S56" i="39"/>
  <c r="P56" i="39"/>
  <c r="O56" i="39"/>
  <c r="L56" i="39"/>
  <c r="K56" i="39"/>
  <c r="H56" i="39"/>
  <c r="G56" i="39"/>
  <c r="D56" i="39"/>
  <c r="C56" i="39"/>
  <c r="X55" i="39"/>
  <c r="W55" i="39"/>
  <c r="T55" i="39"/>
  <c r="S55" i="39"/>
  <c r="P55" i="39"/>
  <c r="O55" i="39"/>
  <c r="L55" i="39"/>
  <c r="K55" i="39"/>
  <c r="H55" i="39"/>
  <c r="G55" i="39"/>
  <c r="D55" i="39"/>
  <c r="C55" i="39"/>
  <c r="X54" i="39"/>
  <c r="W54" i="39"/>
  <c r="T54" i="39"/>
  <c r="S54" i="39"/>
  <c r="P54" i="39"/>
  <c r="O54" i="39"/>
  <c r="L54" i="39"/>
  <c r="K54" i="39"/>
  <c r="H54" i="39"/>
  <c r="G54" i="39"/>
  <c r="D54" i="39"/>
  <c r="C54" i="39"/>
  <c r="X53" i="39"/>
  <c r="W53" i="39"/>
  <c r="T53" i="39"/>
  <c r="S53" i="39"/>
  <c r="P53" i="39"/>
  <c r="O53" i="39"/>
  <c r="L53" i="39"/>
  <c r="K53" i="39"/>
  <c r="H53" i="39"/>
  <c r="G53" i="39"/>
  <c r="D53" i="39"/>
  <c r="C53" i="39"/>
  <c r="X52" i="39"/>
  <c r="W52" i="39"/>
  <c r="T52" i="39"/>
  <c r="S52" i="39"/>
  <c r="P52" i="39"/>
  <c r="O52" i="39"/>
  <c r="L52" i="39"/>
  <c r="K52" i="39"/>
  <c r="H52" i="39"/>
  <c r="G52" i="39"/>
  <c r="D52" i="39"/>
  <c r="C52" i="39"/>
  <c r="X51" i="39"/>
  <c r="W51" i="39"/>
  <c r="T51" i="39"/>
  <c r="S51" i="39"/>
  <c r="P51" i="39"/>
  <c r="O51" i="39"/>
  <c r="L51" i="39"/>
  <c r="K51" i="39"/>
  <c r="H51" i="39"/>
  <c r="G51" i="39"/>
  <c r="D51" i="39"/>
  <c r="C51" i="39"/>
  <c r="X50" i="39"/>
  <c r="W50" i="39"/>
  <c r="T50" i="39"/>
  <c r="S50" i="39"/>
  <c r="P50" i="39"/>
  <c r="O50" i="39"/>
  <c r="L50" i="39"/>
  <c r="K50" i="39"/>
  <c r="H50" i="39"/>
  <c r="G50" i="39"/>
  <c r="D50" i="39"/>
  <c r="C50" i="39"/>
  <c r="X49" i="39"/>
  <c r="W49" i="39"/>
  <c r="T49" i="39"/>
  <c r="S49" i="39"/>
  <c r="P49" i="39"/>
  <c r="O49" i="39"/>
  <c r="L49" i="39"/>
  <c r="K49" i="39"/>
  <c r="H49" i="39"/>
  <c r="G49" i="39"/>
  <c r="D49" i="39"/>
  <c r="C49" i="39"/>
  <c r="X48" i="39"/>
  <c r="W48" i="39"/>
  <c r="T48" i="39"/>
  <c r="S48" i="39"/>
  <c r="P48" i="39"/>
  <c r="O48" i="39"/>
  <c r="L48" i="39"/>
  <c r="K48" i="39"/>
  <c r="H48" i="39"/>
  <c r="G48" i="39"/>
  <c r="D48" i="39"/>
  <c r="C48" i="39"/>
  <c r="X47" i="39"/>
  <c r="W47" i="39"/>
  <c r="T47" i="39"/>
  <c r="S47" i="39"/>
  <c r="P47" i="39"/>
  <c r="O47" i="39"/>
  <c r="L47" i="39"/>
  <c r="K47" i="39"/>
  <c r="H47" i="39"/>
  <c r="G47" i="39"/>
  <c r="D47" i="39"/>
  <c r="C47" i="39"/>
  <c r="X46" i="39"/>
  <c r="W46" i="39"/>
  <c r="T46" i="39"/>
  <c r="S46" i="39"/>
  <c r="P46" i="39"/>
  <c r="O46" i="39"/>
  <c r="L46" i="39"/>
  <c r="K46" i="39"/>
  <c r="H46" i="39"/>
  <c r="G46" i="39"/>
  <c r="D46" i="39"/>
  <c r="C46" i="39"/>
  <c r="X45" i="39"/>
  <c r="W45" i="39"/>
  <c r="T45" i="39"/>
  <c r="S45" i="39"/>
  <c r="P45" i="39"/>
  <c r="O45" i="39"/>
  <c r="L45" i="39"/>
  <c r="K45" i="39"/>
  <c r="H45" i="39"/>
  <c r="G45" i="39"/>
  <c r="D45" i="39"/>
  <c r="C45" i="39"/>
  <c r="X44" i="39"/>
  <c r="W44" i="39"/>
  <c r="T44" i="39"/>
  <c r="S44" i="39"/>
  <c r="P44" i="39"/>
  <c r="O44" i="39"/>
  <c r="L44" i="39"/>
  <c r="K44" i="39"/>
  <c r="H44" i="39"/>
  <c r="G44" i="39"/>
  <c r="D44" i="39"/>
  <c r="C44" i="39"/>
  <c r="X43" i="39"/>
  <c r="W43" i="39"/>
  <c r="T43" i="39"/>
  <c r="S43" i="39"/>
  <c r="P43" i="39"/>
  <c r="O43" i="39"/>
  <c r="L43" i="39"/>
  <c r="K43" i="39"/>
  <c r="H43" i="39"/>
  <c r="G43" i="39"/>
  <c r="D43" i="39"/>
  <c r="C43" i="39"/>
  <c r="X42" i="39"/>
  <c r="W42" i="39"/>
  <c r="T42" i="39"/>
  <c r="S42" i="39"/>
  <c r="P42" i="39"/>
  <c r="O42" i="39"/>
  <c r="L42" i="39"/>
  <c r="K42" i="39"/>
  <c r="H42" i="39"/>
  <c r="G42" i="39"/>
  <c r="D42" i="39"/>
  <c r="C42" i="39"/>
  <c r="X41" i="39"/>
  <c r="W41" i="39"/>
  <c r="T41" i="39"/>
  <c r="S41" i="39"/>
  <c r="P41" i="39"/>
  <c r="O41" i="39"/>
  <c r="L41" i="39"/>
  <c r="K41" i="39"/>
  <c r="H41" i="39"/>
  <c r="G41" i="39"/>
  <c r="D41" i="39"/>
  <c r="C41" i="39"/>
  <c r="X40" i="39"/>
  <c r="W40" i="39"/>
  <c r="T40" i="39"/>
  <c r="S40" i="39"/>
  <c r="P40" i="39"/>
  <c r="O40" i="39"/>
  <c r="L40" i="39"/>
  <c r="K40" i="39"/>
  <c r="H40" i="39"/>
  <c r="G40" i="39"/>
  <c r="D40" i="39"/>
  <c r="C40" i="39"/>
  <c r="X39" i="39"/>
  <c r="W39" i="39"/>
  <c r="T39" i="39"/>
  <c r="S39" i="39"/>
  <c r="P39" i="39"/>
  <c r="O39" i="39"/>
  <c r="L39" i="39"/>
  <c r="K39" i="39"/>
  <c r="H39" i="39"/>
  <c r="G39" i="39"/>
  <c r="D39" i="39"/>
  <c r="C39" i="39"/>
  <c r="X38" i="39"/>
  <c r="W38" i="39"/>
  <c r="T38" i="39"/>
  <c r="S38" i="39"/>
  <c r="P38" i="39"/>
  <c r="O38" i="39"/>
  <c r="L38" i="39"/>
  <c r="K38" i="39"/>
  <c r="H38" i="39"/>
  <c r="G38" i="39"/>
  <c r="D38" i="39"/>
  <c r="C38" i="39"/>
  <c r="X37" i="39"/>
  <c r="W37" i="39"/>
  <c r="T37" i="39"/>
  <c r="S37" i="39"/>
  <c r="P37" i="39"/>
  <c r="O37" i="39"/>
  <c r="L37" i="39"/>
  <c r="K37" i="39"/>
  <c r="H37" i="39"/>
  <c r="G37" i="39"/>
  <c r="D37" i="39"/>
  <c r="C37" i="39"/>
  <c r="X36" i="39"/>
  <c r="W36" i="39"/>
  <c r="T36" i="39"/>
  <c r="S36" i="39"/>
  <c r="P36" i="39"/>
  <c r="O36" i="39"/>
  <c r="L36" i="39"/>
  <c r="K36" i="39"/>
  <c r="H36" i="39"/>
  <c r="G36" i="39"/>
  <c r="D36" i="39"/>
  <c r="C36" i="39"/>
  <c r="X35" i="39"/>
  <c r="W35" i="39"/>
  <c r="T35" i="39"/>
  <c r="S35" i="39"/>
  <c r="P35" i="39"/>
  <c r="O35" i="39"/>
  <c r="L35" i="39"/>
  <c r="K35" i="39"/>
  <c r="H35" i="39"/>
  <c r="G35" i="39"/>
  <c r="D35" i="39"/>
  <c r="C35" i="39"/>
  <c r="X34" i="39"/>
  <c r="W34" i="39"/>
  <c r="T34" i="39"/>
  <c r="S34" i="39"/>
  <c r="P34" i="39"/>
  <c r="O34" i="39"/>
  <c r="L34" i="39"/>
  <c r="K34" i="39"/>
  <c r="H34" i="39"/>
  <c r="G34" i="39"/>
  <c r="D34" i="39"/>
  <c r="C34" i="39"/>
  <c r="X33" i="39"/>
  <c r="W33" i="39"/>
  <c r="T33" i="39"/>
  <c r="S33" i="39"/>
  <c r="P33" i="39"/>
  <c r="O33" i="39"/>
  <c r="L33" i="39"/>
  <c r="K33" i="39"/>
  <c r="H33" i="39"/>
  <c r="G33" i="39"/>
  <c r="D33" i="39"/>
  <c r="C33" i="39"/>
  <c r="X32" i="39"/>
  <c r="W32" i="39"/>
  <c r="T32" i="39"/>
  <c r="S32" i="39"/>
  <c r="P32" i="39"/>
  <c r="O32" i="39"/>
  <c r="L32" i="39"/>
  <c r="K32" i="39"/>
  <c r="H32" i="39"/>
  <c r="G32" i="39"/>
  <c r="D32" i="39"/>
  <c r="C32" i="39"/>
  <c r="X31" i="39"/>
  <c r="W31" i="39"/>
  <c r="T31" i="39"/>
  <c r="S31" i="39"/>
  <c r="P31" i="39"/>
  <c r="O31" i="39"/>
  <c r="L31" i="39"/>
  <c r="K31" i="39"/>
  <c r="H31" i="39"/>
  <c r="G31" i="39"/>
  <c r="D31" i="39"/>
  <c r="C31" i="39"/>
  <c r="X30" i="39"/>
  <c r="W30" i="39"/>
  <c r="T30" i="39"/>
  <c r="S30" i="39"/>
  <c r="P30" i="39"/>
  <c r="O30" i="39"/>
  <c r="L30" i="39"/>
  <c r="K30" i="39"/>
  <c r="H30" i="39"/>
  <c r="G30" i="39"/>
  <c r="D30" i="39"/>
  <c r="C30" i="39"/>
  <c r="X29" i="39"/>
  <c r="W29" i="39"/>
  <c r="T29" i="39"/>
  <c r="S29" i="39"/>
  <c r="P29" i="39"/>
  <c r="O29" i="39"/>
  <c r="L29" i="39"/>
  <c r="K29" i="39"/>
  <c r="H29" i="39"/>
  <c r="G29" i="39"/>
  <c r="D29" i="39"/>
  <c r="C29" i="39"/>
  <c r="X28" i="39"/>
  <c r="W28" i="39"/>
  <c r="T28" i="39"/>
  <c r="S28" i="39"/>
  <c r="P28" i="39"/>
  <c r="O28" i="39"/>
  <c r="L28" i="39"/>
  <c r="K28" i="39"/>
  <c r="H28" i="39"/>
  <c r="G28" i="39"/>
  <c r="D28" i="39"/>
  <c r="C28" i="39"/>
  <c r="X27" i="39"/>
  <c r="W27" i="39"/>
  <c r="T27" i="39"/>
  <c r="S27" i="39"/>
  <c r="P27" i="39"/>
  <c r="O27" i="39"/>
  <c r="L27" i="39"/>
  <c r="K27" i="39"/>
  <c r="H27" i="39"/>
  <c r="G27" i="39"/>
  <c r="D27" i="39"/>
  <c r="C27" i="39"/>
  <c r="X26" i="39"/>
  <c r="W26" i="39"/>
  <c r="T26" i="39"/>
  <c r="S26" i="39"/>
  <c r="P26" i="39"/>
  <c r="O26" i="39"/>
  <c r="L26" i="39"/>
  <c r="K26" i="39"/>
  <c r="H26" i="39"/>
  <c r="G26" i="39"/>
  <c r="D26" i="39"/>
  <c r="C26" i="39"/>
  <c r="X25" i="39"/>
  <c r="W25" i="39"/>
  <c r="T25" i="39"/>
  <c r="S25" i="39"/>
  <c r="P25" i="39"/>
  <c r="O25" i="39"/>
  <c r="L25" i="39"/>
  <c r="K25" i="39"/>
  <c r="H25" i="39"/>
  <c r="G25" i="39"/>
  <c r="D25" i="39"/>
  <c r="C25" i="39"/>
  <c r="X24" i="39"/>
  <c r="W24" i="39"/>
  <c r="T24" i="39"/>
  <c r="S24" i="39"/>
  <c r="P24" i="39"/>
  <c r="O24" i="39"/>
  <c r="L24" i="39"/>
  <c r="K24" i="39"/>
  <c r="H24" i="39"/>
  <c r="G24" i="39"/>
  <c r="D24" i="39"/>
  <c r="C24" i="39"/>
  <c r="X23" i="39"/>
  <c r="W23" i="39"/>
  <c r="T23" i="39"/>
  <c r="S23" i="39"/>
  <c r="P23" i="39"/>
  <c r="O23" i="39"/>
  <c r="L23" i="39"/>
  <c r="K23" i="39"/>
  <c r="H23" i="39"/>
  <c r="G23" i="39"/>
  <c r="D23" i="39"/>
  <c r="C23" i="39"/>
  <c r="X22" i="39"/>
  <c r="W22" i="39"/>
  <c r="T22" i="39"/>
  <c r="S22" i="39"/>
  <c r="P22" i="39"/>
  <c r="O22" i="39"/>
  <c r="L22" i="39"/>
  <c r="K22" i="39"/>
  <c r="H22" i="39"/>
  <c r="G22" i="39"/>
  <c r="D22" i="39"/>
  <c r="C22" i="39"/>
  <c r="X21" i="39"/>
  <c r="W21" i="39"/>
  <c r="T21" i="39"/>
  <c r="S21" i="39"/>
  <c r="P21" i="39"/>
  <c r="O21" i="39"/>
  <c r="L21" i="39"/>
  <c r="K21" i="39"/>
  <c r="H21" i="39"/>
  <c r="G21" i="39"/>
  <c r="D21" i="39"/>
  <c r="C21" i="39"/>
  <c r="X20" i="39"/>
  <c r="W20" i="39"/>
  <c r="T20" i="39"/>
  <c r="S20" i="39"/>
  <c r="P20" i="39"/>
  <c r="O20" i="39"/>
  <c r="L20" i="39"/>
  <c r="K20" i="39"/>
  <c r="H20" i="39"/>
  <c r="G20" i="39"/>
  <c r="D20" i="39"/>
  <c r="C20" i="39"/>
  <c r="X19" i="39"/>
  <c r="W19" i="39"/>
  <c r="T19" i="39"/>
  <c r="S19" i="39"/>
  <c r="P19" i="39"/>
  <c r="O19" i="39"/>
  <c r="L19" i="39"/>
  <c r="K19" i="39"/>
  <c r="H19" i="39"/>
  <c r="G19" i="39"/>
  <c r="D19" i="39"/>
  <c r="C19" i="39"/>
  <c r="X18" i="39"/>
  <c r="W18" i="39"/>
  <c r="T18" i="39"/>
  <c r="S18" i="39"/>
  <c r="P18" i="39"/>
  <c r="O18" i="39"/>
  <c r="L18" i="39"/>
  <c r="K18" i="39"/>
  <c r="H18" i="39"/>
  <c r="G18" i="39"/>
  <c r="D18" i="39"/>
  <c r="C18" i="39"/>
  <c r="X17" i="39"/>
  <c r="W17" i="39"/>
  <c r="T17" i="39"/>
  <c r="S17" i="39"/>
  <c r="P17" i="39"/>
  <c r="O17" i="39"/>
  <c r="L17" i="39"/>
  <c r="K17" i="39"/>
  <c r="H17" i="39"/>
  <c r="G17" i="39"/>
  <c r="D17" i="39"/>
  <c r="C17" i="39"/>
  <c r="X16" i="39"/>
  <c r="W16" i="39"/>
  <c r="T16" i="39"/>
  <c r="S16" i="39"/>
  <c r="P16" i="39"/>
  <c r="O16" i="39"/>
  <c r="L16" i="39"/>
  <c r="K16" i="39"/>
  <c r="H16" i="39"/>
  <c r="G16" i="39"/>
  <c r="D16" i="39"/>
  <c r="C16" i="39"/>
  <c r="X15" i="39"/>
  <c r="W15" i="39"/>
  <c r="T15" i="39"/>
  <c r="S15" i="39"/>
  <c r="P15" i="39"/>
  <c r="O15" i="39"/>
  <c r="L15" i="39"/>
  <c r="K15" i="39"/>
  <c r="H15" i="39"/>
  <c r="G15" i="39"/>
  <c r="D15" i="39"/>
  <c r="C15" i="39"/>
  <c r="X14" i="39"/>
  <c r="W14" i="39"/>
  <c r="T14" i="39"/>
  <c r="S14" i="39"/>
  <c r="P14" i="39"/>
  <c r="O14" i="39"/>
  <c r="L14" i="39"/>
  <c r="K14" i="39"/>
  <c r="H14" i="39"/>
  <c r="G14" i="39"/>
  <c r="D14" i="39"/>
  <c r="C14" i="39"/>
  <c r="X13" i="39"/>
  <c r="W13" i="39"/>
  <c r="T13" i="39"/>
  <c r="S13" i="39"/>
  <c r="P13" i="39"/>
  <c r="O13" i="39"/>
  <c r="L13" i="39"/>
  <c r="K13" i="39"/>
  <c r="H13" i="39"/>
  <c r="G13" i="39"/>
  <c r="D13" i="39"/>
  <c r="C13" i="39"/>
  <c r="X12" i="39"/>
  <c r="W12" i="39"/>
  <c r="T12" i="39"/>
  <c r="S12" i="39"/>
  <c r="P12" i="39"/>
  <c r="O12" i="39"/>
  <c r="L12" i="39"/>
  <c r="K12" i="39"/>
  <c r="H12" i="39"/>
  <c r="G12" i="39"/>
  <c r="D12" i="39"/>
  <c r="C12" i="39"/>
  <c r="X11" i="39"/>
  <c r="W11" i="39"/>
  <c r="T11" i="39"/>
  <c r="S11" i="39"/>
  <c r="P11" i="39"/>
  <c r="O11" i="39"/>
  <c r="L11" i="39"/>
  <c r="K11" i="39"/>
  <c r="H11" i="39"/>
  <c r="G11" i="39"/>
  <c r="D11" i="39"/>
  <c r="C11" i="39"/>
  <c r="X10" i="39"/>
  <c r="W10" i="39"/>
  <c r="T10" i="39"/>
  <c r="S10" i="39"/>
  <c r="P10" i="39"/>
  <c r="O10" i="39"/>
  <c r="L10" i="39"/>
  <c r="K10" i="39"/>
  <c r="H10" i="39"/>
  <c r="G10" i="39"/>
  <c r="D10" i="39"/>
  <c r="C10" i="39"/>
  <c r="X9" i="39"/>
  <c r="W9" i="39"/>
  <c r="T9" i="39"/>
  <c r="S9" i="39"/>
  <c r="P9" i="39"/>
  <c r="O9" i="39"/>
  <c r="L9" i="39"/>
  <c r="K9" i="39"/>
  <c r="H9" i="39"/>
  <c r="G9" i="39"/>
  <c r="D9" i="39"/>
  <c r="C9" i="39"/>
  <c r="X8" i="39"/>
  <c r="W8" i="39"/>
  <c r="T8" i="39"/>
  <c r="S8" i="39"/>
  <c r="P8" i="39"/>
  <c r="O8" i="39"/>
  <c r="L8" i="39"/>
  <c r="K8" i="39"/>
  <c r="H8" i="39"/>
  <c r="G8" i="39"/>
  <c r="D8" i="39"/>
  <c r="C8" i="39"/>
  <c r="X7" i="39"/>
  <c r="W7" i="39"/>
  <c r="T7" i="39"/>
  <c r="S7" i="39"/>
  <c r="P7" i="39"/>
  <c r="O7" i="39"/>
  <c r="L7" i="39"/>
  <c r="K7" i="39"/>
  <c r="H7" i="39"/>
  <c r="G7" i="39"/>
  <c r="D7" i="39"/>
  <c r="C7" i="39"/>
  <c r="X6" i="39"/>
  <c r="W6" i="39"/>
  <c r="T6" i="39"/>
  <c r="S6" i="39"/>
  <c r="P6" i="39"/>
  <c r="O6" i="39"/>
  <c r="L6" i="39"/>
  <c r="K6" i="39"/>
  <c r="H6" i="39"/>
  <c r="G6" i="39"/>
  <c r="D6" i="39"/>
  <c r="C6" i="39"/>
  <c r="X5" i="39"/>
  <c r="W5" i="39"/>
  <c r="T5" i="39"/>
  <c r="S5" i="39"/>
  <c r="P5" i="39"/>
  <c r="O5" i="39"/>
  <c r="L5" i="39"/>
  <c r="K5" i="39"/>
  <c r="H5" i="39"/>
  <c r="G5" i="39"/>
  <c r="D5" i="39"/>
  <c r="C5" i="39"/>
  <c r="X4" i="39"/>
  <c r="W4" i="39"/>
  <c r="T4" i="39"/>
  <c r="S4" i="39"/>
  <c r="P4" i="39"/>
  <c r="O4" i="39"/>
  <c r="L4" i="39"/>
  <c r="K4" i="39"/>
  <c r="H4" i="39"/>
  <c r="G4" i="39"/>
  <c r="D4" i="39"/>
  <c r="C4" i="39"/>
  <c r="C124" i="39" s="1"/>
  <c r="C125" i="39" s="1"/>
  <c r="K4" i="32"/>
  <c r="J4" i="32"/>
  <c r="H4" i="32"/>
  <c r="G4" i="32"/>
  <c r="F4" i="32"/>
  <c r="E4" i="32"/>
  <c r="D4" i="32"/>
  <c r="G4" i="31"/>
  <c r="F4" i="31"/>
  <c r="E4" i="31"/>
  <c r="D4" i="31"/>
  <c r="O122" i="41"/>
  <c r="O120" i="41"/>
  <c r="O118" i="41"/>
  <c r="O116" i="41"/>
  <c r="O114" i="41"/>
  <c r="O112" i="41"/>
  <c r="O110" i="41"/>
  <c r="O108" i="41"/>
  <c r="O106" i="41"/>
  <c r="O104" i="41"/>
  <c r="O102" i="41"/>
  <c r="O100" i="41"/>
  <c r="Q100" i="41" s="1"/>
  <c r="O98" i="41"/>
  <c r="O96" i="41"/>
  <c r="O94" i="41"/>
  <c r="O92" i="41"/>
  <c r="O90" i="41"/>
  <c r="O88" i="41"/>
  <c r="O86" i="41"/>
  <c r="O84" i="41"/>
  <c r="O82" i="41"/>
  <c r="O80" i="41"/>
  <c r="O78" i="41"/>
  <c r="O76" i="41"/>
  <c r="O74" i="41"/>
  <c r="O72" i="41"/>
  <c r="O70" i="41"/>
  <c r="O68" i="41"/>
  <c r="Q68" i="41" s="1"/>
  <c r="O66" i="41"/>
  <c r="O64" i="41"/>
  <c r="O62" i="41"/>
  <c r="O60" i="41"/>
  <c r="O58" i="41"/>
  <c r="O56" i="41"/>
  <c r="O54" i="41"/>
  <c r="O52" i="41"/>
  <c r="O50" i="41"/>
  <c r="O48" i="41"/>
  <c r="O46" i="41"/>
  <c r="O44" i="41"/>
  <c r="O42" i="41"/>
  <c r="O40" i="41"/>
  <c r="O38" i="41"/>
  <c r="O36" i="41"/>
  <c r="O34" i="41"/>
  <c r="O32" i="41"/>
  <c r="O30" i="41"/>
  <c r="O28" i="41"/>
  <c r="O26" i="41"/>
  <c r="O24" i="41"/>
  <c r="O22" i="41"/>
  <c r="O20" i="41"/>
  <c r="O18" i="41"/>
  <c r="O16" i="41"/>
  <c r="O14" i="41"/>
  <c r="O12" i="41"/>
  <c r="Q12" i="41" s="1"/>
  <c r="O10" i="41"/>
  <c r="O8" i="41"/>
  <c r="O6" i="41"/>
  <c r="AD4" i="86"/>
  <c r="AD108" i="84"/>
  <c r="AD101" i="84"/>
  <c r="AD87" i="84"/>
  <c r="AD83" i="84"/>
  <c r="AD58" i="84"/>
  <c r="AD39" i="84"/>
  <c r="AD37" i="84"/>
  <c r="AC14" i="84"/>
  <c r="D126" i="68"/>
  <c r="D125" i="68"/>
  <c r="C42" i="1"/>
  <c r="C27" i="1"/>
  <c r="D11" i="1"/>
  <c r="I3" i="1"/>
  <c r="O5" i="41"/>
  <c r="O7" i="41"/>
  <c r="O9" i="41"/>
  <c r="O11" i="41"/>
  <c r="O57" i="41"/>
  <c r="O59" i="41"/>
  <c r="O83" i="41"/>
  <c r="O85" i="41"/>
  <c r="O87" i="41"/>
  <c r="O89" i="41"/>
  <c r="O91" i="41"/>
  <c r="O93" i="41"/>
  <c r="O95" i="41"/>
  <c r="O97" i="41"/>
  <c r="O99" i="41"/>
  <c r="O101" i="41"/>
  <c r="O103" i="41"/>
  <c r="O105" i="41"/>
  <c r="O107" i="41"/>
  <c r="O109" i="41"/>
  <c r="O111" i="41"/>
  <c r="O113" i="41"/>
  <c r="O115" i="41"/>
  <c r="O117" i="41"/>
  <c r="O119" i="41"/>
  <c r="O121" i="41"/>
  <c r="O123" i="41"/>
  <c r="O4" i="41"/>
  <c r="O13" i="41"/>
  <c r="O15" i="41"/>
  <c r="O17" i="41"/>
  <c r="O19" i="41"/>
  <c r="O21" i="41"/>
  <c r="O23" i="41"/>
  <c r="O25" i="41"/>
  <c r="O27" i="41"/>
  <c r="O29" i="41"/>
  <c r="O31" i="41"/>
  <c r="O33" i="41"/>
  <c r="O35" i="41"/>
  <c r="O37" i="41"/>
  <c r="O39" i="41"/>
  <c r="O41" i="41"/>
  <c r="O43" i="41"/>
  <c r="O45" i="41"/>
  <c r="O47" i="41"/>
  <c r="O49" i="41"/>
  <c r="O51" i="41"/>
  <c r="O53" i="41"/>
  <c r="O55" i="41"/>
  <c r="O61" i="41"/>
  <c r="O63" i="41"/>
  <c r="O65" i="41"/>
  <c r="O67" i="41"/>
  <c r="O69" i="41"/>
  <c r="O71" i="41"/>
  <c r="O73" i="41"/>
  <c r="O75" i="41"/>
  <c r="O77" i="41"/>
  <c r="O79" i="41"/>
  <c r="O81" i="41"/>
  <c r="Q132" i="75"/>
  <c r="AC77" i="84"/>
  <c r="AD49" i="84"/>
  <c r="AC32" i="84"/>
  <c r="AC62" i="84"/>
  <c r="AC48" i="84"/>
  <c r="AC59" i="84"/>
  <c r="AC72" i="84"/>
  <c r="AD29" i="84"/>
  <c r="AD105" i="84"/>
  <c r="AD96" i="84"/>
  <c r="AD118" i="84"/>
  <c r="AC55" i="84"/>
  <c r="AD107" i="84"/>
  <c r="AD110" i="84"/>
  <c r="AD124" i="84"/>
  <c r="G4" i="60"/>
  <c r="J4" i="55"/>
  <c r="I131" i="75"/>
  <c r="AD8" i="84"/>
  <c r="AD14" i="84"/>
  <c r="AD55" i="84"/>
  <c r="AD44" i="84"/>
  <c r="AD111" i="84"/>
  <c r="AC112" i="84"/>
  <c r="AC39" i="84"/>
  <c r="AC37" i="84"/>
  <c r="AD90" i="84"/>
  <c r="AD54" i="84"/>
  <c r="AD11" i="84"/>
  <c r="AD117" i="84"/>
  <c r="AD25" i="84"/>
  <c r="AC57" i="84"/>
  <c r="AC35" i="84"/>
  <c r="AD35" i="84"/>
  <c r="AD59" i="84"/>
  <c r="AC104" i="84"/>
  <c r="AC56" i="84"/>
  <c r="AC121" i="84"/>
  <c r="AD84" i="84"/>
  <c r="AC76" i="84"/>
  <c r="AC40" i="84"/>
  <c r="AC44" i="84"/>
  <c r="AC13" i="84"/>
  <c r="AD7" i="84"/>
  <c r="AC69" i="84"/>
  <c r="AD69" i="84"/>
  <c r="AD32" i="84"/>
  <c r="AD113" i="84"/>
  <c r="AC120" i="84"/>
  <c r="AD123" i="84"/>
  <c r="AD120" i="84"/>
  <c r="AC101" i="84"/>
  <c r="AC87" i="84"/>
  <c r="AC108" i="84"/>
  <c r="AC111" i="84"/>
  <c r="AD86" i="84"/>
  <c r="AC15" i="84"/>
  <c r="AD77" i="84"/>
  <c r="AD50" i="84"/>
  <c r="AC24" i="84"/>
  <c r="AD41" i="84"/>
  <c r="AC64" i="84"/>
  <c r="AC42" i="84"/>
  <c r="AC123" i="84"/>
  <c r="AC96" i="84"/>
  <c r="AC8" i="84"/>
  <c r="AD97" i="84"/>
  <c r="AC89" i="84"/>
  <c r="AC116" i="84"/>
  <c r="AC97" i="84"/>
  <c r="AD72" i="84"/>
  <c r="AC83" i="84"/>
  <c r="AD85" i="84"/>
  <c r="AC79" i="84"/>
  <c r="AC117" i="84"/>
  <c r="AC28" i="84"/>
  <c r="AD109" i="84"/>
  <c r="AC107" i="84"/>
  <c r="AC113" i="84"/>
  <c r="AC118" i="84"/>
  <c r="AC109" i="84"/>
  <c r="AD102" i="84"/>
  <c r="AD116" i="84"/>
  <c r="AD88" i="84"/>
  <c r="AC86" i="84"/>
  <c r="AD28" i="84"/>
  <c r="AC78" i="84"/>
  <c r="AC68" i="84"/>
  <c r="AD64" i="84"/>
  <c r="AD15" i="84"/>
  <c r="AC17" i="84"/>
  <c r="AD42" i="84"/>
  <c r="AD13" i="84"/>
  <c r="AD65" i="84"/>
  <c r="AD63" i="84"/>
  <c r="AC63" i="84"/>
  <c r="AD51" i="84"/>
  <c r="AC27" i="84"/>
  <c r="AD27" i="84"/>
  <c r="AC31" i="84"/>
  <c r="AD31" i="84"/>
  <c r="AC110" i="84"/>
  <c r="AD106" i="84"/>
  <c r="AC122" i="84"/>
  <c r="AC106" i="84"/>
  <c r="AC65" i="84"/>
  <c r="AD75" i="84"/>
  <c r="AC75" i="84"/>
  <c r="AC58" i="84"/>
  <c r="AD122" i="84"/>
  <c r="AD81" i="84"/>
  <c r="AC124" i="84"/>
  <c r="AC115" i="84"/>
  <c r="AC88" i="84"/>
  <c r="AC81" i="84"/>
  <c r="AD104" i="84"/>
  <c r="AC102" i="84"/>
  <c r="AD79" i="84"/>
  <c r="AC33" i="84"/>
  <c r="AD26" i="84"/>
  <c r="AC7" i="84"/>
  <c r="AC85" i="84"/>
  <c r="AD78" i="84"/>
  <c r="AC50" i="84"/>
  <c r="AC25" i="84"/>
  <c r="AC36" i="84"/>
  <c r="AD36" i="84"/>
  <c r="AC52" i="84"/>
  <c r="AC90" i="84"/>
  <c r="AC54" i="84"/>
  <c r="AC11" i="84"/>
  <c r="D37" i="1" l="1"/>
  <c r="D33" i="1"/>
  <c r="C35" i="1"/>
  <c r="C31" i="1"/>
  <c r="C38" i="1"/>
  <c r="D39" i="1"/>
  <c r="D31" i="1"/>
  <c r="C36" i="1"/>
  <c r="D30" i="1"/>
  <c r="D40" i="1"/>
  <c r="D36" i="1"/>
  <c r="D32" i="1"/>
  <c r="C34" i="1"/>
  <c r="C30" i="1"/>
  <c r="C39" i="1"/>
  <c r="D35" i="1"/>
  <c r="C33" i="1"/>
  <c r="C40" i="1"/>
  <c r="D38" i="1"/>
  <c r="D34" i="1"/>
  <c r="C32" i="1"/>
  <c r="C37" i="1"/>
  <c r="I12" i="1"/>
  <c r="I136" i="1"/>
  <c r="M5" i="1"/>
  <c r="L5" i="1"/>
  <c r="J136" i="1"/>
  <c r="F5" i="1"/>
  <c r="N132" i="1"/>
  <c r="J132" i="1"/>
  <c r="H132" i="1"/>
  <c r="L132" i="1"/>
  <c r="K132" i="1"/>
  <c r="M132" i="1"/>
  <c r="E132" i="1"/>
  <c r="I132" i="1"/>
  <c r="F132" i="1"/>
  <c r="G132" i="1"/>
  <c r="AT93" i="97"/>
  <c r="BB93" i="97" s="1"/>
  <c r="AR88" i="97"/>
  <c r="AZ88" i="97" s="1"/>
  <c r="AT100" i="97"/>
  <c r="BB100" i="97" s="1"/>
  <c r="AR55" i="97"/>
  <c r="AZ55" i="97" s="1"/>
  <c r="AS48" i="97"/>
  <c r="BA48" i="97" s="1"/>
  <c r="L4" i="96"/>
  <c r="AR77" i="97"/>
  <c r="AZ77" i="97" s="1"/>
  <c r="AS33" i="97"/>
  <c r="BA33" i="97" s="1"/>
  <c r="AS34" i="97"/>
  <c r="BA34" i="97" s="1"/>
  <c r="AR62" i="97"/>
  <c r="AZ62" i="97" s="1"/>
  <c r="AS115" i="97"/>
  <c r="BA115" i="97" s="1"/>
  <c r="AS70" i="97"/>
  <c r="BA70" i="97" s="1"/>
  <c r="AR87" i="97"/>
  <c r="AZ87" i="97" s="1"/>
  <c r="AR97" i="97"/>
  <c r="AZ97" i="97" s="1"/>
  <c r="T18" i="85"/>
  <c r="AR90" i="97"/>
  <c r="AZ90" i="97" s="1"/>
  <c r="AT121" i="97"/>
  <c r="BB121" i="97" s="1"/>
  <c r="AS88" i="97"/>
  <c r="BA88" i="97" s="1"/>
  <c r="AR89" i="97"/>
  <c r="AZ89" i="97" s="1"/>
  <c r="AS22" i="97"/>
  <c r="BA22" i="97" s="1"/>
  <c r="AT108" i="97"/>
  <c r="BB108" i="97" s="1"/>
  <c r="AT19" i="97"/>
  <c r="BB19" i="97" s="1"/>
  <c r="AT27" i="97"/>
  <c r="BB27" i="97" s="1"/>
  <c r="AT113" i="97"/>
  <c r="BB113" i="97" s="1"/>
  <c r="AR86" i="97"/>
  <c r="AZ86" i="97" s="1"/>
  <c r="AT94" i="97"/>
  <c r="BB94" i="97" s="1"/>
  <c r="AR95" i="97"/>
  <c r="AZ95" i="97" s="1"/>
  <c r="AR68" i="97"/>
  <c r="AZ68" i="97" s="1"/>
  <c r="AS122" i="97"/>
  <c r="BA122" i="97" s="1"/>
  <c r="AS47" i="97"/>
  <c r="BA47" i="97" s="1"/>
  <c r="AS15" i="97"/>
  <c r="BA15" i="97" s="1"/>
  <c r="AT32" i="97"/>
  <c r="BB32" i="97" s="1"/>
  <c r="AT40" i="97"/>
  <c r="BB40" i="97" s="1"/>
  <c r="AS67" i="97"/>
  <c r="BA67" i="97" s="1"/>
  <c r="AR119" i="97"/>
  <c r="AZ119" i="97" s="1"/>
  <c r="AR122" i="97"/>
  <c r="AZ122" i="97" s="1"/>
  <c r="AR85" i="97"/>
  <c r="AZ85" i="97" s="1"/>
  <c r="AS91" i="97"/>
  <c r="BA91" i="97" s="1"/>
  <c r="R131" i="72"/>
  <c r="S130" i="72"/>
  <c r="AT99" i="97"/>
  <c r="BB99" i="97" s="1"/>
  <c r="AS93" i="97"/>
  <c r="BA93" i="97" s="1"/>
  <c r="AT126" i="97"/>
  <c r="BB126" i="97" s="1"/>
  <c r="AT48" i="97"/>
  <c r="BB48" i="97" s="1"/>
  <c r="AS38" i="97"/>
  <c r="BA38" i="97" s="1"/>
  <c r="AS8" i="97"/>
  <c r="BA8" i="97" s="1"/>
  <c r="AT102" i="97"/>
  <c r="BB102" i="97" s="1"/>
  <c r="AR11" i="97"/>
  <c r="AZ11" i="97" s="1"/>
  <c r="AR103" i="97"/>
  <c r="AZ103" i="97" s="1"/>
  <c r="AR105" i="97"/>
  <c r="AZ105" i="97" s="1"/>
  <c r="AT31" i="97"/>
  <c r="BB31" i="97" s="1"/>
  <c r="AR36" i="97"/>
  <c r="AZ36" i="97" s="1"/>
  <c r="AT38" i="97"/>
  <c r="BB38" i="97" s="1"/>
  <c r="AR39" i="97"/>
  <c r="AZ39" i="97" s="1"/>
  <c r="AT44" i="97"/>
  <c r="BB44" i="97" s="1"/>
  <c r="AT46" i="97"/>
  <c r="BB46" i="97" s="1"/>
  <c r="AR48" i="97"/>
  <c r="AZ48" i="97" s="1"/>
  <c r="AS111" i="97"/>
  <c r="BA111" i="97" s="1"/>
  <c r="AT60" i="97"/>
  <c r="BB60" i="97" s="1"/>
  <c r="AT114" i="97"/>
  <c r="BB114" i="97" s="1"/>
  <c r="AT80" i="97"/>
  <c r="BB80" i="97" s="1"/>
  <c r="AT84" i="97"/>
  <c r="BB84" i="97" s="1"/>
  <c r="AT86" i="97"/>
  <c r="BB86" i="97" s="1"/>
  <c r="AR123" i="97"/>
  <c r="AZ123" i="97" s="1"/>
  <c r="AT124" i="97"/>
  <c r="BB124" i="97" s="1"/>
  <c r="AT96" i="97"/>
  <c r="BB96" i="97" s="1"/>
  <c r="H87" i="1"/>
  <c r="J120" i="1"/>
  <c r="H86" i="1"/>
  <c r="M50" i="79"/>
  <c r="Q50" i="79" s="1"/>
  <c r="H50" i="118"/>
  <c r="M56" i="79"/>
  <c r="Q56" i="79" s="1"/>
  <c r="H56" i="118"/>
  <c r="M60" i="79"/>
  <c r="Q60" i="79" s="1"/>
  <c r="H60" i="118"/>
  <c r="M64" i="79"/>
  <c r="Q64" i="79" s="1"/>
  <c r="H64" i="118"/>
  <c r="M68" i="79"/>
  <c r="Q68" i="79" s="1"/>
  <c r="H68" i="118"/>
  <c r="M72" i="79"/>
  <c r="Q72" i="79" s="1"/>
  <c r="H72" i="118"/>
  <c r="M74" i="79"/>
  <c r="Q74" i="79" s="1"/>
  <c r="H74" i="118"/>
  <c r="M78" i="79"/>
  <c r="Q78" i="79" s="1"/>
  <c r="H78" i="118"/>
  <c r="M82" i="79"/>
  <c r="Q82" i="79" s="1"/>
  <c r="H82" i="118"/>
  <c r="M86" i="79"/>
  <c r="Q86" i="79" s="1"/>
  <c r="H86" i="118"/>
  <c r="M90" i="79"/>
  <c r="Q90" i="79" s="1"/>
  <c r="H90" i="118"/>
  <c r="M94" i="79"/>
  <c r="Q94" i="79" s="1"/>
  <c r="H94" i="118"/>
  <c r="M96" i="79"/>
  <c r="Q96" i="79" s="1"/>
  <c r="H96" i="118"/>
  <c r="M100" i="79"/>
  <c r="Q100" i="79" s="1"/>
  <c r="H100" i="118"/>
  <c r="M104" i="79"/>
  <c r="Q104" i="79" s="1"/>
  <c r="H104" i="118"/>
  <c r="M108" i="79"/>
  <c r="Q108" i="79" s="1"/>
  <c r="H108" i="118"/>
  <c r="M112" i="79"/>
  <c r="Q112" i="79" s="1"/>
  <c r="H112" i="118"/>
  <c r="M116" i="79"/>
  <c r="Q116" i="79" s="1"/>
  <c r="H116" i="118"/>
  <c r="M120" i="79"/>
  <c r="Q120" i="79" s="1"/>
  <c r="H120" i="118"/>
  <c r="M122" i="79"/>
  <c r="Q122" i="79" s="1"/>
  <c r="H122" i="118"/>
  <c r="M7" i="79"/>
  <c r="Q7" i="79" s="1"/>
  <c r="M9" i="79"/>
  <c r="Q9" i="79" s="1"/>
  <c r="M11" i="79"/>
  <c r="Q11" i="79" s="1"/>
  <c r="M13" i="79"/>
  <c r="Q13" i="79" s="1"/>
  <c r="M17" i="79"/>
  <c r="Q17" i="79" s="1"/>
  <c r="M19" i="79"/>
  <c r="Q19" i="79" s="1"/>
  <c r="M21" i="79"/>
  <c r="Q21" i="79" s="1"/>
  <c r="M23" i="79"/>
  <c r="Q23" i="79" s="1"/>
  <c r="M25" i="79"/>
  <c r="Q25" i="79" s="1"/>
  <c r="M27" i="79"/>
  <c r="Q27" i="79" s="1"/>
  <c r="M29" i="79"/>
  <c r="Q29" i="79" s="1"/>
  <c r="M31" i="79"/>
  <c r="Q31" i="79" s="1"/>
  <c r="M33" i="79"/>
  <c r="Q33" i="79" s="1"/>
  <c r="M35" i="79"/>
  <c r="Q35" i="79" s="1"/>
  <c r="M37" i="79"/>
  <c r="Q37" i="79" s="1"/>
  <c r="M39" i="79"/>
  <c r="Q39" i="79" s="1"/>
  <c r="M41" i="79"/>
  <c r="Q41" i="79" s="1"/>
  <c r="M43" i="79"/>
  <c r="Q43" i="79" s="1"/>
  <c r="M45" i="79"/>
  <c r="Q45" i="79" s="1"/>
  <c r="M47" i="79"/>
  <c r="Q47" i="79" s="1"/>
  <c r="M49" i="79"/>
  <c r="Q49" i="79" s="1"/>
  <c r="M51" i="79"/>
  <c r="Q51" i="79" s="1"/>
  <c r="M53" i="79"/>
  <c r="Q53" i="79" s="1"/>
  <c r="M55" i="79"/>
  <c r="Q55" i="79" s="1"/>
  <c r="M57" i="79"/>
  <c r="Q57" i="79" s="1"/>
  <c r="M59" i="79"/>
  <c r="Q59" i="79" s="1"/>
  <c r="M61" i="79"/>
  <c r="Q61" i="79" s="1"/>
  <c r="M63" i="79"/>
  <c r="Q63" i="79" s="1"/>
  <c r="M65" i="79"/>
  <c r="Q65" i="79" s="1"/>
  <c r="M67" i="79"/>
  <c r="Q67" i="79" s="1"/>
  <c r="M69" i="79"/>
  <c r="Q69" i="79" s="1"/>
  <c r="M71" i="79"/>
  <c r="Q71" i="79" s="1"/>
  <c r="M73" i="79"/>
  <c r="Q73" i="79" s="1"/>
  <c r="M75" i="79"/>
  <c r="Q75" i="79" s="1"/>
  <c r="M77" i="79"/>
  <c r="Q77" i="79" s="1"/>
  <c r="M79" i="79"/>
  <c r="Q79" i="79" s="1"/>
  <c r="M81" i="79"/>
  <c r="Q81" i="79" s="1"/>
  <c r="M83" i="79"/>
  <c r="Q83" i="79" s="1"/>
  <c r="M85" i="79"/>
  <c r="Q85" i="79" s="1"/>
  <c r="M87" i="79"/>
  <c r="Q87" i="79" s="1"/>
  <c r="M89" i="79"/>
  <c r="Q89" i="79" s="1"/>
  <c r="M91" i="79"/>
  <c r="Q91" i="79" s="1"/>
  <c r="M93" i="79"/>
  <c r="Q93" i="79" s="1"/>
  <c r="M95" i="79"/>
  <c r="Q95" i="79" s="1"/>
  <c r="M97" i="79"/>
  <c r="Q97" i="79" s="1"/>
  <c r="M99" i="79"/>
  <c r="Q99" i="79" s="1"/>
  <c r="M101" i="79"/>
  <c r="Q101" i="79" s="1"/>
  <c r="M103" i="79"/>
  <c r="Q103" i="79" s="1"/>
  <c r="M105" i="79"/>
  <c r="Q105" i="79" s="1"/>
  <c r="M107" i="79"/>
  <c r="Q107" i="79" s="1"/>
  <c r="M109" i="79"/>
  <c r="Q109" i="79" s="1"/>
  <c r="M111" i="79"/>
  <c r="Q111" i="79" s="1"/>
  <c r="M113" i="79"/>
  <c r="Q113" i="79" s="1"/>
  <c r="M115" i="79"/>
  <c r="Q115" i="79" s="1"/>
  <c r="M117" i="79"/>
  <c r="Q117" i="79" s="1"/>
  <c r="M119" i="79"/>
  <c r="Q119" i="79" s="1"/>
  <c r="M121" i="79"/>
  <c r="Q121" i="79" s="1"/>
  <c r="M123" i="79"/>
  <c r="Q123" i="79" s="1"/>
  <c r="M125" i="79"/>
  <c r="Q125" i="79" s="1"/>
  <c r="M52" i="79"/>
  <c r="Q52" i="79" s="1"/>
  <c r="H52" i="118"/>
  <c r="M54" i="79"/>
  <c r="Q54" i="79" s="1"/>
  <c r="H54" i="118"/>
  <c r="M58" i="79"/>
  <c r="Q58" i="79" s="1"/>
  <c r="H58" i="118"/>
  <c r="M62" i="79"/>
  <c r="Q62" i="79" s="1"/>
  <c r="H62" i="118"/>
  <c r="M66" i="79"/>
  <c r="Q66" i="79" s="1"/>
  <c r="H66" i="118"/>
  <c r="M70" i="79"/>
  <c r="Q70" i="79" s="1"/>
  <c r="H70" i="118"/>
  <c r="M76" i="79"/>
  <c r="Q76" i="79" s="1"/>
  <c r="H76" i="118"/>
  <c r="M80" i="79"/>
  <c r="Q80" i="79" s="1"/>
  <c r="H80" i="118"/>
  <c r="M84" i="79"/>
  <c r="Q84" i="79" s="1"/>
  <c r="H84" i="118"/>
  <c r="M88" i="79"/>
  <c r="Q88" i="79" s="1"/>
  <c r="H88" i="118"/>
  <c r="M92" i="79"/>
  <c r="Q92" i="79" s="1"/>
  <c r="H92" i="118"/>
  <c r="M98" i="79"/>
  <c r="Q98" i="79" s="1"/>
  <c r="H98" i="118"/>
  <c r="M102" i="79"/>
  <c r="Q102" i="79" s="1"/>
  <c r="H102" i="118"/>
  <c r="M106" i="79"/>
  <c r="Q106" i="79" s="1"/>
  <c r="H106" i="118"/>
  <c r="M110" i="79"/>
  <c r="Q110" i="79" s="1"/>
  <c r="H110" i="118"/>
  <c r="M114" i="79"/>
  <c r="Q114" i="79" s="1"/>
  <c r="H114" i="118"/>
  <c r="M118" i="79"/>
  <c r="Q118" i="79" s="1"/>
  <c r="H118" i="118"/>
  <c r="M124" i="79"/>
  <c r="Q124" i="79" s="1"/>
  <c r="H124" i="118"/>
  <c r="M15" i="79"/>
  <c r="Q15" i="79" s="1"/>
  <c r="O128" i="62"/>
  <c r="O130" i="62"/>
  <c r="AG130" i="62"/>
  <c r="AG128" i="62"/>
  <c r="AM130" i="62"/>
  <c r="AM128" i="62"/>
  <c r="O131" i="60"/>
  <c r="P131" i="60"/>
  <c r="J18" i="123"/>
  <c r="Y131" i="60"/>
  <c r="W131" i="60"/>
  <c r="F120" i="1"/>
  <c r="D120" i="1"/>
  <c r="E120" i="1"/>
  <c r="O129" i="62"/>
  <c r="AG129" i="62"/>
  <c r="AM129" i="62"/>
  <c r="R130" i="72"/>
  <c r="AR71" i="97"/>
  <c r="AZ71" i="97" s="1"/>
  <c r="AS75" i="97"/>
  <c r="BA75" i="97" s="1"/>
  <c r="F60" i="1"/>
  <c r="AY5" i="109"/>
  <c r="D18" i="108" s="1"/>
  <c r="O126" i="62"/>
  <c r="AG126" i="62"/>
  <c r="AM126" i="62"/>
  <c r="J20" i="123"/>
  <c r="I120" i="1"/>
  <c r="H119" i="1"/>
  <c r="I119" i="1"/>
  <c r="H118" i="1"/>
  <c r="I118" i="1"/>
  <c r="G120" i="1"/>
  <c r="H120" i="1"/>
  <c r="O127" i="62"/>
  <c r="AG127" i="62"/>
  <c r="AM127" i="62"/>
  <c r="D87" i="1"/>
  <c r="L109" i="1"/>
  <c r="E87" i="1"/>
  <c r="F87" i="1"/>
  <c r="L106" i="1"/>
  <c r="G87" i="1"/>
  <c r="L79" i="1" s="1"/>
  <c r="L107" i="1"/>
  <c r="L108" i="1"/>
  <c r="D53" i="1"/>
  <c r="D49" i="1"/>
  <c r="D45" i="1"/>
  <c r="C52" i="1"/>
  <c r="C48" i="1"/>
  <c r="D52" i="1"/>
  <c r="C55" i="1"/>
  <c r="C47" i="1"/>
  <c r="D54" i="1"/>
  <c r="D50" i="1"/>
  <c r="D46" i="1"/>
  <c r="C53" i="1"/>
  <c r="C49" i="1"/>
  <c r="C45" i="1"/>
  <c r="D55" i="1"/>
  <c r="D51" i="1"/>
  <c r="D47" i="1"/>
  <c r="C54" i="1"/>
  <c r="C50" i="1"/>
  <c r="C46" i="1"/>
  <c r="D48" i="1"/>
  <c r="C51" i="1"/>
  <c r="B36" i="108"/>
  <c r="B32" i="108"/>
  <c r="B28" i="108"/>
  <c r="B24" i="108"/>
  <c r="B18" i="108"/>
  <c r="B14" i="108"/>
  <c r="B10" i="108"/>
  <c r="B6" i="108"/>
  <c r="B37" i="108"/>
  <c r="B33" i="108"/>
  <c r="B29" i="108"/>
  <c r="B25" i="108"/>
  <c r="B15" i="108"/>
  <c r="B11" i="108"/>
  <c r="B7" i="108"/>
  <c r="B3" i="108"/>
  <c r="B34" i="108"/>
  <c r="B30" i="108"/>
  <c r="B26" i="108"/>
  <c r="B22" i="108"/>
  <c r="B16" i="108"/>
  <c r="B12" i="108"/>
  <c r="B8" i="108"/>
  <c r="B4" i="108"/>
  <c r="B35" i="108"/>
  <c r="B31" i="108"/>
  <c r="B27" i="108"/>
  <c r="B23" i="108"/>
  <c r="B17" i="108"/>
  <c r="B13" i="108"/>
  <c r="B9" i="108"/>
  <c r="B5" i="108"/>
  <c r="K148" i="1"/>
  <c r="M148" i="1"/>
  <c r="J148" i="1"/>
  <c r="L148" i="1"/>
  <c r="I6" i="53"/>
  <c r="I11" i="53"/>
  <c r="I15" i="53"/>
  <c r="I8" i="53"/>
  <c r="I5" i="53"/>
  <c r="G6" i="79" s="1"/>
  <c r="AS31" i="97"/>
  <c r="BA31" i="97" s="1"/>
  <c r="T60" i="85"/>
  <c r="P63" i="85"/>
  <c r="T111" i="85"/>
  <c r="Q132" i="72"/>
  <c r="P4" i="95"/>
  <c r="T4" i="95"/>
  <c r="AS59" i="97"/>
  <c r="BA59" i="97" s="1"/>
  <c r="AS87" i="97"/>
  <c r="BA87" i="97" s="1"/>
  <c r="AS112" i="97"/>
  <c r="BA112" i="97" s="1"/>
  <c r="AT56" i="97"/>
  <c r="BB56" i="97" s="1"/>
  <c r="AS80" i="97"/>
  <c r="BA80" i="97" s="1"/>
  <c r="AS72" i="97"/>
  <c r="BA72" i="97" s="1"/>
  <c r="AR67" i="97"/>
  <c r="AZ67" i="97" s="1"/>
  <c r="E6" i="118"/>
  <c r="M6" i="79" s="1"/>
  <c r="Q6" i="79" s="1"/>
  <c r="E8" i="118"/>
  <c r="E10" i="118"/>
  <c r="E12" i="118"/>
  <c r="E14" i="118"/>
  <c r="E16" i="118"/>
  <c r="E18" i="118"/>
  <c r="E20" i="118"/>
  <c r="E22" i="118"/>
  <c r="E24" i="118"/>
  <c r="E26" i="118"/>
  <c r="E28" i="118"/>
  <c r="E30" i="118"/>
  <c r="E32" i="118"/>
  <c r="E34" i="118"/>
  <c r="E36" i="118"/>
  <c r="E38" i="118"/>
  <c r="E40" i="118"/>
  <c r="E42" i="118"/>
  <c r="E44" i="118"/>
  <c r="E46" i="118"/>
  <c r="E48" i="118"/>
  <c r="AS95" i="97"/>
  <c r="BA95" i="97" s="1"/>
  <c r="AS98" i="97"/>
  <c r="BA98" i="97" s="1"/>
  <c r="AT6" i="97"/>
  <c r="BB6" i="97" s="1"/>
  <c r="AS7" i="97"/>
  <c r="BA7" i="97" s="1"/>
  <c r="AT9" i="97"/>
  <c r="BB9" i="97" s="1"/>
  <c r="AT13" i="97"/>
  <c r="BB13" i="97" s="1"/>
  <c r="AR21" i="97"/>
  <c r="AZ21" i="97" s="1"/>
  <c r="AT22" i="97"/>
  <c r="BB22" i="97" s="1"/>
  <c r="AR24" i="97"/>
  <c r="AZ24" i="97" s="1"/>
  <c r="AR25" i="97"/>
  <c r="AZ25" i="97" s="1"/>
  <c r="AR106" i="97"/>
  <c r="AZ106" i="97" s="1"/>
  <c r="AR34" i="97"/>
  <c r="AZ34" i="97" s="1"/>
  <c r="AT36" i="97"/>
  <c r="BB36" i="97" s="1"/>
  <c r="AT37" i="97"/>
  <c r="BB37" i="97" s="1"/>
  <c r="AT107" i="97"/>
  <c r="BB107" i="97" s="1"/>
  <c r="AT49" i="97"/>
  <c r="BB49" i="97" s="1"/>
  <c r="AT53" i="97"/>
  <c r="BB53" i="97" s="1"/>
  <c r="AR59" i="97"/>
  <c r="AZ59" i="97" s="1"/>
  <c r="AR63" i="97"/>
  <c r="AZ63" i="97" s="1"/>
  <c r="BC63" i="97" s="1"/>
  <c r="AT63" i="97"/>
  <c r="BB63" i="97" s="1"/>
  <c r="AT116" i="97"/>
  <c r="BB116" i="97" s="1"/>
  <c r="AR120" i="97"/>
  <c r="AZ120" i="97" s="1"/>
  <c r="AT92" i="97"/>
  <c r="BB92" i="97" s="1"/>
  <c r="G171" i="1"/>
  <c r="F170" i="1"/>
  <c r="F171" i="1"/>
  <c r="E170" i="1"/>
  <c r="E171" i="1"/>
  <c r="G170" i="1"/>
  <c r="P130" i="72"/>
  <c r="AT125" i="97"/>
  <c r="BB125" i="97" s="1"/>
  <c r="AR76" i="97"/>
  <c r="AZ76" i="97" s="1"/>
  <c r="AR73" i="97"/>
  <c r="AZ73" i="97" s="1"/>
  <c r="AT117" i="97"/>
  <c r="BB117" i="97" s="1"/>
  <c r="AS82" i="97"/>
  <c r="BA82" i="97" s="1"/>
  <c r="AT77" i="97"/>
  <c r="BB77" i="97" s="1"/>
  <c r="AS66" i="97"/>
  <c r="BA66" i="97" s="1"/>
  <c r="AS103" i="97"/>
  <c r="BA103" i="97" s="1"/>
  <c r="AS99" i="97"/>
  <c r="BA99" i="97" s="1"/>
  <c r="AR6" i="97"/>
  <c r="AZ6" i="97" s="1"/>
  <c r="AR9" i="97"/>
  <c r="AZ9" i="97" s="1"/>
  <c r="AT12" i="97"/>
  <c r="BB12" i="97" s="1"/>
  <c r="AR38" i="97"/>
  <c r="AZ38" i="97" s="1"/>
  <c r="BC38" i="97" s="1"/>
  <c r="AR45" i="97"/>
  <c r="AZ45" i="97" s="1"/>
  <c r="AR58" i="97"/>
  <c r="AZ58" i="97" s="1"/>
  <c r="AR114" i="97"/>
  <c r="AZ114" i="97" s="1"/>
  <c r="AR65" i="97"/>
  <c r="AZ65" i="97" s="1"/>
  <c r="AT69" i="97"/>
  <c r="BB69" i="97" s="1"/>
  <c r="BC69" i="97" s="1"/>
  <c r="AS71" i="97"/>
  <c r="BA71" i="97" s="1"/>
  <c r="AT78" i="97"/>
  <c r="BB78" i="97" s="1"/>
  <c r="AS92" i="97"/>
  <c r="BA92" i="97" s="1"/>
  <c r="AR93" i="97"/>
  <c r="AZ93" i="97" s="1"/>
  <c r="BC93" i="97" s="1"/>
  <c r="AS97" i="97"/>
  <c r="BA97" i="97" s="1"/>
  <c r="AS101" i="97"/>
  <c r="BA101" i="97" s="1"/>
  <c r="T28" i="85"/>
  <c r="T68" i="85"/>
  <c r="T72" i="85"/>
  <c r="T76" i="85"/>
  <c r="T88" i="85"/>
  <c r="AR100" i="97"/>
  <c r="AZ100" i="97" s="1"/>
  <c r="BC100" i="97" s="1"/>
  <c r="AT67" i="97"/>
  <c r="BB67" i="97" s="1"/>
  <c r="BC67" i="97" s="1"/>
  <c r="AS41" i="97"/>
  <c r="BA41" i="97" s="1"/>
  <c r="AT88" i="97"/>
  <c r="BB88" i="97" s="1"/>
  <c r="BC88" i="97" s="1"/>
  <c r="AS79" i="97"/>
  <c r="BA79" i="97" s="1"/>
  <c r="AS120" i="97"/>
  <c r="BA120" i="97" s="1"/>
  <c r="AR126" i="97"/>
  <c r="AZ126" i="97" s="1"/>
  <c r="AT101" i="97"/>
  <c r="BB101" i="97" s="1"/>
  <c r="P131" i="75"/>
  <c r="AR99" i="97"/>
  <c r="AZ99" i="97" s="1"/>
  <c r="AT73" i="97"/>
  <c r="BB73" i="97" s="1"/>
  <c r="AT39" i="97"/>
  <c r="BB39" i="97" s="1"/>
  <c r="BC39" i="97" s="1"/>
  <c r="O6" i="85"/>
  <c r="P30" i="85"/>
  <c r="T61" i="85"/>
  <c r="T73" i="85"/>
  <c r="T85" i="85"/>
  <c r="Z93" i="85"/>
  <c r="P94" i="85"/>
  <c r="Z97" i="85"/>
  <c r="T98" i="85"/>
  <c r="Z101" i="85"/>
  <c r="T102" i="85"/>
  <c r="P106" i="85"/>
  <c r="Z109" i="85"/>
  <c r="P110" i="85"/>
  <c r="Z113" i="85"/>
  <c r="T117" i="85"/>
  <c r="P118" i="85"/>
  <c r="P122" i="85"/>
  <c r="T125" i="85"/>
  <c r="T126" i="85"/>
  <c r="Q129" i="75"/>
  <c r="Q130" i="75"/>
  <c r="Q131" i="75"/>
  <c r="D7" i="118"/>
  <c r="L7" i="79" s="1"/>
  <c r="P7" i="79" s="1"/>
  <c r="D9" i="118"/>
  <c r="L9" i="79" s="1"/>
  <c r="P9" i="79" s="1"/>
  <c r="D11" i="118"/>
  <c r="L11" i="79" s="1"/>
  <c r="P11" i="79" s="1"/>
  <c r="D13" i="118"/>
  <c r="L13" i="79" s="1"/>
  <c r="P13" i="79" s="1"/>
  <c r="D15" i="118"/>
  <c r="L15" i="79" s="1"/>
  <c r="P15" i="79" s="1"/>
  <c r="D17" i="118"/>
  <c r="L17" i="79" s="1"/>
  <c r="P17" i="79" s="1"/>
  <c r="D19" i="118"/>
  <c r="L19" i="79" s="1"/>
  <c r="P19" i="79" s="1"/>
  <c r="D21" i="118"/>
  <c r="L21" i="79" s="1"/>
  <c r="P21" i="79" s="1"/>
  <c r="D23" i="118"/>
  <c r="L23" i="79" s="1"/>
  <c r="P23" i="79" s="1"/>
  <c r="D25" i="118"/>
  <c r="L25" i="79" s="1"/>
  <c r="P25" i="79" s="1"/>
  <c r="D27" i="118"/>
  <c r="L27" i="79" s="1"/>
  <c r="P27" i="79" s="1"/>
  <c r="D29" i="118"/>
  <c r="L29" i="79" s="1"/>
  <c r="P29" i="79" s="1"/>
  <c r="D31" i="118"/>
  <c r="L31" i="79" s="1"/>
  <c r="P31" i="79" s="1"/>
  <c r="D33" i="118"/>
  <c r="L33" i="79" s="1"/>
  <c r="P33" i="79" s="1"/>
  <c r="D35" i="118"/>
  <c r="L35" i="79" s="1"/>
  <c r="P35" i="79" s="1"/>
  <c r="D37" i="118"/>
  <c r="L37" i="79" s="1"/>
  <c r="P37" i="79" s="1"/>
  <c r="D39" i="118"/>
  <c r="L39" i="79" s="1"/>
  <c r="P39" i="79" s="1"/>
  <c r="D41" i="118"/>
  <c r="L41" i="79" s="1"/>
  <c r="P41" i="79" s="1"/>
  <c r="D43" i="118"/>
  <c r="L43" i="79" s="1"/>
  <c r="P43" i="79" s="1"/>
  <c r="D45" i="118"/>
  <c r="L45" i="79" s="1"/>
  <c r="P45" i="79" s="1"/>
  <c r="D47" i="118"/>
  <c r="L47" i="79" s="1"/>
  <c r="P47" i="79" s="1"/>
  <c r="D49" i="118"/>
  <c r="L49" i="79" s="1"/>
  <c r="P49" i="79" s="1"/>
  <c r="S4" i="95"/>
  <c r="AR112" i="97"/>
  <c r="AZ112" i="97" s="1"/>
  <c r="AT122" i="97"/>
  <c r="BB122" i="97" s="1"/>
  <c r="AT76" i="97"/>
  <c r="BB76" i="97" s="1"/>
  <c r="AS116" i="97"/>
  <c r="BA116" i="97" s="1"/>
  <c r="AS52" i="97"/>
  <c r="BA52" i="97" s="1"/>
  <c r="AS119" i="97"/>
  <c r="BA119" i="97" s="1"/>
  <c r="AS28" i="97"/>
  <c r="BA28" i="97" s="1"/>
  <c r="AS54" i="97"/>
  <c r="BA54" i="97" s="1"/>
  <c r="AT42" i="97"/>
  <c r="BB42" i="97" s="1"/>
  <c r="AR32" i="97"/>
  <c r="AZ32" i="97" s="1"/>
  <c r="AT26" i="97"/>
  <c r="BB26" i="97" s="1"/>
  <c r="AR50" i="97"/>
  <c r="AZ50" i="97" s="1"/>
  <c r="AT112" i="97"/>
  <c r="BB112" i="97" s="1"/>
  <c r="AR72" i="97"/>
  <c r="AZ72" i="97" s="1"/>
  <c r="BC72" i="97" s="1"/>
  <c r="AT120" i="97"/>
  <c r="BB120" i="97" s="1"/>
  <c r="AT82" i="97"/>
  <c r="BB82" i="97" s="1"/>
  <c r="AT97" i="97"/>
  <c r="BB97" i="97" s="1"/>
  <c r="AT98" i="97"/>
  <c r="BB98" i="97" s="1"/>
  <c r="T106" i="85"/>
  <c r="W6" i="85"/>
  <c r="E174" i="1" s="1"/>
  <c r="P21" i="85"/>
  <c r="T49" i="85"/>
  <c r="T53" i="85"/>
  <c r="P65" i="85"/>
  <c r="P69" i="85"/>
  <c r="T77" i="85"/>
  <c r="P81" i="85"/>
  <c r="P85" i="85"/>
  <c r="P89" i="85"/>
  <c r="P132" i="72"/>
  <c r="AR83" i="97"/>
  <c r="AZ83" i="97" s="1"/>
  <c r="AR57" i="97"/>
  <c r="AZ57" i="97" s="1"/>
  <c r="AR56" i="97"/>
  <c r="AZ56" i="97" s="1"/>
  <c r="AT34" i="97"/>
  <c r="BB34" i="97" s="1"/>
  <c r="AR53" i="97"/>
  <c r="AZ53" i="97" s="1"/>
  <c r="AR12" i="97"/>
  <c r="AZ12" i="97" s="1"/>
  <c r="AS14" i="97"/>
  <c r="BA14" i="97" s="1"/>
  <c r="AR16" i="97"/>
  <c r="AZ16" i="97" s="1"/>
  <c r="AR26" i="97"/>
  <c r="AZ26" i="97" s="1"/>
  <c r="AT43" i="97"/>
  <c r="BB43" i="97" s="1"/>
  <c r="AR52" i="97"/>
  <c r="AZ52" i="97" s="1"/>
  <c r="AS58" i="97"/>
  <c r="BA58" i="97" s="1"/>
  <c r="AS60" i="97"/>
  <c r="BA60" i="97" s="1"/>
  <c r="AR115" i="97"/>
  <c r="AZ115" i="97" s="1"/>
  <c r="AS77" i="97"/>
  <c r="BA77" i="97" s="1"/>
  <c r="AS81" i="97"/>
  <c r="BA81" i="97" s="1"/>
  <c r="AR98" i="97"/>
  <c r="AZ98" i="97" s="1"/>
  <c r="CE4" i="56"/>
  <c r="L6" i="79"/>
  <c r="P6" i="79" s="1"/>
  <c r="T92" i="85"/>
  <c r="T95" i="85"/>
  <c r="T103" i="85"/>
  <c r="T107" i="85"/>
  <c r="T115" i="85"/>
  <c r="T119" i="85"/>
  <c r="I132" i="75"/>
  <c r="D51" i="118"/>
  <c r="L51" i="79" s="1"/>
  <c r="P51" i="79" s="1"/>
  <c r="D53" i="118"/>
  <c r="L53" i="79" s="1"/>
  <c r="P53" i="79" s="1"/>
  <c r="D55" i="118"/>
  <c r="L55" i="79" s="1"/>
  <c r="P55" i="79" s="1"/>
  <c r="D57" i="118"/>
  <c r="L57" i="79" s="1"/>
  <c r="P57" i="79" s="1"/>
  <c r="D59" i="118"/>
  <c r="L59" i="79" s="1"/>
  <c r="P59" i="79" s="1"/>
  <c r="D61" i="118"/>
  <c r="L61" i="79" s="1"/>
  <c r="P61" i="79" s="1"/>
  <c r="D63" i="118"/>
  <c r="L63" i="79" s="1"/>
  <c r="P63" i="79" s="1"/>
  <c r="D65" i="118"/>
  <c r="L65" i="79" s="1"/>
  <c r="P65" i="79" s="1"/>
  <c r="D67" i="118"/>
  <c r="L67" i="79" s="1"/>
  <c r="P67" i="79" s="1"/>
  <c r="D69" i="118"/>
  <c r="L69" i="79" s="1"/>
  <c r="P69" i="79" s="1"/>
  <c r="D71" i="118"/>
  <c r="L71" i="79" s="1"/>
  <c r="P71" i="79" s="1"/>
  <c r="D73" i="118"/>
  <c r="L73" i="79" s="1"/>
  <c r="P73" i="79" s="1"/>
  <c r="D75" i="118"/>
  <c r="L75" i="79" s="1"/>
  <c r="P75" i="79" s="1"/>
  <c r="D77" i="118"/>
  <c r="L77" i="79" s="1"/>
  <c r="P77" i="79" s="1"/>
  <c r="D79" i="118"/>
  <c r="L79" i="79" s="1"/>
  <c r="P79" i="79" s="1"/>
  <c r="D81" i="118"/>
  <c r="L81" i="79" s="1"/>
  <c r="P81" i="79" s="1"/>
  <c r="D83" i="118"/>
  <c r="L83" i="79" s="1"/>
  <c r="P83" i="79" s="1"/>
  <c r="D85" i="118"/>
  <c r="L85" i="79" s="1"/>
  <c r="P85" i="79" s="1"/>
  <c r="D87" i="118"/>
  <c r="L87" i="79" s="1"/>
  <c r="P87" i="79" s="1"/>
  <c r="D89" i="118"/>
  <c r="L89" i="79" s="1"/>
  <c r="P89" i="79" s="1"/>
  <c r="D91" i="118"/>
  <c r="L91" i="79" s="1"/>
  <c r="P91" i="79" s="1"/>
  <c r="D93" i="118"/>
  <c r="L93" i="79" s="1"/>
  <c r="P93" i="79" s="1"/>
  <c r="D95" i="118"/>
  <c r="L95" i="79" s="1"/>
  <c r="P95" i="79" s="1"/>
  <c r="D97" i="118"/>
  <c r="L97" i="79" s="1"/>
  <c r="P97" i="79" s="1"/>
  <c r="D99" i="118"/>
  <c r="L99" i="79" s="1"/>
  <c r="P99" i="79" s="1"/>
  <c r="D101" i="118"/>
  <c r="L101" i="79" s="1"/>
  <c r="P101" i="79" s="1"/>
  <c r="D103" i="118"/>
  <c r="L103" i="79" s="1"/>
  <c r="P103" i="79" s="1"/>
  <c r="D105" i="118"/>
  <c r="L105" i="79" s="1"/>
  <c r="P105" i="79" s="1"/>
  <c r="D107" i="118"/>
  <c r="L107" i="79" s="1"/>
  <c r="P107" i="79" s="1"/>
  <c r="D109" i="118"/>
  <c r="L109" i="79" s="1"/>
  <c r="P109" i="79" s="1"/>
  <c r="D111" i="118"/>
  <c r="L111" i="79" s="1"/>
  <c r="P111" i="79" s="1"/>
  <c r="D113" i="118"/>
  <c r="L113" i="79" s="1"/>
  <c r="P113" i="79" s="1"/>
  <c r="D115" i="118"/>
  <c r="L115" i="79" s="1"/>
  <c r="P115" i="79" s="1"/>
  <c r="D117" i="118"/>
  <c r="L117" i="79" s="1"/>
  <c r="P117" i="79" s="1"/>
  <c r="D119" i="118"/>
  <c r="L119" i="79" s="1"/>
  <c r="P119" i="79" s="1"/>
  <c r="D121" i="118"/>
  <c r="L121" i="79" s="1"/>
  <c r="P121" i="79" s="1"/>
  <c r="D123" i="118"/>
  <c r="L123" i="79" s="1"/>
  <c r="P123" i="79" s="1"/>
  <c r="D125" i="118"/>
  <c r="L125" i="79" s="1"/>
  <c r="P125" i="79" s="1"/>
  <c r="AR124" i="97"/>
  <c r="AZ124" i="97" s="1"/>
  <c r="AT61" i="97"/>
  <c r="BB61" i="97" s="1"/>
  <c r="AS125" i="97"/>
  <c r="BA125" i="97" s="1"/>
  <c r="AS83" i="97"/>
  <c r="BA83" i="97" s="1"/>
  <c r="AS76" i="97"/>
  <c r="BA76" i="97" s="1"/>
  <c r="AS73" i="97"/>
  <c r="BA73" i="97" s="1"/>
  <c r="AS65" i="97"/>
  <c r="BA65" i="97" s="1"/>
  <c r="AT55" i="97"/>
  <c r="BB55" i="97" s="1"/>
  <c r="AT30" i="97"/>
  <c r="BB30" i="97" s="1"/>
  <c r="P51" i="85"/>
  <c r="T58" i="85"/>
  <c r="Z74" i="85"/>
  <c r="T78" i="85"/>
  <c r="T82" i="85"/>
  <c r="T86" i="85"/>
  <c r="T90" i="85"/>
  <c r="I129" i="75"/>
  <c r="J130" i="75"/>
  <c r="Q133" i="75"/>
  <c r="P131" i="72"/>
  <c r="Q129" i="72"/>
  <c r="AT87" i="97"/>
  <c r="BB87" i="97" s="1"/>
  <c r="AR113" i="97"/>
  <c r="AZ113" i="97" s="1"/>
  <c r="AS107" i="97"/>
  <c r="BA107" i="97" s="1"/>
  <c r="P5" i="6"/>
  <c r="M126" i="1"/>
  <c r="I126" i="1"/>
  <c r="J126" i="1"/>
  <c r="K126" i="1"/>
  <c r="L126" i="1"/>
  <c r="H126" i="1"/>
  <c r="E126" i="1"/>
  <c r="F126" i="1"/>
  <c r="G126" i="1"/>
  <c r="L127" i="1"/>
  <c r="I127" i="1"/>
  <c r="J127" i="1"/>
  <c r="K127" i="1"/>
  <c r="M127" i="1"/>
  <c r="M125" i="1"/>
  <c r="J125" i="1"/>
  <c r="E125" i="1"/>
  <c r="J119" i="1"/>
  <c r="K125" i="1"/>
  <c r="F125" i="1"/>
  <c r="L125" i="1"/>
  <c r="G125" i="1"/>
  <c r="I125" i="1"/>
  <c r="H125" i="1"/>
  <c r="G5" i="91"/>
  <c r="L152" i="1"/>
  <c r="L141" i="1"/>
  <c r="K154" i="1"/>
  <c r="L154" i="1"/>
  <c r="M154" i="1"/>
  <c r="M156" i="1"/>
  <c r="L157" i="1"/>
  <c r="J157" i="1"/>
  <c r="K157" i="1"/>
  <c r="M157" i="1"/>
  <c r="DC4" i="56"/>
  <c r="CQ4" i="56"/>
  <c r="BA4" i="56"/>
  <c r="AO4" i="56"/>
  <c r="W4" i="56"/>
  <c r="BS4" i="56"/>
  <c r="EA4" i="56"/>
  <c r="H4" i="56"/>
  <c r="AI4" i="56"/>
  <c r="AU4" i="56"/>
  <c r="BG4" i="56"/>
  <c r="BM4" i="56"/>
  <c r="CK4" i="56"/>
  <c r="CW4" i="56"/>
  <c r="EG4" i="56"/>
  <c r="E4" i="56"/>
  <c r="I5" i="79" s="1"/>
  <c r="Q4" i="56"/>
  <c r="BY4" i="56"/>
  <c r="DI4" i="56"/>
  <c r="AG4" i="62"/>
  <c r="O4" i="62"/>
  <c r="AM4" i="62"/>
  <c r="D4" i="62"/>
  <c r="I4" i="101"/>
  <c r="J4" i="101"/>
  <c r="H4" i="101"/>
  <c r="J147" i="1"/>
  <c r="J146" i="1"/>
  <c r="K147" i="1"/>
  <c r="M147" i="1"/>
  <c r="M146" i="1"/>
  <c r="K146" i="1"/>
  <c r="L147" i="1"/>
  <c r="L146" i="1"/>
  <c r="AE4" i="60"/>
  <c r="W4" i="60"/>
  <c r="AM4" i="60"/>
  <c r="K155" i="1"/>
  <c r="J154" i="1"/>
  <c r="J155" i="1"/>
  <c r="L155" i="1"/>
  <c r="M155" i="1"/>
  <c r="J153" i="1"/>
  <c r="M153" i="1"/>
  <c r="J152" i="1"/>
  <c r="M152" i="1"/>
  <c r="E4" i="57"/>
  <c r="J142" i="1"/>
  <c r="L142" i="1"/>
  <c r="K142" i="1"/>
  <c r="M142" i="1"/>
  <c r="J141" i="1"/>
  <c r="K141" i="1"/>
  <c r="M141" i="1"/>
  <c r="U64" i="79"/>
  <c r="W4" i="53"/>
  <c r="Q4" i="53"/>
  <c r="U4" i="39"/>
  <c r="M7" i="39"/>
  <c r="U13" i="39"/>
  <c r="E15" i="39"/>
  <c r="M15" i="39"/>
  <c r="E18" i="39"/>
  <c r="E19" i="39"/>
  <c r="M19" i="39"/>
  <c r="U21" i="39"/>
  <c r="U24" i="39"/>
  <c r="U26" i="39"/>
  <c r="E29" i="39"/>
  <c r="U31" i="39"/>
  <c r="U33" i="39"/>
  <c r="E34" i="39"/>
  <c r="M34" i="39"/>
  <c r="E35" i="39"/>
  <c r="U36" i="39"/>
  <c r="E38" i="39"/>
  <c r="U38" i="39"/>
  <c r="U40" i="39"/>
  <c r="M41" i="39"/>
  <c r="U41" i="39"/>
  <c r="E42" i="39"/>
  <c r="U42" i="39"/>
  <c r="U47" i="39"/>
  <c r="E48" i="39"/>
  <c r="M48" i="39"/>
  <c r="E50" i="39"/>
  <c r="U50" i="39"/>
  <c r="E51" i="39"/>
  <c r="E52" i="39"/>
  <c r="U52" i="39"/>
  <c r="E55" i="39"/>
  <c r="M55" i="39"/>
  <c r="U55" i="39"/>
  <c r="M57" i="39"/>
  <c r="U57" i="39"/>
  <c r="E58" i="39"/>
  <c r="U58" i="39"/>
  <c r="M59" i="39"/>
  <c r="U59" i="39"/>
  <c r="E60" i="39"/>
  <c r="J129" i="75"/>
  <c r="P130" i="75"/>
  <c r="J131" i="75"/>
  <c r="J132" i="75"/>
  <c r="Q133" i="72"/>
  <c r="R133" i="72"/>
  <c r="M61" i="39"/>
  <c r="E62" i="39"/>
  <c r="U62" i="39"/>
  <c r="E64" i="39"/>
  <c r="M64" i="39"/>
  <c r="U64" i="39"/>
  <c r="U66" i="39"/>
  <c r="E67" i="39"/>
  <c r="U67" i="39"/>
  <c r="M69" i="39"/>
  <c r="E70" i="39"/>
  <c r="E71" i="39"/>
  <c r="U72" i="39"/>
  <c r="E73" i="39"/>
  <c r="M73" i="39"/>
  <c r="U73" i="39"/>
  <c r="E75" i="39"/>
  <c r="U75" i="39"/>
  <c r="E77" i="39"/>
  <c r="M77" i="39"/>
  <c r="U78" i="39"/>
  <c r="M79" i="39"/>
  <c r="U80" i="39"/>
  <c r="E81" i="39"/>
  <c r="E82" i="39"/>
  <c r="M82" i="39"/>
  <c r="U82" i="39"/>
  <c r="E85" i="39"/>
  <c r="M86" i="39"/>
  <c r="U86" i="39"/>
  <c r="E89" i="39"/>
  <c r="U90" i="39"/>
  <c r="E91" i="39"/>
  <c r="U92" i="39"/>
  <c r="E94" i="39"/>
  <c r="M99" i="39"/>
  <c r="M100" i="39"/>
  <c r="U100" i="39"/>
  <c r="U101" i="39"/>
  <c r="E104" i="39"/>
  <c r="U104" i="39"/>
  <c r="E105" i="39"/>
  <c r="M105" i="39"/>
  <c r="E108" i="39"/>
  <c r="U108" i="39"/>
  <c r="U109" i="39"/>
  <c r="P129" i="75"/>
  <c r="S129" i="72"/>
  <c r="D4" i="53"/>
  <c r="I6" i="123" s="1"/>
  <c r="I5" i="123" s="1"/>
  <c r="P46" i="85"/>
  <c r="P74" i="85"/>
  <c r="P82" i="85"/>
  <c r="P95" i="85"/>
  <c r="P115" i="85"/>
  <c r="S133" i="72"/>
  <c r="AS11" i="97"/>
  <c r="BA11" i="97" s="1"/>
  <c r="AT16" i="97"/>
  <c r="BB16" i="97" s="1"/>
  <c r="AT17" i="97"/>
  <c r="BB17" i="97" s="1"/>
  <c r="AS18" i="97"/>
  <c r="BA18" i="97" s="1"/>
  <c r="AR22" i="97"/>
  <c r="AZ22" i="97" s="1"/>
  <c r="AR104" i="97"/>
  <c r="AZ104" i="97" s="1"/>
  <c r="AS39" i="97"/>
  <c r="BA39" i="97" s="1"/>
  <c r="AT72" i="97"/>
  <c r="BB72" i="97" s="1"/>
  <c r="AT119" i="97"/>
  <c r="BB119" i="97" s="1"/>
  <c r="AS89" i="97"/>
  <c r="BA89" i="97" s="1"/>
  <c r="E4" i="55"/>
  <c r="D4" i="55"/>
  <c r="Q5" i="6"/>
  <c r="AR20" i="97"/>
  <c r="AZ20" i="97" s="1"/>
  <c r="AS42" i="97"/>
  <c r="BA42" i="97" s="1"/>
  <c r="AS53" i="97"/>
  <c r="BA53" i="97" s="1"/>
  <c r="AT62" i="97"/>
  <c r="BB62" i="97" s="1"/>
  <c r="AT89" i="97"/>
  <c r="BB89" i="97" s="1"/>
  <c r="AS94" i="97"/>
  <c r="BA94" i="97" s="1"/>
  <c r="BC94" i="97" s="1"/>
  <c r="Q4" i="95"/>
  <c r="AS26" i="97"/>
  <c r="BA26" i="97" s="1"/>
  <c r="AS24" i="97"/>
  <c r="BA24" i="97" s="1"/>
  <c r="AS106" i="97"/>
  <c r="BA106" i="97" s="1"/>
  <c r="AR44" i="97"/>
  <c r="AZ44" i="97" s="1"/>
  <c r="AC4" i="56"/>
  <c r="M4" i="92"/>
  <c r="I15" i="1"/>
  <c r="I18" i="1"/>
  <c r="I21" i="1"/>
  <c r="G118" i="1"/>
  <c r="G119" i="1"/>
  <c r="M57" i="1"/>
  <c r="I4" i="41"/>
  <c r="I52" i="41"/>
  <c r="E58" i="41"/>
  <c r="M62" i="41"/>
  <c r="Y63" i="41"/>
  <c r="Y87" i="41"/>
  <c r="I88" i="41"/>
  <c r="U93" i="41"/>
  <c r="E94" i="41"/>
  <c r="M94" i="41"/>
  <c r="I100" i="41"/>
  <c r="E102" i="41"/>
  <c r="U105" i="41"/>
  <c r="E110" i="41"/>
  <c r="M110" i="41"/>
  <c r="Y111" i="41"/>
  <c r="U117" i="41"/>
  <c r="M118" i="41"/>
  <c r="I120" i="41"/>
  <c r="U121" i="41"/>
  <c r="U17" i="41"/>
  <c r="M18" i="41"/>
  <c r="Y19" i="41"/>
  <c r="E62" i="41"/>
  <c r="I80" i="41"/>
  <c r="U85" i="41"/>
  <c r="M98" i="41"/>
  <c r="E106" i="41"/>
  <c r="M114" i="41"/>
  <c r="E113" i="39"/>
  <c r="M114" i="39"/>
  <c r="U114" i="39"/>
  <c r="M115" i="39"/>
  <c r="U116" i="39"/>
  <c r="M118" i="39"/>
  <c r="U121" i="39"/>
  <c r="M122" i="39"/>
  <c r="U122" i="39"/>
  <c r="E123" i="39"/>
  <c r="U123" i="39"/>
  <c r="Q6" i="40"/>
  <c r="Y6" i="40"/>
  <c r="U12" i="40"/>
  <c r="E13" i="40"/>
  <c r="I15" i="40"/>
  <c r="Q15" i="40"/>
  <c r="Y15" i="40"/>
  <c r="I16" i="40"/>
  <c r="Q16" i="40"/>
  <c r="Y16" i="40"/>
  <c r="M18" i="40"/>
  <c r="I22" i="40"/>
  <c r="Q22" i="40"/>
  <c r="Y22" i="40"/>
  <c r="I23" i="40"/>
  <c r="Q23" i="40"/>
  <c r="Y23" i="40"/>
  <c r="U29" i="40"/>
  <c r="E30" i="40"/>
  <c r="I31" i="40"/>
  <c r="Q31" i="40"/>
  <c r="Y31" i="40"/>
  <c r="I32" i="40"/>
  <c r="Q32" i="40"/>
  <c r="Y32" i="40"/>
  <c r="I33" i="40"/>
  <c r="Q33" i="40"/>
  <c r="Y33" i="40"/>
  <c r="M35" i="40"/>
  <c r="Q39" i="40"/>
  <c r="Y39" i="40"/>
  <c r="I40" i="40"/>
  <c r="Q40" i="40"/>
  <c r="Y40" i="40"/>
  <c r="I41" i="40"/>
  <c r="Q41" i="40"/>
  <c r="Y41" i="40"/>
  <c r="I42" i="40"/>
  <c r="Q42" i="40"/>
  <c r="Y42" i="40"/>
  <c r="M45" i="40"/>
  <c r="I47" i="40"/>
  <c r="Q47" i="40"/>
  <c r="Y47" i="40"/>
  <c r="I48" i="40"/>
  <c r="Q48" i="40"/>
  <c r="Y48" i="40"/>
  <c r="U50" i="40"/>
  <c r="E51" i="40"/>
  <c r="U52" i="40"/>
  <c r="Q57" i="40"/>
  <c r="Y57" i="40"/>
  <c r="I68" i="40"/>
  <c r="Q68" i="40"/>
  <c r="I5" i="41"/>
  <c r="E7" i="41"/>
  <c r="I9" i="41"/>
  <c r="U10" i="41"/>
  <c r="M11" i="41"/>
  <c r="Y12" i="41"/>
  <c r="I13" i="41"/>
  <c r="U14" i="41"/>
  <c r="M15" i="41"/>
  <c r="Y16" i="41"/>
  <c r="I17" i="41"/>
  <c r="M19" i="41"/>
  <c r="Y20" i="41"/>
  <c r="M23" i="41"/>
  <c r="Y24" i="41"/>
  <c r="I29" i="41"/>
  <c r="M35" i="41"/>
  <c r="Y40" i="41"/>
  <c r="I41" i="41"/>
  <c r="I69" i="41"/>
  <c r="P40" i="85"/>
  <c r="P56" i="85"/>
  <c r="P80" i="85"/>
  <c r="P84" i="85"/>
  <c r="P105" i="85"/>
  <c r="T118" i="85"/>
  <c r="P11" i="85"/>
  <c r="P19" i="85"/>
  <c r="T23" i="85"/>
  <c r="P31" i="85"/>
  <c r="P33" i="85"/>
  <c r="P35" i="85"/>
  <c r="T39" i="85"/>
  <c r="P43" i="85"/>
  <c r="P47" i="85"/>
  <c r="P59" i="85"/>
  <c r="P79" i="85"/>
  <c r="P92" i="85"/>
  <c r="T96" i="85"/>
  <c r="P112" i="85"/>
  <c r="P124" i="85"/>
  <c r="T21" i="85"/>
  <c r="P25" i="85"/>
  <c r="T29" i="85"/>
  <c r="T37" i="85"/>
  <c r="T45" i="85"/>
  <c r="P61" i="85"/>
  <c r="T65" i="85"/>
  <c r="T101" i="85"/>
  <c r="P17" i="85"/>
  <c r="P86" i="85"/>
  <c r="P22" i="85"/>
  <c r="T97" i="85"/>
  <c r="P76" i="85"/>
  <c r="G6" i="85"/>
  <c r="T12" i="85"/>
  <c r="T105" i="85"/>
  <c r="T43" i="85"/>
  <c r="T51" i="85"/>
  <c r="T55" i="85"/>
  <c r="T59" i="85"/>
  <c r="T67" i="85"/>
  <c r="T71" i="85"/>
  <c r="T79" i="85"/>
  <c r="P83" i="85"/>
  <c r="P87" i="85"/>
  <c r="T91" i="85"/>
  <c r="P96" i="85"/>
  <c r="T100" i="85"/>
  <c r="P104" i="85"/>
  <c r="P108" i="85"/>
  <c r="T112" i="85"/>
  <c r="P116" i="85"/>
  <c r="T120" i="85"/>
  <c r="T124" i="85"/>
  <c r="P72" i="85"/>
  <c r="P119" i="85"/>
  <c r="T108" i="85"/>
  <c r="P98" i="85"/>
  <c r="T35" i="85"/>
  <c r="P78" i="85"/>
  <c r="T109" i="85"/>
  <c r="T113" i="85"/>
  <c r="X6" i="85"/>
  <c r="F174" i="1" s="1"/>
  <c r="S6" i="85"/>
  <c r="P16" i="85"/>
  <c r="P18" i="85"/>
  <c r="T19" i="85"/>
  <c r="T22" i="85"/>
  <c r="P23" i="85"/>
  <c r="P24" i="85"/>
  <c r="T26" i="85"/>
  <c r="T27" i="85"/>
  <c r="P28" i="85"/>
  <c r="T30" i="85"/>
  <c r="T31" i="85"/>
  <c r="P39" i="85"/>
  <c r="P41" i="85"/>
  <c r="P49" i="85"/>
  <c r="P53" i="85"/>
  <c r="P57" i="85"/>
  <c r="T63" i="85"/>
  <c r="P102" i="85"/>
  <c r="P114" i="85"/>
  <c r="P27" i="85"/>
  <c r="P68" i="85"/>
  <c r="P113" i="85"/>
  <c r="P117" i="85"/>
  <c r="T93" i="85"/>
  <c r="T74" i="85"/>
  <c r="P100" i="85"/>
  <c r="T89" i="85"/>
  <c r="T87" i="85"/>
  <c r="T80" i="85"/>
  <c r="P126" i="85"/>
  <c r="K6" i="85"/>
  <c r="T17" i="85"/>
  <c r="Z24" i="85"/>
  <c r="T32" i="85"/>
  <c r="Z49" i="85"/>
  <c r="Z53" i="85"/>
  <c r="P90" i="85"/>
  <c r="P99" i="85"/>
  <c r="P111" i="85"/>
  <c r="P8" i="85"/>
  <c r="P9" i="85"/>
  <c r="P13" i="85"/>
  <c r="P20" i="85"/>
  <c r="P29" i="85"/>
  <c r="P38" i="85"/>
  <c r="P42" i="85"/>
  <c r="P45" i="85"/>
  <c r="P50" i="85"/>
  <c r="P54" i="85"/>
  <c r="P62" i="85"/>
  <c r="T104" i="85"/>
  <c r="T13" i="85"/>
  <c r="T81" i="85"/>
  <c r="P120" i="85"/>
  <c r="T38" i="85"/>
  <c r="T42" i="85"/>
  <c r="T50" i="85"/>
  <c r="P58" i="85"/>
  <c r="T62" i="85"/>
  <c r="P75" i="85"/>
  <c r="Z79" i="85"/>
  <c r="T94" i="85"/>
  <c r="T9" i="85"/>
  <c r="Z19" i="85"/>
  <c r="T40" i="85"/>
  <c r="P44" i="85"/>
  <c r="T48" i="85"/>
  <c r="T52" i="85"/>
  <c r="T56" i="85"/>
  <c r="P60" i="85"/>
  <c r="P64" i="85"/>
  <c r="Z69" i="85"/>
  <c r="Z118" i="85"/>
  <c r="P48" i="85"/>
  <c r="P93" i="85"/>
  <c r="T24" i="85"/>
  <c r="T8" i="85"/>
  <c r="P26" i="85"/>
  <c r="P52" i="85"/>
  <c r="Y6" i="85"/>
  <c r="G174" i="1" s="1"/>
  <c r="P109" i="85"/>
  <c r="T46" i="85"/>
  <c r="T75" i="85"/>
  <c r="T121" i="85"/>
  <c r="P12" i="85"/>
  <c r="P32" i="85"/>
  <c r="P37" i="85"/>
  <c r="P121" i="85"/>
  <c r="P125" i="85"/>
  <c r="P97" i="85"/>
  <c r="P88" i="85"/>
  <c r="T44" i="85"/>
  <c r="H60" i="1"/>
  <c r="G60" i="1"/>
  <c r="H63" i="1"/>
  <c r="G63" i="1"/>
  <c r="H62" i="1"/>
  <c r="G62" i="1"/>
  <c r="H61" i="1"/>
  <c r="G61" i="1"/>
  <c r="F119" i="1"/>
  <c r="F115" i="1"/>
  <c r="E116" i="1"/>
  <c r="D117" i="1"/>
  <c r="D116" i="1"/>
  <c r="D119" i="1"/>
  <c r="F118" i="1"/>
  <c r="E119" i="1"/>
  <c r="E115" i="1"/>
  <c r="F117" i="1"/>
  <c r="D115" i="1"/>
  <c r="F116" i="1"/>
  <c r="E117" i="1"/>
  <c r="D118" i="1"/>
  <c r="E118" i="1"/>
  <c r="U34" i="41"/>
  <c r="D63" i="1"/>
  <c r="C63" i="1"/>
  <c r="D62" i="1"/>
  <c r="C62" i="1"/>
  <c r="D61" i="1"/>
  <c r="C61" i="1"/>
  <c r="D60" i="1"/>
  <c r="C60" i="1"/>
  <c r="Q100" i="40"/>
  <c r="U30" i="41"/>
  <c r="O132" i="73"/>
  <c r="O131" i="73"/>
  <c r="N129" i="73"/>
  <c r="N131" i="73"/>
  <c r="O128" i="73"/>
  <c r="O129" i="73"/>
  <c r="N128" i="73"/>
  <c r="N130" i="73"/>
  <c r="M132" i="73"/>
  <c r="O130" i="73"/>
  <c r="N132" i="73"/>
  <c r="Q91" i="41"/>
  <c r="U38" i="41"/>
  <c r="Q123" i="41"/>
  <c r="F4" i="56"/>
  <c r="D4" i="56"/>
  <c r="H5" i="79" s="1"/>
  <c r="P7" i="85"/>
  <c r="T7" i="85"/>
  <c r="Z10" i="85"/>
  <c r="P10" i="85"/>
  <c r="T10" i="85"/>
  <c r="Z14" i="85"/>
  <c r="P14" i="85"/>
  <c r="T14" i="85"/>
  <c r="P15" i="85"/>
  <c r="T15" i="85"/>
  <c r="Z34" i="85"/>
  <c r="T34" i="85"/>
  <c r="P34" i="85"/>
  <c r="T36" i="85"/>
  <c r="P36" i="85"/>
  <c r="T66" i="85"/>
  <c r="P66" i="85"/>
  <c r="T70" i="85"/>
  <c r="P70" i="85"/>
  <c r="P123" i="85"/>
  <c r="T123" i="85"/>
  <c r="F4" i="57"/>
  <c r="R20" i="95"/>
  <c r="F4" i="95"/>
  <c r="R4" i="95" s="1"/>
  <c r="G4" i="53"/>
  <c r="E4" i="53"/>
  <c r="E4" i="24"/>
  <c r="G4" i="24"/>
  <c r="I4" i="24"/>
  <c r="F46" i="1" s="1"/>
  <c r="K4" i="24"/>
  <c r="F48" i="1" s="1"/>
  <c r="M4" i="24"/>
  <c r="F50" i="1" s="1"/>
  <c r="O4" i="24"/>
  <c r="F52" i="1" s="1"/>
  <c r="F122" i="38"/>
  <c r="Z114" i="85"/>
  <c r="T114" i="85"/>
  <c r="I133" i="75"/>
  <c r="J133" i="75"/>
  <c r="T16" i="85"/>
  <c r="Z20" i="85"/>
  <c r="T20" i="85"/>
  <c r="Z54" i="85"/>
  <c r="T54" i="85"/>
  <c r="AT75" i="97"/>
  <c r="BB75" i="97" s="1"/>
  <c r="W78" i="79"/>
  <c r="J109" i="1"/>
  <c r="F109" i="1"/>
  <c r="K108" i="1"/>
  <c r="G108" i="1"/>
  <c r="H107" i="1"/>
  <c r="D107" i="1"/>
  <c r="G106" i="1"/>
  <c r="I109" i="1"/>
  <c r="E109" i="1"/>
  <c r="J108" i="1"/>
  <c r="F108" i="1"/>
  <c r="K107" i="1"/>
  <c r="G107" i="1"/>
  <c r="F106" i="1"/>
  <c r="H109" i="1"/>
  <c r="D109" i="1"/>
  <c r="I108" i="1"/>
  <c r="E108" i="1"/>
  <c r="J107" i="1"/>
  <c r="F107" i="1"/>
  <c r="K106" i="1"/>
  <c r="E106" i="1"/>
  <c r="K109" i="1"/>
  <c r="G109" i="1"/>
  <c r="H108" i="1"/>
  <c r="D108" i="1"/>
  <c r="I107" i="1"/>
  <c r="E107" i="1"/>
  <c r="H106" i="1"/>
  <c r="D106" i="1"/>
  <c r="Q88" i="39"/>
  <c r="U6" i="40"/>
  <c r="E23" i="40"/>
  <c r="Q27" i="40"/>
  <c r="U48" i="40"/>
  <c r="M70" i="40"/>
  <c r="M79" i="40"/>
  <c r="U79" i="40"/>
  <c r="I84" i="40"/>
  <c r="Y107" i="40"/>
  <c r="M111" i="40"/>
  <c r="M116" i="40"/>
  <c r="U116" i="40"/>
  <c r="E21" i="41"/>
  <c r="M21" i="41"/>
  <c r="Q22" i="41"/>
  <c r="Y22" i="41"/>
  <c r="I23" i="41"/>
  <c r="U24" i="41"/>
  <c r="E25" i="41"/>
  <c r="M25" i="41"/>
  <c r="Y26" i="41"/>
  <c r="I27" i="41"/>
  <c r="U28" i="41"/>
  <c r="E29" i="41"/>
  <c r="M29" i="41"/>
  <c r="Q30" i="41"/>
  <c r="Y30" i="41"/>
  <c r="I31" i="41"/>
  <c r="U32" i="41"/>
  <c r="E33" i="41"/>
  <c r="M33" i="41"/>
  <c r="Y34" i="41"/>
  <c r="I35" i="41"/>
  <c r="U36" i="41"/>
  <c r="E37" i="41"/>
  <c r="M37" i="41"/>
  <c r="Q38" i="41"/>
  <c r="Y38" i="41"/>
  <c r="I39" i="41"/>
  <c r="U40" i="41"/>
  <c r="E41" i="41"/>
  <c r="Y42" i="41"/>
  <c r="U44" i="41"/>
  <c r="E45" i="41"/>
  <c r="M45" i="41"/>
  <c r="Q46" i="41"/>
  <c r="I47" i="41"/>
  <c r="U48" i="41"/>
  <c r="M49" i="41"/>
  <c r="Y50" i="41"/>
  <c r="I51" i="41"/>
  <c r="E53" i="41"/>
  <c r="M53" i="41"/>
  <c r="Y54" i="41"/>
  <c r="I55" i="41"/>
  <c r="U56" i="41"/>
  <c r="M57" i="41"/>
  <c r="Y58" i="41"/>
  <c r="U60" i="41"/>
  <c r="E61" i="41"/>
  <c r="M61" i="41"/>
  <c r="Y62" i="41"/>
  <c r="I63" i="41"/>
  <c r="U64" i="41"/>
  <c r="E65" i="41"/>
  <c r="M65" i="41"/>
  <c r="Y66" i="41"/>
  <c r="I67" i="41"/>
  <c r="U68" i="41"/>
  <c r="E69" i="41"/>
  <c r="M69" i="41"/>
  <c r="Y70" i="41"/>
  <c r="I71" i="41"/>
  <c r="U72" i="41"/>
  <c r="M73" i="41"/>
  <c r="I75" i="41"/>
  <c r="U76" i="41"/>
  <c r="E77" i="41"/>
  <c r="M77" i="41"/>
  <c r="Q78" i="41"/>
  <c r="Y78" i="41"/>
  <c r="I79" i="41"/>
  <c r="E81" i="41"/>
  <c r="M81" i="41"/>
  <c r="Y82" i="41"/>
  <c r="I83" i="41"/>
  <c r="U84" i="41"/>
  <c r="E85" i="41"/>
  <c r="M85" i="41"/>
  <c r="Y86" i="41"/>
  <c r="I87" i="41"/>
  <c r="U88" i="41"/>
  <c r="E89" i="41"/>
  <c r="M89" i="41"/>
  <c r="Y90" i="41"/>
  <c r="U92" i="41"/>
  <c r="E93" i="41"/>
  <c r="M93" i="41"/>
  <c r="Y94" i="41"/>
  <c r="I95" i="41"/>
  <c r="U96" i="41"/>
  <c r="E97" i="41"/>
  <c r="M97" i="41"/>
  <c r="Y98" i="41"/>
  <c r="I99" i="41"/>
  <c r="U100" i="41"/>
  <c r="E101" i="41"/>
  <c r="M101" i="41"/>
  <c r="Y102" i="41"/>
  <c r="I103" i="41"/>
  <c r="U104" i="41"/>
  <c r="E105" i="41"/>
  <c r="M105" i="41"/>
  <c r="Y106" i="41"/>
  <c r="I107" i="41"/>
  <c r="U108" i="41"/>
  <c r="E109" i="41"/>
  <c r="M109" i="41"/>
  <c r="Q110" i="41"/>
  <c r="Y110" i="41"/>
  <c r="I111" i="41"/>
  <c r="U112" i="41"/>
  <c r="M113" i="41"/>
  <c r="Y114" i="41"/>
  <c r="U116" i="41"/>
  <c r="M117" i="41"/>
  <c r="Q118" i="41"/>
  <c r="Y118" i="41"/>
  <c r="I119" i="41"/>
  <c r="U120" i="41"/>
  <c r="M121" i="41"/>
  <c r="Y122" i="41"/>
  <c r="I123" i="41"/>
  <c r="Z9" i="85"/>
  <c r="Z27" i="85"/>
  <c r="Z39" i="85"/>
  <c r="Z40" i="85"/>
  <c r="Z48" i="85"/>
  <c r="Z52" i="85"/>
  <c r="Z58" i="85"/>
  <c r="Z62" i="85"/>
  <c r="Z68" i="85"/>
  <c r="Z78" i="85"/>
  <c r="T84" i="85"/>
  <c r="Z87" i="85"/>
  <c r="Z92" i="85"/>
  <c r="Z96" i="85"/>
  <c r="Z100" i="85"/>
  <c r="Z104" i="85"/>
  <c r="Z108" i="85"/>
  <c r="Z112" i="85"/>
  <c r="Z126" i="85"/>
  <c r="I130" i="75"/>
  <c r="P132" i="75"/>
  <c r="P133" i="75"/>
  <c r="R129" i="72"/>
  <c r="AS104" i="97"/>
  <c r="BA104" i="97" s="1"/>
  <c r="AS63" i="97"/>
  <c r="BA63" i="97" s="1"/>
  <c r="AR82" i="97"/>
  <c r="AZ82" i="97" s="1"/>
  <c r="AS86" i="97"/>
  <c r="BA86" i="97" s="1"/>
  <c r="AS126" i="97"/>
  <c r="BA126" i="97" s="1"/>
  <c r="Z12" i="85"/>
  <c r="Z17" i="85"/>
  <c r="Z22" i="85"/>
  <c r="Z26" i="85"/>
  <c r="Z31" i="85"/>
  <c r="Z32" i="85"/>
  <c r="Z37" i="85"/>
  <c r="Z38" i="85"/>
  <c r="T47" i="85"/>
  <c r="Z61" i="85"/>
  <c r="P67" i="85"/>
  <c r="Z72" i="85"/>
  <c r="P77" i="85"/>
  <c r="Z86" i="85"/>
  <c r="Z90" i="85"/>
  <c r="Z95" i="85"/>
  <c r="T99" i="85"/>
  <c r="Z107" i="85"/>
  <c r="Z120" i="85"/>
  <c r="Z125" i="85"/>
  <c r="AS25" i="97"/>
  <c r="BA25" i="97" s="1"/>
  <c r="Z15" i="85"/>
  <c r="Z16" i="85"/>
  <c r="Z21" i="85"/>
  <c r="Z25" i="85"/>
  <c r="Z29" i="85"/>
  <c r="Z30" i="85"/>
  <c r="Z42" i="85"/>
  <c r="Z50" i="85"/>
  <c r="Z56" i="85"/>
  <c r="Z60" i="85"/>
  <c r="Z70" i="85"/>
  <c r="Z80" i="85"/>
  <c r="Z85" i="85"/>
  <c r="Z89" i="85"/>
  <c r="Z102" i="85"/>
  <c r="Z106" i="85"/>
  <c r="Z115" i="85"/>
  <c r="Z119" i="85"/>
  <c r="P129" i="72"/>
  <c r="P133" i="72"/>
  <c r="Q130" i="72"/>
  <c r="S131" i="72"/>
  <c r="AS61" i="97"/>
  <c r="BA61" i="97" s="1"/>
  <c r="AS55" i="97"/>
  <c r="BA55" i="97" s="1"/>
  <c r="AS49" i="97"/>
  <c r="BA49" i="97" s="1"/>
  <c r="AR33" i="97"/>
  <c r="AZ33" i="97" s="1"/>
  <c r="AR43" i="97"/>
  <c r="AZ43" i="97" s="1"/>
  <c r="BC43" i="97" s="1"/>
  <c r="AS44" i="97"/>
  <c r="BA44" i="97" s="1"/>
  <c r="AR47" i="97"/>
  <c r="AZ47" i="97" s="1"/>
  <c r="BC47" i="97" s="1"/>
  <c r="AS50" i="97"/>
  <c r="BA50" i="97" s="1"/>
  <c r="AT54" i="97"/>
  <c r="BB54" i="97" s="1"/>
  <c r="AS114" i="97"/>
  <c r="BA114" i="97" s="1"/>
  <c r="AS64" i="97"/>
  <c r="BA64" i="97" s="1"/>
  <c r="AT68" i="97"/>
  <c r="BB68" i="97" s="1"/>
  <c r="AT118" i="97"/>
  <c r="BB118" i="97" s="1"/>
  <c r="AS84" i="97"/>
  <c r="BA84" i="97" s="1"/>
  <c r="AT90" i="97"/>
  <c r="BB90" i="97" s="1"/>
  <c r="BC90" i="97" s="1"/>
  <c r="AR91" i="97"/>
  <c r="AZ91" i="97" s="1"/>
  <c r="AT95" i="97"/>
  <c r="BB95" i="97" s="1"/>
  <c r="BC95" i="97" s="1"/>
  <c r="AS96" i="97"/>
  <c r="BA96" i="97" s="1"/>
  <c r="V4" i="95"/>
  <c r="AR78" i="97"/>
  <c r="AZ78" i="97" s="1"/>
  <c r="BC78" i="97" s="1"/>
  <c r="BC77" i="97"/>
  <c r="AS57" i="97"/>
  <c r="BA57" i="97" s="1"/>
  <c r="AT66" i="97"/>
  <c r="BB66" i="97" s="1"/>
  <c r="AS19" i="97"/>
  <c r="BA19" i="97" s="1"/>
  <c r="AS117" i="97"/>
  <c r="BA117" i="97" s="1"/>
  <c r="AS108" i="97"/>
  <c r="BA108" i="97" s="1"/>
  <c r="AT52" i="97"/>
  <c r="BB52" i="97" s="1"/>
  <c r="AR37" i="97"/>
  <c r="AZ37" i="97" s="1"/>
  <c r="AR31" i="97"/>
  <c r="AZ31" i="97" s="1"/>
  <c r="BC31" i="97" s="1"/>
  <c r="AS12" i="97"/>
  <c r="BA12" i="97" s="1"/>
  <c r="BC12" i="97" s="1"/>
  <c r="AT18" i="97"/>
  <c r="BB18" i="97" s="1"/>
  <c r="AR27" i="97"/>
  <c r="AZ27" i="97" s="1"/>
  <c r="AS6" i="97"/>
  <c r="BA6" i="97" s="1"/>
  <c r="AR7" i="97"/>
  <c r="AZ7" i="97" s="1"/>
  <c r="AT7" i="97"/>
  <c r="BB7" i="97" s="1"/>
  <c r="AS9" i="97"/>
  <c r="BA9" i="97" s="1"/>
  <c r="BC9" i="97" s="1"/>
  <c r="AR10" i="97"/>
  <c r="AZ10" i="97" s="1"/>
  <c r="AS13" i="97"/>
  <c r="BA13" i="97" s="1"/>
  <c r="AR14" i="97"/>
  <c r="AZ14" i="97" s="1"/>
  <c r="AT14" i="97"/>
  <c r="BB14" i="97" s="1"/>
  <c r="AR18" i="97"/>
  <c r="AZ18" i="97" s="1"/>
  <c r="AT103" i="97"/>
  <c r="BB103" i="97" s="1"/>
  <c r="AT20" i="97"/>
  <c r="BB20" i="97" s="1"/>
  <c r="AT21" i="97"/>
  <c r="BB21" i="97" s="1"/>
  <c r="AT23" i="97"/>
  <c r="BB23" i="97" s="1"/>
  <c r="AS27" i="97"/>
  <c r="BA27" i="97" s="1"/>
  <c r="AR28" i="97"/>
  <c r="AZ28" i="97" s="1"/>
  <c r="AT28" i="97"/>
  <c r="BB28" i="97" s="1"/>
  <c r="AR29" i="97"/>
  <c r="AZ29" i="97" s="1"/>
  <c r="AT29" i="97"/>
  <c r="BB29" i="97" s="1"/>
  <c r="AT106" i="97"/>
  <c r="BB106" i="97" s="1"/>
  <c r="AR40" i="97"/>
  <c r="AZ40" i="97" s="1"/>
  <c r="AR41" i="97"/>
  <c r="AZ41" i="97" s="1"/>
  <c r="AR42" i="97"/>
  <c r="AZ42" i="97" s="1"/>
  <c r="AR46" i="97"/>
  <c r="AZ46" i="97" s="1"/>
  <c r="AS46" i="97"/>
  <c r="BA46" i="97" s="1"/>
  <c r="AT47" i="97"/>
  <c r="BB47" i="97" s="1"/>
  <c r="AT50" i="97"/>
  <c r="BB50" i="97" s="1"/>
  <c r="AR111" i="97"/>
  <c r="AZ111" i="97" s="1"/>
  <c r="AT111" i="97"/>
  <c r="BB111" i="97" s="1"/>
  <c r="AR54" i="97"/>
  <c r="AZ54" i="97" s="1"/>
  <c r="AT58" i="97"/>
  <c r="BB58" i="97" s="1"/>
  <c r="AS62" i="97"/>
  <c r="BA62" i="97" s="1"/>
  <c r="AR64" i="97"/>
  <c r="AZ64" i="97" s="1"/>
  <c r="AR70" i="97"/>
  <c r="AZ70" i="97" s="1"/>
  <c r="AT74" i="97"/>
  <c r="BB74" i="97" s="1"/>
  <c r="AS118" i="97"/>
  <c r="BA118" i="97" s="1"/>
  <c r="AT79" i="97"/>
  <c r="BB79" i="97" s="1"/>
  <c r="AT81" i="97"/>
  <c r="BB81" i="97" s="1"/>
  <c r="AS124" i="97"/>
  <c r="BA124" i="97" s="1"/>
  <c r="AS121" i="97"/>
  <c r="BA121" i="97" s="1"/>
  <c r="AS68" i="97"/>
  <c r="BA68" i="97" s="1"/>
  <c r="AS110" i="97"/>
  <c r="BA110" i="97" s="1"/>
  <c r="AR15" i="97"/>
  <c r="AZ15" i="97" s="1"/>
  <c r="AR109" i="97"/>
  <c r="AZ109" i="97" s="1"/>
  <c r="AT35" i="97"/>
  <c r="BB35" i="97" s="1"/>
  <c r="AS56" i="97"/>
  <c r="BA56" i="97" s="1"/>
  <c r="AS30" i="97"/>
  <c r="BA30" i="97" s="1"/>
  <c r="AR8" i="97"/>
  <c r="AZ8" i="97" s="1"/>
  <c r="AS102" i="97"/>
  <c r="BA102" i="97" s="1"/>
  <c r="AT10" i="97"/>
  <c r="BB10" i="97" s="1"/>
  <c r="AT15" i="97"/>
  <c r="BB15" i="97" s="1"/>
  <c r="AS16" i="97"/>
  <c r="BA16" i="97" s="1"/>
  <c r="AR17" i="97"/>
  <c r="AZ17" i="97" s="1"/>
  <c r="AR19" i="97"/>
  <c r="AZ19" i="97" s="1"/>
  <c r="BC19" i="97" s="1"/>
  <c r="AR23" i="97"/>
  <c r="AZ23" i="97" s="1"/>
  <c r="AT25" i="97"/>
  <c r="BB25" i="97" s="1"/>
  <c r="AT104" i="97"/>
  <c r="BB104" i="97" s="1"/>
  <c r="AT105" i="97"/>
  <c r="BB105" i="97" s="1"/>
  <c r="AS105" i="97"/>
  <c r="BA105" i="97" s="1"/>
  <c r="AR30" i="97"/>
  <c r="AZ30" i="97" s="1"/>
  <c r="AS32" i="97"/>
  <c r="BA32" i="97" s="1"/>
  <c r="AS35" i="97"/>
  <c r="BA35" i="97" s="1"/>
  <c r="AS37" i="97"/>
  <c r="BA37" i="97" s="1"/>
  <c r="AR108" i="97"/>
  <c r="AZ108" i="97" s="1"/>
  <c r="AS109" i="97"/>
  <c r="BA109" i="97" s="1"/>
  <c r="AT41" i="97"/>
  <c r="BB41" i="97" s="1"/>
  <c r="AT45" i="97"/>
  <c r="BB45" i="97" s="1"/>
  <c r="AS45" i="97"/>
  <c r="BA45" i="97" s="1"/>
  <c r="AR110" i="97"/>
  <c r="AZ110" i="97" s="1"/>
  <c r="AT110" i="97"/>
  <c r="BB110" i="97" s="1"/>
  <c r="AR49" i="97"/>
  <c r="AZ49" i="97" s="1"/>
  <c r="AR51" i="97"/>
  <c r="AZ51" i="97" s="1"/>
  <c r="AT51" i="97"/>
  <c r="BB51" i="97" s="1"/>
  <c r="AS51" i="97"/>
  <c r="BA51" i="97" s="1"/>
  <c r="AT57" i="97"/>
  <c r="BB57" i="97" s="1"/>
  <c r="AT59" i="97"/>
  <c r="BB59" i="97" s="1"/>
  <c r="AR60" i="97"/>
  <c r="AZ60" i="97" s="1"/>
  <c r="AT64" i="97"/>
  <c r="BB64" i="97" s="1"/>
  <c r="AR117" i="97"/>
  <c r="AZ117" i="97" s="1"/>
  <c r="AT71" i="97"/>
  <c r="BB71" i="97" s="1"/>
  <c r="AS74" i="97"/>
  <c r="BA74" i="97" s="1"/>
  <c r="AR118" i="97"/>
  <c r="AZ118" i="97" s="1"/>
  <c r="AR79" i="97"/>
  <c r="AZ79" i="97" s="1"/>
  <c r="AR81" i="97"/>
  <c r="AZ81" i="97" s="1"/>
  <c r="AR121" i="97"/>
  <c r="AZ121" i="97" s="1"/>
  <c r="AT83" i="97"/>
  <c r="BB83" i="97" s="1"/>
  <c r="AR84" i="97"/>
  <c r="AZ84" i="97" s="1"/>
  <c r="AS85" i="97"/>
  <c r="BA85" i="97" s="1"/>
  <c r="AT85" i="97"/>
  <c r="BB85" i="97" s="1"/>
  <c r="AR92" i="97"/>
  <c r="AZ92" i="97" s="1"/>
  <c r="AR96" i="97"/>
  <c r="AZ96" i="97" s="1"/>
  <c r="AR125" i="97"/>
  <c r="AZ125" i="97" s="1"/>
  <c r="AR101" i="97"/>
  <c r="AZ101" i="97" s="1"/>
  <c r="N4" i="92"/>
  <c r="O4" i="92"/>
  <c r="N5" i="6"/>
  <c r="Q55" i="41"/>
  <c r="Q15" i="41"/>
  <c r="Q59" i="41"/>
  <c r="Q50" i="41"/>
  <c r="Q58" i="41"/>
  <c r="Q82" i="41"/>
  <c r="Q98" i="41"/>
  <c r="Q106" i="41"/>
  <c r="Q114" i="41"/>
  <c r="Q122" i="41"/>
  <c r="U78" i="41"/>
  <c r="I120" i="40"/>
  <c r="I98" i="40"/>
  <c r="M41" i="41"/>
  <c r="U80" i="41"/>
  <c r="M4" i="41"/>
  <c r="Y5" i="41"/>
  <c r="I6" i="41"/>
  <c r="U7" i="41"/>
  <c r="E8" i="41"/>
  <c r="Q9" i="41"/>
  <c r="I10" i="41"/>
  <c r="U11" i="41"/>
  <c r="E12" i="41"/>
  <c r="M12" i="41"/>
  <c r="Y13" i="41"/>
  <c r="I14" i="41"/>
  <c r="U15" i="41"/>
  <c r="Q17" i="41"/>
  <c r="Y17" i="41"/>
  <c r="E20" i="41"/>
  <c r="Y21" i="41"/>
  <c r="I22" i="41"/>
  <c r="M24" i="41"/>
  <c r="Q25" i="41"/>
  <c r="U27" i="41"/>
  <c r="E28" i="41"/>
  <c r="M28" i="41"/>
  <c r="Q29" i="41"/>
  <c r="I30" i="41"/>
  <c r="U31" i="41"/>
  <c r="M32" i="41"/>
  <c r="Q33" i="41"/>
  <c r="Y33" i="41"/>
  <c r="I34" i="41"/>
  <c r="U35" i="41"/>
  <c r="Q37" i="41"/>
  <c r="Y37" i="41"/>
  <c r="U39" i="41"/>
  <c r="M40" i="41"/>
  <c r="Q41" i="41"/>
  <c r="Y41" i="41"/>
  <c r="I42" i="41"/>
  <c r="U43" i="41"/>
  <c r="I46" i="41"/>
  <c r="U47" i="41"/>
  <c r="E48" i="41"/>
  <c r="M48" i="41"/>
  <c r="Y49" i="41"/>
  <c r="I50" i="41"/>
  <c r="E52" i="41"/>
  <c r="Q53" i="41"/>
  <c r="Y53" i="41"/>
  <c r="I54" i="41"/>
  <c r="U55" i="41"/>
  <c r="E56" i="41"/>
  <c r="Q57" i="41"/>
  <c r="Y57" i="41"/>
  <c r="I58" i="41"/>
  <c r="U59" i="41"/>
  <c r="M60" i="41"/>
  <c r="Q61" i="41"/>
  <c r="Y61" i="41"/>
  <c r="I62" i="41"/>
  <c r="U63" i="41"/>
  <c r="E64" i="41"/>
  <c r="Y65" i="41"/>
  <c r="U67" i="41"/>
  <c r="E68" i="41"/>
  <c r="M68" i="41"/>
  <c r="Q69" i="41"/>
  <c r="Y69" i="41"/>
  <c r="I70" i="41"/>
  <c r="U71" i="41"/>
  <c r="E72" i="41"/>
  <c r="Y73" i="41"/>
  <c r="I74" i="41"/>
  <c r="U75" i="41"/>
  <c r="E76" i="41"/>
  <c r="Q77" i="41"/>
  <c r="I78" i="41"/>
  <c r="U79" i="41"/>
  <c r="E80" i="41"/>
  <c r="M80" i="41"/>
  <c r="Q81" i="41"/>
  <c r="I82" i="41"/>
  <c r="U83" i="41"/>
  <c r="E84" i="41"/>
  <c r="M84" i="41"/>
  <c r="Q85" i="41"/>
  <c r="Y85" i="41"/>
  <c r="I86" i="41"/>
  <c r="U87" i="41"/>
  <c r="M88" i="41"/>
  <c r="I90" i="41"/>
  <c r="U91" i="41"/>
  <c r="E92" i="41"/>
  <c r="M92" i="41"/>
  <c r="Q93" i="41"/>
  <c r="Y93" i="41"/>
  <c r="I94" i="41"/>
  <c r="U95" i="41"/>
  <c r="E96" i="41"/>
  <c r="M96" i="41"/>
  <c r="Y97" i="41"/>
  <c r="I98" i="41"/>
  <c r="U99" i="41"/>
  <c r="E100" i="41"/>
  <c r="M100" i="41"/>
  <c r="Q101" i="41"/>
  <c r="U103" i="41"/>
  <c r="E104" i="41"/>
  <c r="M104" i="41"/>
  <c r="Y105" i="41"/>
  <c r="I106" i="41"/>
  <c r="U107" i="41"/>
  <c r="E108" i="41"/>
  <c r="M108" i="41"/>
  <c r="Q109" i="41"/>
  <c r="Y109" i="41"/>
  <c r="I110" i="41"/>
  <c r="U111" i="41"/>
  <c r="E112" i="41"/>
  <c r="M112" i="41"/>
  <c r="Y113" i="41"/>
  <c r="I114" i="41"/>
  <c r="U115" i="41"/>
  <c r="M116" i="41"/>
  <c r="Q117" i="41"/>
  <c r="Y117" i="41"/>
  <c r="U119" i="41"/>
  <c r="E120" i="41"/>
  <c r="M120" i="41"/>
  <c r="I122" i="41"/>
  <c r="U123" i="41"/>
  <c r="U4" i="40"/>
  <c r="U5" i="40"/>
  <c r="M37" i="40"/>
  <c r="U37" i="40"/>
  <c r="E38" i="40"/>
  <c r="U110" i="40"/>
  <c r="U119" i="40"/>
  <c r="E120" i="40"/>
  <c r="M123" i="40"/>
  <c r="U123" i="40"/>
  <c r="Y95" i="41"/>
  <c r="Y123" i="41"/>
  <c r="Y27" i="41"/>
  <c r="E118" i="41"/>
  <c r="U23" i="41"/>
  <c r="Q54" i="41"/>
  <c r="Y29" i="39"/>
  <c r="Y46" i="41"/>
  <c r="U52" i="41"/>
  <c r="E57" i="41"/>
  <c r="I59" i="41"/>
  <c r="Y74" i="41"/>
  <c r="I91" i="41"/>
  <c r="E113" i="41"/>
  <c r="I115" i="41"/>
  <c r="E121" i="41"/>
  <c r="M16" i="41"/>
  <c r="I27" i="39"/>
  <c r="Q62" i="41"/>
  <c r="I11" i="39"/>
  <c r="Y22" i="39"/>
  <c r="Y25" i="39"/>
  <c r="I29" i="39"/>
  <c r="Y89" i="39"/>
  <c r="Y95" i="39"/>
  <c r="Y119" i="39"/>
  <c r="Q73" i="41"/>
  <c r="Q119" i="41"/>
  <c r="Q87" i="41"/>
  <c r="Q4" i="41"/>
  <c r="Y4" i="41"/>
  <c r="U5" i="41"/>
  <c r="M6" i="41"/>
  <c r="U6" i="41"/>
  <c r="M7" i="41"/>
  <c r="Q8" i="41"/>
  <c r="Y8" i="41"/>
  <c r="U9" i="41"/>
  <c r="E10" i="41"/>
  <c r="E11" i="41"/>
  <c r="Y11" i="41"/>
  <c r="E14" i="41"/>
  <c r="E15" i="41"/>
  <c r="Q16" i="41"/>
  <c r="U18" i="41"/>
  <c r="E19" i="41"/>
  <c r="Q24" i="41"/>
  <c r="Q32" i="41"/>
  <c r="Q40" i="41"/>
  <c r="Y43" i="41"/>
  <c r="Q48" i="41"/>
  <c r="Q56" i="41"/>
  <c r="Q64" i="41"/>
  <c r="Y67" i="41"/>
  <c r="Q72" i="41"/>
  <c r="U73" i="41"/>
  <c r="Q80" i="41"/>
  <c r="I84" i="41"/>
  <c r="Q88" i="41"/>
  <c r="Q96" i="41"/>
  <c r="E98" i="41"/>
  <c r="Y103" i="41"/>
  <c r="I104" i="41"/>
  <c r="Q112" i="41"/>
  <c r="E114" i="41"/>
  <c r="Q120" i="41"/>
  <c r="E122" i="41"/>
  <c r="M122" i="41"/>
  <c r="Q89" i="41"/>
  <c r="Q121" i="41"/>
  <c r="M20" i="41"/>
  <c r="I26" i="41"/>
  <c r="E36" i="41"/>
  <c r="E40" i="41"/>
  <c r="E44" i="41"/>
  <c r="M76" i="41"/>
  <c r="Y101" i="41"/>
  <c r="Q45" i="41"/>
  <c r="Q21" i="41"/>
  <c r="Y68" i="40"/>
  <c r="I69" i="40"/>
  <c r="Q69" i="40"/>
  <c r="Y69" i="40"/>
  <c r="I70" i="40"/>
  <c r="Q70" i="40"/>
  <c r="Y70" i="40"/>
  <c r="E75" i="40"/>
  <c r="U75" i="40"/>
  <c r="E76" i="40"/>
  <c r="Q79" i="40"/>
  <c r="Y79" i="40"/>
  <c r="I80" i="40"/>
  <c r="Q80" i="40"/>
  <c r="Y80" i="40"/>
  <c r="I81" i="40"/>
  <c r="Q81" i="40"/>
  <c r="Y81" i="40"/>
  <c r="E86" i="40"/>
  <c r="Q98" i="40"/>
  <c r="Y98" i="40"/>
  <c r="I99" i="40"/>
  <c r="Q99" i="40"/>
  <c r="Y99" i="40"/>
  <c r="I100" i="40"/>
  <c r="Y100" i="40"/>
  <c r="I101" i="40"/>
  <c r="Q101" i="40"/>
  <c r="Y101" i="40"/>
  <c r="M106" i="40"/>
  <c r="M107" i="40"/>
  <c r="I111" i="40"/>
  <c r="Q111" i="40"/>
  <c r="Y111" i="40"/>
  <c r="Q116" i="40"/>
  <c r="Y116" i="40"/>
  <c r="U118" i="40"/>
  <c r="Q120" i="40"/>
  <c r="Y120" i="40"/>
  <c r="M122" i="40"/>
  <c r="U122" i="40"/>
  <c r="Q5" i="41"/>
  <c r="Q13" i="41"/>
  <c r="E24" i="41"/>
  <c r="Y25" i="41"/>
  <c r="Q26" i="41"/>
  <c r="Q66" i="41"/>
  <c r="Q70" i="41"/>
  <c r="Q74" i="41"/>
  <c r="Q86" i="41"/>
  <c r="Q90" i="41"/>
  <c r="Q94" i="41"/>
  <c r="Q102" i="41"/>
  <c r="Q5" i="39"/>
  <c r="Q6" i="39"/>
  <c r="I20" i="39"/>
  <c r="Y20" i="39"/>
  <c r="I30" i="39"/>
  <c r="Q37" i="39"/>
  <c r="Y52" i="39"/>
  <c r="Y55" i="39"/>
  <c r="Y69" i="39"/>
  <c r="I85" i="39"/>
  <c r="Q89" i="39"/>
  <c r="I92" i="39"/>
  <c r="I93" i="39"/>
  <c r="Q98" i="39"/>
  <c r="Y100" i="39"/>
  <c r="I105" i="39"/>
  <c r="Y107" i="39"/>
  <c r="I108" i="39"/>
  <c r="I109" i="39"/>
  <c r="I111" i="39"/>
  <c r="Q113" i="39"/>
  <c r="I114" i="39"/>
  <c r="I115" i="39"/>
  <c r="Y118" i="39"/>
  <c r="U4" i="41"/>
  <c r="E5" i="41"/>
  <c r="M5" i="41"/>
  <c r="Q6" i="41"/>
  <c r="I7" i="41"/>
  <c r="U8" i="41"/>
  <c r="E9" i="41"/>
  <c r="M9" i="41"/>
  <c r="Y10" i="41"/>
  <c r="I11" i="41"/>
  <c r="U12" i="41"/>
  <c r="M13" i="41"/>
  <c r="Q14" i="41"/>
  <c r="Y14" i="41"/>
  <c r="I15" i="41"/>
  <c r="U16" i="41"/>
  <c r="E17" i="41"/>
  <c r="M17" i="41"/>
  <c r="Q18" i="41"/>
  <c r="Y18" i="41"/>
  <c r="I19" i="41"/>
  <c r="U21" i="41"/>
  <c r="E22" i="41"/>
  <c r="M22" i="41"/>
  <c r="Q23" i="41"/>
  <c r="Y23" i="41"/>
  <c r="I24" i="41"/>
  <c r="U25" i="41"/>
  <c r="E26" i="41"/>
  <c r="M26" i="41"/>
  <c r="I28" i="41"/>
  <c r="U29" i="41"/>
  <c r="E30" i="41"/>
  <c r="M30" i="41"/>
  <c r="Q31" i="41"/>
  <c r="Y31" i="41"/>
  <c r="I32" i="41"/>
  <c r="U33" i="41"/>
  <c r="E34" i="41"/>
  <c r="M34" i="41"/>
  <c r="Q35" i="41"/>
  <c r="Y35" i="41"/>
  <c r="I36" i="41"/>
  <c r="U37" i="41"/>
  <c r="E38" i="41"/>
  <c r="M38" i="41"/>
  <c r="Q39" i="41"/>
  <c r="Y39" i="41"/>
  <c r="I40" i="41"/>
  <c r="U41" i="41"/>
  <c r="E42" i="41"/>
  <c r="M42" i="41"/>
  <c r="Q43" i="41"/>
  <c r="I44" i="41"/>
  <c r="U45" i="41"/>
  <c r="E46" i="41"/>
  <c r="M46" i="41"/>
  <c r="Q47" i="41"/>
  <c r="Y47" i="41"/>
  <c r="I48" i="41"/>
  <c r="U49" i="41"/>
  <c r="E50" i="41"/>
  <c r="M50" i="41"/>
  <c r="Q51" i="41"/>
  <c r="Y51" i="41"/>
  <c r="U53" i="41"/>
  <c r="E54" i="41"/>
  <c r="M54" i="41"/>
  <c r="Y55" i="41"/>
  <c r="I56" i="41"/>
  <c r="U57" i="41"/>
  <c r="M58" i="41"/>
  <c r="Y59" i="41"/>
  <c r="I60" i="41"/>
  <c r="U61" i="41"/>
  <c r="Q63" i="41"/>
  <c r="I64" i="41"/>
  <c r="U65" i="41"/>
  <c r="E66" i="41"/>
  <c r="M66" i="41"/>
  <c r="Q67" i="41"/>
  <c r="I68" i="41"/>
  <c r="U69" i="41"/>
  <c r="E70" i="41"/>
  <c r="M70" i="41"/>
  <c r="Q71" i="41"/>
  <c r="Y71" i="41"/>
  <c r="I72" i="41"/>
  <c r="E74" i="41"/>
  <c r="M74" i="41"/>
  <c r="Q75" i="41"/>
  <c r="Y75" i="41"/>
  <c r="I76" i="41"/>
  <c r="U77" i="41"/>
  <c r="E78" i="41"/>
  <c r="M78" i="41"/>
  <c r="Y79" i="41"/>
  <c r="U81" i="41"/>
  <c r="E82" i="41"/>
  <c r="M82" i="41"/>
  <c r="Q83" i="41"/>
  <c r="Y83" i="41"/>
  <c r="E86" i="41"/>
  <c r="M86" i="41"/>
  <c r="U89" i="41"/>
  <c r="E90" i="41"/>
  <c r="M90" i="41"/>
  <c r="Y91" i="41"/>
  <c r="I92" i="41"/>
  <c r="Q95" i="41"/>
  <c r="I96" i="41"/>
  <c r="U97" i="41"/>
  <c r="Q99" i="41"/>
  <c r="Y99" i="41"/>
  <c r="U101" i="41"/>
  <c r="M102" i="41"/>
  <c r="Q103" i="41"/>
  <c r="M106" i="41"/>
  <c r="Q107" i="41"/>
  <c r="Y107" i="41"/>
  <c r="I108" i="41"/>
  <c r="U109" i="41"/>
  <c r="Q111" i="41"/>
  <c r="I112" i="41"/>
  <c r="U113" i="41"/>
  <c r="Q115" i="41"/>
  <c r="Y115" i="41"/>
  <c r="I116" i="41"/>
  <c r="Y119" i="41"/>
  <c r="E6" i="41"/>
  <c r="Y7" i="41"/>
  <c r="I8" i="41"/>
  <c r="M10" i="41"/>
  <c r="Q11" i="41"/>
  <c r="I12" i="41"/>
  <c r="U13" i="41"/>
  <c r="M14" i="41"/>
  <c r="Y15" i="41"/>
  <c r="I16" i="41"/>
  <c r="E18" i="41"/>
  <c r="I20" i="41"/>
  <c r="Q20" i="41"/>
  <c r="I21" i="41"/>
  <c r="U22" i="41"/>
  <c r="E23" i="41"/>
  <c r="I25" i="41"/>
  <c r="U26" i="41"/>
  <c r="E27" i="41"/>
  <c r="M27" i="41"/>
  <c r="Q28" i="41"/>
  <c r="Y28" i="41"/>
  <c r="E31" i="41"/>
  <c r="M31" i="41"/>
  <c r="Y32" i="41"/>
  <c r="I33" i="41"/>
  <c r="E35" i="41"/>
  <c r="Q36" i="41"/>
  <c r="Y36" i="41"/>
  <c r="I37" i="41"/>
  <c r="E39" i="41"/>
  <c r="M39" i="41"/>
  <c r="U42" i="41"/>
  <c r="E43" i="41"/>
  <c r="M43" i="41"/>
  <c r="Y44" i="41"/>
  <c r="I45" i="41"/>
  <c r="U46" i="41"/>
  <c r="E47" i="41"/>
  <c r="M47" i="41"/>
  <c r="Y48" i="41"/>
  <c r="I49" i="41"/>
  <c r="U50" i="41"/>
  <c r="E51" i="41"/>
  <c r="M51" i="41"/>
  <c r="Q52" i="41"/>
  <c r="Y52" i="41"/>
  <c r="I53" i="41"/>
  <c r="U54" i="41"/>
  <c r="E55" i="41"/>
  <c r="M55" i="41"/>
  <c r="Y56" i="41"/>
  <c r="I57" i="41"/>
  <c r="U58" i="41"/>
  <c r="E59" i="41"/>
  <c r="M59" i="41"/>
  <c r="Q60" i="41"/>
  <c r="Y60" i="41"/>
  <c r="I61" i="41"/>
  <c r="U62" i="41"/>
  <c r="E63" i="41"/>
  <c r="M63" i="41"/>
  <c r="Y64" i="41"/>
  <c r="U66" i="41"/>
  <c r="E67" i="41"/>
  <c r="M67" i="41"/>
  <c r="Y68" i="41"/>
  <c r="U70" i="41"/>
  <c r="E71" i="41"/>
  <c r="M71" i="41"/>
  <c r="Y72" i="41"/>
  <c r="I73" i="41"/>
  <c r="U74" i="41"/>
  <c r="E75" i="41"/>
  <c r="M75" i="41"/>
  <c r="Y76" i="41"/>
  <c r="I77" i="41"/>
  <c r="E79" i="41"/>
  <c r="M79" i="41"/>
  <c r="Y80" i="41"/>
  <c r="I81" i="41"/>
  <c r="U82" i="41"/>
  <c r="E83" i="41"/>
  <c r="M83" i="41"/>
  <c r="Y84" i="41"/>
  <c r="I85" i="41"/>
  <c r="U86" i="41"/>
  <c r="E87" i="41"/>
  <c r="M87" i="41"/>
  <c r="Y88" i="41"/>
  <c r="I89" i="41"/>
  <c r="U90" i="41"/>
  <c r="E91" i="41"/>
  <c r="M91" i="41"/>
  <c r="Q92" i="41"/>
  <c r="Y92" i="41"/>
  <c r="I93" i="41"/>
  <c r="U94" i="41"/>
  <c r="E95" i="41"/>
  <c r="M95" i="41"/>
  <c r="Y96" i="41"/>
  <c r="I97" i="41"/>
  <c r="U98" i="41"/>
  <c r="E99" i="41"/>
  <c r="M99" i="41"/>
  <c r="Y100" i="41"/>
  <c r="I101" i="41"/>
  <c r="U102" i="41"/>
  <c r="E103" i="41"/>
  <c r="M103" i="41"/>
  <c r="Y104" i="41"/>
  <c r="I105" i="41"/>
  <c r="U106" i="41"/>
  <c r="E107" i="41"/>
  <c r="M107" i="41"/>
  <c r="Y108" i="41"/>
  <c r="I109" i="41"/>
  <c r="U110" i="41"/>
  <c r="E111" i="41"/>
  <c r="M111" i="41"/>
  <c r="Y112" i="41"/>
  <c r="I113" i="41"/>
  <c r="U114" i="41"/>
  <c r="E115" i="41"/>
  <c r="M115" i="41"/>
  <c r="Q116" i="41"/>
  <c r="Y116" i="41"/>
  <c r="I117" i="41"/>
  <c r="U118" i="41"/>
  <c r="E119" i="41"/>
  <c r="M119" i="41"/>
  <c r="Y120" i="41"/>
  <c r="I121" i="41"/>
  <c r="U122" i="41"/>
  <c r="E123" i="41"/>
  <c r="M123" i="41"/>
  <c r="I30" i="40"/>
  <c r="I37" i="40"/>
  <c r="I110" i="40"/>
  <c r="I14" i="40"/>
  <c r="I21" i="40"/>
  <c r="I77" i="40"/>
  <c r="I4" i="40"/>
  <c r="Q4" i="40"/>
  <c r="Y4" i="40"/>
  <c r="I5" i="40"/>
  <c r="Q5" i="40"/>
  <c r="Y5" i="40"/>
  <c r="M8" i="40"/>
  <c r="Q14" i="40"/>
  <c r="Y14" i="40"/>
  <c r="Q21" i="40"/>
  <c r="Y21" i="40"/>
  <c r="E25" i="40"/>
  <c r="U26" i="40"/>
  <c r="Q30" i="40"/>
  <c r="Y30" i="40"/>
  <c r="Q37" i="40"/>
  <c r="Y37" i="40"/>
  <c r="I38" i="40"/>
  <c r="Q38" i="40"/>
  <c r="Y38" i="40"/>
  <c r="Q46" i="40"/>
  <c r="Y46" i="40"/>
  <c r="Q53" i="40"/>
  <c r="Y53" i="40"/>
  <c r="I54" i="40"/>
  <c r="Q54" i="40"/>
  <c r="Y54" i="40"/>
  <c r="I55" i="40"/>
  <c r="Q55" i="40"/>
  <c r="Y55" i="40"/>
  <c r="I56" i="40"/>
  <c r="Q56" i="40"/>
  <c r="Y56" i="40"/>
  <c r="E59" i="40"/>
  <c r="M59" i="40"/>
  <c r="I63" i="40"/>
  <c r="Q63" i="40"/>
  <c r="Y63" i="40"/>
  <c r="I64" i="40"/>
  <c r="Q64" i="40"/>
  <c r="Y64" i="40"/>
  <c r="I65" i="40"/>
  <c r="Q65" i="40"/>
  <c r="Y65" i="40"/>
  <c r="I66" i="40"/>
  <c r="Q66" i="40"/>
  <c r="Y66" i="40"/>
  <c r="I67" i="40"/>
  <c r="Q67" i="40"/>
  <c r="Y67" i="40"/>
  <c r="U72" i="40"/>
  <c r="Q77" i="40"/>
  <c r="Y77" i="40"/>
  <c r="I78" i="40"/>
  <c r="Q78" i="40"/>
  <c r="Y78" i="40"/>
  <c r="Q86" i="40"/>
  <c r="Y86" i="40"/>
  <c r="I87" i="40"/>
  <c r="Q87" i="40"/>
  <c r="Y87" i="40"/>
  <c r="I88" i="40"/>
  <c r="Q88" i="40"/>
  <c r="Y88" i="40"/>
  <c r="I89" i="40"/>
  <c r="Q89" i="40"/>
  <c r="Y89" i="40"/>
  <c r="I90" i="40"/>
  <c r="Q90" i="40"/>
  <c r="Y90" i="40"/>
  <c r="I91" i="40"/>
  <c r="Q91" i="40"/>
  <c r="Y91" i="40"/>
  <c r="I92" i="40"/>
  <c r="Q92" i="40"/>
  <c r="Y92" i="40"/>
  <c r="I93" i="40"/>
  <c r="Q93" i="40"/>
  <c r="Y93" i="40"/>
  <c r="I94" i="40"/>
  <c r="Q94" i="40"/>
  <c r="Y94" i="40"/>
  <c r="I95" i="40"/>
  <c r="Q95" i="40"/>
  <c r="Y95" i="40"/>
  <c r="I96" i="40"/>
  <c r="Q96" i="40"/>
  <c r="Y96" i="40"/>
  <c r="I97" i="40"/>
  <c r="Q97" i="40"/>
  <c r="Y97" i="40"/>
  <c r="U102" i="40"/>
  <c r="E103" i="40"/>
  <c r="E104" i="40"/>
  <c r="M104" i="40"/>
  <c r="Q110" i="40"/>
  <c r="Y110" i="40"/>
  <c r="I115" i="40"/>
  <c r="Q115" i="40"/>
  <c r="Y115" i="40"/>
  <c r="I119" i="40"/>
  <c r="Q119" i="40"/>
  <c r="Y119" i="40"/>
  <c r="I123" i="40"/>
  <c r="Q123" i="40"/>
  <c r="Y123" i="40"/>
  <c r="E15" i="40"/>
  <c r="Q7" i="41"/>
  <c r="E4" i="39"/>
  <c r="E16" i="41"/>
  <c r="I18" i="41"/>
  <c r="U19" i="41"/>
  <c r="U20" i="41"/>
  <c r="I27" i="40"/>
  <c r="I43" i="40"/>
  <c r="I49" i="40"/>
  <c r="I71" i="40"/>
  <c r="I4" i="39"/>
  <c r="Q4" i="39"/>
  <c r="Y4" i="39"/>
  <c r="I5" i="39"/>
  <c r="Y5" i="39"/>
  <c r="I6" i="39"/>
  <c r="Y6" i="39"/>
  <c r="I7" i="39"/>
  <c r="Q7" i="39"/>
  <c r="Y7" i="39"/>
  <c r="I8" i="39"/>
  <c r="Q8" i="39"/>
  <c r="Y8" i="39"/>
  <c r="I9" i="39"/>
  <c r="Q9" i="39"/>
  <c r="Y9" i="39"/>
  <c r="I10" i="39"/>
  <c r="Q10" i="39"/>
  <c r="Y10" i="39"/>
  <c r="Q11" i="39"/>
  <c r="Y11" i="39"/>
  <c r="I12" i="39"/>
  <c r="Q12" i="39"/>
  <c r="Y12" i="39"/>
  <c r="I13" i="39"/>
  <c r="Q13" i="39"/>
  <c r="Y13" i="39"/>
  <c r="I14" i="39"/>
  <c r="Q14" i="39"/>
  <c r="Y14" i="39"/>
  <c r="I15" i="39"/>
  <c r="Q15" i="39"/>
  <c r="Y15" i="39"/>
  <c r="I16" i="39"/>
  <c r="Q16" i="39"/>
  <c r="Y16" i="39"/>
  <c r="I17" i="39"/>
  <c r="Q17" i="39"/>
  <c r="Y17" i="39"/>
  <c r="I18" i="39"/>
  <c r="Q18" i="39"/>
  <c r="Y18" i="39"/>
  <c r="I19" i="39"/>
  <c r="Q19" i="39"/>
  <c r="Y19" i="39"/>
  <c r="Q20" i="39"/>
  <c r="I21" i="39"/>
  <c r="Q21" i="39"/>
  <c r="Y21" i="39"/>
  <c r="I22" i="39"/>
  <c r="Q22" i="39"/>
  <c r="I23" i="39"/>
  <c r="Q23" i="39"/>
  <c r="Y23" i="39"/>
  <c r="I24" i="39"/>
  <c r="Q24" i="39"/>
  <c r="Y24" i="39"/>
  <c r="I25" i="39"/>
  <c r="Q25" i="39"/>
  <c r="I26" i="39"/>
  <c r="Q26" i="39"/>
  <c r="Y26" i="39"/>
  <c r="Q27" i="39"/>
  <c r="Y27" i="39"/>
  <c r="I28" i="39"/>
  <c r="Q28" i="39"/>
  <c r="Y28" i="39"/>
  <c r="Q29" i="39"/>
  <c r="Q30" i="39"/>
  <c r="Y30" i="39"/>
  <c r="I31" i="39"/>
  <c r="Y31" i="39"/>
  <c r="I32" i="39"/>
  <c r="I34" i="39"/>
  <c r="Q35" i="39"/>
  <c r="I39" i="39"/>
  <c r="I41" i="39"/>
  <c r="Q41" i="39"/>
  <c r="Y42" i="39"/>
  <c r="Q43" i="39"/>
  <c r="I45" i="39"/>
  <c r="Y47" i="39"/>
  <c r="I48" i="39"/>
  <c r="Y48" i="39"/>
  <c r="Q51" i="39"/>
  <c r="I52" i="39"/>
  <c r="Y53" i="39"/>
  <c r="I54" i="39"/>
  <c r="Y54" i="39"/>
  <c r="Q55" i="39"/>
  <c r="Q56" i="39"/>
  <c r="I58" i="39"/>
  <c r="Q59" i="39"/>
  <c r="Q60" i="39"/>
  <c r="Y62" i="39"/>
  <c r="I65" i="39"/>
  <c r="Q68" i="39"/>
  <c r="Q69" i="39"/>
  <c r="Q74" i="39"/>
  <c r="Y74" i="39"/>
  <c r="Y76" i="39"/>
  <c r="Q79" i="39"/>
  <c r="I83" i="39"/>
  <c r="Y83" i="39"/>
  <c r="Y87" i="39"/>
  <c r="I88" i="39"/>
  <c r="Y88" i="39"/>
  <c r="I89" i="39"/>
  <c r="I90" i="39"/>
  <c r="Q90" i="39"/>
  <c r="Y90" i="39"/>
  <c r="I91" i="39"/>
  <c r="Q91" i="39"/>
  <c r="Y91" i="39"/>
  <c r="Q92" i="39"/>
  <c r="Y92" i="39"/>
  <c r="Q93" i="39"/>
  <c r="Y93" i="39"/>
  <c r="I94" i="39"/>
  <c r="Q94" i="39"/>
  <c r="Y94" i="39"/>
  <c r="I95" i="39"/>
  <c r="Q95" i="39"/>
  <c r="I96" i="39"/>
  <c r="Q96" i="39"/>
  <c r="Y96" i="39"/>
  <c r="I97" i="39"/>
  <c r="Q97" i="39"/>
  <c r="Y97" i="39"/>
  <c r="I98" i="39"/>
  <c r="Y98" i="39"/>
  <c r="I99" i="39"/>
  <c r="Q99" i="39"/>
  <c r="Y99" i="39"/>
  <c r="I100" i="39"/>
  <c r="Q100" i="39"/>
  <c r="I101" i="39"/>
  <c r="Q101" i="39"/>
  <c r="Y101" i="39"/>
  <c r="I102" i="39"/>
  <c r="Q102" i="39"/>
  <c r="Y102" i="39"/>
  <c r="I103" i="39"/>
  <c r="Q103" i="39"/>
  <c r="Y103" i="39"/>
  <c r="I104" i="39"/>
  <c r="Q104" i="39"/>
  <c r="Y104" i="39"/>
  <c r="I118" i="41"/>
  <c r="Q104" i="41"/>
  <c r="Q113" i="41"/>
  <c r="Q76" i="41"/>
  <c r="Q84" i="41"/>
  <c r="Q108" i="41"/>
  <c r="E8" i="39"/>
  <c r="M8" i="39"/>
  <c r="M9" i="39"/>
  <c r="E11" i="39"/>
  <c r="M12" i="39"/>
  <c r="U12" i="39"/>
  <c r="E13" i="39"/>
  <c r="U14" i="39"/>
  <c r="U18" i="39"/>
  <c r="E20" i="39"/>
  <c r="U23" i="39"/>
  <c r="E26" i="39"/>
  <c r="M28" i="39"/>
  <c r="U28" i="39"/>
  <c r="M30" i="39"/>
  <c r="M31" i="39"/>
  <c r="M32" i="39"/>
  <c r="M33" i="39"/>
  <c r="U34" i="39"/>
  <c r="M35" i="39"/>
  <c r="U35" i="39"/>
  <c r="E36" i="39"/>
  <c r="U37" i="39"/>
  <c r="E41" i="39"/>
  <c r="M42" i="39"/>
  <c r="E43" i="39"/>
  <c r="U43" i="39"/>
  <c r="E44" i="39"/>
  <c r="E45" i="39"/>
  <c r="M45" i="39"/>
  <c r="U45" i="39"/>
  <c r="E46" i="39"/>
  <c r="U48" i="39"/>
  <c r="E49" i="39"/>
  <c r="M49" i="39"/>
  <c r="U49" i="39"/>
  <c r="M50" i="39"/>
  <c r="M51" i="39"/>
  <c r="U51" i="39"/>
  <c r="M52" i="39"/>
  <c r="E53" i="39"/>
  <c r="M53" i="39"/>
  <c r="U54" i="39"/>
  <c r="E56" i="39"/>
  <c r="E57" i="39"/>
  <c r="E59" i="39"/>
  <c r="M60" i="39"/>
  <c r="U61" i="39"/>
  <c r="E63" i="39"/>
  <c r="M63" i="39"/>
  <c r="U63" i="39"/>
  <c r="M65" i="39"/>
  <c r="U65" i="39"/>
  <c r="E66" i="39"/>
  <c r="M66" i="39"/>
  <c r="M68" i="39"/>
  <c r="U68" i="39"/>
  <c r="U69" i="39"/>
  <c r="M70" i="39"/>
  <c r="U71" i="39"/>
  <c r="M72" i="39"/>
  <c r="E74" i="39"/>
  <c r="M75" i="39"/>
  <c r="M76" i="39"/>
  <c r="M78" i="39"/>
  <c r="E79" i="39"/>
  <c r="U79" i="39"/>
  <c r="E80" i="39"/>
  <c r="M81" i="39"/>
  <c r="U81" i="39"/>
  <c r="E83" i="39"/>
  <c r="M85" i="39"/>
  <c r="U85" i="39"/>
  <c r="E86" i="39"/>
  <c r="M87" i="39"/>
  <c r="E88" i="39"/>
  <c r="I65" i="41"/>
  <c r="U5" i="39"/>
  <c r="M6" i="39"/>
  <c r="U9" i="39"/>
  <c r="M11" i="39"/>
  <c r="E12" i="39"/>
  <c r="M14" i="39"/>
  <c r="M18" i="39"/>
  <c r="E21" i="39"/>
  <c r="E23" i="39"/>
  <c r="U29" i="39"/>
  <c r="E32" i="39"/>
  <c r="U32" i="39"/>
  <c r="E33" i="39"/>
  <c r="M36" i="39"/>
  <c r="E37" i="39"/>
  <c r="M37" i="39"/>
  <c r="M38" i="39"/>
  <c r="E39" i="39"/>
  <c r="M39" i="39"/>
  <c r="U39" i="39"/>
  <c r="E40" i="39"/>
  <c r="M40" i="39"/>
  <c r="M43" i="39"/>
  <c r="M44" i="39"/>
  <c r="U44" i="39"/>
  <c r="M46" i="39"/>
  <c r="U46" i="39"/>
  <c r="E47" i="39"/>
  <c r="M47" i="39"/>
  <c r="U53" i="39"/>
  <c r="E54" i="39"/>
  <c r="M54" i="39"/>
  <c r="M56" i="39"/>
  <c r="U56" i="39"/>
  <c r="M58" i="39"/>
  <c r="U60" i="39"/>
  <c r="E61" i="39"/>
  <c r="M62" i="39"/>
  <c r="E65" i="39"/>
  <c r="M67" i="39"/>
  <c r="E68" i="39"/>
  <c r="E69" i="39"/>
  <c r="U70" i="39"/>
  <c r="M71" i="39"/>
  <c r="E72" i="39"/>
  <c r="M74" i="39"/>
  <c r="U74" i="39"/>
  <c r="E76" i="39"/>
  <c r="U76" i="39"/>
  <c r="U77" i="39"/>
  <c r="E78" i="39"/>
  <c r="M80" i="39"/>
  <c r="M83" i="39"/>
  <c r="U83" i="39"/>
  <c r="E84" i="39"/>
  <c r="M84" i="39"/>
  <c r="U84" i="39"/>
  <c r="E87" i="39"/>
  <c r="U87" i="39"/>
  <c r="I6" i="40"/>
  <c r="I112" i="40"/>
  <c r="I82" i="40"/>
  <c r="I121" i="40"/>
  <c r="Q49" i="41"/>
  <c r="Q44" i="41"/>
  <c r="U88" i="39"/>
  <c r="M89" i="39"/>
  <c r="E90" i="39"/>
  <c r="U91" i="39"/>
  <c r="M93" i="39"/>
  <c r="U93" i="39"/>
  <c r="M94" i="39"/>
  <c r="E95" i="39"/>
  <c r="E96" i="39"/>
  <c r="M96" i="39"/>
  <c r="U96" i="39"/>
  <c r="M97" i="39"/>
  <c r="U97" i="39"/>
  <c r="E98" i="39"/>
  <c r="U98" i="39"/>
  <c r="U99" i="39"/>
  <c r="M101" i="39"/>
  <c r="E102" i="39"/>
  <c r="M102" i="39"/>
  <c r="U102" i="39"/>
  <c r="U103" i="39"/>
  <c r="U105" i="39"/>
  <c r="E106" i="39"/>
  <c r="U106" i="39"/>
  <c r="E107" i="39"/>
  <c r="M108" i="39"/>
  <c r="E109" i="39"/>
  <c r="M110" i="39"/>
  <c r="E111" i="39"/>
  <c r="M111" i="39"/>
  <c r="U111" i="39"/>
  <c r="M113" i="39"/>
  <c r="U113" i="39"/>
  <c r="E114" i="39"/>
  <c r="E117" i="39"/>
  <c r="M117" i="39"/>
  <c r="E118" i="39"/>
  <c r="E119" i="39"/>
  <c r="U119" i="39"/>
  <c r="M120" i="39"/>
  <c r="U120" i="39"/>
  <c r="M123" i="39"/>
  <c r="M72" i="41"/>
  <c r="E5" i="40"/>
  <c r="M5" i="40"/>
  <c r="E6" i="40"/>
  <c r="I7" i="40"/>
  <c r="Q7" i="40"/>
  <c r="Y7" i="40"/>
  <c r="I8" i="40"/>
  <c r="Q8" i="40"/>
  <c r="Y8" i="40"/>
  <c r="I9" i="40"/>
  <c r="Q9" i="40"/>
  <c r="Y9" i="40"/>
  <c r="M14" i="40"/>
  <c r="Q17" i="40"/>
  <c r="Y17" i="40"/>
  <c r="M21" i="40"/>
  <c r="U21" i="40"/>
  <c r="I24" i="40"/>
  <c r="Q24" i="40"/>
  <c r="Y24" i="40"/>
  <c r="I25" i="40"/>
  <c r="Q25" i="40"/>
  <c r="Y25" i="40"/>
  <c r="I26" i="40"/>
  <c r="Q26" i="40"/>
  <c r="Y26" i="40"/>
  <c r="U30" i="40"/>
  <c r="Q34" i="40"/>
  <c r="Y34" i="40"/>
  <c r="U38" i="40"/>
  <c r="E39" i="40"/>
  <c r="Q43" i="40"/>
  <c r="Y43" i="40"/>
  <c r="Q49" i="40"/>
  <c r="Y49" i="40"/>
  <c r="U54" i="40"/>
  <c r="I58" i="40"/>
  <c r="Q58" i="40"/>
  <c r="Y58" i="40"/>
  <c r="I59" i="40"/>
  <c r="Q59" i="40"/>
  <c r="Y59" i="40"/>
  <c r="I60" i="40"/>
  <c r="Q60" i="40"/>
  <c r="Y60" i="40"/>
  <c r="I61" i="40"/>
  <c r="Q61" i="40"/>
  <c r="Y61" i="40"/>
  <c r="M63" i="40"/>
  <c r="U65" i="40"/>
  <c r="E66" i="40"/>
  <c r="U67" i="40"/>
  <c r="Q71" i="40"/>
  <c r="Y71" i="40"/>
  <c r="I72" i="40"/>
  <c r="Q72" i="40"/>
  <c r="Y72" i="40"/>
  <c r="M77" i="40"/>
  <c r="E78" i="40"/>
  <c r="Q82" i="40"/>
  <c r="Y82" i="40"/>
  <c r="E91" i="40"/>
  <c r="U91" i="40"/>
  <c r="U94" i="40"/>
  <c r="M95" i="40"/>
  <c r="U97" i="40"/>
  <c r="Q102" i="40"/>
  <c r="Y102" i="40"/>
  <c r="I103" i="40"/>
  <c r="Q103" i="40"/>
  <c r="Y103" i="40"/>
  <c r="I104" i="40"/>
  <c r="Q104" i="40"/>
  <c r="Y104" i="40"/>
  <c r="Q112" i="40"/>
  <c r="Y112" i="40"/>
  <c r="I113" i="40"/>
  <c r="Q113" i="40"/>
  <c r="Y113" i="40"/>
  <c r="M115" i="40"/>
  <c r="U115" i="40"/>
  <c r="I117" i="40"/>
  <c r="Q117" i="40"/>
  <c r="Y117" i="40"/>
  <c r="M119" i="40"/>
  <c r="Q121" i="40"/>
  <c r="Y121" i="40"/>
  <c r="U51" i="41"/>
  <c r="M52" i="41"/>
  <c r="Y121" i="41"/>
  <c r="I10" i="40"/>
  <c r="E24" i="40"/>
  <c r="I34" i="40"/>
  <c r="I39" i="40"/>
  <c r="E47" i="40"/>
  <c r="I57" i="40"/>
  <c r="I62" i="40"/>
  <c r="I73" i="40"/>
  <c r="I79" i="40"/>
  <c r="I86" i="40"/>
  <c r="Q105" i="39"/>
  <c r="Y105" i="39"/>
  <c r="I106" i="39"/>
  <c r="Q106" i="39"/>
  <c r="Y106" i="39"/>
  <c r="I107" i="39"/>
  <c r="Q107" i="39"/>
  <c r="Q108" i="39"/>
  <c r="Y108" i="39"/>
  <c r="Q109" i="39"/>
  <c r="Y109" i="39"/>
  <c r="I110" i="39"/>
  <c r="Q110" i="39"/>
  <c r="Y110" i="39"/>
  <c r="Q111" i="39"/>
  <c r="Y111" i="39"/>
  <c r="I112" i="39"/>
  <c r="Q112" i="39"/>
  <c r="Y112" i="39"/>
  <c r="I113" i="39"/>
  <c r="Y113" i="39"/>
  <c r="Q114" i="39"/>
  <c r="Y114" i="39"/>
  <c r="Q115" i="39"/>
  <c r="Y115" i="39"/>
  <c r="I116" i="39"/>
  <c r="Q116" i="39"/>
  <c r="Y116" i="39"/>
  <c r="I117" i="39"/>
  <c r="Q117" i="39"/>
  <c r="Y117" i="39"/>
  <c r="I118" i="39"/>
  <c r="Q118" i="39"/>
  <c r="I119" i="39"/>
  <c r="Q119" i="39"/>
  <c r="I120" i="39"/>
  <c r="Q120" i="39"/>
  <c r="Y120" i="39"/>
  <c r="I121" i="39"/>
  <c r="Q121" i="39"/>
  <c r="Y121" i="39"/>
  <c r="I122" i="39"/>
  <c r="Q122" i="39"/>
  <c r="Y122" i="39"/>
  <c r="I123" i="39"/>
  <c r="Q123" i="39"/>
  <c r="Y123" i="39"/>
  <c r="Q10" i="40"/>
  <c r="Y10" i="40"/>
  <c r="I11" i="40"/>
  <c r="Q11" i="40"/>
  <c r="Y11" i="40"/>
  <c r="I12" i="40"/>
  <c r="Q12" i="40"/>
  <c r="Y12" i="40"/>
  <c r="I13" i="40"/>
  <c r="Q13" i="40"/>
  <c r="Y13" i="40"/>
  <c r="M16" i="40"/>
  <c r="I18" i="40"/>
  <c r="Q18" i="40"/>
  <c r="Y18" i="40"/>
  <c r="I19" i="40"/>
  <c r="Q19" i="40"/>
  <c r="Y19" i="40"/>
  <c r="I20" i="40"/>
  <c r="Q20" i="40"/>
  <c r="Y20" i="40"/>
  <c r="U23" i="40"/>
  <c r="Y27" i="40"/>
  <c r="I28" i="40"/>
  <c r="Q28" i="40"/>
  <c r="Y28" i="40"/>
  <c r="I29" i="40"/>
  <c r="Q29" i="40"/>
  <c r="Y29" i="40"/>
  <c r="M31" i="40"/>
  <c r="E32" i="40"/>
  <c r="E33" i="40"/>
  <c r="E34" i="40"/>
  <c r="I35" i="40"/>
  <c r="Q35" i="40"/>
  <c r="Y35" i="40"/>
  <c r="I36" i="40"/>
  <c r="Q36" i="40"/>
  <c r="Y36" i="40"/>
  <c r="M42" i="40"/>
  <c r="I44" i="40"/>
  <c r="Q44" i="40"/>
  <c r="Y44" i="40"/>
  <c r="I45" i="40"/>
  <c r="Q45" i="40"/>
  <c r="Y45" i="40"/>
  <c r="M47" i="40"/>
  <c r="E48" i="40"/>
  <c r="I50" i="40"/>
  <c r="Q50" i="40"/>
  <c r="Y50" i="40"/>
  <c r="I51" i="40"/>
  <c r="Q51" i="40"/>
  <c r="Y51" i="40"/>
  <c r="I52" i="40"/>
  <c r="Q52" i="40"/>
  <c r="Y52" i="40"/>
  <c r="M57" i="40"/>
  <c r="Q62" i="40"/>
  <c r="Y62" i="40"/>
  <c r="U70" i="40"/>
  <c r="Q73" i="40"/>
  <c r="Y73" i="40"/>
  <c r="I74" i="40"/>
  <c r="Q74" i="40"/>
  <c r="Y74" i="40"/>
  <c r="I75" i="40"/>
  <c r="Q75" i="40"/>
  <c r="Y75" i="40"/>
  <c r="I76" i="40"/>
  <c r="Q76" i="40"/>
  <c r="Y76" i="40"/>
  <c r="E81" i="40"/>
  <c r="I83" i="40"/>
  <c r="Q83" i="40"/>
  <c r="Y83" i="40"/>
  <c r="Q84" i="40"/>
  <c r="Y84" i="40"/>
  <c r="I85" i="40"/>
  <c r="Q85" i="40"/>
  <c r="Y85" i="40"/>
  <c r="U99" i="40"/>
  <c r="I105" i="40"/>
  <c r="Q105" i="40"/>
  <c r="Y105" i="40"/>
  <c r="I106" i="40"/>
  <c r="Q106" i="40"/>
  <c r="Y106" i="40"/>
  <c r="I107" i="40"/>
  <c r="Q107" i="40"/>
  <c r="I108" i="40"/>
  <c r="Q108" i="40"/>
  <c r="Y108" i="40"/>
  <c r="I109" i="40"/>
  <c r="Q109" i="40"/>
  <c r="Y109" i="40"/>
  <c r="U111" i="40"/>
  <c r="Q114" i="40"/>
  <c r="Y114" i="40"/>
  <c r="Q118" i="40"/>
  <c r="Y118" i="40"/>
  <c r="Q122" i="40"/>
  <c r="Y122" i="40"/>
  <c r="M44" i="41"/>
  <c r="Y45" i="41"/>
  <c r="E49" i="41"/>
  <c r="I17" i="40"/>
  <c r="I102" i="40"/>
  <c r="E105" i="40"/>
  <c r="I46" i="40"/>
  <c r="I53" i="40"/>
  <c r="I114" i="40"/>
  <c r="I116" i="40"/>
  <c r="I118" i="40"/>
  <c r="I122" i="40"/>
  <c r="U18" i="40"/>
  <c r="E19" i="40"/>
  <c r="M19" i="40"/>
  <c r="U19" i="40"/>
  <c r="M20" i="40"/>
  <c r="U20" i="40"/>
  <c r="E21" i="40"/>
  <c r="U35" i="40"/>
  <c r="M36" i="40"/>
  <c r="E37" i="40"/>
  <c r="M50" i="40"/>
  <c r="U51" i="40"/>
  <c r="E52" i="40"/>
  <c r="M52" i="40"/>
  <c r="U84" i="40"/>
  <c r="M85" i="40"/>
  <c r="U85" i="40"/>
  <c r="U105" i="40"/>
  <c r="E106" i="40"/>
  <c r="E107" i="40"/>
  <c r="E108" i="40"/>
  <c r="M108" i="40"/>
  <c r="U108" i="40"/>
  <c r="M109" i="40"/>
  <c r="U109" i="40"/>
  <c r="M118" i="40"/>
  <c r="U7" i="40"/>
  <c r="E8" i="40"/>
  <c r="U8" i="40"/>
  <c r="E9" i="40"/>
  <c r="M17" i="40"/>
  <c r="M24" i="40"/>
  <c r="E26" i="40"/>
  <c r="U34" i="40"/>
  <c r="U49" i="40"/>
  <c r="M71" i="40"/>
  <c r="U71" i="40"/>
  <c r="E72" i="40"/>
  <c r="M82" i="40"/>
  <c r="U82" i="40"/>
  <c r="U103" i="40"/>
  <c r="U104" i="40"/>
  <c r="M117" i="40"/>
  <c r="U117" i="40"/>
  <c r="E118" i="40"/>
  <c r="U62" i="40"/>
  <c r="U63" i="40"/>
  <c r="M64" i="40"/>
  <c r="U64" i="40"/>
  <c r="M66" i="40"/>
  <c r="E67" i="40"/>
  <c r="E68" i="40"/>
  <c r="U68" i="40"/>
  <c r="E69" i="40"/>
  <c r="U69" i="40"/>
  <c r="M81" i="40"/>
  <c r="U81" i="40"/>
  <c r="E117" i="40"/>
  <c r="E123" i="40"/>
  <c r="E4" i="40"/>
  <c r="E35" i="40"/>
  <c r="E22" i="40"/>
  <c r="E50" i="40"/>
  <c r="E111" i="40"/>
  <c r="E119" i="40"/>
  <c r="E7" i="40"/>
  <c r="E83" i="40"/>
  <c r="U14" i="40"/>
  <c r="U16" i="40"/>
  <c r="E17" i="40"/>
  <c r="M30" i="40"/>
  <c r="E31" i="40"/>
  <c r="U31" i="40"/>
  <c r="E44" i="40"/>
  <c r="U44" i="40"/>
  <c r="E45" i="40"/>
  <c r="U45" i="40"/>
  <c r="E58" i="40"/>
  <c r="M58" i="40"/>
  <c r="E60" i="40"/>
  <c r="E61" i="40"/>
  <c r="M61" i="40"/>
  <c r="U61" i="40"/>
  <c r="E62" i="40"/>
  <c r="E79" i="40"/>
  <c r="U98" i="40"/>
  <c r="E99" i="40"/>
  <c r="M100" i="40"/>
  <c r="U100" i="40"/>
  <c r="E101" i="40"/>
  <c r="U101" i="40"/>
  <c r="E102" i="40"/>
  <c r="M114" i="40"/>
  <c r="U114" i="40"/>
  <c r="E115" i="40"/>
  <c r="E116" i="40"/>
  <c r="M121" i="40"/>
  <c r="U121" i="40"/>
  <c r="E122" i="40"/>
  <c r="C124" i="40"/>
  <c r="C125" i="40" s="1"/>
  <c r="U10" i="40"/>
  <c r="E11" i="40"/>
  <c r="M11" i="40"/>
  <c r="U11" i="40"/>
  <c r="M12" i="40"/>
  <c r="U13" i="40"/>
  <c r="M27" i="40"/>
  <c r="U27" i="40"/>
  <c r="E28" i="40"/>
  <c r="U28" i="40"/>
  <c r="E29" i="40"/>
  <c r="M39" i="40"/>
  <c r="E40" i="40"/>
  <c r="U40" i="40"/>
  <c r="U41" i="40"/>
  <c r="U42" i="40"/>
  <c r="E43" i="40"/>
  <c r="U53" i="40"/>
  <c r="E54" i="40"/>
  <c r="E55" i="40"/>
  <c r="M55" i="40"/>
  <c r="E56" i="40"/>
  <c r="U56" i="40"/>
  <c r="E57" i="40"/>
  <c r="M73" i="40"/>
  <c r="M74" i="40"/>
  <c r="M75" i="40"/>
  <c r="M76" i="40"/>
  <c r="U76" i="40"/>
  <c r="E77" i="40"/>
  <c r="U86" i="40"/>
  <c r="M87" i="40"/>
  <c r="E88" i="40"/>
  <c r="M88" i="40"/>
  <c r="U88" i="40"/>
  <c r="U89" i="40"/>
  <c r="U90" i="40"/>
  <c r="E92" i="40"/>
  <c r="U92" i="40"/>
  <c r="E93" i="40"/>
  <c r="M93" i="40"/>
  <c r="E95" i="40"/>
  <c r="U95" i="40"/>
  <c r="E96" i="40"/>
  <c r="M96" i="40"/>
  <c r="U96" i="40"/>
  <c r="M97" i="40"/>
  <c r="E98" i="40"/>
  <c r="M112" i="40"/>
  <c r="U112" i="40"/>
  <c r="E113" i="40"/>
  <c r="M113" i="40"/>
  <c r="U113" i="40"/>
  <c r="E114" i="40"/>
  <c r="M120" i="40"/>
  <c r="U120" i="40"/>
  <c r="E121" i="40"/>
  <c r="M88" i="39"/>
  <c r="M90" i="39"/>
  <c r="M91" i="39"/>
  <c r="E92" i="39"/>
  <c r="M92" i="39"/>
  <c r="M95" i="39"/>
  <c r="U95" i="39"/>
  <c r="E97" i="39"/>
  <c r="E99" i="39"/>
  <c r="M103" i="39"/>
  <c r="M106" i="39"/>
  <c r="M107" i="39"/>
  <c r="M109" i="39"/>
  <c r="E110" i="39"/>
  <c r="E112" i="39"/>
  <c r="M112" i="39"/>
  <c r="E115" i="39"/>
  <c r="E116" i="39"/>
  <c r="M116" i="39"/>
  <c r="U118" i="39"/>
  <c r="E121" i="39"/>
  <c r="M121" i="39"/>
  <c r="M4" i="40"/>
  <c r="M6" i="40"/>
  <c r="U9" i="40"/>
  <c r="E10" i="40"/>
  <c r="M10" i="40"/>
  <c r="E14" i="40"/>
  <c r="U15" i="40"/>
  <c r="E16" i="40"/>
  <c r="U17" i="40"/>
  <c r="E18" i="40"/>
  <c r="M22" i="40"/>
  <c r="M23" i="40"/>
  <c r="M25" i="40"/>
  <c r="U25" i="40"/>
  <c r="E27" i="40"/>
  <c r="M28" i="40"/>
  <c r="M29" i="40"/>
  <c r="M33" i="40"/>
  <c r="U33" i="40"/>
  <c r="M34" i="40"/>
  <c r="E36" i="40"/>
  <c r="U36" i="40"/>
  <c r="U39" i="40"/>
  <c r="E41" i="40"/>
  <c r="M41" i="40"/>
  <c r="M44" i="40"/>
  <c r="E46" i="40"/>
  <c r="M46" i="40"/>
  <c r="E49" i="40"/>
  <c r="M51" i="40"/>
  <c r="U55" i="40"/>
  <c r="M56" i="40"/>
  <c r="U59" i="40"/>
  <c r="M60" i="40"/>
  <c r="U60" i="40"/>
  <c r="E63" i="40"/>
  <c r="U66" i="40"/>
  <c r="M67" i="40"/>
  <c r="M68" i="40"/>
  <c r="E71" i="40"/>
  <c r="M72" i="40"/>
  <c r="E74" i="40"/>
  <c r="M78" i="40"/>
  <c r="U78" i="40"/>
  <c r="U80" i="40"/>
  <c r="E82" i="40"/>
  <c r="M83" i="40"/>
  <c r="M84" i="40"/>
  <c r="M86" i="40"/>
  <c r="E87" i="40"/>
  <c r="E90" i="40"/>
  <c r="M90" i="40"/>
  <c r="M92" i="40"/>
  <c r="U93" i="40"/>
  <c r="E94" i="40"/>
  <c r="E97" i="40"/>
  <c r="E100" i="40"/>
  <c r="M101" i="40"/>
  <c r="M102" i="40"/>
  <c r="M105" i="40"/>
  <c r="U106" i="40"/>
  <c r="E109" i="40"/>
  <c r="E110" i="40"/>
  <c r="Q32" i="39"/>
  <c r="Y32" i="39"/>
  <c r="I33" i="39"/>
  <c r="Q33" i="39"/>
  <c r="Y33" i="39"/>
  <c r="Q34" i="39"/>
  <c r="Y34" i="39"/>
  <c r="I35" i="39"/>
  <c r="Y35" i="39"/>
  <c r="I36" i="39"/>
  <c r="Q36" i="39"/>
  <c r="Y36" i="39"/>
  <c r="I37" i="39"/>
  <c r="Y37" i="39"/>
  <c r="I38" i="39"/>
  <c r="Q38" i="39"/>
  <c r="Y38" i="39"/>
  <c r="Q39" i="39"/>
  <c r="Y39" i="39"/>
  <c r="I40" i="39"/>
  <c r="Q40" i="39"/>
  <c r="Y40" i="39"/>
  <c r="Y41" i="39"/>
  <c r="I42" i="39"/>
  <c r="Q42" i="39"/>
  <c r="I43" i="39"/>
  <c r="Y43" i="39"/>
  <c r="I44" i="39"/>
  <c r="Q44" i="39"/>
  <c r="Y44" i="39"/>
  <c r="Q45" i="39"/>
  <c r="Y45" i="39"/>
  <c r="I46" i="39"/>
  <c r="Q46" i="39"/>
  <c r="Y46" i="39"/>
  <c r="I47" i="39"/>
  <c r="Q47" i="39"/>
  <c r="Q48" i="39"/>
  <c r="I49" i="39"/>
  <c r="Q49" i="39"/>
  <c r="Y49" i="39"/>
  <c r="I50" i="39"/>
  <c r="Q50" i="39"/>
  <c r="Y50" i="39"/>
  <c r="I51" i="39"/>
  <c r="Y51" i="39"/>
  <c r="Q52" i="39"/>
  <c r="I53" i="39"/>
  <c r="Q53" i="39"/>
  <c r="Q54" i="39"/>
  <c r="I55" i="39"/>
  <c r="I56" i="39"/>
  <c r="Y56" i="39"/>
  <c r="I57" i="39"/>
  <c r="Q57" i="39"/>
  <c r="Y57" i="39"/>
  <c r="Q58" i="39"/>
  <c r="Y58" i="39"/>
  <c r="I59" i="39"/>
  <c r="Y59" i="39"/>
  <c r="I60" i="39"/>
  <c r="Y60" i="39"/>
  <c r="I61" i="39"/>
  <c r="Q61" i="39"/>
  <c r="Y61" i="39"/>
  <c r="I62" i="39"/>
  <c r="Q62" i="39"/>
  <c r="I63" i="39"/>
  <c r="Q63" i="39"/>
  <c r="Y63" i="39"/>
  <c r="I64" i="39"/>
  <c r="Q64" i="39"/>
  <c r="Y64" i="39"/>
  <c r="Q65" i="39"/>
  <c r="Y65" i="39"/>
  <c r="I66" i="39"/>
  <c r="Q66" i="39"/>
  <c r="Y66" i="39"/>
  <c r="I67" i="39"/>
  <c r="Q67" i="39"/>
  <c r="Y67" i="39"/>
  <c r="I68" i="39"/>
  <c r="Y68" i="39"/>
  <c r="I69" i="39"/>
  <c r="I70" i="39"/>
  <c r="Q70" i="39"/>
  <c r="Y70" i="39"/>
  <c r="I71" i="39"/>
  <c r="Q71" i="39"/>
  <c r="Y71" i="39"/>
  <c r="I72" i="39"/>
  <c r="Q72" i="39"/>
  <c r="Y72" i="39"/>
  <c r="I73" i="39"/>
  <c r="Q73" i="39"/>
  <c r="Y73" i="39"/>
  <c r="I74" i="39"/>
  <c r="I75" i="39"/>
  <c r="Q75" i="39"/>
  <c r="Y75" i="39"/>
  <c r="I76" i="39"/>
  <c r="Q76" i="39"/>
  <c r="I77" i="39"/>
  <c r="Q77" i="39"/>
  <c r="I78" i="39"/>
  <c r="Q78" i="39"/>
  <c r="Y78" i="39"/>
  <c r="I79" i="39"/>
  <c r="Y79" i="39"/>
  <c r="I80" i="39"/>
  <c r="Q80" i="39"/>
  <c r="Y80" i="39"/>
  <c r="I81" i="39"/>
  <c r="Q81" i="39"/>
  <c r="Y81" i="39"/>
  <c r="I82" i="39"/>
  <c r="Q82" i="39"/>
  <c r="Y82" i="39"/>
  <c r="Q83" i="39"/>
  <c r="I84" i="39"/>
  <c r="Q84" i="39"/>
  <c r="Y84" i="39"/>
  <c r="Q85" i="39"/>
  <c r="Y85" i="39"/>
  <c r="I86" i="39"/>
  <c r="Q86" i="39"/>
  <c r="Y86" i="39"/>
  <c r="I87" i="39"/>
  <c r="Q87" i="39"/>
  <c r="I38" i="41"/>
  <c r="I43" i="41"/>
  <c r="E117" i="41"/>
  <c r="U89" i="39"/>
  <c r="E93" i="39"/>
  <c r="U94" i="39"/>
  <c r="M98" i="39"/>
  <c r="E100" i="39"/>
  <c r="E101" i="39"/>
  <c r="E103" i="39"/>
  <c r="M104" i="39"/>
  <c r="U107" i="39"/>
  <c r="U110" i="39"/>
  <c r="U112" i="39"/>
  <c r="U115" i="39"/>
  <c r="U117" i="39"/>
  <c r="M119" i="39"/>
  <c r="E120" i="39"/>
  <c r="E122" i="39"/>
  <c r="M7" i="40"/>
  <c r="M9" i="40"/>
  <c r="E12" i="40"/>
  <c r="M13" i="40"/>
  <c r="M15" i="40"/>
  <c r="E20" i="40"/>
  <c r="U22" i="40"/>
  <c r="U24" i="40"/>
  <c r="M26" i="40"/>
  <c r="M32" i="40"/>
  <c r="U32" i="40"/>
  <c r="M38" i="40"/>
  <c r="M40" i="40"/>
  <c r="E42" i="40"/>
  <c r="M43" i="40"/>
  <c r="U43" i="40"/>
  <c r="U46" i="40"/>
  <c r="U47" i="40"/>
  <c r="M48" i="40"/>
  <c r="M49" i="40"/>
  <c r="E53" i="40"/>
  <c r="M53" i="40"/>
  <c r="M54" i="40"/>
  <c r="U57" i="40"/>
  <c r="U58" i="40"/>
  <c r="M62" i="40"/>
  <c r="E64" i="40"/>
  <c r="E65" i="40"/>
  <c r="M65" i="40"/>
  <c r="M69" i="40"/>
  <c r="E70" i="40"/>
  <c r="E73" i="40"/>
  <c r="U73" i="40"/>
  <c r="U74" i="40"/>
  <c r="U77" i="40"/>
  <c r="E80" i="40"/>
  <c r="M80" i="40"/>
  <c r="U83" i="40"/>
  <c r="E84" i="40"/>
  <c r="E85" i="40"/>
  <c r="U87" i="40"/>
  <c r="E89" i="40"/>
  <c r="M89" i="40"/>
  <c r="M91" i="40"/>
  <c r="M94" i="40"/>
  <c r="M98" i="40"/>
  <c r="M99" i="40"/>
  <c r="M103" i="40"/>
  <c r="U107" i="40"/>
  <c r="M110" i="40"/>
  <c r="E112" i="40"/>
  <c r="Y9" i="41"/>
  <c r="E13" i="41"/>
  <c r="I66" i="41"/>
  <c r="E4" i="41"/>
  <c r="Y6" i="41"/>
  <c r="E32" i="41"/>
  <c r="E60" i="41"/>
  <c r="E88" i="41"/>
  <c r="Y89" i="41"/>
  <c r="Q79" i="41"/>
  <c r="Q27" i="41"/>
  <c r="Q19" i="41"/>
  <c r="Q105" i="41"/>
  <c r="Q97" i="41"/>
  <c r="Q10" i="41"/>
  <c r="Q34" i="41"/>
  <c r="Q42" i="41"/>
  <c r="M4" i="39"/>
  <c r="E5" i="39"/>
  <c r="M5" i="39"/>
  <c r="E6" i="39"/>
  <c r="U6" i="39"/>
  <c r="E7" i="39"/>
  <c r="U7" i="39"/>
  <c r="U8" i="39"/>
  <c r="E9" i="39"/>
  <c r="E10" i="39"/>
  <c r="M10" i="39"/>
  <c r="U10" i="39"/>
  <c r="U11" i="39"/>
  <c r="M13" i="39"/>
  <c r="E14" i="39"/>
  <c r="U15" i="39"/>
  <c r="E16" i="39"/>
  <c r="M16" i="39"/>
  <c r="U16" i="39"/>
  <c r="E17" i="39"/>
  <c r="M17" i="39"/>
  <c r="U17" i="39"/>
  <c r="U19" i="39"/>
  <c r="M20" i="39"/>
  <c r="U20" i="39"/>
  <c r="M21" i="39"/>
  <c r="E22" i="39"/>
  <c r="M22" i="39"/>
  <c r="U22" i="39"/>
  <c r="M23" i="39"/>
  <c r="E24" i="39"/>
  <c r="M24" i="39"/>
  <c r="E25" i="39"/>
  <c r="M25" i="39"/>
  <c r="U25" i="39"/>
  <c r="M26" i="39"/>
  <c r="E27" i="39"/>
  <c r="M27" i="39"/>
  <c r="U27" i="39"/>
  <c r="E28" i="39"/>
  <c r="M29" i="39"/>
  <c r="E30" i="39"/>
  <c r="U30" i="39"/>
  <c r="E31" i="39"/>
  <c r="Y77" i="41"/>
  <c r="Y81" i="41"/>
  <c r="J106" i="1"/>
  <c r="I106" i="1"/>
  <c r="G86" i="1"/>
  <c r="G82" i="1"/>
  <c r="F83" i="1"/>
  <c r="E84" i="1"/>
  <c r="G84" i="1"/>
  <c r="E86" i="1"/>
  <c r="E82" i="1"/>
  <c r="F84" i="1"/>
  <c r="E85" i="1"/>
  <c r="G85" i="1"/>
  <c r="F86" i="1"/>
  <c r="F82" i="1"/>
  <c r="E83" i="1"/>
  <c r="F85" i="1"/>
  <c r="G83" i="1"/>
  <c r="D86" i="1"/>
  <c r="D82" i="1"/>
  <c r="D85" i="1"/>
  <c r="D84" i="1"/>
  <c r="D83" i="1"/>
  <c r="D23" i="1"/>
  <c r="E22" i="1"/>
  <c r="E23" i="1"/>
  <c r="H4" i="24"/>
  <c r="F45" i="1" s="1"/>
  <c r="J4" i="24"/>
  <c r="F47" i="1" s="1"/>
  <c r="L4" i="24"/>
  <c r="F49" i="1" s="1"/>
  <c r="N4" i="24"/>
  <c r="F51" i="1" s="1"/>
  <c r="D14" i="1"/>
  <c r="E17" i="1"/>
  <c r="E18" i="1"/>
  <c r="E16" i="1"/>
  <c r="D18" i="1"/>
  <c r="D16" i="1"/>
  <c r="K156" i="1"/>
  <c r="J156" i="1"/>
  <c r="D22" i="1"/>
  <c r="G127" i="1"/>
  <c r="F136" i="1"/>
  <c r="D20" i="1"/>
  <c r="I5" i="1"/>
  <c r="E136" i="1"/>
  <c r="AD24" i="84"/>
  <c r="AD80" i="84"/>
  <c r="AC51" i="84"/>
  <c r="AC100" i="84"/>
  <c r="AD100" i="84"/>
  <c r="AC41" i="84"/>
  <c r="AC49" i="84"/>
  <c r="AD76" i="84"/>
  <c r="AD18" i="84"/>
  <c r="AD66" i="84"/>
  <c r="E127" i="1"/>
  <c r="G136" i="1"/>
  <c r="H127" i="1"/>
  <c r="K152" i="1"/>
  <c r="H136" i="1"/>
  <c r="K3" i="1"/>
  <c r="D21" i="1"/>
  <c r="F127" i="1"/>
  <c r="D5" i="1"/>
  <c r="D17" i="1"/>
  <c r="AC9" i="84"/>
  <c r="AD38" i="84"/>
  <c r="AD40" i="84"/>
  <c r="AD57" i="84"/>
  <c r="AD89" i="84"/>
  <c r="AC105" i="84"/>
  <c r="AC125" i="84"/>
  <c r="AD19" i="84"/>
  <c r="AD74" i="84"/>
  <c r="AD48" i="84"/>
  <c r="AD121" i="84"/>
  <c r="AC18" i="84"/>
  <c r="AC95" i="84"/>
  <c r="AD95" i="84"/>
  <c r="AD33" i="84"/>
  <c r="AC22" i="84"/>
  <c r="AC21" i="84"/>
  <c r="AD115" i="84"/>
  <c r="AC29" i="84"/>
  <c r="AD21" i="84"/>
  <c r="AC66" i="84"/>
  <c r="AC26" i="84"/>
  <c r="AD62" i="84"/>
  <c r="AD23" i="84"/>
  <c r="AD45" i="84"/>
  <c r="AD52" i="84"/>
  <c r="AC53" i="84"/>
  <c r="AD56" i="84"/>
  <c r="AC80" i="84"/>
  <c r="AC84" i="84"/>
  <c r="AD112" i="84"/>
  <c r="AD114" i="84"/>
  <c r="AC19" i="84"/>
  <c r="AC5" i="84"/>
  <c r="G20" i="1" s="1"/>
  <c r="AD17" i="84"/>
  <c r="AD68" i="84"/>
  <c r="AC71" i="84"/>
  <c r="Z41" i="85"/>
  <c r="T41" i="85"/>
  <c r="Z64" i="85"/>
  <c r="T64" i="85"/>
  <c r="Q31" i="39"/>
  <c r="Y77" i="39"/>
  <c r="M8" i="41"/>
  <c r="M36" i="41"/>
  <c r="M64" i="41"/>
  <c r="E73" i="41"/>
  <c r="I102" i="41"/>
  <c r="Q65" i="41"/>
  <c r="AD22" i="84"/>
  <c r="AD30" i="84"/>
  <c r="AC67" i="84"/>
  <c r="AD92" i="84"/>
  <c r="Y29" i="41"/>
  <c r="M56" i="41"/>
  <c r="Z11" i="85"/>
  <c r="T11" i="85"/>
  <c r="Z55" i="85"/>
  <c r="P55" i="85"/>
  <c r="Z110" i="85"/>
  <c r="T110" i="85"/>
  <c r="Z33" i="85"/>
  <c r="T33" i="85"/>
  <c r="Z73" i="85"/>
  <c r="P73" i="85"/>
  <c r="T83" i="85"/>
  <c r="Z91" i="85"/>
  <c r="P91" i="85"/>
  <c r="Z122" i="85"/>
  <c r="T122" i="85"/>
  <c r="E116" i="41"/>
  <c r="O125" i="36"/>
  <c r="Z57" i="85"/>
  <c r="T57" i="85"/>
  <c r="Z71" i="85"/>
  <c r="P71" i="85"/>
  <c r="Z103" i="85"/>
  <c r="P103" i="85"/>
  <c r="Z116" i="85"/>
  <c r="T116" i="85"/>
  <c r="X7" i="95"/>
  <c r="N4" i="95"/>
  <c r="X4" i="95" s="1"/>
  <c r="R6" i="85"/>
  <c r="Z7" i="85"/>
  <c r="Z8" i="85"/>
  <c r="Z13" i="85"/>
  <c r="Z18" i="85"/>
  <c r="Z23" i="85"/>
  <c r="Z28" i="85"/>
  <c r="Z35" i="85"/>
  <c r="Z36" i="85"/>
  <c r="Z43" i="85"/>
  <c r="Z44" i="85"/>
  <c r="Z46" i="85"/>
  <c r="Z51" i="85"/>
  <c r="Z59" i="85"/>
  <c r="Z63" i="85"/>
  <c r="Z65" i="85"/>
  <c r="Z66" i="85"/>
  <c r="Z75" i="85"/>
  <c r="Z76" i="85"/>
  <c r="Z81" i="85"/>
  <c r="Z82" i="85"/>
  <c r="Z84" i="85"/>
  <c r="Z88" i="85"/>
  <c r="Z94" i="85"/>
  <c r="Z98" i="85"/>
  <c r="Z105" i="85"/>
  <c r="Z111" i="85"/>
  <c r="Z117" i="85"/>
  <c r="Z121" i="85"/>
  <c r="Z123" i="85"/>
  <c r="Z124" i="85"/>
  <c r="R132" i="72"/>
  <c r="J4" i="95"/>
  <c r="U4" i="95" s="1"/>
  <c r="BC126" i="97"/>
  <c r="BC89" i="97"/>
  <c r="Q6" i="85"/>
  <c r="T25" i="85"/>
  <c r="Z45" i="85"/>
  <c r="Z47" i="85"/>
  <c r="Z67" i="85"/>
  <c r="T69" i="85"/>
  <c r="Z77" i="85"/>
  <c r="Z83" i="85"/>
  <c r="Z99" i="85"/>
  <c r="P101" i="85"/>
  <c r="P107" i="85"/>
  <c r="S132" i="72"/>
  <c r="W4" i="95"/>
  <c r="BC87" i="97"/>
  <c r="AS29" i="97"/>
  <c r="BA29" i="97" s="1"/>
  <c r="AT8" i="97"/>
  <c r="BB8" i="97" s="1"/>
  <c r="AR102" i="97"/>
  <c r="AZ102" i="97" s="1"/>
  <c r="AS10" i="97"/>
  <c r="BA10" i="97" s="1"/>
  <c r="AR13" i="97"/>
  <c r="AZ13" i="97" s="1"/>
  <c r="BC13" i="97" s="1"/>
  <c r="AS17" i="97"/>
  <c r="BA17" i="97" s="1"/>
  <c r="AT24" i="97"/>
  <c r="BB24" i="97" s="1"/>
  <c r="AT33" i="97"/>
  <c r="BB33" i="97" s="1"/>
  <c r="AS36" i="97"/>
  <c r="BA36" i="97" s="1"/>
  <c r="AT109" i="97"/>
  <c r="BB109" i="97" s="1"/>
  <c r="AT115" i="97"/>
  <c r="BB115" i="97" s="1"/>
  <c r="BC115" i="97" s="1"/>
  <c r="AT70" i="97"/>
  <c r="BB70" i="97" s="1"/>
  <c r="AR74" i="97"/>
  <c r="AZ74" i="97" s="1"/>
  <c r="AR80" i="97"/>
  <c r="AZ80" i="97" s="1"/>
  <c r="AT91" i="97"/>
  <c r="BB91" i="97" s="1"/>
  <c r="BC91" i="97" s="1"/>
  <c r="AT123" i="97"/>
  <c r="BB123" i="97" s="1"/>
  <c r="AT11" i="97"/>
  <c r="BB11" i="97" s="1"/>
  <c r="AS20" i="97"/>
  <c r="BA20" i="97" s="1"/>
  <c r="AS21" i="97"/>
  <c r="BA21" i="97" s="1"/>
  <c r="AS23" i="97"/>
  <c r="BA23" i="97" s="1"/>
  <c r="AR107" i="97"/>
  <c r="AZ107" i="97" s="1"/>
  <c r="AR61" i="97"/>
  <c r="AZ61" i="97" s="1"/>
  <c r="AR116" i="97"/>
  <c r="AZ116" i="97" s="1"/>
  <c r="BC116" i="97" s="1"/>
  <c r="DO4" i="56"/>
  <c r="H107" i="118" l="1"/>
  <c r="H75" i="118"/>
  <c r="F39" i="1"/>
  <c r="F35" i="1"/>
  <c r="F31" i="1"/>
  <c r="E38" i="1"/>
  <c r="E34" i="1"/>
  <c r="E30" i="1"/>
  <c r="F40" i="1"/>
  <c r="E39" i="1"/>
  <c r="E31" i="1"/>
  <c r="F38" i="1"/>
  <c r="F34" i="1"/>
  <c r="F30" i="1"/>
  <c r="E37" i="1"/>
  <c r="E33" i="1"/>
  <c r="F37" i="1"/>
  <c r="F33" i="1"/>
  <c r="E40" i="1"/>
  <c r="E36" i="1"/>
  <c r="E32" i="1"/>
  <c r="F36" i="1"/>
  <c r="F32" i="1"/>
  <c r="E35" i="1"/>
  <c r="H39" i="118"/>
  <c r="H23" i="118"/>
  <c r="BC82" i="97"/>
  <c r="BC113" i="97"/>
  <c r="H99" i="118"/>
  <c r="H67" i="118"/>
  <c r="H43" i="118"/>
  <c r="H27" i="118"/>
  <c r="BC106" i="97"/>
  <c r="BC92" i="97"/>
  <c r="BC18" i="97"/>
  <c r="BC6" i="97"/>
  <c r="H123" i="118"/>
  <c r="H91" i="118"/>
  <c r="H59" i="118"/>
  <c r="H47" i="118"/>
  <c r="H31" i="118"/>
  <c r="H13" i="118"/>
  <c r="BC8" i="97"/>
  <c r="BC123" i="97"/>
  <c r="BC70" i="97"/>
  <c r="BC33" i="97"/>
  <c r="BC101" i="97"/>
  <c r="BC32" i="97"/>
  <c r="BC98" i="97"/>
  <c r="BC76" i="97"/>
  <c r="H15" i="118"/>
  <c r="H115" i="118"/>
  <c r="H83" i="118"/>
  <c r="H51" i="118"/>
  <c r="H35" i="118"/>
  <c r="H19" i="118"/>
  <c r="BC48" i="97"/>
  <c r="BC103" i="97"/>
  <c r="BC122" i="97"/>
  <c r="H119" i="118"/>
  <c r="H111" i="118"/>
  <c r="H103" i="118"/>
  <c r="BC40" i="97"/>
  <c r="BC34" i="97"/>
  <c r="BC20" i="97"/>
  <c r="BC80" i="97"/>
  <c r="BC109" i="97"/>
  <c r="BC17" i="97"/>
  <c r="BC125" i="97"/>
  <c r="BC59" i="97"/>
  <c r="BC119" i="97"/>
  <c r="BC22" i="97"/>
  <c r="BC65" i="97"/>
  <c r="BC97" i="97"/>
  <c r="H125" i="118"/>
  <c r="H121" i="118"/>
  <c r="H117" i="118"/>
  <c r="H113" i="118"/>
  <c r="H109" i="118"/>
  <c r="H105" i="118"/>
  <c r="H101" i="118"/>
  <c r="H97" i="118"/>
  <c r="H93" i="118"/>
  <c r="H89" i="118"/>
  <c r="H85" i="118"/>
  <c r="H81" i="118"/>
  <c r="H77" i="118"/>
  <c r="H73" i="118"/>
  <c r="H69" i="118"/>
  <c r="H65" i="118"/>
  <c r="H61" i="118"/>
  <c r="H57" i="118"/>
  <c r="H53" i="118"/>
  <c r="H49" i="118"/>
  <c r="H45" i="118"/>
  <c r="H41" i="118"/>
  <c r="H37" i="118"/>
  <c r="H33" i="118"/>
  <c r="H29" i="118"/>
  <c r="H25" i="118"/>
  <c r="H21" i="118"/>
  <c r="H17" i="118"/>
  <c r="H11" i="118"/>
  <c r="H7" i="118"/>
  <c r="H6" i="118"/>
  <c r="H95" i="118"/>
  <c r="H87" i="118"/>
  <c r="H79" i="118"/>
  <c r="H71" i="118"/>
  <c r="H63" i="118"/>
  <c r="H55" i="118"/>
  <c r="H9" i="118"/>
  <c r="BC49" i="97"/>
  <c r="BC124" i="97"/>
  <c r="BC114" i="97"/>
  <c r="BC86" i="97"/>
  <c r="BC75" i="97"/>
  <c r="BC99" i="97"/>
  <c r="M42" i="79"/>
  <c r="Q42" i="79" s="1"/>
  <c r="H42" i="118"/>
  <c r="M34" i="79"/>
  <c r="Q34" i="79" s="1"/>
  <c r="H34" i="118"/>
  <c r="M18" i="79"/>
  <c r="Q18" i="79" s="1"/>
  <c r="H18" i="118"/>
  <c r="M44" i="79"/>
  <c r="Q44" i="79" s="1"/>
  <c r="H44" i="118"/>
  <c r="M28" i="79"/>
  <c r="Q28" i="79" s="1"/>
  <c r="H28" i="118"/>
  <c r="M20" i="79"/>
  <c r="Q20" i="79" s="1"/>
  <c r="H20" i="118"/>
  <c r="M46" i="79"/>
  <c r="Q46" i="79" s="1"/>
  <c r="H46" i="118"/>
  <c r="M38" i="79"/>
  <c r="Q38" i="79" s="1"/>
  <c r="H38" i="118"/>
  <c r="M30" i="79"/>
  <c r="Q30" i="79" s="1"/>
  <c r="H30" i="118"/>
  <c r="M22" i="79"/>
  <c r="Q22" i="79" s="1"/>
  <c r="H22" i="118"/>
  <c r="M14" i="79"/>
  <c r="Q14" i="79" s="1"/>
  <c r="H14" i="118"/>
  <c r="M26" i="79"/>
  <c r="Q26" i="79" s="1"/>
  <c r="H26" i="118"/>
  <c r="M10" i="79"/>
  <c r="Q10" i="79" s="1"/>
  <c r="H10" i="118"/>
  <c r="M36" i="79"/>
  <c r="Q36" i="79" s="1"/>
  <c r="H36" i="118"/>
  <c r="M12" i="79"/>
  <c r="Q12" i="79" s="1"/>
  <c r="H12" i="118"/>
  <c r="M48" i="79"/>
  <c r="Q48" i="79" s="1"/>
  <c r="H48" i="118"/>
  <c r="M40" i="79"/>
  <c r="Q40" i="79" s="1"/>
  <c r="H40" i="118"/>
  <c r="M32" i="79"/>
  <c r="Q32" i="79" s="1"/>
  <c r="H32" i="118"/>
  <c r="M24" i="79"/>
  <c r="Q24" i="79" s="1"/>
  <c r="H24" i="118"/>
  <c r="M16" i="79"/>
  <c r="Q16" i="79" s="1"/>
  <c r="H16" i="118"/>
  <c r="M8" i="79"/>
  <c r="Q8" i="79" s="1"/>
  <c r="H8" i="118"/>
  <c r="AG131" i="62"/>
  <c r="J13" i="123"/>
  <c r="Q131" i="60"/>
  <c r="K18" i="123" s="1"/>
  <c r="K13" i="123" s="1"/>
  <c r="L18" i="123"/>
  <c r="L20" i="123"/>
  <c r="I20" i="123"/>
  <c r="I13" i="123" s="1"/>
  <c r="I24" i="123" s="1"/>
  <c r="I12" i="123" s="1"/>
  <c r="V12" i="123" s="1"/>
  <c r="BC79" i="97"/>
  <c r="BC42" i="97"/>
  <c r="BC120" i="97"/>
  <c r="BC73" i="97"/>
  <c r="AM131" i="62"/>
  <c r="BC53" i="97"/>
  <c r="BC83" i="97"/>
  <c r="O131" i="62"/>
  <c r="J145" i="1"/>
  <c r="E49" i="1"/>
  <c r="E45" i="1"/>
  <c r="E54" i="1"/>
  <c r="E48" i="1"/>
  <c r="E55" i="1"/>
  <c r="E50" i="1"/>
  <c r="E46" i="1"/>
  <c r="E53" i="1"/>
  <c r="E47" i="1"/>
  <c r="E52" i="1"/>
  <c r="E51" i="1"/>
  <c r="L145" i="1"/>
  <c r="K145" i="1"/>
  <c r="C35" i="108"/>
  <c r="C36" i="108"/>
  <c r="C32" i="108"/>
  <c r="C28" i="108"/>
  <c r="C24" i="108"/>
  <c r="C18" i="108"/>
  <c r="C14" i="108"/>
  <c r="C10" i="108"/>
  <c r="C6" i="108"/>
  <c r="C37" i="108"/>
  <c r="C33" i="108"/>
  <c r="C29" i="108"/>
  <c r="C25" i="108"/>
  <c r="C15" i="108"/>
  <c r="C11" i="108"/>
  <c r="C7" i="108"/>
  <c r="C3" i="108"/>
  <c r="C34" i="108"/>
  <c r="C30" i="108"/>
  <c r="C26" i="108"/>
  <c r="C22" i="108"/>
  <c r="C16" i="108"/>
  <c r="C12" i="108"/>
  <c r="C8" i="108"/>
  <c r="C4" i="108"/>
  <c r="C31" i="108"/>
  <c r="C27" i="108"/>
  <c r="C23" i="108"/>
  <c r="C17" i="108"/>
  <c r="C13" i="108"/>
  <c r="C9" i="108"/>
  <c r="C5" i="108"/>
  <c r="M151" i="1"/>
  <c r="M145" i="1"/>
  <c r="M149" i="1" s="1"/>
  <c r="L151" i="1"/>
  <c r="K151" i="1"/>
  <c r="J151" i="1"/>
  <c r="J140" i="1"/>
  <c r="I4" i="53"/>
  <c r="G5" i="79" s="1"/>
  <c r="G9" i="79"/>
  <c r="G12" i="79"/>
  <c r="X12" i="79" s="1"/>
  <c r="G16" i="79"/>
  <c r="U16" i="79" s="1"/>
  <c r="G7" i="79"/>
  <c r="X7" i="79" s="1"/>
  <c r="E5" i="79"/>
  <c r="J6" i="123"/>
  <c r="J5" i="123" s="1"/>
  <c r="J4" i="53"/>
  <c r="BC21" i="97"/>
  <c r="BC102" i="97"/>
  <c r="BC44" i="97"/>
  <c r="BC55" i="97"/>
  <c r="BC25" i="97"/>
  <c r="BC60" i="97"/>
  <c r="BC74" i="97"/>
  <c r="BC71" i="97"/>
  <c r="BC62" i="97"/>
  <c r="BC26" i="97"/>
  <c r="BC112" i="97"/>
  <c r="BC36" i="97"/>
  <c r="BC117" i="97"/>
  <c r="BC58" i="97"/>
  <c r="BC50" i="97"/>
  <c r="BC66" i="97"/>
  <c r="E5" i="118"/>
  <c r="BC107" i="97"/>
  <c r="BC24" i="97"/>
  <c r="P6" i="85"/>
  <c r="D5" i="79"/>
  <c r="BC96" i="97"/>
  <c r="BC84" i="97"/>
  <c r="BC45" i="97"/>
  <c r="BC105" i="97"/>
  <c r="BC11" i="97"/>
  <c r="BC10" i="97"/>
  <c r="BC56" i="97"/>
  <c r="BC14" i="97"/>
  <c r="BC52" i="97"/>
  <c r="P5" i="79"/>
  <c r="D5" i="118"/>
  <c r="BC61" i="97"/>
  <c r="BC85" i="97"/>
  <c r="BC121" i="97"/>
  <c r="BC104" i="97"/>
  <c r="BC7" i="97"/>
  <c r="BC23" i="97"/>
  <c r="BC16" i="97"/>
  <c r="L140" i="1"/>
  <c r="K140" i="1"/>
  <c r="M140" i="1"/>
  <c r="O122" i="79"/>
  <c r="K4" i="101"/>
  <c r="O116" i="79"/>
  <c r="O43" i="79"/>
  <c r="O120" i="79"/>
  <c r="O47" i="79"/>
  <c r="O124" i="79"/>
  <c r="O107" i="79"/>
  <c r="O115" i="79"/>
  <c r="O56" i="79"/>
  <c r="O117" i="79"/>
  <c r="O66" i="79"/>
  <c r="O68" i="79"/>
  <c r="O118" i="79"/>
  <c r="O100" i="79"/>
  <c r="O80" i="79"/>
  <c r="O112" i="79"/>
  <c r="O94" i="79"/>
  <c r="O69" i="79"/>
  <c r="O99" i="79"/>
  <c r="O111" i="79"/>
  <c r="O31" i="79"/>
  <c r="O109" i="79"/>
  <c r="O54" i="79"/>
  <c r="O58" i="79"/>
  <c r="O78" i="79"/>
  <c r="O106" i="79"/>
  <c r="O67" i="79"/>
  <c r="O53" i="79"/>
  <c r="O110" i="79"/>
  <c r="O90" i="79"/>
  <c r="O81" i="79"/>
  <c r="O114" i="79"/>
  <c r="O77" i="79"/>
  <c r="O96" i="79"/>
  <c r="O51" i="79"/>
  <c r="O104" i="79"/>
  <c r="O33" i="79"/>
  <c r="O125" i="79"/>
  <c r="O57" i="79"/>
  <c r="O123" i="79"/>
  <c r="U118" i="79"/>
  <c r="W21" i="79"/>
  <c r="W64" i="79"/>
  <c r="U125" i="79"/>
  <c r="X95" i="79"/>
  <c r="U55" i="79"/>
  <c r="X64" i="79"/>
  <c r="V64" i="79"/>
  <c r="X62" i="79"/>
  <c r="V111" i="79"/>
  <c r="U84" i="79"/>
  <c r="W17" i="79"/>
  <c r="W113" i="79"/>
  <c r="V100" i="79"/>
  <c r="W94" i="79"/>
  <c r="X32" i="79"/>
  <c r="O7" i="79"/>
  <c r="V77" i="79"/>
  <c r="W96" i="79"/>
  <c r="W116" i="79"/>
  <c r="BC35" i="97"/>
  <c r="O73" i="79"/>
  <c r="O49" i="79"/>
  <c r="O9" i="79"/>
  <c r="Z6" i="85"/>
  <c r="H174" i="1" s="1"/>
  <c r="O35" i="79"/>
  <c r="BC41" i="97"/>
  <c r="BC57" i="97"/>
  <c r="O60" i="79"/>
  <c r="O97" i="79"/>
  <c r="O17" i="79"/>
  <c r="O105" i="79"/>
  <c r="X97" i="79"/>
  <c r="BC30" i="97"/>
  <c r="BC15" i="97"/>
  <c r="BC111" i="97"/>
  <c r="BC27" i="97"/>
  <c r="O92" i="79"/>
  <c r="O36" i="79"/>
  <c r="O13" i="79"/>
  <c r="O108" i="79"/>
  <c r="O29" i="79"/>
  <c r="V11" i="79"/>
  <c r="O79" i="79"/>
  <c r="O19" i="79"/>
  <c r="W29" i="79"/>
  <c r="O39" i="79"/>
  <c r="X109" i="79"/>
  <c r="T6" i="85"/>
  <c r="I62" i="1"/>
  <c r="I61" i="1"/>
  <c r="I60" i="1"/>
  <c r="I63" i="1"/>
  <c r="I58" i="1"/>
  <c r="C21" i="108"/>
  <c r="C2" i="108"/>
  <c r="E61" i="1"/>
  <c r="E60" i="1"/>
  <c r="E63" i="1"/>
  <c r="E58" i="1"/>
  <c r="E62" i="1"/>
  <c r="W92" i="79"/>
  <c r="V92" i="79"/>
  <c r="X92" i="79"/>
  <c r="U92" i="79"/>
  <c r="O85" i="79"/>
  <c r="O52" i="79"/>
  <c r="W56" i="79"/>
  <c r="V37" i="79"/>
  <c r="X89" i="79"/>
  <c r="U67" i="79"/>
  <c r="W123" i="79"/>
  <c r="V49" i="79"/>
  <c r="V14" i="79"/>
  <c r="X20" i="79"/>
  <c r="W68" i="79"/>
  <c r="W45" i="79"/>
  <c r="O89" i="79"/>
  <c r="W72" i="79"/>
  <c r="O98" i="79"/>
  <c r="O84" i="79"/>
  <c r="O72" i="79"/>
  <c r="O15" i="79"/>
  <c r="O70" i="79"/>
  <c r="O88" i="79"/>
  <c r="BC118" i="97"/>
  <c r="BC46" i="97"/>
  <c r="O50" i="79"/>
  <c r="O119" i="79"/>
  <c r="O93" i="79"/>
  <c r="O74" i="79"/>
  <c r="O61" i="79"/>
  <c r="O37" i="79"/>
  <c r="O23" i="79"/>
  <c r="X87" i="79"/>
  <c r="O65" i="79"/>
  <c r="O25" i="79"/>
  <c r="O87" i="79"/>
  <c r="O83" i="79"/>
  <c r="W93" i="79"/>
  <c r="X93" i="79"/>
  <c r="V93" i="79"/>
  <c r="O55" i="79"/>
  <c r="BC110" i="97"/>
  <c r="BC68" i="97"/>
  <c r="BC54" i="97"/>
  <c r="BC28" i="97"/>
  <c r="BC37" i="97"/>
  <c r="O82" i="79"/>
  <c r="O86" i="79"/>
  <c r="O121" i="79"/>
  <c r="O113" i="79"/>
  <c r="O103" i="79"/>
  <c r="O91" i="79"/>
  <c r="O62" i="79"/>
  <c r="U93" i="79"/>
  <c r="O75" i="79"/>
  <c r="O14" i="79"/>
  <c r="O101" i="79"/>
  <c r="BC29" i="97"/>
  <c r="U63" i="79"/>
  <c r="V82" i="79"/>
  <c r="W41" i="79"/>
  <c r="W31" i="79"/>
  <c r="F4" i="60"/>
  <c r="BC81" i="97"/>
  <c r="BC51" i="97"/>
  <c r="BC108" i="97"/>
  <c r="BC64" i="97"/>
  <c r="O76" i="79"/>
  <c r="O63" i="79"/>
  <c r="O27" i="79"/>
  <c r="O64" i="79"/>
  <c r="O45" i="79"/>
  <c r="O95" i="79"/>
  <c r="O59" i="79"/>
  <c r="O71" i="79"/>
  <c r="F23" i="1"/>
  <c r="F18" i="1"/>
  <c r="F21" i="1"/>
  <c r="F20" i="1"/>
  <c r="F22" i="1"/>
  <c r="F17" i="1"/>
  <c r="F16" i="1"/>
  <c r="G172" i="1"/>
  <c r="G173" i="1" s="1"/>
  <c r="F11" i="1"/>
  <c r="W112" i="79"/>
  <c r="W10" i="79"/>
  <c r="V61" i="79"/>
  <c r="V34" i="79"/>
  <c r="V114" i="79"/>
  <c r="X22" i="79"/>
  <c r="AC94" i="84"/>
  <c r="AD94" i="84"/>
  <c r="AC46" i="84"/>
  <c r="AD46" i="84"/>
  <c r="W30" i="79"/>
  <c r="U73" i="79"/>
  <c r="V57" i="79"/>
  <c r="V42" i="79"/>
  <c r="U115" i="79"/>
  <c r="V50" i="79"/>
  <c r="AC82" i="84"/>
  <c r="AD82" i="84"/>
  <c r="AC119" i="84"/>
  <c r="AD119" i="84"/>
  <c r="AD93" i="84"/>
  <c r="AC93" i="84"/>
  <c r="V71" i="79"/>
  <c r="AC92" i="84"/>
  <c r="G17" i="1"/>
  <c r="AG5" i="84"/>
  <c r="G22" i="1" s="1"/>
  <c r="G16" i="1"/>
  <c r="G18" i="1"/>
  <c r="AD5" i="84"/>
  <c r="G21" i="1" s="1"/>
  <c r="G23" i="1"/>
  <c r="U6" i="79"/>
  <c r="X105" i="79"/>
  <c r="AD53" i="84"/>
  <c r="AD12" i="84"/>
  <c r="AC12" i="84"/>
  <c r="AC70" i="84"/>
  <c r="AD70" i="84"/>
  <c r="AD67" i="84"/>
  <c r="AD34" i="84"/>
  <c r="AC34" i="84"/>
  <c r="H170" i="1"/>
  <c r="F172" i="1"/>
  <c r="F173" i="1" s="1"/>
  <c r="X40" i="79"/>
  <c r="X28" i="79"/>
  <c r="X8" i="79"/>
  <c r="AD60" i="84"/>
  <c r="AC60" i="84"/>
  <c r="AC30" i="84"/>
  <c r="AD73" i="84"/>
  <c r="AC73" i="84"/>
  <c r="AC6" i="84"/>
  <c r="E20" i="1" s="1"/>
  <c r="AD6" i="84"/>
  <c r="U120" i="79"/>
  <c r="X102" i="79"/>
  <c r="U70" i="79"/>
  <c r="U44" i="79"/>
  <c r="X39" i="79"/>
  <c r="U83" i="79"/>
  <c r="X27" i="79"/>
  <c r="X18" i="79"/>
  <c r="W15" i="79"/>
  <c r="X99" i="79"/>
  <c r="L5" i="79"/>
  <c r="O6" i="79"/>
  <c r="S6" i="79" s="1"/>
  <c r="AC98" i="84"/>
  <c r="AD98" i="84"/>
  <c r="AD43" i="84"/>
  <c r="AC43" i="84"/>
  <c r="AC103" i="84"/>
  <c r="AD103" i="84"/>
  <c r="AC47" i="84"/>
  <c r="X107" i="79"/>
  <c r="AC114" i="84"/>
  <c r="AC61" i="84"/>
  <c r="AD61" i="84"/>
  <c r="AD125" i="84"/>
  <c r="AC38" i="84"/>
  <c r="AD9" i="84"/>
  <c r="E172" i="1"/>
  <c r="E173" i="1" s="1"/>
  <c r="H171" i="1"/>
  <c r="V76" i="79"/>
  <c r="V46" i="79"/>
  <c r="AD91" i="84"/>
  <c r="AC91" i="84"/>
  <c r="AD20" i="84"/>
  <c r="AC20" i="84"/>
  <c r="X78" i="79"/>
  <c r="U78" i="79"/>
  <c r="V78" i="79"/>
  <c r="F4" i="55"/>
  <c r="V90" i="79"/>
  <c r="V69" i="79"/>
  <c r="U43" i="79"/>
  <c r="F4" i="53"/>
  <c r="V24" i="79"/>
  <c r="X51" i="79"/>
  <c r="D4" i="57"/>
  <c r="AD99" i="84"/>
  <c r="AC99" i="84"/>
  <c r="U65" i="79"/>
  <c r="X58" i="79"/>
  <c r="AD71" i="84"/>
  <c r="AD10" i="84"/>
  <c r="AC10" i="84"/>
  <c r="U106" i="79"/>
  <c r="AD47" i="84"/>
  <c r="AC45" i="84"/>
  <c r="AC23" i="84"/>
  <c r="AD16" i="84"/>
  <c r="AC16" i="84"/>
  <c r="AC74" i="84"/>
  <c r="E42" i="1"/>
  <c r="E27" i="1"/>
  <c r="O26" i="79" l="1"/>
  <c r="O44" i="79"/>
  <c r="O12" i="79"/>
  <c r="S12" i="79" s="1"/>
  <c r="AB12" i="79" s="1"/>
  <c r="O24" i="79"/>
  <c r="S24" i="79" s="1"/>
  <c r="AB24" i="79" s="1"/>
  <c r="O18" i="79"/>
  <c r="S18" i="79" s="1"/>
  <c r="AB18" i="79" s="1"/>
  <c r="O20" i="79"/>
  <c r="S20" i="79" s="1"/>
  <c r="O32" i="79"/>
  <c r="S32" i="79" s="1"/>
  <c r="AB32" i="79" s="1"/>
  <c r="M5" i="79"/>
  <c r="O16" i="79"/>
  <c r="S16" i="79" s="1"/>
  <c r="AB16" i="79" s="1"/>
  <c r="O34" i="79"/>
  <c r="O48" i="79"/>
  <c r="S48" i="79" s="1"/>
  <c r="AB48" i="79" s="1"/>
  <c r="Q5" i="79"/>
  <c r="O8" i="79"/>
  <c r="S8" i="79" s="1"/>
  <c r="AB8" i="79" s="1"/>
  <c r="O10" i="79"/>
  <c r="O42" i="79"/>
  <c r="S42" i="79" s="1"/>
  <c r="AB42" i="79" s="1"/>
  <c r="O46" i="79"/>
  <c r="S46" i="79" s="1"/>
  <c r="AB46" i="79" s="1"/>
  <c r="O28" i="79"/>
  <c r="S28" i="79" s="1"/>
  <c r="AB28" i="79" s="1"/>
  <c r="O30" i="79"/>
  <c r="S30" i="79" s="1"/>
  <c r="AB30" i="79" s="1"/>
  <c r="O40" i="79"/>
  <c r="S40" i="79" s="1"/>
  <c r="AB40" i="79" s="1"/>
  <c r="L13" i="123"/>
  <c r="K22" i="123" s="1"/>
  <c r="H5" i="118"/>
  <c r="L6" i="123"/>
  <c r="L5" i="123" s="1"/>
  <c r="J8" i="123" s="1"/>
  <c r="I23" i="123"/>
  <c r="W12" i="123" s="1"/>
  <c r="L149" i="1"/>
  <c r="J149" i="1"/>
  <c r="J24" i="123"/>
  <c r="J9" i="123" s="1"/>
  <c r="U13" i="123" s="1"/>
  <c r="I9" i="123"/>
  <c r="U12" i="123" s="1"/>
  <c r="K149" i="1"/>
  <c r="X16" i="79"/>
  <c r="V16" i="79"/>
  <c r="W16" i="79"/>
  <c r="U5" i="79"/>
  <c r="K4" i="53"/>
  <c r="E21" i="1"/>
  <c r="S87" i="79"/>
  <c r="S19" i="79"/>
  <c r="AB19" i="79" s="1"/>
  <c r="S35" i="79"/>
  <c r="S71" i="79"/>
  <c r="AB71" i="79" s="1"/>
  <c r="S76" i="79"/>
  <c r="S62" i="79"/>
  <c r="AB62" i="79" s="1"/>
  <c r="S79" i="79"/>
  <c r="S13" i="79"/>
  <c r="AB13" i="79" s="1"/>
  <c r="S105" i="79"/>
  <c r="S60" i="79"/>
  <c r="AB60" i="79" s="1"/>
  <c r="S26" i="79"/>
  <c r="S57" i="79"/>
  <c r="AB57" i="79" s="1"/>
  <c r="S104" i="79"/>
  <c r="S110" i="79"/>
  <c r="S78" i="79"/>
  <c r="AB78" i="79" s="1"/>
  <c r="S31" i="79"/>
  <c r="S94" i="79"/>
  <c r="AB94" i="79" s="1"/>
  <c r="S118" i="79"/>
  <c r="S117" i="79"/>
  <c r="AB117" i="79" s="1"/>
  <c r="S124" i="79"/>
  <c r="S116" i="79"/>
  <c r="AB116" i="79" s="1"/>
  <c r="S101" i="79"/>
  <c r="AB101" i="79" s="1"/>
  <c r="S113" i="79"/>
  <c r="S61" i="79"/>
  <c r="S50" i="79"/>
  <c r="AB50" i="79" s="1"/>
  <c r="S70" i="79"/>
  <c r="S98" i="79"/>
  <c r="AB98" i="79" s="1"/>
  <c r="S108" i="79"/>
  <c r="S97" i="79"/>
  <c r="AB97" i="79" s="1"/>
  <c r="S49" i="79"/>
  <c r="S123" i="79"/>
  <c r="AB123" i="79" s="1"/>
  <c r="S33" i="79"/>
  <c r="S77" i="79"/>
  <c r="AB77" i="79" s="1"/>
  <c r="S90" i="79"/>
  <c r="S106" i="79"/>
  <c r="AB106" i="79" s="1"/>
  <c r="S109" i="79"/>
  <c r="S69" i="79"/>
  <c r="AB69" i="79" s="1"/>
  <c r="S100" i="79"/>
  <c r="S66" i="79"/>
  <c r="AB66" i="79" s="1"/>
  <c r="S107" i="79"/>
  <c r="S43" i="79"/>
  <c r="AB43" i="79" s="1"/>
  <c r="AA6" i="79"/>
  <c r="AB6" i="79"/>
  <c r="S27" i="79"/>
  <c r="AB27" i="79" s="1"/>
  <c r="S14" i="79"/>
  <c r="AB14" i="79" s="1"/>
  <c r="S121" i="79"/>
  <c r="S82" i="79"/>
  <c r="AB82" i="79" s="1"/>
  <c r="S74" i="79"/>
  <c r="S15" i="79"/>
  <c r="AB15" i="79" s="1"/>
  <c r="S59" i="79"/>
  <c r="AB59" i="79" s="1"/>
  <c r="S45" i="79"/>
  <c r="AB45" i="79" s="1"/>
  <c r="S44" i="79"/>
  <c r="AB44" i="79" s="1"/>
  <c r="S75" i="79"/>
  <c r="AB75" i="79" s="1"/>
  <c r="S91" i="79"/>
  <c r="S25" i="79"/>
  <c r="AB25" i="79" s="1"/>
  <c r="S23" i="79"/>
  <c r="AB23" i="79" s="1"/>
  <c r="S93" i="79"/>
  <c r="AB93" i="79" s="1"/>
  <c r="S72" i="79"/>
  <c r="AB72" i="79" s="1"/>
  <c r="S89" i="79"/>
  <c r="S52" i="79"/>
  <c r="AB52" i="79" s="1"/>
  <c r="S39" i="79"/>
  <c r="AB39" i="79" s="1"/>
  <c r="S36" i="79"/>
  <c r="AB36" i="79" s="1"/>
  <c r="S17" i="79"/>
  <c r="AB17" i="79" s="1"/>
  <c r="S9" i="79"/>
  <c r="AB9" i="79" s="1"/>
  <c r="S73" i="79"/>
  <c r="S125" i="79"/>
  <c r="AB125" i="79" s="1"/>
  <c r="S51" i="79"/>
  <c r="AB51" i="79" s="1"/>
  <c r="S114" i="79"/>
  <c r="AB114" i="79" s="1"/>
  <c r="S53" i="79"/>
  <c r="AB53" i="79" s="1"/>
  <c r="S58" i="79"/>
  <c r="AB58" i="79" s="1"/>
  <c r="S111" i="79"/>
  <c r="S112" i="79"/>
  <c r="AB112" i="79" s="1"/>
  <c r="S68" i="79"/>
  <c r="AB68" i="79" s="1"/>
  <c r="S56" i="79"/>
  <c r="AB56" i="79" s="1"/>
  <c r="S47" i="79"/>
  <c r="AB47" i="79" s="1"/>
  <c r="S10" i="79"/>
  <c r="AB10" i="79" s="1"/>
  <c r="S95" i="79"/>
  <c r="S64" i="79"/>
  <c r="AB64" i="79" s="1"/>
  <c r="S63" i="79"/>
  <c r="AB63" i="79" s="1"/>
  <c r="S103" i="79"/>
  <c r="AB103" i="79" s="1"/>
  <c r="S86" i="79"/>
  <c r="AB86" i="79" s="1"/>
  <c r="S55" i="79"/>
  <c r="S83" i="79"/>
  <c r="AB83" i="79" s="1"/>
  <c r="S65" i="79"/>
  <c r="AB65" i="79" s="1"/>
  <c r="S37" i="79"/>
  <c r="AB37" i="79" s="1"/>
  <c r="S119" i="79"/>
  <c r="AB119" i="79" s="1"/>
  <c r="S88" i="79"/>
  <c r="AB88" i="79" s="1"/>
  <c r="S84" i="79"/>
  <c r="S85" i="79"/>
  <c r="AB85" i="79" s="1"/>
  <c r="S29" i="79"/>
  <c r="AB29" i="79" s="1"/>
  <c r="S92" i="79"/>
  <c r="AB92" i="79" s="1"/>
  <c r="S7" i="79"/>
  <c r="S34" i="79"/>
  <c r="AB34" i="79" s="1"/>
  <c r="S96" i="79"/>
  <c r="AB96" i="79" s="1"/>
  <c r="S81" i="79"/>
  <c r="AB81" i="79" s="1"/>
  <c r="S67" i="79"/>
  <c r="AB67" i="79" s="1"/>
  <c r="S54" i="79"/>
  <c r="S99" i="79"/>
  <c r="AB99" i="79" s="1"/>
  <c r="S80" i="79"/>
  <c r="AB80" i="79" s="1"/>
  <c r="S115" i="79"/>
  <c r="AB115" i="79" s="1"/>
  <c r="S120" i="79"/>
  <c r="AB120" i="79" s="1"/>
  <c r="S122" i="79"/>
  <c r="Z6" i="79"/>
  <c r="K160" i="1"/>
  <c r="M143" i="1"/>
  <c r="M160" i="1"/>
  <c r="L158" i="1"/>
  <c r="M158" i="1"/>
  <c r="J158" i="1"/>
  <c r="L160" i="1"/>
  <c r="K158" i="1"/>
  <c r="K143" i="1"/>
  <c r="J160" i="1"/>
  <c r="L143" i="1"/>
  <c r="J143" i="1"/>
  <c r="V118" i="79"/>
  <c r="O38" i="79"/>
  <c r="O102" i="79"/>
  <c r="O22" i="79"/>
  <c r="X125" i="79"/>
  <c r="W95" i="79"/>
  <c r="U95" i="79"/>
  <c r="W59" i="79"/>
  <c r="W118" i="79"/>
  <c r="U26" i="79"/>
  <c r="X118" i="79"/>
  <c r="V86" i="79"/>
  <c r="U35" i="79"/>
  <c r="V33" i="79"/>
  <c r="V75" i="79"/>
  <c r="V21" i="79"/>
  <c r="U21" i="79"/>
  <c r="W13" i="79"/>
  <c r="W125" i="79"/>
  <c r="V125" i="79"/>
  <c r="V48" i="79"/>
  <c r="U119" i="79"/>
  <c r="U66" i="79"/>
  <c r="V95" i="79"/>
  <c r="X91" i="79"/>
  <c r="X21" i="79"/>
  <c r="X53" i="79"/>
  <c r="U25" i="79"/>
  <c r="W9" i="79"/>
  <c r="X74" i="79"/>
  <c r="U36" i="79"/>
  <c r="V55" i="79"/>
  <c r="V121" i="79"/>
  <c r="V124" i="79"/>
  <c r="W52" i="79"/>
  <c r="W55" i="79"/>
  <c r="X55" i="79"/>
  <c r="X41" i="79"/>
  <c r="W53" i="79"/>
  <c r="W110" i="79"/>
  <c r="V123" i="79"/>
  <c r="U89" i="79"/>
  <c r="X111" i="79"/>
  <c r="W89" i="79"/>
  <c r="X123" i="79"/>
  <c r="V89" i="79"/>
  <c r="W111" i="79"/>
  <c r="U111" i="79"/>
  <c r="X100" i="79"/>
  <c r="V17" i="79"/>
  <c r="X113" i="79"/>
  <c r="W100" i="79"/>
  <c r="U17" i="79"/>
  <c r="W49" i="79"/>
  <c r="U49" i="79"/>
  <c r="V116" i="79"/>
  <c r="X49" i="79"/>
  <c r="U123" i="79"/>
  <c r="V62" i="79"/>
  <c r="W62" i="79"/>
  <c r="U62" i="79"/>
  <c r="V18" i="79"/>
  <c r="V97" i="79"/>
  <c r="U14" i="79"/>
  <c r="U94" i="79"/>
  <c r="X63" i="79"/>
  <c r="U113" i="79"/>
  <c r="X115" i="79"/>
  <c r="U100" i="79"/>
  <c r="X17" i="79"/>
  <c r="U77" i="79"/>
  <c r="W77" i="79"/>
  <c r="W67" i="79"/>
  <c r="W101" i="79"/>
  <c r="U79" i="79"/>
  <c r="X72" i="79"/>
  <c r="V113" i="79"/>
  <c r="U32" i="79"/>
  <c r="V67" i="79"/>
  <c r="X77" i="79"/>
  <c r="U116" i="79"/>
  <c r="U41" i="79"/>
  <c r="V110" i="79"/>
  <c r="W32" i="79"/>
  <c r="U23" i="79"/>
  <c r="X84" i="79"/>
  <c r="V94" i="79"/>
  <c r="V41" i="79"/>
  <c r="X85" i="79"/>
  <c r="V84" i="79"/>
  <c r="W84" i="79"/>
  <c r="V63" i="79"/>
  <c r="X14" i="79"/>
  <c r="V96" i="79"/>
  <c r="U50" i="79"/>
  <c r="X67" i="79"/>
  <c r="U87" i="79"/>
  <c r="W46" i="79"/>
  <c r="X94" i="79"/>
  <c r="X24" i="79"/>
  <c r="X116" i="79"/>
  <c r="U99" i="79"/>
  <c r="V7" i="79"/>
  <c r="U39" i="79"/>
  <c r="V56" i="79"/>
  <c r="W97" i="79"/>
  <c r="X11" i="79"/>
  <c r="V32" i="79"/>
  <c r="W63" i="79"/>
  <c r="V87" i="79"/>
  <c r="W20" i="79"/>
  <c r="V102" i="79"/>
  <c r="U96" i="79"/>
  <c r="U97" i="79"/>
  <c r="X61" i="79"/>
  <c r="W87" i="79"/>
  <c r="U76" i="79"/>
  <c r="X120" i="79"/>
  <c r="X96" i="79"/>
  <c r="U37" i="79"/>
  <c r="U114" i="79"/>
  <c r="U20" i="79"/>
  <c r="V20" i="79"/>
  <c r="X90" i="79"/>
  <c r="V8" i="79"/>
  <c r="W47" i="79"/>
  <c r="U51" i="79"/>
  <c r="X43" i="79"/>
  <c r="U46" i="79"/>
  <c r="V28" i="79"/>
  <c r="U90" i="79"/>
  <c r="O41" i="79"/>
  <c r="V12" i="79"/>
  <c r="V65" i="79"/>
  <c r="U40" i="79"/>
  <c r="X37" i="79"/>
  <c r="X56" i="79"/>
  <c r="V22" i="79"/>
  <c r="V29" i="79"/>
  <c r="U29" i="79"/>
  <c r="X29" i="79"/>
  <c r="O11" i="79"/>
  <c r="N5" i="79"/>
  <c r="V68" i="79"/>
  <c r="X68" i="79"/>
  <c r="U68" i="79"/>
  <c r="W37" i="79"/>
  <c r="V80" i="79"/>
  <c r="X80" i="79"/>
  <c r="U80" i="79"/>
  <c r="U72" i="79"/>
  <c r="X70" i="79"/>
  <c r="U56" i="79"/>
  <c r="U42" i="79"/>
  <c r="W80" i="79"/>
  <c r="U60" i="79"/>
  <c r="V60" i="79"/>
  <c r="W60" i="79"/>
  <c r="X60" i="79"/>
  <c r="X69" i="79"/>
  <c r="V109" i="79"/>
  <c r="V72" i="79"/>
  <c r="V106" i="79"/>
  <c r="W70" i="79"/>
  <c r="X76" i="79"/>
  <c r="V27" i="79"/>
  <c r="X44" i="79"/>
  <c r="V70" i="79"/>
  <c r="W76" i="79"/>
  <c r="X42" i="79"/>
  <c r="X73" i="79"/>
  <c r="U110" i="79"/>
  <c r="W90" i="79"/>
  <c r="O21" i="79"/>
  <c r="U45" i="79"/>
  <c r="X45" i="79"/>
  <c r="V45" i="79"/>
  <c r="W14" i="79"/>
  <c r="H172" i="1"/>
  <c r="I170" i="1" s="1"/>
  <c r="V88" i="79"/>
  <c r="X88" i="79"/>
  <c r="U88" i="79"/>
  <c r="W6" i="79"/>
  <c r="U58" i="79"/>
  <c r="X6" i="79"/>
  <c r="V58" i="79"/>
  <c r="U82" i="79"/>
  <c r="W88" i="79"/>
  <c r="U103" i="79"/>
  <c r="W103" i="79"/>
  <c r="W99" i="79"/>
  <c r="V99" i="79"/>
  <c r="U7" i="79"/>
  <c r="W7" i="79"/>
  <c r="U117" i="79"/>
  <c r="V117" i="79"/>
  <c r="X117" i="79"/>
  <c r="X65" i="79"/>
  <c r="W120" i="79"/>
  <c r="V120" i="79"/>
  <c r="U105" i="79"/>
  <c r="W105" i="79"/>
  <c r="X50" i="79"/>
  <c r="W115" i="79"/>
  <c r="V115" i="79"/>
  <c r="X57" i="79"/>
  <c r="V73" i="79"/>
  <c r="X110" i="79"/>
  <c r="W117" i="79"/>
  <c r="U22" i="79"/>
  <c r="W22" i="79"/>
  <c r="X114" i="79"/>
  <c r="X34" i="79"/>
  <c r="U61" i="79"/>
  <c r="W61" i="79"/>
  <c r="X103" i="79"/>
  <c r="W73" i="79"/>
  <c r="W114" i="79"/>
  <c r="X108" i="79"/>
  <c r="U108" i="79"/>
  <c r="V108" i="79"/>
  <c r="U107" i="79"/>
  <c r="W107" i="79"/>
  <c r="W81" i="79"/>
  <c r="U81" i="79"/>
  <c r="W83" i="79"/>
  <c r="V83" i="79"/>
  <c r="U12" i="79"/>
  <c r="W12" i="79"/>
  <c r="U24" i="79"/>
  <c r="W24" i="79"/>
  <c r="W58" i="79"/>
  <c r="X106" i="79"/>
  <c r="X46" i="79"/>
  <c r="V15" i="79"/>
  <c r="U15" i="79"/>
  <c r="X15" i="79"/>
  <c r="U27" i="79"/>
  <c r="W27" i="79"/>
  <c r="W44" i="79"/>
  <c r="V44" i="79"/>
  <c r="U28" i="79"/>
  <c r="W28" i="79"/>
  <c r="V40" i="79"/>
  <c r="W40" i="79"/>
  <c r="U71" i="79"/>
  <c r="W71" i="79"/>
  <c r="X81" i="79"/>
  <c r="X71" i="79"/>
  <c r="W106" i="79"/>
  <c r="V10" i="79"/>
  <c r="U10" i="79"/>
  <c r="X10" i="79"/>
  <c r="W108" i="79"/>
  <c r="V54" i="79"/>
  <c r="U54" i="79"/>
  <c r="X54" i="79"/>
  <c r="V107" i="79"/>
  <c r="W57" i="79"/>
  <c r="U57" i="79"/>
  <c r="W34" i="79"/>
  <c r="X104" i="79"/>
  <c r="U104" i="79"/>
  <c r="V104" i="79"/>
  <c r="W104" i="79"/>
  <c r="V51" i="79"/>
  <c r="W51" i="79"/>
  <c r="V6" i="79"/>
  <c r="V43" i="79"/>
  <c r="W43" i="79"/>
  <c r="W69" i="79"/>
  <c r="U69" i="79"/>
  <c r="X82" i="79"/>
  <c r="U109" i="79"/>
  <c r="W109" i="79"/>
  <c r="W18" i="79"/>
  <c r="U18" i="79"/>
  <c r="X83" i="79"/>
  <c r="V39" i="79"/>
  <c r="W39" i="79"/>
  <c r="W102" i="79"/>
  <c r="U102" i="79"/>
  <c r="W65" i="79"/>
  <c r="U8" i="79"/>
  <c r="W8" i="79"/>
  <c r="U11" i="79"/>
  <c r="W11" i="79"/>
  <c r="W50" i="79"/>
  <c r="V81" i="79"/>
  <c r="V105" i="79"/>
  <c r="X30" i="79"/>
  <c r="U30" i="79"/>
  <c r="V30" i="79"/>
  <c r="U34" i="79"/>
  <c r="V103" i="79"/>
  <c r="W42" i="79"/>
  <c r="V31" i="79"/>
  <c r="X31" i="79"/>
  <c r="U31" i="79"/>
  <c r="W82" i="79"/>
  <c r="V38" i="79"/>
  <c r="U38" i="79"/>
  <c r="X38" i="79"/>
  <c r="W38" i="79"/>
  <c r="W54" i="79"/>
  <c r="V112" i="79"/>
  <c r="U112" i="79"/>
  <c r="X112" i="79"/>
  <c r="J22" i="123" l="1"/>
  <c r="L22" i="123"/>
  <c r="I22" i="123"/>
  <c r="L8" i="123"/>
  <c r="L24" i="123"/>
  <c r="I25" i="123" s="1"/>
  <c r="I8" i="123"/>
  <c r="J12" i="123"/>
  <c r="V13" i="123" s="1"/>
  <c r="J23" i="123"/>
  <c r="W13" i="123" s="1"/>
  <c r="M159" i="1"/>
  <c r="W155" i="1" s="1"/>
  <c r="M150" i="1"/>
  <c r="V155" i="1" s="1"/>
  <c r="L159" i="1"/>
  <c r="W154" i="1" s="1"/>
  <c r="L150" i="1"/>
  <c r="V154" i="1" s="1"/>
  <c r="K159" i="1"/>
  <c r="W153" i="1" s="1"/>
  <c r="K150" i="1"/>
  <c r="V153" i="1" s="1"/>
  <c r="J159" i="1"/>
  <c r="W152" i="1" s="1"/>
  <c r="J150" i="1"/>
  <c r="V152" i="1" s="1"/>
  <c r="F5" i="79"/>
  <c r="AD5" i="79" s="1"/>
  <c r="K6" i="123"/>
  <c r="K5" i="123" s="1"/>
  <c r="K144" i="1"/>
  <c r="U153" i="1" s="1"/>
  <c r="AA122" i="79"/>
  <c r="Z122" i="79"/>
  <c r="AA54" i="79"/>
  <c r="Z54" i="79"/>
  <c r="AA7" i="79"/>
  <c r="Z7" i="79"/>
  <c r="AA84" i="79"/>
  <c r="Z84" i="79"/>
  <c r="AA55" i="79"/>
  <c r="Z55" i="79"/>
  <c r="AA95" i="79"/>
  <c r="Z95" i="79"/>
  <c r="AA111" i="79"/>
  <c r="Z111" i="79"/>
  <c r="AA73" i="79"/>
  <c r="Z73" i="79"/>
  <c r="AA89" i="79"/>
  <c r="Z89" i="79"/>
  <c r="Z91" i="79"/>
  <c r="AA91" i="79"/>
  <c r="AA74" i="79"/>
  <c r="Z74" i="79"/>
  <c r="Z121" i="79"/>
  <c r="AA121" i="79"/>
  <c r="AB122" i="79"/>
  <c r="AB54" i="79"/>
  <c r="AB7" i="79"/>
  <c r="AB84" i="79"/>
  <c r="AB55" i="79"/>
  <c r="AB95" i="79"/>
  <c r="AB111" i="79"/>
  <c r="AB73" i="79"/>
  <c r="AB89" i="79"/>
  <c r="AB91" i="79"/>
  <c r="AB74" i="79"/>
  <c r="AB121" i="79"/>
  <c r="AA107" i="79"/>
  <c r="Z107" i="79"/>
  <c r="AA100" i="79"/>
  <c r="Z100" i="79"/>
  <c r="AA109" i="79"/>
  <c r="Z109" i="79"/>
  <c r="AA90" i="79"/>
  <c r="Z90" i="79"/>
  <c r="AA33" i="79"/>
  <c r="Z33" i="79"/>
  <c r="AA49" i="79"/>
  <c r="Z49" i="79"/>
  <c r="AA108" i="79"/>
  <c r="Z108" i="79"/>
  <c r="AA70" i="79"/>
  <c r="Z70" i="79"/>
  <c r="AA61" i="79"/>
  <c r="Z61" i="79"/>
  <c r="AA113" i="79"/>
  <c r="Z113" i="79"/>
  <c r="AA20" i="79"/>
  <c r="Z20" i="79"/>
  <c r="AA124" i="79"/>
  <c r="Z124" i="79"/>
  <c r="AA118" i="79"/>
  <c r="Z118" i="79"/>
  <c r="AA31" i="79"/>
  <c r="Z31" i="79"/>
  <c r="AA110" i="79"/>
  <c r="Z110" i="79"/>
  <c r="AA104" i="79"/>
  <c r="Z104" i="79"/>
  <c r="AA26" i="79"/>
  <c r="Z26" i="79"/>
  <c r="AA105" i="79"/>
  <c r="Z105" i="79"/>
  <c r="AA79" i="79"/>
  <c r="Z79" i="79"/>
  <c r="AA76" i="79"/>
  <c r="Z76" i="79"/>
  <c r="AA35" i="79"/>
  <c r="Z35" i="79"/>
  <c r="AA87" i="79"/>
  <c r="Z87" i="79"/>
  <c r="S21" i="79"/>
  <c r="S38" i="79"/>
  <c r="AB38" i="79" s="1"/>
  <c r="AA115" i="79"/>
  <c r="Z115" i="79"/>
  <c r="AA80" i="79"/>
  <c r="Z80" i="79"/>
  <c r="Z81" i="79"/>
  <c r="AA81" i="79"/>
  <c r="AA48" i="79"/>
  <c r="Z48" i="79"/>
  <c r="AA92" i="79"/>
  <c r="Z92" i="79"/>
  <c r="AA85" i="79"/>
  <c r="Z85" i="79"/>
  <c r="AA119" i="79"/>
  <c r="Z119" i="79"/>
  <c r="AA103" i="79"/>
  <c r="Z103" i="79"/>
  <c r="AA63" i="79"/>
  <c r="Z63" i="79"/>
  <c r="AA47" i="79"/>
  <c r="Z47" i="79"/>
  <c r="AA68" i="79"/>
  <c r="Z68" i="79"/>
  <c r="Z53" i="79"/>
  <c r="AA53" i="79"/>
  <c r="AA51" i="79"/>
  <c r="Z51" i="79"/>
  <c r="AA17" i="79"/>
  <c r="Z17" i="79"/>
  <c r="AA39" i="79"/>
  <c r="Z39" i="79"/>
  <c r="AA93" i="79"/>
  <c r="Z93" i="79"/>
  <c r="Z25" i="79"/>
  <c r="AA25" i="79"/>
  <c r="AA44" i="79"/>
  <c r="Z44" i="79"/>
  <c r="AA59" i="79"/>
  <c r="Z59" i="79"/>
  <c r="AA12" i="79"/>
  <c r="Z12" i="79"/>
  <c r="AA27" i="79"/>
  <c r="Z27" i="79"/>
  <c r="S41" i="79"/>
  <c r="AB41" i="79" s="1"/>
  <c r="S22" i="79"/>
  <c r="AA120" i="79"/>
  <c r="Z120" i="79"/>
  <c r="AA40" i="79"/>
  <c r="Z40" i="79"/>
  <c r="AA99" i="79"/>
  <c r="Z99" i="79"/>
  <c r="AA67" i="79"/>
  <c r="Z67" i="79"/>
  <c r="AA96" i="79"/>
  <c r="Z96" i="79"/>
  <c r="AA34" i="79"/>
  <c r="Z34" i="79"/>
  <c r="AA32" i="79"/>
  <c r="Z32" i="79"/>
  <c r="Z29" i="79"/>
  <c r="AA29" i="79"/>
  <c r="AA28" i="79"/>
  <c r="Z28" i="79"/>
  <c r="AA88" i="79"/>
  <c r="Z88" i="79"/>
  <c r="AA37" i="79"/>
  <c r="Z37" i="79"/>
  <c r="AA83" i="79"/>
  <c r="Z83" i="79"/>
  <c r="AA86" i="79"/>
  <c r="Z86" i="79"/>
  <c r="AA46" i="79"/>
  <c r="Z46" i="79"/>
  <c r="AA64" i="79"/>
  <c r="Z64" i="79"/>
  <c r="AA10" i="79"/>
  <c r="Z10" i="79"/>
  <c r="AA56" i="79"/>
  <c r="Z56" i="79"/>
  <c r="AA112" i="79"/>
  <c r="Z112" i="79"/>
  <c r="AA58" i="79"/>
  <c r="Z58" i="79"/>
  <c r="AA114" i="79"/>
  <c r="Z114" i="79"/>
  <c r="AA125" i="79"/>
  <c r="Z125" i="79"/>
  <c r="AA9" i="79"/>
  <c r="Z9" i="79"/>
  <c r="AA36" i="79"/>
  <c r="Z36" i="79"/>
  <c r="AA52" i="79"/>
  <c r="Z52" i="79"/>
  <c r="AA72" i="79"/>
  <c r="Z72" i="79"/>
  <c r="AA23" i="79"/>
  <c r="Z23" i="79"/>
  <c r="AA30" i="79"/>
  <c r="Z30" i="79"/>
  <c r="AA75" i="79"/>
  <c r="Z75" i="79"/>
  <c r="AA45" i="79"/>
  <c r="Z45" i="79"/>
  <c r="AA15" i="79"/>
  <c r="Z15" i="79"/>
  <c r="AA24" i="79"/>
  <c r="Z24" i="79"/>
  <c r="AA82" i="79"/>
  <c r="Z82" i="79"/>
  <c r="AA14" i="79"/>
  <c r="Z14" i="79"/>
  <c r="AA18" i="79"/>
  <c r="Z18" i="79"/>
  <c r="AB107" i="79"/>
  <c r="AB100" i="79"/>
  <c r="AB109" i="79"/>
  <c r="AB90" i="79"/>
  <c r="AB33" i="79"/>
  <c r="AB49" i="79"/>
  <c r="AB108" i="79"/>
  <c r="AB70" i="79"/>
  <c r="AB61" i="79"/>
  <c r="AB113" i="79"/>
  <c r="AB20" i="79"/>
  <c r="AB124" i="79"/>
  <c r="AB118" i="79"/>
  <c r="AB31" i="79"/>
  <c r="AB110" i="79"/>
  <c r="AB104" i="79"/>
  <c r="AB26" i="79"/>
  <c r="AB105" i="79"/>
  <c r="AB79" i="79"/>
  <c r="AB76" i="79"/>
  <c r="AB35" i="79"/>
  <c r="AB87" i="79"/>
  <c r="S11" i="79"/>
  <c r="AB11" i="79" s="1"/>
  <c r="Z65" i="79"/>
  <c r="AA65" i="79"/>
  <c r="O5" i="79"/>
  <c r="AF5" i="79"/>
  <c r="S102" i="79"/>
  <c r="AB102" i="79" s="1"/>
  <c r="AA43" i="79"/>
  <c r="Z43" i="79"/>
  <c r="AA66" i="79"/>
  <c r="Z66" i="79"/>
  <c r="AA69" i="79"/>
  <c r="Z69" i="79"/>
  <c r="AA106" i="79"/>
  <c r="Z106" i="79"/>
  <c r="AA77" i="79"/>
  <c r="Z77" i="79"/>
  <c r="AA123" i="79"/>
  <c r="Z123" i="79"/>
  <c r="Z97" i="79"/>
  <c r="AA97" i="79"/>
  <c r="AA98" i="79"/>
  <c r="Z98" i="79"/>
  <c r="AA50" i="79"/>
  <c r="Z50" i="79"/>
  <c r="AA16" i="79"/>
  <c r="Z16" i="79"/>
  <c r="AA101" i="79"/>
  <c r="Z101" i="79"/>
  <c r="AA116" i="79"/>
  <c r="Z116" i="79"/>
  <c r="AA117" i="79"/>
  <c r="Z117" i="79"/>
  <c r="AA94" i="79"/>
  <c r="Z94" i="79"/>
  <c r="AA78" i="79"/>
  <c r="Z78" i="79"/>
  <c r="AA42" i="79"/>
  <c r="Z42" i="79"/>
  <c r="AA57" i="79"/>
  <c r="Z57" i="79"/>
  <c r="AA60" i="79"/>
  <c r="Z60" i="79"/>
  <c r="Z13" i="79"/>
  <c r="AA13" i="79"/>
  <c r="AA62" i="79"/>
  <c r="Z62" i="79"/>
  <c r="AA71" i="79"/>
  <c r="Z71" i="79"/>
  <c r="AA19" i="79"/>
  <c r="Z19" i="79"/>
  <c r="AA8" i="79"/>
  <c r="Z8" i="79"/>
  <c r="M144" i="1"/>
  <c r="U155" i="1" s="1"/>
  <c r="L144" i="1"/>
  <c r="U154" i="1" s="1"/>
  <c r="J144" i="1"/>
  <c r="U152" i="1" s="1"/>
  <c r="X75" i="79"/>
  <c r="U13" i="79"/>
  <c r="V26" i="79"/>
  <c r="W26" i="79"/>
  <c r="U33" i="79"/>
  <c r="W86" i="79"/>
  <c r="X86" i="79"/>
  <c r="W91" i="79"/>
  <c r="U9" i="79"/>
  <c r="V35" i="79"/>
  <c r="W48" i="79"/>
  <c r="X26" i="79"/>
  <c r="V52" i="79"/>
  <c r="W74" i="79"/>
  <c r="W35" i="79"/>
  <c r="V36" i="79"/>
  <c r="X35" i="79"/>
  <c r="V53" i="79"/>
  <c r="X33" i="79"/>
  <c r="X9" i="79"/>
  <c r="U59" i="79"/>
  <c r="V59" i="79"/>
  <c r="W33" i="79"/>
  <c r="U86" i="79"/>
  <c r="U48" i="79"/>
  <c r="X59" i="79"/>
  <c r="U53" i="79"/>
  <c r="W75" i="79"/>
  <c r="X119" i="79"/>
  <c r="V13" i="79"/>
  <c r="W119" i="79"/>
  <c r="U75" i="79"/>
  <c r="W121" i="79"/>
  <c r="U52" i="79"/>
  <c r="X13" i="79"/>
  <c r="V119" i="79"/>
  <c r="V74" i="79"/>
  <c r="U74" i="79"/>
  <c r="V9" i="79"/>
  <c r="X48" i="79"/>
  <c r="W66" i="79"/>
  <c r="X66" i="79"/>
  <c r="V91" i="79"/>
  <c r="V66" i="79"/>
  <c r="U91" i="79"/>
  <c r="W124" i="79"/>
  <c r="V25" i="79"/>
  <c r="X124" i="79"/>
  <c r="W36" i="79"/>
  <c r="W25" i="79"/>
  <c r="X36" i="79"/>
  <c r="X25" i="79"/>
  <c r="X121" i="79"/>
  <c r="U121" i="79"/>
  <c r="X52" i="79"/>
  <c r="U124" i="79"/>
  <c r="W79" i="79"/>
  <c r="V101" i="79"/>
  <c r="X101" i="79"/>
  <c r="W23" i="79"/>
  <c r="U101" i="79"/>
  <c r="U85" i="79"/>
  <c r="V79" i="79"/>
  <c r="X79" i="79"/>
  <c r="W85" i="79"/>
  <c r="V85" i="79"/>
  <c r="V23" i="79"/>
  <c r="X23" i="79"/>
  <c r="X47" i="79"/>
  <c r="V47" i="79"/>
  <c r="U47" i="79"/>
  <c r="V122" i="79"/>
  <c r="X122" i="79"/>
  <c r="U122" i="79"/>
  <c r="W122" i="79"/>
  <c r="L161" i="1"/>
  <c r="H173" i="1"/>
  <c r="I171" i="1"/>
  <c r="I172" i="1"/>
  <c r="K161" i="1"/>
  <c r="J161" i="1"/>
  <c r="V98" i="79"/>
  <c r="X98" i="79"/>
  <c r="U98" i="79"/>
  <c r="X19" i="79"/>
  <c r="V19" i="79"/>
  <c r="U19" i="79"/>
  <c r="W98" i="79"/>
  <c r="W19" i="79"/>
  <c r="L12" i="123" l="1"/>
  <c r="V15" i="123" s="1"/>
  <c r="L9" i="123"/>
  <c r="U15" i="123" s="1"/>
  <c r="J25" i="123"/>
  <c r="L23" i="123"/>
  <c r="W15" i="123" s="1"/>
  <c r="K24" i="123"/>
  <c r="K9" i="123" s="1"/>
  <c r="U14" i="123" s="1"/>
  <c r="K8" i="123"/>
  <c r="AA22" i="79"/>
  <c r="Z22" i="79"/>
  <c r="AA21" i="79"/>
  <c r="Z21" i="79"/>
  <c r="Z11" i="79"/>
  <c r="AA11" i="79"/>
  <c r="S5" i="79"/>
  <c r="AB5" i="79" s="1"/>
  <c r="AA102" i="79"/>
  <c r="Z102" i="79"/>
  <c r="AB22" i="79"/>
  <c r="AB21" i="79"/>
  <c r="AA41" i="79"/>
  <c r="Z41" i="79"/>
  <c r="AA38" i="79"/>
  <c r="Z38" i="79"/>
  <c r="X128" i="79"/>
  <c r="V128" i="79"/>
  <c r="U127" i="79"/>
  <c r="W128" i="79"/>
  <c r="V127" i="79"/>
  <c r="W127" i="79"/>
  <c r="X127" i="79"/>
  <c r="M161" i="1"/>
  <c r="V5" i="79"/>
  <c r="X5" i="79"/>
  <c r="W5" i="79"/>
  <c r="U128" i="79"/>
  <c r="K12" i="123" l="1"/>
  <c r="V14" i="123" s="1"/>
  <c r="K23" i="123"/>
  <c r="W14" i="123" s="1"/>
  <c r="K25" i="123"/>
  <c r="L25" i="123" s="1"/>
  <c r="AA128" i="79"/>
  <c r="AB127" i="79"/>
  <c r="Z128" i="79"/>
  <c r="AA5" i="79"/>
  <c r="Z5" i="79"/>
  <c r="AA127" i="79"/>
  <c r="AB128" i="79"/>
  <c r="Z127" i="79"/>
</calcChain>
</file>

<file path=xl/comments1.xml><?xml version="1.0" encoding="utf-8"?>
<comments xmlns="http://schemas.openxmlformats.org/spreadsheetml/2006/main">
  <authors>
    <author>AXW09990</author>
  </authors>
  <commentList>
    <comment ref="M4" authorId="0">
      <text>
        <r>
          <rPr>
            <b/>
            <sz val="10"/>
            <color indexed="81"/>
            <rFont val="Tahoma"/>
            <family val="2"/>
          </rPr>
          <t>AXW09990:</t>
        </r>
        <r>
          <rPr>
            <sz val="10"/>
            <color indexed="81"/>
            <rFont val="Tahoma"/>
            <family val="2"/>
          </rPr>
          <t xml:space="preserve">
</t>
        </r>
      </text>
    </comment>
  </commentList>
</comments>
</file>

<file path=xl/sharedStrings.xml><?xml version="1.0" encoding="utf-8"?>
<sst xmlns="http://schemas.openxmlformats.org/spreadsheetml/2006/main" count="23609" uniqueCount="1348">
  <si>
    <t>FIPS:</t>
  </si>
  <si>
    <t>Locality Name:</t>
  </si>
  <si>
    <t>White</t>
  </si>
  <si>
    <t>African American</t>
  </si>
  <si>
    <t>FIPS</t>
  </si>
  <si>
    <t>Locality</t>
  </si>
  <si>
    <t>Adults</t>
  </si>
  <si>
    <t>Children</t>
  </si>
  <si>
    <t>999</t>
  </si>
  <si>
    <t>Statewide</t>
  </si>
  <si>
    <t>001</t>
  </si>
  <si>
    <t>Accomack</t>
  </si>
  <si>
    <t>003</t>
  </si>
  <si>
    <t>Albemarle</t>
  </si>
  <si>
    <t>510</t>
  </si>
  <si>
    <t>Alexandria</t>
  </si>
  <si>
    <t>005</t>
  </si>
  <si>
    <t>Alleghany/ Covington</t>
  </si>
  <si>
    <t>007</t>
  </si>
  <si>
    <t>Amelia</t>
  </si>
  <si>
    <t>009</t>
  </si>
  <si>
    <t>Amherst</t>
  </si>
  <si>
    <t>011</t>
  </si>
  <si>
    <t>Appomattox</t>
  </si>
  <si>
    <t>013</t>
  </si>
  <si>
    <t>Arlington</t>
  </si>
  <si>
    <t>015</t>
  </si>
  <si>
    <t>017</t>
  </si>
  <si>
    <t>Bath</t>
  </si>
  <si>
    <t>019</t>
  </si>
  <si>
    <t>021</t>
  </si>
  <si>
    <t>Bland</t>
  </si>
  <si>
    <t>023</t>
  </si>
  <si>
    <t>Botetourt</t>
  </si>
  <si>
    <t>520</t>
  </si>
  <si>
    <t>Bristol</t>
  </si>
  <si>
    <t>025</t>
  </si>
  <si>
    <t>Brunswick</t>
  </si>
  <si>
    <t>027</t>
  </si>
  <si>
    <t>Buchanan</t>
  </si>
  <si>
    <t>029</t>
  </si>
  <si>
    <t>Buckingham</t>
  </si>
  <si>
    <t>031</t>
  </si>
  <si>
    <t>Campbell</t>
  </si>
  <si>
    <t>033</t>
  </si>
  <si>
    <t>Caroline</t>
  </si>
  <si>
    <t>035</t>
  </si>
  <si>
    <t>Carroll</t>
  </si>
  <si>
    <t>036</t>
  </si>
  <si>
    <t>Charles City Co</t>
  </si>
  <si>
    <t>037</t>
  </si>
  <si>
    <t>Charlotte</t>
  </si>
  <si>
    <t>540</t>
  </si>
  <si>
    <t>Charlottesville</t>
  </si>
  <si>
    <t>550</t>
  </si>
  <si>
    <t>Chesapeake</t>
  </si>
  <si>
    <t>041</t>
  </si>
  <si>
    <t>Chesterfield/ Colonial Heights</t>
  </si>
  <si>
    <t>043</t>
  </si>
  <si>
    <t>Clarke</t>
  </si>
  <si>
    <t>045</t>
  </si>
  <si>
    <t>Craig</t>
  </si>
  <si>
    <t>047</t>
  </si>
  <si>
    <t>Culpeper</t>
  </si>
  <si>
    <t>049</t>
  </si>
  <si>
    <t>Cumberland</t>
  </si>
  <si>
    <t>590</t>
  </si>
  <si>
    <t>Danville</t>
  </si>
  <si>
    <t>051</t>
  </si>
  <si>
    <t>Dickenson</t>
  </si>
  <si>
    <t>053</t>
  </si>
  <si>
    <t>Dinwiddie</t>
  </si>
  <si>
    <t>057</t>
  </si>
  <si>
    <t>Essex</t>
  </si>
  <si>
    <t>059</t>
  </si>
  <si>
    <t>Fairfax Co./ City/ /Falls Church</t>
  </si>
  <si>
    <t>061</t>
  </si>
  <si>
    <t>Fauquier</t>
  </si>
  <si>
    <t>063</t>
  </si>
  <si>
    <t>Floyd</t>
  </si>
  <si>
    <t>065</t>
  </si>
  <si>
    <t>Fluvanna</t>
  </si>
  <si>
    <t>620</t>
  </si>
  <si>
    <t>Franklin City</t>
  </si>
  <si>
    <t>067</t>
  </si>
  <si>
    <t>Franklin County</t>
  </si>
  <si>
    <t>069</t>
  </si>
  <si>
    <t>Frederick</t>
  </si>
  <si>
    <t>630</t>
  </si>
  <si>
    <t>Fredericksburg</t>
  </si>
  <si>
    <t>640</t>
  </si>
  <si>
    <t>Galax</t>
  </si>
  <si>
    <t>071</t>
  </si>
  <si>
    <t>Giles</t>
  </si>
  <si>
    <t>073</t>
  </si>
  <si>
    <t>Gloucester</t>
  </si>
  <si>
    <t>075</t>
  </si>
  <si>
    <t>Goochland</t>
  </si>
  <si>
    <t>077</t>
  </si>
  <si>
    <t>Grayson</t>
  </si>
  <si>
    <t>079</t>
  </si>
  <si>
    <t>Greene</t>
  </si>
  <si>
    <t>081</t>
  </si>
  <si>
    <t>Greensville/ Emporia</t>
  </si>
  <si>
    <t>083</t>
  </si>
  <si>
    <t>Halifax</t>
  </si>
  <si>
    <t>650</t>
  </si>
  <si>
    <t>Hampton</t>
  </si>
  <si>
    <t>085</t>
  </si>
  <si>
    <t>Hanover</t>
  </si>
  <si>
    <t>087</t>
  </si>
  <si>
    <t>Henrico</t>
  </si>
  <si>
    <t>089</t>
  </si>
  <si>
    <t>Henry/ Martinsville</t>
  </si>
  <si>
    <t>091</t>
  </si>
  <si>
    <t>Highland</t>
  </si>
  <si>
    <t>670</t>
  </si>
  <si>
    <t>Hopewell</t>
  </si>
  <si>
    <t>093</t>
  </si>
  <si>
    <t>Isle Of Wight</t>
  </si>
  <si>
    <t>095</t>
  </si>
  <si>
    <t>James City</t>
  </si>
  <si>
    <t>097</t>
  </si>
  <si>
    <t>King And Queen</t>
  </si>
  <si>
    <t>099</t>
  </si>
  <si>
    <t>King George</t>
  </si>
  <si>
    <t>101</t>
  </si>
  <si>
    <t>King William</t>
  </si>
  <si>
    <t>103</t>
  </si>
  <si>
    <t>Lancaster</t>
  </si>
  <si>
    <t>105</t>
  </si>
  <si>
    <t>Lee</t>
  </si>
  <si>
    <t>107</t>
  </si>
  <si>
    <t>Loudoun</t>
  </si>
  <si>
    <t>109</t>
  </si>
  <si>
    <t>Louisa</t>
  </si>
  <si>
    <t>111</t>
  </si>
  <si>
    <t>Lunenburg</t>
  </si>
  <si>
    <t>680</t>
  </si>
  <si>
    <t>Lynchburg</t>
  </si>
  <si>
    <t>113</t>
  </si>
  <si>
    <t>Madison</t>
  </si>
  <si>
    <t>683</t>
  </si>
  <si>
    <t>Manassas</t>
  </si>
  <si>
    <t>685</t>
  </si>
  <si>
    <t>Manassas Park</t>
  </si>
  <si>
    <t>115</t>
  </si>
  <si>
    <t>Mathews</t>
  </si>
  <si>
    <t>117</t>
  </si>
  <si>
    <t>Mecklenburg</t>
  </si>
  <si>
    <t>119</t>
  </si>
  <si>
    <t>Middlesex</t>
  </si>
  <si>
    <t>121</t>
  </si>
  <si>
    <t>Montgomery</t>
  </si>
  <si>
    <t>125</t>
  </si>
  <si>
    <t>Nelson</t>
  </si>
  <si>
    <t>127</t>
  </si>
  <si>
    <t>New Kent</t>
  </si>
  <si>
    <t>700</t>
  </si>
  <si>
    <t>Newport News</t>
  </si>
  <si>
    <t>710</t>
  </si>
  <si>
    <t>Norfolk</t>
  </si>
  <si>
    <t>131</t>
  </si>
  <si>
    <t>Northampton</t>
  </si>
  <si>
    <t>133</t>
  </si>
  <si>
    <t>Northumberland</t>
  </si>
  <si>
    <t>720</t>
  </si>
  <si>
    <t>Norton</t>
  </si>
  <si>
    <t>135</t>
  </si>
  <si>
    <t>Nottoway</t>
  </si>
  <si>
    <t>137</t>
  </si>
  <si>
    <t>Orange</t>
  </si>
  <si>
    <t>139</t>
  </si>
  <si>
    <t>Page</t>
  </si>
  <si>
    <t>141</t>
  </si>
  <si>
    <t>Patrick</t>
  </si>
  <si>
    <t>730</t>
  </si>
  <si>
    <t>Petersburg</t>
  </si>
  <si>
    <t>143</t>
  </si>
  <si>
    <t>Pittsylvania</t>
  </si>
  <si>
    <t>740</t>
  </si>
  <si>
    <t>Portsmouth</t>
  </si>
  <si>
    <t>145</t>
  </si>
  <si>
    <t>Powhatan</t>
  </si>
  <si>
    <t>147</t>
  </si>
  <si>
    <t>Prince Edward</t>
  </si>
  <si>
    <t>149</t>
  </si>
  <si>
    <t>Prince George</t>
  </si>
  <si>
    <t>153</t>
  </si>
  <si>
    <t>Prince William</t>
  </si>
  <si>
    <t>155</t>
  </si>
  <si>
    <t>Pulaski</t>
  </si>
  <si>
    <t>750</t>
  </si>
  <si>
    <t>Radford</t>
  </si>
  <si>
    <t>157</t>
  </si>
  <si>
    <t>Rappahannock</t>
  </si>
  <si>
    <t>760</t>
  </si>
  <si>
    <t>Richmond City</t>
  </si>
  <si>
    <t>159</t>
  </si>
  <si>
    <t>Richmond Co.</t>
  </si>
  <si>
    <t>770</t>
  </si>
  <si>
    <t>Roanoke City</t>
  </si>
  <si>
    <t>161</t>
  </si>
  <si>
    <t>Roanoke Co./ Salem</t>
  </si>
  <si>
    <t>163</t>
  </si>
  <si>
    <t>Rockbridge/ Buena Vista/ Lexington</t>
  </si>
  <si>
    <t>165</t>
  </si>
  <si>
    <t>Rockingham/ Harrisonburg</t>
  </si>
  <si>
    <t>167</t>
  </si>
  <si>
    <t>Russell</t>
  </si>
  <si>
    <t>169</t>
  </si>
  <si>
    <t>Scott</t>
  </si>
  <si>
    <t>171</t>
  </si>
  <si>
    <t>Shenandoah</t>
  </si>
  <si>
    <t>173</t>
  </si>
  <si>
    <t>Smyth</t>
  </si>
  <si>
    <t>175</t>
  </si>
  <si>
    <t>Southampton</t>
  </si>
  <si>
    <t>177</t>
  </si>
  <si>
    <t>Spotsylvania</t>
  </si>
  <si>
    <t>179</t>
  </si>
  <si>
    <t>Stafford</t>
  </si>
  <si>
    <t>800</t>
  </si>
  <si>
    <t>Suffolk</t>
  </si>
  <si>
    <t>181</t>
  </si>
  <si>
    <t>Surry</t>
  </si>
  <si>
    <t>183</t>
  </si>
  <si>
    <t>Sussex</t>
  </si>
  <si>
    <t>185</t>
  </si>
  <si>
    <t>Tazewell</t>
  </si>
  <si>
    <t>810</t>
  </si>
  <si>
    <t>Virginia Beach</t>
  </si>
  <si>
    <t>187</t>
  </si>
  <si>
    <t>Warren</t>
  </si>
  <si>
    <t>191</t>
  </si>
  <si>
    <t>Washington</t>
  </si>
  <si>
    <t>193</t>
  </si>
  <si>
    <t>Westmoreland</t>
  </si>
  <si>
    <t>830</t>
  </si>
  <si>
    <t>Williamsburg</t>
  </si>
  <si>
    <t>840</t>
  </si>
  <si>
    <t>Winchester</t>
  </si>
  <si>
    <t>195</t>
  </si>
  <si>
    <t>Wise</t>
  </si>
  <si>
    <t>197</t>
  </si>
  <si>
    <t>Wythe</t>
  </si>
  <si>
    <t>199</t>
  </si>
  <si>
    <t>York/Poquoson</t>
  </si>
  <si>
    <t>For questions, contact the Virginia Department of Social Services, Office of Research and Planning.</t>
  </si>
  <si>
    <t>Email:</t>
  </si>
  <si>
    <t>Research@dss.virginia.gov</t>
  </si>
  <si>
    <t>Region</t>
  </si>
  <si>
    <t>Civilian Labor Force 2004</t>
  </si>
  <si>
    <t>Unemployed 2004</t>
  </si>
  <si>
    <t>Civilian Labor Force 2005</t>
  </si>
  <si>
    <t>Unemployed 2005</t>
  </si>
  <si>
    <t>Civilian Labor Force 2006</t>
  </si>
  <si>
    <t>Unemployed 2006</t>
  </si>
  <si>
    <t>Civilian Labor Force 2007</t>
  </si>
  <si>
    <t>Unemployed 2007</t>
  </si>
  <si>
    <t>Civilian Labor Force 2008</t>
  </si>
  <si>
    <t>Unemployed 2008</t>
  </si>
  <si>
    <t>Civilian Labor Force 2009</t>
  </si>
  <si>
    <t>Unemployed 2009</t>
  </si>
  <si>
    <t>Eastern</t>
  </si>
  <si>
    <t>Piedmont</t>
  </si>
  <si>
    <t>Central</t>
  </si>
  <si>
    <t>Northern</t>
  </si>
  <si>
    <t>Western</t>
  </si>
  <si>
    <t>Charles City</t>
  </si>
  <si>
    <t>Isle of Wight</t>
  </si>
  <si>
    <t>King &amp; Queen</t>
  </si>
  <si>
    <t>Richmond County</t>
  </si>
  <si>
    <t>Manassas City</t>
  </si>
  <si>
    <t>2004</t>
  </si>
  <si>
    <t>2005</t>
  </si>
  <si>
    <t>2006</t>
  </si>
  <si>
    <t>2007</t>
  </si>
  <si>
    <t>2008</t>
  </si>
  <si>
    <t>2009</t>
  </si>
  <si>
    <t>Percent</t>
  </si>
  <si>
    <t>Total</t>
  </si>
  <si>
    <t>Greensville/Emporia</t>
  </si>
  <si>
    <t>Roanoke County/ Salem</t>
  </si>
  <si>
    <t>Rockbridge/BV/ Lexington</t>
  </si>
  <si>
    <t>James City County</t>
  </si>
  <si>
    <t>Location</t>
  </si>
  <si>
    <t>King and Queen</t>
  </si>
  <si>
    <t>SNAP Participation Rate, 2004-2010, by Locality</t>
  </si>
  <si>
    <t>Alleghany-Covington</t>
  </si>
  <si>
    <t>Fairfax-Falls Church</t>
  </si>
  <si>
    <t>Henry-Martinsville</t>
  </si>
  <si>
    <t>Roanoke Co. Salem</t>
  </si>
  <si>
    <t>Rockbridge/Buena Vista/Lexington</t>
  </si>
  <si>
    <t>Rockingham/Harrisonburg</t>
  </si>
  <si>
    <t>Chesterfield/Colonial Heights</t>
  </si>
  <si>
    <t>Fairfax County/City/Falls Church</t>
  </si>
  <si>
    <t>Alleghany/Covington</t>
  </si>
  <si>
    <t>Augusta/Staunton/Waynesboro</t>
  </si>
  <si>
    <t>Bedford County/City</t>
  </si>
  <si>
    <t>Henry/Martinsville</t>
  </si>
  <si>
    <t>Roanoke County/Salem</t>
  </si>
  <si>
    <t>Fairfax Co./ City/ Falls Church</t>
  </si>
  <si>
    <t>FIPS Number</t>
  </si>
  <si>
    <t>NER</t>
  </si>
  <si>
    <t>Combined FIPS</t>
  </si>
  <si>
    <t>Combined Name</t>
  </si>
  <si>
    <t>Bedford Co./City</t>
  </si>
  <si>
    <t>Franklin Co.</t>
  </si>
  <si>
    <t>Halifax/ So. Boston</t>
  </si>
  <si>
    <t>York/ Poquoson</t>
  </si>
  <si>
    <t>Franklin</t>
  </si>
  <si>
    <t>Richmond</t>
  </si>
  <si>
    <t>Roanoke</t>
  </si>
  <si>
    <t>Federal</t>
  </si>
  <si>
    <t>State</t>
  </si>
  <si>
    <t>Local</t>
  </si>
  <si>
    <t>Administrative costs</t>
  </si>
  <si>
    <t>SNAP</t>
  </si>
  <si>
    <t>000_Fed</t>
  </si>
  <si>
    <t>000_Local</t>
  </si>
  <si>
    <t>000_Total</t>
  </si>
  <si>
    <t>217_Fed</t>
  </si>
  <si>
    <t>217_State</t>
  </si>
  <si>
    <t>217_Local</t>
  </si>
  <si>
    <t>217_Total</t>
  </si>
  <si>
    <t>824_Fed</t>
  </si>
  <si>
    <t>824_State</t>
  </si>
  <si>
    <t>824_Local</t>
  </si>
  <si>
    <t>824_Total</t>
  </si>
  <si>
    <t>829_Fed</t>
  </si>
  <si>
    <t>829_State</t>
  </si>
  <si>
    <t>829_Local</t>
  </si>
  <si>
    <t>829_Total</t>
  </si>
  <si>
    <t>833_Fed</t>
  </si>
  <si>
    <t>833_State</t>
  </si>
  <si>
    <t>833_Local</t>
  </si>
  <si>
    <t>833_Total</t>
  </si>
  <si>
    <t>844_State</t>
  </si>
  <si>
    <t>844_Local</t>
  </si>
  <si>
    <t>844_Total</t>
  </si>
  <si>
    <t>861_Fed</t>
  </si>
  <si>
    <t>861_State</t>
  </si>
  <si>
    <t>861_Local</t>
  </si>
  <si>
    <t>861_Total</t>
  </si>
  <si>
    <t>862_Fed</t>
  </si>
  <si>
    <t>862_State</t>
  </si>
  <si>
    <t>862_Local</t>
  </si>
  <si>
    <t>862_Total</t>
  </si>
  <si>
    <t>864_Fed</t>
  </si>
  <si>
    <t>864_State</t>
  </si>
  <si>
    <t>864_Local</t>
  </si>
  <si>
    <t>864_Total</t>
  </si>
  <si>
    <t>866_Fed</t>
  </si>
  <si>
    <t>866_State</t>
  </si>
  <si>
    <t>866_Local</t>
  </si>
  <si>
    <t>866_Total</t>
  </si>
  <si>
    <t>871_Fed</t>
  </si>
  <si>
    <t>871_State</t>
  </si>
  <si>
    <t>871_Local</t>
  </si>
  <si>
    <t>871_Total</t>
  </si>
  <si>
    <t>872_Fed</t>
  </si>
  <si>
    <t>872_State</t>
  </si>
  <si>
    <t>872_Local</t>
  </si>
  <si>
    <t>872_Total</t>
  </si>
  <si>
    <t>873_Fed</t>
  </si>
  <si>
    <t>873_State</t>
  </si>
  <si>
    <t>873_Local</t>
  </si>
  <si>
    <t>873_Total</t>
  </si>
  <si>
    <t>875_Fed</t>
  </si>
  <si>
    <t>875_State</t>
  </si>
  <si>
    <t>875_Local</t>
  </si>
  <si>
    <t>875_Total</t>
  </si>
  <si>
    <t>878_Fed</t>
  </si>
  <si>
    <t>878_State</t>
  </si>
  <si>
    <t>878_Local</t>
  </si>
  <si>
    <t>878_Total</t>
  </si>
  <si>
    <t>881_Fed</t>
  </si>
  <si>
    <t>881_State</t>
  </si>
  <si>
    <t>881_Local</t>
  </si>
  <si>
    <t>881_Total</t>
  </si>
  <si>
    <t>883_Fed</t>
  </si>
  <si>
    <t>883_State</t>
  </si>
  <si>
    <t>883_Local</t>
  </si>
  <si>
    <t>883_Total</t>
  </si>
  <si>
    <t>890_State</t>
  </si>
  <si>
    <t>890_Local</t>
  </si>
  <si>
    <t>890_Total</t>
  </si>
  <si>
    <t>895_Fed</t>
  </si>
  <si>
    <t>895_State</t>
  </si>
  <si>
    <t>895_Local</t>
  </si>
  <si>
    <t>895_Total</t>
  </si>
  <si>
    <t>Medicaid_Fed</t>
  </si>
  <si>
    <t>SNAP_Total</t>
  </si>
  <si>
    <t>SNAP_FED</t>
  </si>
  <si>
    <t>LIHEAP_Total</t>
  </si>
  <si>
    <t>811_Fed</t>
  </si>
  <si>
    <t>811_State</t>
  </si>
  <si>
    <t>811_Local</t>
  </si>
  <si>
    <t>811_Total</t>
  </si>
  <si>
    <t>812_Fed</t>
  </si>
  <si>
    <t>812_State</t>
  </si>
  <si>
    <t>812_Local</t>
  </si>
  <si>
    <t>812_Total</t>
  </si>
  <si>
    <t>817_Fed</t>
  </si>
  <si>
    <t>817_State</t>
  </si>
  <si>
    <t>817_Local</t>
  </si>
  <si>
    <t>817_Total</t>
  </si>
  <si>
    <t>Non-Reimbursable</t>
  </si>
  <si>
    <t>TANF</t>
  </si>
  <si>
    <t>867_Local</t>
  </si>
  <si>
    <t>867_Total</t>
  </si>
  <si>
    <t>808_Fed</t>
  </si>
  <si>
    <t>808_State</t>
  </si>
  <si>
    <t>808_Local</t>
  </si>
  <si>
    <t>808_Total</t>
  </si>
  <si>
    <t>810_Fed</t>
  </si>
  <si>
    <t>810_State</t>
  </si>
  <si>
    <t>810_Local</t>
  </si>
  <si>
    <t>810_Total</t>
  </si>
  <si>
    <t>848_Fed</t>
  </si>
  <si>
    <t>848_State</t>
  </si>
  <si>
    <t>848_Local</t>
  </si>
  <si>
    <t>848_Total</t>
  </si>
  <si>
    <t>867_Fed</t>
  </si>
  <si>
    <t>867_State</t>
  </si>
  <si>
    <t>804_Fed</t>
  </si>
  <si>
    <t>804_State</t>
  </si>
  <si>
    <t>804_Local</t>
  </si>
  <si>
    <t>804_Total</t>
  </si>
  <si>
    <t>813_Fed</t>
  </si>
  <si>
    <t>813_State</t>
  </si>
  <si>
    <t>813_Local</t>
  </si>
  <si>
    <t>813_Total</t>
  </si>
  <si>
    <t>819_Fed</t>
  </si>
  <si>
    <t>819_State</t>
  </si>
  <si>
    <t>819_Local</t>
  </si>
  <si>
    <t>819_Total</t>
  </si>
  <si>
    <t>Civilian Labor Force 2001</t>
  </si>
  <si>
    <t>Unemployed 2001</t>
  </si>
  <si>
    <t>Civilian Labor Force 2002</t>
  </si>
  <si>
    <t>Unemployed 2002</t>
  </si>
  <si>
    <t>Civilian Labor Force 2003</t>
  </si>
  <si>
    <t>Unemployed 2003</t>
  </si>
  <si>
    <t>2010</t>
  </si>
  <si>
    <t>Black</t>
  </si>
  <si>
    <t>Other</t>
  </si>
  <si>
    <t>Other Race</t>
  </si>
  <si>
    <t>Total Population</t>
  </si>
  <si>
    <t>Total Children</t>
  </si>
  <si>
    <t>Accomack County</t>
  </si>
  <si>
    <t>Albemarle County</t>
  </si>
  <si>
    <t>Amelia County</t>
  </si>
  <si>
    <t>Amherst County</t>
  </si>
  <si>
    <t>Appomattox County</t>
  </si>
  <si>
    <t>Arlington County</t>
  </si>
  <si>
    <t>Bath County</t>
  </si>
  <si>
    <t>Bland County</t>
  </si>
  <si>
    <t>Botetourt County</t>
  </si>
  <si>
    <t>Brunswick County</t>
  </si>
  <si>
    <t>Buchanan County</t>
  </si>
  <si>
    <t>Buckingham County</t>
  </si>
  <si>
    <t>Campbell County</t>
  </si>
  <si>
    <t>Caroline County</t>
  </si>
  <si>
    <t>Carroll County</t>
  </si>
  <si>
    <t>Charles City County</t>
  </si>
  <si>
    <t>Charlotte County</t>
  </si>
  <si>
    <t>Clarke County</t>
  </si>
  <si>
    <t>Craig County</t>
  </si>
  <si>
    <t>Culpeper County</t>
  </si>
  <si>
    <t>Cumberland County</t>
  </si>
  <si>
    <t>Dickenson County</t>
  </si>
  <si>
    <t>Dinwiddie County</t>
  </si>
  <si>
    <t>Essex County</t>
  </si>
  <si>
    <t>Fauquier County</t>
  </si>
  <si>
    <t>Floyd County</t>
  </si>
  <si>
    <t>Fluvanna County</t>
  </si>
  <si>
    <t>Frederick County</t>
  </si>
  <si>
    <t>Giles County</t>
  </si>
  <si>
    <t>Gloucester County</t>
  </si>
  <si>
    <t>Goochland County</t>
  </si>
  <si>
    <t>Grayson County</t>
  </si>
  <si>
    <t>Greene County</t>
  </si>
  <si>
    <t>Hanover County</t>
  </si>
  <si>
    <t>Henrico County</t>
  </si>
  <si>
    <t>Highland County</t>
  </si>
  <si>
    <t>Isle of Wight County</t>
  </si>
  <si>
    <t>King and Queen County</t>
  </si>
  <si>
    <t>King George County</t>
  </si>
  <si>
    <t>King William County</t>
  </si>
  <si>
    <t>Lancaster County</t>
  </si>
  <si>
    <t>Lee County</t>
  </si>
  <si>
    <t>Loudoun County</t>
  </si>
  <si>
    <t>Louisa County</t>
  </si>
  <si>
    <t>Lunenburg County</t>
  </si>
  <si>
    <t>Madison County</t>
  </si>
  <si>
    <t>Mathews County</t>
  </si>
  <si>
    <t>Mecklenburg County</t>
  </si>
  <si>
    <t>Middlesex County</t>
  </si>
  <si>
    <t>Montgomery County</t>
  </si>
  <si>
    <t>Nelson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</si>
  <si>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</si>
  <si>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</si>
  <si>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</si>
  <si>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</si>
  <si>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</si>
  <si>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</si>
  <si>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</si>
  <si>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</si>
  <si>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</si>
  <si>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</si>
  <si>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</si>
  <si>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</si>
  <si>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Pulaski County</t>
  </si>
  <si>
    <t>Rappahannock County</t>
  </si>
  <si>
    <t>Russell County</t>
  </si>
  <si>
    <t>Scott County</t>
  </si>
  <si>
    <t>Shenandoah County</t>
  </si>
  <si>
    <t>Smyth County</t>
  </si>
  <si>
    <t>Southampton County</t>
  </si>
  <si>
    <t>Spotsylvania County</t>
  </si>
  <si>
    <t>Stafford County</t>
  </si>
  <si>
    <t>Surry County</t>
  </si>
  <si>
    <t>Sussex County</t>
  </si>
  <si>
    <t>Tazewell County</t>
  </si>
  <si>
    <t>Warren County</t>
  </si>
  <si>
    <t>Washington County</t>
  </si>
  <si>
    <t>Westmoreland County</t>
  </si>
  <si>
    <t>Wise County</t>
  </si>
  <si>
    <t>Wythe County</t>
  </si>
  <si>
    <t>SNAP SFY 2005</t>
  </si>
  <si>
    <t>SNAP SFY 2006</t>
  </si>
  <si>
    <t>SNAP SFY  2007</t>
  </si>
  <si>
    <t>SNAP SFY 2008</t>
  </si>
  <si>
    <t>SNAP SFY 2009</t>
  </si>
  <si>
    <t>SNAP SFY 2010</t>
  </si>
  <si>
    <t>TANF SFY 2005</t>
  </si>
  <si>
    <t>TANF SFY 2006</t>
  </si>
  <si>
    <t>TANF SFY 2007</t>
  </si>
  <si>
    <t>TANF SFY 2008</t>
  </si>
  <si>
    <t>TANF SFY 2009</t>
  </si>
  <si>
    <t>TANF SFY 2010</t>
  </si>
  <si>
    <t>Asian</t>
  </si>
  <si>
    <t xml:space="preserve"> -  1  - </t>
  </si>
  <si>
    <t>Children in CPS Referral SFY 2010</t>
  </si>
  <si>
    <t>Source: VCWOR - CPS Sysems Annual Reports -Demographic Annual Reports/ Childrens Demograhic Annual Report - All Referrals , 07/01/09 to 06/30/10</t>
  </si>
  <si>
    <t>Local Agency</t>
  </si>
  <si>
    <t>RegionName</t>
  </si>
  <si>
    <t>Male</t>
  </si>
  <si>
    <t>Female</t>
  </si>
  <si>
    <t>Sex Unknown</t>
  </si>
  <si>
    <t>Hispanic</t>
  </si>
  <si>
    <t>American Indian</t>
  </si>
  <si>
    <t>Hawaiian-Pacific Islander</t>
  </si>
  <si>
    <t>Race Unknown</t>
  </si>
  <si>
    <t>Age &gt;= 00 and &lt; 01</t>
  </si>
  <si>
    <t>Age &gt;= 01 and &lt; 04</t>
  </si>
  <si>
    <t>Age &gt;= 04 and &lt; 08</t>
  </si>
  <si>
    <t>Age &gt;= 08 and &lt; 12</t>
  </si>
  <si>
    <t>Age &gt;= 12 and &lt; 16</t>
  </si>
  <si>
    <t>Age &gt;= 16 and &lt; 18</t>
  </si>
  <si>
    <t>Age Unknown</t>
  </si>
  <si>
    <t>Other Calculated</t>
  </si>
  <si>
    <t>WHITE</t>
  </si>
  <si>
    <t>BLACK</t>
  </si>
  <si>
    <t>Notes:  Budget line (BL) key for spending categories.</t>
  </si>
  <si>
    <t>Adoptions_Open</t>
  </si>
  <si>
    <t>Adoptions_Closed</t>
  </si>
  <si>
    <t>Adoptions_Continue</t>
  </si>
  <si>
    <t>Average Adoption Cases Continued</t>
  </si>
  <si>
    <t>Source: OASIS Statistical Care Report</t>
  </si>
  <si>
    <t>http://spark.dss.virginia.gov/divisions/dfs/generic_reports/</t>
  </si>
  <si>
    <t>Medicaid Children</t>
  </si>
  <si>
    <t>Medicaid Adults</t>
  </si>
  <si>
    <t>SNAP Children</t>
  </si>
  <si>
    <t>SNAP Adults</t>
  </si>
  <si>
    <t>TANF Children</t>
  </si>
  <si>
    <t>TANF Adults</t>
  </si>
  <si>
    <t>Recipients</t>
  </si>
  <si>
    <t>Population</t>
  </si>
  <si>
    <t>Percent Receiving Assistance</t>
  </si>
  <si>
    <t>Other race</t>
  </si>
  <si>
    <t>Total Recipients</t>
  </si>
  <si>
    <t>The password for the main sheet is:</t>
  </si>
  <si>
    <t>research</t>
  </si>
  <si>
    <t>lower case</t>
  </si>
  <si>
    <t>Medicaid Clients</t>
  </si>
  <si>
    <t>2011</t>
  </si>
  <si>
    <t>TANF SFY 2011</t>
  </si>
  <si>
    <t>Civilian Labor Force 2010</t>
  </si>
  <si>
    <t>Unemployed 2010</t>
  </si>
  <si>
    <t>Civilian Labor Force 2011</t>
  </si>
  <si>
    <t>Unemployed 2011</t>
  </si>
  <si>
    <t>000_State</t>
  </si>
  <si>
    <t>Medicaid_State</t>
  </si>
  <si>
    <t>FAMIS_TOTAL</t>
  </si>
  <si>
    <t>FAMIS_FED</t>
  </si>
  <si>
    <t>FAMIS_STATE</t>
  </si>
  <si>
    <t>Total_Medicaid</t>
  </si>
  <si>
    <t>Level of IT support</t>
  </si>
  <si>
    <t>Alleghany/Covington/Clifton Forge</t>
  </si>
  <si>
    <t>Fairfax/Fairfax City/Falls Church</t>
  </si>
  <si>
    <t>Halifax/South Boston</t>
  </si>
  <si>
    <t># with Full Support</t>
  </si>
  <si>
    <t># with Shared Support</t>
  </si>
  <si>
    <t>"Full" and "shared" IT support refer to the level of support provided by the VDSS Division of Information Services to local DSS agencies.</t>
  </si>
  <si>
    <t>LDSS</t>
  </si>
  <si>
    <t>ND</t>
  </si>
  <si>
    <t>JW</t>
  </si>
  <si>
    <t>Fairfax Co./Fairfax City/Falls Church</t>
  </si>
  <si>
    <t>Bedford Co./Bedford City</t>
  </si>
  <si>
    <t>Roanoke Co./Salem</t>
  </si>
  <si>
    <t>% of Total Positions</t>
  </si>
  <si>
    <t>Region:</t>
  </si>
  <si>
    <r>
      <t>Agency Level:</t>
    </r>
    <r>
      <rPr>
        <b/>
        <vertAlign val="superscript"/>
        <sz val="9"/>
        <color indexed="8"/>
        <rFont val="Cambria"/>
        <family val="1"/>
      </rPr>
      <t>1</t>
    </r>
  </si>
  <si>
    <r>
      <t>HR  Policy:</t>
    </r>
    <r>
      <rPr>
        <b/>
        <vertAlign val="superscript"/>
        <sz val="9"/>
        <color indexed="8"/>
        <rFont val="Cambria"/>
        <family val="1"/>
      </rPr>
      <t>2</t>
    </r>
  </si>
  <si>
    <r>
      <t>IT Support:</t>
    </r>
    <r>
      <rPr>
        <b/>
        <vertAlign val="superscript"/>
        <sz val="9"/>
        <color indexed="8"/>
        <rFont val="Cambria"/>
        <family val="1"/>
      </rPr>
      <t>3</t>
    </r>
  </si>
  <si>
    <t>By Age</t>
  </si>
  <si>
    <t>Children (0-17 years)</t>
  </si>
  <si>
    <t>Hispanic/Latino</t>
  </si>
  <si>
    <t>Count</t>
  </si>
  <si>
    <t>Percent of Children Living in Single Parent Households, 2010, by Race/Ethnicity and County/City</t>
  </si>
  <si>
    <t>Total Child Population</t>
  </si>
  <si>
    <t xml:space="preserve">African American </t>
  </si>
  <si>
    <t>Hispanic or Latino</t>
  </si>
  <si>
    <t>Percent in Single Parent Families</t>
  </si>
  <si>
    <t>Number In Single Parent HH</t>
  </si>
  <si>
    <t>Source: U.S. Census Bureau, 2010 Census Summary File 1 (Table P31), Household Type by Relationship for Population Under 18 years.  Refers to population of children (&lt; 18 years) living in their own parents' households. Excludes minors who are heads of households, spouses, or other relatives (e.g., grandchildren) living in the household as well as children living in institutionalized settings.  Hispanic origin is not mutually exclusive of race.</t>
  </si>
  <si>
    <t>Percent of Positions Unfilled</t>
  </si>
  <si>
    <t>Pct. of Positions Unfilled-Statewide</t>
  </si>
  <si>
    <t>RESIDENT TOTAL LIVE BIRTHS</t>
  </si>
  <si>
    <t>RESIDENT NON-MARITAL LIVE BIRTHS</t>
  </si>
  <si>
    <t>Number of Live Births</t>
  </si>
  <si>
    <t>Number of Live Non-Marital Births</t>
  </si>
  <si>
    <t>Percent Non-Marital</t>
  </si>
  <si>
    <t>TOTAL</t>
  </si>
  <si>
    <t>OTHER</t>
  </si>
  <si>
    <t>Filled</t>
  </si>
  <si>
    <t>Married</t>
  </si>
  <si>
    <t>Advisory</t>
  </si>
  <si>
    <t>Fairfax County/Fairfax City/Falls Church</t>
  </si>
  <si>
    <t>Client Benefits Spending</t>
  </si>
  <si>
    <t>Number and Percentage of Households Where Heterosexual Couples are Married or Cohabiting, by Local DSS Agency, 2010</t>
  </si>
  <si>
    <t>Number of Households with Heterosexual Couples</t>
  </si>
  <si>
    <t>Percent (%) of Households with Heterosexual Couples</t>
  </si>
  <si>
    <t>LDSS Agency</t>
  </si>
  <si>
    <t>Cohabiting</t>
  </si>
  <si>
    <t>Source: U.S. Census Bureau, 2010 Census, Summary File 1 (Table PCT15). Excludes households with homosexual couples.</t>
  </si>
  <si>
    <t>Administrative</t>
  </si>
  <si>
    <t>Fairfax Co./ Fairfax City/ Falls Church</t>
  </si>
  <si>
    <t>Halifax/ South Boston</t>
  </si>
  <si>
    <t>Number of Heterosexual Couples in Households With Own Children</t>
  </si>
  <si>
    <t>Percent (%) of Heterosexual Couples in Households With Own Children</t>
  </si>
  <si>
    <t>UnFilled (VACANT)</t>
  </si>
  <si>
    <t>Invalid Filled Positions</t>
  </si>
  <si>
    <t>% UnFilled (VACANT)</t>
  </si>
  <si>
    <t>Invalid position is no longer active for various reasons (e.g., abolished, redefined, reallocated) and are not included in the total positions.  Filled positions that have expired beyond their due date are considered invalid and are not counted in the totals.</t>
  </si>
  <si>
    <t>Local Director</t>
  </si>
  <si>
    <t>County Administrator</t>
  </si>
  <si>
    <t xml:space="preserve">Source: Virginia Department of Health, Division of Health Statistics, Resident live birth data.  </t>
  </si>
  <si>
    <t>Level of IT Support by Local DSS Agency</t>
  </si>
  <si>
    <t>* For localities with Advisory Boards only</t>
  </si>
  <si>
    <t>Local/NER</t>
  </si>
  <si>
    <t>Total FAMIS &amp; Medicaid</t>
  </si>
  <si>
    <t>Fairfax Co./Fairfax City/ Falls Church</t>
  </si>
  <si>
    <t>Norton City</t>
  </si>
  <si>
    <t>Bristol City</t>
  </si>
  <si>
    <t>Galax City</t>
  </si>
  <si>
    <t>Radford City</t>
  </si>
  <si>
    <t>Winchester City</t>
  </si>
  <si>
    <t>Alexandria City</t>
  </si>
  <si>
    <t>Manassas Park City</t>
  </si>
  <si>
    <t>Charlottesville City</t>
  </si>
  <si>
    <t>Lynchburg City</t>
  </si>
  <si>
    <t>Danville City</t>
  </si>
  <si>
    <t>Fredericksburg City</t>
  </si>
  <si>
    <t>Hopewell City</t>
  </si>
  <si>
    <t>Petersburg City</t>
  </si>
  <si>
    <t>Chesapeake City</t>
  </si>
  <si>
    <t>Norfolk City</t>
  </si>
  <si>
    <t>Portsmouth City</t>
  </si>
  <si>
    <t>Suffolk City</t>
  </si>
  <si>
    <t>Virginia Beach City</t>
  </si>
  <si>
    <t>Hampton City</t>
  </si>
  <si>
    <t>Newport News City</t>
  </si>
  <si>
    <t>Williamsburg City</t>
  </si>
  <si>
    <t>Augusta/ Staunton/ Waynesboro</t>
  </si>
  <si>
    <t>Alleghany County/Covington</t>
  </si>
  <si>
    <t>Bedford County/Bedford City</t>
  </si>
  <si>
    <t>Chesterfield County/Colonial Heights</t>
  </si>
  <si>
    <t>York County/Poquoson</t>
  </si>
  <si>
    <t>Rockbridge County/Buena Vista/Lexington</t>
  </si>
  <si>
    <t>Rockingham County/Harrisonburg</t>
  </si>
  <si>
    <t>Greensville County/Emporia</t>
  </si>
  <si>
    <t>County/City Administrator</t>
  </si>
  <si>
    <t>Client Benefits</t>
  </si>
  <si>
    <t>Total Admin Spending</t>
  </si>
  <si>
    <t>Federal - %</t>
  </si>
  <si>
    <t>State - %</t>
  </si>
  <si>
    <t>Local - %</t>
  </si>
  <si>
    <t>Administrative Costs</t>
  </si>
  <si>
    <t>Purchased Services for Clients</t>
  </si>
  <si>
    <t>MINIMUM</t>
  </si>
  <si>
    <t>MAXIMUM</t>
  </si>
  <si>
    <t>Admin - %</t>
  </si>
  <si>
    <t>Purchased Svcs. - %</t>
  </si>
  <si>
    <t>Benefits - %</t>
  </si>
  <si>
    <t>Fed &amp; State Comb. - %</t>
  </si>
  <si>
    <t>GRAND TOTAL</t>
  </si>
  <si>
    <t>TOTAL LESS INVALID POSITIONS</t>
  </si>
  <si>
    <t>Non-Deviating</t>
  </si>
  <si>
    <t>Partial deviating</t>
  </si>
  <si>
    <t>Jurisdiction-wide</t>
  </si>
  <si>
    <t>II (Two)</t>
  </si>
  <si>
    <t>I (One)</t>
  </si>
  <si>
    <t>III (Three)</t>
  </si>
  <si>
    <t>Shared</t>
  </si>
  <si>
    <t>Full</t>
  </si>
  <si>
    <r>
      <rPr>
        <vertAlign val="superscript"/>
        <sz val="8"/>
        <color indexed="8"/>
        <rFont val="Cambria"/>
        <family val="1"/>
      </rPr>
      <t>3</t>
    </r>
    <r>
      <rPr>
        <sz val="8"/>
        <color indexed="8"/>
        <rFont val="Cambria"/>
        <family val="1"/>
      </rPr>
      <t xml:space="preserve"> Refers to the local agency's level of IT support from VDSS. </t>
    </r>
  </si>
  <si>
    <t>Adults 18-64 years</t>
  </si>
  <si>
    <t>Adults (18-64 years)</t>
  </si>
  <si>
    <t>Elderly Adults (65+ years)</t>
  </si>
  <si>
    <t>Agency Level</t>
  </si>
  <si>
    <t>Asian/PI</t>
  </si>
  <si>
    <t>AI/AN</t>
  </si>
  <si>
    <t>Regions</t>
  </si>
  <si>
    <t>All races</t>
  </si>
  <si>
    <t>Elderly</t>
  </si>
  <si>
    <t>Percentage of Total Population - By Age Group</t>
  </si>
  <si>
    <t>Pop. (all ages)</t>
  </si>
  <si>
    <t>Percentage of Total Population - By Race</t>
  </si>
  <si>
    <t>% of Total</t>
  </si>
  <si>
    <t>SNAP SFY 2012</t>
  </si>
  <si>
    <t>Black/African American</t>
  </si>
  <si>
    <r>
      <t>Type of Agency Board:</t>
    </r>
    <r>
      <rPr>
        <b/>
        <vertAlign val="superscript"/>
        <sz val="9"/>
        <color indexed="8"/>
        <rFont val="Cambria"/>
        <family val="1"/>
      </rPr>
      <t>4</t>
    </r>
  </si>
  <si>
    <t>Unemployed 2000</t>
  </si>
  <si>
    <t>Civilian Labor Force 2000</t>
  </si>
  <si>
    <t>Number of Filled Positions</t>
  </si>
  <si>
    <t>Number of Unfilled Positions</t>
  </si>
  <si>
    <t>Total Number of Positions</t>
  </si>
  <si>
    <t>SNAP SFY 2011</t>
  </si>
  <si>
    <t>TANF SFY 2012</t>
  </si>
  <si>
    <t>Adult 65+ years</t>
  </si>
  <si>
    <t>Source: Virginia Department of Health. Bridged race estimates come from the National Center for Health Statistics. "Other race" includes Asians, Hawaiians/Pacific Islanders, American Indians, and Alaskan Natives. Hispanic origin is not mutually exclusive of race.</t>
  </si>
  <si>
    <t>Source: U.S. Census Bureau, Small Area Income and Poverty Estimates (SAIPE).</t>
  </si>
  <si>
    <t>Poverty Rate (%)</t>
  </si>
  <si>
    <t>All ages</t>
  </si>
  <si>
    <t>Unemploy-ment</t>
  </si>
  <si>
    <t>Rate (%)</t>
  </si>
  <si>
    <t>Alleghany Co./Covington/Clifton Forge</t>
  </si>
  <si>
    <t>Augusta Co./ Staunton/ Waynesboro</t>
  </si>
  <si>
    <t>Chesterfield Co./Colonial Heights</t>
  </si>
  <si>
    <t>Greensville Co./Emporia</t>
  </si>
  <si>
    <t>Halifax Co./South Boston</t>
  </si>
  <si>
    <t>Henry Co./Martinsville</t>
  </si>
  <si>
    <t>Isle Of Wight County</t>
  </si>
  <si>
    <t>King &amp; Queen County</t>
  </si>
  <si>
    <t>Rockbridge Co./Buena Vista/Lexington</t>
  </si>
  <si>
    <t>Rockingham Co./Harrisonburg</t>
  </si>
  <si>
    <t>York Co./Poquoson</t>
  </si>
  <si>
    <t>Est. Number of Children in Poverty</t>
  </si>
  <si>
    <t>Percent of Children in Poverty</t>
  </si>
  <si>
    <r>
      <t>Medicaid</t>
    </r>
    <r>
      <rPr>
        <vertAlign val="superscript"/>
        <sz val="9"/>
        <color indexed="8"/>
        <rFont val="Cambria"/>
        <family val="1"/>
      </rPr>
      <t>1</t>
    </r>
  </si>
  <si>
    <t>844_Fed</t>
  </si>
  <si>
    <t>Medicaid SFY 2009</t>
  </si>
  <si>
    <t>Medicaid SFY 2010</t>
  </si>
  <si>
    <t>Medicaid SFY 2011</t>
  </si>
  <si>
    <t>Medicaid SFY 2012</t>
  </si>
  <si>
    <t>18-40</t>
  </si>
  <si>
    <t>Race/Ethnicity</t>
  </si>
  <si>
    <t>Age Group (years)</t>
  </si>
  <si>
    <t>Number of Clients Receiving AG (Auxiliary Grant) Services, SFY 2012</t>
  </si>
  <si>
    <t>NH/PI</t>
  </si>
  <si>
    <t>Unknown</t>
  </si>
  <si>
    <t>Fairfax Co.-City/Falls Church</t>
  </si>
  <si>
    <t>Number of Foster Children Adopted, by Race of Child, FFY 2012</t>
  </si>
  <si>
    <t>"Other" race includes Hispanics, American Indians, Hawaiians and Pacific Islanders, Multi-racial, and missing or unavailable race.</t>
  </si>
  <si>
    <t>Source: VDSS, Division of Family Services, ASAPS (Adult Services Adult Protectives Services) data system.</t>
  </si>
  <si>
    <t>Race</t>
  </si>
  <si>
    <t>Age (in years)</t>
  </si>
  <si>
    <t>41-60</t>
  </si>
  <si>
    <t>61 and older</t>
  </si>
  <si>
    <t>Number of People (All Ages) living in Poverty in locality</t>
  </si>
  <si>
    <t>Percent of People (All Ages) living in Poverty in locality</t>
  </si>
  <si>
    <t>Number of Children (&lt; 18 years) living in Poverty in locality</t>
  </si>
  <si>
    <t>Percent of Children (&lt; 18 years) living in Poverty in locality</t>
  </si>
  <si>
    <t>SFY 2012</t>
  </si>
  <si>
    <t>SFY 2009</t>
  </si>
  <si>
    <t>SFY 2010</t>
  </si>
  <si>
    <t>SFY 2011</t>
  </si>
  <si>
    <t>Halifax County</t>
  </si>
  <si>
    <t>Henry County</t>
  </si>
  <si>
    <t>Martinsville City</t>
  </si>
  <si>
    <t>Elderly (65 years and older)</t>
  </si>
  <si>
    <t>Non-Elderly (18-64 years)</t>
  </si>
  <si>
    <t>Non-Elderly</t>
  </si>
  <si>
    <t>Children (under 18)</t>
  </si>
  <si>
    <t>Augusta County/Staunton/Waynesboro</t>
  </si>
  <si>
    <t>Statewide (subtotal)</t>
  </si>
  <si>
    <t>Total (incl. state mental health facilities)</t>
  </si>
  <si>
    <r>
      <rPr>
        <b/>
        <sz val="12"/>
        <color indexed="8"/>
        <rFont val="Calibri"/>
        <family val="2"/>
      </rPr>
      <t xml:space="preserve">Source: </t>
    </r>
    <r>
      <rPr>
        <sz val="12"/>
        <color indexed="8"/>
        <rFont val="Calibri"/>
        <family val="2"/>
      </rPr>
      <t>VDSS, Division of Family Services, VCWOR (vers. 3.85), "Children Adopted During Year by Race/Ethnicity" report. Reporting period is the federal fiscal year, ending September 30, 2012.</t>
    </r>
  </si>
  <si>
    <r>
      <rPr>
        <b/>
        <sz val="12"/>
        <color indexed="8"/>
        <rFont val="Calibri"/>
        <family val="2"/>
      </rPr>
      <t xml:space="preserve">Source: </t>
    </r>
    <r>
      <rPr>
        <sz val="12"/>
        <color indexed="8"/>
        <rFont val="Calibri"/>
        <family val="2"/>
      </rPr>
      <t>VDSS, Division of Finances, LASER reports.</t>
    </r>
  </si>
  <si>
    <r>
      <rPr>
        <b/>
        <sz val="12"/>
        <color indexed="8"/>
        <rFont val="Calibri"/>
        <family val="2"/>
      </rPr>
      <t>Source:</t>
    </r>
    <r>
      <rPr>
        <sz val="12"/>
        <color indexed="8"/>
        <rFont val="Calibri"/>
        <family val="2"/>
      </rPr>
      <t xml:space="preserve"> VDSS, Division of Finances, LASER reports.</t>
    </r>
  </si>
  <si>
    <t xml:space="preserve">* NER = Position that is not eligible for reimbursable is not reported in LASER.  </t>
  </si>
  <si>
    <t>NER*</t>
  </si>
  <si>
    <r>
      <rPr>
        <b/>
        <sz val="12"/>
        <color indexed="8"/>
        <rFont val="Calibri"/>
        <family val="2"/>
      </rPr>
      <t xml:space="preserve">Source: </t>
    </r>
    <r>
      <rPr>
        <sz val="12"/>
        <color indexed="8"/>
        <rFont val="Calibri"/>
        <family val="2"/>
      </rPr>
      <t>ASAPS (Adult Services Adult Protectives Services) data system. Unduplicated counts. "Other" race includes American Indian, Asian, other race, Spanish American, multiracial, and unknown race.</t>
    </r>
  </si>
  <si>
    <r>
      <t>2010</t>
    </r>
    <r>
      <rPr>
        <b/>
        <vertAlign val="superscript"/>
        <sz val="12"/>
        <color indexed="8"/>
        <rFont val="Calibri"/>
        <family val="2"/>
      </rPr>
      <t>1</t>
    </r>
  </si>
  <si>
    <r>
      <t>1</t>
    </r>
    <r>
      <rPr>
        <sz val="12"/>
        <rFont val="Calibri"/>
        <family val="2"/>
      </rPr>
      <t xml:space="preserve"> Calendar year-to-date through May 2010</t>
    </r>
  </si>
  <si>
    <r>
      <rPr>
        <b/>
        <sz val="12"/>
        <rFont val="Calibri"/>
        <family val="2"/>
      </rPr>
      <t xml:space="preserve">Source: </t>
    </r>
    <r>
      <rPr>
        <sz val="12"/>
        <rFont val="Calibri"/>
        <family val="2"/>
      </rPr>
      <t>VDSS Performance Indicators Report system.</t>
    </r>
  </si>
  <si>
    <r>
      <rPr>
        <b/>
        <sz val="12"/>
        <color indexed="8"/>
        <rFont val="Calibri"/>
        <family val="2"/>
      </rPr>
      <t xml:space="preserve">Source: </t>
    </r>
    <r>
      <rPr>
        <sz val="12"/>
        <color indexed="8"/>
        <rFont val="Calibri"/>
        <family val="2"/>
      </rPr>
      <t>SNAP Recipients - VDSS Data Warehouse, ADAPT Client Cube, December 2010.</t>
    </r>
    <r>
      <rPr>
        <sz val="12"/>
        <color indexed="10"/>
        <rFont val="Calibri"/>
        <family val="2"/>
      </rPr>
      <t xml:space="preserve"> </t>
    </r>
    <r>
      <rPr>
        <sz val="12"/>
        <rFont val="Calibri"/>
        <family val="2"/>
      </rPr>
      <t xml:space="preserve"> Population - U.S. Census, Current Population Survey 2009, file CC-EST2009-ALLDATA.</t>
    </r>
    <r>
      <rPr>
        <sz val="12"/>
        <color indexed="10"/>
        <rFont val="Calibri"/>
        <family val="2"/>
      </rPr>
      <t xml:space="preserve"> </t>
    </r>
  </si>
  <si>
    <t>B17024: AGE BY RATIO OF INCOME TO POVERTY LEVEL IN THE PAST 12 MONTHS - Universe: Population for whom poverty status is determined</t>
  </si>
  <si>
    <t>2007-2011 American Community Survey 5-Year Estimates</t>
  </si>
  <si>
    <t/>
  </si>
  <si>
    <t>Est. Population Count (&lt; 125% FPL)</t>
  </si>
  <si>
    <t>Under 6 years</t>
  </si>
  <si>
    <t>6 to 11 years</t>
  </si>
  <si>
    <t>12 to 17 years</t>
  </si>
  <si>
    <t>18 to 24 years</t>
  </si>
  <si>
    <t>25 to 34 years</t>
  </si>
  <si>
    <t>35 to 44 years</t>
  </si>
  <si>
    <t>45 to 54 years</t>
  </si>
  <si>
    <t>55 to 64 years</t>
  </si>
  <si>
    <t>65 to 74 years</t>
  </si>
  <si>
    <t>75 years and older</t>
  </si>
  <si>
    <t>&lt;125%</t>
  </si>
  <si>
    <t>125% and above</t>
  </si>
  <si>
    <t>&lt;125% FPL</t>
  </si>
  <si>
    <t>Pop - 2011</t>
  </si>
  <si>
    <t>Virginia</t>
  </si>
  <si>
    <t>Total (all ages)</t>
  </si>
  <si>
    <t>SFY 2013</t>
  </si>
  <si>
    <t>SNAP SFY 2013</t>
  </si>
  <si>
    <t>TANF SFY 2013</t>
  </si>
  <si>
    <t>Medicaid SFY 2013</t>
  </si>
  <si>
    <t>2012</t>
  </si>
  <si>
    <t xml:space="preserve">Civilian Labor Force 2012 </t>
  </si>
  <si>
    <t>Unemployed 2012</t>
  </si>
  <si>
    <t xml:space="preserve">Source: Virginia Employment Commission. Rates are not seasonally adjusted. </t>
  </si>
  <si>
    <t>Direct</t>
  </si>
  <si>
    <t>Indirect</t>
  </si>
  <si>
    <t xml:space="preserve">Direct </t>
  </si>
  <si>
    <t>Total (less invalid)</t>
  </si>
  <si>
    <t>By Age Group</t>
  </si>
  <si>
    <t>65+ years</t>
  </si>
  <si>
    <t>18-64 years</t>
  </si>
  <si>
    <t>0-17 years</t>
  </si>
  <si>
    <t>Ethnicity</t>
  </si>
  <si>
    <t>Other race*</t>
  </si>
  <si>
    <t>Goochlan</t>
  </si>
  <si>
    <t xml:space="preserve">Civilian Labor Force 2013 </t>
  </si>
  <si>
    <t>Unemployed 2013</t>
  </si>
  <si>
    <r>
      <rPr>
        <b/>
        <sz val="12"/>
        <rFont val="Calibri"/>
        <family val="2"/>
      </rPr>
      <t>Source:</t>
    </r>
    <r>
      <rPr>
        <sz val="12"/>
        <rFont val="Calibri"/>
        <family val="2"/>
      </rPr>
      <t xml:space="preserve">  Virginia Employment Commission - Labor Force and Employment and Unemployment (LAUS) data. Unemployment rates are computed on a calendar year basis. Rates are not seasonally-adjusted.  </t>
    </r>
  </si>
  <si>
    <t>Medicaid_Local</t>
  </si>
  <si>
    <r>
      <rPr>
        <b/>
        <sz val="10"/>
        <color indexed="8"/>
        <rFont val="Calibri"/>
        <family val="2"/>
      </rPr>
      <t>Source:</t>
    </r>
    <r>
      <rPr>
        <sz val="10"/>
        <color indexed="8"/>
        <rFont val="Calibri"/>
        <family val="2"/>
      </rPr>
      <t xml:space="preserve"> VDSS, Division of Finances, LASER reports.</t>
    </r>
  </si>
  <si>
    <t>825_Fed</t>
  </si>
  <si>
    <t>825_State</t>
  </si>
  <si>
    <t>825_Local</t>
  </si>
  <si>
    <t>825_Total</t>
  </si>
  <si>
    <t>888_Fed</t>
  </si>
  <si>
    <t>888_State</t>
  </si>
  <si>
    <t>888_Local</t>
  </si>
  <si>
    <t>888_Total</t>
  </si>
  <si>
    <t>816_Fed</t>
  </si>
  <si>
    <t>816_State</t>
  </si>
  <si>
    <t>816_Local</t>
  </si>
  <si>
    <t>816_Total</t>
  </si>
  <si>
    <t>871 (50%/50%)</t>
  </si>
  <si>
    <t>878 (100% Fed)</t>
  </si>
  <si>
    <t>881 (50%/50%)</t>
  </si>
  <si>
    <t>883 (100% Fed)</t>
  </si>
  <si>
    <t>Grand Total</t>
  </si>
  <si>
    <t>Fed/State Total</t>
  </si>
  <si>
    <t>STATE</t>
  </si>
  <si>
    <t>Multiracial</t>
  </si>
  <si>
    <t>By Race &amp; Ethnicity</t>
  </si>
  <si>
    <r>
      <rPr>
        <b/>
        <sz val="12"/>
        <rFont val="Calibri"/>
        <family val="2"/>
      </rPr>
      <t>Source:</t>
    </r>
    <r>
      <rPr>
        <sz val="12"/>
        <rFont val="Calibri"/>
        <family val="2"/>
      </rPr>
      <t xml:space="preserve"> Virginia Department of Health, Division of Health Statistics. Bridged-race population estimates were obtained from the National Center for Health Statistics.  Hispanic origin is not mutually exclusive of race categories. "Other race" is Asian/Pacific Islander (PI) and American Indian/Alaskan Native (AI/AN) combined.</t>
    </r>
  </si>
  <si>
    <t>Medicaid</t>
  </si>
  <si>
    <r>
      <t>Benefit Program</t>
    </r>
    <r>
      <rPr>
        <b/>
        <vertAlign val="superscript"/>
        <sz val="9"/>
        <color theme="1"/>
        <rFont val="Cambria"/>
        <family val="1"/>
        <scheme val="major"/>
      </rPr>
      <t>1</t>
    </r>
  </si>
  <si>
    <t>Fuel</t>
  </si>
  <si>
    <t>Cooling</t>
  </si>
  <si>
    <t>Crisis</t>
  </si>
  <si>
    <r>
      <t>Child Care</t>
    </r>
    <r>
      <rPr>
        <b/>
        <vertAlign val="superscript"/>
        <sz val="9"/>
        <color theme="1"/>
        <rFont val="Cambria"/>
        <family val="1"/>
        <scheme val="major"/>
      </rPr>
      <t>3</t>
    </r>
  </si>
  <si>
    <r>
      <t>Energy Assistance (EA)</t>
    </r>
    <r>
      <rPr>
        <b/>
        <vertAlign val="superscript"/>
        <sz val="9"/>
        <color theme="1"/>
        <rFont val="Cambria"/>
        <family val="1"/>
        <scheme val="major"/>
      </rPr>
      <t>2</t>
    </r>
  </si>
  <si>
    <t>SNAP SFY 2014</t>
  </si>
  <si>
    <t>TANF SFY 2014</t>
  </si>
  <si>
    <t>Medicaid SFY 2014</t>
  </si>
  <si>
    <t>SFY 2014</t>
  </si>
  <si>
    <t>Gender</t>
  </si>
  <si>
    <t>Children receiving adoption assistance</t>
  </si>
  <si>
    <t>Non-Marital Births</t>
  </si>
  <si>
    <t>Teen Births</t>
  </si>
  <si>
    <t>Rate</t>
  </si>
  <si>
    <t>Age Group</t>
  </si>
  <si>
    <r>
      <t>Any Benefit Program</t>
    </r>
    <r>
      <rPr>
        <vertAlign val="superscript"/>
        <sz val="9"/>
        <color theme="1"/>
        <rFont val="Cambria"/>
        <family val="1"/>
        <scheme val="major"/>
      </rPr>
      <t>2</t>
    </r>
  </si>
  <si>
    <r>
      <t>Any Program</t>
    </r>
    <r>
      <rPr>
        <b/>
        <vertAlign val="superscript"/>
        <sz val="9"/>
        <rFont val="Cambria"/>
        <family val="1"/>
        <scheme val="major"/>
      </rPr>
      <t>2</t>
    </r>
  </si>
  <si>
    <t>Source: Energy Assistance Program Reports (Data Warehouse, "Case Counts Agency Summary Report"). Number of cases are reported separately for each program component by federal fiscal year.</t>
  </si>
  <si>
    <t>Percentage of Births that are Non-Marital, by LDSS, Virginia, 2002-2012</t>
  </si>
  <si>
    <t>Number of Non-Marital Births</t>
  </si>
  <si>
    <t>Percentage of Live Births that are Non-Marital</t>
  </si>
  <si>
    <t>Number of TANF Cases (Households) by State Fiscal Year, 2010-2014</t>
  </si>
  <si>
    <t>Number of Medicaid Cases (Households) by State Fiscal Year, 2010-2014</t>
  </si>
  <si>
    <t>Source: VDSS, MMIS Data Mart. Represent unduplicated case (household) counts in each state fiscal year overall for the state and for each locality.  Statewide totals include enrollments from state mental hospitals.</t>
  </si>
  <si>
    <t>Number of Teen Births</t>
  </si>
  <si>
    <t>Teen Birth Rate (per 1,000 pop.)</t>
  </si>
  <si>
    <t>Teen Birth Rate</t>
  </si>
  <si>
    <t>Pct. Births Non-Marital</t>
  </si>
  <si>
    <t>For more information, contact the VDSS Office of Research and Planning.</t>
  </si>
  <si>
    <t>research@dss.virginia.gov</t>
  </si>
  <si>
    <t>Source: Virginia Department of Health, Center for Health Statistics. Refers to births by teen mothers aged 10-19 years. Teen birth rate is  per 1,000 population and is age-specific (not age-adjusted). "Other" race refers to residents who are Asian, Hawaiian/Pacific Islander, or American Indian/Alaskan Native.</t>
  </si>
  <si>
    <t>Source: Virginia Department of Health. Based on records of live births among unmarried women aged 15-44 years and among teens aged 10-19 years. Teen birth rate is per 1,000 population.</t>
  </si>
  <si>
    <t>Source: Virginia Department of Social Services, Division of Information Services.  Information was updated on 12/11/2012.</t>
  </si>
  <si>
    <t>Total Children under 18 in Family Households</t>
  </si>
  <si>
    <t>Children Under 18 Living in Married-Couple HH</t>
  </si>
  <si>
    <t>Children Under 18 Living in Single Parent HH</t>
  </si>
  <si>
    <t>Children Under 18 Living in Father Only HH</t>
  </si>
  <si>
    <t>Children Under 18 Living in Mother Only HH</t>
  </si>
  <si>
    <t>% Children Under 18 Living in Married Couple HH</t>
  </si>
  <si>
    <t>% Children Under 18 Living in Single Parent HH</t>
  </si>
  <si>
    <t>% Children Under 18 Living in Father Only HH</t>
  </si>
  <si>
    <t>% Children Under 18 Living in Mother Only HH</t>
  </si>
  <si>
    <t>Total Children under 6 in Family Households</t>
  </si>
  <si>
    <t>Children Under 6 Living in Married-Couple HH</t>
  </si>
  <si>
    <t>Children Under 6 Living in Single Parent HH</t>
  </si>
  <si>
    <t>Children Under 6 Living in Father Only HH</t>
  </si>
  <si>
    <t>Children Under 6 Living in Mother Only HH</t>
  </si>
  <si>
    <t>% Children Under 6 Living in Married Couple HH</t>
  </si>
  <si>
    <t>% Children Under 6 Living in Single Parent HH</t>
  </si>
  <si>
    <t>% Children Under 6 Living in Father Only HH</t>
  </si>
  <si>
    <t>% Children Under 6 Living in Mother Only HH</t>
  </si>
  <si>
    <t>PD</t>
  </si>
  <si>
    <t>EA FFY 2013</t>
  </si>
  <si>
    <t>EA FFY 2014</t>
  </si>
  <si>
    <t>Source: VDSS, Energy Assistance Reports. Unduplicated number of clients served by federal fiscal year.</t>
  </si>
  <si>
    <t>NA</t>
  </si>
  <si>
    <t>All Ages</t>
  </si>
  <si>
    <t>Ages 0-17 years</t>
  </si>
  <si>
    <t>Ages 5-17 years</t>
  </si>
  <si>
    <t>SAIPE Poverty Universe</t>
  </si>
  <si>
    <t>Poverty Count</t>
  </si>
  <si>
    <t>Poverty Percent</t>
  </si>
  <si>
    <t>Source: U.S. Census Bureau, Small Area Income and Poverty Estimates (SAIPE), using data from the American Community Survey. 5-year estimates (2009-2013) were calculated. Estimates exclude people living in group quarters (e.g., college dormitories, military barracks, group homes).</t>
  </si>
  <si>
    <t>Bedford</t>
  </si>
  <si>
    <t>Bedford County</t>
  </si>
  <si>
    <r>
      <t>Staff and operations</t>
    </r>
    <r>
      <rPr>
        <vertAlign val="superscript"/>
        <sz val="9"/>
        <color theme="1"/>
        <rFont val="Cambria"/>
        <family val="1"/>
        <scheme val="major"/>
      </rPr>
      <t>1</t>
    </r>
  </si>
  <si>
    <t>850_Fed</t>
  </si>
  <si>
    <t>850_State</t>
  </si>
  <si>
    <t>850_Local</t>
  </si>
  <si>
    <t>850-Fund 0033</t>
  </si>
  <si>
    <t>850-Fund 0077</t>
  </si>
  <si>
    <t>850_Total</t>
  </si>
  <si>
    <t>852_Fed</t>
  </si>
  <si>
    <t>852_State</t>
  </si>
  <si>
    <t>852_Local</t>
  </si>
  <si>
    <t>852_Fund 0033</t>
  </si>
  <si>
    <t>852-Fund 0077</t>
  </si>
  <si>
    <t>852_Total</t>
  </si>
  <si>
    <t>855_Fed</t>
  </si>
  <si>
    <t>855_State</t>
  </si>
  <si>
    <t>855_Local</t>
  </si>
  <si>
    <t>855_Fund 0033</t>
  </si>
  <si>
    <t>855-Fund 0077</t>
  </si>
  <si>
    <t>855_Total</t>
  </si>
  <si>
    <t>858_Fed</t>
  </si>
  <si>
    <t>858_State</t>
  </si>
  <si>
    <t>858_Local</t>
  </si>
  <si>
    <t>858_Fund 0033</t>
  </si>
  <si>
    <t>858-Fund 0077</t>
  </si>
  <si>
    <t>858_Total</t>
  </si>
  <si>
    <t>Fund 0033</t>
  </si>
  <si>
    <t>Fund 0077</t>
  </si>
  <si>
    <t>Non-Reimbursable (0033 &amp; 0077)</t>
  </si>
  <si>
    <t>Local &amp; NER comb.</t>
  </si>
  <si>
    <r>
      <t>Other expenses</t>
    </r>
    <r>
      <rPr>
        <vertAlign val="superscript"/>
        <sz val="9"/>
        <color theme="1"/>
        <rFont val="Cambria"/>
        <family val="1"/>
        <scheme val="major"/>
      </rPr>
      <t>2</t>
    </r>
  </si>
  <si>
    <t>000_Fund 0033</t>
  </si>
  <si>
    <t>000_Fund 0077</t>
  </si>
  <si>
    <r>
      <t>Services purchased for clients</t>
    </r>
    <r>
      <rPr>
        <b/>
        <vertAlign val="superscript"/>
        <sz val="9"/>
        <color theme="1"/>
        <rFont val="Cambria"/>
        <family val="1"/>
        <scheme val="major"/>
      </rPr>
      <t>3</t>
    </r>
  </si>
  <si>
    <r>
      <t>Medicaid &amp; FAMIS</t>
    </r>
    <r>
      <rPr>
        <vertAlign val="superscript"/>
        <sz val="9"/>
        <color theme="1"/>
        <rFont val="Cambria"/>
        <family val="1"/>
        <scheme val="major"/>
      </rPr>
      <t>4</t>
    </r>
  </si>
  <si>
    <t>TANF_Fed</t>
  </si>
  <si>
    <t>TANF_ARRA</t>
  </si>
  <si>
    <t>TANF_State</t>
  </si>
  <si>
    <t>TANF_Local</t>
  </si>
  <si>
    <t>TANF_NER</t>
  </si>
  <si>
    <t>TANF_Total</t>
  </si>
  <si>
    <r>
      <t>TANF</t>
    </r>
    <r>
      <rPr>
        <vertAlign val="superscript"/>
        <sz val="9"/>
        <color theme="1"/>
        <rFont val="Cambria"/>
        <family val="1"/>
        <scheme val="major"/>
      </rPr>
      <t>5</t>
    </r>
  </si>
  <si>
    <t>810_Fund 0033</t>
  </si>
  <si>
    <t>848_Fund 0033</t>
  </si>
  <si>
    <t>848_Fund 0077</t>
  </si>
  <si>
    <t>867_Fund 0033</t>
  </si>
  <si>
    <t>867_Fund 0077</t>
  </si>
  <si>
    <t>808_Fund 0033</t>
  </si>
  <si>
    <t>LIHEAP_ARRA</t>
  </si>
  <si>
    <t>LIHEAP_State Share</t>
  </si>
  <si>
    <t>LIHEAP_Local Share</t>
  </si>
  <si>
    <t>LIHEAP_Fed Share</t>
  </si>
  <si>
    <t>LIHEAP_NER</t>
  </si>
  <si>
    <t>LIHEAP_Local/NER</t>
  </si>
  <si>
    <t>843_Fed</t>
  </si>
  <si>
    <t>843_State</t>
  </si>
  <si>
    <t>843_Local</t>
  </si>
  <si>
    <t>843_Fund 0033</t>
  </si>
  <si>
    <t>843_Fund 0077</t>
  </si>
  <si>
    <t>843_Total</t>
  </si>
  <si>
    <r>
      <t>Foster care and adoption</t>
    </r>
    <r>
      <rPr>
        <vertAlign val="superscript"/>
        <sz val="9"/>
        <color theme="1"/>
        <rFont val="Cambria"/>
        <family val="1"/>
        <scheme val="major"/>
      </rPr>
      <t>6</t>
    </r>
  </si>
  <si>
    <t>811_Fund 0033</t>
  </si>
  <si>
    <t>811_Fund 0077</t>
  </si>
  <si>
    <t>811_NER</t>
  </si>
  <si>
    <t>811_Local &amp; NER comb.</t>
  </si>
  <si>
    <t>Local/NER comb.</t>
  </si>
  <si>
    <t>812_Fund 0033</t>
  </si>
  <si>
    <t>812_Fund 0077</t>
  </si>
  <si>
    <t>812_NER</t>
  </si>
  <si>
    <t>812_Local &amp; NER comb.</t>
  </si>
  <si>
    <t>817_Fund 0033</t>
  </si>
  <si>
    <t>817_Fund 0077</t>
  </si>
  <si>
    <t>817_NER</t>
  </si>
  <si>
    <t>817_Local &amp; NER comb.</t>
  </si>
  <si>
    <t>816_Fund 0033</t>
  </si>
  <si>
    <t>816_Fund 0077</t>
  </si>
  <si>
    <t>816_NER</t>
  </si>
  <si>
    <t>816_Local &amp; NER comb.</t>
  </si>
  <si>
    <t>CSA_LOCAL</t>
  </si>
  <si>
    <t>CSA_FED</t>
  </si>
  <si>
    <t>CSA_STATE</t>
  </si>
  <si>
    <t>CSA_Non-Reimbursed</t>
  </si>
  <si>
    <t>CSA_Total</t>
  </si>
  <si>
    <t>CSA_Local/NER comb.</t>
  </si>
  <si>
    <r>
      <t>Comprehensive Services (Title IV-E)</t>
    </r>
    <r>
      <rPr>
        <vertAlign val="superscript"/>
        <sz val="9"/>
        <color theme="1"/>
        <rFont val="Cambria"/>
        <family val="1"/>
        <scheme val="major"/>
      </rPr>
      <t>7</t>
    </r>
  </si>
  <si>
    <t xml:space="preserve">(2) Other operational expenses: 000 (Miscellaneous), 805 (Pre-Occupancy Local Facilities Cost), and 843 (Central Service Cost Allocation). </t>
  </si>
  <si>
    <t>(1) Local staff and operations: 850 (outstationed eligibility staff), 852 (dedicated Medicaid local effort), 855 (staff &amp; operations base budget), and 858 (staff &amp; operations pass through).</t>
  </si>
  <si>
    <r>
      <t>Child Care</t>
    </r>
    <r>
      <rPr>
        <vertAlign val="superscript"/>
        <sz val="9"/>
        <color theme="1"/>
        <rFont val="Cambria"/>
        <family val="1"/>
        <scheme val="major"/>
      </rPr>
      <t>8</t>
    </r>
  </si>
  <si>
    <t>(8) For FY14, Child Care provider payments are made by VDSS through VACMS. Certain funds (871 and 881) are split 50%/50% between federal and state sources.</t>
  </si>
  <si>
    <r>
      <t>Other Benefits</t>
    </r>
    <r>
      <rPr>
        <vertAlign val="superscript"/>
        <sz val="9"/>
        <color theme="1"/>
        <rFont val="Cambria"/>
        <family val="1"/>
        <scheme val="major"/>
      </rPr>
      <t>9</t>
    </r>
  </si>
  <si>
    <t>804_Fund 0033</t>
  </si>
  <si>
    <t>804_Fund 077</t>
  </si>
  <si>
    <t>813_Fund 0033</t>
  </si>
  <si>
    <t>813_Fund 077</t>
  </si>
  <si>
    <t>819_Fund 0033</t>
  </si>
  <si>
    <t>819_Fund 0077</t>
  </si>
  <si>
    <t>864_Fund 0033</t>
  </si>
  <si>
    <t>864_Fund 0077</t>
  </si>
  <si>
    <t>866_Fund 0077</t>
  </si>
  <si>
    <t>866_Fund 0033</t>
  </si>
  <si>
    <t>217_Fund 0033</t>
  </si>
  <si>
    <t>217_Fund 0077</t>
  </si>
  <si>
    <t>824_Fund 0033</t>
  </si>
  <si>
    <t>824_Fund 0077</t>
  </si>
  <si>
    <t>825_Fund 0033</t>
  </si>
  <si>
    <t>825_Fund 0077</t>
  </si>
  <si>
    <t>829_Fund 0033</t>
  </si>
  <si>
    <t>829_Fund 0077</t>
  </si>
  <si>
    <t>833_Fund 0033</t>
  </si>
  <si>
    <t>833_Fund 0077</t>
  </si>
  <si>
    <t>844_Fund 0033</t>
  </si>
  <si>
    <t>844_Fund 0077</t>
  </si>
  <si>
    <t>861_Fund 0033</t>
  </si>
  <si>
    <t>861_Fund 0077</t>
  </si>
  <si>
    <t>862_Fund 0033</t>
  </si>
  <si>
    <t>862_Local 0077</t>
  </si>
  <si>
    <t>871_Fund 0033</t>
  </si>
  <si>
    <t>871_Fund 0077</t>
  </si>
  <si>
    <t>872_Fund 0033</t>
  </si>
  <si>
    <t>872_Fund 0077</t>
  </si>
  <si>
    <t>873_Fund 0033</t>
  </si>
  <si>
    <t>873_Fund 0077</t>
  </si>
  <si>
    <t>875_Fund 0033</t>
  </si>
  <si>
    <t>875_Fund 0077</t>
  </si>
  <si>
    <t>878_Fund 0033</t>
  </si>
  <si>
    <t>878_Fund 0077</t>
  </si>
  <si>
    <t>881_Fund 0033</t>
  </si>
  <si>
    <t>881_Fund 0077</t>
  </si>
  <si>
    <t>883_Fund 0033</t>
  </si>
  <si>
    <t>883_Fund 0077</t>
  </si>
  <si>
    <t>888_Fund 0033</t>
  </si>
  <si>
    <t>888_Fund 0077</t>
  </si>
  <si>
    <t>890_Fund 0033</t>
  </si>
  <si>
    <t>890_Fund 0077</t>
  </si>
  <si>
    <t>895_Fund 0033</t>
  </si>
  <si>
    <t>895_Fund 0077</t>
  </si>
  <si>
    <t>Admin costs - % Total SS spending</t>
  </si>
  <si>
    <t>Services - % Total SS spending</t>
  </si>
  <si>
    <t>Benefits - % Total SS spending</t>
  </si>
  <si>
    <t>Admin costs - % by Funding Source</t>
  </si>
  <si>
    <t>Services - % by Funding Source</t>
  </si>
  <si>
    <t>Benefits - % by Funding Source</t>
  </si>
  <si>
    <t>SS Funding - % by Funding Source</t>
  </si>
  <si>
    <t>Benefits</t>
  </si>
  <si>
    <t>Services</t>
  </si>
  <si>
    <t>Admini-stration</t>
  </si>
  <si>
    <t>All Sources</t>
  </si>
  <si>
    <t>Total SS Spending</t>
  </si>
  <si>
    <t>Social Services Spending - Summary, SFY 2014</t>
  </si>
  <si>
    <t>Client Benefits Spending - Summary, SFY 2014</t>
  </si>
  <si>
    <t>808_Fund 077</t>
  </si>
  <si>
    <t>810_Fund 077</t>
  </si>
  <si>
    <t>TANF_Local &amp; NER comb.</t>
  </si>
  <si>
    <t>(9) Other Benefit Payments: 804 (Auxiliary Grant), 813 (General Relief), 819 (Refugee Cash Assistance), 808 (TANF - Manual checks), 810 (TANF - Emergency assistance), 848 (TANF-UP - Manual checks), 867 (TANF - Competitive Grant).</t>
  </si>
  <si>
    <r>
      <t>SNAP</t>
    </r>
    <r>
      <rPr>
        <vertAlign val="superscript"/>
        <sz val="9"/>
        <color theme="1"/>
        <rFont val="Cambria"/>
        <family val="1"/>
        <scheme val="major"/>
      </rPr>
      <t>5</t>
    </r>
  </si>
  <si>
    <r>
      <t>Energy Assistance</t>
    </r>
    <r>
      <rPr>
        <vertAlign val="superscript"/>
        <sz val="9"/>
        <color theme="1"/>
        <rFont val="Cambria"/>
        <family val="1"/>
        <scheme val="major"/>
      </rPr>
      <t>5</t>
    </r>
  </si>
  <si>
    <t>Admin/Services/Benefits comb.</t>
  </si>
  <si>
    <t>All Spending</t>
  </si>
  <si>
    <t>Local Spending</t>
  </si>
  <si>
    <t>Missing</t>
  </si>
  <si>
    <r>
      <rPr>
        <vertAlign val="superscript"/>
        <sz val="8"/>
        <color theme="1"/>
        <rFont val="Cambria"/>
        <family val="1"/>
        <scheme val="major"/>
      </rPr>
      <t>1</t>
    </r>
    <r>
      <rPr>
        <sz val="8"/>
        <color theme="1"/>
        <rFont val="Cambria"/>
        <family val="1"/>
        <scheme val="major"/>
      </rPr>
      <t xml:space="preserve"> Source: VDSS ADAPT Data Mart (SNAP and TANF counts); MMIS Data Mart (Medicaid counts). Represent unduplicated cases.</t>
    </r>
    <r>
      <rPr>
        <sz val="8"/>
        <color indexed="8"/>
        <rFont val="Cambria"/>
        <family val="1"/>
      </rPr>
      <t xml:space="preserve"> </t>
    </r>
    <r>
      <rPr>
        <vertAlign val="superscript"/>
        <sz val="8"/>
        <color indexed="8"/>
        <rFont val="Cambria"/>
        <family val="1"/>
      </rPr>
      <t>2</t>
    </r>
    <r>
      <rPr>
        <sz val="8"/>
        <color indexed="8"/>
        <rFont val="Cambria"/>
        <family val="1"/>
      </rPr>
      <t xml:space="preserve"> Source: Energy Assistance Case (Household) Counts Agency Summary Reports Reports. </t>
    </r>
    <r>
      <rPr>
        <vertAlign val="superscript"/>
        <sz val="8"/>
        <color indexed="8"/>
        <rFont val="Cambria"/>
        <family val="1"/>
      </rPr>
      <t>3</t>
    </r>
    <r>
      <rPr>
        <sz val="8"/>
        <color indexed="8"/>
        <rFont val="Cambria"/>
        <family val="1"/>
      </rPr>
      <t xml:space="preserve"> Source: VaCMS (represent "families"; data not available for 2010-2013).</t>
    </r>
  </si>
  <si>
    <t>Households (Cases) Served (unduplicated)</t>
  </si>
  <si>
    <t>Benefit Clients Served (unduplicated)</t>
  </si>
  <si>
    <t>Source: LASER, Statewide Summary. "NER" = Expenses not eligible for reimbursement. Costs rounded to whole dollars.</t>
  </si>
  <si>
    <t>Child Care Subsidy Cases (Families) Served, SFY 2014 (unduplicated count)</t>
  </si>
  <si>
    <t>Source: VDSS, VaCMS. Unduplicated number of families served by state fiscal year.</t>
  </si>
  <si>
    <t>0-5</t>
  </si>
  <si>
    <t>6-10</t>
  </si>
  <si>
    <t>16-18</t>
  </si>
  <si>
    <t>19+</t>
  </si>
  <si>
    <t>Children in foster care (as of Sept. 30)</t>
  </si>
  <si>
    <t>0-5 years</t>
  </si>
  <si>
    <t>6-10 years</t>
  </si>
  <si>
    <t>11-15 years</t>
  </si>
  <si>
    <t>16-18 years</t>
  </si>
  <si>
    <t>11-15</t>
  </si>
  <si>
    <t>19+ years</t>
  </si>
  <si>
    <t>County Executive</t>
  </si>
  <si>
    <t>Deputy County Administrator</t>
  </si>
  <si>
    <t>City Manager</t>
  </si>
  <si>
    <r>
      <rPr>
        <vertAlign val="superscript"/>
        <sz val="8"/>
        <color indexed="8"/>
        <rFont val="Cambria"/>
        <family val="1"/>
      </rPr>
      <t>2</t>
    </r>
    <r>
      <rPr>
        <sz val="8"/>
        <color indexed="8"/>
        <rFont val="Cambria"/>
        <family val="1"/>
      </rPr>
      <t xml:space="preserve"> Refers to the local department's HR policy deviation from VDSS policies: jurisdiction-wide deviation (local policies only), Non-deviating , or partial deviating.  Updated 1/31/2015.</t>
    </r>
  </si>
  <si>
    <r>
      <rPr>
        <vertAlign val="superscript"/>
        <sz val="8"/>
        <color indexed="8"/>
        <rFont val="Cambria"/>
        <family val="1"/>
      </rPr>
      <t>1</t>
    </r>
    <r>
      <rPr>
        <sz val="8"/>
        <color indexed="8"/>
        <rFont val="Cambria"/>
        <family val="1"/>
      </rPr>
      <t xml:space="preserve"> Refers to the local agency's level or size, varying from I (one) to III (three), with III being the largest. Updated 2/2/2015.</t>
    </r>
  </si>
  <si>
    <t>2013 vs 2014</t>
  </si>
  <si>
    <t>2012 vs. 2013</t>
  </si>
  <si>
    <t>Area/Region</t>
  </si>
  <si>
    <r>
      <t>Foster care and adoption</t>
    </r>
    <r>
      <rPr>
        <vertAlign val="superscript"/>
        <sz val="9"/>
        <color theme="1"/>
        <rFont val="Cambria"/>
        <family val="1"/>
        <scheme val="major"/>
      </rPr>
      <t>3</t>
    </r>
  </si>
  <si>
    <t>(4) CSA Costs are paid at the local level with reimbursement from the State Comprehensive Services.</t>
  </si>
  <si>
    <r>
      <t>Comprehensive Services (Title IV-E)</t>
    </r>
    <r>
      <rPr>
        <vertAlign val="superscript"/>
        <sz val="9"/>
        <color theme="1"/>
        <rFont val="Cambria"/>
        <family val="1"/>
        <scheme val="major"/>
      </rPr>
      <t>4</t>
    </r>
  </si>
  <si>
    <r>
      <t>Other Benefits</t>
    </r>
    <r>
      <rPr>
        <vertAlign val="superscript"/>
        <sz val="9"/>
        <color theme="1"/>
        <rFont val="Cambria"/>
        <family val="1"/>
        <scheme val="major"/>
      </rPr>
      <t>5</t>
    </r>
  </si>
  <si>
    <t>Services purchased for clients</t>
  </si>
  <si>
    <r>
      <t>Medicaid &amp; FAMIS</t>
    </r>
    <r>
      <rPr>
        <vertAlign val="superscript"/>
        <sz val="9"/>
        <color theme="1"/>
        <rFont val="Cambria"/>
        <family val="1"/>
        <scheme val="major"/>
      </rPr>
      <t>6</t>
    </r>
  </si>
  <si>
    <t>(7) Medicaid, FAMIS, Comprehensive Services, SNAP, TANF/TANF UP, Energy Assistance and Child Care are coming from Section III - Statewide Benefit Payments of the LASER report. Refugee Assistance payments are made at Local Health Districts, not LDSS.</t>
  </si>
  <si>
    <r>
      <t>SNAP</t>
    </r>
    <r>
      <rPr>
        <vertAlign val="superscript"/>
        <sz val="9"/>
        <color theme="1"/>
        <rFont val="Cambria"/>
        <family val="1"/>
        <scheme val="major"/>
      </rPr>
      <t>7</t>
    </r>
  </si>
  <si>
    <r>
      <t>TANF</t>
    </r>
    <r>
      <rPr>
        <vertAlign val="superscript"/>
        <sz val="9"/>
        <color theme="1"/>
        <rFont val="Cambria"/>
        <family val="1"/>
        <scheme val="major"/>
      </rPr>
      <t>7</t>
    </r>
  </si>
  <si>
    <r>
      <t>Energy Assistance</t>
    </r>
    <r>
      <rPr>
        <vertAlign val="superscript"/>
        <sz val="9"/>
        <color theme="1"/>
        <rFont val="Cambria"/>
        <family val="1"/>
        <scheme val="major"/>
      </rPr>
      <t>7</t>
    </r>
  </si>
  <si>
    <t>Adult and Child Population by Locality by Race, 2014</t>
  </si>
  <si>
    <t>Population, 2014</t>
  </si>
  <si>
    <t>Live Births, Nonmarital Births, and Percentage of Births that are Non-Marital, by LDSS Locality and Race of Mother, Virginia, 2013</t>
  </si>
  <si>
    <t>Source: Virginia Department of Health, Division of Health Statistics, Resident live birth data.  "Other" race refers to residents who are Asian, Hawaiian/Pacific Islander, or American Indian/Alaskan Native. The statewide total includes two births where locality was not specified.</t>
  </si>
  <si>
    <t>Births (2013)</t>
  </si>
  <si>
    <t>Female Teen Population</t>
  </si>
  <si>
    <t>Teen Births and Birth Rates by Race by LDSS, Virginia, 2013</t>
  </si>
  <si>
    <t>Teen Birth Rates (per 1,000 population), by LDSS, Virginia, 1998-2013</t>
  </si>
  <si>
    <t>Female Teen (10-19 years) Population</t>
  </si>
  <si>
    <t>Civilian Labor Force 2014</t>
  </si>
  <si>
    <t>Unemployed 2014</t>
  </si>
  <si>
    <t>Annual Unemployment Rate by Locality, 2000-2014</t>
  </si>
  <si>
    <t>Number of SNAP Recipients by State Fiscal Year, 2005-2015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</si>
  <si>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t>
  </si>
  <si>
    <t>2014 vs 2015</t>
  </si>
  <si>
    <t>Number of TANF Recipients by State Fiscal Year, 2005-2015</t>
  </si>
  <si>
    <t>TANF SFY 2015</t>
  </si>
  <si>
    <t>Medicaid SFY 2015</t>
  </si>
  <si>
    <t>Number of Medicaid Clients by State Fiscal Year, 2009-2015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</si>
  <si>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 Locality and state counts exclude clients enrolled from state mental health hospitals.</t>
  </si>
  <si>
    <t>SNAP SFY 2015</t>
  </si>
  <si>
    <t>Residents who received benefits (SNAP, TANF or Medicaid) in SFY 2015</t>
  </si>
  <si>
    <t>Number of Benefit Program Clients* by State Fiscal Year, 2009-2015</t>
  </si>
  <si>
    <t>SFY 2015</t>
  </si>
  <si>
    <t>Source: VDSS, Client Cross-Program Reporting, Client Cross-Program Locality Yearly Analysis (client counts for Medicaid, SNAP, and TANF for 2009-2015; unduplicated client count for each year). * Unduplicated count of clients across any of the three benefit programs (SNAP, TANF, and Medicaid).  Locality and state counts exclude clients enrolled from state mental health hospitals.</t>
  </si>
  <si>
    <t>Number of SNAP Clients/Recipients by Gender, Age Group and Race, SFY 2015</t>
  </si>
  <si>
    <r>
      <rPr>
        <b/>
        <sz val="12"/>
        <color indexed="8"/>
        <rFont val="Calibri"/>
        <family val="2"/>
      </rPr>
      <t xml:space="preserve">Source: </t>
    </r>
    <r>
      <rPr>
        <sz val="12"/>
        <color indexed="8"/>
        <rFont val="Calibri"/>
        <family val="2"/>
      </rPr>
      <t>VDSS, ADAPT, Client Cross-Program Locality Yearly Analysis. Accessed from the Data Warehouse on 9/29/2015. "Other race" includes Asians, Hawaiians/Pacific Islanders, American Indians, and person who report "other". Persons with missing information on race were excluded.</t>
    </r>
  </si>
  <si>
    <t>EA FFY 2015</t>
  </si>
  <si>
    <t>Number of Energy Assistance Clients by Federal Fiscal Year, 2013-2015</t>
  </si>
  <si>
    <t>Child Care Subsidy Clients (Children) Served, SFY 2014-2015 (unduplicated count)</t>
  </si>
  <si>
    <t>Number of TANF Clients/Recipients by Gender, Age Group and Race/Ethnicity, SFY 2015</t>
  </si>
  <si>
    <t>Number of Medicaid and FAMIS Clients/Recipients by Gender, Age Group and Race/Ethnicity, SFY 2015</t>
  </si>
  <si>
    <r>
      <rPr>
        <b/>
        <sz val="12"/>
        <color indexed="8"/>
        <rFont val="Calibri"/>
        <family val="2"/>
      </rPr>
      <t xml:space="preserve">Source: </t>
    </r>
    <r>
      <rPr>
        <sz val="12"/>
        <color indexed="8"/>
        <rFont val="Calibri"/>
        <family val="2"/>
      </rPr>
      <t>VDSS, ADAPT, Client Cross-Program Locality Yearly Analysis. Accessed from the Data Warehouse on 9/29/2015. Excludes clients who were enrolled through state mental health hospitals.  "Other race" includes Asians, Hawaiians/Pacific Islanders, American Indians, and person who report "other". Persons with missing information on race were excluded.</t>
    </r>
  </si>
  <si>
    <t>Benefit Client Demographics (SFY 2015)</t>
  </si>
  <si>
    <t>Missing race</t>
  </si>
  <si>
    <t>Number of Benefit Program Clients/Recipients by Gender, Age Group and Race/Ethnicity, SFY 2015</t>
  </si>
  <si>
    <r>
      <rPr>
        <b/>
        <sz val="12"/>
        <color indexed="8"/>
        <rFont val="Calibri"/>
        <family val="2"/>
      </rPr>
      <t xml:space="preserve">Source: </t>
    </r>
    <r>
      <rPr>
        <sz val="12"/>
        <color indexed="8"/>
        <rFont val="Calibri"/>
        <family val="2"/>
      </rPr>
      <t xml:space="preserve">VDSS, ADAPT, Client Cross-Program Locality Yearly Analysis. Accessed from the Data Warehouse on 9/29/2015. "Benefit Program Clients" is an unduplicated count of clients who received SNAP, TANF, and/or Medicaid during the year. Excludes clients who were enrolled through state mental health hospitals. "Other race" includes Asians, Hawaiians/Pacific Islanders, American Indians, and person who report "other". </t>
    </r>
  </si>
  <si>
    <t>Local Department of Social Services Profile Report, SFY 2015</t>
  </si>
  <si>
    <t>Number of Households (Cases) Receiving Fuel, Cooling and Crisis Assistance, by Federal Fiscal Year (FFY) 2013-2015</t>
  </si>
  <si>
    <t>Number of SNAP Cases (Households) by State Fiscal Year, 2010-2015</t>
  </si>
  <si>
    <t>Source: VDSS, ADAPT Data Mart. Represent unduplicated case (household) counts in each state fiscal year overall for the state and for each locality.  Data obtained on 10/8/2015. For 2015, two cases were not linked to any local agency.</t>
  </si>
  <si>
    <t>Source: VDSS, ADAPT Data Mart. Represent unduplicated case (household) counts in each state fiscal year overall for the state and for each locality.  2015 had two cases that were not linked to any locality.</t>
  </si>
  <si>
    <t>Number of Filled and Unfilled Positions by Locality (as of 07/01/2015)</t>
  </si>
  <si>
    <t>49 voluntary positions are also excluded from the total counts.</t>
  </si>
  <si>
    <t>Social Services Staffing (as of 6/30/2015)</t>
  </si>
  <si>
    <t>Source: LETS, Position Reimbursement And Status Report for State (run on 7/1/2015). Refers to number of positions regardless of percent of time assigned. Invalid filled positions and voluntary positions are excluded. NER= Not eligible for reimbursement.</t>
  </si>
  <si>
    <r>
      <rPr>
        <b/>
        <sz val="12"/>
        <color indexed="8"/>
        <rFont val="Calibri"/>
        <family val="2"/>
      </rPr>
      <t>Source:</t>
    </r>
    <r>
      <rPr>
        <sz val="12"/>
        <color indexed="8"/>
        <rFont val="Calibri"/>
        <family val="2"/>
      </rPr>
      <t xml:space="preserve"> VDSS, Human Resources, Locality Employment Tracking System (LETS), Position Reimbursement and Status Report Summary (as of 6/30/2015).  Report run on 7/1/2015. Excludes one unfilled position that was missing classification.</t>
    </r>
  </si>
  <si>
    <t>Comprehensive Services, SFY 2015</t>
  </si>
  <si>
    <t>SNAP Benefit Spending, SFY 2015</t>
  </si>
  <si>
    <t>TANF/TANF-UP Benefit Spending, SFY 2015</t>
  </si>
  <si>
    <t>LIHEAP Benefit Spending, SFY 2015</t>
  </si>
  <si>
    <t>Child Care Benefit Spending, 2015</t>
  </si>
  <si>
    <r>
      <rPr>
        <vertAlign val="superscript"/>
        <sz val="8"/>
        <color theme="1"/>
        <rFont val="Cambria"/>
        <family val="1"/>
        <scheme val="major"/>
      </rPr>
      <t>1</t>
    </r>
    <r>
      <rPr>
        <sz val="8"/>
        <color theme="1"/>
        <rFont val="Cambria"/>
        <family val="1"/>
        <scheme val="major"/>
      </rPr>
      <t xml:space="preserve"> Source: Benefit Programs, ADAPT (Data Warehouse, Client Cross-Program Locality Yearly Analysis). Medicaid count excludes enrollees from state mental health hospitals.  </t>
    </r>
    <r>
      <rPr>
        <vertAlign val="superscript"/>
        <sz val="8"/>
        <color theme="1"/>
        <rFont val="Cambria"/>
        <family val="1"/>
        <scheme val="major"/>
      </rPr>
      <t>2</t>
    </r>
    <r>
      <rPr>
        <sz val="8"/>
        <color theme="1"/>
        <rFont val="Cambria"/>
        <family val="1"/>
        <scheme val="major"/>
      </rPr>
      <t xml:space="preserve"> Received SNAP, TANF and/or Medicaid during the year. </t>
    </r>
    <r>
      <rPr>
        <vertAlign val="superscript"/>
        <sz val="8"/>
        <color theme="1"/>
        <rFont val="Cambria"/>
        <family val="1"/>
        <scheme val="major"/>
      </rPr>
      <t>3</t>
    </r>
    <r>
      <rPr>
        <sz val="8"/>
        <color indexed="8"/>
        <rFont val="Cambria"/>
        <family val="1"/>
      </rPr>
      <t xml:space="preserve"> Source: VaCMS (not available for 2010-2013). Represent unduplicated clients.</t>
    </r>
  </si>
  <si>
    <t>Medicaid and FAMIS Benefit Spending, SFY 2015</t>
  </si>
  <si>
    <t>Foster Care and Adoption Spending, SFY 2015</t>
  </si>
  <si>
    <t>Other Benefits Spending, SFY 2015</t>
  </si>
  <si>
    <r>
      <rPr>
        <b/>
        <sz val="12"/>
        <color indexed="8"/>
        <rFont val="Calibri"/>
        <family val="2"/>
      </rPr>
      <t xml:space="preserve">Source: </t>
    </r>
    <r>
      <rPr>
        <sz val="12"/>
        <color indexed="8"/>
        <rFont val="Calibri"/>
        <family val="2"/>
      </rPr>
      <t>VDSS, Division of Finances, LASER reports. Combines BL 804, 808, 810, 813, 819, 848, and 867.</t>
    </r>
  </si>
  <si>
    <t>Expenditures for Client Services, SFY 2015</t>
  </si>
  <si>
    <t>Other Staffing and Operations Expenditures, SFY 2015</t>
  </si>
  <si>
    <r>
      <rPr>
        <b/>
        <sz val="12"/>
        <color indexed="8"/>
        <rFont val="Calibri"/>
        <family val="2"/>
      </rPr>
      <t xml:space="preserve">Source: </t>
    </r>
    <r>
      <rPr>
        <sz val="12"/>
        <color indexed="8"/>
        <rFont val="Calibri"/>
        <family val="2"/>
      </rPr>
      <t>VDSS, Division of Finances, LASER reports. Combines BL 000 and 843.</t>
    </r>
  </si>
  <si>
    <r>
      <rPr>
        <b/>
        <sz val="12"/>
        <color indexed="8"/>
        <rFont val="Calibri"/>
        <family val="2"/>
      </rPr>
      <t xml:space="preserve">Source: </t>
    </r>
    <r>
      <rPr>
        <sz val="12"/>
        <color indexed="8"/>
        <rFont val="Calibri"/>
        <family val="2"/>
      </rPr>
      <t>VDSS, Division of Finances, LASER reports.  Combines BL 850, 852, 855, and 858.</t>
    </r>
  </si>
  <si>
    <t>889_Total</t>
  </si>
  <si>
    <t>889_Fund 0077</t>
  </si>
  <si>
    <t>889_Fund 0033</t>
  </si>
  <si>
    <t>889_Local</t>
  </si>
  <si>
    <t>889_Fed</t>
  </si>
  <si>
    <t>889_State</t>
  </si>
  <si>
    <r>
      <rPr>
        <b/>
        <sz val="12"/>
        <color indexed="8"/>
        <rFont val="Calibri"/>
        <family val="2"/>
      </rPr>
      <t>Source:</t>
    </r>
    <r>
      <rPr>
        <sz val="12"/>
        <color indexed="8"/>
        <rFont val="Calibri"/>
        <family val="2"/>
      </rPr>
      <t xml:space="preserve"> VDSS, Division of Finances, LASER reports. Combines BL 217, 824, 825, 829, 833, 844, 861, 862, 864, 866, 871, 872, 873, 875, 878, 881, 883, 888, 889, 890, and 895.</t>
    </r>
  </si>
  <si>
    <r>
      <rPr>
        <b/>
        <sz val="10"/>
        <color indexed="8"/>
        <rFont val="Calibri"/>
        <family val="2"/>
      </rPr>
      <t>Source:</t>
    </r>
    <r>
      <rPr>
        <sz val="10"/>
        <color indexed="8"/>
        <rFont val="Calibri"/>
        <family val="2"/>
      </rPr>
      <t xml:space="preserve"> VDSS, Division of Finances, LASER reports. Combines BL 811, 812, 816, 817, and 820.</t>
    </r>
  </si>
  <si>
    <t>820_Local &amp; NER comb.</t>
  </si>
  <si>
    <t>820_NER</t>
  </si>
  <si>
    <t>820_Total</t>
  </si>
  <si>
    <t>820_Fund 0077</t>
  </si>
  <si>
    <t>820_Local</t>
  </si>
  <si>
    <t>820_Fund 0033</t>
  </si>
  <si>
    <t>820_Fed</t>
  </si>
  <si>
    <t>820_State</t>
  </si>
  <si>
    <t>Administrative Expenditures - Staffing, SFY 2015</t>
  </si>
  <si>
    <t>Social Services (SS) Spending,         SFY 2015</t>
  </si>
  <si>
    <t>Total amount spent on Social Services in the locality (SFY 2015)</t>
  </si>
  <si>
    <r>
      <t xml:space="preserve">Total amount spent on Social Services </t>
    </r>
    <r>
      <rPr>
        <b/>
        <i/>
        <sz val="9"/>
        <color theme="6" tint="-0.499984740745262"/>
        <rFont val="Cambria"/>
        <family val="1"/>
      </rPr>
      <t>contributed by the locality</t>
    </r>
    <r>
      <rPr>
        <b/>
        <sz val="9"/>
        <color theme="6" tint="-0.499984740745262"/>
        <rFont val="Cambria"/>
        <family val="1"/>
      </rPr>
      <t xml:space="preserve"> (SFY 2015)</t>
    </r>
  </si>
  <si>
    <r>
      <t xml:space="preserve">Total amount spent on Social Services </t>
    </r>
    <r>
      <rPr>
        <b/>
        <i/>
        <sz val="9"/>
        <color theme="6" tint="-0.499984740745262"/>
        <rFont val="Cambria"/>
        <family val="1"/>
      </rPr>
      <t>contributed by local funding</t>
    </r>
    <r>
      <rPr>
        <b/>
        <sz val="9"/>
        <color theme="6" tint="-0.499984740745262"/>
        <rFont val="Cambria"/>
        <family val="1"/>
      </rPr>
      <t xml:space="preserve"> (SFY 2015)</t>
    </r>
  </si>
  <si>
    <t>Total amount spent on Social Services (SFY 2015)</t>
  </si>
  <si>
    <t>(6) Medicaid and FAMIS are combined. The SLH program was not funded in SFY 2015. Local expenses are reported for Medicaid only.</t>
  </si>
  <si>
    <t>(3) Foster care and adoption: 811 (IV-E Foster Care), 812 (IV-E Adoption Assistance), 816 (International Home Studies), 817 (Special Needs Adoptions) and 820 (Adoption Incentives).</t>
  </si>
  <si>
    <t>(5) Other services purchased for clients: 217 (Guardianship Petitions), 824 (Other purchased services), 825 (Strengthening Families), 829 (Family Prevention, or SSBG), 833 (Adult Services), 844 (SNAPET Purchased Services), 861 (Independent Living Program - E&amp;T Vouchers), 862 (Independent Living Program - Basic Allocation), 864 (Respite Care for Foster Families), 866 (Family Preservation/Support - Purchased Services), 871 (TANF/VIEW -Working, Transportation and Child Care), 872 (VIEW), 873 (IV-E Foster/Adoptive Parent Training - enhanced rate), 875 (IV-E Foster/Adoptive Parent Training - admin rate), 878 (Head Start Transition to Work Child Care), 881 (Fee for Child Care - Matching), 883 (Fee for Child Care - 100% Federal), 888 (Non-VIEW Repayment of VACMS), 890 (Child Care Quality Initiative Program, 889 (VIEW Repayment of VaCMS), and 895 (Adult Protective Services).</t>
  </si>
  <si>
    <t>Percent of Population (All Ages) Living Below 100% Poverty, 2000-2014</t>
  </si>
  <si>
    <r>
      <rPr>
        <b/>
        <sz val="12"/>
        <color indexed="8"/>
        <rFont val="Calibri"/>
        <family val="2"/>
      </rPr>
      <t xml:space="preserve">Source: </t>
    </r>
    <r>
      <rPr>
        <sz val="12"/>
        <color indexed="8"/>
        <rFont val="Calibri"/>
        <family val="2"/>
      </rPr>
      <t>U.S. Census Bureau, 2013 Small Area Income and Poverty Estimates (SAIPE) Program. Source data is the American Community Survey, 2000-2014.</t>
    </r>
  </si>
  <si>
    <t>Percent of Children (0-17 Years) Living Below 100% Poverty, 2000-2014</t>
  </si>
  <si>
    <r>
      <rPr>
        <b/>
        <sz val="12"/>
        <color indexed="8"/>
        <rFont val="Calibri"/>
        <family val="2"/>
      </rPr>
      <t xml:space="preserve">Source: </t>
    </r>
    <r>
      <rPr>
        <sz val="12"/>
        <color indexed="8"/>
        <rFont val="Calibri"/>
        <family val="2"/>
      </rPr>
      <t>U.S. Census Bureau, 2013 Small Area Income and Poverty Estimates (SAIPE) Program. Source data is the American Community Survey.</t>
    </r>
  </si>
  <si>
    <t>Source: US Census Bureau, Small Area Income and Poverty Estimates (SAIPE). Estimates are for 2014.</t>
  </si>
  <si>
    <t>Estimated Number of People Living in Poverty and Poverty Rate by LDSS, Virginia, 2014 (Source: American Community Survey)</t>
  </si>
  <si>
    <t>Amer. Indian/-Alaskan Native</t>
  </si>
  <si>
    <t>Number of Children for which Adoption Subsidies were received, by Race &amp; Age of Child (as of 12/1/2015)</t>
  </si>
  <si>
    <r>
      <rPr>
        <b/>
        <sz val="12"/>
        <color indexed="8"/>
        <rFont val="Calibri"/>
        <family val="2"/>
      </rPr>
      <t xml:space="preserve">Source: </t>
    </r>
    <r>
      <rPr>
        <sz val="12"/>
        <color indexed="8"/>
        <rFont val="Calibri"/>
        <family val="2"/>
      </rPr>
      <t>VDSS, Division of Family Services, OASIS/VCWOR, "Adoption Subsidy Race/Age Count". Based on data as of 12/1/2015.</t>
    </r>
  </si>
  <si>
    <t xml:space="preserve">"Other" race includes Asians, American Indians, Hawaiians and Pacific Islanders, and multi-racial clients; excludes missing or unavailable race data. </t>
  </si>
  <si>
    <t>"Other Race"</t>
  </si>
  <si>
    <t xml:space="preserve">"Other" race includes Asians, American Indians, Hawaiians and Pacific Islanders, Hispanics, and multi-racial clients; excludes children whose race information is missing or unavailable. </t>
  </si>
  <si>
    <t>Number of Children Adopted in FFY 2015, by Race &amp; Age of Child</t>
  </si>
  <si>
    <t>"Other race"</t>
  </si>
  <si>
    <r>
      <rPr>
        <b/>
        <sz val="12"/>
        <color indexed="8"/>
        <rFont val="Calibri"/>
        <family val="2"/>
      </rPr>
      <t xml:space="preserve">Source: </t>
    </r>
    <r>
      <rPr>
        <sz val="12"/>
        <color indexed="8"/>
        <rFont val="Calibri"/>
        <family val="2"/>
      </rPr>
      <t>VDSS, Division of Family Services, OASIS/VCWOR, "Children Adopted During Year By Race/ Age Range at Adoption". For federal fiscal year 2015 (October 1, 2014 - September 30, 2015).</t>
    </r>
  </si>
  <si>
    <t>Children exited to adoption (FFY 2015)</t>
  </si>
  <si>
    <t>Number of Children in CPS Referrals by Race, SFY 2015</t>
  </si>
  <si>
    <t>Number of Children In Foster Care As Of End of Federal Fiscal Year (9/30/2015), by Race and Locality and By Age</t>
  </si>
  <si>
    <t xml:space="preserve"> Hawaiian-Pacific Islander</t>
  </si>
  <si>
    <r>
      <t xml:space="preserve">Source: </t>
    </r>
    <r>
      <rPr>
        <sz val="12"/>
        <color indexed="8"/>
        <rFont val="Calibri"/>
        <family val="2"/>
      </rPr>
      <t>VDSS, VCWOR,  OASIS Rolling Year Data, "Children in Care at the End of the Year by Race/Ethnicity" (in care as of September 30, 2015). "Other" includes children who are Asian, Hawaiian, other Pacific Islander, American Indian, Alaskan Native, Hispanic, and multiracial clients; excludes persons missing race/ethnicity.</t>
    </r>
  </si>
  <si>
    <t>Hispanic*</t>
  </si>
  <si>
    <t>Other**</t>
  </si>
  <si>
    <t>Adult Protective Services (APS)</t>
  </si>
  <si>
    <t>Adult subjects of APS Reports (2015)</t>
  </si>
  <si>
    <t>Child Welfare Clients</t>
  </si>
  <si>
    <t xml:space="preserve">Sources: Division of Family Services, VCWOR/OASIS. "Children in Foster Care" is a point-in-time count as of 9/30/2015.  "Children Exited to Adoption" is reported for the federal fiscal year, ending September 30. "Children Receiving Adoption Assistance": children receiving adoption services as of 12/1/2015. Clients with missing race are included in total counts. </t>
  </si>
  <si>
    <t>Under 4</t>
  </si>
  <si>
    <t>Under 1</t>
  </si>
  <si>
    <t>1 to 3</t>
  </si>
  <si>
    <t>4 to 7</t>
  </si>
  <si>
    <t>8 to 11</t>
  </si>
  <si>
    <t>12 to 15</t>
  </si>
  <si>
    <t>16 to 17</t>
  </si>
  <si>
    <t xml:space="preserve">Source: Division of Family Services, VCWOR/OASIS, "Children in CPS Referrals". Hispanic origin is not mutually exclusive from race; Hispanics are included in the subtotals. </t>
  </si>
  <si>
    <t>Children in CPS referrals (SFY 2015)</t>
  </si>
  <si>
    <t>18-60</t>
  </si>
  <si>
    <t>Number of Adult Protective Services Reports, SFY 2015</t>
  </si>
  <si>
    <t>Source: LASER, Statewide Summary. Local expenses and expenses not eligible for reimbursement (NER) are combined.</t>
  </si>
  <si>
    <t>Local &amp; NER (comb.)</t>
  </si>
  <si>
    <t>** Deviation Status: ND=Non-deviating; PD=Partial deviating; JW=Jurisdiction-wide</t>
  </si>
  <si>
    <r>
      <rPr>
        <vertAlign val="superscript"/>
        <sz val="8"/>
        <color indexed="8"/>
        <rFont val="Cambria"/>
        <family val="1"/>
      </rPr>
      <t>4</t>
    </r>
    <r>
      <rPr>
        <sz val="8"/>
        <color indexed="8"/>
        <rFont val="Cambria"/>
        <family val="1"/>
      </rPr>
      <t xml:space="preserve"> Refers to the local agency's board type (administrative vs. advisory);for advisory boards, administrative entity is also stated. Updated 2/19/2015.</t>
    </r>
  </si>
  <si>
    <r>
      <t>Sources: Benefit Programs, ADAPT (Data Warehouse, Client Cross-Program Locality Yearly Analysis)</t>
    </r>
    <r>
      <rPr>
        <sz val="8"/>
        <color indexed="8"/>
        <rFont val="Cambria"/>
        <family val="1"/>
      </rPr>
      <t xml:space="preserve">. </t>
    </r>
    <r>
      <rPr>
        <vertAlign val="superscript"/>
        <sz val="8"/>
        <color indexed="8"/>
        <rFont val="Cambria"/>
        <family val="1"/>
      </rPr>
      <t>1</t>
    </r>
    <r>
      <rPr>
        <sz val="8"/>
        <color indexed="8"/>
        <rFont val="Cambria"/>
        <family val="1"/>
      </rPr>
      <t xml:space="preserve"> Excludes enrollees from state mental health hospitals. </t>
    </r>
    <r>
      <rPr>
        <vertAlign val="superscript"/>
        <sz val="8"/>
        <color indexed="8"/>
        <rFont val="Cambria"/>
        <family val="1"/>
      </rPr>
      <t>2</t>
    </r>
    <r>
      <rPr>
        <sz val="8"/>
        <color indexed="8"/>
        <rFont val="Cambria"/>
        <family val="1"/>
      </rPr>
      <t xml:space="preserve"> Unduplicated number of clients who received SNAP, TANF, and/or Medicaid. "Other" race includes Asian, Hawaiian/Pacific Islander, American Indian/Alaskan Native, or multiracial clients. "NA" = Not available for reporting.</t>
    </r>
  </si>
  <si>
    <r>
      <rPr>
        <b/>
        <sz val="12"/>
        <color indexed="8"/>
        <rFont val="Calibri"/>
        <family val="2"/>
      </rPr>
      <t>Source:</t>
    </r>
    <r>
      <rPr>
        <sz val="12"/>
        <color indexed="8"/>
        <rFont val="Calibri"/>
        <family val="2"/>
      </rPr>
      <t xml:space="preserve"> ASAPS (Adult Services Adult Protectives Services) data system, "APS Report Statistical Count". "Other" race includes American Indian, Asian/Oriental, and Alaskan Native.  Racial counts do not include Hispanics.  Clients may have duplicate reports within age or race categories.</t>
    </r>
  </si>
  <si>
    <t>Source: Adult Services Adult Protective Services (ASAPS) system (data received Dec. 2015). * Excludes Hispanics and clients with missing race.</t>
  </si>
  <si>
    <t>Race*</t>
  </si>
  <si>
    <t>Total Reports</t>
  </si>
  <si>
    <t>Children In Single-Parent Homes, by LDSS, Virginia (ACS 2010-2014 5-Year Estimate)</t>
  </si>
  <si>
    <t>Source: U.S. Census Bureau, American Community Survey (2010-2014 5-Year Estimate)</t>
  </si>
  <si>
    <r>
      <t xml:space="preserve">Percent of Children living in a single-parent household (2010-2014) </t>
    </r>
    <r>
      <rPr>
        <sz val="9"/>
        <color theme="1"/>
        <rFont val="Cambria"/>
        <family val="1"/>
        <scheme val="major"/>
      </rPr>
      <t>(Source: U.S. Census Bureau, American Community Survey)</t>
    </r>
  </si>
  <si>
    <t>Local Board Type</t>
  </si>
  <si>
    <t>Local Policies Followed</t>
  </si>
  <si>
    <t>N/A</t>
  </si>
  <si>
    <t>CC, PE, LV, HD, IW, GV, PR, PA</t>
  </si>
  <si>
    <t>All</t>
  </si>
  <si>
    <t>IW</t>
  </si>
  <si>
    <t>HD</t>
  </si>
  <si>
    <t>County Director of Human Services</t>
  </si>
  <si>
    <t>PE, HD, IW, GV</t>
  </si>
  <si>
    <t>HD, IW</t>
  </si>
  <si>
    <t xml:space="preserve">ND </t>
  </si>
  <si>
    <t>IW, GV</t>
  </si>
  <si>
    <t>CC, PE, LV, HD, IW, AA, LO, PR</t>
  </si>
  <si>
    <t>GV</t>
  </si>
  <si>
    <t>Comp, PE, HD, IW</t>
  </si>
  <si>
    <t>LV, HD, IW, GV, LO, PA</t>
  </si>
  <si>
    <t>Comp</t>
  </si>
  <si>
    <t>HD, IW, GV</t>
  </si>
  <si>
    <t>City Administrator</t>
  </si>
  <si>
    <t>Comp only, PE, SC, LV, HD, IW, PA</t>
  </si>
  <si>
    <t>PE, SC, LV, HD, IW, GV, PR, LO, PA</t>
  </si>
  <si>
    <t>HD, IW, LO</t>
  </si>
  <si>
    <t>LV, HD, IW, AA, PA</t>
  </si>
  <si>
    <t xml:space="preserve">CC, LV, HD, IW, PR, LO, PA </t>
  </si>
  <si>
    <t>Board of Supervisors &amp; County Executive</t>
  </si>
  <si>
    <t>Deputy Chief Administrative Officer</t>
  </si>
  <si>
    <t>SC, LV</t>
  </si>
  <si>
    <t>CC, PE, SC, LV, IW, PR, PA</t>
  </si>
  <si>
    <t>Human Services Director</t>
  </si>
  <si>
    <t>PE, HD, IW</t>
  </si>
  <si>
    <t xml:space="preserve">Count           </t>
  </si>
  <si>
    <t>Level I:    33</t>
  </si>
  <si>
    <t>Level II:   59</t>
  </si>
  <si>
    <t>Level III:  28</t>
  </si>
  <si>
    <t xml:space="preserve">Count                                         </t>
  </si>
  <si>
    <t>Administrative Boards:  78</t>
  </si>
  <si>
    <t>Advisory Boards:  42</t>
  </si>
  <si>
    <t xml:space="preserve">Count                                                           </t>
  </si>
  <si>
    <t>ND: Non-Deviating:  34</t>
  </si>
  <si>
    <t>JW: Jurisdiction Wide Deviation:  26</t>
  </si>
  <si>
    <t>PD: Partial Deviating:  60</t>
  </si>
  <si>
    <t>Director Class/LDSS Level</t>
  </si>
  <si>
    <t>Code</t>
  </si>
  <si>
    <t>Local Human Resource Policy</t>
  </si>
  <si>
    <t xml:space="preserve">AA </t>
  </si>
  <si>
    <t xml:space="preserve"> Affirmative Action</t>
  </si>
  <si>
    <t xml:space="preserve">CC </t>
  </si>
  <si>
    <t xml:space="preserve"> Classification and Compensation</t>
  </si>
  <si>
    <t xml:space="preserve">GV </t>
  </si>
  <si>
    <t xml:space="preserve"> Grievance Procedure</t>
  </si>
  <si>
    <t xml:space="preserve">HD </t>
  </si>
  <si>
    <t xml:space="preserve"> Holiday Schedule/Policy</t>
  </si>
  <si>
    <t xml:space="preserve">IW </t>
  </si>
  <si>
    <t xml:space="preserve"> Inclement Weather</t>
  </si>
  <si>
    <t>LO</t>
  </si>
  <si>
    <t xml:space="preserve"> Layoff</t>
  </si>
  <si>
    <t xml:space="preserve">LV </t>
  </si>
  <si>
    <t xml:space="preserve"> Leave</t>
  </si>
  <si>
    <t xml:space="preserve">N/A </t>
  </si>
  <si>
    <t xml:space="preserve"> Not Applicable</t>
  </si>
  <si>
    <t xml:space="preserve">PA </t>
  </si>
  <si>
    <t xml:space="preserve"> Political Activity</t>
  </si>
  <si>
    <t xml:space="preserve">PE </t>
  </si>
  <si>
    <t xml:space="preserve"> Performance Evaluation</t>
  </si>
  <si>
    <t xml:space="preserve">PP </t>
  </si>
  <si>
    <t xml:space="preserve"> Probationary Period</t>
  </si>
  <si>
    <t xml:space="preserve">SC </t>
  </si>
  <si>
    <t xml:space="preserve"> Standards of Conduct</t>
  </si>
  <si>
    <t>2015 Devia-tion Status*</t>
  </si>
  <si>
    <t>Deviation Classification</t>
  </si>
  <si>
    <t>Local DSS Agency: Region, Local Director/LDSS Level Classification, Local Board Type, &amp; HR Policy/Practice Deviation</t>
  </si>
  <si>
    <t>Source: VDSS, Division of Human Resources. Updated 12/31/2015.</t>
  </si>
  <si>
    <t>Serves as Administrative Entity For Local DSS with Advisory Boards*</t>
  </si>
  <si>
    <r>
      <t xml:space="preserve">Source: </t>
    </r>
    <r>
      <rPr>
        <sz val="12"/>
        <color indexed="8"/>
        <rFont val="Calibri"/>
        <family val="2"/>
      </rPr>
      <t>VDSS, Division of Family Services,</t>
    </r>
    <r>
      <rPr>
        <b/>
        <sz val="12"/>
        <color indexed="8"/>
        <rFont val="Calibri"/>
        <family val="2"/>
      </rPr>
      <t xml:space="preserve"> </t>
    </r>
    <r>
      <rPr>
        <sz val="12"/>
        <color indexed="8"/>
        <rFont val="Calibri"/>
        <family val="2"/>
      </rPr>
      <t>VCWOR ("Child Demographics Annual Report -- All Referrals"), SFY 2015 (report period: 7/1/2014 to 6/30/2015)  Report run on 12/18/2015.   * Hispanic origin is not mutually exclusive from race; racial subgroups do not add up to total number of referred children. **"Other" refers to children who are Asian, Native Hawaiian/Other Pacific Islander, or American Indian/Alaskan Native.</t>
    </r>
  </si>
  <si>
    <t>Total Social Services Spending, SFY2015</t>
  </si>
  <si>
    <t>Child Protective Services (CPS)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</si>
</sst>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quot;$&quot;#,##0.00;\(&quot;$&quot;#,##0.00\)"/>
    <numFmt numFmtId="167" formatCode="&quot;$&quot;#,##0"/>
    <numFmt numFmtId="168" formatCode="#0"/>
    <numFmt numFmtId="169" formatCode="h\:mm\:ss\ AM/PM;@"/>
    <numFmt numFmtId="170" formatCode="mmm\ d\,\ yyyy;@"/>
    <numFmt numFmtId="171" formatCode="_(* #,##0_);_(* \(#,##0\);_(* &quot;-&quot;??_);_(@_)"/>
    <numFmt numFmtId="172" formatCode="_(* #,##0.0_);_(* \(#,##0.0\);_(* &quot;-&quot;??_);_(@_)"/>
    <numFmt numFmtId="173" formatCode="#_)"/>
    <numFmt numFmtId="174" formatCode="#,##0.0_);\(#,##0.0\)"/>
    <numFmt numFmtId="175" formatCode="#,##0_)"/>
    <numFmt numFmtId="176" formatCode="0_);\(0\)"/>
    <numFmt numFmtId="177" formatCode="_(&quot;$&quot;* #,##0_);_(&quot;$&quot;* \(#,##0\);_(&quot;$&quot;* &quot;-&quot;??_);_(@_)"/>
    <numFmt numFmtId="178" formatCode="&quot;$&quot;###.#"/>
    <numFmt numFmtId="179" formatCode="&quot;$&quot;#,##0;\(&quot;$&quot;#,##0\)"/>
    <numFmt numFmtId="180" formatCode="#.0_)"/>
  </numFmts>
  <fonts count="124" x14ac:knownFonts="1">
    <font>
      <sz val="12"/>
      <color theme="1"/>
      <name val="Times New Roman"/>
      <family val="2"/>
    </font>
    <font>
      <sz val="11"/>
      <color theme="1"/>
      <name val="Calibri"/>
      <family val="2"/>
      <scheme val="minor"/>
    </font>
    <font>
      <sz val="11"/>
      <color theme="1"/>
      <name val="Calibri"/>
      <family val="2"/>
      <scheme val="minor"/>
    </font>
    <font>
      <sz val="12"/>
      <color indexed="8"/>
      <name val="Times New Roman"/>
      <family val="1"/>
    </font>
    <font>
      <u/>
      <sz val="10"/>
      <color indexed="12"/>
      <name val="Arial"/>
      <family val="2"/>
    </font>
    <font>
      <sz val="12"/>
      <name val="Times New Roman"/>
      <family val="1"/>
    </font>
    <font>
      <sz val="10"/>
      <name val="Arial"/>
      <family val="2"/>
    </font>
    <font>
      <sz val="10"/>
      <name val="Times New Roman"/>
      <family val="1"/>
    </font>
    <font>
      <b/>
      <sz val="12"/>
      <color indexed="8"/>
      <name val="Times New Roman"/>
      <family val="1"/>
    </font>
    <font>
      <sz val="10"/>
      <color indexed="8"/>
      <name val="Arial"/>
      <family val="2"/>
    </font>
    <font>
      <sz val="10"/>
      <color indexed="8"/>
      <name val="Arial"/>
      <family val="2"/>
    </font>
    <font>
      <sz val="10"/>
      <color indexed="81"/>
      <name val="Tahoma"/>
      <family val="2"/>
    </font>
    <font>
      <b/>
      <sz val="10"/>
      <color indexed="81"/>
      <name val="Tahoma"/>
      <family val="2"/>
    </font>
    <font>
      <sz val="10"/>
      <color indexed="8"/>
      <name val="Arial"/>
      <family val="2"/>
    </font>
    <font>
      <sz val="12"/>
      <color indexed="8"/>
      <name val="Times New Roman"/>
      <family val="1"/>
    </font>
    <font>
      <b/>
      <sz val="10"/>
      <color indexed="8"/>
      <name val="Arial"/>
      <family val="2"/>
    </font>
    <font>
      <b/>
      <sz val="12"/>
      <color indexed="8"/>
      <name val="Arial"/>
      <family val="2"/>
    </font>
    <font>
      <sz val="10"/>
      <name val="Arial"/>
      <family val="2"/>
    </font>
    <font>
      <sz val="10"/>
      <color indexed="8"/>
      <name val="Arial"/>
      <family val="2"/>
    </font>
    <font>
      <b/>
      <vertAlign val="superscript"/>
      <sz val="9"/>
      <color indexed="8"/>
      <name val="Cambria"/>
      <family val="1"/>
    </font>
    <font>
      <sz val="8"/>
      <color indexed="8"/>
      <name val="Cambria"/>
      <family val="1"/>
    </font>
    <font>
      <vertAlign val="superscript"/>
      <sz val="8"/>
      <color indexed="8"/>
      <name val="Cambria"/>
      <family val="1"/>
    </font>
    <font>
      <sz val="10"/>
      <name val="Calibri"/>
      <family val="2"/>
    </font>
    <font>
      <u/>
      <sz val="10"/>
      <color indexed="12"/>
      <name val="Calibri"/>
      <family val="2"/>
    </font>
    <font>
      <b/>
      <sz val="10"/>
      <name val="Calibri"/>
      <family val="2"/>
    </font>
    <font>
      <b/>
      <sz val="12"/>
      <name val="Calibri"/>
      <family val="2"/>
    </font>
    <font>
      <sz val="12"/>
      <name val="Calibri"/>
      <family val="2"/>
    </font>
    <font>
      <b/>
      <sz val="12"/>
      <color indexed="8"/>
      <name val="Calibri"/>
      <family val="2"/>
    </font>
    <font>
      <sz val="12"/>
      <color indexed="8"/>
      <name val="Calibri"/>
      <family val="2"/>
    </font>
    <font>
      <vertAlign val="superscript"/>
      <sz val="9"/>
      <color indexed="8"/>
      <name val="Cambria"/>
      <family val="1"/>
    </font>
    <font>
      <sz val="10"/>
      <color indexed="8"/>
      <name val="Arial"/>
      <family val="2"/>
    </font>
    <font>
      <b/>
      <sz val="10"/>
      <name val="Arial"/>
      <family val="2"/>
    </font>
    <font>
      <sz val="12"/>
      <color indexed="8"/>
      <name val="Calibri"/>
      <family val="2"/>
    </font>
    <font>
      <u/>
      <sz val="12"/>
      <color indexed="12"/>
      <name val="Calibri"/>
      <family val="2"/>
    </font>
    <font>
      <sz val="12"/>
      <name val="Courier New"/>
      <family val="3"/>
    </font>
    <font>
      <sz val="12"/>
      <color indexed="8"/>
      <name val="Arial"/>
      <family val="2"/>
    </font>
    <font>
      <b/>
      <sz val="12"/>
      <color indexed="8"/>
      <name val="Calibri"/>
      <family val="2"/>
    </font>
    <font>
      <b/>
      <vertAlign val="superscript"/>
      <sz val="12"/>
      <color indexed="8"/>
      <name val="Calibri"/>
      <family val="2"/>
    </font>
    <font>
      <vertAlign val="superscript"/>
      <sz val="12"/>
      <name val="Calibri"/>
      <family val="2"/>
    </font>
    <font>
      <sz val="12"/>
      <color indexed="10"/>
      <name val="Calibri"/>
      <family val="2"/>
    </font>
    <font>
      <b/>
      <sz val="10"/>
      <color indexed="8"/>
      <name val="Calibri"/>
      <family val="2"/>
    </font>
    <font>
      <sz val="10"/>
      <color indexed="8"/>
      <name val="Calibri"/>
      <family val="2"/>
    </font>
    <font>
      <sz val="10"/>
      <color indexed="64"/>
      <name val="Arial"/>
      <family val="2"/>
    </font>
    <font>
      <b/>
      <sz val="10"/>
      <color indexed="64"/>
      <name val="Arial"/>
      <family val="2"/>
    </font>
    <font>
      <sz val="12"/>
      <color theme="1"/>
      <name val="Times New Roman"/>
      <family val="2"/>
    </font>
    <font>
      <sz val="10"/>
      <color theme="1"/>
      <name val="Tahoma"/>
      <family val="2"/>
    </font>
    <font>
      <u/>
      <sz val="12"/>
      <color theme="10"/>
      <name val="Times New Roman"/>
      <family val="2"/>
    </font>
    <font>
      <sz val="11"/>
      <color theme="1"/>
      <name val="Calibri"/>
      <family val="2"/>
      <scheme val="minor"/>
    </font>
    <font>
      <u/>
      <sz val="8"/>
      <color rgb="FF000000"/>
      <name val="Tahoma"/>
      <family val="2"/>
    </font>
    <font>
      <sz val="8"/>
      <color rgb="FF000000"/>
      <name val="Tahoma"/>
      <family val="2"/>
    </font>
    <font>
      <sz val="10"/>
      <color rgb="FF000000"/>
      <name val="Tahoma"/>
      <family val="2"/>
    </font>
    <font>
      <sz val="10"/>
      <color theme="1"/>
      <name val="Arial"/>
      <family val="2"/>
    </font>
    <font>
      <b/>
      <sz val="12"/>
      <color rgb="FFFF0000"/>
      <name val="Times New Roman"/>
      <family val="1"/>
    </font>
    <font>
      <b/>
      <sz val="8"/>
      <color rgb="FF000000"/>
      <name val="Tahoma"/>
      <family val="2"/>
    </font>
    <font>
      <b/>
      <sz val="12"/>
      <color theme="1"/>
      <name val="Calibri"/>
      <family val="2"/>
      <scheme val="minor"/>
    </font>
    <font>
      <b/>
      <sz val="10"/>
      <color theme="1"/>
      <name val="Calibri"/>
      <family val="2"/>
      <scheme val="minor"/>
    </font>
    <font>
      <sz val="9"/>
      <color theme="1"/>
      <name val="Cambria"/>
      <family val="1"/>
      <scheme val="major"/>
    </font>
    <font>
      <b/>
      <sz val="9"/>
      <color theme="1"/>
      <name val="Cambria"/>
      <family val="1"/>
      <scheme val="major"/>
    </font>
    <font>
      <b/>
      <sz val="9"/>
      <color rgb="FFFF0000"/>
      <name val="Cambria"/>
      <family val="1"/>
      <scheme val="major"/>
    </font>
    <font>
      <sz val="8"/>
      <color theme="1"/>
      <name val="Cambria"/>
      <family val="1"/>
      <scheme val="major"/>
    </font>
    <font>
      <sz val="10"/>
      <color theme="1"/>
      <name val="Times New Roman"/>
      <family val="2"/>
    </font>
    <font>
      <b/>
      <sz val="10"/>
      <color theme="1"/>
      <name val="Calibri"/>
      <family val="2"/>
    </font>
    <font>
      <sz val="10"/>
      <color theme="1"/>
      <name val="Calibri"/>
      <family val="2"/>
    </font>
    <font>
      <sz val="12"/>
      <color theme="1"/>
      <name val="Calibri"/>
      <family val="2"/>
    </font>
    <font>
      <b/>
      <sz val="10"/>
      <color theme="1"/>
      <name val="Cambria"/>
      <family val="1"/>
      <scheme val="major"/>
    </font>
    <font>
      <sz val="10"/>
      <color theme="1"/>
      <name val="Cambria"/>
      <family val="1"/>
      <scheme val="major"/>
    </font>
    <font>
      <u/>
      <sz val="10"/>
      <color indexed="12"/>
      <name val="Calibri"/>
      <family val="2"/>
      <scheme val="minor"/>
    </font>
    <font>
      <b/>
      <sz val="12"/>
      <color theme="1"/>
      <name val="Cambria"/>
      <family val="1"/>
      <scheme val="major"/>
    </font>
    <font>
      <b/>
      <sz val="12"/>
      <color theme="1"/>
      <name val="Calibri"/>
      <family val="2"/>
    </font>
    <font>
      <b/>
      <sz val="12"/>
      <name val="Calibri"/>
      <family val="2"/>
      <scheme val="minor"/>
    </font>
    <font>
      <sz val="10"/>
      <name val="Calibri"/>
      <family val="2"/>
      <scheme val="minor"/>
    </font>
    <font>
      <b/>
      <sz val="12"/>
      <color indexed="8"/>
      <name val="Calibri"/>
      <family val="2"/>
      <scheme val="minor"/>
    </font>
    <font>
      <sz val="12"/>
      <color indexed="8"/>
      <name val="Calibri"/>
      <family val="2"/>
      <scheme val="minor"/>
    </font>
    <font>
      <sz val="10"/>
      <color theme="1"/>
      <name val="Calibri"/>
      <family val="2"/>
      <scheme val="minor"/>
    </font>
    <font>
      <u/>
      <sz val="9"/>
      <color theme="1"/>
      <name val="Cambria"/>
      <family val="1"/>
      <scheme val="major"/>
    </font>
    <font>
      <sz val="12"/>
      <color theme="1"/>
      <name val="Calibri"/>
      <family val="2"/>
      <scheme val="minor"/>
    </font>
    <font>
      <i/>
      <sz val="9"/>
      <color theme="1"/>
      <name val="Cambria"/>
      <family val="1"/>
      <scheme val="major"/>
    </font>
    <font>
      <b/>
      <sz val="16"/>
      <color theme="6" tint="-0.249977111117893"/>
      <name val="Cambria"/>
      <family val="1"/>
      <scheme val="major"/>
    </font>
    <font>
      <b/>
      <sz val="10"/>
      <color theme="1"/>
      <name val="Times New Roman"/>
      <family val="1"/>
    </font>
    <font>
      <i/>
      <sz val="8"/>
      <color theme="1"/>
      <name val="Cambria"/>
      <family val="1"/>
      <scheme val="major"/>
    </font>
    <font>
      <b/>
      <sz val="9"/>
      <color theme="6" tint="-0.499984740745262"/>
      <name val="Cambria"/>
      <family val="1"/>
      <scheme val="major"/>
    </font>
    <font>
      <sz val="12"/>
      <name val="Calibri"/>
      <family val="2"/>
      <scheme val="minor"/>
    </font>
    <font>
      <u/>
      <sz val="12"/>
      <color indexed="12"/>
      <name val="Calibri"/>
      <family val="2"/>
      <scheme val="minor"/>
    </font>
    <font>
      <b/>
      <sz val="12"/>
      <color rgb="FF000000"/>
      <name val="Calibri"/>
      <family val="2"/>
      <scheme val="minor"/>
    </font>
    <font>
      <sz val="12"/>
      <color rgb="FF000000"/>
      <name val="Calibri"/>
      <family val="2"/>
      <scheme val="minor"/>
    </font>
    <font>
      <b/>
      <sz val="10"/>
      <color theme="1"/>
      <name val="Arial"/>
      <family val="2"/>
    </font>
    <font>
      <sz val="10"/>
      <color indexed="8"/>
      <name val="Calibri"/>
      <family val="2"/>
      <scheme val="minor"/>
    </font>
    <font>
      <b/>
      <sz val="10"/>
      <color indexed="8"/>
      <name val="Calibri"/>
      <family val="2"/>
      <scheme val="minor"/>
    </font>
    <font>
      <sz val="11"/>
      <color indexed="8"/>
      <name val="Calibri"/>
      <family val="2"/>
      <scheme val="minor"/>
    </font>
    <font>
      <b/>
      <sz val="11"/>
      <color indexed="8"/>
      <name val="Calibri"/>
      <family val="2"/>
      <scheme val="minor"/>
    </font>
    <font>
      <b/>
      <sz val="11"/>
      <color theme="1"/>
      <name val="Calibri"/>
      <family val="2"/>
      <scheme val="minor"/>
    </font>
    <font>
      <b/>
      <sz val="11"/>
      <color indexed="64"/>
      <name val="Calibri"/>
      <family val="2"/>
      <scheme val="minor"/>
    </font>
    <font>
      <sz val="11"/>
      <color indexed="64"/>
      <name val="Calibri"/>
      <family val="2"/>
      <scheme val="minor"/>
    </font>
    <font>
      <b/>
      <sz val="9"/>
      <color theme="0"/>
      <name val="Cambria"/>
      <family val="1"/>
      <scheme val="major"/>
    </font>
    <font>
      <b/>
      <sz val="10"/>
      <name val="Cambria"/>
      <family val="1"/>
      <scheme val="major"/>
    </font>
    <font>
      <i/>
      <sz val="10"/>
      <color theme="1"/>
      <name val="Cambria"/>
      <family val="1"/>
      <scheme val="major"/>
    </font>
    <font>
      <b/>
      <sz val="14"/>
      <color theme="8" tint="-0.499984740745262"/>
      <name val="Cambria"/>
      <family val="1"/>
      <scheme val="major"/>
    </font>
    <font>
      <b/>
      <sz val="12"/>
      <color theme="8" tint="-0.499984740745262"/>
      <name val="Cambria"/>
      <family val="1"/>
      <scheme val="major"/>
    </font>
    <font>
      <b/>
      <sz val="10"/>
      <color theme="0"/>
      <name val="Cambria"/>
      <family val="1"/>
      <scheme val="major"/>
    </font>
    <font>
      <b/>
      <sz val="9"/>
      <name val="Cambria"/>
      <family val="1"/>
      <scheme val="major"/>
    </font>
    <font>
      <b/>
      <vertAlign val="superscript"/>
      <sz val="9"/>
      <color theme="1"/>
      <name val="Cambria"/>
      <family val="1"/>
      <scheme val="major"/>
    </font>
    <font>
      <vertAlign val="superscript"/>
      <sz val="8"/>
      <color theme="1"/>
      <name val="Cambria"/>
      <family val="1"/>
      <scheme val="major"/>
    </font>
    <font>
      <b/>
      <sz val="14"/>
      <color theme="7" tint="-0.249977111117893"/>
      <name val="Cambria"/>
      <family val="1"/>
      <scheme val="major"/>
    </font>
    <font>
      <b/>
      <sz val="12"/>
      <color theme="2"/>
      <name val="Cambria"/>
      <family val="1"/>
      <scheme val="major"/>
    </font>
    <font>
      <vertAlign val="superscript"/>
      <sz val="9"/>
      <color theme="1"/>
      <name val="Cambria"/>
      <family val="1"/>
      <scheme val="major"/>
    </font>
    <font>
      <sz val="9"/>
      <color theme="0"/>
      <name val="Cambria"/>
      <family val="1"/>
      <scheme val="major"/>
    </font>
    <font>
      <b/>
      <sz val="9"/>
      <color theme="1"/>
      <name val="Calibri"/>
      <family val="2"/>
      <scheme val="minor"/>
    </font>
    <font>
      <sz val="9"/>
      <color theme="1"/>
      <name val="Calibri"/>
      <family val="2"/>
      <scheme val="minor"/>
    </font>
    <font>
      <sz val="8"/>
      <color theme="1"/>
      <name val="Calibri"/>
      <family val="2"/>
      <scheme val="minor"/>
    </font>
    <font>
      <b/>
      <sz val="10"/>
      <color theme="0"/>
      <name val="Calibri"/>
      <family val="2"/>
      <scheme val="minor"/>
    </font>
    <font>
      <sz val="12"/>
      <color theme="1"/>
      <name val="Cambria"/>
      <family val="1"/>
      <scheme val="major"/>
    </font>
    <font>
      <b/>
      <vertAlign val="superscript"/>
      <sz val="9"/>
      <name val="Cambria"/>
      <family val="1"/>
      <scheme val="major"/>
    </font>
    <font>
      <b/>
      <i/>
      <sz val="9"/>
      <color theme="6" tint="-0.499984740745262"/>
      <name val="Cambria"/>
      <family val="1"/>
    </font>
    <font>
      <b/>
      <sz val="9"/>
      <color theme="6" tint="-0.499984740745262"/>
      <name val="Cambria"/>
      <family val="1"/>
    </font>
    <font>
      <b/>
      <sz val="10"/>
      <name val="Calibri"/>
      <family val="2"/>
      <scheme val="minor"/>
    </font>
    <font>
      <u/>
      <sz val="10"/>
      <color theme="10"/>
      <name val="Calibri"/>
      <family val="2"/>
    </font>
    <font>
      <b/>
      <sz val="12"/>
      <color theme="1"/>
      <name val="Times New Roman"/>
      <family val="2"/>
    </font>
    <font>
      <b/>
      <sz val="16"/>
      <color theme="1"/>
      <name val="Cambria"/>
      <family val="1"/>
      <scheme val="major"/>
    </font>
    <font>
      <b/>
      <sz val="8"/>
      <color theme="1"/>
      <name val="Cambria"/>
      <family val="1"/>
      <scheme val="major"/>
    </font>
    <font>
      <b/>
      <sz val="8"/>
      <color rgb="FFFF0000"/>
      <name val="Cambria"/>
      <family val="1"/>
      <scheme val="major"/>
    </font>
    <font>
      <sz val="8.5"/>
      <color theme="1"/>
      <name val="Cambria"/>
      <family val="1"/>
      <scheme val="major"/>
    </font>
    <font>
      <sz val="11"/>
      <color theme="1"/>
      <name val="Calibri"/>
      <family val="2"/>
    </font>
    <font>
      <sz val="11"/>
      <color indexed="8"/>
      <name val="Calibri"/>
      <family val="2"/>
    </font>
    <font>
      <sz val="11"/>
      <color theme="1"/>
      <name val="Times New Roman"/>
      <family val="2"/>
    </font>
  </fonts>
  <fills count="32">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rgb="FFDFDFDF"/>
        <bgColor indexed="64"/>
      </patternFill>
    </fill>
    <fill>
      <patternFill patternType="solid">
        <fgColor rgb="FFBFD2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DFDFDF"/>
      </patternFill>
    </fill>
    <fill>
      <patternFill patternType="solid">
        <fgColor rgb="FFFFFF00"/>
        <bgColor indexed="64"/>
      </patternFill>
    </fill>
    <fill>
      <patternFill patternType="solid">
        <fgColor theme="4" tint="0.79998168889431442"/>
        <bgColor indexed="0"/>
      </patternFill>
    </fill>
    <fill>
      <patternFill patternType="solid">
        <fgColor theme="4" tint="0.59996337778862885"/>
        <bgColor indexed="64"/>
      </patternFill>
    </fill>
    <fill>
      <patternFill patternType="solid">
        <fgColor rgb="FFFFC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7" tint="-0.24994659260841701"/>
        <bgColor indexed="64"/>
      </patternFill>
    </fill>
    <fill>
      <patternFill patternType="solid">
        <fgColor theme="3" tint="0.59999389629810485"/>
        <bgColor indexed="64"/>
      </patternFill>
    </fill>
  </fills>
  <borders count="25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22"/>
      </right>
      <top style="thin">
        <color indexed="22"/>
      </top>
      <bottom style="thin">
        <color indexed="22"/>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22"/>
      </top>
      <bottom style="thin">
        <color indexed="2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right/>
      <top style="thin">
        <color indexed="64"/>
      </top>
      <bottom/>
      <diagonal/>
    </border>
    <border>
      <left style="thin">
        <color indexed="64"/>
      </left>
      <right/>
      <top style="thin">
        <color indexed="64"/>
      </top>
      <bottom/>
      <diagonal/>
    </border>
    <border>
      <left style="dashed">
        <color indexed="64"/>
      </left>
      <right/>
      <top style="thin">
        <color indexed="64"/>
      </top>
      <bottom style="thin">
        <color indexed="64"/>
      </bottom>
      <diagonal/>
    </border>
    <border>
      <left style="thin">
        <color indexed="22"/>
      </left>
      <right/>
      <top/>
      <bottom/>
      <diagonal/>
    </border>
    <border>
      <left style="dashed">
        <color indexed="64"/>
      </left>
      <right/>
      <top/>
      <bottom/>
      <diagonal/>
    </border>
    <border>
      <left style="dashed">
        <color indexed="64"/>
      </left>
      <right/>
      <top style="thin">
        <color indexed="64"/>
      </top>
      <bottom/>
      <diagonal/>
    </border>
    <border>
      <left style="thin">
        <color indexed="64"/>
      </left>
      <right style="dashed">
        <color indexed="64"/>
      </right>
      <top style="thin">
        <color indexed="64"/>
      </top>
      <bottom style="thin">
        <color indexed="8"/>
      </bottom>
      <diagonal/>
    </border>
    <border>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dashed">
        <color indexed="64"/>
      </right>
      <top/>
      <bottom style="thin">
        <color indexed="8"/>
      </bottom>
      <diagonal/>
    </border>
    <border>
      <left style="dashed">
        <color indexed="64"/>
      </left>
      <right style="dashed">
        <color indexed="64"/>
      </right>
      <top/>
      <bottom style="thin">
        <color indexed="8"/>
      </bottom>
      <diagonal/>
    </border>
    <border>
      <left/>
      <right style="dashed">
        <color indexed="64"/>
      </right>
      <top/>
      <bottom/>
      <diagonal/>
    </border>
    <border>
      <left style="thin">
        <color indexed="64"/>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right style="dashed">
        <color indexed="64"/>
      </right>
      <top style="thin">
        <color indexed="22"/>
      </top>
      <bottom style="thin">
        <color indexed="22"/>
      </bottom>
      <diagonal/>
    </border>
    <border>
      <left/>
      <right style="dashed">
        <color indexed="64"/>
      </right>
      <top/>
      <bottom style="thin">
        <color indexed="64"/>
      </bottom>
      <diagonal/>
    </border>
    <border>
      <left style="dashed">
        <color indexed="8"/>
      </left>
      <right style="dashed">
        <color indexed="8"/>
      </right>
      <top style="thin">
        <color indexed="8"/>
      </top>
      <bottom style="thin">
        <color indexed="8"/>
      </bottom>
      <diagonal/>
    </border>
    <border>
      <left style="dashed">
        <color indexed="8"/>
      </left>
      <right/>
      <top style="thin">
        <color indexed="8"/>
      </top>
      <bottom style="thin">
        <color indexed="8"/>
      </bottom>
      <diagonal/>
    </border>
    <border>
      <left style="dashed">
        <color indexed="8"/>
      </left>
      <right style="dashed">
        <color indexed="8"/>
      </right>
      <top style="thin">
        <color indexed="22"/>
      </top>
      <bottom style="thin">
        <color indexed="22"/>
      </bottom>
      <diagonal/>
    </border>
    <border>
      <left style="dashed">
        <color indexed="8"/>
      </left>
      <right/>
      <top/>
      <bottom/>
      <diagonal/>
    </border>
    <border>
      <left style="dashed">
        <color indexed="8"/>
      </left>
      <right/>
      <top style="thin">
        <color indexed="22"/>
      </top>
      <bottom style="thin">
        <color indexed="22"/>
      </bottom>
      <diagonal/>
    </border>
    <border>
      <left style="dashed">
        <color indexed="8"/>
      </left>
      <right style="dashed">
        <color indexed="8"/>
      </right>
      <top style="thin">
        <color indexed="22"/>
      </top>
      <bottom/>
      <diagonal/>
    </border>
    <border>
      <left style="dashed">
        <color indexed="8"/>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top style="thin">
        <color indexed="22"/>
      </top>
      <bottom/>
      <diagonal/>
    </border>
    <border>
      <left/>
      <right style="thin">
        <color indexed="64"/>
      </right>
      <top style="thin">
        <color indexed="64"/>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right style="dashed">
        <color indexed="8"/>
      </right>
      <top style="thin">
        <color indexed="22"/>
      </top>
      <bottom style="thin">
        <color indexed="22"/>
      </bottom>
      <diagonal/>
    </border>
    <border>
      <left style="thin">
        <color indexed="8"/>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right style="dashed">
        <color indexed="64"/>
      </right>
      <top style="thin">
        <color indexed="64"/>
      </top>
      <bottom style="thin">
        <color indexed="64"/>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dashed">
        <color indexed="8"/>
      </left>
      <right style="thin">
        <color indexed="8"/>
      </right>
      <top/>
      <bottom style="thin">
        <color indexed="22"/>
      </bottom>
      <diagonal/>
    </border>
    <border>
      <left/>
      <right style="thin">
        <color indexed="8"/>
      </right>
      <top/>
      <bottom/>
      <diagonal/>
    </border>
    <border>
      <left style="thin">
        <color indexed="22"/>
      </left>
      <right style="thin">
        <color indexed="22"/>
      </right>
      <top style="thin">
        <color indexed="8"/>
      </top>
      <bottom style="thin">
        <color indexed="8"/>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8"/>
      </top>
      <bottom/>
      <diagonal/>
    </border>
    <border>
      <left style="thin">
        <color indexed="8"/>
      </left>
      <right style="thin">
        <color indexed="8"/>
      </right>
      <top/>
      <bottom style="thin">
        <color indexed="22"/>
      </bottom>
      <diagonal/>
    </border>
    <border>
      <left style="thin">
        <color indexed="8"/>
      </left>
      <right style="dashed">
        <color indexed="8"/>
      </right>
      <top style="thin">
        <color indexed="22"/>
      </top>
      <bottom/>
      <diagonal/>
    </border>
    <border>
      <left/>
      <right/>
      <top/>
      <bottom style="thin">
        <color indexed="22"/>
      </bottom>
      <diagonal/>
    </border>
    <border>
      <left style="thin">
        <color indexed="8"/>
      </left>
      <right/>
      <top style="thin">
        <color indexed="8"/>
      </top>
      <bottom/>
      <diagonal/>
    </border>
    <border>
      <left style="thin">
        <color indexed="8"/>
      </left>
      <right/>
      <top style="thin">
        <color indexed="64"/>
      </top>
      <bottom style="thin">
        <color indexed="64"/>
      </bottom>
      <diagonal/>
    </border>
    <border>
      <left style="thin">
        <color indexed="8"/>
      </left>
      <right/>
      <top/>
      <bottom style="thin">
        <color indexed="64"/>
      </bottom>
      <diagonal/>
    </border>
    <border>
      <left style="dashed">
        <color indexed="64"/>
      </left>
      <right/>
      <top/>
      <bottom style="thin">
        <color indexed="64"/>
      </bottom>
      <diagonal/>
    </border>
    <border>
      <left style="dashed">
        <color indexed="8"/>
      </left>
      <right style="dashed">
        <color indexed="8"/>
      </right>
      <top style="dashed">
        <color indexed="8"/>
      </top>
      <bottom style="thin">
        <color indexed="8"/>
      </bottom>
      <diagonal/>
    </border>
    <border>
      <left style="dashed">
        <color indexed="8"/>
      </left>
      <right style="dashed">
        <color indexed="8"/>
      </right>
      <top style="dashed">
        <color indexed="8"/>
      </top>
      <bottom/>
      <diagonal/>
    </border>
    <border>
      <left style="dashed">
        <color indexed="8"/>
      </left>
      <right style="dashed">
        <color indexed="8"/>
      </right>
      <top style="thin">
        <color indexed="8"/>
      </top>
      <bottom/>
      <diagonal/>
    </border>
    <border>
      <left style="dashed">
        <color indexed="8"/>
      </left>
      <right style="dashed">
        <color indexed="8"/>
      </right>
      <top/>
      <bottom style="thin">
        <color indexed="64"/>
      </bottom>
      <diagonal/>
    </border>
    <border>
      <left style="dashed">
        <color indexed="8"/>
      </left>
      <right/>
      <top style="thin">
        <color indexed="8"/>
      </top>
      <bottom style="thin">
        <color indexed="22"/>
      </bottom>
      <diagonal/>
    </border>
    <border>
      <left style="dashed">
        <color indexed="8"/>
      </left>
      <right style="thin">
        <color indexed="8"/>
      </right>
      <top style="thin">
        <color indexed="8"/>
      </top>
      <bottom/>
      <diagonal/>
    </border>
    <border>
      <left style="thin">
        <color indexed="22"/>
      </left>
      <right style="thin">
        <color indexed="8"/>
      </right>
      <top/>
      <bottom style="thin">
        <color indexed="22"/>
      </bottom>
      <diagonal/>
    </border>
    <border>
      <left style="thin">
        <color indexed="8"/>
      </left>
      <right style="dashed">
        <color indexed="8"/>
      </right>
      <top style="thin">
        <color indexed="8"/>
      </top>
      <bottom/>
      <diagonal/>
    </border>
    <border>
      <left style="dashed">
        <color indexed="8"/>
      </left>
      <right/>
      <top style="thin">
        <color indexed="8"/>
      </top>
      <bottom/>
      <diagonal/>
    </border>
    <border>
      <left style="thin">
        <color indexed="22"/>
      </left>
      <right/>
      <top style="thin">
        <color indexed="8"/>
      </top>
      <bottom style="thin">
        <color indexed="8"/>
      </bottom>
      <diagonal/>
    </border>
    <border>
      <left style="thin">
        <color indexed="22"/>
      </left>
      <right style="thin">
        <color indexed="22"/>
      </right>
      <top/>
      <bottom/>
      <diagonal/>
    </border>
    <border>
      <left/>
      <right style="dashed">
        <color indexed="8"/>
      </right>
      <top/>
      <bottom/>
      <diagonal/>
    </border>
    <border>
      <left/>
      <right/>
      <top/>
      <bottom style="dashDot">
        <color indexed="64"/>
      </bottom>
      <diagonal/>
    </border>
    <border>
      <left/>
      <right/>
      <top style="dashDot">
        <color indexed="64"/>
      </top>
      <bottom/>
      <diagonal/>
    </border>
    <border>
      <left/>
      <right/>
      <top/>
      <bottom style="dashDotDot">
        <color indexed="64"/>
      </bottom>
      <diagonal/>
    </border>
    <border>
      <left style="thin">
        <color rgb="FFA2C4E0"/>
      </left>
      <right style="thin">
        <color rgb="FFA2C4E0"/>
      </right>
      <top style="thin">
        <color rgb="FFA2C4E0"/>
      </top>
      <bottom style="thin">
        <color rgb="FFA2C4E0"/>
      </bottom>
      <diagonal/>
    </border>
    <border>
      <left/>
      <right style="thin">
        <color rgb="FF93B1CD"/>
      </right>
      <top style="thin">
        <color rgb="FFCFCFCF"/>
      </top>
      <bottom style="thin">
        <color rgb="FF93B1CD"/>
      </bottom>
      <diagonal/>
    </border>
    <border>
      <left style="thin">
        <color rgb="FF93B1CD"/>
      </left>
      <right style="thin">
        <color rgb="FF93B1CD"/>
      </right>
      <top style="thin">
        <color rgb="FF93B1CD"/>
      </top>
      <bottom style="thin">
        <color rgb="FF93B1CD"/>
      </bottom>
      <diagonal/>
    </border>
    <border>
      <left/>
      <right style="thin">
        <color rgb="FF93B1CD"/>
      </right>
      <top style="thin">
        <color rgb="FF93B1CD"/>
      </top>
      <bottom style="thin">
        <color rgb="FF93B1CD"/>
      </bottom>
      <diagonal/>
    </border>
    <border>
      <left style="thin">
        <color theme="1"/>
      </left>
      <right style="dashed">
        <color theme="1"/>
      </right>
      <top/>
      <bottom/>
      <diagonal/>
    </border>
    <border>
      <left style="dashed">
        <color theme="1"/>
      </left>
      <right style="dashed">
        <color theme="1"/>
      </right>
      <top/>
      <bottom/>
      <diagonal/>
    </border>
    <border>
      <left style="dashed">
        <color theme="1"/>
      </left>
      <right style="thin">
        <color theme="1"/>
      </right>
      <top/>
      <bottom/>
      <diagonal/>
    </border>
    <border>
      <left style="thin">
        <color theme="1"/>
      </left>
      <right style="dashed">
        <color theme="1"/>
      </right>
      <top style="thin">
        <color indexed="64"/>
      </top>
      <bottom style="thin">
        <color indexed="64"/>
      </bottom>
      <diagonal/>
    </border>
    <border>
      <left style="dashed">
        <color theme="1"/>
      </left>
      <right style="dashed">
        <color theme="1"/>
      </right>
      <top style="thin">
        <color indexed="64"/>
      </top>
      <bottom style="thin">
        <color indexed="64"/>
      </bottom>
      <diagonal/>
    </border>
    <border>
      <left style="dashed">
        <color theme="1"/>
      </left>
      <right style="thin">
        <color theme="1"/>
      </right>
      <top style="thin">
        <color indexed="64"/>
      </top>
      <bottom style="thin">
        <color indexed="64"/>
      </bottom>
      <diagonal/>
    </border>
    <border>
      <left style="thin">
        <color indexed="64"/>
      </left>
      <right style="dashed">
        <color indexed="64"/>
      </right>
      <top style="thin">
        <color theme="1"/>
      </top>
      <bottom/>
      <diagonal/>
    </border>
    <border>
      <left style="thin">
        <color theme="1"/>
      </left>
      <right style="thin">
        <color indexed="64"/>
      </right>
      <top/>
      <bottom/>
      <diagonal/>
    </border>
    <border>
      <left style="thin">
        <color indexed="64"/>
      </left>
      <right style="thin">
        <color indexed="64"/>
      </right>
      <top/>
      <bottom style="thin">
        <color theme="1"/>
      </bottom>
      <diagonal/>
    </border>
    <border>
      <left style="thin">
        <color theme="1"/>
      </left>
      <right/>
      <top/>
      <bottom/>
      <diagonal/>
    </border>
    <border>
      <left style="dashed">
        <color indexed="64"/>
      </left>
      <right style="thin">
        <color indexed="64"/>
      </right>
      <top style="thin">
        <color theme="3" tint="-0.24994659260841701"/>
      </top>
      <bottom style="thin">
        <color theme="3" tint="-0.24994659260841701"/>
      </bottom>
      <diagonal/>
    </border>
    <border>
      <left style="thin">
        <color indexed="64"/>
      </left>
      <right style="thin">
        <color indexed="64"/>
      </right>
      <top/>
      <bottom style="thin">
        <color theme="3" tint="-0.24994659260841701"/>
      </bottom>
      <diagonal/>
    </border>
    <border>
      <left style="thin">
        <color indexed="64"/>
      </left>
      <right style="thin">
        <color indexed="64"/>
      </right>
      <top style="thin">
        <color theme="3" tint="-0.24994659260841701"/>
      </top>
      <bottom style="thin">
        <color theme="3" tint="-0.24994659260841701"/>
      </bottom>
      <diagonal/>
    </border>
    <border>
      <left style="thin">
        <color indexed="64"/>
      </left>
      <right style="dashed">
        <color indexed="64"/>
      </right>
      <top style="thin">
        <color theme="3" tint="-0.24994659260841701"/>
      </top>
      <bottom style="thin">
        <color theme="3" tint="-0.24994659260841701"/>
      </bottom>
      <diagonal/>
    </border>
    <border>
      <left style="thin">
        <color indexed="64"/>
      </left>
      <right style="dashed">
        <color indexed="64"/>
      </right>
      <top style="thin">
        <color theme="1"/>
      </top>
      <bottom style="thin">
        <color theme="1"/>
      </bottom>
      <diagonal/>
    </border>
    <border>
      <left style="dashed">
        <color indexed="64"/>
      </left>
      <right style="dashed">
        <color indexed="64"/>
      </right>
      <top style="thin">
        <color theme="1"/>
      </top>
      <bottom style="thin">
        <color theme="1"/>
      </bottom>
      <diagonal/>
    </border>
    <border>
      <left style="dashed">
        <color indexed="64"/>
      </left>
      <right style="thin">
        <color theme="1"/>
      </right>
      <top style="thin">
        <color theme="1"/>
      </top>
      <bottom style="thin">
        <color theme="1"/>
      </bottom>
      <diagonal/>
    </border>
    <border>
      <left style="dashed">
        <color indexed="64"/>
      </left>
      <right style="thin">
        <color indexed="64"/>
      </right>
      <top style="thin">
        <color theme="1"/>
      </top>
      <bottom/>
      <diagonal/>
    </border>
    <border>
      <left style="thin">
        <color rgb="FFCFCFCF"/>
      </left>
      <right/>
      <top/>
      <bottom/>
      <diagonal/>
    </border>
    <border>
      <left style="thin">
        <color rgb="FF93B1CD"/>
      </left>
      <right/>
      <top/>
      <bottom/>
      <diagonal/>
    </border>
    <border>
      <left style="dashed">
        <color theme="1"/>
      </left>
      <right/>
      <top/>
      <bottom/>
      <diagonal/>
    </border>
    <border>
      <left style="thin">
        <color theme="1"/>
      </left>
      <right style="dashed">
        <color theme="1"/>
      </right>
      <top/>
      <bottom style="thin">
        <color theme="1"/>
      </bottom>
      <diagonal/>
    </border>
    <border>
      <left style="dashed">
        <color theme="1"/>
      </left>
      <right style="dashed">
        <color theme="1"/>
      </right>
      <top/>
      <bottom style="thin">
        <color theme="1"/>
      </bottom>
      <diagonal/>
    </border>
    <border>
      <left style="dashed">
        <color theme="1"/>
      </left>
      <right style="thin">
        <color theme="1"/>
      </right>
      <top/>
      <bottom style="thin">
        <color theme="1"/>
      </bottom>
      <diagonal/>
    </border>
    <border>
      <left style="dashed">
        <color indexed="64"/>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indexed="64"/>
      </left>
      <right style="thin">
        <color theme="1"/>
      </right>
      <top/>
      <bottom style="thin">
        <color theme="1"/>
      </bottom>
      <diagonal/>
    </border>
    <border>
      <left style="thin">
        <color theme="1"/>
      </left>
      <right/>
      <top style="thin">
        <color theme="1"/>
      </top>
      <bottom/>
      <diagonal/>
    </border>
    <border>
      <left style="thin">
        <color indexed="64"/>
      </left>
      <right style="thin">
        <color indexed="64"/>
      </right>
      <top style="thin">
        <color theme="1"/>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style="thin">
        <color indexed="64"/>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right style="thin">
        <color indexed="64"/>
      </right>
      <top style="thin">
        <color theme="1"/>
      </top>
      <bottom style="thin">
        <color indexed="64"/>
      </bottom>
      <diagonal/>
    </border>
    <border>
      <left/>
      <right style="thin">
        <color theme="1"/>
      </right>
      <top style="thin">
        <color indexed="64"/>
      </top>
      <bottom style="thin">
        <color indexed="64"/>
      </bottom>
      <diagonal/>
    </border>
    <border>
      <left style="thin">
        <color theme="1"/>
      </left>
      <right style="thin">
        <color indexed="64"/>
      </right>
      <top style="thin">
        <color theme="1"/>
      </top>
      <bottom/>
      <diagonal/>
    </border>
    <border>
      <left style="thin">
        <color theme="1"/>
      </left>
      <right style="thin">
        <color indexed="64"/>
      </right>
      <top/>
      <bottom style="thin">
        <color indexed="64"/>
      </bottom>
      <diagonal/>
    </border>
    <border>
      <left style="dashed">
        <color indexed="64"/>
      </left>
      <right style="dashed">
        <color indexed="64"/>
      </right>
      <top/>
      <bottom style="thin">
        <color theme="1"/>
      </bottom>
      <diagonal/>
    </border>
    <border>
      <left style="thin">
        <color theme="1"/>
      </left>
      <right/>
      <top style="thin">
        <color theme="1"/>
      </top>
      <bottom style="thin">
        <color theme="1"/>
      </bottom>
      <diagonal/>
    </border>
    <border>
      <left style="dashed">
        <color indexed="64"/>
      </left>
      <right style="thin">
        <color indexed="64"/>
      </right>
      <top/>
      <bottom style="thin">
        <color theme="1"/>
      </bottom>
      <diagonal/>
    </border>
    <border>
      <left style="thin">
        <color indexed="64"/>
      </left>
      <right style="dashed">
        <color indexed="64"/>
      </right>
      <top/>
      <bottom style="thin">
        <color theme="1"/>
      </bottom>
      <diagonal/>
    </border>
    <border>
      <left style="thin">
        <color indexed="64"/>
      </left>
      <right style="thin">
        <color indexed="64"/>
      </right>
      <top style="thin">
        <color theme="1"/>
      </top>
      <bottom style="thin">
        <color theme="1"/>
      </bottom>
      <diagonal/>
    </border>
    <border>
      <left style="thin">
        <color indexed="64"/>
      </left>
      <right/>
      <top/>
      <bottom style="thin">
        <color theme="1"/>
      </bottom>
      <diagonal/>
    </border>
    <border>
      <left style="thin">
        <color indexed="64"/>
      </left>
      <right/>
      <top style="thin">
        <color theme="1"/>
      </top>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style="dashed">
        <color theme="1"/>
      </right>
      <top style="thin">
        <color indexed="64"/>
      </top>
      <bottom/>
      <diagonal/>
    </border>
    <border>
      <left style="thin">
        <color theme="1"/>
      </left>
      <right style="dashed">
        <color theme="1"/>
      </right>
      <top/>
      <bottom style="thin">
        <color indexed="64"/>
      </bottom>
      <diagonal/>
    </border>
    <border>
      <left style="dashed">
        <color theme="1"/>
      </left>
      <right style="dashed">
        <color theme="1"/>
      </right>
      <top style="thin">
        <color indexed="64"/>
      </top>
      <bottom/>
      <diagonal/>
    </border>
    <border>
      <left style="dashed">
        <color theme="1"/>
      </left>
      <right style="dashed">
        <color theme="1"/>
      </right>
      <top/>
      <bottom style="thin">
        <color indexed="64"/>
      </bottom>
      <diagonal/>
    </border>
    <border>
      <left style="dashed">
        <color theme="1"/>
      </left>
      <right style="thin">
        <color theme="1"/>
      </right>
      <top style="thin">
        <color indexed="64"/>
      </top>
      <bottom/>
      <diagonal/>
    </border>
    <border>
      <left style="dashed">
        <color theme="1"/>
      </left>
      <right style="thin">
        <color theme="1"/>
      </right>
      <top/>
      <bottom style="thin">
        <color indexed="64"/>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auto="1"/>
      </top>
      <bottom style="thin">
        <color theme="1"/>
      </bottom>
      <diagonal/>
    </border>
    <border>
      <left/>
      <right/>
      <top style="thin">
        <color auto="1"/>
      </top>
      <bottom style="thin">
        <color auto="1"/>
      </bottom>
      <diagonal/>
    </border>
    <border>
      <left style="thin">
        <color rgb="FF93B1CD"/>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auto="1"/>
      </left>
      <right style="thin">
        <color auto="1"/>
      </right>
      <top/>
      <bottom/>
      <diagonal/>
    </border>
    <border>
      <left style="dashed">
        <color auto="1"/>
      </left>
      <right style="dashed">
        <color auto="1"/>
      </right>
      <top/>
      <bottom/>
      <diagonal/>
    </border>
    <border>
      <left style="dashed">
        <color auto="1"/>
      </left>
      <right style="thin">
        <color auto="1"/>
      </right>
      <top/>
      <bottom style="thin">
        <color auto="1"/>
      </bottom>
      <diagonal/>
    </border>
    <border>
      <left style="dashed">
        <color auto="1"/>
      </left>
      <right style="dashed">
        <color auto="1"/>
      </right>
      <top/>
      <bottom style="thin">
        <color auto="1"/>
      </bottom>
      <diagonal/>
    </border>
    <border>
      <left style="thin">
        <color auto="1"/>
      </left>
      <right style="dashed">
        <color auto="1"/>
      </right>
      <top/>
      <bottom/>
      <diagonal/>
    </border>
    <border>
      <left style="dashed">
        <color indexed="64"/>
      </left>
      <right style="thin">
        <color theme="1"/>
      </right>
      <top/>
      <bottom/>
      <diagonal/>
    </border>
    <border>
      <left style="dashed">
        <color indexed="64"/>
      </left>
      <right style="thin">
        <color theme="1"/>
      </right>
      <top/>
      <bottom style="thin">
        <color theme="1"/>
      </bottom>
      <diagonal/>
    </border>
    <border>
      <left style="dashed">
        <color indexed="8"/>
      </left>
      <right style="dashed">
        <color indexed="8"/>
      </right>
      <top/>
      <bottom style="thin">
        <color indexed="64"/>
      </bottom>
      <diagonal/>
    </border>
    <border>
      <left style="dashed">
        <color indexed="8"/>
      </left>
      <right/>
      <top/>
      <bottom style="thin">
        <color indexed="8"/>
      </bottom>
      <diagonal/>
    </border>
    <border>
      <left style="dashed">
        <color indexed="8"/>
      </left>
      <right style="dashed">
        <color indexed="8"/>
      </right>
      <top/>
      <bottom style="thin">
        <color indexed="8"/>
      </bottom>
      <diagonal/>
    </border>
    <border>
      <left/>
      <right/>
      <top/>
      <bottom style="thin">
        <color indexed="8"/>
      </bottom>
      <diagonal/>
    </border>
    <border>
      <left/>
      <right/>
      <top/>
      <bottom style="thin">
        <color indexed="22"/>
      </bottom>
      <diagonal/>
    </border>
    <border>
      <left style="thin">
        <color indexed="64"/>
      </left>
      <right style="dashed">
        <color indexed="64"/>
      </right>
      <top style="dashed">
        <color indexed="64"/>
      </top>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right style="dashed">
        <color indexed="64"/>
      </right>
      <top style="dashed">
        <color indexed="64"/>
      </top>
      <bottom/>
      <diagonal/>
    </border>
    <border>
      <left/>
      <right style="thin">
        <color indexed="64"/>
      </right>
      <top style="dashed">
        <color indexed="64"/>
      </top>
      <bottom/>
      <diagonal/>
    </border>
    <border>
      <left style="thin">
        <color indexed="22"/>
      </left>
      <right style="thin">
        <color indexed="22"/>
      </right>
      <top/>
      <bottom style="thin">
        <color indexed="22"/>
      </bottom>
      <diagonal/>
    </border>
    <border>
      <left/>
      <right style="dashed">
        <color indexed="8"/>
      </right>
      <top style="thin">
        <color indexed="8"/>
      </top>
      <bottom/>
      <diagonal/>
    </border>
    <border>
      <left style="thin">
        <color indexed="8"/>
      </left>
      <right/>
      <top/>
      <bottom/>
      <diagonal/>
    </border>
    <border>
      <left style="thin">
        <color indexed="8"/>
      </left>
      <right/>
      <top/>
      <bottom style="thin">
        <color indexed="22"/>
      </bottom>
      <diagonal/>
    </border>
    <border>
      <left/>
      <right style="thin">
        <color indexed="8"/>
      </right>
      <top/>
      <bottom style="thin">
        <color indexed="22"/>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bottom style="thin">
        <color indexed="64"/>
      </bottom>
      <diagonal/>
    </border>
    <border>
      <left/>
      <right/>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theme="1"/>
      </left>
      <right/>
      <top/>
      <bottom style="thin">
        <color indexed="64"/>
      </bottom>
      <diagonal/>
    </border>
    <border>
      <left style="dashed">
        <color indexed="64"/>
      </left>
      <right style="dashed">
        <color indexed="64"/>
      </right>
      <top style="thin">
        <color indexed="64"/>
      </top>
      <bottom style="thin">
        <color indexed="8"/>
      </bottom>
      <diagonal/>
    </border>
    <border>
      <left/>
      <right/>
      <top style="thin">
        <color indexed="64"/>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top/>
      <bottom/>
      <diagonal/>
    </border>
    <border>
      <left style="thin">
        <color indexed="64"/>
      </left>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style="dashed">
        <color indexed="64"/>
      </left>
      <right/>
      <top style="thin">
        <color indexed="64"/>
      </top>
      <bottom style="thin">
        <color indexed="8"/>
      </bottom>
      <diagonal/>
    </border>
    <border>
      <left style="thin">
        <color indexed="64"/>
      </left>
      <right style="dashed">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dashed">
        <color auto="1"/>
      </left>
      <right style="dashed">
        <color auto="1"/>
      </right>
      <top/>
      <bottom style="thin">
        <color indexed="64"/>
      </bottom>
      <diagonal/>
    </border>
    <border>
      <left style="dashed">
        <color auto="1"/>
      </left>
      <right style="thin">
        <color auto="1"/>
      </right>
      <top/>
      <bottom style="thin">
        <color indexed="64"/>
      </bottom>
      <diagonal/>
    </border>
    <border>
      <left style="dashed">
        <color indexed="64"/>
      </left>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8"/>
      </left>
      <right/>
      <top style="thin">
        <color indexed="8"/>
      </top>
      <bottom/>
      <diagonal/>
    </border>
    <border>
      <left/>
      <right style="thin">
        <color indexed="22"/>
      </right>
      <top style="thin">
        <color indexed="8"/>
      </top>
      <bottom/>
      <diagonal/>
    </border>
    <border>
      <left/>
      <right style="thin">
        <color indexed="22"/>
      </right>
      <top/>
      <bottom/>
      <diagonal/>
    </border>
    <border>
      <left/>
      <right style="thin">
        <color indexed="22"/>
      </right>
      <top/>
      <bottom style="thin">
        <color indexed="22"/>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dashed">
        <color indexed="8"/>
      </left>
      <right style="thin">
        <color indexed="8"/>
      </right>
      <top style="thin">
        <color indexed="8"/>
      </top>
      <bottom style="thin">
        <color indexed="8"/>
      </bottom>
      <diagonal/>
    </border>
    <border>
      <left style="dashed">
        <color indexed="8"/>
      </left>
      <right style="thin">
        <color indexed="8"/>
      </right>
      <top/>
      <bottom/>
      <diagonal/>
    </border>
    <border>
      <left style="dashed">
        <color indexed="8"/>
      </left>
      <right style="thin">
        <color indexed="8"/>
      </right>
      <top/>
      <bottom style="thin">
        <color indexed="8"/>
      </bottom>
      <diagonal/>
    </border>
    <border>
      <left style="dashed">
        <color indexed="8"/>
      </left>
      <right style="thin">
        <color indexed="8"/>
      </right>
      <top/>
      <bottom style="thin">
        <color indexed="64"/>
      </bottom>
      <diagonal/>
    </border>
    <border>
      <left style="dashed">
        <color auto="1"/>
      </left>
      <right style="thin">
        <color auto="1"/>
      </right>
      <top/>
      <bottom/>
      <diagonal/>
    </border>
    <border>
      <left/>
      <right/>
      <top style="thin">
        <color indexed="8"/>
      </top>
      <bottom style="thin">
        <color indexed="8"/>
      </bottom>
      <diagonal/>
    </border>
    <border>
      <left/>
      <right/>
      <top style="thin">
        <color indexed="22"/>
      </top>
      <bottom style="thin">
        <color indexed="22"/>
      </bottom>
      <diagonal/>
    </border>
    <border>
      <left/>
      <right/>
      <top style="thin">
        <color indexed="22"/>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right style="thin">
        <color indexed="64"/>
      </right>
      <top style="thin">
        <color indexed="64"/>
      </top>
      <bottom/>
      <diagonal/>
    </border>
    <border>
      <left style="thin">
        <color indexed="64"/>
      </left>
      <right style="dashed">
        <color theme="1"/>
      </right>
      <top/>
      <bottom/>
      <diagonal/>
    </border>
    <border>
      <left style="thin">
        <color indexed="64"/>
      </left>
      <right style="dashed">
        <color theme="1"/>
      </right>
      <top/>
      <bottom style="thin">
        <color theme="1"/>
      </bottom>
      <diagonal/>
    </border>
    <border>
      <left style="dashed">
        <color theme="1"/>
      </left>
      <right style="thin">
        <color indexed="64"/>
      </right>
      <top/>
      <bottom/>
      <diagonal/>
    </border>
    <border>
      <left style="dashed">
        <color theme="1"/>
      </left>
      <right style="thin">
        <color indexed="64"/>
      </right>
      <top/>
      <bottom style="thin">
        <color theme="1"/>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dashed">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41">
    <xf numFmtId="0" fontId="0" fillId="0" borderId="0"/>
    <xf numFmtId="43" fontId="44" fillId="0" borderId="0" applyFont="0" applyFill="0" applyBorder="0" applyAlignment="0" applyProtection="0"/>
    <xf numFmtId="43" fontId="45" fillId="0" borderId="0" applyFont="0" applyFill="0" applyBorder="0" applyAlignment="0" applyProtection="0"/>
    <xf numFmtId="44" fontId="44" fillId="0" borderId="0" applyFont="0" applyFill="0" applyBorder="0" applyAlignment="0" applyProtection="0"/>
    <xf numFmtId="0" fontId="4"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0" fontId="5" fillId="0" borderId="0"/>
    <xf numFmtId="0" fontId="10" fillId="0" borderId="0"/>
    <xf numFmtId="0" fontId="6" fillId="0" borderId="0">
      <alignment vertical="top"/>
    </xf>
    <xf numFmtId="0" fontId="44" fillId="0" borderId="0"/>
    <xf numFmtId="0" fontId="6" fillId="0" borderId="0"/>
    <xf numFmtId="0" fontId="45" fillId="0" borderId="0"/>
    <xf numFmtId="0" fontId="9" fillId="0" borderId="0"/>
    <xf numFmtId="0" fontId="6" fillId="0" borderId="0">
      <alignment vertical="top"/>
    </xf>
    <xf numFmtId="0" fontId="13" fillId="0" borderId="0"/>
    <xf numFmtId="0" fontId="17" fillId="0" borderId="0">
      <alignment vertical="top"/>
    </xf>
    <xf numFmtId="0" fontId="9" fillId="0" borderId="0"/>
    <xf numFmtId="0" fontId="18" fillId="0" borderId="0"/>
    <xf numFmtId="0" fontId="18" fillId="0" borderId="0"/>
    <xf numFmtId="0" fontId="18" fillId="0" borderId="0"/>
    <xf numFmtId="0" fontId="18" fillId="0" borderId="0"/>
    <xf numFmtId="0" fontId="9" fillId="0" borderId="0"/>
    <xf numFmtId="0" fontId="30" fillId="0" borderId="0"/>
    <xf numFmtId="0" fontId="9" fillId="0" borderId="0"/>
    <xf numFmtId="0" fontId="30" fillId="0" borderId="0"/>
    <xf numFmtId="0" fontId="10" fillId="0" borderId="0"/>
    <xf numFmtId="0" fontId="30"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9" fillId="0" borderId="0"/>
    <xf numFmtId="9" fontId="44" fillId="0" borderId="0" applyFont="0" applyFill="0" applyBorder="0" applyAlignment="0" applyProtection="0"/>
    <xf numFmtId="0" fontId="44" fillId="0" borderId="0"/>
  </cellStyleXfs>
  <cellXfs count="2169">
    <xf numFmtId="0" fontId="0" fillId="0" borderId="0" xfId="0"/>
    <xf numFmtId="0" fontId="3" fillId="0" borderId="1" xfId="27" applyFont="1" applyFill="1" applyBorder="1" applyAlignment="1">
      <alignment wrapText="1"/>
    </xf>
    <xf numFmtId="49" fontId="48" fillId="0" borderId="0" xfId="12" applyNumberFormat="1" applyFont="1" applyFill="1" applyAlignment="1">
      <alignment vertical="top" wrapText="1"/>
    </xf>
    <xf numFmtId="3" fontId="49" fillId="0" borderId="108" xfId="12" applyNumberFormat="1" applyFont="1" applyFill="1" applyBorder="1" applyAlignment="1">
      <alignment horizontal="right" vertical="top"/>
    </xf>
    <xf numFmtId="49" fontId="50" fillId="0" borderId="0" xfId="12" applyNumberFormat="1" applyFont="1" applyFill="1" applyAlignment="1">
      <alignment horizontal="center" vertical="top" wrapText="1"/>
    </xf>
    <xf numFmtId="0" fontId="3" fillId="0" borderId="0" xfId="18" applyFont="1" applyFill="1"/>
    <xf numFmtId="0" fontId="3" fillId="0" borderId="0" xfId="18" applyFont="1" applyFill="1" applyAlignment="1">
      <alignment wrapText="1"/>
    </xf>
    <xf numFmtId="0" fontId="3" fillId="0" borderId="0" xfId="18" applyFont="1" applyFill="1" applyAlignment="1">
      <alignment horizontal="left" wrapText="1"/>
    </xf>
    <xf numFmtId="0" fontId="3" fillId="0" borderId="2" xfId="18" applyFont="1" applyFill="1" applyBorder="1" applyAlignment="1">
      <alignment horizontal="left"/>
    </xf>
    <xf numFmtId="3" fontId="3" fillId="0" borderId="2" xfId="18" applyNumberFormat="1" applyFont="1" applyFill="1" applyBorder="1" applyAlignment="1">
      <alignment horizontal="right"/>
    </xf>
    <xf numFmtId="3" fontId="3" fillId="0" borderId="0" xfId="18" applyNumberFormat="1" applyFont="1" applyFill="1"/>
    <xf numFmtId="0" fontId="3" fillId="0" borderId="0" xfId="18" quotePrefix="1" applyFont="1" applyFill="1"/>
    <xf numFmtId="9" fontId="51" fillId="0" borderId="0" xfId="0" applyNumberFormat="1" applyFont="1" applyAlignment="1">
      <alignment horizontal="right" indent="1"/>
    </xf>
    <xf numFmtId="0" fontId="14" fillId="2" borderId="2" xfId="18" applyFont="1" applyFill="1" applyBorder="1" applyAlignment="1">
      <alignment horizontal="center" wrapText="1"/>
    </xf>
    <xf numFmtId="0" fontId="14" fillId="2" borderId="3" xfId="18" applyFont="1" applyFill="1" applyBorder="1" applyAlignment="1">
      <alignment horizontal="center" wrapText="1"/>
    </xf>
    <xf numFmtId="0" fontId="13" fillId="0" borderId="0" xfId="18" applyAlignment="1">
      <alignment wrapText="1"/>
    </xf>
    <xf numFmtId="0" fontId="14" fillId="0" borderId="1" xfId="18" applyFont="1" applyFill="1" applyBorder="1" applyAlignment="1">
      <alignment wrapText="1"/>
    </xf>
    <xf numFmtId="0" fontId="14" fillId="0" borderId="1" xfId="18" applyFont="1" applyFill="1" applyBorder="1" applyAlignment="1">
      <alignment horizontal="right" wrapText="1"/>
    </xf>
    <xf numFmtId="0" fontId="13" fillId="0" borderId="0" xfId="18"/>
    <xf numFmtId="0" fontId="7" fillId="0" borderId="0" xfId="18" applyFont="1" applyFill="1" applyBorder="1" applyAlignment="1">
      <alignment horizontal="left" wrapText="1"/>
    </xf>
    <xf numFmtId="0" fontId="14" fillId="0" borderId="2" xfId="18" applyFont="1" applyFill="1" applyBorder="1" applyAlignment="1">
      <alignment horizontal="center" wrapText="1"/>
    </xf>
    <xf numFmtId="0" fontId="13" fillId="0" borderId="0" xfId="18" applyFill="1" applyAlignment="1">
      <alignment wrapText="1"/>
    </xf>
    <xf numFmtId="0" fontId="15" fillId="0" borderId="4" xfId="18" applyFont="1" applyBorder="1" applyAlignment="1">
      <alignment horizontal="center"/>
    </xf>
    <xf numFmtId="0" fontId="8" fillId="0" borderId="2" xfId="18" applyFont="1" applyFill="1" applyBorder="1" applyAlignment="1">
      <alignment horizontal="center" wrapText="1"/>
    </xf>
    <xf numFmtId="0" fontId="15" fillId="0" borderId="0" xfId="18" applyFont="1" applyBorder="1" applyAlignment="1">
      <alignment horizontal="center"/>
    </xf>
    <xf numFmtId="3" fontId="14" fillId="0" borderId="1" xfId="18" applyNumberFormat="1" applyFont="1" applyFill="1" applyBorder="1" applyAlignment="1">
      <alignment horizontal="right" wrapText="1"/>
    </xf>
    <xf numFmtId="3" fontId="14" fillId="0" borderId="1" xfId="18" applyNumberFormat="1" applyFont="1" applyFill="1" applyBorder="1" applyAlignment="1">
      <alignment horizontal="right" wrapText="1" indent="1"/>
    </xf>
    <xf numFmtId="9" fontId="51" fillId="0" borderId="0" xfId="0" applyNumberFormat="1" applyFont="1" applyAlignment="1">
      <alignment horizontal="right"/>
    </xf>
    <xf numFmtId="0" fontId="13" fillId="0" borderId="0" xfId="18" applyAlignment="1">
      <alignment horizontal="right"/>
    </xf>
    <xf numFmtId="0" fontId="52" fillId="0" borderId="1" xfId="18" applyFont="1" applyFill="1" applyBorder="1" applyAlignment="1">
      <alignment wrapText="1"/>
    </xf>
    <xf numFmtId="0" fontId="15" fillId="0" borderId="4" xfId="18" applyFont="1" applyBorder="1" applyAlignment="1">
      <alignment horizontal="center" wrapText="1"/>
    </xf>
    <xf numFmtId="0" fontId="14" fillId="0" borderId="2" xfId="18" applyFont="1" applyFill="1" applyBorder="1" applyAlignment="1">
      <alignment horizontal="right" wrapText="1"/>
    </xf>
    <xf numFmtId="0" fontId="52" fillId="0" borderId="1" xfId="18" applyFont="1" applyFill="1" applyBorder="1" applyAlignment="1">
      <alignment horizontal="right" wrapText="1"/>
    </xf>
    <xf numFmtId="0" fontId="15" fillId="0" borderId="5" xfId="18" applyFont="1" applyBorder="1" applyAlignment="1">
      <alignment horizontal="center"/>
    </xf>
    <xf numFmtId="0" fontId="8" fillId="0" borderId="6" xfId="18" applyFont="1" applyFill="1" applyBorder="1" applyAlignment="1">
      <alignment horizontal="center" wrapText="1"/>
    </xf>
    <xf numFmtId="0" fontId="8" fillId="0" borderId="7" xfId="18" applyFont="1" applyFill="1" applyBorder="1" applyAlignment="1">
      <alignment horizontal="center" wrapText="1"/>
    </xf>
    <xf numFmtId="3" fontId="14" fillId="0" borderId="8" xfId="18" applyNumberFormat="1" applyFont="1" applyFill="1" applyBorder="1" applyAlignment="1">
      <alignment horizontal="right" wrapText="1" indent="1"/>
    </xf>
    <xf numFmtId="0" fontId="15" fillId="0" borderId="0" xfId="18" applyFont="1" applyBorder="1" applyAlignment="1"/>
    <xf numFmtId="0" fontId="8" fillId="0" borderId="0" xfId="18" applyFont="1" applyFill="1" applyBorder="1" applyAlignment="1">
      <alignment horizontal="center" wrapText="1"/>
    </xf>
    <xf numFmtId="9" fontId="51" fillId="0" borderId="0" xfId="0" applyNumberFormat="1" applyFont="1" applyBorder="1" applyAlignment="1">
      <alignment horizontal="right"/>
    </xf>
    <xf numFmtId="0" fontId="13" fillId="0" borderId="0" xfId="18" applyBorder="1"/>
    <xf numFmtId="0" fontId="8" fillId="0" borderId="9" xfId="18" applyFont="1" applyFill="1" applyBorder="1" applyAlignment="1">
      <alignment horizontal="center" wrapText="1"/>
    </xf>
    <xf numFmtId="3" fontId="14" fillId="0" borderId="10" xfId="18" applyNumberFormat="1" applyFont="1" applyFill="1" applyBorder="1" applyAlignment="1">
      <alignment horizontal="right" wrapText="1"/>
    </xf>
    <xf numFmtId="0" fontId="15" fillId="0" borderId="0" xfId="18" applyFont="1" applyBorder="1" applyAlignment="1">
      <alignment horizontal="center" wrapText="1"/>
    </xf>
    <xf numFmtId="3" fontId="14" fillId="0" borderId="11" xfId="18" applyNumberFormat="1" applyFont="1" applyFill="1" applyBorder="1" applyAlignment="1">
      <alignment horizontal="right" wrapText="1" indent="1"/>
    </xf>
    <xf numFmtId="3" fontId="14" fillId="0" borderId="10" xfId="18" applyNumberFormat="1" applyFont="1" applyFill="1" applyBorder="1" applyAlignment="1">
      <alignment horizontal="right" wrapText="1" indent="1"/>
    </xf>
    <xf numFmtId="0" fontId="15" fillId="0" borderId="0" xfId="18" applyFont="1" applyBorder="1" applyAlignment="1">
      <alignment wrapText="1"/>
    </xf>
    <xf numFmtId="0" fontId="45" fillId="0" borderId="0" xfId="15"/>
    <xf numFmtId="0" fontId="3" fillId="0" borderId="1" xfId="18" applyFont="1" applyFill="1" applyBorder="1" applyAlignment="1">
      <alignment wrapText="1"/>
    </xf>
    <xf numFmtId="0" fontId="3" fillId="0" borderId="1" xfId="18" quotePrefix="1" applyFont="1" applyFill="1" applyBorder="1" applyAlignment="1">
      <alignment wrapText="1"/>
    </xf>
    <xf numFmtId="0" fontId="6" fillId="0" borderId="0" xfId="12" applyFont="1" applyAlignment="1">
      <alignment vertical="top"/>
    </xf>
    <xf numFmtId="49" fontId="53" fillId="0" borderId="109" xfId="12" applyNumberFormat="1" applyFont="1" applyBorder="1" applyAlignment="1">
      <alignment horizontal="center" vertical="top" wrapText="1"/>
    </xf>
    <xf numFmtId="49" fontId="53" fillId="4" borderId="110" xfId="12" applyNumberFormat="1" applyFont="1" applyFill="1" applyBorder="1" applyAlignment="1">
      <alignment horizontal="right" vertical="top" wrapText="1" indent="1"/>
    </xf>
    <xf numFmtId="49" fontId="49" fillId="5" borderId="110" xfId="12" applyNumberFormat="1" applyFont="1" applyFill="1" applyBorder="1" applyAlignment="1">
      <alignment vertical="top" wrapText="1"/>
    </xf>
    <xf numFmtId="3" fontId="49" fillId="0" borderId="108" xfId="12" applyNumberFormat="1" applyFont="1" applyFill="1" applyBorder="1" applyAlignment="1">
      <alignment horizontal="right" vertical="top" indent="1"/>
    </xf>
    <xf numFmtId="3" fontId="6" fillId="0" borderId="0" xfId="12" applyNumberFormat="1" applyFont="1" applyAlignment="1">
      <alignment horizontal="right" vertical="top" indent="1"/>
    </xf>
    <xf numFmtId="49" fontId="49" fillId="5" borderId="111" xfId="12" applyNumberFormat="1" applyFont="1" applyFill="1" applyBorder="1" applyAlignment="1">
      <alignment vertical="top" wrapText="1"/>
    </xf>
    <xf numFmtId="3" fontId="6" fillId="0" borderId="0" xfId="12" applyNumberFormat="1" applyFont="1" applyAlignment="1">
      <alignment vertical="top"/>
    </xf>
    <xf numFmtId="49" fontId="53" fillId="4" borderId="111" xfId="12" applyNumberFormat="1" applyFont="1" applyFill="1" applyBorder="1" applyAlignment="1">
      <alignment vertical="top" wrapText="1"/>
    </xf>
    <xf numFmtId="168" fontId="53" fillId="0" borderId="108" xfId="12" applyNumberFormat="1" applyFont="1" applyFill="1" applyBorder="1" applyAlignment="1">
      <alignment horizontal="right" vertical="top"/>
    </xf>
    <xf numFmtId="170" fontId="50" fillId="0" borderId="0" xfId="12" applyNumberFormat="1" applyFont="1" applyAlignment="1">
      <alignment horizontal="left" vertical="top" wrapText="1"/>
    </xf>
    <xf numFmtId="169" fontId="50" fillId="0" borderId="0" xfId="12" applyNumberFormat="1" applyFont="1" applyAlignment="1">
      <alignment horizontal="right" vertical="top" wrapText="1"/>
    </xf>
    <xf numFmtId="170" fontId="50" fillId="0" borderId="0" xfId="12" applyNumberFormat="1" applyFont="1" applyAlignment="1">
      <alignment vertical="top" wrapText="1"/>
    </xf>
    <xf numFmtId="0" fontId="54" fillId="0" borderId="0" xfId="0" applyFont="1" applyAlignment="1">
      <alignment horizontal="left"/>
    </xf>
    <xf numFmtId="0" fontId="54" fillId="0" borderId="0" xfId="0" applyFont="1"/>
    <xf numFmtId="0" fontId="55" fillId="0" borderId="0" xfId="0" applyFont="1"/>
    <xf numFmtId="0" fontId="56" fillId="0" borderId="0" xfId="0" applyFont="1"/>
    <xf numFmtId="0" fontId="57" fillId="0" borderId="0" xfId="0" applyFont="1" applyBorder="1" applyAlignment="1"/>
    <xf numFmtId="0" fontId="56" fillId="0" borderId="0" xfId="0" quotePrefix="1" applyFont="1"/>
    <xf numFmtId="0" fontId="57" fillId="0" borderId="0" xfId="0" applyFont="1" applyAlignment="1">
      <alignment horizontal="right"/>
    </xf>
    <xf numFmtId="0" fontId="57" fillId="0" borderId="0" xfId="0" applyFont="1"/>
    <xf numFmtId="0" fontId="58" fillId="0" borderId="0" xfId="0" applyFont="1" applyAlignment="1">
      <alignment vertical="top" wrapText="1"/>
    </xf>
    <xf numFmtId="0" fontId="56" fillId="0" borderId="0" xfId="0" quotePrefix="1" applyFont="1" applyAlignment="1"/>
    <xf numFmtId="0" fontId="56" fillId="0" borderId="0" xfId="0" quotePrefix="1" applyFont="1" applyAlignment="1">
      <alignment horizontal="center"/>
    </xf>
    <xf numFmtId="0" fontId="58" fillId="0" borderId="0" xfId="0" applyFont="1" applyAlignment="1">
      <alignment horizontal="left" vertical="top" wrapText="1"/>
    </xf>
    <xf numFmtId="0" fontId="57" fillId="0" borderId="0" xfId="0" applyFont="1" applyBorder="1"/>
    <xf numFmtId="0" fontId="57" fillId="0" borderId="0" xfId="0" applyFont="1" applyBorder="1" applyAlignment="1">
      <alignment horizontal="right"/>
    </xf>
    <xf numFmtId="0" fontId="57" fillId="0" borderId="0" xfId="0" applyFont="1" applyBorder="1" applyAlignment="1">
      <alignment horizontal="right" wrapText="1"/>
    </xf>
    <xf numFmtId="0" fontId="56" fillId="0" borderId="0" xfId="0" applyFont="1" applyBorder="1"/>
    <xf numFmtId="3" fontId="56" fillId="0" borderId="0" xfId="0" applyNumberFormat="1" applyFont="1"/>
    <xf numFmtId="9" fontId="56" fillId="0" borderId="0" xfId="0" applyNumberFormat="1" applyFont="1"/>
    <xf numFmtId="167" fontId="56" fillId="0" borderId="0" xfId="0" applyNumberFormat="1" applyFont="1"/>
    <xf numFmtId="0" fontId="56" fillId="0" borderId="0" xfId="0" applyFont="1" applyAlignment="1">
      <alignment horizontal="left" indent="2"/>
    </xf>
    <xf numFmtId="0" fontId="56" fillId="0" borderId="0" xfId="0" applyFont="1" applyBorder="1" applyAlignment="1">
      <alignment horizontal="right"/>
    </xf>
    <xf numFmtId="0" fontId="56" fillId="0" borderId="0" xfId="0" applyFont="1" applyAlignment="1">
      <alignment wrapText="1"/>
    </xf>
    <xf numFmtId="9" fontId="56" fillId="0" borderId="0" xfId="0" applyNumberFormat="1" applyFont="1" applyBorder="1"/>
    <xf numFmtId="3" fontId="56" fillId="0" borderId="0" xfId="0" applyNumberFormat="1" applyFont="1" applyAlignment="1">
      <alignment horizontal="right"/>
    </xf>
    <xf numFmtId="9" fontId="56" fillId="0" borderId="0" xfId="39" applyFont="1"/>
    <xf numFmtId="164" fontId="56" fillId="0" borderId="0" xfId="0" applyNumberFormat="1" applyFont="1" applyAlignment="1">
      <alignment horizontal="center"/>
    </xf>
    <xf numFmtId="3" fontId="56" fillId="0" borderId="0" xfId="0" applyNumberFormat="1" applyFont="1" applyAlignment="1">
      <alignment horizontal="right" indent="1"/>
    </xf>
    <xf numFmtId="0" fontId="59" fillId="0" borderId="0" xfId="0" applyFont="1"/>
    <xf numFmtId="0" fontId="59" fillId="0" borderId="0" xfId="0" applyFont="1" applyAlignment="1">
      <alignment horizontal="left"/>
    </xf>
    <xf numFmtId="0" fontId="56" fillId="0" borderId="0" xfId="0" applyFont="1" applyBorder="1" applyAlignment="1"/>
    <xf numFmtId="0" fontId="60" fillId="0" borderId="0" xfId="0" applyFont="1"/>
    <xf numFmtId="0" fontId="61" fillId="0" borderId="12" xfId="0" applyFont="1" applyBorder="1" applyAlignment="1">
      <alignment wrapText="1"/>
    </xf>
    <xf numFmtId="0" fontId="62" fillId="0" borderId="0" xfId="0" applyFont="1" applyAlignment="1">
      <alignment horizontal="center"/>
    </xf>
    <xf numFmtId="0" fontId="62" fillId="0" borderId="0" xfId="0" applyFont="1"/>
    <xf numFmtId="0" fontId="62" fillId="0" borderId="0" xfId="0" applyFont="1" applyAlignment="1">
      <alignment wrapText="1"/>
    </xf>
    <xf numFmtId="0" fontId="61" fillId="0" borderId="0" xfId="0" applyFont="1" applyBorder="1" applyAlignment="1">
      <alignment horizontal="center" wrapText="1"/>
    </xf>
    <xf numFmtId="49" fontId="61" fillId="0" borderId="12" xfId="0" applyNumberFormat="1" applyFont="1" applyBorder="1" applyAlignment="1">
      <alignment horizontal="center"/>
    </xf>
    <xf numFmtId="0" fontId="61" fillId="0" borderId="12" xfId="0" applyFont="1" applyBorder="1" applyAlignment="1">
      <alignment horizontal="left" wrapText="1"/>
    </xf>
    <xf numFmtId="49" fontId="62" fillId="0" borderId="0" xfId="0" applyNumberFormat="1" applyFont="1" applyBorder="1" applyAlignment="1">
      <alignment horizontal="center"/>
    </xf>
    <xf numFmtId="0" fontId="22" fillId="0" borderId="0" xfId="9" applyFont="1" applyBorder="1"/>
    <xf numFmtId="0" fontId="62" fillId="0" borderId="0" xfId="0" applyFont="1" applyBorder="1"/>
    <xf numFmtId="3" fontId="62" fillId="0" borderId="0" xfId="0" applyNumberFormat="1" applyFont="1" applyAlignment="1">
      <alignment horizontal="right" vertical="top" wrapText="1"/>
    </xf>
    <xf numFmtId="3" fontId="62" fillId="0" borderId="0" xfId="0" applyNumberFormat="1" applyFont="1" applyAlignment="1">
      <alignment horizontal="right" indent="1"/>
    </xf>
    <xf numFmtId="3" fontId="62" fillId="0" borderId="0" xfId="0" applyNumberFormat="1" applyFont="1" applyBorder="1" applyAlignment="1">
      <alignment horizontal="center"/>
    </xf>
    <xf numFmtId="3" fontId="62" fillId="0" borderId="0" xfId="0" applyNumberFormat="1" applyFont="1" applyAlignment="1">
      <alignment horizontal="center"/>
    </xf>
    <xf numFmtId="38" fontId="62" fillId="0" borderId="0" xfId="0" applyNumberFormat="1" applyFont="1"/>
    <xf numFmtId="9" fontId="62" fillId="0" borderId="0" xfId="0" applyNumberFormat="1" applyFont="1"/>
    <xf numFmtId="0" fontId="62" fillId="0" borderId="0" xfId="0" applyFont="1" applyAlignment="1">
      <alignment horizontal="right" wrapText="1"/>
    </xf>
    <xf numFmtId="0" fontId="62" fillId="0" borderId="12" xfId="0" applyFont="1" applyBorder="1"/>
    <xf numFmtId="3" fontId="62" fillId="0" borderId="0" xfId="0" applyNumberFormat="1" applyFont="1" applyBorder="1" applyAlignment="1">
      <alignment horizontal="right" vertical="top" wrapText="1"/>
    </xf>
    <xf numFmtId="0" fontId="62" fillId="0" borderId="0" xfId="0" applyFont="1" applyBorder="1" applyAlignment="1">
      <alignment horizontal="right" wrapText="1"/>
    </xf>
    <xf numFmtId="3" fontId="62" fillId="0" borderId="0" xfId="0" applyNumberFormat="1" applyFont="1" applyBorder="1" applyAlignment="1">
      <alignment horizontal="right" indent="1"/>
    </xf>
    <xf numFmtId="49" fontId="62" fillId="0" borderId="0" xfId="0" applyNumberFormat="1" applyFont="1" applyAlignment="1">
      <alignment horizontal="center"/>
    </xf>
    <xf numFmtId="0" fontId="62" fillId="0" borderId="0" xfId="0" applyFont="1" applyAlignment="1">
      <alignment horizontal="left" vertical="top" wrapText="1"/>
    </xf>
    <xf numFmtId="0" fontId="62" fillId="0" borderId="0" xfId="0" applyFont="1" applyAlignment="1">
      <alignment horizontal="center" wrapText="1"/>
    </xf>
    <xf numFmtId="9" fontId="62" fillId="0" borderId="0" xfId="0" applyNumberFormat="1" applyFont="1" applyAlignment="1">
      <alignment horizontal="center"/>
    </xf>
    <xf numFmtId="0" fontId="61" fillId="0" borderId="0" xfId="0" applyFont="1" applyAlignment="1">
      <alignment vertical="top" wrapText="1"/>
    </xf>
    <xf numFmtId="0" fontId="61" fillId="0" borderId="0" xfId="0" applyFont="1" applyAlignment="1">
      <alignment horizontal="center" vertical="top" wrapText="1"/>
    </xf>
    <xf numFmtId="0" fontId="22" fillId="0" borderId="0" xfId="0" applyFont="1" applyBorder="1" applyAlignment="1">
      <alignment vertical="top" wrapText="1"/>
    </xf>
    <xf numFmtId="0" fontId="22" fillId="0" borderId="0" xfId="0" applyFont="1" applyBorder="1" applyAlignment="1">
      <alignment horizontal="center" vertical="top" wrapText="1"/>
    </xf>
    <xf numFmtId="0" fontId="23" fillId="0" borderId="0" xfId="4" applyFont="1" applyFill="1" applyBorder="1" applyAlignment="1" applyProtection="1">
      <alignment wrapText="1"/>
    </xf>
    <xf numFmtId="0" fontId="22" fillId="0" borderId="0" xfId="0" applyFont="1" applyBorder="1" applyAlignment="1">
      <alignment horizontal="left"/>
    </xf>
    <xf numFmtId="0" fontId="59" fillId="0" borderId="0" xfId="0" applyFont="1" applyFill="1" applyBorder="1" applyAlignment="1">
      <alignment wrapText="1"/>
    </xf>
    <xf numFmtId="0" fontId="59" fillId="0" borderId="0" xfId="0" applyFont="1" applyAlignment="1">
      <alignment vertical="top" wrapText="1"/>
    </xf>
    <xf numFmtId="9" fontId="56" fillId="0" borderId="0" xfId="0" applyNumberFormat="1" applyFont="1" applyBorder="1" applyAlignment="1"/>
    <xf numFmtId="9" fontId="56" fillId="0" borderId="0" xfId="0" applyNumberFormat="1" applyFont="1" applyBorder="1" applyAlignment="1">
      <alignment horizontal="right"/>
    </xf>
    <xf numFmtId="0" fontId="56" fillId="0" borderId="0" xfId="0" applyFont="1" applyBorder="1" applyAlignment="1">
      <alignment horizontal="center"/>
    </xf>
    <xf numFmtId="0" fontId="57" fillId="0" borderId="0" xfId="0" applyFont="1" applyAlignment="1">
      <alignment horizontal="center" wrapText="1"/>
    </xf>
    <xf numFmtId="0" fontId="56" fillId="0" borderId="0" xfId="0" applyFont="1" applyFill="1" applyBorder="1" applyAlignment="1">
      <alignment horizontal="left" vertical="top" wrapText="1"/>
    </xf>
    <xf numFmtId="0" fontId="56" fillId="0" borderId="0" xfId="0" applyFont="1" applyAlignment="1">
      <alignment horizontal="left" vertical="top" wrapText="1"/>
    </xf>
    <xf numFmtId="0" fontId="56" fillId="0" borderId="0" xfId="0" applyFont="1" applyAlignment="1">
      <alignment horizontal="left"/>
    </xf>
    <xf numFmtId="0" fontId="63" fillId="0" borderId="0" xfId="0" applyFont="1"/>
    <xf numFmtId="0" fontId="63" fillId="0" borderId="0" xfId="0" applyFont="1" applyAlignment="1">
      <alignment horizontal="center"/>
    </xf>
    <xf numFmtId="0" fontId="62" fillId="0" borderId="0" xfId="0" applyFont="1" applyAlignment="1">
      <alignment horizontal="left" wrapText="1"/>
    </xf>
    <xf numFmtId="49" fontId="22" fillId="0" borderId="0" xfId="0" applyNumberFormat="1" applyFont="1" applyFill="1"/>
    <xf numFmtId="173" fontId="22" fillId="0" borderId="0" xfId="0" applyNumberFormat="1" applyFont="1" applyFill="1" applyBorder="1" applyAlignment="1" applyProtection="1">
      <alignment horizontal="center" vertical="center"/>
    </xf>
    <xf numFmtId="173" fontId="22" fillId="0" borderId="13" xfId="0" applyNumberFormat="1" applyFont="1" applyFill="1" applyBorder="1" applyAlignment="1" applyProtection="1">
      <alignment horizontal="centerContinuous" vertical="center"/>
    </xf>
    <xf numFmtId="173" fontId="22" fillId="0" borderId="14" xfId="0" applyNumberFormat="1" applyFont="1" applyFill="1" applyBorder="1" applyAlignment="1" applyProtection="1">
      <alignment horizontal="centerContinuous" vertical="center"/>
    </xf>
    <xf numFmtId="173" fontId="22" fillId="0" borderId="15" xfId="0" applyNumberFormat="1" applyFont="1" applyFill="1" applyBorder="1" applyAlignment="1" applyProtection="1">
      <alignment horizontal="centerContinuous" vertical="center"/>
    </xf>
    <xf numFmtId="173" fontId="22" fillId="0" borderId="0" xfId="0" applyNumberFormat="1" applyFont="1" applyFill="1"/>
    <xf numFmtId="173" fontId="22" fillId="0" borderId="16" xfId="0" applyNumberFormat="1" applyFont="1" applyFill="1" applyBorder="1" applyAlignment="1" applyProtection="1">
      <alignment horizontal="center" vertical="center"/>
    </xf>
    <xf numFmtId="173" fontId="22" fillId="0" borderId="17" xfId="0" applyNumberFormat="1" applyFont="1" applyFill="1" applyBorder="1" applyAlignment="1" applyProtection="1">
      <alignment horizontal="center" vertical="center"/>
    </xf>
    <xf numFmtId="173" fontId="22" fillId="0" borderId="18" xfId="0" applyNumberFormat="1" applyFont="1" applyFill="1" applyBorder="1" applyAlignment="1">
      <alignment horizontal="center" vertical="center"/>
    </xf>
    <xf numFmtId="49" fontId="24" fillId="6" borderId="19" xfId="0" applyNumberFormat="1" applyFont="1" applyFill="1" applyBorder="1" applyAlignment="1">
      <alignment horizontal="center"/>
    </xf>
    <xf numFmtId="173" fontId="24" fillId="6" borderId="20" xfId="0" applyNumberFormat="1" applyFont="1" applyFill="1" applyBorder="1" applyAlignment="1" applyProtection="1">
      <alignment horizontal="left" vertical="center"/>
    </xf>
    <xf numFmtId="173" fontId="24" fillId="6" borderId="21" xfId="0" applyNumberFormat="1" applyFont="1" applyFill="1" applyBorder="1" applyAlignment="1" applyProtection="1">
      <alignment horizontal="left" vertical="center"/>
    </xf>
    <xf numFmtId="0" fontId="22" fillId="0" borderId="22" xfId="0" applyNumberFormat="1" applyFont="1" applyBorder="1" applyAlignment="1">
      <alignment horizontal="center"/>
    </xf>
    <xf numFmtId="0" fontId="22" fillId="0" borderId="23" xfId="0" applyNumberFormat="1" applyFont="1" applyBorder="1"/>
    <xf numFmtId="175" fontId="22" fillId="0" borderId="0" xfId="0" applyNumberFormat="1" applyFont="1" applyFill="1" applyBorder="1" applyAlignment="1" applyProtection="1">
      <alignment vertical="center"/>
    </xf>
    <xf numFmtId="175" fontId="22" fillId="0" borderId="0" xfId="0" applyNumberFormat="1" applyFont="1" applyFill="1" applyBorder="1" applyAlignment="1" applyProtection="1">
      <alignment vertical="center"/>
      <protection locked="0"/>
    </xf>
    <xf numFmtId="175" fontId="22" fillId="0" borderId="24" xfId="0" applyNumberFormat="1" applyFont="1" applyFill="1" applyBorder="1" applyAlignment="1" applyProtection="1">
      <alignment vertical="center"/>
      <protection locked="0"/>
    </xf>
    <xf numFmtId="175" fontId="22" fillId="0" borderId="24" xfId="0" applyNumberFormat="1" applyFont="1" applyFill="1" applyBorder="1" applyAlignment="1" applyProtection="1">
      <alignment vertical="center"/>
    </xf>
    <xf numFmtId="0" fontId="22" fillId="0" borderId="25" xfId="0" applyNumberFormat="1" applyFont="1" applyBorder="1" applyAlignment="1">
      <alignment horizontal="center"/>
    </xf>
    <xf numFmtId="0" fontId="22" fillId="0" borderId="26" xfId="0" applyNumberFormat="1" applyFont="1" applyBorder="1"/>
    <xf numFmtId="0" fontId="63" fillId="0" borderId="0" xfId="0" applyFont="1" applyAlignment="1">
      <alignment wrapText="1"/>
    </xf>
    <xf numFmtId="0" fontId="63" fillId="0" borderId="0" xfId="0" applyFont="1" applyAlignment="1">
      <alignment horizontal="left" wrapText="1"/>
    </xf>
    <xf numFmtId="0" fontId="64" fillId="0" borderId="0" xfId="0" applyFont="1"/>
    <xf numFmtId="0" fontId="64" fillId="0" borderId="0" xfId="0" applyFont="1" applyAlignment="1">
      <alignment horizontal="right"/>
    </xf>
    <xf numFmtId="0" fontId="65" fillId="0" borderId="0" xfId="0" applyFont="1"/>
    <xf numFmtId="0" fontId="56" fillId="0" borderId="0" xfId="0" applyFont="1" applyFill="1" applyBorder="1"/>
    <xf numFmtId="0" fontId="56" fillId="7" borderId="0" xfId="0" applyFont="1" applyFill="1" applyBorder="1"/>
    <xf numFmtId="0" fontId="56" fillId="7" borderId="23" xfId="0" applyFont="1" applyFill="1" applyBorder="1"/>
    <xf numFmtId="0" fontId="65" fillId="7" borderId="0" xfId="0" applyFont="1" applyFill="1" applyBorder="1" applyAlignment="1"/>
    <xf numFmtId="0" fontId="59" fillId="0" borderId="0" xfId="0" applyFont="1" applyAlignment="1">
      <alignment horizontal="left" wrapText="1"/>
    </xf>
    <xf numFmtId="0" fontId="55" fillId="0" borderId="0" xfId="0" applyFont="1" applyAlignment="1">
      <alignment horizontal="center"/>
    </xf>
    <xf numFmtId="49" fontId="62" fillId="0" borderId="12" xfId="0" applyNumberFormat="1" applyFont="1" applyBorder="1" applyAlignment="1">
      <alignment horizontal="center"/>
    </xf>
    <xf numFmtId="0" fontId="22" fillId="0" borderId="12" xfId="9" applyFont="1" applyBorder="1"/>
    <xf numFmtId="0" fontId="66" fillId="0" borderId="0" xfId="4" applyFont="1" applyAlignment="1" applyProtection="1"/>
    <xf numFmtId="0" fontId="59" fillId="0" borderId="0" xfId="0" applyFont="1" applyAlignment="1">
      <alignment wrapText="1"/>
    </xf>
    <xf numFmtId="0" fontId="57" fillId="0" borderId="0" xfId="0" applyFont="1" applyFill="1" applyBorder="1" applyAlignment="1"/>
    <xf numFmtId="0" fontId="67" fillId="0" borderId="0" xfId="0" applyFont="1" applyBorder="1" applyAlignment="1"/>
    <xf numFmtId="0" fontId="56" fillId="0" borderId="0" xfId="0" applyFont="1" applyAlignment="1"/>
    <xf numFmtId="0" fontId="59" fillId="0" borderId="0" xfId="0" applyFont="1" applyAlignment="1">
      <alignment horizontal="left" vertical="top" wrapText="1"/>
    </xf>
    <xf numFmtId="0" fontId="56" fillId="0" borderId="0" xfId="0" applyFont="1" applyFill="1" applyBorder="1" applyAlignment="1">
      <alignment horizontal="right"/>
    </xf>
    <xf numFmtId="0" fontId="55" fillId="0" borderId="13" xfId="0" applyFont="1" applyBorder="1" applyAlignment="1">
      <alignment horizontal="center"/>
    </xf>
    <xf numFmtId="0" fontId="55" fillId="0" borderId="15" xfId="0" applyFont="1" applyBorder="1" applyAlignment="1">
      <alignment horizontal="center"/>
    </xf>
    <xf numFmtId="0" fontId="55" fillId="0" borderId="28" xfId="0" applyFont="1" applyBorder="1" applyAlignment="1">
      <alignment horizontal="center"/>
    </xf>
    <xf numFmtId="0" fontId="61" fillId="0" borderId="0" xfId="0" applyFont="1" applyBorder="1" applyAlignment="1">
      <alignment horizontal="center" wrapText="1"/>
    </xf>
    <xf numFmtId="0" fontId="62" fillId="0" borderId="0" xfId="0" applyFont="1" applyAlignment="1">
      <alignment horizontal="left" vertical="top" wrapText="1"/>
    </xf>
    <xf numFmtId="0" fontId="68" fillId="0" borderId="12" xfId="0" applyFont="1" applyBorder="1" applyAlignment="1">
      <alignment horizontal="left" wrapText="1"/>
    </xf>
    <xf numFmtId="0" fontId="69" fillId="0" borderId="0" xfId="9" applyFont="1" applyBorder="1" applyAlignment="1">
      <alignment horizontal="left"/>
    </xf>
    <xf numFmtId="0" fontId="69" fillId="0" borderId="0" xfId="14" applyFont="1"/>
    <xf numFmtId="0" fontId="70" fillId="0" borderId="0" xfId="14" applyFont="1"/>
    <xf numFmtId="0" fontId="71" fillId="0" borderId="4" xfId="14" applyFont="1" applyFill="1" applyBorder="1" applyAlignment="1">
      <alignment horizontal="center" wrapText="1"/>
    </xf>
    <xf numFmtId="164" fontId="71" fillId="0" borderId="0" xfId="14" applyNumberFormat="1" applyFont="1" applyFill="1" applyBorder="1" applyAlignment="1">
      <alignment horizontal="center" wrapText="1"/>
    </xf>
    <xf numFmtId="0" fontId="70" fillId="0" borderId="29" xfId="9" applyFont="1" applyBorder="1"/>
    <xf numFmtId="0" fontId="70" fillId="0" borderId="30" xfId="9" applyFont="1" applyBorder="1"/>
    <xf numFmtId="0" fontId="72" fillId="0" borderId="0" xfId="14" applyFont="1" applyFill="1" applyBorder="1" applyAlignment="1">
      <alignment wrapText="1"/>
    </xf>
    <xf numFmtId="0" fontId="70" fillId="0" borderId="31" xfId="9" applyFont="1" applyBorder="1"/>
    <xf numFmtId="0" fontId="70" fillId="0" borderId="0" xfId="14" applyFont="1" applyAlignment="1">
      <alignment horizontal="right" vertical="top"/>
    </xf>
    <xf numFmtId="0" fontId="71" fillId="0" borderId="0" xfId="16" applyFont="1"/>
    <xf numFmtId="0" fontId="61" fillId="0" borderId="0" xfId="0" applyFont="1" applyBorder="1" applyAlignment="1">
      <alignment wrapText="1"/>
    </xf>
    <xf numFmtId="0" fontId="68" fillId="0" borderId="0" xfId="0" applyFont="1" applyBorder="1" applyAlignment="1">
      <alignment horizontal="left" wrapText="1"/>
    </xf>
    <xf numFmtId="49" fontId="61" fillId="8" borderId="0" xfId="0" quotePrefix="1" applyNumberFormat="1" applyFont="1" applyFill="1" applyBorder="1" applyAlignment="1">
      <alignment horizontal="center"/>
    </xf>
    <xf numFmtId="0" fontId="61" fillId="8" borderId="14" xfId="0" applyFont="1" applyFill="1" applyBorder="1" applyAlignment="1">
      <alignment horizontal="left" vertical="top" wrapText="1"/>
    </xf>
    <xf numFmtId="3" fontId="61" fillId="8" borderId="0" xfId="0" applyNumberFormat="1" applyFont="1" applyFill="1" applyBorder="1" applyAlignment="1">
      <alignment horizontal="right" vertical="top" wrapText="1"/>
    </xf>
    <xf numFmtId="3" fontId="61" fillId="8" borderId="12" xfId="0" applyNumberFormat="1" applyFont="1" applyFill="1" applyBorder="1" applyAlignment="1">
      <alignment horizontal="right" indent="1"/>
    </xf>
    <xf numFmtId="3" fontId="61" fillId="8" borderId="12" xfId="0" applyNumberFormat="1" applyFont="1" applyFill="1" applyBorder="1" applyAlignment="1">
      <alignment horizontal="center"/>
    </xf>
    <xf numFmtId="0" fontId="61" fillId="0" borderId="28" xfId="0" applyFont="1" applyBorder="1" applyAlignment="1">
      <alignment horizontal="center" wrapText="1"/>
    </xf>
    <xf numFmtId="165" fontId="61" fillId="8" borderId="31" xfId="39" applyNumberFormat="1" applyFont="1" applyFill="1" applyBorder="1" applyAlignment="1">
      <alignment horizontal="center"/>
    </xf>
    <xf numFmtId="165" fontId="62" fillId="0" borderId="30" xfId="39" applyNumberFormat="1" applyFont="1" applyBorder="1" applyAlignment="1">
      <alignment horizontal="center"/>
    </xf>
    <xf numFmtId="165" fontId="62" fillId="0" borderId="30" xfId="0" applyNumberFormat="1" applyFont="1" applyBorder="1" applyAlignment="1">
      <alignment horizontal="center"/>
    </xf>
    <xf numFmtId="165" fontId="62" fillId="0" borderId="30" xfId="39" applyNumberFormat="1" applyFont="1" applyBorder="1" applyAlignment="1">
      <alignment horizontal="center" wrapText="1"/>
    </xf>
    <xf numFmtId="165" fontId="62" fillId="0" borderId="31" xfId="39" applyNumberFormat="1" applyFont="1" applyBorder="1" applyAlignment="1">
      <alignment horizontal="center" wrapText="1"/>
    </xf>
    <xf numFmtId="165" fontId="62" fillId="0" borderId="31" xfId="0" applyNumberFormat="1" applyFont="1" applyBorder="1" applyAlignment="1">
      <alignment horizontal="center"/>
    </xf>
    <xf numFmtId="165" fontId="62" fillId="0" borderId="31" xfId="39" applyNumberFormat="1" applyFont="1" applyBorder="1" applyAlignment="1">
      <alignment horizontal="center"/>
    </xf>
    <xf numFmtId="0" fontId="61" fillId="0" borderId="31" xfId="0" applyFont="1" applyBorder="1" applyAlignment="1">
      <alignment horizontal="center" wrapText="1"/>
    </xf>
    <xf numFmtId="3" fontId="61" fillId="8" borderId="31" xfId="0" applyNumberFormat="1" applyFont="1" applyFill="1" applyBorder="1" applyAlignment="1">
      <alignment horizontal="right" indent="1"/>
    </xf>
    <xf numFmtId="3" fontId="62" fillId="0" borderId="30" xfId="0" applyNumberFormat="1" applyFont="1" applyBorder="1" applyAlignment="1">
      <alignment horizontal="right" indent="1"/>
    </xf>
    <xf numFmtId="3" fontId="62" fillId="0" borderId="31" xfId="0" applyNumberFormat="1" applyFont="1" applyBorder="1" applyAlignment="1">
      <alignment horizontal="right" indent="1"/>
    </xf>
    <xf numFmtId="171" fontId="61" fillId="8" borderId="31" xfId="1" applyNumberFormat="1" applyFont="1" applyFill="1" applyBorder="1" applyAlignment="1">
      <alignment horizontal="right" vertical="top" wrapText="1"/>
    </xf>
    <xf numFmtId="3" fontId="61" fillId="8" borderId="31" xfId="0" applyNumberFormat="1" applyFont="1" applyFill="1" applyBorder="1" applyAlignment="1">
      <alignment horizontal="right" vertical="top" wrapText="1"/>
    </xf>
    <xf numFmtId="171" fontId="62" fillId="0" borderId="30" xfId="1" applyNumberFormat="1" applyFont="1" applyBorder="1" applyAlignment="1">
      <alignment horizontal="right" vertical="top" wrapText="1"/>
    </xf>
    <xf numFmtId="3" fontId="62" fillId="0" borderId="30" xfId="0" applyNumberFormat="1" applyFont="1" applyBorder="1" applyAlignment="1">
      <alignment horizontal="right" vertical="top" wrapText="1"/>
    </xf>
    <xf numFmtId="171" fontId="62" fillId="0" borderId="31" xfId="1" applyNumberFormat="1" applyFont="1" applyBorder="1" applyAlignment="1">
      <alignment horizontal="right" vertical="top" wrapText="1"/>
    </xf>
    <xf numFmtId="3" fontId="62" fillId="0" borderId="31" xfId="0" applyNumberFormat="1" applyFont="1" applyBorder="1" applyAlignment="1">
      <alignment horizontal="right" vertical="top" wrapText="1"/>
    </xf>
    <xf numFmtId="0" fontId="72" fillId="0" borderId="32" xfId="14" applyFont="1" applyFill="1" applyBorder="1" applyAlignment="1">
      <alignment wrapText="1"/>
    </xf>
    <xf numFmtId="0" fontId="73" fillId="0" borderId="0" xfId="0" applyFont="1" applyAlignment="1">
      <alignment wrapText="1"/>
    </xf>
    <xf numFmtId="0" fontId="73" fillId="0" borderId="0" xfId="0" applyFont="1" applyAlignment="1">
      <alignment horizontal="center"/>
    </xf>
    <xf numFmtId="0" fontId="73" fillId="0" borderId="0" xfId="0" applyFont="1"/>
    <xf numFmtId="49" fontId="55" fillId="0" borderId="12" xfId="0" applyNumberFormat="1" applyFont="1" applyBorder="1" applyAlignment="1">
      <alignment horizontal="center"/>
    </xf>
    <xf numFmtId="0" fontId="55" fillId="0" borderId="12" xfId="0" applyFont="1" applyBorder="1" applyAlignment="1">
      <alignment horizontal="left" wrapText="1"/>
    </xf>
    <xf numFmtId="0" fontId="55" fillId="0" borderId="0" xfId="0" applyFont="1" applyBorder="1" applyAlignment="1">
      <alignment horizontal="left" wrapText="1"/>
    </xf>
    <xf numFmtId="49" fontId="55" fillId="8" borderId="14" xfId="0" quotePrefix="1" applyNumberFormat="1" applyFont="1" applyFill="1" applyBorder="1" applyAlignment="1">
      <alignment horizontal="center"/>
    </xf>
    <xf numFmtId="0" fontId="55" fillId="8" borderId="14" xfId="0" applyFont="1" applyFill="1" applyBorder="1" applyAlignment="1">
      <alignment horizontal="left" wrapText="1"/>
    </xf>
    <xf numFmtId="0" fontId="55" fillId="0" borderId="0" xfId="0" applyFont="1" applyFill="1" applyBorder="1" applyAlignment="1">
      <alignment horizontal="left" wrapText="1"/>
    </xf>
    <xf numFmtId="171" fontId="55" fillId="8" borderId="15" xfId="1" applyNumberFormat="1" applyFont="1" applyFill="1" applyBorder="1" applyAlignment="1"/>
    <xf numFmtId="171" fontId="55" fillId="8" borderId="28" xfId="1" applyNumberFormat="1" applyFont="1" applyFill="1" applyBorder="1" applyAlignment="1"/>
    <xf numFmtId="171" fontId="55" fillId="8" borderId="13" xfId="1" applyNumberFormat="1" applyFont="1" applyFill="1" applyBorder="1" applyAlignment="1"/>
    <xf numFmtId="164" fontId="55" fillId="8" borderId="15" xfId="39" applyNumberFormat="1" applyFont="1" applyFill="1" applyBorder="1" applyAlignment="1"/>
    <xf numFmtId="164" fontId="55" fillId="8" borderId="13" xfId="39" applyNumberFormat="1" applyFont="1" applyFill="1" applyBorder="1" applyAlignment="1"/>
    <xf numFmtId="171" fontId="55" fillId="0" borderId="0" xfId="1" applyNumberFormat="1" applyFont="1" applyFill="1" applyAlignment="1"/>
    <xf numFmtId="49" fontId="73" fillId="0" borderId="0" xfId="0" applyNumberFormat="1" applyFont="1" applyBorder="1" applyAlignment="1">
      <alignment horizontal="center"/>
    </xf>
    <xf numFmtId="0" fontId="70" fillId="0" borderId="0" xfId="9" applyFont="1" applyBorder="1"/>
    <xf numFmtId="0" fontId="73" fillId="0" borderId="0" xfId="0" applyFont="1" applyBorder="1"/>
    <xf numFmtId="171" fontId="73" fillId="0" borderId="33" xfId="1" applyNumberFormat="1" applyFont="1" applyBorder="1"/>
    <xf numFmtId="171" fontId="73" fillId="0" borderId="30" xfId="1" applyNumberFormat="1" applyFont="1" applyBorder="1"/>
    <xf numFmtId="171" fontId="73" fillId="0" borderId="34" xfId="1" applyNumberFormat="1" applyFont="1" applyBorder="1"/>
    <xf numFmtId="164" fontId="73" fillId="0" borderId="33" xfId="39" applyNumberFormat="1" applyFont="1" applyBorder="1"/>
    <xf numFmtId="164" fontId="73" fillId="0" borderId="34" xfId="39" applyNumberFormat="1" applyFont="1" applyBorder="1"/>
    <xf numFmtId="171" fontId="73" fillId="0" borderId="0" xfId="1" applyNumberFormat="1" applyFont="1"/>
    <xf numFmtId="164" fontId="73" fillId="0" borderId="0" xfId="39" applyNumberFormat="1" applyFont="1"/>
    <xf numFmtId="49" fontId="73" fillId="0" borderId="12" xfId="0" applyNumberFormat="1" applyFont="1" applyBorder="1" applyAlignment="1">
      <alignment horizontal="center"/>
    </xf>
    <xf numFmtId="0" fontId="70" fillId="0" borderId="12" xfId="9" applyFont="1" applyBorder="1"/>
    <xf numFmtId="0" fontId="73" fillId="0" borderId="12" xfId="0" applyFont="1" applyBorder="1"/>
    <xf numFmtId="171" fontId="73" fillId="0" borderId="35" xfId="1" applyNumberFormat="1" applyFont="1" applyBorder="1"/>
    <xf numFmtId="171" fontId="73" fillId="0" borderId="31" xfId="1" applyNumberFormat="1" applyFont="1" applyBorder="1"/>
    <xf numFmtId="171" fontId="73" fillId="0" borderId="36" xfId="1" applyNumberFormat="1" applyFont="1" applyBorder="1"/>
    <xf numFmtId="164" fontId="73" fillId="0" borderId="35" xfId="39" applyNumberFormat="1" applyFont="1" applyBorder="1"/>
    <xf numFmtId="164" fontId="73" fillId="0" borderId="36" xfId="39" applyNumberFormat="1" applyFont="1" applyBorder="1"/>
    <xf numFmtId="49" fontId="73" fillId="0" borderId="0" xfId="0" applyNumberFormat="1" applyFont="1" applyAlignment="1">
      <alignment horizontal="left"/>
    </xf>
    <xf numFmtId="0" fontId="73" fillId="0" borderId="0" xfId="0" applyFont="1" applyAlignment="1">
      <alignment horizontal="left" vertical="top" wrapText="1"/>
    </xf>
    <xf numFmtId="0" fontId="70" fillId="0" borderId="0" xfId="0" applyFont="1" applyBorder="1" applyAlignment="1">
      <alignment vertical="top" wrapText="1"/>
    </xf>
    <xf numFmtId="0" fontId="66" fillId="0" borderId="0" xfId="4" applyFont="1" applyFill="1" applyBorder="1" applyAlignment="1" applyProtection="1">
      <alignment wrapText="1"/>
    </xf>
    <xf numFmtId="0" fontId="69" fillId="0" borderId="0" xfId="19" applyFont="1" applyAlignment="1">
      <alignment vertical="top"/>
    </xf>
    <xf numFmtId="0" fontId="54" fillId="0" borderId="0" xfId="15" applyFont="1"/>
    <xf numFmtId="3" fontId="56" fillId="0" borderId="24" xfId="0" applyNumberFormat="1" applyFont="1" applyFill="1" applyBorder="1" applyAlignment="1">
      <alignment horizontal="right" indent="1"/>
    </xf>
    <xf numFmtId="3" fontId="56" fillId="0" borderId="23" xfId="0" applyNumberFormat="1" applyFont="1" applyFill="1" applyBorder="1" applyAlignment="1">
      <alignment horizontal="right" indent="1"/>
    </xf>
    <xf numFmtId="0" fontId="71" fillId="0" borderId="1" xfId="29" applyFont="1" applyFill="1" applyBorder="1" applyAlignment="1"/>
    <xf numFmtId="0" fontId="57" fillId="0" borderId="0" xfId="0" applyFont="1" applyBorder="1" applyAlignment="1">
      <alignment horizontal="center" wrapText="1"/>
    </xf>
    <xf numFmtId="0" fontId="57" fillId="0" borderId="0" xfId="0" applyFont="1" applyBorder="1" applyAlignment="1">
      <alignment wrapText="1"/>
    </xf>
    <xf numFmtId="0" fontId="71" fillId="0" borderId="1" xfId="37" applyFont="1" applyFill="1" applyBorder="1" applyAlignment="1"/>
    <xf numFmtId="0" fontId="57" fillId="0" borderId="0" xfId="0" applyFont="1" applyAlignment="1">
      <alignment wrapText="1"/>
    </xf>
    <xf numFmtId="0" fontId="74" fillId="9" borderId="0" xfId="0" applyFont="1" applyFill="1" applyAlignment="1">
      <alignment wrapText="1"/>
    </xf>
    <xf numFmtId="9" fontId="56" fillId="0" borderId="0" xfId="0" applyNumberFormat="1" applyFont="1" applyFill="1" applyBorder="1"/>
    <xf numFmtId="0" fontId="56" fillId="0" borderId="0" xfId="0" applyFont="1" applyFill="1" applyBorder="1" applyAlignment="1">
      <alignment horizontal="right" indent="1"/>
    </xf>
    <xf numFmtId="3" fontId="56" fillId="0" borderId="0" xfId="0" applyNumberFormat="1" applyFont="1" applyFill="1" applyBorder="1" applyAlignment="1">
      <alignment horizontal="right" indent="1"/>
    </xf>
    <xf numFmtId="0" fontId="75" fillId="0" borderId="0" xfId="0" applyFont="1"/>
    <xf numFmtId="3" fontId="75" fillId="0" borderId="0" xfId="0" applyNumberFormat="1" applyFont="1"/>
    <xf numFmtId="9" fontId="75" fillId="0" borderId="0" xfId="39" applyFont="1"/>
    <xf numFmtId="171" fontId="75" fillId="0" borderId="0" xfId="1" applyNumberFormat="1" applyFont="1"/>
    <xf numFmtId="0" fontId="57" fillId="0" borderId="0" xfId="0" applyFont="1" applyFill="1" applyBorder="1" applyAlignment="1">
      <alignment horizontal="center"/>
    </xf>
    <xf numFmtId="9" fontId="56" fillId="0" borderId="23" xfId="39" applyFont="1" applyBorder="1" applyAlignment="1">
      <alignment horizontal="right" indent="1"/>
    </xf>
    <xf numFmtId="9" fontId="56" fillId="7" borderId="23" xfId="39" applyFont="1" applyFill="1" applyBorder="1" applyAlignment="1">
      <alignment horizontal="right" indent="1"/>
    </xf>
    <xf numFmtId="0" fontId="59" fillId="0" borderId="0" xfId="0" applyFont="1" applyBorder="1" applyAlignment="1">
      <alignment vertical="top" wrapText="1"/>
    </xf>
    <xf numFmtId="0" fontId="59" fillId="0" borderId="0" xfId="0" applyFont="1" applyAlignment="1">
      <alignment vertical="top"/>
    </xf>
    <xf numFmtId="0" fontId="59" fillId="0" borderId="0" xfId="0" applyFont="1" applyFill="1" applyBorder="1" applyAlignment="1">
      <alignment vertical="top" wrapText="1"/>
    </xf>
    <xf numFmtId="3" fontId="56" fillId="0" borderId="112" xfId="0" applyNumberFormat="1" applyFont="1" applyFill="1" applyBorder="1" applyAlignment="1">
      <alignment horizontal="center"/>
    </xf>
    <xf numFmtId="3" fontId="56" fillId="0" borderId="113" xfId="0" applyNumberFormat="1" applyFont="1" applyFill="1" applyBorder="1" applyAlignment="1">
      <alignment horizontal="center"/>
    </xf>
    <xf numFmtId="3" fontId="56" fillId="0" borderId="114" xfId="0" applyNumberFormat="1" applyFont="1" applyFill="1" applyBorder="1" applyAlignment="1">
      <alignment horizontal="center"/>
    </xf>
    <xf numFmtId="0" fontId="22" fillId="0" borderId="0" xfId="0" applyNumberFormat="1" applyFont="1" applyBorder="1" applyAlignment="1">
      <alignment horizontal="center"/>
    </xf>
    <xf numFmtId="0" fontId="22" fillId="0" borderId="0" xfId="0" applyNumberFormat="1" applyFont="1" applyBorder="1"/>
    <xf numFmtId="3" fontId="22" fillId="0" borderId="0" xfId="0" applyNumberFormat="1" applyFont="1" applyFill="1" applyBorder="1" applyAlignment="1" applyProtection="1">
      <alignment vertical="center"/>
    </xf>
    <xf numFmtId="174" fontId="22" fillId="0" borderId="0" xfId="0" applyNumberFormat="1" applyFont="1" applyFill="1" applyBorder="1" applyAlignment="1" applyProtection="1">
      <alignment horizontal="center" vertical="center"/>
    </xf>
    <xf numFmtId="164" fontId="24" fillId="6" borderId="19" xfId="39" applyNumberFormat="1" applyFont="1" applyFill="1" applyBorder="1" applyAlignment="1" applyProtection="1">
      <alignment horizontal="center" vertical="center"/>
    </xf>
    <xf numFmtId="164" fontId="22" fillId="0" borderId="22" xfId="39" applyNumberFormat="1" applyFont="1" applyFill="1" applyBorder="1" applyAlignment="1" applyProtection="1">
      <alignment horizontal="center" vertical="center"/>
    </xf>
    <xf numFmtId="164" fontId="22" fillId="0" borderId="24" xfId="39" applyNumberFormat="1" applyFont="1" applyFill="1" applyBorder="1" applyAlignment="1" applyProtection="1">
      <alignment horizontal="center" vertical="center"/>
    </xf>
    <xf numFmtId="164" fontId="22" fillId="0" borderId="23" xfId="39" applyNumberFormat="1" applyFont="1" applyFill="1" applyBorder="1" applyAlignment="1" applyProtection="1">
      <alignment horizontal="center" vertical="center"/>
    </xf>
    <xf numFmtId="164" fontId="22" fillId="0" borderId="25" xfId="39" applyNumberFormat="1" applyFont="1" applyFill="1" applyBorder="1" applyAlignment="1" applyProtection="1">
      <alignment horizontal="center" vertical="center"/>
    </xf>
    <xf numFmtId="164" fontId="22" fillId="0" borderId="27" xfId="39" applyNumberFormat="1" applyFont="1" applyFill="1" applyBorder="1" applyAlignment="1" applyProtection="1">
      <alignment horizontal="center" vertical="center"/>
    </xf>
    <xf numFmtId="164" fontId="22" fillId="0" borderId="26" xfId="39" applyNumberFormat="1" applyFont="1" applyFill="1" applyBorder="1" applyAlignment="1" applyProtection="1">
      <alignment horizontal="center" vertical="center"/>
    </xf>
    <xf numFmtId="175" fontId="22" fillId="0" borderId="22" xfId="0" applyNumberFormat="1" applyFont="1" applyFill="1" applyBorder="1" applyAlignment="1" applyProtection="1">
      <alignment vertical="center"/>
      <protection locked="0"/>
    </xf>
    <xf numFmtId="3" fontId="22" fillId="0" borderId="23" xfId="0" applyNumberFormat="1" applyFont="1" applyFill="1" applyBorder="1" applyAlignment="1" applyProtection="1">
      <alignment vertical="center"/>
    </xf>
    <xf numFmtId="175" fontId="22" fillId="0" borderId="23" xfId="0" applyNumberFormat="1" applyFont="1" applyFill="1" applyBorder="1" applyAlignment="1" applyProtection="1">
      <alignment vertical="center"/>
    </xf>
    <xf numFmtId="173" fontId="22" fillId="0" borderId="18" xfId="0" applyNumberFormat="1" applyFont="1" applyFill="1" applyBorder="1" applyAlignment="1" applyProtection="1">
      <alignment horizontal="center" vertical="center"/>
    </xf>
    <xf numFmtId="3" fontId="24" fillId="6" borderId="19" xfId="0" applyNumberFormat="1" applyFont="1" applyFill="1" applyBorder="1" applyAlignment="1" applyProtection="1">
      <alignment vertical="center"/>
    </xf>
    <xf numFmtId="3" fontId="24" fillId="6" borderId="20" xfId="0" applyNumberFormat="1" applyFont="1" applyFill="1" applyBorder="1" applyAlignment="1" applyProtection="1">
      <alignment vertical="center"/>
    </xf>
    <xf numFmtId="3" fontId="24" fillId="6" borderId="21" xfId="0" applyNumberFormat="1" applyFont="1" applyFill="1" applyBorder="1" applyAlignment="1" applyProtection="1">
      <alignment vertical="center"/>
    </xf>
    <xf numFmtId="0" fontId="56" fillId="0" borderId="0" xfId="0" applyFont="1" applyBorder="1" applyAlignment="1">
      <alignment vertical="top"/>
    </xf>
    <xf numFmtId="0" fontId="56" fillId="0" borderId="0" xfId="0" applyFont="1" applyBorder="1" applyAlignment="1">
      <alignment vertical="top" wrapText="1"/>
    </xf>
    <xf numFmtId="0" fontId="57" fillId="0" borderId="0" xfId="0" applyFont="1" applyBorder="1" applyAlignment="1">
      <alignment vertical="top"/>
    </xf>
    <xf numFmtId="171" fontId="73" fillId="0" borderId="0" xfId="1" applyNumberFormat="1" applyFont="1" applyBorder="1"/>
    <xf numFmtId="164" fontId="73" fillId="0" borderId="0" xfId="39" applyNumberFormat="1" applyFont="1" applyBorder="1"/>
    <xf numFmtId="49" fontId="55" fillId="0" borderId="0" xfId="0" applyNumberFormat="1" applyFont="1" applyBorder="1" applyAlignment="1">
      <alignment horizontal="center"/>
    </xf>
    <xf numFmtId="0" fontId="56" fillId="0" borderId="0" xfId="0" applyFont="1" applyFill="1" applyBorder="1" applyAlignment="1">
      <alignment horizontal="center"/>
    </xf>
    <xf numFmtId="164" fontId="56" fillId="0" borderId="0" xfId="39" applyNumberFormat="1" applyFont="1" applyFill="1" applyBorder="1" applyAlignment="1">
      <alignment horizontal="center"/>
    </xf>
    <xf numFmtId="164" fontId="56" fillId="0" borderId="0" xfId="0" applyNumberFormat="1" applyFont="1" applyFill="1" applyBorder="1" applyAlignment="1">
      <alignment horizontal="center"/>
    </xf>
    <xf numFmtId="0" fontId="54" fillId="0" borderId="0" xfId="0" applyFont="1" applyAlignment="1"/>
    <xf numFmtId="0" fontId="76" fillId="0" borderId="0" xfId="0" applyFont="1" applyBorder="1" applyAlignment="1">
      <alignment vertical="top" wrapText="1"/>
    </xf>
    <xf numFmtId="178" fontId="77" fillId="0" borderId="0" xfId="0" applyNumberFormat="1" applyFont="1" applyBorder="1" applyAlignment="1">
      <alignment vertical="center"/>
    </xf>
    <xf numFmtId="0" fontId="68" fillId="0" borderId="0" xfId="0" applyFont="1" applyBorder="1" applyAlignment="1">
      <alignment horizontal="left"/>
    </xf>
    <xf numFmtId="0" fontId="63" fillId="0" borderId="0" xfId="0" applyFont="1" applyAlignment="1">
      <alignment horizontal="left"/>
    </xf>
    <xf numFmtId="0" fontId="71" fillId="0" borderId="0" xfId="16" applyFont="1" applyBorder="1" applyAlignment="1">
      <alignment horizontal="center"/>
    </xf>
    <xf numFmtId="0" fontId="54" fillId="0" borderId="0" xfId="0" applyFont="1" applyBorder="1" applyAlignment="1">
      <alignment horizontal="center"/>
    </xf>
    <xf numFmtId="0" fontId="75" fillId="0" borderId="23" xfId="0" applyFont="1" applyBorder="1"/>
    <xf numFmtId="0" fontId="62" fillId="0" borderId="0" xfId="0" applyFont="1" applyAlignment="1">
      <alignment horizontal="left" vertical="top" wrapText="1"/>
    </xf>
    <xf numFmtId="0" fontId="68" fillId="0" borderId="0" xfId="0" applyFont="1" applyBorder="1" applyAlignment="1">
      <alignment horizontal="left" wrapText="1"/>
    </xf>
    <xf numFmtId="175" fontId="22" fillId="0" borderId="30" xfId="0" applyNumberFormat="1" applyFont="1" applyFill="1" applyBorder="1" applyAlignment="1" applyProtection="1">
      <alignment vertical="center"/>
      <protection locked="0"/>
    </xf>
    <xf numFmtId="165" fontId="62" fillId="0" borderId="30" xfId="39" applyNumberFormat="1" applyFont="1" applyBorder="1" applyAlignment="1">
      <alignment horizontal="center" wrapText="1"/>
    </xf>
    <xf numFmtId="165" fontId="62" fillId="0" borderId="30" xfId="0" applyNumberFormat="1" applyFont="1" applyBorder="1" applyAlignment="1">
      <alignment horizontal="center"/>
    </xf>
    <xf numFmtId="165" fontId="62" fillId="0" borderId="30" xfId="39" applyNumberFormat="1" applyFont="1" applyBorder="1" applyAlignment="1">
      <alignment horizontal="center"/>
    </xf>
    <xf numFmtId="3" fontId="56" fillId="0" borderId="22" xfId="0" applyNumberFormat="1" applyFont="1" applyFill="1" applyBorder="1" applyAlignment="1">
      <alignment horizontal="right" indent="1"/>
    </xf>
    <xf numFmtId="0" fontId="31" fillId="0" borderId="0" xfId="0" applyFont="1"/>
    <xf numFmtId="0" fontId="6" fillId="0" borderId="0" xfId="0" applyFont="1"/>
    <xf numFmtId="0" fontId="78" fillId="0" borderId="0" xfId="0" applyFont="1"/>
    <xf numFmtId="9" fontId="56" fillId="10" borderId="115" xfId="39" applyFont="1" applyFill="1" applyBorder="1" applyAlignment="1">
      <alignment horizontal="center"/>
    </xf>
    <xf numFmtId="9" fontId="56" fillId="10" borderId="116" xfId="39" applyFont="1" applyFill="1" applyBorder="1" applyAlignment="1">
      <alignment horizontal="center"/>
    </xf>
    <xf numFmtId="9" fontId="56" fillId="10" borderId="117" xfId="39" applyFont="1" applyFill="1" applyBorder="1" applyAlignment="1">
      <alignment horizontal="center"/>
    </xf>
    <xf numFmtId="0" fontId="56" fillId="12" borderId="23" xfId="0" applyFont="1" applyFill="1" applyBorder="1"/>
    <xf numFmtId="0" fontId="64" fillId="6" borderId="19" xfId="0" applyFont="1" applyFill="1" applyBorder="1" applyAlignment="1">
      <alignment horizontal="center"/>
    </xf>
    <xf numFmtId="0" fontId="64" fillId="6" borderId="21" xfId="0" applyFont="1" applyFill="1" applyBorder="1" applyAlignment="1">
      <alignment horizontal="center"/>
    </xf>
    <xf numFmtId="0" fontId="64" fillId="6" borderId="28" xfId="0" applyFont="1" applyFill="1" applyBorder="1" applyAlignment="1">
      <alignment horizontal="center"/>
    </xf>
    <xf numFmtId="0" fontId="64" fillId="13" borderId="40" xfId="0" applyFont="1" applyFill="1" applyBorder="1" applyAlignment="1"/>
    <xf numFmtId="171" fontId="57" fillId="13" borderId="16" xfId="1" applyNumberFormat="1" applyFont="1" applyFill="1" applyBorder="1" applyAlignment="1"/>
    <xf numFmtId="171" fontId="57" fillId="12" borderId="30" xfId="1" applyNumberFormat="1" applyFont="1" applyFill="1" applyBorder="1"/>
    <xf numFmtId="171" fontId="56" fillId="7" borderId="22" xfId="1" applyNumberFormat="1" applyFont="1" applyFill="1" applyBorder="1" applyAlignment="1">
      <alignment horizontal="left"/>
    </xf>
    <xf numFmtId="172" fontId="56" fillId="7" borderId="30" xfId="1" applyNumberFormat="1" applyFont="1" applyFill="1" applyBorder="1"/>
    <xf numFmtId="171" fontId="56" fillId="0" borderId="22" xfId="1" applyNumberFormat="1" applyFont="1" applyBorder="1" applyAlignment="1"/>
    <xf numFmtId="9" fontId="56" fillId="0" borderId="30" xfId="39" applyFont="1" applyBorder="1"/>
    <xf numFmtId="171" fontId="56" fillId="7" borderId="22" xfId="1" applyNumberFormat="1" applyFont="1" applyFill="1" applyBorder="1" applyAlignment="1"/>
    <xf numFmtId="171" fontId="56" fillId="7" borderId="30" xfId="1" applyNumberFormat="1" applyFont="1" applyFill="1" applyBorder="1"/>
    <xf numFmtId="171" fontId="56" fillId="0" borderId="22" xfId="1" applyNumberFormat="1" applyFont="1" applyBorder="1"/>
    <xf numFmtId="0" fontId="56" fillId="14" borderId="0" xfId="0" quotePrefix="1" applyFont="1" applyFill="1" applyAlignment="1">
      <alignment horizontal="left"/>
    </xf>
    <xf numFmtId="0" fontId="56" fillId="14" borderId="0" xfId="0" quotePrefix="1" applyFont="1" applyFill="1" applyAlignment="1"/>
    <xf numFmtId="0" fontId="56" fillId="14" borderId="0" xfId="0" applyFont="1" applyFill="1" applyAlignment="1">
      <alignment horizontal="center"/>
    </xf>
    <xf numFmtId="0" fontId="64" fillId="14" borderId="28" xfId="0" applyFont="1" applyFill="1" applyBorder="1" applyAlignment="1"/>
    <xf numFmtId="0" fontId="64" fillId="14" borderId="28" xfId="0" quotePrefix="1" applyFont="1" applyFill="1" applyBorder="1" applyAlignment="1">
      <alignment horizontal="left"/>
    </xf>
    <xf numFmtId="0" fontId="56" fillId="0" borderId="34" xfId="0" applyFont="1" applyFill="1" applyBorder="1" applyAlignment="1">
      <alignment horizontal="left"/>
    </xf>
    <xf numFmtId="164" fontId="56" fillId="0" borderId="119" xfId="39" applyNumberFormat="1" applyFont="1" applyFill="1" applyBorder="1"/>
    <xf numFmtId="164" fontId="80" fillId="0" borderId="119" xfId="39" applyNumberFormat="1" applyFont="1" applyFill="1" applyBorder="1"/>
    <xf numFmtId="0" fontId="56" fillId="0" borderId="120" xfId="0" applyFont="1" applyFill="1" applyBorder="1" applyAlignment="1">
      <alignment horizontal="right" indent="1"/>
    </xf>
    <xf numFmtId="0" fontId="56" fillId="16" borderId="34" xfId="0" applyFont="1" applyFill="1" applyBorder="1" applyAlignment="1">
      <alignment horizontal="left" indent="1"/>
    </xf>
    <xf numFmtId="0" fontId="56" fillId="0" borderId="34" xfId="0" applyFont="1" applyBorder="1" applyAlignment="1">
      <alignment horizontal="left" indent="1"/>
    </xf>
    <xf numFmtId="0" fontId="56" fillId="16" borderId="121" xfId="0" applyFont="1" applyFill="1" applyBorder="1" applyAlignment="1">
      <alignment horizontal="left" indent="1"/>
    </xf>
    <xf numFmtId="0" fontId="56" fillId="0" borderId="121" xfId="0" applyFont="1" applyBorder="1" applyAlignment="1">
      <alignment horizontal="left" indent="1"/>
    </xf>
    <xf numFmtId="0" fontId="64" fillId="6" borderId="15" xfId="0" applyFont="1" applyFill="1" applyBorder="1" applyAlignment="1">
      <alignment horizontal="center"/>
    </xf>
    <xf numFmtId="0" fontId="64" fillId="13" borderId="41" xfId="0" applyFont="1" applyFill="1" applyBorder="1" applyAlignment="1"/>
    <xf numFmtId="0" fontId="56" fillId="12" borderId="33" xfId="0" applyFont="1" applyFill="1" applyBorder="1"/>
    <xf numFmtId="0" fontId="65" fillId="7" borderId="34" xfId="0" applyFont="1" applyFill="1" applyBorder="1" applyAlignment="1">
      <alignment horizontal="left"/>
    </xf>
    <xf numFmtId="0" fontId="56" fillId="7" borderId="33" xfId="0" applyFont="1" applyFill="1" applyBorder="1"/>
    <xf numFmtId="9" fontId="56" fillId="0" borderId="33" xfId="39" applyFont="1" applyBorder="1" applyAlignment="1">
      <alignment horizontal="right" indent="1"/>
    </xf>
    <xf numFmtId="0" fontId="65" fillId="7" borderId="34" xfId="0" applyFont="1" applyFill="1" applyBorder="1" applyAlignment="1"/>
    <xf numFmtId="9" fontId="56" fillId="7" borderId="33" xfId="39" applyFont="1" applyFill="1" applyBorder="1" applyAlignment="1">
      <alignment horizontal="right" indent="1"/>
    </xf>
    <xf numFmtId="171" fontId="56" fillId="0" borderId="25" xfId="1" applyNumberFormat="1" applyFont="1" applyBorder="1"/>
    <xf numFmtId="9" fontId="56" fillId="0" borderId="26" xfId="39" applyFont="1" applyBorder="1" applyAlignment="1">
      <alignment horizontal="right" indent="1"/>
    </xf>
    <xf numFmtId="9" fontId="56" fillId="0" borderId="31" xfId="39" applyFont="1" applyBorder="1"/>
    <xf numFmtId="9" fontId="56" fillId="0" borderId="35" xfId="39" applyFont="1" applyBorder="1" applyAlignment="1">
      <alignment horizontal="right" indent="1"/>
    </xf>
    <xf numFmtId="0" fontId="57" fillId="17" borderId="122" xfId="0" applyFont="1" applyFill="1" applyBorder="1" applyAlignment="1">
      <alignment horizontal="center"/>
    </xf>
    <xf numFmtId="164" fontId="56" fillId="0" borderId="23" xfId="39" applyNumberFormat="1" applyFont="1" applyBorder="1" applyAlignment="1">
      <alignment horizontal="center"/>
    </xf>
    <xf numFmtId="164" fontId="56" fillId="16" borderId="23" xfId="39" applyNumberFormat="1" applyFont="1" applyFill="1" applyBorder="1" applyAlignment="1">
      <alignment horizontal="center"/>
    </xf>
    <xf numFmtId="0" fontId="57" fillId="17" borderId="19" xfId="0" applyFont="1" applyFill="1" applyBorder="1" applyAlignment="1">
      <alignment horizontal="center"/>
    </xf>
    <xf numFmtId="0" fontId="57" fillId="17" borderId="21" xfId="0" applyFont="1" applyFill="1" applyBorder="1" applyAlignment="1">
      <alignment horizontal="center"/>
    </xf>
    <xf numFmtId="0" fontId="57" fillId="17" borderId="123" xfId="0" applyFont="1" applyFill="1" applyBorder="1" applyAlignment="1">
      <alignment horizontal="center"/>
    </xf>
    <xf numFmtId="0" fontId="57" fillId="17" borderId="124" xfId="0" applyFont="1" applyFill="1" applyBorder="1" applyAlignment="1">
      <alignment horizontal="center"/>
    </xf>
    <xf numFmtId="164" fontId="56" fillId="0" borderId="30" xfId="39" applyNumberFormat="1" applyFont="1" applyBorder="1" applyAlignment="1">
      <alignment horizontal="center"/>
    </xf>
    <xf numFmtId="164" fontId="56" fillId="0" borderId="30" xfId="0" applyNumberFormat="1" applyFont="1" applyBorder="1" applyAlignment="1">
      <alignment horizontal="center"/>
    </xf>
    <xf numFmtId="164" fontId="56" fillId="16" borderId="30" xfId="39" applyNumberFormat="1" applyFont="1" applyFill="1" applyBorder="1" applyAlignment="1">
      <alignment horizontal="center"/>
    </xf>
    <xf numFmtId="164" fontId="56" fillId="16" borderId="30" xfId="0" applyNumberFormat="1" applyFont="1" applyFill="1" applyBorder="1" applyAlignment="1">
      <alignment horizontal="center"/>
    </xf>
    <xf numFmtId="0" fontId="57" fillId="17" borderId="125" xfId="0" applyFont="1" applyFill="1" applyBorder="1" applyAlignment="1">
      <alignment horizontal="center"/>
    </xf>
    <xf numFmtId="37" fontId="56" fillId="0" borderId="22" xfId="1" applyNumberFormat="1" applyFont="1" applyBorder="1" applyAlignment="1">
      <alignment horizontal="center"/>
    </xf>
    <xf numFmtId="37" fontId="56" fillId="16" borderId="22" xfId="1" applyNumberFormat="1" applyFont="1" applyFill="1" applyBorder="1" applyAlignment="1">
      <alignment horizontal="center"/>
    </xf>
    <xf numFmtId="0" fontId="57" fillId="18" borderId="19" xfId="0" applyFont="1" applyFill="1" applyBorder="1" applyAlignment="1">
      <alignment horizontal="center"/>
    </xf>
    <xf numFmtId="0" fontId="57" fillId="18" borderId="20" xfId="0" applyFont="1" applyFill="1" applyBorder="1" applyAlignment="1">
      <alignment horizontal="center"/>
    </xf>
    <xf numFmtId="0" fontId="57" fillId="18" borderId="42" xfId="0" applyFont="1" applyFill="1" applyBorder="1" applyAlignment="1">
      <alignment horizontal="center"/>
    </xf>
    <xf numFmtId="0" fontId="57" fillId="18" borderId="21" xfId="0" applyFont="1" applyFill="1" applyBorder="1" applyAlignment="1">
      <alignment horizontal="center"/>
    </xf>
    <xf numFmtId="0" fontId="57" fillId="19" borderId="126" xfId="0" applyFont="1" applyFill="1" applyBorder="1" applyAlignment="1">
      <alignment horizontal="center"/>
    </xf>
    <xf numFmtId="0" fontId="57" fillId="19" borderId="127" xfId="0" applyFont="1" applyFill="1" applyBorder="1" applyAlignment="1">
      <alignment horizontal="center"/>
    </xf>
    <xf numFmtId="0" fontId="57" fillId="19" borderId="128" xfId="0" applyFont="1" applyFill="1" applyBorder="1" applyAlignment="1">
      <alignment horizontal="center"/>
    </xf>
    <xf numFmtId="167" fontId="59" fillId="9" borderId="23" xfId="0" applyNumberFormat="1" applyFont="1" applyFill="1" applyBorder="1"/>
    <xf numFmtId="9" fontId="59" fillId="0" borderId="27" xfId="39" applyFont="1" applyFill="1" applyBorder="1"/>
    <xf numFmtId="9" fontId="59" fillId="0" borderId="26" xfId="39" applyFont="1" applyFill="1" applyBorder="1"/>
    <xf numFmtId="0" fontId="72" fillId="0" borderId="0" xfId="16" applyFont="1"/>
    <xf numFmtId="0" fontId="54" fillId="0" borderId="19" xfId="0" applyFont="1" applyBorder="1"/>
    <xf numFmtId="0" fontId="54" fillId="0" borderId="20" xfId="0" applyFont="1" applyBorder="1"/>
    <xf numFmtId="0" fontId="54" fillId="0" borderId="42" xfId="0" applyFont="1" applyBorder="1"/>
    <xf numFmtId="0" fontId="54" fillId="0" borderId="21" xfId="0" applyFont="1" applyBorder="1"/>
    <xf numFmtId="0" fontId="71" fillId="6" borderId="0" xfId="16" quotePrefix="1" applyFont="1" applyFill="1"/>
    <xf numFmtId="0" fontId="71" fillId="6" borderId="43" xfId="16" applyFont="1" applyFill="1" applyBorder="1" applyAlignment="1">
      <alignment wrapText="1"/>
    </xf>
    <xf numFmtId="164" fontId="75" fillId="8" borderId="22" xfId="39" applyNumberFormat="1" applyFont="1" applyFill="1" applyBorder="1"/>
    <xf numFmtId="164" fontId="75" fillId="8" borderId="24" xfId="39" applyNumberFormat="1" applyFont="1" applyFill="1" applyBorder="1"/>
    <xf numFmtId="164" fontId="75" fillId="8" borderId="44" xfId="39" applyNumberFormat="1" applyFont="1" applyFill="1" applyBorder="1"/>
    <xf numFmtId="0" fontId="72" fillId="0" borderId="1" xfId="16" applyFont="1" applyFill="1" applyBorder="1" applyAlignment="1">
      <alignment wrapText="1"/>
    </xf>
    <xf numFmtId="0" fontId="72" fillId="0" borderId="11" xfId="16" applyFont="1" applyFill="1" applyBorder="1" applyAlignment="1">
      <alignment wrapText="1"/>
    </xf>
    <xf numFmtId="171" fontId="75" fillId="0" borderId="22" xfId="1" applyNumberFormat="1" applyFont="1" applyBorder="1"/>
    <xf numFmtId="171" fontId="75" fillId="0" borderId="24" xfId="1" applyNumberFormat="1" applyFont="1" applyBorder="1"/>
    <xf numFmtId="171" fontId="75" fillId="0" borderId="44" xfId="1" applyNumberFormat="1" applyFont="1" applyBorder="1"/>
    <xf numFmtId="164" fontId="75" fillId="0" borderId="22" xfId="39" applyNumberFormat="1" applyFont="1" applyBorder="1"/>
    <xf numFmtId="164" fontId="75" fillId="0" borderId="24" xfId="39" applyNumberFormat="1" applyFont="1" applyBorder="1"/>
    <xf numFmtId="164" fontId="75" fillId="0" borderId="44" xfId="39" applyNumberFormat="1" applyFont="1" applyBorder="1"/>
    <xf numFmtId="0" fontId="72" fillId="0" borderId="0" xfId="16" applyFont="1" applyFill="1" applyBorder="1" applyAlignment="1">
      <alignment wrapText="1"/>
    </xf>
    <xf numFmtId="0" fontId="71" fillId="0" borderId="0" xfId="16" applyFont="1" applyFill="1" applyBorder="1" applyAlignment="1">
      <alignment wrapText="1"/>
    </xf>
    <xf numFmtId="0" fontId="81" fillId="0" borderId="0" xfId="14" applyFont="1"/>
    <xf numFmtId="0" fontId="81" fillId="0" borderId="0" xfId="14" applyFont="1" applyAlignment="1">
      <alignment horizontal="right" vertical="top"/>
    </xf>
    <xf numFmtId="0" fontId="82" fillId="0" borderId="0" xfId="4" applyFont="1" applyAlignment="1" applyProtection="1"/>
    <xf numFmtId="0" fontId="71" fillId="0" borderId="4" xfId="14" applyFont="1" applyFill="1" applyBorder="1" applyAlignment="1">
      <alignment horizontal="right" wrapText="1" indent="1"/>
    </xf>
    <xf numFmtId="0" fontId="71" fillId="0" borderId="46" xfId="14" applyFont="1" applyFill="1" applyBorder="1" applyAlignment="1">
      <alignment horizontal="center" wrapText="1"/>
    </xf>
    <xf numFmtId="0" fontId="71" fillId="0" borderId="47" xfId="14" applyFont="1" applyFill="1" applyBorder="1" applyAlignment="1">
      <alignment horizontal="center" wrapText="1"/>
    </xf>
    <xf numFmtId="0" fontId="71" fillId="0" borderId="48" xfId="14" applyFont="1" applyFill="1" applyBorder="1" applyAlignment="1">
      <alignment horizontal="center" wrapText="1"/>
    </xf>
    <xf numFmtId="0" fontId="71" fillId="0" borderId="49" xfId="14" quotePrefix="1" applyFont="1" applyFill="1" applyBorder="1" applyAlignment="1">
      <alignment horizontal="center" wrapText="1"/>
    </xf>
    <xf numFmtId="0" fontId="71" fillId="0" borderId="50" xfId="14" quotePrefix="1" applyFont="1" applyFill="1" applyBorder="1" applyAlignment="1">
      <alignment horizontal="center" wrapText="1"/>
    </xf>
    <xf numFmtId="0" fontId="71" fillId="0" borderId="48" xfId="14" applyFont="1" applyFill="1" applyBorder="1" applyAlignment="1">
      <alignment horizontal="center" wrapText="1"/>
    </xf>
    <xf numFmtId="0" fontId="71" fillId="0" borderId="46" xfId="14" applyFont="1" applyFill="1" applyBorder="1" applyAlignment="1">
      <alignment horizontal="center" wrapText="1"/>
    </xf>
    <xf numFmtId="0" fontId="71" fillId="0" borderId="47" xfId="14" applyFont="1" applyFill="1" applyBorder="1" applyAlignment="1">
      <alignment horizontal="center" wrapText="1"/>
    </xf>
    <xf numFmtId="0" fontId="71" fillId="0" borderId="51" xfId="14" applyFont="1" applyFill="1" applyBorder="1" applyAlignment="1">
      <alignment horizontal="center" wrapText="1"/>
    </xf>
    <xf numFmtId="0" fontId="71" fillId="0" borderId="52" xfId="14" applyFont="1" applyFill="1" applyBorder="1" applyAlignment="1">
      <alignment horizontal="center" wrapText="1"/>
    </xf>
    <xf numFmtId="0" fontId="72" fillId="0" borderId="0" xfId="14" applyFont="1" applyFill="1" applyBorder="1" applyAlignment="1">
      <alignment horizontal="right" wrapText="1" indent="1"/>
    </xf>
    <xf numFmtId="0" fontId="81" fillId="0" borderId="29" xfId="9" applyFont="1" applyBorder="1"/>
    <xf numFmtId="164" fontId="72" fillId="0" borderId="22" xfId="39" applyNumberFormat="1" applyFont="1" applyFill="1" applyBorder="1" applyAlignment="1">
      <alignment wrapText="1"/>
    </xf>
    <xf numFmtId="164" fontId="72" fillId="0" borderId="53" xfId="14" applyNumberFormat="1" applyFont="1" applyFill="1" applyBorder="1" applyAlignment="1">
      <alignment horizontal="center" wrapText="1"/>
    </xf>
    <xf numFmtId="164" fontId="72" fillId="0" borderId="24" xfId="14" applyNumberFormat="1" applyFont="1" applyFill="1" applyBorder="1" applyAlignment="1">
      <alignment horizontal="center" wrapText="1"/>
    </xf>
    <xf numFmtId="164" fontId="72" fillId="0" borderId="23" xfId="14" applyNumberFormat="1" applyFont="1" applyFill="1" applyBorder="1" applyAlignment="1">
      <alignment horizontal="center" wrapText="1"/>
    </xf>
    <xf numFmtId="164" fontId="72" fillId="0" borderId="30" xfId="14" applyNumberFormat="1" applyFont="1" applyFill="1" applyBorder="1" applyAlignment="1">
      <alignment horizontal="center" wrapText="1"/>
    </xf>
    <xf numFmtId="171" fontId="72" fillId="0" borderId="54" xfId="1" applyNumberFormat="1" applyFont="1" applyFill="1" applyBorder="1" applyAlignment="1">
      <alignment wrapText="1"/>
    </xf>
    <xf numFmtId="171" fontId="72" fillId="0" borderId="55" xfId="1" applyNumberFormat="1" applyFont="1" applyFill="1" applyBorder="1" applyAlignment="1">
      <alignment wrapText="1"/>
    </xf>
    <xf numFmtId="3" fontId="72" fillId="0" borderId="54" xfId="14" applyNumberFormat="1" applyFont="1" applyFill="1" applyBorder="1" applyAlignment="1">
      <alignment horizontal="right" wrapText="1"/>
    </xf>
    <xf numFmtId="3" fontId="72" fillId="0" borderId="55" xfId="14" applyNumberFormat="1" applyFont="1" applyFill="1" applyBorder="1" applyAlignment="1">
      <alignment horizontal="right" wrapText="1"/>
    </xf>
    <xf numFmtId="3" fontId="72" fillId="0" borderId="56" xfId="14" applyNumberFormat="1" applyFont="1" applyFill="1" applyBorder="1" applyAlignment="1">
      <alignment horizontal="right" wrapText="1"/>
    </xf>
    <xf numFmtId="3" fontId="72" fillId="0" borderId="22" xfId="14" applyNumberFormat="1" applyFont="1" applyFill="1" applyBorder="1" applyAlignment="1">
      <alignment horizontal="right" wrapText="1"/>
    </xf>
    <xf numFmtId="3" fontId="72" fillId="0" borderId="24" xfId="14" applyNumberFormat="1" applyFont="1" applyFill="1" applyBorder="1" applyAlignment="1">
      <alignment horizontal="right" wrapText="1"/>
    </xf>
    <xf numFmtId="171" fontId="81" fillId="0" borderId="22" xfId="1" applyNumberFormat="1" applyFont="1" applyBorder="1"/>
    <xf numFmtId="3" fontId="75" fillId="0" borderId="24" xfId="0" applyNumberFormat="1" applyFont="1" applyBorder="1"/>
    <xf numFmtId="0" fontId="81" fillId="0" borderId="30" xfId="9" applyFont="1" applyBorder="1"/>
    <xf numFmtId="171" fontId="72" fillId="0" borderId="22" xfId="1" applyNumberFormat="1" applyFont="1" applyFill="1" applyBorder="1" applyAlignment="1">
      <alignment wrapText="1"/>
    </xf>
    <xf numFmtId="171" fontId="72" fillId="0" borderId="24" xfId="1" applyNumberFormat="1" applyFont="1" applyFill="1" applyBorder="1" applyAlignment="1">
      <alignment wrapText="1"/>
    </xf>
    <xf numFmtId="3" fontId="72" fillId="0" borderId="53" xfId="14" applyNumberFormat="1" applyFont="1" applyFill="1" applyBorder="1" applyAlignment="1">
      <alignment horizontal="right" wrapText="1"/>
    </xf>
    <xf numFmtId="0" fontId="81" fillId="0" borderId="30" xfId="9" applyFont="1" applyBorder="1" applyAlignment="1">
      <alignment wrapText="1"/>
    </xf>
    <xf numFmtId="0" fontId="72" fillId="0" borderId="12" xfId="14" applyFont="1" applyFill="1" applyBorder="1" applyAlignment="1">
      <alignment horizontal="right" wrapText="1" indent="1"/>
    </xf>
    <xf numFmtId="0" fontId="81" fillId="0" borderId="31" xfId="9" applyFont="1" applyBorder="1"/>
    <xf numFmtId="0" fontId="72" fillId="0" borderId="12" xfId="14" applyFont="1" applyFill="1" applyBorder="1" applyAlignment="1">
      <alignment wrapText="1"/>
    </xf>
    <xf numFmtId="164" fontId="72" fillId="0" borderId="25" xfId="39" applyNumberFormat="1" applyFont="1" applyFill="1" applyBorder="1" applyAlignment="1">
      <alignment wrapText="1"/>
    </xf>
    <xf numFmtId="164" fontId="72" fillId="0" borderId="57" xfId="14" applyNumberFormat="1" applyFont="1" applyFill="1" applyBorder="1" applyAlignment="1">
      <alignment horizontal="center" wrapText="1"/>
    </xf>
    <xf numFmtId="164" fontId="72" fillId="0" borderId="27" xfId="14" applyNumberFormat="1" applyFont="1" applyFill="1" applyBorder="1" applyAlignment="1">
      <alignment horizontal="center" wrapText="1"/>
    </xf>
    <xf numFmtId="164" fontId="72" fillId="0" borderId="26" xfId="14" applyNumberFormat="1" applyFont="1" applyFill="1" applyBorder="1" applyAlignment="1">
      <alignment horizontal="center" wrapText="1"/>
    </xf>
    <xf numFmtId="164" fontId="72" fillId="0" borderId="31" xfId="14" applyNumberFormat="1" applyFont="1" applyFill="1" applyBorder="1" applyAlignment="1">
      <alignment horizontal="center" wrapText="1"/>
    </xf>
    <xf numFmtId="0" fontId="81" fillId="0" borderId="0" xfId="9" applyFont="1" applyBorder="1"/>
    <xf numFmtId="164" fontId="72" fillId="0" borderId="0" xfId="14" applyNumberFormat="1" applyFont="1" applyFill="1" applyBorder="1" applyAlignment="1">
      <alignment horizontal="center" wrapText="1"/>
    </xf>
    <xf numFmtId="3" fontId="72" fillId="0" borderId="0" xfId="14" applyNumberFormat="1" applyFont="1" applyFill="1" applyBorder="1" applyAlignment="1">
      <alignment horizontal="right" wrapText="1"/>
    </xf>
    <xf numFmtId="3" fontId="71" fillId="0" borderId="0" xfId="14" applyNumberFormat="1" applyFont="1" applyFill="1" applyBorder="1" applyAlignment="1">
      <alignment horizontal="right" wrapText="1"/>
    </xf>
    <xf numFmtId="0" fontId="72" fillId="0" borderId="0" xfId="14" applyFont="1" applyFill="1" applyBorder="1" applyAlignment="1">
      <alignment horizontal="right" wrapText="1"/>
    </xf>
    <xf numFmtId="164" fontId="72" fillId="0" borderId="22" xfId="14" applyNumberFormat="1" applyFont="1" applyFill="1" applyBorder="1" applyAlignment="1">
      <alignment horizontal="center" wrapText="1"/>
    </xf>
    <xf numFmtId="164" fontId="72" fillId="0" borderId="30" xfId="14" applyNumberFormat="1" applyFont="1" applyFill="1" applyBorder="1" applyAlignment="1">
      <alignment horizontal="center" wrapText="1"/>
    </xf>
    <xf numFmtId="3" fontId="72" fillId="0" borderId="22" xfId="14" applyNumberFormat="1" applyFont="1" applyFill="1" applyBorder="1" applyAlignment="1">
      <alignment horizontal="right" wrapText="1"/>
    </xf>
    <xf numFmtId="3" fontId="81" fillId="0" borderId="0" xfId="14" applyNumberFormat="1" applyFont="1"/>
    <xf numFmtId="0" fontId="71" fillId="0" borderId="0" xfId="11" applyFont="1" applyFill="1" applyBorder="1" applyAlignment="1">
      <alignment horizontal="center"/>
    </xf>
    <xf numFmtId="164" fontId="71" fillId="6" borderId="38" xfId="16" applyNumberFormat="1" applyFont="1" applyFill="1" applyBorder="1" applyAlignment="1">
      <alignment wrapText="1"/>
    </xf>
    <xf numFmtId="164" fontId="71" fillId="0" borderId="0" xfId="16" applyNumberFormat="1" applyFont="1" applyFill="1" applyBorder="1" applyAlignment="1">
      <alignment wrapText="1"/>
    </xf>
    <xf numFmtId="3" fontId="71" fillId="6" borderId="38" xfId="16" applyNumberFormat="1" applyFont="1" applyFill="1" applyBorder="1" applyAlignment="1">
      <alignment wrapText="1"/>
    </xf>
    <xf numFmtId="0" fontId="71" fillId="0" borderId="58" xfId="16" applyFont="1" applyFill="1" applyBorder="1" applyAlignment="1">
      <alignment horizontal="center"/>
    </xf>
    <xf numFmtId="0" fontId="71" fillId="0" borderId="58" xfId="11" applyFont="1" applyFill="1" applyBorder="1" applyAlignment="1">
      <alignment horizontal="center"/>
    </xf>
    <xf numFmtId="0" fontId="71" fillId="0" borderId="59" xfId="11" applyFont="1" applyFill="1" applyBorder="1" applyAlignment="1">
      <alignment horizontal="center"/>
    </xf>
    <xf numFmtId="176" fontId="71" fillId="0" borderId="58" xfId="1" applyNumberFormat="1" applyFont="1" applyFill="1" applyBorder="1" applyAlignment="1">
      <alignment horizontal="center"/>
    </xf>
    <xf numFmtId="176" fontId="71" fillId="0" borderId="59" xfId="1" applyNumberFormat="1" applyFont="1" applyFill="1" applyBorder="1" applyAlignment="1">
      <alignment horizontal="center"/>
    </xf>
    <xf numFmtId="164" fontId="71" fillId="6" borderId="60" xfId="16" applyNumberFormat="1" applyFont="1" applyFill="1" applyBorder="1" applyAlignment="1">
      <alignment wrapText="1"/>
    </xf>
    <xf numFmtId="164" fontId="71" fillId="6" borderId="61" xfId="16" applyNumberFormat="1" applyFont="1" applyFill="1" applyBorder="1" applyAlignment="1">
      <alignment wrapText="1"/>
    </xf>
    <xf numFmtId="3" fontId="71" fillId="6" borderId="60" xfId="16" applyNumberFormat="1" applyFont="1" applyFill="1" applyBorder="1" applyAlignment="1">
      <alignment wrapText="1"/>
    </xf>
    <xf numFmtId="3" fontId="71" fillId="6" borderId="61" xfId="16" applyNumberFormat="1" applyFont="1" applyFill="1" applyBorder="1"/>
    <xf numFmtId="164" fontId="72" fillId="0" borderId="60" xfId="16" applyNumberFormat="1" applyFont="1" applyFill="1" applyBorder="1" applyAlignment="1">
      <alignment wrapText="1"/>
    </xf>
    <xf numFmtId="164" fontId="72" fillId="0" borderId="61" xfId="16" applyNumberFormat="1" applyFont="1" applyFill="1" applyBorder="1" applyAlignment="1">
      <alignment wrapText="1"/>
    </xf>
    <xf numFmtId="164" fontId="72" fillId="0" borderId="32" xfId="16" applyNumberFormat="1" applyFont="1" applyFill="1" applyBorder="1" applyAlignment="1">
      <alignment wrapText="1"/>
    </xf>
    <xf numFmtId="3" fontId="72" fillId="0" borderId="60" xfId="16" applyNumberFormat="1" applyFont="1" applyFill="1" applyBorder="1" applyAlignment="1">
      <alignment wrapText="1"/>
    </xf>
    <xf numFmtId="3" fontId="72" fillId="0" borderId="62" xfId="0" applyNumberFormat="1" applyFont="1" applyFill="1" applyBorder="1" applyAlignment="1">
      <alignment horizontal="right" wrapText="1"/>
    </xf>
    <xf numFmtId="0" fontId="75" fillId="0" borderId="0" xfId="0" applyFont="1" applyBorder="1"/>
    <xf numFmtId="0" fontId="72" fillId="0" borderId="60" xfId="16" applyNumberFormat="1" applyFont="1" applyFill="1" applyBorder="1" applyAlignment="1">
      <alignment wrapText="1"/>
    </xf>
    <xf numFmtId="164" fontId="72" fillId="0" borderId="63" xfId="16" applyNumberFormat="1" applyFont="1" applyFill="1" applyBorder="1" applyAlignment="1">
      <alignment wrapText="1"/>
    </xf>
    <xf numFmtId="3" fontId="72" fillId="0" borderId="63" xfId="16" applyNumberFormat="1" applyFont="1" applyFill="1" applyBorder="1" applyAlignment="1">
      <alignment wrapText="1"/>
    </xf>
    <xf numFmtId="3" fontId="72" fillId="0" borderId="64" xfId="0" applyNumberFormat="1" applyFont="1" applyFill="1" applyBorder="1" applyAlignment="1">
      <alignment horizontal="right" wrapText="1"/>
    </xf>
    <xf numFmtId="3" fontId="81" fillId="0" borderId="112" xfId="14" applyNumberFormat="1" applyFont="1" applyBorder="1"/>
    <xf numFmtId="3" fontId="81" fillId="0" borderId="113" xfId="14" applyNumberFormat="1" applyFont="1" applyBorder="1"/>
    <xf numFmtId="164" fontId="72" fillId="0" borderId="37" xfId="39" applyNumberFormat="1" applyFont="1" applyBorder="1"/>
    <xf numFmtId="164" fontId="72" fillId="0" borderId="38" xfId="39" applyNumberFormat="1" applyFont="1" applyBorder="1"/>
    <xf numFmtId="164" fontId="72" fillId="0" borderId="61" xfId="39" applyNumberFormat="1" applyFont="1" applyFill="1" applyBorder="1" applyAlignment="1">
      <alignment wrapText="1"/>
    </xf>
    <xf numFmtId="0" fontId="72" fillId="0" borderId="65" xfId="16" applyFont="1" applyFill="1" applyBorder="1" applyAlignment="1">
      <alignment wrapText="1"/>
    </xf>
    <xf numFmtId="0" fontId="72" fillId="0" borderId="66" xfId="16" applyFont="1" applyFill="1" applyBorder="1" applyAlignment="1">
      <alignment wrapText="1"/>
    </xf>
    <xf numFmtId="164" fontId="72" fillId="0" borderId="67" xfId="16" applyNumberFormat="1" applyFont="1" applyFill="1" applyBorder="1" applyAlignment="1">
      <alignment wrapText="1"/>
    </xf>
    <xf numFmtId="164" fontId="72" fillId="0" borderId="37" xfId="39" applyNumberFormat="1" applyFont="1" applyBorder="1"/>
    <xf numFmtId="0" fontId="71" fillId="0" borderId="40" xfId="16" applyFont="1" applyFill="1" applyBorder="1" applyAlignment="1">
      <alignment wrapText="1"/>
    </xf>
    <xf numFmtId="0" fontId="72" fillId="0" borderId="40" xfId="16" applyFont="1" applyFill="1" applyBorder="1" applyAlignment="1">
      <alignment wrapText="1"/>
    </xf>
    <xf numFmtId="164" fontId="72" fillId="0" borderId="40" xfId="16" applyNumberFormat="1" applyFont="1" applyFill="1" applyBorder="1" applyAlignment="1">
      <alignment wrapText="1"/>
    </xf>
    <xf numFmtId="3" fontId="72" fillId="0" borderId="40" xfId="16" applyNumberFormat="1" applyFont="1" applyFill="1" applyBorder="1" applyAlignment="1">
      <alignment wrapText="1"/>
    </xf>
    <xf numFmtId="3" fontId="72" fillId="0" borderId="40" xfId="0" applyNumberFormat="1" applyFont="1" applyFill="1" applyBorder="1" applyAlignment="1">
      <alignment horizontal="right" wrapText="1"/>
    </xf>
    <xf numFmtId="0" fontId="81" fillId="0" borderId="0" xfId="19" applyFont="1" applyAlignment="1">
      <alignment vertical="top"/>
    </xf>
    <xf numFmtId="0" fontId="81" fillId="0" borderId="0" xfId="19" applyFont="1" applyFill="1" applyAlignment="1">
      <alignment vertical="top"/>
    </xf>
    <xf numFmtId="0" fontId="81" fillId="0" borderId="0" xfId="19" applyFont="1" applyAlignment="1"/>
    <xf numFmtId="49" fontId="83" fillId="0" borderId="130" xfId="19" applyNumberFormat="1" applyFont="1" applyBorder="1" applyAlignment="1">
      <alignment wrapText="1"/>
    </xf>
    <xf numFmtId="0" fontId="69" fillId="0" borderId="0" xfId="19" applyFont="1" applyAlignment="1">
      <alignment horizontal="center"/>
    </xf>
    <xf numFmtId="170" fontId="84" fillId="0" borderId="0" xfId="19" applyNumberFormat="1" applyFont="1" applyAlignment="1">
      <alignment horizontal="left" vertical="top" wrapText="1"/>
    </xf>
    <xf numFmtId="0" fontId="81" fillId="0" borderId="0" xfId="14" applyFont="1" applyFill="1" applyBorder="1" applyAlignment="1">
      <alignment horizontal="left" vertical="top" wrapText="1"/>
    </xf>
    <xf numFmtId="0" fontId="81" fillId="0" borderId="0" xfId="14" applyFont="1" applyAlignment="1"/>
    <xf numFmtId="0" fontId="75" fillId="0" borderId="0" xfId="0" applyFont="1" applyAlignment="1">
      <alignment horizontal="left" vertical="top" wrapText="1"/>
    </xf>
    <xf numFmtId="0" fontId="71" fillId="0" borderId="2" xfId="16" applyFont="1" applyFill="1" applyBorder="1" applyAlignment="1">
      <alignment horizontal="left"/>
    </xf>
    <xf numFmtId="0" fontId="71" fillId="0" borderId="6" xfId="16" applyFont="1" applyFill="1" applyBorder="1" applyAlignment="1">
      <alignment horizontal="left"/>
    </xf>
    <xf numFmtId="0" fontId="81" fillId="0" borderId="0" xfId="0" applyFont="1" applyFill="1" applyBorder="1" applyAlignment="1">
      <alignment wrapText="1"/>
    </xf>
    <xf numFmtId="0" fontId="69" fillId="0" borderId="0" xfId="0" applyFont="1" applyBorder="1"/>
    <xf numFmtId="49" fontId="81" fillId="0" borderId="0" xfId="0" applyNumberFormat="1" applyFont="1" applyFill="1" applyBorder="1" applyAlignment="1">
      <alignment horizontal="left"/>
    </xf>
    <xf numFmtId="0" fontId="69" fillId="0" borderId="0" xfId="0" applyFont="1" applyFill="1" applyBorder="1" applyAlignment="1">
      <alignment wrapText="1"/>
    </xf>
    <xf numFmtId="0" fontId="75" fillId="0" borderId="0" xfId="0" applyFont="1" applyAlignment="1">
      <alignment horizontal="center"/>
    </xf>
    <xf numFmtId="0" fontId="69" fillId="0" borderId="0" xfId="0" applyFont="1" applyFill="1" applyBorder="1" applyAlignment="1">
      <alignment horizontal="center" wrapText="1"/>
    </xf>
    <xf numFmtId="0" fontId="81" fillId="0" borderId="0" xfId="0" applyFont="1" applyFill="1" applyBorder="1" applyAlignment="1">
      <alignment horizontal="center" wrapText="1"/>
    </xf>
    <xf numFmtId="49" fontId="69" fillId="0" borderId="0" xfId="0" applyNumberFormat="1" applyFont="1" applyBorder="1" applyAlignment="1">
      <alignment horizontal="center"/>
    </xf>
    <xf numFmtId="49" fontId="69" fillId="0" borderId="0" xfId="0" applyNumberFormat="1" applyFont="1" applyBorder="1"/>
    <xf numFmtId="49" fontId="69" fillId="0" borderId="0" xfId="0" applyNumberFormat="1" applyFont="1" applyBorder="1" applyAlignment="1">
      <alignment horizontal="center" wrapText="1"/>
    </xf>
    <xf numFmtId="49" fontId="75" fillId="0" borderId="0" xfId="0" applyNumberFormat="1" applyFont="1" applyBorder="1" applyAlignment="1">
      <alignment horizontal="center"/>
    </xf>
    <xf numFmtId="0" fontId="75" fillId="0" borderId="0" xfId="0" applyFont="1" applyBorder="1" applyAlignment="1">
      <alignment horizontal="center"/>
    </xf>
    <xf numFmtId="0" fontId="75" fillId="0" borderId="0" xfId="0" applyFont="1" applyFill="1" applyAlignment="1">
      <alignment horizontal="center"/>
    </xf>
    <xf numFmtId="0" fontId="75" fillId="0" borderId="0" xfId="0" applyFont="1" applyAlignment="1">
      <alignment horizontal="left"/>
    </xf>
    <xf numFmtId="0" fontId="71" fillId="0" borderId="12" xfId="14" applyFont="1" applyFill="1" applyBorder="1" applyAlignment="1">
      <alignment horizontal="left" wrapText="1"/>
    </xf>
    <xf numFmtId="49" fontId="81" fillId="0" borderId="0" xfId="0" applyNumberFormat="1" applyFont="1" applyFill="1" applyBorder="1" applyAlignment="1">
      <alignment horizontal="center"/>
    </xf>
    <xf numFmtId="49" fontId="84" fillId="0" borderId="0" xfId="0" applyNumberFormat="1" applyFont="1" applyFill="1" applyBorder="1" applyAlignment="1">
      <alignment wrapText="1"/>
    </xf>
    <xf numFmtId="49" fontId="81" fillId="0" borderId="0" xfId="0" quotePrefix="1" applyNumberFormat="1" applyFont="1" applyFill="1" applyBorder="1" applyAlignment="1">
      <alignment horizontal="center"/>
    </xf>
    <xf numFmtId="0" fontId="75" fillId="0" borderId="0" xfId="15" applyFont="1"/>
    <xf numFmtId="0" fontId="54" fillId="0" borderId="28" xfId="15" applyFont="1" applyBorder="1" applyAlignment="1">
      <alignment horizontal="center" wrapText="1"/>
    </xf>
    <xf numFmtId="0" fontId="75" fillId="0" borderId="0" xfId="15" applyFont="1" applyAlignment="1">
      <alignment horizontal="center" wrapText="1"/>
    </xf>
    <xf numFmtId="3" fontId="54" fillId="20" borderId="28" xfId="15" applyNumberFormat="1" applyFont="1" applyFill="1" applyBorder="1" applyAlignment="1">
      <alignment horizontal="right" vertical="top"/>
    </xf>
    <xf numFmtId="3" fontId="54" fillId="11" borderId="28" xfId="15" applyNumberFormat="1" applyFont="1" applyFill="1" applyBorder="1" applyAlignment="1">
      <alignment horizontal="right" vertical="top"/>
    </xf>
    <xf numFmtId="0" fontId="54" fillId="0" borderId="28" xfId="15" applyFont="1" applyBorder="1"/>
    <xf numFmtId="0" fontId="54" fillId="0" borderId="28" xfId="15" applyFont="1" applyBorder="1" applyAlignment="1">
      <alignment horizontal="left" wrapText="1"/>
    </xf>
    <xf numFmtId="0" fontId="75" fillId="0" borderId="29" xfId="15" applyFont="1" applyBorder="1"/>
    <xf numFmtId="0" fontId="75" fillId="0" borderId="30" xfId="15" applyFont="1" applyBorder="1"/>
    <xf numFmtId="0" fontId="75" fillId="0" borderId="31" xfId="15" applyFont="1" applyBorder="1"/>
    <xf numFmtId="0" fontId="75" fillId="0" borderId="29" xfId="15" applyFont="1" applyFill="1" applyBorder="1" applyAlignment="1">
      <alignment vertical="top"/>
    </xf>
    <xf numFmtId="0" fontId="75" fillId="0" borderId="30" xfId="15" applyFont="1" applyFill="1" applyBorder="1" applyAlignment="1">
      <alignment vertical="top"/>
    </xf>
    <xf numFmtId="0" fontId="75" fillId="0" borderId="31" xfId="15" applyFont="1" applyFill="1" applyBorder="1" applyAlignment="1">
      <alignment vertical="top"/>
    </xf>
    <xf numFmtId="3" fontId="75" fillId="0" borderId="29" xfId="15" applyNumberFormat="1" applyFont="1" applyFill="1" applyBorder="1" applyAlignment="1">
      <alignment horizontal="right" vertical="top"/>
    </xf>
    <xf numFmtId="171" fontId="75" fillId="0" borderId="29" xfId="1" applyNumberFormat="1" applyFont="1" applyFill="1" applyBorder="1"/>
    <xf numFmtId="3" fontId="75" fillId="0" borderId="30" xfId="15" applyNumberFormat="1" applyFont="1" applyFill="1" applyBorder="1" applyAlignment="1">
      <alignment horizontal="right" vertical="top"/>
    </xf>
    <xf numFmtId="171" fontId="75" fillId="0" borderId="30" xfId="1" applyNumberFormat="1" applyFont="1" applyFill="1" applyBorder="1"/>
    <xf numFmtId="3" fontId="75" fillId="0" borderId="31" xfId="15" applyNumberFormat="1" applyFont="1" applyFill="1" applyBorder="1" applyAlignment="1">
      <alignment horizontal="right" vertical="top"/>
    </xf>
    <xf numFmtId="3" fontId="54" fillId="0" borderId="28" xfId="15" applyNumberFormat="1" applyFont="1" applyFill="1" applyBorder="1" applyAlignment="1">
      <alignment horizontal="right" vertical="top"/>
    </xf>
    <xf numFmtId="0" fontId="75" fillId="0" borderId="29" xfId="15" applyFont="1" applyBorder="1" applyAlignment="1">
      <alignment horizontal="center"/>
    </xf>
    <xf numFmtId="3" fontId="75" fillId="0" borderId="29" xfId="15" applyNumberFormat="1" applyFont="1" applyBorder="1"/>
    <xf numFmtId="0" fontId="75" fillId="0" borderId="30" xfId="15" applyFont="1" applyBorder="1" applyAlignment="1">
      <alignment horizontal="center"/>
    </xf>
    <xf numFmtId="3" fontId="75" fillId="0" borderId="30" xfId="15" applyNumberFormat="1" applyFont="1" applyBorder="1"/>
    <xf numFmtId="0" fontId="75" fillId="0" borderId="31" xfId="15" applyFont="1" applyBorder="1" applyAlignment="1">
      <alignment horizontal="center"/>
    </xf>
    <xf numFmtId="3" fontId="75" fillId="0" borderId="31" xfId="15" applyNumberFormat="1" applyFont="1" applyBorder="1"/>
    <xf numFmtId="0" fontId="54" fillId="0" borderId="28" xfId="15" applyFont="1" applyBorder="1" applyAlignment="1">
      <alignment horizontal="center"/>
    </xf>
    <xf numFmtId="0" fontId="54" fillId="0" borderId="28" xfId="15" applyFont="1" applyFill="1" applyBorder="1" applyAlignment="1">
      <alignment horizontal="center" wrapText="1"/>
    </xf>
    <xf numFmtId="3" fontId="54" fillId="6" borderId="28" xfId="15" applyNumberFormat="1" applyFont="1" applyFill="1" applyBorder="1" applyAlignment="1">
      <alignment horizontal="right" vertical="top"/>
    </xf>
    <xf numFmtId="3" fontId="54" fillId="6" borderId="28" xfId="15" applyNumberFormat="1" applyFont="1" applyFill="1" applyBorder="1"/>
    <xf numFmtId="0" fontId="75" fillId="0" borderId="28" xfId="15" quotePrefix="1" applyFont="1" applyBorder="1" applyAlignment="1">
      <alignment horizontal="center"/>
    </xf>
    <xf numFmtId="0" fontId="75" fillId="0" borderId="0" xfId="15" applyFont="1" applyAlignment="1">
      <alignment horizontal="left" wrapText="1"/>
    </xf>
    <xf numFmtId="0" fontId="68" fillId="0" borderId="0" xfId="9" applyFont="1" applyBorder="1" applyAlignment="1">
      <alignment wrapText="1"/>
    </xf>
    <xf numFmtId="0" fontId="63" fillId="0" borderId="0" xfId="9" applyFont="1"/>
    <xf numFmtId="0" fontId="68" fillId="0" borderId="0" xfId="9" applyFont="1" applyBorder="1" applyAlignment="1">
      <alignment horizontal="left" wrapText="1"/>
    </xf>
    <xf numFmtId="0" fontId="68" fillId="0" borderId="12" xfId="9" applyFont="1" applyBorder="1" applyAlignment="1">
      <alignment horizontal="left" wrapText="1"/>
    </xf>
    <xf numFmtId="0" fontId="68" fillId="0" borderId="12" xfId="9" applyFont="1" applyBorder="1" applyAlignment="1">
      <alignment wrapText="1"/>
    </xf>
    <xf numFmtId="0" fontId="63" fillId="0" borderId="0" xfId="9" applyFont="1" applyAlignment="1">
      <alignment wrapText="1"/>
    </xf>
    <xf numFmtId="0" fontId="68" fillId="0" borderId="0" xfId="9" applyFont="1" applyBorder="1" applyAlignment="1">
      <alignment horizontal="center"/>
    </xf>
    <xf numFmtId="49" fontId="68" fillId="0" borderId="12" xfId="9" applyNumberFormat="1" applyFont="1" applyBorder="1" applyAlignment="1">
      <alignment horizontal="center"/>
    </xf>
    <xf numFmtId="0" fontId="68" fillId="0" borderId="12" xfId="9" applyFont="1" applyBorder="1" applyAlignment="1">
      <alignment horizontal="left" wrapText="1"/>
    </xf>
    <xf numFmtId="0" fontId="68" fillId="0" borderId="12" xfId="9" applyFont="1" applyBorder="1" applyAlignment="1">
      <alignment horizontal="center" wrapText="1"/>
    </xf>
    <xf numFmtId="0" fontId="68" fillId="0" borderId="14" xfId="9" applyFont="1" applyBorder="1" applyAlignment="1">
      <alignment horizontal="center" wrapText="1"/>
    </xf>
    <xf numFmtId="49" fontId="68" fillId="6" borderId="0" xfId="9" quotePrefix="1" applyNumberFormat="1" applyFont="1" applyFill="1" applyAlignment="1">
      <alignment horizontal="center"/>
    </xf>
    <xf numFmtId="0" fontId="68" fillId="6" borderId="0" xfId="9" applyFont="1" applyFill="1" applyAlignment="1">
      <alignment horizontal="left" wrapText="1"/>
    </xf>
    <xf numFmtId="3" fontId="68" fillId="6" borderId="0" xfId="9" applyNumberFormat="1" applyFont="1" applyFill="1" applyAlignment="1">
      <alignment horizontal="right" indent="1"/>
    </xf>
    <xf numFmtId="3" fontId="68" fillId="6" borderId="0" xfId="9" applyNumberFormat="1" applyFont="1" applyFill="1" applyAlignment="1">
      <alignment horizontal="right" indent="2"/>
    </xf>
    <xf numFmtId="9" fontId="68" fillId="6" borderId="0" xfId="9" applyNumberFormat="1" applyFont="1" applyFill="1" applyAlignment="1">
      <alignment horizontal="right" wrapText="1" indent="1"/>
    </xf>
    <xf numFmtId="49" fontId="63" fillId="0" borderId="0" xfId="9" applyNumberFormat="1" applyFont="1" applyAlignment="1">
      <alignment horizontal="center"/>
    </xf>
    <xf numFmtId="0" fontId="63" fillId="0" borderId="0" xfId="9" applyFont="1" applyAlignment="1">
      <alignment horizontal="left" wrapText="1"/>
    </xf>
    <xf numFmtId="0" fontId="32" fillId="0" borderId="0" xfId="32" applyFont="1" applyFill="1" applyBorder="1" applyAlignment="1">
      <alignment wrapText="1"/>
    </xf>
    <xf numFmtId="3" fontId="63" fillId="0" borderId="0" xfId="9" applyNumberFormat="1" applyFont="1" applyAlignment="1">
      <alignment horizontal="right" indent="1"/>
    </xf>
    <xf numFmtId="3" fontId="63" fillId="0" borderId="0" xfId="9" applyNumberFormat="1" applyFont="1" applyAlignment="1">
      <alignment horizontal="right" indent="2"/>
    </xf>
    <xf numFmtId="9" fontId="63" fillId="0" borderId="0" xfId="9" applyNumberFormat="1" applyFont="1" applyAlignment="1">
      <alignment horizontal="right" wrapText="1" indent="1"/>
    </xf>
    <xf numFmtId="49" fontId="26" fillId="0" borderId="0" xfId="9" applyNumberFormat="1" applyFont="1" applyAlignment="1">
      <alignment horizontal="center"/>
    </xf>
    <xf numFmtId="165" fontId="32" fillId="0" borderId="0" xfId="14" applyNumberFormat="1" applyFont="1" applyFill="1" applyBorder="1" applyAlignment="1">
      <alignment horizontal="left" wrapText="1"/>
    </xf>
    <xf numFmtId="49" fontId="63" fillId="0" borderId="12" xfId="9" applyNumberFormat="1" applyFont="1" applyBorder="1" applyAlignment="1">
      <alignment horizontal="center"/>
    </xf>
    <xf numFmtId="0" fontId="63" fillId="0" borderId="12" xfId="9" applyFont="1" applyBorder="1" applyAlignment="1">
      <alignment horizontal="left" wrapText="1"/>
    </xf>
    <xf numFmtId="3" fontId="63" fillId="0" borderId="12" xfId="9" applyNumberFormat="1" applyFont="1" applyBorder="1" applyAlignment="1">
      <alignment horizontal="right" indent="2"/>
    </xf>
    <xf numFmtId="0" fontId="26" fillId="0" borderId="0" xfId="9" applyFont="1" applyAlignment="1">
      <alignment horizontal="right" vertical="top"/>
    </xf>
    <xf numFmtId="0" fontId="33" fillId="0" borderId="0" xfId="4" applyFont="1" applyAlignment="1" applyProtection="1"/>
    <xf numFmtId="0" fontId="26" fillId="0" borderId="0" xfId="9" applyFont="1" applyBorder="1"/>
    <xf numFmtId="0" fontId="68" fillId="0" borderId="0" xfId="9" applyFont="1" applyAlignment="1">
      <alignment horizontal="left" vertical="top" wrapText="1"/>
    </xf>
    <xf numFmtId="165" fontId="32" fillId="0" borderId="12" xfId="14" applyNumberFormat="1" applyFont="1" applyFill="1" applyBorder="1" applyAlignment="1">
      <alignment horizontal="left" wrapText="1"/>
    </xf>
    <xf numFmtId="0" fontId="54" fillId="0" borderId="28" xfId="15" applyFont="1" applyBorder="1" applyAlignment="1">
      <alignment horizontal="left" wrapText="1"/>
    </xf>
    <xf numFmtId="0" fontId="54" fillId="6" borderId="28" xfId="15" applyFont="1" applyFill="1" applyBorder="1" applyAlignment="1">
      <alignment horizontal="center" wrapText="1"/>
    </xf>
    <xf numFmtId="0" fontId="75" fillId="0" borderId="29" xfId="15" applyFont="1" applyFill="1" applyBorder="1" applyAlignment="1">
      <alignment vertical="top"/>
    </xf>
    <xf numFmtId="0" fontId="75" fillId="0" borderId="30" xfId="15" applyFont="1" applyFill="1" applyBorder="1" applyAlignment="1">
      <alignment vertical="top"/>
    </xf>
    <xf numFmtId="0" fontId="54" fillId="6" borderId="28" xfId="15" applyFont="1" applyFill="1" applyBorder="1" applyAlignment="1">
      <alignment horizontal="left" wrapText="1"/>
    </xf>
    <xf numFmtId="0" fontId="54" fillId="6" borderId="28" xfId="15" applyFont="1" applyFill="1" applyBorder="1" applyAlignment="1">
      <alignment horizontal="center"/>
    </xf>
    <xf numFmtId="49" fontId="84" fillId="0" borderId="0" xfId="19" applyNumberFormat="1" applyFont="1" applyFill="1" applyBorder="1" applyAlignment="1">
      <alignment vertical="top" wrapText="1"/>
    </xf>
    <xf numFmtId="49" fontId="84" fillId="0" borderId="131" xfId="19" applyNumberFormat="1" applyFont="1" applyFill="1" applyBorder="1" applyAlignment="1">
      <alignment vertical="top" wrapText="1"/>
    </xf>
    <xf numFmtId="3" fontId="81" fillId="0" borderId="0" xfId="19" applyNumberFormat="1" applyFont="1" applyBorder="1" applyAlignment="1">
      <alignment vertical="top"/>
    </xf>
    <xf numFmtId="0" fontId="81" fillId="0" borderId="0" xfId="19" applyFont="1" applyBorder="1" applyAlignment="1">
      <alignment vertical="top"/>
    </xf>
    <xf numFmtId="49" fontId="83" fillId="0" borderId="0" xfId="19" applyNumberFormat="1" applyFont="1" applyBorder="1" applyAlignment="1">
      <alignment wrapText="1"/>
    </xf>
    <xf numFmtId="0" fontId="81" fillId="0" borderId="0" xfId="19" applyFont="1" applyBorder="1" applyAlignment="1">
      <alignment horizontal="center" vertical="top"/>
    </xf>
    <xf numFmtId="0" fontId="71" fillId="0" borderId="4" xfId="14" applyFont="1" applyFill="1" applyBorder="1" applyAlignment="1">
      <alignment horizontal="left" wrapText="1"/>
    </xf>
    <xf numFmtId="0" fontId="81" fillId="0" borderId="0" xfId="14" applyFont="1" applyFill="1" applyBorder="1" applyAlignment="1">
      <alignment vertical="top" wrapText="1"/>
    </xf>
    <xf numFmtId="0" fontId="54" fillId="7" borderId="0" xfId="0" applyFont="1" applyFill="1" applyAlignment="1">
      <alignment horizontal="left"/>
    </xf>
    <xf numFmtId="0" fontId="54" fillId="7" borderId="0" xfId="0" applyFont="1" applyFill="1"/>
    <xf numFmtId="3" fontId="54" fillId="7" borderId="0" xfId="0" applyNumberFormat="1" applyFont="1" applyFill="1"/>
    <xf numFmtId="9" fontId="54" fillId="13" borderId="0" xfId="39" applyFont="1" applyFill="1"/>
    <xf numFmtId="0" fontId="54" fillId="0" borderId="34" xfId="0" applyFont="1" applyBorder="1"/>
    <xf numFmtId="0" fontId="54" fillId="0" borderId="0" xfId="0" applyFont="1" applyBorder="1"/>
    <xf numFmtId="0" fontId="54" fillId="0" borderId="33" xfId="0" applyFont="1" applyBorder="1"/>
    <xf numFmtId="3" fontId="54" fillId="7" borderId="34" xfId="0" applyNumberFormat="1" applyFont="1" applyFill="1" applyBorder="1"/>
    <xf numFmtId="3" fontId="54" fillId="7" borderId="0" xfId="0" applyNumberFormat="1" applyFont="1" applyFill="1" applyBorder="1"/>
    <xf numFmtId="3" fontId="54" fillId="7" borderId="33" xfId="0" applyNumberFormat="1" applyFont="1" applyFill="1" applyBorder="1"/>
    <xf numFmtId="3" fontId="75" fillId="0" borderId="34" xfId="0" applyNumberFormat="1" applyFont="1" applyBorder="1"/>
    <xf numFmtId="3" fontId="75" fillId="0" borderId="0" xfId="0" applyNumberFormat="1" applyFont="1" applyBorder="1"/>
    <xf numFmtId="3" fontId="75" fillId="0" borderId="33" xfId="0" applyNumberFormat="1" applyFont="1" applyBorder="1"/>
    <xf numFmtId="0" fontId="54" fillId="0" borderId="34" xfId="0" applyFont="1" applyBorder="1" applyAlignment="1">
      <alignment horizontal="center"/>
    </xf>
    <xf numFmtId="0" fontId="54" fillId="0" borderId="33" xfId="0" applyFont="1" applyBorder="1" applyAlignment="1">
      <alignment horizontal="center"/>
    </xf>
    <xf numFmtId="9" fontId="54" fillId="7" borderId="34" xfId="39" applyFont="1" applyFill="1" applyBorder="1"/>
    <xf numFmtId="9" fontId="54" fillId="7" borderId="0" xfId="39" applyFont="1" applyFill="1" applyBorder="1"/>
    <xf numFmtId="9" fontId="54" fillId="7" borderId="33" xfId="39" applyFont="1" applyFill="1" applyBorder="1"/>
    <xf numFmtId="9" fontId="75" fillId="0" borderId="34" xfId="39" applyFont="1" applyBorder="1"/>
    <xf numFmtId="9" fontId="75" fillId="0" borderId="0" xfId="39" applyFont="1" applyBorder="1"/>
    <xf numFmtId="9" fontId="75" fillId="0" borderId="33" xfId="39" applyFont="1" applyBorder="1"/>
    <xf numFmtId="0" fontId="72" fillId="0" borderId="40" xfId="16" applyFont="1" applyBorder="1"/>
    <xf numFmtId="0" fontId="72" fillId="0" borderId="0" xfId="14" applyFont="1" applyFill="1" applyBorder="1" applyAlignment="1">
      <alignment horizontal="left" wrapText="1"/>
    </xf>
    <xf numFmtId="0" fontId="54" fillId="6" borderId="28" xfId="15" applyFont="1" applyFill="1" applyBorder="1" applyAlignment="1">
      <alignment horizontal="left"/>
    </xf>
    <xf numFmtId="0" fontId="54" fillId="6" borderId="28" xfId="15" applyFont="1" applyFill="1" applyBorder="1" applyAlignment="1">
      <alignment horizontal="left" wrapText="1"/>
    </xf>
    <xf numFmtId="0" fontId="54" fillId="0" borderId="28" xfId="15" applyFont="1" applyFill="1" applyBorder="1" applyAlignment="1">
      <alignment vertical="top"/>
    </xf>
    <xf numFmtId="0" fontId="75" fillId="0" borderId="30" xfId="15" applyFont="1" applyBorder="1" applyAlignment="1">
      <alignment horizontal="center"/>
    </xf>
    <xf numFmtId="0" fontId="75" fillId="0" borderId="30" xfId="15" applyFont="1" applyFill="1" applyBorder="1" applyAlignment="1">
      <alignment vertical="top"/>
    </xf>
    <xf numFmtId="3" fontId="75" fillId="0" borderId="30" xfId="15" applyNumberFormat="1" applyFont="1" applyFill="1" applyBorder="1" applyAlignment="1">
      <alignment horizontal="right" vertical="top"/>
    </xf>
    <xf numFmtId="3" fontId="75" fillId="0" borderId="30" xfId="15" applyNumberFormat="1" applyFont="1" applyFill="1" applyBorder="1"/>
    <xf numFmtId="0" fontId="75" fillId="0" borderId="0" xfId="15" applyFont="1" applyBorder="1"/>
    <xf numFmtId="0" fontId="54" fillId="0" borderId="28" xfId="15" applyFont="1" applyBorder="1" applyAlignment="1">
      <alignment horizontal="center"/>
    </xf>
    <xf numFmtId="0" fontId="54" fillId="0" borderId="28" xfId="15" applyFont="1" applyFill="1" applyBorder="1" applyAlignment="1">
      <alignment vertical="top" wrapText="1"/>
    </xf>
    <xf numFmtId="3" fontId="54" fillId="0" borderId="28" xfId="15" applyNumberFormat="1" applyFont="1" applyFill="1" applyBorder="1" applyAlignment="1">
      <alignment vertical="top"/>
    </xf>
    <xf numFmtId="0" fontId="54" fillId="6" borderId="30" xfId="15" applyFont="1" applyFill="1" applyBorder="1" applyAlignment="1">
      <alignment horizontal="center"/>
    </xf>
    <xf numFmtId="0" fontId="54" fillId="6" borderId="30" xfId="15" applyFont="1" applyFill="1" applyBorder="1" applyAlignment="1">
      <alignment horizontal="left" wrapText="1"/>
    </xf>
    <xf numFmtId="171" fontId="54" fillId="6" borderId="30" xfId="1" applyNumberFormat="1" applyFont="1" applyFill="1" applyBorder="1" applyAlignment="1">
      <alignment horizontal="center" wrapText="1"/>
    </xf>
    <xf numFmtId="0" fontId="54" fillId="0" borderId="28" xfId="15" applyFont="1" applyFill="1" applyBorder="1" applyAlignment="1">
      <alignment horizontal="center" wrapText="1"/>
    </xf>
    <xf numFmtId="0" fontId="54" fillId="8" borderId="0" xfId="0" applyFont="1" applyFill="1" applyAlignment="1">
      <alignment horizontal="center"/>
    </xf>
    <xf numFmtId="0" fontId="54" fillId="8" borderId="0" xfId="0" applyFont="1" applyFill="1"/>
    <xf numFmtId="171" fontId="54" fillId="8" borderId="0" xfId="0" applyNumberFormat="1" applyFont="1" applyFill="1"/>
    <xf numFmtId="0" fontId="71" fillId="0" borderId="6" xfId="33" applyFont="1" applyFill="1" applyBorder="1" applyAlignment="1">
      <alignment horizontal="center"/>
    </xf>
    <xf numFmtId="0" fontId="71" fillId="0" borderId="69" xfId="33" applyFont="1" applyFill="1" applyBorder="1" applyAlignment="1">
      <alignment horizontal="left"/>
    </xf>
    <xf numFmtId="0" fontId="71" fillId="0" borderId="70" xfId="33" applyFont="1" applyFill="1" applyBorder="1" applyAlignment="1">
      <alignment horizontal="left"/>
    </xf>
    <xf numFmtId="0" fontId="71" fillId="0" borderId="46" xfId="33" applyFont="1" applyFill="1" applyBorder="1" applyAlignment="1">
      <alignment horizontal="center" wrapText="1"/>
    </xf>
    <xf numFmtId="0" fontId="71" fillId="0" borderId="47" xfId="33" applyFont="1" applyFill="1" applyBorder="1" applyAlignment="1">
      <alignment horizontal="center" wrapText="1"/>
    </xf>
    <xf numFmtId="0" fontId="71" fillId="0" borderId="48" xfId="33" applyFont="1" applyFill="1" applyBorder="1" applyAlignment="1">
      <alignment horizontal="center" wrapText="1"/>
    </xf>
    <xf numFmtId="0" fontId="72" fillId="0" borderId="0" xfId="16" applyFont="1" applyFill="1" applyBorder="1" applyAlignment="1">
      <alignment horizontal="center" vertical="center"/>
    </xf>
    <xf numFmtId="0" fontId="71" fillId="6" borderId="0" xfId="33" applyFont="1" applyFill="1" applyBorder="1" applyAlignment="1">
      <alignment horizontal="center"/>
    </xf>
    <xf numFmtId="0" fontId="71" fillId="6" borderId="0" xfId="33" applyFont="1" applyFill="1" applyBorder="1" applyAlignment="1">
      <alignment horizontal="left"/>
    </xf>
    <xf numFmtId="3" fontId="71" fillId="6" borderId="22" xfId="33" applyNumberFormat="1" applyFont="1" applyFill="1" applyBorder="1" applyAlignment="1">
      <alignment horizontal="center" wrapText="1"/>
    </xf>
    <xf numFmtId="0" fontId="72" fillId="0" borderId="1" xfId="33" applyFont="1" applyFill="1" applyBorder="1" applyAlignment="1">
      <alignment horizontal="center" wrapText="1"/>
    </xf>
    <xf numFmtId="0" fontId="72" fillId="0" borderId="11" xfId="33" applyFont="1" applyFill="1" applyBorder="1" applyAlignment="1">
      <alignment wrapText="1"/>
    </xf>
    <xf numFmtId="3" fontId="72" fillId="0" borderId="54" xfId="33" applyNumberFormat="1" applyFont="1" applyFill="1" applyBorder="1" applyAlignment="1">
      <alignment horizontal="right" wrapText="1"/>
    </xf>
    <xf numFmtId="3" fontId="72" fillId="0" borderId="56" xfId="33" applyNumberFormat="1" applyFont="1" applyFill="1" applyBorder="1" applyAlignment="1">
      <alignment horizontal="right" wrapText="1"/>
    </xf>
    <xf numFmtId="3" fontId="72" fillId="0" borderId="55" xfId="33" applyNumberFormat="1" applyFont="1" applyFill="1" applyBorder="1" applyAlignment="1">
      <alignment horizontal="right" wrapText="1"/>
    </xf>
    <xf numFmtId="3" fontId="72" fillId="0" borderId="0" xfId="16" applyNumberFormat="1" applyFont="1"/>
    <xf numFmtId="3" fontId="72" fillId="0" borderId="10" xfId="16" applyNumberFormat="1" applyFont="1" applyFill="1" applyBorder="1" applyAlignment="1">
      <alignment horizontal="right" vertical="center" wrapText="1"/>
    </xf>
    <xf numFmtId="3" fontId="72" fillId="0" borderId="1" xfId="16" applyNumberFormat="1" applyFont="1" applyFill="1" applyBorder="1" applyAlignment="1">
      <alignment horizontal="right" vertical="center" wrapText="1"/>
    </xf>
    <xf numFmtId="3" fontId="72" fillId="0" borderId="0" xfId="16" applyNumberFormat="1" applyFont="1" applyFill="1" applyAlignment="1">
      <alignment horizontal="right" vertical="center" wrapText="1"/>
    </xf>
    <xf numFmtId="3" fontId="72" fillId="0" borderId="1" xfId="16" applyNumberFormat="1" applyFont="1" applyBorder="1"/>
    <xf numFmtId="3" fontId="72" fillId="0" borderId="24" xfId="33" applyNumberFormat="1" applyFont="1" applyBorder="1"/>
    <xf numFmtId="3" fontId="72" fillId="0" borderId="53" xfId="33" applyNumberFormat="1" applyFont="1" applyFill="1" applyBorder="1" applyAlignment="1">
      <alignment horizontal="right" wrapText="1"/>
    </xf>
    <xf numFmtId="3" fontId="72" fillId="0" borderId="8" xfId="16" applyNumberFormat="1" applyFont="1" applyBorder="1"/>
    <xf numFmtId="3" fontId="72" fillId="0" borderId="22" xfId="33" applyNumberFormat="1" applyFont="1" applyBorder="1"/>
    <xf numFmtId="3" fontId="72" fillId="0" borderId="53" xfId="33" applyNumberFormat="1" applyFont="1" applyBorder="1"/>
    <xf numFmtId="3" fontId="72" fillId="0" borderId="0" xfId="16" applyNumberFormat="1" applyFont="1" applyFill="1" applyBorder="1" applyAlignment="1">
      <alignment horizontal="right" vertical="center" wrapText="1"/>
    </xf>
    <xf numFmtId="0" fontId="72" fillId="0" borderId="0" xfId="16" applyFont="1" applyAlignment="1"/>
    <xf numFmtId="0" fontId="0" fillId="0" borderId="0" xfId="0" applyFont="1"/>
    <xf numFmtId="0" fontId="71" fillId="7" borderId="0" xfId="14" applyFont="1" applyFill="1" applyBorder="1" applyAlignment="1">
      <alignment horizontal="left"/>
    </xf>
    <xf numFmtId="0" fontId="32" fillId="0" borderId="0" xfId="14" applyFont="1" applyFill="1" applyBorder="1" applyAlignment="1">
      <alignment horizontal="center" wrapText="1"/>
    </xf>
    <xf numFmtId="0" fontId="32" fillId="0" borderId="0" xfId="14" applyFont="1" applyFill="1" applyBorder="1" applyAlignment="1">
      <alignment wrapText="1"/>
    </xf>
    <xf numFmtId="165" fontId="32" fillId="0" borderId="0" xfId="14" applyNumberFormat="1" applyFont="1" applyFill="1" applyBorder="1" applyAlignment="1">
      <alignment horizontal="center" wrapText="1"/>
    </xf>
    <xf numFmtId="0" fontId="32" fillId="0" borderId="12" xfId="14" applyFont="1" applyFill="1" applyBorder="1" applyAlignment="1">
      <alignment horizontal="center" wrapText="1"/>
    </xf>
    <xf numFmtId="0" fontId="32" fillId="0" borderId="12" xfId="14" applyFont="1" applyFill="1" applyBorder="1" applyAlignment="1">
      <alignment wrapText="1"/>
    </xf>
    <xf numFmtId="165" fontId="32" fillId="0" borderId="12" xfId="14" applyNumberFormat="1" applyFont="1" applyFill="1" applyBorder="1" applyAlignment="1">
      <alignment horizontal="center" wrapText="1"/>
    </xf>
    <xf numFmtId="0" fontId="34" fillId="0" borderId="0" xfId="14" applyFont="1" applyBorder="1"/>
    <xf numFmtId="0" fontId="26" fillId="0" borderId="0" xfId="9" applyFont="1" applyAlignment="1">
      <alignment vertical="top" wrapText="1"/>
    </xf>
    <xf numFmtId="0" fontId="34" fillId="0" borderId="0" xfId="14" applyFont="1"/>
    <xf numFmtId="0" fontId="71" fillId="0" borderId="12" xfId="14" applyFont="1" applyFill="1" applyBorder="1" applyAlignment="1">
      <alignment horizontal="center"/>
    </xf>
    <xf numFmtId="0" fontId="71" fillId="0" borderId="12" xfId="14" applyFont="1" applyFill="1" applyBorder="1" applyAlignment="1">
      <alignment horizontal="center"/>
    </xf>
    <xf numFmtId="0" fontId="71" fillId="7" borderId="0" xfId="14" applyFont="1" applyFill="1" applyBorder="1" applyAlignment="1">
      <alignment horizontal="center"/>
    </xf>
    <xf numFmtId="0" fontId="72" fillId="0" borderId="0" xfId="14" applyFont="1" applyFill="1" applyBorder="1" applyAlignment="1">
      <alignment horizontal="center" wrapText="1"/>
    </xf>
    <xf numFmtId="0" fontId="72" fillId="0" borderId="12" xfId="14" applyFont="1" applyFill="1" applyBorder="1" applyAlignment="1">
      <alignment horizontal="center" wrapText="1"/>
    </xf>
    <xf numFmtId="0" fontId="71" fillId="0" borderId="36" xfId="14" applyFont="1" applyFill="1" applyBorder="1" applyAlignment="1">
      <alignment horizontal="center"/>
    </xf>
    <xf numFmtId="3" fontId="75" fillId="0" borderId="36" xfId="0" applyNumberFormat="1" applyFont="1" applyBorder="1"/>
    <xf numFmtId="37" fontId="75" fillId="0" borderId="34" xfId="1" applyNumberFormat="1" applyFont="1" applyBorder="1"/>
    <xf numFmtId="37" fontId="75" fillId="0" borderId="0" xfId="1" applyNumberFormat="1" applyFont="1" applyBorder="1"/>
    <xf numFmtId="37" fontId="54" fillId="7" borderId="34" xfId="1" applyNumberFormat="1" applyFont="1" applyFill="1" applyBorder="1"/>
    <xf numFmtId="37" fontId="54" fillId="7" borderId="0" xfId="1" applyNumberFormat="1" applyFont="1" applyFill="1" applyBorder="1"/>
    <xf numFmtId="0" fontId="0" fillId="0" borderId="0" xfId="0" applyFont="1" applyAlignment="1">
      <alignment horizontal="left"/>
    </xf>
    <xf numFmtId="0" fontId="71" fillId="0" borderId="12" xfId="14" applyFont="1" applyFill="1" applyBorder="1" applyAlignment="1">
      <alignment horizontal="left"/>
    </xf>
    <xf numFmtId="165" fontId="72" fillId="0" borderId="0" xfId="14" applyNumberFormat="1" applyFont="1" applyFill="1" applyBorder="1" applyAlignment="1">
      <alignment horizontal="left" wrapText="1"/>
    </xf>
    <xf numFmtId="165" fontId="72" fillId="0" borderId="12" xfId="14" applyNumberFormat="1" applyFont="1" applyFill="1" applyBorder="1" applyAlignment="1">
      <alignment horizontal="left" wrapText="1"/>
    </xf>
    <xf numFmtId="0" fontId="34" fillId="0" borderId="0" xfId="14" applyFont="1" applyBorder="1" applyAlignment="1">
      <alignment horizontal="left"/>
    </xf>
    <xf numFmtId="0" fontId="26" fillId="0" borderId="0" xfId="9" applyFont="1" applyBorder="1" applyAlignment="1">
      <alignment horizontal="left"/>
    </xf>
    <xf numFmtId="0" fontId="34" fillId="0" borderId="0" xfId="14" applyFont="1" applyAlignment="1">
      <alignment horizontal="left"/>
    </xf>
    <xf numFmtId="7" fontId="75" fillId="0" borderId="0" xfId="0" applyNumberFormat="1" applyFont="1"/>
    <xf numFmtId="0" fontId="71" fillId="6" borderId="10" xfId="27" applyFont="1" applyFill="1" applyBorder="1" applyAlignment="1">
      <alignment horizontal="center" vertical="center" wrapText="1"/>
    </xf>
    <xf numFmtId="0" fontId="71" fillId="6" borderId="71" xfId="27" applyFont="1" applyFill="1" applyBorder="1" applyAlignment="1">
      <alignment wrapText="1"/>
    </xf>
    <xf numFmtId="0" fontId="72" fillId="0" borderId="0" xfId="27" applyFont="1"/>
    <xf numFmtId="0" fontId="72" fillId="0" borderId="1" xfId="27" applyFont="1" applyFill="1" applyBorder="1" applyAlignment="1">
      <alignment wrapText="1"/>
    </xf>
    <xf numFmtId="166" fontId="72" fillId="0" borderId="1" xfId="27" applyNumberFormat="1" applyFont="1" applyFill="1" applyBorder="1" applyAlignment="1">
      <alignment horizontal="right" wrapText="1"/>
    </xf>
    <xf numFmtId="0" fontId="72" fillId="0" borderId="1" xfId="27" quotePrefix="1" applyFont="1" applyFill="1" applyBorder="1" applyAlignment="1">
      <alignment horizontal="center" wrapText="1"/>
    </xf>
    <xf numFmtId="0" fontId="72" fillId="0" borderId="11" xfId="27" applyFont="1" applyFill="1" applyBorder="1" applyAlignment="1">
      <alignment wrapText="1"/>
    </xf>
    <xf numFmtId="0" fontId="72" fillId="0" borderId="1" xfId="27" applyFont="1" applyFill="1" applyBorder="1" applyAlignment="1">
      <alignment horizontal="center" wrapText="1"/>
    </xf>
    <xf numFmtId="0" fontId="72" fillId="0" borderId="0" xfId="16" applyFont="1" applyAlignment="1">
      <alignment horizontal="left"/>
    </xf>
    <xf numFmtId="0" fontId="71" fillId="0" borderId="2" xfId="27" applyFont="1" applyFill="1" applyBorder="1" applyAlignment="1">
      <alignment horizontal="center"/>
    </xf>
    <xf numFmtId="0" fontId="71" fillId="0" borderId="2" xfId="27" applyFont="1" applyFill="1" applyBorder="1" applyAlignment="1">
      <alignment horizontal="left"/>
    </xf>
    <xf numFmtId="0" fontId="71" fillId="6" borderId="1" xfId="31" quotePrefix="1" applyFont="1" applyFill="1" applyBorder="1" applyAlignment="1">
      <alignment horizontal="center" wrapText="1"/>
    </xf>
    <xf numFmtId="0" fontId="72" fillId="0" borderId="1" xfId="31" applyFont="1" applyFill="1" applyBorder="1" applyAlignment="1">
      <alignment horizontal="center" wrapText="1"/>
    </xf>
    <xf numFmtId="0" fontId="71" fillId="0" borderId="76" xfId="34" applyFont="1" applyFill="1" applyBorder="1" applyAlignment="1">
      <alignment horizontal="center" wrapText="1"/>
    </xf>
    <xf numFmtId="167" fontId="75" fillId="0" borderId="0" xfId="0" applyNumberFormat="1" applyFont="1"/>
    <xf numFmtId="0" fontId="75" fillId="0" borderId="0" xfId="0" applyFont="1" applyFill="1" applyAlignment="1">
      <alignment wrapText="1"/>
    </xf>
    <xf numFmtId="0" fontId="71" fillId="6" borderId="11" xfId="34" applyFont="1" applyFill="1" applyBorder="1" applyAlignment="1">
      <alignment wrapText="1"/>
    </xf>
    <xf numFmtId="0" fontId="72" fillId="0" borderId="11" xfId="34" applyFont="1" applyFill="1" applyBorder="1" applyAlignment="1">
      <alignment wrapText="1"/>
    </xf>
    <xf numFmtId="0" fontId="71" fillId="0" borderId="2" xfId="31" applyFont="1" applyFill="1" applyBorder="1" applyAlignment="1">
      <alignment horizontal="center" wrapText="1"/>
    </xf>
    <xf numFmtId="0" fontId="71" fillId="0" borderId="6" xfId="34" applyFont="1" applyFill="1" applyBorder="1" applyAlignment="1">
      <alignment horizontal="left" wrapText="1"/>
    </xf>
    <xf numFmtId="0" fontId="71" fillId="0" borderId="75" xfId="34" applyFont="1" applyFill="1" applyBorder="1" applyAlignment="1">
      <alignment horizontal="center" wrapText="1"/>
    </xf>
    <xf numFmtId="0" fontId="71" fillId="0" borderId="58" xfId="34" applyFont="1" applyFill="1" applyBorder="1" applyAlignment="1">
      <alignment horizontal="center" wrapText="1"/>
    </xf>
    <xf numFmtId="0" fontId="71" fillId="0" borderId="77" xfId="34" applyFont="1" applyFill="1" applyBorder="1" applyAlignment="1">
      <alignment horizontal="center" wrapText="1"/>
    </xf>
    <xf numFmtId="0" fontId="68" fillId="0" borderId="0" xfId="0" applyFont="1"/>
    <xf numFmtId="0" fontId="0" fillId="0" borderId="0" xfId="0" applyFont="1"/>
    <xf numFmtId="49" fontId="68" fillId="0" borderId="12" xfId="0" applyNumberFormat="1" applyFont="1" applyBorder="1" applyAlignment="1">
      <alignment horizontal="center"/>
    </xf>
    <xf numFmtId="0" fontId="54" fillId="0" borderId="19" xfId="0" applyFont="1" applyBorder="1" applyAlignment="1">
      <alignment wrapText="1"/>
    </xf>
    <xf numFmtId="0" fontId="54" fillId="0" borderId="20" xfId="0" applyFont="1" applyBorder="1" applyAlignment="1">
      <alignment wrapText="1"/>
    </xf>
    <xf numFmtId="0" fontId="54" fillId="0" borderId="21" xfId="0" applyFont="1" applyBorder="1" applyAlignment="1">
      <alignment wrapText="1"/>
    </xf>
    <xf numFmtId="0" fontId="54" fillId="0" borderId="19" xfId="0" applyFont="1" applyBorder="1" applyAlignment="1">
      <alignment horizontal="center" wrapText="1"/>
    </xf>
    <xf numFmtId="0" fontId="54" fillId="0" borderId="78" xfId="0" applyFont="1" applyBorder="1" applyAlignment="1">
      <alignment horizontal="center" wrapText="1"/>
    </xf>
    <xf numFmtId="0" fontId="54" fillId="0" borderId="20" xfId="0" applyFont="1" applyBorder="1" applyAlignment="1">
      <alignment horizontal="center" wrapText="1"/>
    </xf>
    <xf numFmtId="0" fontId="54" fillId="0" borderId="21" xfId="0" applyFont="1" applyBorder="1" applyAlignment="1">
      <alignment horizontal="center"/>
    </xf>
    <xf numFmtId="49" fontId="63" fillId="0" borderId="0" xfId="0" applyNumberFormat="1" applyFont="1" applyBorder="1" applyAlignment="1">
      <alignment horizontal="center"/>
    </xf>
    <xf numFmtId="0" fontId="63" fillId="0" borderId="0" xfId="0" applyFont="1" applyBorder="1"/>
    <xf numFmtId="49" fontId="63" fillId="0" borderId="12" xfId="0" applyNumberFormat="1" applyFont="1" applyBorder="1" applyAlignment="1">
      <alignment horizontal="center"/>
    </xf>
    <xf numFmtId="0" fontId="26" fillId="0" borderId="12" xfId="9" applyFont="1" applyBorder="1"/>
    <xf numFmtId="0" fontId="63" fillId="0" borderId="12" xfId="0" applyFont="1" applyBorder="1"/>
    <xf numFmtId="0" fontId="63" fillId="0" borderId="0" xfId="0" applyFont="1" applyAlignment="1">
      <alignment horizontal="left" vertical="top" wrapText="1"/>
    </xf>
    <xf numFmtId="0" fontId="26" fillId="0" borderId="0" xfId="0" applyFont="1" applyBorder="1" applyAlignment="1">
      <alignment vertical="top" wrapText="1"/>
    </xf>
    <xf numFmtId="0" fontId="33" fillId="0" borderId="0" xfId="4" applyFont="1" applyFill="1" applyBorder="1" applyAlignment="1" applyProtection="1">
      <alignment wrapText="1"/>
    </xf>
    <xf numFmtId="0" fontId="75" fillId="0" borderId="0" xfId="0" applyFont="1" applyAlignment="1">
      <alignment wrapText="1"/>
    </xf>
    <xf numFmtId="49" fontId="54" fillId="0" borderId="12" xfId="0" applyNumberFormat="1" applyFont="1" applyBorder="1" applyAlignment="1">
      <alignment horizontal="center"/>
    </xf>
    <xf numFmtId="0" fontId="54" fillId="0" borderId="12" xfId="0" applyFont="1" applyBorder="1" applyAlignment="1">
      <alignment horizontal="left" wrapText="1"/>
    </xf>
    <xf numFmtId="49" fontId="54" fillId="8" borderId="14" xfId="0" quotePrefix="1" applyNumberFormat="1" applyFont="1" applyFill="1" applyBorder="1" applyAlignment="1">
      <alignment horizontal="center"/>
    </xf>
    <xf numFmtId="0" fontId="54" fillId="8" borderId="14" xfId="0" applyFont="1" applyFill="1" applyBorder="1" applyAlignment="1">
      <alignment horizontal="left" wrapText="1"/>
    </xf>
    <xf numFmtId="0" fontId="75" fillId="0" borderId="22" xfId="0" applyFont="1" applyBorder="1"/>
    <xf numFmtId="0" fontId="75" fillId="0" borderId="24" xfId="0" applyFont="1" applyBorder="1"/>
    <xf numFmtId="0" fontId="75" fillId="0" borderId="30" xfId="0" applyFont="1" applyBorder="1" applyAlignment="1">
      <alignment horizontal="right"/>
    </xf>
    <xf numFmtId="9" fontId="75" fillId="0" borderId="22" xfId="39" applyFont="1" applyBorder="1" applyAlignment="1">
      <alignment horizontal="center"/>
    </xf>
    <xf numFmtId="9" fontId="75" fillId="0" borderId="53" xfId="39" applyFont="1" applyBorder="1" applyAlignment="1">
      <alignment horizontal="center"/>
    </xf>
    <xf numFmtId="9" fontId="75" fillId="0" borderId="24" xfId="39" applyFont="1" applyBorder="1" applyAlignment="1">
      <alignment horizontal="center"/>
    </xf>
    <xf numFmtId="9" fontId="75" fillId="0" borderId="23" xfId="39" applyFont="1" applyBorder="1" applyAlignment="1">
      <alignment horizontal="center"/>
    </xf>
    <xf numFmtId="0" fontId="75" fillId="0" borderId="30" xfId="1" applyNumberFormat="1" applyFont="1" applyBorder="1" applyAlignment="1">
      <alignment horizontal="right"/>
    </xf>
    <xf numFmtId="49" fontId="75" fillId="0" borderId="12" xfId="0" applyNumberFormat="1" applyFont="1" applyBorder="1" applyAlignment="1">
      <alignment horizontal="center"/>
    </xf>
    <xf numFmtId="0" fontId="81" fillId="0" borderId="12" xfId="9" applyFont="1" applyBorder="1"/>
    <xf numFmtId="0" fontId="75" fillId="0" borderId="12" xfId="0" applyFont="1" applyBorder="1"/>
    <xf numFmtId="0" fontId="75" fillId="0" borderId="0" xfId="0" applyFont="1" applyAlignment="1">
      <alignment horizontal="left" vertical="top"/>
    </xf>
    <xf numFmtId="0" fontId="75" fillId="0" borderId="0" xfId="0" applyFont="1" applyAlignment="1">
      <alignment vertical="top"/>
    </xf>
    <xf numFmtId="0" fontId="81" fillId="0" borderId="0" xfId="0" applyFont="1" applyBorder="1" applyAlignment="1">
      <alignment vertical="top" wrapText="1"/>
    </xf>
    <xf numFmtId="0" fontId="82" fillId="0" borderId="0" xfId="4" applyFont="1" applyFill="1" applyBorder="1" applyAlignment="1" applyProtection="1">
      <alignment wrapText="1"/>
    </xf>
    <xf numFmtId="9" fontId="54" fillId="6" borderId="22" xfId="39" applyFont="1" applyFill="1" applyBorder="1" applyAlignment="1">
      <alignment horizontal="center"/>
    </xf>
    <xf numFmtId="9" fontId="54" fillId="6" borderId="23" xfId="39" applyFont="1" applyFill="1" applyBorder="1" applyAlignment="1">
      <alignment horizontal="center"/>
    </xf>
    <xf numFmtId="3" fontId="54" fillId="6" borderId="19" xfId="0" applyNumberFormat="1" applyFont="1" applyFill="1" applyBorder="1"/>
    <xf numFmtId="3" fontId="54" fillId="6" borderId="20" xfId="0" applyNumberFormat="1" applyFont="1" applyFill="1" applyBorder="1"/>
    <xf numFmtId="3" fontId="54" fillId="6" borderId="21" xfId="0" applyNumberFormat="1" applyFont="1" applyFill="1" applyBorder="1"/>
    <xf numFmtId="0" fontId="54" fillId="6" borderId="19" xfId="0" applyFont="1" applyFill="1" applyBorder="1"/>
    <xf numFmtId="0" fontId="54" fillId="6" borderId="20" xfId="0" applyFont="1" applyFill="1" applyBorder="1"/>
    <xf numFmtId="0" fontId="54" fillId="6" borderId="21" xfId="0" applyFont="1" applyFill="1" applyBorder="1"/>
    <xf numFmtId="171" fontId="54" fillId="6" borderId="28" xfId="1" applyNumberFormat="1" applyFont="1" applyFill="1" applyBorder="1"/>
    <xf numFmtId="177" fontId="75" fillId="0" borderId="0" xfId="3" applyNumberFormat="1" applyFont="1"/>
    <xf numFmtId="177" fontId="54" fillId="0" borderId="0" xfId="3" applyNumberFormat="1" applyFont="1" applyAlignment="1">
      <alignment horizontal="center"/>
    </xf>
    <xf numFmtId="177" fontId="54" fillId="0" borderId="0" xfId="3" applyNumberFormat="1" applyFont="1"/>
    <xf numFmtId="49" fontId="68" fillId="13" borderId="14" xfId="0" quotePrefix="1" applyNumberFormat="1" applyFont="1" applyFill="1" applyBorder="1" applyAlignment="1">
      <alignment horizontal="center"/>
    </xf>
    <xf numFmtId="0" fontId="68" fillId="13" borderId="14" xfId="0" applyFont="1" applyFill="1" applyBorder="1" applyAlignment="1">
      <alignment horizontal="left" wrapText="1"/>
    </xf>
    <xf numFmtId="177" fontId="54" fillId="0" borderId="0" xfId="3" applyNumberFormat="1" applyFont="1" applyFill="1"/>
    <xf numFmtId="9" fontId="54" fillId="21" borderId="0" xfId="39" applyFont="1" applyFill="1"/>
    <xf numFmtId="177" fontId="54" fillId="0" borderId="34" xfId="3" applyNumberFormat="1" applyFont="1" applyBorder="1"/>
    <xf numFmtId="177" fontId="54" fillId="0" borderId="0" xfId="3" applyNumberFormat="1" applyFont="1" applyBorder="1" applyAlignment="1">
      <alignment wrapText="1"/>
    </xf>
    <xf numFmtId="177" fontId="54" fillId="0" borderId="0" xfId="3" applyNumberFormat="1" applyFont="1" applyBorder="1"/>
    <xf numFmtId="177" fontId="54" fillId="0" borderId="33" xfId="3" applyNumberFormat="1" applyFont="1" applyBorder="1"/>
    <xf numFmtId="177" fontId="54" fillId="13" borderId="13" xfId="3" applyNumberFormat="1" applyFont="1" applyFill="1" applyBorder="1"/>
    <xf numFmtId="177" fontId="54" fillId="13" borderId="14" xfId="3" applyNumberFormat="1" applyFont="1" applyFill="1" applyBorder="1"/>
    <xf numFmtId="177" fontId="54" fillId="13" borderId="15" xfId="3" applyNumberFormat="1" applyFont="1" applyFill="1" applyBorder="1"/>
    <xf numFmtId="177" fontId="75" fillId="0" borderId="34" xfId="3" applyNumberFormat="1" applyFont="1" applyBorder="1"/>
    <xf numFmtId="177" fontId="75" fillId="0" borderId="0" xfId="3" applyNumberFormat="1" applyFont="1" applyBorder="1"/>
    <xf numFmtId="177" fontId="75" fillId="0" borderId="33" xfId="3" applyNumberFormat="1" applyFont="1" applyBorder="1"/>
    <xf numFmtId="177" fontId="75" fillId="0" borderId="36" xfId="3" applyNumberFormat="1" applyFont="1" applyBorder="1"/>
    <xf numFmtId="177" fontId="75" fillId="0" borderId="12" xfId="3" applyNumberFormat="1" applyFont="1" applyBorder="1"/>
    <xf numFmtId="177" fontId="75" fillId="0" borderId="35" xfId="3" applyNumberFormat="1" applyFont="1" applyBorder="1"/>
    <xf numFmtId="9" fontId="54" fillId="0" borderId="34" xfId="39" applyFont="1" applyBorder="1"/>
    <xf numFmtId="9" fontId="54" fillId="0" borderId="33" xfId="39" applyFont="1" applyBorder="1" applyAlignment="1">
      <alignment wrapText="1"/>
    </xf>
    <xf numFmtId="9" fontId="54" fillId="13" borderId="13" xfId="39" applyFont="1" applyFill="1" applyBorder="1"/>
    <xf numFmtId="9" fontId="54" fillId="13" borderId="14" xfId="39" applyFont="1" applyFill="1" applyBorder="1"/>
    <xf numFmtId="9" fontId="54" fillId="13" borderId="15" xfId="39" applyFont="1" applyFill="1" applyBorder="1"/>
    <xf numFmtId="9" fontId="75" fillId="0" borderId="36" xfId="39" applyFont="1" applyBorder="1"/>
    <xf numFmtId="9" fontId="75" fillId="0" borderId="12" xfId="39" applyFont="1" applyBorder="1"/>
    <xf numFmtId="9" fontId="75" fillId="0" borderId="35" xfId="39" applyFont="1" applyBorder="1"/>
    <xf numFmtId="9" fontId="54" fillId="0" borderId="0" xfId="39" applyFont="1" applyBorder="1" applyAlignment="1">
      <alignment wrapText="1"/>
    </xf>
    <xf numFmtId="9" fontId="54" fillId="0" borderId="33" xfId="39" applyFont="1" applyBorder="1"/>
    <xf numFmtId="0" fontId="75" fillId="0" borderId="0" xfId="0" applyFont="1" applyFill="1" applyBorder="1"/>
    <xf numFmtId="0" fontId="72" fillId="0" borderId="1" xfId="37" applyFont="1" applyFill="1" applyBorder="1" applyAlignment="1">
      <alignment wrapText="1"/>
    </xf>
    <xf numFmtId="166" fontId="32" fillId="0" borderId="1" xfId="38" applyNumberFormat="1" applyFont="1" applyFill="1" applyBorder="1" applyAlignment="1">
      <alignment horizontal="right" wrapText="1"/>
    </xf>
    <xf numFmtId="0" fontId="71" fillId="0" borderId="75" xfId="21" applyFont="1" applyFill="1" applyBorder="1" applyAlignment="1">
      <alignment horizontal="center"/>
    </xf>
    <xf numFmtId="0" fontId="71" fillId="0" borderId="58" xfId="21" applyFont="1" applyFill="1" applyBorder="1" applyAlignment="1">
      <alignment horizontal="center"/>
    </xf>
    <xf numFmtId="0" fontId="71" fillId="0" borderId="76" xfId="21" applyFont="1" applyFill="1" applyBorder="1" applyAlignment="1">
      <alignment horizontal="center"/>
    </xf>
    <xf numFmtId="0" fontId="72" fillId="0" borderId="71" xfId="25" applyFont="1" applyFill="1" applyBorder="1" applyAlignment="1">
      <alignment wrapText="1"/>
    </xf>
    <xf numFmtId="167" fontId="72" fillId="0" borderId="79" xfId="25" applyNumberFormat="1" applyFont="1" applyFill="1" applyBorder="1" applyAlignment="1">
      <alignment wrapText="1"/>
    </xf>
    <xf numFmtId="167" fontId="72" fillId="0" borderId="81" xfId="25" applyNumberFormat="1" applyFont="1" applyFill="1" applyBorder="1" applyAlignment="1">
      <alignment wrapText="1"/>
    </xf>
    <xf numFmtId="0" fontId="72" fillId="0" borderId="11" xfId="25" applyFont="1" applyFill="1" applyBorder="1" applyAlignment="1">
      <alignment wrapText="1"/>
    </xf>
    <xf numFmtId="0" fontId="71" fillId="0" borderId="2" xfId="25" applyFont="1" applyFill="1" applyBorder="1" applyAlignment="1">
      <alignment horizontal="center"/>
    </xf>
    <xf numFmtId="0" fontId="72" fillId="0" borderId="10" xfId="31" applyFont="1" applyFill="1" applyBorder="1" applyAlignment="1">
      <alignment horizontal="center" wrapText="1"/>
    </xf>
    <xf numFmtId="0" fontId="71" fillId="0" borderId="2" xfId="31" applyFont="1" applyFill="1" applyBorder="1" applyAlignment="1">
      <alignment horizontal="left" wrapText="1"/>
    </xf>
    <xf numFmtId="0" fontId="71" fillId="0" borderId="2" xfId="25" applyFont="1" applyFill="1" applyBorder="1" applyAlignment="1">
      <alignment horizontal="left"/>
    </xf>
    <xf numFmtId="0" fontId="71" fillId="0" borderId="2" xfId="34" applyFont="1" applyFill="1" applyBorder="1" applyAlignment="1">
      <alignment horizontal="center" wrapText="1"/>
    </xf>
    <xf numFmtId="0" fontId="71" fillId="6" borderId="83" xfId="31" quotePrefix="1" applyFont="1" applyFill="1" applyBorder="1" applyAlignment="1">
      <alignment horizontal="center" wrapText="1"/>
    </xf>
    <xf numFmtId="0" fontId="71" fillId="6" borderId="2" xfId="25" applyFont="1" applyFill="1" applyBorder="1" applyAlignment="1">
      <alignment wrapText="1"/>
    </xf>
    <xf numFmtId="167" fontId="71" fillId="6" borderId="2" xfId="25" applyNumberFormat="1" applyFont="1" applyFill="1" applyBorder="1" applyAlignment="1">
      <alignment wrapText="1"/>
    </xf>
    <xf numFmtId="167" fontId="54" fillId="6" borderId="2" xfId="0" applyNumberFormat="1" applyFont="1" applyFill="1" applyBorder="1"/>
    <xf numFmtId="0" fontId="72" fillId="0" borderId="1" xfId="29" applyFont="1" applyFill="1" applyBorder="1" applyAlignment="1">
      <alignment wrapText="1"/>
    </xf>
    <xf numFmtId="0" fontId="72" fillId="0" borderId="0" xfId="29" applyFont="1" applyFill="1" applyBorder="1" applyAlignment="1">
      <alignment wrapText="1"/>
    </xf>
    <xf numFmtId="167" fontId="72" fillId="0" borderId="0" xfId="29" applyNumberFormat="1" applyFont="1" applyFill="1" applyBorder="1" applyAlignment="1">
      <alignment horizontal="right" wrapText="1"/>
    </xf>
    <xf numFmtId="0" fontId="71" fillId="22" borderId="0" xfId="29" applyFont="1" applyFill="1" applyBorder="1" applyAlignment="1">
      <alignment horizontal="left"/>
    </xf>
    <xf numFmtId="167" fontId="71" fillId="6" borderId="1" xfId="29" applyNumberFormat="1" applyFont="1" applyFill="1" applyBorder="1" applyAlignment="1">
      <alignment wrapText="1"/>
    </xf>
    <xf numFmtId="167" fontId="72" fillId="0" borderId="1" xfId="29" applyNumberFormat="1" applyFont="1" applyFill="1" applyBorder="1" applyAlignment="1">
      <alignment wrapText="1"/>
    </xf>
    <xf numFmtId="167" fontId="72" fillId="0" borderId="1" xfId="29" applyNumberFormat="1" applyFont="1" applyFill="1" applyBorder="1" applyAlignment="1">
      <alignment horizontal="right" wrapText="1"/>
    </xf>
    <xf numFmtId="166" fontId="63" fillId="0" borderId="0" xfId="0" applyNumberFormat="1" applyFont="1"/>
    <xf numFmtId="0" fontId="71" fillId="0" borderId="2" xfId="29" applyFont="1" applyFill="1" applyBorder="1" applyAlignment="1">
      <alignment horizontal="center"/>
    </xf>
    <xf numFmtId="0" fontId="71" fillId="0" borderId="2" xfId="29" applyFont="1" applyFill="1" applyBorder="1" applyAlignment="1">
      <alignment horizontal="center" wrapText="1"/>
    </xf>
    <xf numFmtId="0" fontId="71" fillId="0" borderId="2" xfId="22" applyFont="1" applyFill="1" applyBorder="1" applyAlignment="1">
      <alignment horizontal="center"/>
    </xf>
    <xf numFmtId="167" fontId="75" fillId="0" borderId="0" xfId="0" applyNumberFormat="1" applyFont="1" applyBorder="1"/>
    <xf numFmtId="166" fontId="0" fillId="0" borderId="0" xfId="0" applyNumberFormat="1" applyFont="1"/>
    <xf numFmtId="166" fontId="75" fillId="0" borderId="0" xfId="0" applyNumberFormat="1" applyFont="1"/>
    <xf numFmtId="0" fontId="71" fillId="0" borderId="2" xfId="36" applyFont="1" applyFill="1" applyBorder="1" applyAlignment="1">
      <alignment horizontal="left"/>
    </xf>
    <xf numFmtId="0" fontId="71" fillId="0" borderId="6" xfId="36" applyFont="1" applyFill="1" applyBorder="1" applyAlignment="1">
      <alignment horizontal="left"/>
    </xf>
    <xf numFmtId="0" fontId="71" fillId="0" borderId="75" xfId="36" applyFont="1" applyFill="1" applyBorder="1" applyAlignment="1">
      <alignment horizontal="center" wrapText="1"/>
    </xf>
    <xf numFmtId="0" fontId="71" fillId="0" borderId="58" xfId="36" applyFont="1" applyFill="1" applyBorder="1" applyAlignment="1">
      <alignment horizontal="center" wrapText="1"/>
    </xf>
    <xf numFmtId="1" fontId="0" fillId="0" borderId="0" xfId="0" applyNumberFormat="1" applyFont="1"/>
    <xf numFmtId="1" fontId="71" fillId="0" borderId="14" xfId="14" applyNumberFormat="1" applyFont="1" applyFill="1" applyBorder="1" applyAlignment="1">
      <alignment horizontal="center"/>
    </xf>
    <xf numFmtId="1" fontId="54" fillId="0" borderId="14" xfId="0" applyNumberFormat="1" applyFont="1" applyBorder="1" applyAlignment="1">
      <alignment horizontal="center"/>
    </xf>
    <xf numFmtId="1" fontId="75" fillId="0" borderId="0" xfId="0" applyNumberFormat="1" applyFont="1"/>
    <xf numFmtId="1" fontId="75" fillId="0" borderId="12" xfId="0" applyNumberFormat="1" applyFont="1" applyBorder="1"/>
    <xf numFmtId="0" fontId="32" fillId="0" borderId="0" xfId="14" applyFont="1" applyFill="1" applyBorder="1" applyAlignment="1">
      <alignment horizontal="left" wrapText="1"/>
    </xf>
    <xf numFmtId="0" fontId="26" fillId="0" borderId="0" xfId="14" applyFont="1"/>
    <xf numFmtId="0" fontId="26" fillId="0" borderId="0" xfId="14" applyFont="1" applyAlignment="1">
      <alignment horizontal="right" vertical="top"/>
    </xf>
    <xf numFmtId="0" fontId="26" fillId="0" borderId="0" xfId="14" applyFont="1" applyBorder="1"/>
    <xf numFmtId="0" fontId="81" fillId="0" borderId="0" xfId="14" applyFont="1" applyBorder="1"/>
    <xf numFmtId="0" fontId="71" fillId="0" borderId="14" xfId="14" applyFont="1" applyFill="1" applyBorder="1" applyAlignment="1">
      <alignment horizontal="center"/>
    </xf>
    <xf numFmtId="0" fontId="71" fillId="6" borderId="0" xfId="14" applyFont="1" applyFill="1" applyBorder="1" applyAlignment="1">
      <alignment horizontal="center"/>
    </xf>
    <xf numFmtId="0" fontId="71" fillId="6" borderId="0" xfId="14" applyFont="1" applyFill="1" applyBorder="1" applyAlignment="1">
      <alignment horizontal="left"/>
    </xf>
    <xf numFmtId="0" fontId="75" fillId="0" borderId="0" xfId="0" applyFont="1" applyAlignment="1">
      <alignment horizontal="right"/>
    </xf>
    <xf numFmtId="0" fontId="75" fillId="0" borderId="12" xfId="0" applyFont="1" applyBorder="1"/>
    <xf numFmtId="0" fontId="71" fillId="6" borderId="14" xfId="14" applyFont="1" applyFill="1" applyBorder="1" applyAlignment="1">
      <alignment horizontal="center"/>
    </xf>
    <xf numFmtId="0" fontId="71" fillId="6" borderId="14" xfId="14" applyFont="1" applyFill="1" applyBorder="1" applyAlignment="1">
      <alignment horizontal="left"/>
    </xf>
    <xf numFmtId="0" fontId="36" fillId="0" borderId="12" xfId="32" applyFont="1" applyFill="1" applyBorder="1" applyAlignment="1">
      <alignment horizontal="center"/>
    </xf>
    <xf numFmtId="0" fontId="36" fillId="0" borderId="12" xfId="32" quotePrefix="1" applyFont="1" applyFill="1" applyBorder="1" applyAlignment="1">
      <alignment horizontal="center"/>
    </xf>
    <xf numFmtId="0" fontId="38" fillId="0" borderId="0" xfId="14" applyFont="1"/>
    <xf numFmtId="0" fontId="36" fillId="0" borderId="12" xfId="32" applyFont="1" applyFill="1" applyBorder="1" applyAlignment="1">
      <alignment horizontal="left"/>
    </xf>
    <xf numFmtId="0" fontId="25" fillId="0" borderId="12" xfId="14" applyFont="1" applyBorder="1" applyAlignment="1">
      <alignment horizontal="center"/>
    </xf>
    <xf numFmtId="0" fontId="26" fillId="0" borderId="12" xfId="14" applyFont="1" applyBorder="1" applyAlignment="1"/>
    <xf numFmtId="0" fontId="25" fillId="0" borderId="0" xfId="14" applyFont="1" applyBorder="1" applyAlignment="1"/>
    <xf numFmtId="0" fontId="26" fillId="0" borderId="0" xfId="14" applyFont="1" applyBorder="1" applyAlignment="1"/>
    <xf numFmtId="0" fontId="71" fillId="0" borderId="0" xfId="32" applyFont="1" applyFill="1" applyBorder="1" applyAlignment="1">
      <alignment horizontal="left"/>
    </xf>
    <xf numFmtId="0" fontId="71" fillId="0" borderId="0" xfId="32" applyFont="1" applyFill="1" applyBorder="1" applyAlignment="1">
      <alignment horizontal="center"/>
    </xf>
    <xf numFmtId="9" fontId="71" fillId="0" borderId="0" xfId="32" applyNumberFormat="1" applyFont="1" applyFill="1" applyBorder="1" applyAlignment="1">
      <alignment horizontal="right" wrapText="1"/>
    </xf>
    <xf numFmtId="0" fontId="72" fillId="0" borderId="0" xfId="32" applyFont="1" applyFill="1" applyBorder="1" applyAlignment="1">
      <alignment horizontal="center" wrapText="1"/>
    </xf>
    <xf numFmtId="0" fontId="72" fillId="0" borderId="0" xfId="32" applyFont="1" applyFill="1" applyBorder="1" applyAlignment="1">
      <alignment wrapText="1"/>
    </xf>
    <xf numFmtId="9" fontId="72" fillId="0" borderId="0" xfId="32" applyNumberFormat="1" applyFont="1" applyFill="1" applyBorder="1" applyAlignment="1">
      <alignment horizontal="right" wrapText="1"/>
    </xf>
    <xf numFmtId="0" fontId="72" fillId="0" borderId="0" xfId="32" applyFont="1" applyFill="1" applyBorder="1" applyAlignment="1">
      <alignment vertical="top" wrapText="1"/>
    </xf>
    <xf numFmtId="0" fontId="72" fillId="0" borderId="12" xfId="32" quotePrefix="1" applyFont="1" applyFill="1" applyBorder="1" applyAlignment="1">
      <alignment horizontal="center" wrapText="1"/>
    </xf>
    <xf numFmtId="0" fontId="72" fillId="0" borderId="12" xfId="32" applyFont="1" applyFill="1" applyBorder="1" applyAlignment="1">
      <alignment wrapText="1"/>
    </xf>
    <xf numFmtId="9" fontId="72" fillId="0" borderId="12" xfId="32" applyNumberFormat="1" applyFont="1" applyFill="1" applyBorder="1" applyAlignment="1">
      <alignment horizontal="right" wrapText="1"/>
    </xf>
    <xf numFmtId="0" fontId="75" fillId="0" borderId="25" xfId="0" applyFont="1" applyBorder="1"/>
    <xf numFmtId="0" fontId="75" fillId="0" borderId="27" xfId="0" applyFont="1" applyBorder="1"/>
    <xf numFmtId="0" fontId="75" fillId="0" borderId="26" xfId="0" applyFont="1" applyBorder="1"/>
    <xf numFmtId="0" fontId="75" fillId="0" borderId="31" xfId="0" applyFont="1" applyBorder="1" applyAlignment="1">
      <alignment horizontal="right"/>
    </xf>
    <xf numFmtId="9" fontId="75" fillId="0" borderId="25" xfId="39" applyFont="1" applyBorder="1" applyAlignment="1">
      <alignment horizontal="center"/>
    </xf>
    <xf numFmtId="9" fontId="75" fillId="0" borderId="57" xfId="39" applyFont="1" applyBorder="1" applyAlignment="1">
      <alignment horizontal="center"/>
    </xf>
    <xf numFmtId="9" fontId="75" fillId="0" borderId="27" xfId="39" applyFont="1" applyBorder="1" applyAlignment="1">
      <alignment horizontal="center"/>
    </xf>
    <xf numFmtId="9" fontId="75" fillId="0" borderId="26" xfId="39" applyFont="1" applyBorder="1" applyAlignment="1">
      <alignment horizontal="center"/>
    </xf>
    <xf numFmtId="0" fontId="75" fillId="0" borderId="0" xfId="9" applyFont="1"/>
    <xf numFmtId="0" fontId="75" fillId="0" borderId="0" xfId="9" applyFont="1" applyAlignment="1">
      <alignment horizontal="right" wrapText="1"/>
    </xf>
    <xf numFmtId="0" fontId="54" fillId="0" borderId="12" xfId="9" applyFont="1" applyBorder="1" applyAlignment="1"/>
    <xf numFmtId="0" fontId="54" fillId="0" borderId="0" xfId="9" applyFont="1" applyAlignment="1">
      <alignment horizontal="center"/>
    </xf>
    <xf numFmtId="0" fontId="54" fillId="0" borderId="0" xfId="9" applyFont="1" applyAlignment="1">
      <alignment horizontal="right"/>
    </xf>
    <xf numFmtId="0" fontId="75" fillId="0" borderId="12" xfId="9" applyFont="1" applyBorder="1" applyAlignment="1"/>
    <xf numFmtId="0" fontId="75" fillId="0" borderId="12" xfId="9" applyFont="1" applyBorder="1" applyAlignment="1">
      <alignment horizontal="right"/>
    </xf>
    <xf numFmtId="0" fontId="54" fillId="0" borderId="0" xfId="9" applyFont="1" applyAlignment="1"/>
    <xf numFmtId="0" fontId="54" fillId="0" borderId="0" xfId="9" applyFont="1" applyAlignment="1">
      <alignment horizontal="right" wrapText="1"/>
    </xf>
    <xf numFmtId="49" fontId="54" fillId="0" borderId="12" xfId="9" applyNumberFormat="1" applyFont="1" applyBorder="1" applyAlignment="1">
      <alignment horizontal="center"/>
    </xf>
    <xf numFmtId="0" fontId="54" fillId="0" borderId="12" xfId="9" applyFont="1" applyBorder="1" applyAlignment="1">
      <alignment horizontal="right" wrapText="1"/>
    </xf>
    <xf numFmtId="0" fontId="54" fillId="0" borderId="12" xfId="9" applyFont="1" applyBorder="1"/>
    <xf numFmtId="49" fontId="75" fillId="0" borderId="0" xfId="9" quotePrefix="1" applyNumberFormat="1" applyFont="1" applyAlignment="1">
      <alignment horizontal="center"/>
    </xf>
    <xf numFmtId="49" fontId="75" fillId="0" borderId="0" xfId="9" applyNumberFormat="1" applyFont="1" applyAlignment="1">
      <alignment horizontal="center"/>
    </xf>
    <xf numFmtId="0" fontId="75" fillId="0" borderId="0" xfId="9" applyNumberFormat="1" applyFont="1" applyAlignment="1">
      <alignment horizontal="right"/>
    </xf>
    <xf numFmtId="49" fontId="75" fillId="0" borderId="0" xfId="9" quotePrefix="1" applyNumberFormat="1" applyFont="1" applyAlignment="1">
      <alignment horizontal="right"/>
    </xf>
    <xf numFmtId="49" fontId="75" fillId="0" borderId="0" xfId="9" applyNumberFormat="1" applyFont="1" applyAlignment="1">
      <alignment horizontal="right"/>
    </xf>
    <xf numFmtId="0" fontId="75" fillId="0" borderId="0" xfId="9" quotePrefix="1" applyNumberFormat="1" applyFont="1" applyAlignment="1">
      <alignment horizontal="center"/>
    </xf>
    <xf numFmtId="0" fontId="75" fillId="0" borderId="0" xfId="9" quotePrefix="1" applyNumberFormat="1" applyFont="1" applyAlignment="1">
      <alignment horizontal="right"/>
    </xf>
    <xf numFmtId="49" fontId="75" fillId="0" borderId="12" xfId="9" applyNumberFormat="1" applyFont="1" applyBorder="1" applyAlignment="1">
      <alignment horizontal="center"/>
    </xf>
    <xf numFmtId="0" fontId="75" fillId="0" borderId="12" xfId="9" applyNumberFormat="1" applyFont="1" applyBorder="1" applyAlignment="1">
      <alignment horizontal="right"/>
    </xf>
    <xf numFmtId="0" fontId="75" fillId="0" borderId="12" xfId="9" applyFont="1" applyBorder="1" applyAlignment="1">
      <alignment horizontal="right" wrapText="1"/>
    </xf>
    <xf numFmtId="49" fontId="75" fillId="0" borderId="12" xfId="9" applyNumberFormat="1" applyFont="1" applyBorder="1" applyAlignment="1">
      <alignment horizontal="right"/>
    </xf>
    <xf numFmtId="0" fontId="81" fillId="0" borderId="0" xfId="9" applyFont="1" applyAlignment="1">
      <alignment horizontal="right" vertical="top"/>
    </xf>
    <xf numFmtId="0" fontId="82" fillId="0" borderId="0" xfId="4" applyFont="1" applyAlignment="1" applyProtection="1">
      <alignment horizontal="right"/>
    </xf>
    <xf numFmtId="0" fontId="72" fillId="0" borderId="0" xfId="37" applyFont="1" applyFill="1" applyBorder="1" applyAlignment="1">
      <alignment wrapText="1"/>
    </xf>
    <xf numFmtId="0" fontId="71" fillId="0" borderId="6" xfId="36" applyFont="1" applyFill="1" applyBorder="1" applyAlignment="1">
      <alignment horizontal="left"/>
    </xf>
    <xf numFmtId="167" fontId="72" fillId="0" borderId="1" xfId="29" applyNumberFormat="1" applyFont="1" applyFill="1" applyBorder="1" applyAlignment="1">
      <alignment wrapText="1"/>
    </xf>
    <xf numFmtId="0" fontId="71" fillId="0" borderId="2" xfId="29" applyFont="1" applyFill="1" applyBorder="1" applyAlignment="1">
      <alignment horizontal="left"/>
    </xf>
    <xf numFmtId="0" fontId="72" fillId="0" borderId="88" xfId="25" applyFont="1" applyFill="1" applyBorder="1" applyAlignment="1">
      <alignment wrapText="1"/>
    </xf>
    <xf numFmtId="0" fontId="72" fillId="0" borderId="32" xfId="25" applyFont="1" applyFill="1" applyBorder="1" applyAlignment="1">
      <alignment wrapText="1"/>
    </xf>
    <xf numFmtId="0" fontId="71" fillId="0" borderId="2" xfId="27" applyFont="1" applyFill="1" applyBorder="1" applyAlignment="1">
      <alignment horizontal="left"/>
    </xf>
    <xf numFmtId="0" fontId="71" fillId="6" borderId="0" xfId="27" applyFont="1" applyFill="1" applyBorder="1" applyAlignment="1">
      <alignment wrapText="1"/>
    </xf>
    <xf numFmtId="0" fontId="72" fillId="0" borderId="0" xfId="27" applyFont="1" applyFill="1" applyBorder="1" applyAlignment="1">
      <alignment wrapText="1"/>
    </xf>
    <xf numFmtId="0" fontId="71" fillId="0" borderId="6" xfId="34" applyFont="1" applyFill="1" applyBorder="1" applyAlignment="1">
      <alignment horizontal="left" wrapText="1"/>
    </xf>
    <xf numFmtId="0" fontId="71" fillId="6" borderId="32" xfId="34" applyFont="1" applyFill="1" applyBorder="1" applyAlignment="1">
      <alignment wrapText="1"/>
    </xf>
    <xf numFmtId="0" fontId="72" fillId="0" borderId="32" xfId="34" applyFont="1" applyFill="1" applyBorder="1" applyAlignment="1">
      <alignment wrapText="1"/>
    </xf>
    <xf numFmtId="171" fontId="54" fillId="6" borderId="0" xfId="1" applyNumberFormat="1" applyFont="1" applyFill="1"/>
    <xf numFmtId="0" fontId="28" fillId="0" borderId="0" xfId="0" applyFont="1" applyAlignment="1">
      <alignment horizontal="left" vertical="top"/>
    </xf>
    <xf numFmtId="0" fontId="15" fillId="3" borderId="0" xfId="0" applyFont="1" applyFill="1" applyBorder="1" applyAlignment="1">
      <alignment horizontal="left" vertical="top" wrapText="1"/>
    </xf>
    <xf numFmtId="171" fontId="15" fillId="3" borderId="0" xfId="1" applyNumberFormat="1" applyFont="1" applyFill="1" applyBorder="1" applyAlignment="1">
      <alignment horizontal="left" vertical="top" wrapText="1"/>
    </xf>
    <xf numFmtId="0" fontId="51" fillId="0" borderId="0" xfId="0" applyFont="1"/>
    <xf numFmtId="171" fontId="51" fillId="0" borderId="0" xfId="1" applyNumberFormat="1" applyFont="1"/>
    <xf numFmtId="3" fontId="51" fillId="0" borderId="0" xfId="0" applyNumberFormat="1" applyFont="1"/>
    <xf numFmtId="164" fontId="51" fillId="8" borderId="0" xfId="39" applyNumberFormat="1" applyFont="1" applyFill="1"/>
    <xf numFmtId="171" fontId="51" fillId="8" borderId="0" xfId="1" applyNumberFormat="1" applyFont="1" applyFill="1"/>
    <xf numFmtId="0" fontId="9" fillId="3" borderId="0" xfId="0" applyFont="1" applyFill="1" applyBorder="1" applyAlignment="1">
      <alignment horizontal="left" vertical="top"/>
    </xf>
    <xf numFmtId="0" fontId="51" fillId="0" borderId="0" xfId="0" applyFont="1" applyAlignment="1">
      <alignment horizontal="right"/>
    </xf>
    <xf numFmtId="3" fontId="51" fillId="0" borderId="0" xfId="0" applyNumberFormat="1" applyFont="1" applyAlignment="1">
      <alignment horizontal="right"/>
    </xf>
    <xf numFmtId="164" fontId="51" fillId="0" borderId="0" xfId="39" applyNumberFormat="1" applyFont="1" applyAlignment="1">
      <alignment horizontal="right"/>
    </xf>
    <xf numFmtId="171" fontId="51" fillId="0" borderId="0" xfId="1" applyNumberFormat="1" applyFont="1" applyAlignment="1">
      <alignment horizontal="right"/>
    </xf>
    <xf numFmtId="0" fontId="9" fillId="3" borderId="0" xfId="0" applyFont="1" applyFill="1" applyBorder="1" applyAlignment="1">
      <alignment vertical="top" wrapText="1"/>
    </xf>
    <xf numFmtId="0" fontId="9" fillId="3" borderId="89" xfId="0" applyFont="1" applyFill="1" applyBorder="1" applyAlignment="1">
      <alignment vertical="center" wrapText="1"/>
    </xf>
    <xf numFmtId="0" fontId="9" fillId="3" borderId="9" xfId="0" applyFont="1" applyFill="1" applyBorder="1" applyAlignment="1">
      <alignment vertical="top" wrapText="1"/>
    </xf>
    <xf numFmtId="0" fontId="51" fillId="0" borderId="0" xfId="0" applyFont="1" applyAlignment="1"/>
    <xf numFmtId="0" fontId="85" fillId="0" borderId="0" xfId="0" applyFont="1"/>
    <xf numFmtId="3" fontId="51" fillId="8" borderId="0" xfId="0" applyNumberFormat="1" applyFont="1" applyFill="1"/>
    <xf numFmtId="0" fontId="85" fillId="0" borderId="14" xfId="0" applyFont="1" applyBorder="1"/>
    <xf numFmtId="0" fontId="15" fillId="3" borderId="90" xfId="0" applyFont="1" applyFill="1" applyBorder="1" applyAlignment="1">
      <alignment vertical="top" wrapText="1"/>
    </xf>
    <xf numFmtId="0" fontId="15" fillId="3" borderId="91" xfId="0" applyFont="1" applyFill="1" applyBorder="1" applyAlignment="1">
      <alignment horizontal="left" vertical="top" wrapText="1"/>
    </xf>
    <xf numFmtId="0" fontId="51" fillId="0" borderId="12" xfId="0" applyFont="1" applyBorder="1"/>
    <xf numFmtId="0" fontId="31" fillId="0" borderId="12" xfId="0" applyFont="1" applyBorder="1"/>
    <xf numFmtId="171" fontId="31" fillId="0" borderId="12" xfId="1" applyNumberFormat="1" applyFont="1" applyBorder="1"/>
    <xf numFmtId="3" fontId="51" fillId="8" borderId="29" xfId="0" applyNumberFormat="1" applyFont="1" applyFill="1" applyBorder="1"/>
    <xf numFmtId="3" fontId="51" fillId="0" borderId="30" xfId="0" applyNumberFormat="1" applyFont="1" applyBorder="1" applyAlignment="1">
      <alignment horizontal="right"/>
    </xf>
    <xf numFmtId="0" fontId="51" fillId="8" borderId="0" xfId="0" applyFont="1" applyFill="1"/>
    <xf numFmtId="0" fontId="9" fillId="8" borderId="9" xfId="0" applyFont="1" applyFill="1" applyBorder="1" applyAlignment="1">
      <alignment vertical="top" wrapText="1"/>
    </xf>
    <xf numFmtId="171" fontId="51" fillId="0" borderId="0" xfId="0" applyNumberFormat="1" applyFont="1"/>
    <xf numFmtId="171" fontId="51" fillId="8" borderId="0" xfId="0" applyNumberFormat="1" applyFont="1" applyFill="1"/>
    <xf numFmtId="0" fontId="75" fillId="0" borderId="0" xfId="15" applyFont="1" applyAlignment="1">
      <alignment horizontal="left" wrapText="1"/>
    </xf>
    <xf numFmtId="3" fontId="54" fillId="11" borderId="30" xfId="15" applyNumberFormat="1" applyFont="1" applyFill="1" applyBorder="1" applyAlignment="1">
      <alignment horizontal="right" vertical="top"/>
    </xf>
    <xf numFmtId="171" fontId="75" fillId="0" borderId="30" xfId="1" applyNumberFormat="1" applyFont="1" applyFill="1" applyBorder="1"/>
    <xf numFmtId="171" fontId="75" fillId="0" borderId="31" xfId="1" applyNumberFormat="1" applyFont="1" applyFill="1" applyBorder="1"/>
    <xf numFmtId="171" fontId="54" fillId="6" borderId="30" xfId="1" applyNumberFormat="1" applyFont="1" applyFill="1" applyBorder="1" applyAlignment="1">
      <alignment horizontal="center" wrapText="1"/>
    </xf>
    <xf numFmtId="3" fontId="75" fillId="0" borderId="30" xfId="15" applyNumberFormat="1" applyFont="1" applyFill="1" applyBorder="1"/>
    <xf numFmtId="3" fontId="84" fillId="0" borderId="0" xfId="19" applyNumberFormat="1" applyFont="1" applyFill="1" applyBorder="1" applyAlignment="1">
      <alignment vertical="top" wrapText="1"/>
    </xf>
    <xf numFmtId="3" fontId="56" fillId="0" borderId="34" xfId="0" applyNumberFormat="1" applyFont="1" applyFill="1" applyBorder="1" applyAlignment="1">
      <alignment horizontal="center"/>
    </xf>
    <xf numFmtId="3" fontId="56" fillId="0" borderId="0" xfId="0" applyNumberFormat="1" applyFont="1" applyFill="1" applyBorder="1" applyAlignment="1">
      <alignment horizontal="center"/>
    </xf>
    <xf numFmtId="9" fontId="56" fillId="0" borderId="34" xfId="39" applyFont="1" applyFill="1" applyBorder="1" applyAlignment="1">
      <alignment horizontal="center"/>
    </xf>
    <xf numFmtId="9" fontId="56" fillId="0" borderId="0" xfId="39" applyFont="1" applyFill="1" applyBorder="1" applyAlignment="1">
      <alignment horizontal="center"/>
    </xf>
    <xf numFmtId="0" fontId="54" fillId="0" borderId="31" xfId="0" applyFont="1" applyBorder="1" applyAlignment="1">
      <alignment horizontal="center" wrapText="1"/>
    </xf>
    <xf numFmtId="0" fontId="75" fillId="0" borderId="30" xfId="0" applyFont="1" applyBorder="1" applyAlignment="1">
      <alignment horizontal="right"/>
    </xf>
    <xf numFmtId="0" fontId="75" fillId="0" borderId="30" xfId="1" applyNumberFormat="1" applyFont="1" applyBorder="1" applyAlignment="1">
      <alignment horizontal="right"/>
    </xf>
    <xf numFmtId="0" fontId="75" fillId="0" borderId="31" xfId="0" applyFont="1" applyBorder="1" applyAlignment="1">
      <alignment horizontal="right"/>
    </xf>
    <xf numFmtId="0" fontId="56" fillId="0" borderId="12" xfId="0" applyFont="1" applyFill="1" applyBorder="1" applyAlignment="1">
      <alignment horizontal="left"/>
    </xf>
    <xf numFmtId="3" fontId="56" fillId="0" borderId="25" xfId="0" applyNumberFormat="1" applyFont="1" applyFill="1" applyBorder="1" applyAlignment="1">
      <alignment horizontal="right" indent="1"/>
    </xf>
    <xf numFmtId="3" fontId="56" fillId="0" borderId="27" xfId="0" applyNumberFormat="1" applyFont="1" applyFill="1" applyBorder="1" applyAlignment="1">
      <alignment horizontal="right" indent="1"/>
    </xf>
    <xf numFmtId="3" fontId="56" fillId="0" borderId="26" xfId="0" applyNumberFormat="1" applyFont="1" applyFill="1" applyBorder="1" applyAlignment="1">
      <alignment horizontal="right" indent="1"/>
    </xf>
    <xf numFmtId="0" fontId="56" fillId="0" borderId="0" xfId="0" applyFont="1" applyFill="1" applyBorder="1" applyAlignment="1">
      <alignment horizontal="center"/>
    </xf>
    <xf numFmtId="164" fontId="72" fillId="0" borderId="40" xfId="16" applyNumberFormat="1" applyFont="1" applyFill="1" applyBorder="1" applyAlignment="1">
      <alignment wrapText="1"/>
    </xf>
    <xf numFmtId="0" fontId="71" fillId="0" borderId="93" xfId="11" applyFont="1" applyFill="1" applyBorder="1" applyAlignment="1">
      <alignment horizontal="center"/>
    </xf>
    <xf numFmtId="0" fontId="71" fillId="0" borderId="94" xfId="11" applyFont="1" applyFill="1" applyBorder="1" applyAlignment="1">
      <alignment horizontal="center"/>
    </xf>
    <xf numFmtId="164" fontId="71" fillId="6" borderId="95" xfId="16" applyNumberFormat="1" applyFont="1" applyFill="1" applyBorder="1" applyAlignment="1">
      <alignment wrapText="1"/>
    </xf>
    <xf numFmtId="164" fontId="72" fillId="0" borderId="38" xfId="16" applyNumberFormat="1" applyFont="1" applyFill="1" applyBorder="1" applyAlignment="1">
      <alignment wrapText="1"/>
    </xf>
    <xf numFmtId="164" fontId="72" fillId="0" borderId="96" xfId="16" applyNumberFormat="1" applyFont="1" applyFill="1" applyBorder="1" applyAlignment="1">
      <alignment wrapText="1"/>
    </xf>
    <xf numFmtId="164" fontId="71" fillId="6" borderId="58" xfId="16" applyNumberFormat="1" applyFont="1" applyFill="1" applyBorder="1" applyAlignment="1">
      <alignment wrapText="1"/>
    </xf>
    <xf numFmtId="0" fontId="55" fillId="0" borderId="0" xfId="0" applyFont="1" applyAlignment="1">
      <alignment wrapText="1"/>
    </xf>
    <xf numFmtId="3" fontId="73" fillId="0" borderId="0" xfId="0" applyNumberFormat="1" applyFont="1"/>
    <xf numFmtId="176" fontId="71" fillId="0" borderId="59" xfId="1" applyNumberFormat="1" applyFont="1" applyFill="1" applyBorder="1" applyAlignment="1">
      <alignment horizontal="center"/>
    </xf>
    <xf numFmtId="3" fontId="71" fillId="6" borderId="97" xfId="16" applyNumberFormat="1" applyFont="1" applyFill="1" applyBorder="1"/>
    <xf numFmtId="3" fontId="72" fillId="0" borderId="62" xfId="0" applyNumberFormat="1" applyFont="1" applyFill="1" applyBorder="1" applyAlignment="1">
      <alignment horizontal="right" wrapText="1"/>
    </xf>
    <xf numFmtId="3" fontId="72" fillId="0" borderId="64" xfId="0" applyNumberFormat="1" applyFont="1" applyFill="1" applyBorder="1" applyAlignment="1">
      <alignment horizontal="right" wrapText="1"/>
    </xf>
    <xf numFmtId="3" fontId="81" fillId="0" borderId="132" xfId="14" applyNumberFormat="1" applyFont="1" applyBorder="1"/>
    <xf numFmtId="171" fontId="72" fillId="0" borderId="114" xfId="1" applyNumberFormat="1" applyFont="1" applyBorder="1"/>
    <xf numFmtId="164" fontId="75" fillId="8" borderId="45" xfId="39" applyNumberFormat="1" applyFont="1" applyFill="1" applyBorder="1"/>
    <xf numFmtId="164" fontId="75" fillId="8" borderId="21" xfId="39" applyNumberFormat="1" applyFont="1" applyFill="1" applyBorder="1"/>
    <xf numFmtId="0" fontId="28" fillId="0" borderId="0" xfId="16" applyFont="1"/>
    <xf numFmtId="37" fontId="56" fillId="9" borderId="22" xfId="1" applyNumberFormat="1" applyFont="1" applyFill="1" applyBorder="1" applyAlignment="1">
      <alignment horizontal="center"/>
    </xf>
    <xf numFmtId="164" fontId="56" fillId="9" borderId="23" xfId="39" applyNumberFormat="1" applyFont="1" applyFill="1" applyBorder="1" applyAlignment="1">
      <alignment horizontal="center"/>
    </xf>
    <xf numFmtId="164" fontId="56" fillId="9" borderId="30" xfId="0" applyNumberFormat="1" applyFont="1" applyFill="1" applyBorder="1" applyAlignment="1">
      <alignment horizontal="center"/>
    </xf>
    <xf numFmtId="37" fontId="56" fillId="16" borderId="25" xfId="1" applyNumberFormat="1" applyFont="1" applyFill="1" applyBorder="1" applyAlignment="1">
      <alignment horizontal="center"/>
    </xf>
    <xf numFmtId="164" fontId="56" fillId="16" borderId="26" xfId="39" applyNumberFormat="1" applyFont="1" applyFill="1" applyBorder="1" applyAlignment="1">
      <alignment horizontal="center"/>
    </xf>
    <xf numFmtId="164" fontId="56" fillId="16" borderId="31" xfId="0" applyNumberFormat="1" applyFont="1" applyFill="1" applyBorder="1" applyAlignment="1">
      <alignment horizontal="center"/>
    </xf>
    <xf numFmtId="164" fontId="72" fillId="0" borderId="30" xfId="14" applyNumberFormat="1" applyFont="1" applyFill="1" applyBorder="1" applyAlignment="1">
      <alignment horizontal="center" wrapText="1"/>
    </xf>
    <xf numFmtId="0" fontId="71" fillId="0" borderId="46" xfId="14" applyFont="1" applyFill="1" applyBorder="1" applyAlignment="1">
      <alignment horizontal="center" wrapText="1"/>
    </xf>
    <xf numFmtId="44" fontId="75" fillId="0" borderId="0" xfId="3" applyFont="1"/>
    <xf numFmtId="44" fontId="72" fillId="0" borderId="0" xfId="3" applyFont="1"/>
    <xf numFmtId="44" fontId="81" fillId="0" borderId="0" xfId="3" applyFont="1"/>
    <xf numFmtId="7" fontId="75" fillId="0" borderId="0" xfId="3" applyNumberFormat="1" applyFont="1" applyAlignment="1"/>
    <xf numFmtId="7" fontId="71" fillId="0" borderId="2" xfId="27" applyNumberFormat="1" applyFont="1" applyFill="1" applyBorder="1" applyAlignment="1">
      <alignment horizontal="center" wrapText="1"/>
    </xf>
    <xf numFmtId="7" fontId="71" fillId="0" borderId="6" xfId="34" applyNumberFormat="1" applyFont="1" applyFill="1" applyBorder="1" applyAlignment="1">
      <alignment horizontal="center" wrapText="1"/>
    </xf>
    <xf numFmtId="7" fontId="71" fillId="0" borderId="2" xfId="27" applyNumberFormat="1" applyFont="1" applyFill="1" applyBorder="1" applyAlignment="1">
      <alignment horizontal="center"/>
    </xf>
    <xf numFmtId="7" fontId="71" fillId="0" borderId="2" xfId="3" applyNumberFormat="1" applyFont="1" applyFill="1" applyBorder="1" applyAlignment="1"/>
    <xf numFmtId="7" fontId="72" fillId="0" borderId="0" xfId="16" applyNumberFormat="1" applyFont="1"/>
    <xf numFmtId="7" fontId="72" fillId="0" borderId="0" xfId="3" applyNumberFormat="1" applyFont="1" applyAlignment="1"/>
    <xf numFmtId="7" fontId="81" fillId="0" borderId="0" xfId="14" applyNumberFormat="1" applyFont="1"/>
    <xf numFmtId="7" fontId="81" fillId="0" borderId="0" xfId="3" applyNumberFormat="1" applyFont="1" applyAlignment="1"/>
    <xf numFmtId="7" fontId="71" fillId="0" borderId="58" xfId="21" applyNumberFormat="1" applyFont="1" applyFill="1" applyBorder="1" applyAlignment="1">
      <alignment horizontal="center"/>
    </xf>
    <xf numFmtId="5" fontId="54" fillId="6" borderId="38" xfId="0" applyNumberFormat="1" applyFont="1" applyFill="1" applyBorder="1" applyAlignment="1"/>
    <xf numFmtId="5" fontId="54" fillId="6" borderId="39" xfId="0" applyNumberFormat="1" applyFont="1" applyFill="1" applyBorder="1" applyAlignment="1"/>
    <xf numFmtId="5" fontId="54" fillId="6" borderId="37" xfId="0" applyNumberFormat="1" applyFont="1" applyFill="1" applyBorder="1" applyAlignment="1"/>
    <xf numFmtId="5" fontId="72" fillId="0" borderId="60" xfId="28" applyNumberFormat="1" applyFont="1" applyFill="1" applyBorder="1" applyAlignment="1">
      <alignment wrapText="1"/>
    </xf>
    <xf numFmtId="5" fontId="72" fillId="0" borderId="73" xfId="28" applyNumberFormat="1" applyFont="1" applyFill="1" applyBorder="1" applyAlignment="1">
      <alignment wrapText="1"/>
    </xf>
    <xf numFmtId="5" fontId="72" fillId="0" borderId="37" xfId="28" applyNumberFormat="1" applyFont="1" applyBorder="1" applyAlignment="1"/>
    <xf numFmtId="5" fontId="72" fillId="0" borderId="38" xfId="28" applyNumberFormat="1" applyFont="1" applyBorder="1" applyAlignment="1"/>
    <xf numFmtId="5" fontId="72" fillId="0" borderId="72" xfId="28" applyNumberFormat="1" applyFont="1" applyFill="1" applyBorder="1" applyAlignment="1">
      <alignment wrapText="1"/>
    </xf>
    <xf numFmtId="5" fontId="71" fillId="6" borderId="72" xfId="34" applyNumberFormat="1" applyFont="1" applyFill="1" applyBorder="1" applyAlignment="1">
      <alignment wrapText="1"/>
    </xf>
    <xf numFmtId="5" fontId="71" fillId="6" borderId="60" xfId="34" applyNumberFormat="1" applyFont="1" applyFill="1" applyBorder="1" applyAlignment="1">
      <alignment wrapText="1"/>
    </xf>
    <xf numFmtId="5" fontId="71" fillId="6" borderId="73" xfId="34" applyNumberFormat="1" applyFont="1" applyFill="1" applyBorder="1" applyAlignment="1">
      <alignment wrapText="1"/>
    </xf>
    <xf numFmtId="5" fontId="71" fillId="6" borderId="74" xfId="34" applyNumberFormat="1" applyFont="1" applyFill="1" applyBorder="1" applyAlignment="1">
      <alignment wrapText="1"/>
    </xf>
    <xf numFmtId="5" fontId="72" fillId="0" borderId="72" xfId="34" applyNumberFormat="1" applyFont="1" applyFill="1" applyBorder="1" applyAlignment="1">
      <alignment wrapText="1"/>
    </xf>
    <xf numFmtId="5" fontId="72" fillId="0" borderId="73" xfId="34" applyNumberFormat="1" applyFont="1" applyFill="1" applyBorder="1" applyAlignment="1">
      <alignment wrapText="1"/>
    </xf>
    <xf numFmtId="5" fontId="72" fillId="0" borderId="74" xfId="34" applyNumberFormat="1" applyFont="1" applyFill="1" applyBorder="1" applyAlignment="1">
      <alignment wrapText="1"/>
    </xf>
    <xf numFmtId="5" fontId="72" fillId="0" borderId="72" xfId="3" applyNumberFormat="1" applyFont="1" applyFill="1" applyBorder="1" applyAlignment="1">
      <alignment wrapText="1"/>
    </xf>
    <xf numFmtId="5" fontId="72" fillId="0" borderId="37" xfId="3" applyNumberFormat="1" applyFont="1" applyBorder="1" applyAlignment="1"/>
    <xf numFmtId="5" fontId="54" fillId="6" borderId="22" xfId="0" applyNumberFormat="1" applyFont="1" applyFill="1" applyBorder="1" applyAlignment="1"/>
    <xf numFmtId="5" fontId="54" fillId="6" borderId="24" xfId="0" applyNumberFormat="1" applyFont="1" applyFill="1" applyBorder="1" applyAlignment="1"/>
    <xf numFmtId="5" fontId="54" fillId="6" borderId="23" xfId="0" applyNumberFormat="1" applyFont="1" applyFill="1" applyBorder="1" applyAlignment="1"/>
    <xf numFmtId="5" fontId="54" fillId="6" borderId="3" xfId="0" applyNumberFormat="1" applyFont="1" applyFill="1" applyBorder="1" applyAlignment="1"/>
    <xf numFmtId="5" fontId="54" fillId="6" borderId="3" xfId="3" applyNumberFormat="1" applyFont="1" applyFill="1" applyBorder="1" applyAlignment="1"/>
    <xf numFmtId="5" fontId="75" fillId="0" borderId="22" xfId="0" applyNumberFormat="1" applyFont="1" applyBorder="1" applyAlignment="1"/>
    <xf numFmtId="5" fontId="75" fillId="0" borderId="24" xfId="0" applyNumberFormat="1" applyFont="1" applyBorder="1" applyAlignment="1"/>
    <xf numFmtId="5" fontId="75" fillId="0" borderId="23" xfId="0" applyNumberFormat="1" applyFont="1" applyBorder="1" applyAlignment="1"/>
    <xf numFmtId="5" fontId="72" fillId="0" borderId="84" xfId="26" applyNumberFormat="1" applyFont="1" applyFill="1" applyBorder="1" applyAlignment="1">
      <alignment wrapText="1"/>
    </xf>
    <xf numFmtId="5" fontId="72" fillId="0" borderId="84" xfId="3" applyNumberFormat="1" applyFont="1" applyFill="1" applyBorder="1" applyAlignment="1">
      <alignment wrapText="1"/>
    </xf>
    <xf numFmtId="5" fontId="72" fillId="0" borderId="3" xfId="3" applyNumberFormat="1" applyFont="1" applyBorder="1" applyAlignment="1"/>
    <xf numFmtId="5" fontId="35" fillId="0" borderId="0" xfId="30" applyNumberFormat="1" applyFont="1" applyBorder="1" applyAlignment="1"/>
    <xf numFmtId="5" fontId="35" fillId="0" borderId="82" xfId="30" applyNumberFormat="1" applyFont="1" applyBorder="1" applyAlignment="1"/>
    <xf numFmtId="167" fontId="32" fillId="0" borderId="99" xfId="30" applyNumberFormat="1" applyFont="1" applyFill="1" applyBorder="1" applyAlignment="1">
      <alignment wrapText="1"/>
    </xf>
    <xf numFmtId="167" fontId="35" fillId="0" borderId="0" xfId="30" applyNumberFormat="1" applyFont="1" applyBorder="1" applyAlignment="1"/>
    <xf numFmtId="167" fontId="28" fillId="0" borderId="99" xfId="30" applyNumberFormat="1" applyFont="1" applyFill="1" applyBorder="1" applyAlignment="1">
      <alignment wrapText="1"/>
    </xf>
    <xf numFmtId="167" fontId="28" fillId="0" borderId="0" xfId="30" applyNumberFormat="1" applyFont="1" applyBorder="1" applyAlignment="1"/>
    <xf numFmtId="167" fontId="35" fillId="0" borderId="82" xfId="30" applyNumberFormat="1" applyFont="1" applyBorder="1" applyAlignment="1"/>
    <xf numFmtId="167" fontId="72" fillId="0" borderId="0" xfId="30" applyNumberFormat="1" applyFont="1" applyBorder="1" applyAlignment="1"/>
    <xf numFmtId="167" fontId="72" fillId="0" borderId="82" xfId="30" applyNumberFormat="1" applyFont="1" applyBorder="1" applyAlignment="1"/>
    <xf numFmtId="167" fontId="71" fillId="0" borderId="2" xfId="25" applyNumberFormat="1" applyFont="1" applyFill="1" applyBorder="1" applyAlignment="1">
      <alignment horizontal="center"/>
    </xf>
    <xf numFmtId="167" fontId="35" fillId="0" borderId="0" xfId="30" applyNumberFormat="1" applyFont="1" applyBorder="1"/>
    <xf numFmtId="167" fontId="35" fillId="0" borderId="82" xfId="30" applyNumberFormat="1" applyFont="1" applyBorder="1"/>
    <xf numFmtId="167" fontId="72" fillId="0" borderId="0" xfId="16" applyNumberFormat="1" applyFont="1"/>
    <xf numFmtId="167" fontId="81" fillId="0" borderId="0" xfId="14" applyNumberFormat="1" applyFont="1"/>
    <xf numFmtId="167" fontId="32" fillId="0" borderId="99" xfId="30" applyNumberFormat="1" applyFont="1" applyFill="1" applyBorder="1" applyAlignment="1">
      <alignment horizontal="right" wrapText="1"/>
    </xf>
    <xf numFmtId="5" fontId="32" fillId="0" borderId="99" xfId="30" applyNumberFormat="1" applyFont="1" applyFill="1" applyBorder="1" applyAlignment="1">
      <alignment horizontal="right" wrapText="1"/>
    </xf>
    <xf numFmtId="167" fontId="32" fillId="0" borderId="1" xfId="31" applyNumberFormat="1" applyFont="1" applyFill="1" applyBorder="1" applyAlignment="1">
      <alignment horizontal="right" wrapText="1"/>
    </xf>
    <xf numFmtId="167" fontId="75" fillId="0" borderId="0" xfId="3" applyNumberFormat="1" applyFont="1"/>
    <xf numFmtId="0" fontId="47" fillId="0" borderId="0" xfId="0" applyFont="1" applyBorder="1"/>
    <xf numFmtId="167" fontId="73" fillId="0" borderId="0" xfId="0" applyNumberFormat="1" applyFont="1"/>
    <xf numFmtId="0" fontId="86" fillId="0" borderId="0" xfId="36" applyFont="1" applyFill="1" applyBorder="1" applyAlignment="1">
      <alignment horizontal="center"/>
    </xf>
    <xf numFmtId="0" fontId="86" fillId="0" borderId="4" xfId="36" applyFont="1" applyFill="1" applyBorder="1" applyAlignment="1">
      <alignment horizontal="center"/>
    </xf>
    <xf numFmtId="0" fontId="87" fillId="0" borderId="85" xfId="23" applyFont="1" applyFill="1" applyBorder="1" applyAlignment="1">
      <alignment horizontal="center" wrapText="1"/>
    </xf>
    <xf numFmtId="0" fontId="87" fillId="0" borderId="89" xfId="35" applyFont="1" applyFill="1" applyBorder="1" applyAlignment="1">
      <alignment horizontal="left"/>
    </xf>
    <xf numFmtId="0" fontId="87" fillId="0" borderId="100" xfId="35" applyFont="1" applyFill="1" applyBorder="1" applyAlignment="1">
      <alignment horizontal="center" wrapText="1"/>
    </xf>
    <xf numFmtId="0" fontId="87" fillId="0" borderId="95" xfId="35" applyFont="1" applyFill="1" applyBorder="1" applyAlignment="1">
      <alignment horizontal="center" wrapText="1"/>
    </xf>
    <xf numFmtId="0" fontId="87" fillId="0" borderId="101" xfId="35" applyFont="1" applyFill="1" applyBorder="1" applyAlignment="1">
      <alignment horizontal="center" wrapText="1"/>
    </xf>
    <xf numFmtId="0" fontId="87" fillId="0" borderId="98" xfId="35" applyFont="1" applyFill="1" applyBorder="1" applyAlignment="1">
      <alignment horizontal="center" wrapText="1"/>
    </xf>
    <xf numFmtId="0" fontId="87" fillId="22" borderId="69" xfId="23" applyFont="1" applyFill="1" applyBorder="1" applyAlignment="1">
      <alignment horizontal="center"/>
    </xf>
    <xf numFmtId="0" fontId="87" fillId="6" borderId="102" xfId="35" applyFont="1" applyFill="1" applyBorder="1" applyAlignment="1">
      <alignment wrapText="1"/>
    </xf>
    <xf numFmtId="0" fontId="87" fillId="6" borderId="69" xfId="35" applyFont="1" applyFill="1" applyBorder="1" applyAlignment="1">
      <alignment wrapText="1"/>
    </xf>
    <xf numFmtId="167" fontId="87" fillId="6" borderId="75" xfId="3" applyNumberFormat="1" applyFont="1" applyFill="1" applyBorder="1" applyAlignment="1">
      <alignment horizontal="right" wrapText="1"/>
    </xf>
    <xf numFmtId="167" fontId="87" fillId="6" borderId="58" xfId="3" applyNumberFormat="1" applyFont="1" applyFill="1" applyBorder="1" applyAlignment="1">
      <alignment horizontal="right" wrapText="1"/>
    </xf>
    <xf numFmtId="167" fontId="87" fillId="6" borderId="59" xfId="3" applyNumberFormat="1" applyFont="1" applyFill="1" applyBorder="1" applyAlignment="1">
      <alignment horizontal="right" wrapText="1"/>
    </xf>
    <xf numFmtId="167" fontId="87" fillId="6" borderId="76" xfId="3" applyNumberFormat="1" applyFont="1" applyFill="1" applyBorder="1" applyAlignment="1">
      <alignment horizontal="right" wrapText="1"/>
    </xf>
    <xf numFmtId="0" fontId="86" fillId="0" borderId="103" xfId="23" applyFont="1" applyFill="1" applyBorder="1" applyAlignment="1">
      <alignment horizontal="center" wrapText="1"/>
    </xf>
    <xf numFmtId="167" fontId="86" fillId="0" borderId="43" xfId="35" applyNumberFormat="1" applyFont="1" applyFill="1" applyBorder="1" applyAlignment="1">
      <alignment wrapText="1"/>
    </xf>
    <xf numFmtId="167" fontId="86" fillId="0" borderId="37" xfId="3" applyNumberFormat="1" applyFont="1" applyFill="1" applyBorder="1" applyAlignment="1">
      <alignment wrapText="1"/>
    </xf>
    <xf numFmtId="167" fontId="86" fillId="0" borderId="38" xfId="3" applyNumberFormat="1" applyFont="1" applyFill="1" applyBorder="1" applyAlignment="1">
      <alignment wrapText="1"/>
    </xf>
    <xf numFmtId="167" fontId="86" fillId="0" borderId="37" xfId="36" applyNumberFormat="1" applyFont="1" applyFill="1" applyBorder="1" applyAlignment="1">
      <alignment horizontal="right" wrapText="1"/>
    </xf>
    <xf numFmtId="167" fontId="86" fillId="0" borderId="38" xfId="36" applyNumberFormat="1" applyFont="1" applyFill="1" applyBorder="1" applyAlignment="1">
      <alignment horizontal="right" wrapText="1"/>
    </xf>
    <xf numFmtId="167" fontId="86" fillId="0" borderId="61" xfId="36" applyNumberFormat="1" applyFont="1" applyFill="1" applyBorder="1" applyAlignment="1">
      <alignment horizontal="right" wrapText="1"/>
    </xf>
    <xf numFmtId="167" fontId="86" fillId="0" borderId="39" xfId="36" applyNumberFormat="1" applyFont="1" applyFill="1" applyBorder="1" applyAlignment="1">
      <alignment horizontal="right" wrapText="1"/>
    </xf>
    <xf numFmtId="167" fontId="86" fillId="0" borderId="37" xfId="36" applyNumberFormat="1" applyFont="1" applyBorder="1"/>
    <xf numFmtId="167" fontId="86" fillId="0" borderId="38" xfId="36" applyNumberFormat="1" applyFont="1" applyBorder="1"/>
    <xf numFmtId="167" fontId="86" fillId="0" borderId="39" xfId="36" applyNumberFormat="1" applyFont="1" applyBorder="1"/>
    <xf numFmtId="167" fontId="73" fillId="0" borderId="104" xfId="0" applyNumberFormat="1" applyFont="1" applyBorder="1"/>
    <xf numFmtId="167" fontId="73" fillId="0" borderId="38" xfId="0" applyNumberFormat="1" applyFont="1" applyBorder="1"/>
    <xf numFmtId="167" fontId="73" fillId="0" borderId="37" xfId="0" applyNumberFormat="1" applyFont="1" applyBorder="1"/>
    <xf numFmtId="167" fontId="73" fillId="0" borderId="61" xfId="0" applyNumberFormat="1" applyFont="1" applyBorder="1"/>
    <xf numFmtId="167" fontId="73" fillId="0" borderId="0" xfId="0" applyNumberFormat="1" applyFont="1" applyBorder="1"/>
    <xf numFmtId="0" fontId="86" fillId="0" borderId="0" xfId="16" applyFont="1"/>
    <xf numFmtId="0" fontId="86" fillId="0" borderId="0" xfId="16" applyFont="1" applyAlignment="1">
      <alignment horizontal="left"/>
    </xf>
    <xf numFmtId="3" fontId="86" fillId="0" borderId="0" xfId="16" applyNumberFormat="1" applyFont="1"/>
    <xf numFmtId="167" fontId="88" fillId="0" borderId="37" xfId="38" applyNumberFormat="1" applyFont="1" applyBorder="1"/>
    <xf numFmtId="167" fontId="88" fillId="0" borderId="38" xfId="38" applyNumberFormat="1" applyFont="1" applyBorder="1"/>
    <xf numFmtId="167" fontId="88" fillId="0" borderId="39" xfId="38" applyNumberFormat="1" applyFont="1" applyBorder="1"/>
    <xf numFmtId="167" fontId="88" fillId="0" borderId="37" xfId="38" applyNumberFormat="1" applyFont="1" applyFill="1" applyBorder="1" applyAlignment="1">
      <alignment horizontal="right" wrapText="1"/>
    </xf>
    <xf numFmtId="167" fontId="88" fillId="0" borderId="38" xfId="38" applyNumberFormat="1" applyFont="1" applyFill="1" applyBorder="1" applyAlignment="1">
      <alignment horizontal="right" wrapText="1"/>
    </xf>
    <xf numFmtId="5" fontId="88" fillId="0" borderId="39" xfId="38" applyNumberFormat="1" applyFont="1" applyFill="1" applyBorder="1" applyAlignment="1">
      <alignment horizontal="right" wrapText="1"/>
    </xf>
    <xf numFmtId="0" fontId="89" fillId="0" borderId="85" xfId="37" applyFont="1" applyFill="1" applyBorder="1" applyAlignment="1">
      <alignment horizontal="left"/>
    </xf>
    <xf numFmtId="0" fontId="89" fillId="0" borderId="89" xfId="37" applyFont="1" applyFill="1" applyBorder="1" applyAlignment="1">
      <alignment horizontal="left"/>
    </xf>
    <xf numFmtId="0" fontId="89" fillId="0" borderId="100" xfId="37" applyFont="1" applyFill="1" applyBorder="1" applyAlignment="1">
      <alignment horizontal="center" wrapText="1"/>
    </xf>
    <xf numFmtId="0" fontId="89" fillId="0" borderId="95" xfId="37" applyFont="1" applyFill="1" applyBorder="1" applyAlignment="1">
      <alignment horizontal="center" wrapText="1"/>
    </xf>
    <xf numFmtId="0" fontId="89" fillId="0" borderId="98" xfId="37" applyFont="1" applyFill="1" applyBorder="1" applyAlignment="1">
      <alignment horizontal="center" wrapText="1"/>
    </xf>
    <xf numFmtId="0" fontId="89" fillId="0" borderId="100" xfId="20" applyFont="1" applyFill="1" applyBorder="1" applyAlignment="1">
      <alignment horizontal="center" wrapText="1"/>
    </xf>
    <xf numFmtId="0" fontId="89" fillId="0" borderId="95" xfId="20" applyFont="1" applyFill="1" applyBorder="1" applyAlignment="1">
      <alignment horizontal="center" wrapText="1"/>
    </xf>
    <xf numFmtId="0" fontId="89" fillId="22" borderId="2" xfId="37" applyFont="1" applyFill="1" applyBorder="1" applyAlignment="1">
      <alignment horizontal="left"/>
    </xf>
    <xf numFmtId="0" fontId="89" fillId="22" borderId="6" xfId="37" applyFont="1" applyFill="1" applyBorder="1" applyAlignment="1">
      <alignment horizontal="left"/>
    </xf>
    <xf numFmtId="177" fontId="89" fillId="6" borderId="58" xfId="3" applyNumberFormat="1" applyFont="1" applyFill="1" applyBorder="1" applyAlignment="1">
      <alignment wrapText="1"/>
    </xf>
    <xf numFmtId="177" fontId="89" fillId="22" borderId="59" xfId="3" applyNumberFormat="1" applyFont="1" applyFill="1" applyBorder="1" applyAlignment="1">
      <alignment horizontal="center"/>
    </xf>
    <xf numFmtId="177" fontId="89" fillId="22" borderId="75" xfId="3" applyNumberFormat="1" applyFont="1" applyFill="1" applyBorder="1" applyAlignment="1">
      <alignment horizontal="center"/>
    </xf>
    <xf numFmtId="177" fontId="89" fillId="22" borderId="58" xfId="3" applyNumberFormat="1" applyFont="1" applyFill="1" applyBorder="1" applyAlignment="1">
      <alignment horizontal="center"/>
    </xf>
    <xf numFmtId="177" fontId="89" fillId="22" borderId="76" xfId="3" applyNumberFormat="1" applyFont="1" applyFill="1" applyBorder="1" applyAlignment="1">
      <alignment horizontal="center"/>
    </xf>
    <xf numFmtId="167" fontId="88" fillId="0" borderId="3" xfId="37" applyNumberFormat="1" applyFont="1" applyFill="1" applyBorder="1" applyAlignment="1">
      <alignment wrapText="1"/>
    </xf>
    <xf numFmtId="5" fontId="88" fillId="0" borderId="103" xfId="38" applyNumberFormat="1" applyFont="1" applyFill="1" applyBorder="1" applyAlignment="1">
      <alignment horizontal="right" wrapText="1"/>
    </xf>
    <xf numFmtId="5" fontId="88" fillId="0" borderId="43" xfId="38" applyNumberFormat="1" applyFont="1" applyFill="1" applyBorder="1" applyAlignment="1">
      <alignment horizontal="right" wrapText="1"/>
    </xf>
    <xf numFmtId="177" fontId="88" fillId="0" borderId="3" xfId="3" applyNumberFormat="1" applyFont="1" applyFill="1" applyBorder="1" applyAlignment="1">
      <alignment wrapText="1"/>
    </xf>
    <xf numFmtId="0" fontId="47" fillId="0" borderId="12" xfId="0" applyFont="1" applyBorder="1"/>
    <xf numFmtId="167" fontId="28" fillId="0" borderId="88" xfId="30" applyNumberFormat="1" applyFont="1" applyFill="1" applyBorder="1" applyAlignment="1">
      <alignment wrapText="1"/>
    </xf>
    <xf numFmtId="167" fontId="28" fillId="0" borderId="0" xfId="30" applyNumberFormat="1" applyFont="1" applyFill="1" applyBorder="1" applyAlignment="1">
      <alignment wrapText="1"/>
    </xf>
    <xf numFmtId="167" fontId="32" fillId="0" borderId="88" xfId="30" applyNumberFormat="1" applyFont="1" applyFill="1" applyBorder="1" applyAlignment="1">
      <alignment horizontal="right" wrapText="1"/>
    </xf>
    <xf numFmtId="167" fontId="32" fillId="0" borderId="0" xfId="30" applyNumberFormat="1" applyFont="1" applyFill="1" applyBorder="1" applyAlignment="1">
      <alignment horizontal="right" wrapText="1"/>
    </xf>
    <xf numFmtId="49" fontId="43" fillId="0" borderId="0" xfId="9" applyNumberFormat="1" applyFont="1" applyAlignment="1">
      <alignment horizontal="center"/>
    </xf>
    <xf numFmtId="0" fontId="43" fillId="0" borderId="0" xfId="9" applyFont="1" applyAlignment="1">
      <alignment horizontal="center"/>
    </xf>
    <xf numFmtId="49" fontId="47" fillId="0" borderId="0" xfId="9" applyNumberFormat="1" applyAlignment="1">
      <alignment horizontal="center"/>
    </xf>
    <xf numFmtId="0" fontId="47" fillId="0" borderId="0" xfId="9"/>
    <xf numFmtId="171" fontId="44" fillId="0" borderId="0" xfId="2" applyNumberFormat="1" applyFont="1"/>
    <xf numFmtId="171" fontId="42" fillId="0" borderId="0" xfId="1" applyNumberFormat="1" applyFont="1"/>
    <xf numFmtId="0" fontId="47" fillId="0" borderId="0" xfId="9" applyFont="1"/>
    <xf numFmtId="49" fontId="90" fillId="0" borderId="0" xfId="9" applyNumberFormat="1" applyFont="1" applyAlignment="1">
      <alignment horizontal="left"/>
    </xf>
    <xf numFmtId="49" fontId="43" fillId="8" borderId="0" xfId="9" applyNumberFormat="1" applyFont="1" applyFill="1" applyAlignment="1">
      <alignment horizontal="center"/>
    </xf>
    <xf numFmtId="0" fontId="43" fillId="8" borderId="0" xfId="9" applyFont="1" applyFill="1" applyAlignment="1">
      <alignment horizontal="center"/>
    </xf>
    <xf numFmtId="171" fontId="91" fillId="0" borderId="0" xfId="2" applyNumberFormat="1" applyFont="1" applyAlignment="1">
      <alignment horizontal="center"/>
    </xf>
    <xf numFmtId="171" fontId="91" fillId="24" borderId="0" xfId="1" applyNumberFormat="1" applyFont="1" applyFill="1" applyAlignment="1">
      <alignment horizontal="center"/>
    </xf>
    <xf numFmtId="171" fontId="91" fillId="0" borderId="0" xfId="1" applyNumberFormat="1" applyFont="1" applyAlignment="1">
      <alignment horizontal="center"/>
    </xf>
    <xf numFmtId="0" fontId="68" fillId="0" borderId="0" xfId="9" applyFont="1" applyAlignment="1">
      <alignment horizontal="left" vertical="top" wrapText="1"/>
    </xf>
    <xf numFmtId="0" fontId="68" fillId="0" borderId="0" xfId="9" applyFont="1" applyAlignment="1">
      <alignment horizontal="left" vertical="top" wrapText="1"/>
    </xf>
    <xf numFmtId="0" fontId="68" fillId="0" borderId="0" xfId="9" applyFont="1" applyBorder="1" applyAlignment="1">
      <alignment horizontal="left"/>
    </xf>
    <xf numFmtId="49" fontId="63" fillId="0" borderId="0" xfId="9" applyNumberFormat="1" applyFont="1" applyBorder="1" applyAlignment="1">
      <alignment horizontal="center"/>
    </xf>
    <xf numFmtId="0" fontId="63" fillId="0" borderId="0" xfId="9" applyFont="1" applyBorder="1" applyAlignment="1">
      <alignment horizontal="left" wrapText="1"/>
    </xf>
    <xf numFmtId="3" fontId="63" fillId="0" borderId="0" xfId="9" applyNumberFormat="1" applyFont="1" applyBorder="1" applyAlignment="1">
      <alignment horizontal="right" indent="1"/>
    </xf>
    <xf numFmtId="3" fontId="63" fillId="0" borderId="0" xfId="9" applyNumberFormat="1" applyFont="1" applyBorder="1" applyAlignment="1">
      <alignment horizontal="right" indent="2"/>
    </xf>
    <xf numFmtId="0" fontId="68" fillId="0" borderId="12" xfId="9" applyFont="1" applyBorder="1" applyAlignment="1">
      <alignment wrapText="1"/>
    </xf>
    <xf numFmtId="0" fontId="68" fillId="0" borderId="12" xfId="9" applyFont="1" applyBorder="1" applyAlignment="1">
      <alignment horizontal="center" wrapText="1"/>
    </xf>
    <xf numFmtId="3" fontId="63" fillId="0" borderId="12" xfId="9" applyNumberFormat="1" applyFont="1" applyBorder="1" applyAlignment="1">
      <alignment horizontal="right" indent="1"/>
    </xf>
    <xf numFmtId="0" fontId="68" fillId="0" borderId="0" xfId="9" applyFont="1" applyBorder="1" applyAlignment="1"/>
    <xf numFmtId="0" fontId="71" fillId="0" borderId="12" xfId="14" applyFont="1" applyFill="1" applyBorder="1" applyAlignment="1">
      <alignment horizontal="center"/>
    </xf>
    <xf numFmtId="3" fontId="75" fillId="0" borderId="12" xfId="0" applyNumberFormat="1" applyFont="1" applyBorder="1"/>
    <xf numFmtId="3" fontId="72" fillId="0" borderId="24" xfId="33" applyNumberFormat="1" applyFont="1" applyFill="1" applyBorder="1" applyAlignment="1">
      <alignment horizontal="right" wrapText="1"/>
    </xf>
    <xf numFmtId="3" fontId="72" fillId="0" borderId="0" xfId="16" applyNumberFormat="1" applyFont="1" applyBorder="1"/>
    <xf numFmtId="0" fontId="71" fillId="0" borderId="48" xfId="33" applyFont="1" applyFill="1" applyBorder="1" applyAlignment="1">
      <alignment horizontal="center" wrapText="1"/>
    </xf>
    <xf numFmtId="0" fontId="57" fillId="19" borderId="27" xfId="0" applyFont="1" applyFill="1" applyBorder="1" applyAlignment="1">
      <alignment horizontal="center"/>
    </xf>
    <xf numFmtId="0" fontId="57" fillId="19" borderId="26" xfId="0" applyFont="1" applyFill="1" applyBorder="1" applyAlignment="1">
      <alignment horizontal="center"/>
    </xf>
    <xf numFmtId="0" fontId="57" fillId="19" borderId="136" xfId="0" applyFont="1" applyFill="1" applyBorder="1" applyAlignment="1">
      <alignment horizontal="center"/>
    </xf>
    <xf numFmtId="3" fontId="72" fillId="0" borderId="24" xfId="33" applyNumberFormat="1" applyFont="1" applyFill="1" applyBorder="1"/>
    <xf numFmtId="0" fontId="59" fillId="0" borderId="0" xfId="0" applyFont="1" applyBorder="1" applyAlignment="1">
      <alignment horizontal="left" vertical="top" wrapText="1"/>
    </xf>
    <xf numFmtId="0" fontId="56" fillId="0" borderId="0" xfId="0" applyFont="1" applyFill="1" applyBorder="1" applyAlignment="1">
      <alignment horizontal="left"/>
    </xf>
    <xf numFmtId="0" fontId="28" fillId="0" borderId="0" xfId="15" applyFont="1" applyAlignment="1">
      <alignment horizontal="left" wrapText="1"/>
    </xf>
    <xf numFmtId="0" fontId="75" fillId="0" borderId="0" xfId="15" applyFont="1" applyAlignment="1">
      <alignment horizontal="left" wrapText="1"/>
    </xf>
    <xf numFmtId="0" fontId="26" fillId="0" borderId="0" xfId="9" applyFont="1"/>
    <xf numFmtId="3" fontId="75" fillId="23" borderId="0" xfId="0" applyNumberFormat="1" applyFont="1" applyFill="1"/>
    <xf numFmtId="9" fontId="75" fillId="23" borderId="34" xfId="39" applyFont="1" applyFill="1" applyBorder="1"/>
    <xf numFmtId="9" fontId="75" fillId="23" borderId="0" xfId="39" applyFont="1" applyFill="1" applyBorder="1"/>
    <xf numFmtId="9" fontId="75" fillId="23" borderId="33" xfId="39" applyFont="1" applyFill="1" applyBorder="1"/>
    <xf numFmtId="9" fontId="75" fillId="23" borderId="0" xfId="39" applyFont="1" applyFill="1"/>
    <xf numFmtId="171" fontId="71" fillId="23" borderId="22" xfId="1" applyNumberFormat="1" applyFont="1" applyFill="1" applyBorder="1" applyAlignment="1">
      <alignment horizontal="center" wrapText="1"/>
    </xf>
    <xf numFmtId="171" fontId="71" fillId="23" borderId="24" xfId="1" applyNumberFormat="1" applyFont="1" applyFill="1" applyBorder="1" applyAlignment="1">
      <alignment horizontal="center" wrapText="1"/>
    </xf>
    <xf numFmtId="3" fontId="71" fillId="23" borderId="22" xfId="14" applyNumberFormat="1" applyFont="1" applyFill="1" applyBorder="1" applyAlignment="1">
      <alignment horizontal="right" wrapText="1"/>
    </xf>
    <xf numFmtId="3" fontId="71" fillId="23" borderId="24" xfId="14" applyNumberFormat="1" applyFont="1" applyFill="1" applyBorder="1" applyAlignment="1">
      <alignment horizontal="right" wrapText="1"/>
    </xf>
    <xf numFmtId="3" fontId="71" fillId="23" borderId="53" xfId="14" applyNumberFormat="1" applyFont="1" applyFill="1" applyBorder="1" applyAlignment="1">
      <alignment horizontal="right" wrapText="1"/>
    </xf>
    <xf numFmtId="171" fontId="69" fillId="23" borderId="22" xfId="1" applyNumberFormat="1" applyFont="1" applyFill="1" applyBorder="1"/>
    <xf numFmtId="3" fontId="54" fillId="23" borderId="24" xfId="0" applyNumberFormat="1" applyFont="1" applyFill="1" applyBorder="1"/>
    <xf numFmtId="0" fontId="71" fillId="23" borderId="0" xfId="14" quotePrefix="1" applyFont="1" applyFill="1" applyBorder="1" applyAlignment="1">
      <alignment horizontal="right" wrapText="1" indent="1"/>
    </xf>
    <xf numFmtId="0" fontId="71" fillId="23" borderId="0" xfId="14" applyFont="1" applyFill="1" applyBorder="1" applyAlignment="1">
      <alignment horizontal="left" wrapText="1"/>
    </xf>
    <xf numFmtId="0" fontId="71" fillId="23" borderId="0" xfId="14" applyFont="1" applyFill="1" applyBorder="1" applyAlignment="1">
      <alignment horizontal="center" wrapText="1"/>
    </xf>
    <xf numFmtId="164" fontId="71" fillId="23" borderId="22" xfId="14" applyNumberFormat="1" applyFont="1" applyFill="1" applyBorder="1" applyAlignment="1">
      <alignment horizontal="center" wrapText="1"/>
    </xf>
    <xf numFmtId="164" fontId="71" fillId="23" borderId="53" xfId="14" applyNumberFormat="1" applyFont="1" applyFill="1" applyBorder="1" applyAlignment="1">
      <alignment horizontal="center" wrapText="1"/>
    </xf>
    <xf numFmtId="164" fontId="71" fillId="23" borderId="24" xfId="14" applyNumberFormat="1" applyFont="1" applyFill="1" applyBorder="1" applyAlignment="1">
      <alignment horizontal="center" wrapText="1"/>
    </xf>
    <xf numFmtId="164" fontId="71" fillId="23" borderId="23" xfId="14" applyNumberFormat="1" applyFont="1" applyFill="1" applyBorder="1" applyAlignment="1">
      <alignment horizontal="center" wrapText="1"/>
    </xf>
    <xf numFmtId="164" fontId="71" fillId="23" borderId="30" xfId="14" applyNumberFormat="1" applyFont="1" applyFill="1" applyBorder="1" applyAlignment="1">
      <alignment horizontal="center" wrapText="1"/>
    </xf>
    <xf numFmtId="9" fontId="96" fillId="0" borderId="0" xfId="39" applyFont="1" applyAlignment="1">
      <alignment vertical="center"/>
    </xf>
    <xf numFmtId="0" fontId="67" fillId="0" borderId="0" xfId="0" applyFont="1" applyFill="1" applyBorder="1" applyAlignment="1">
      <alignment vertical="center" wrapText="1"/>
    </xf>
    <xf numFmtId="171" fontId="97" fillId="0" borderId="0" xfId="1" applyNumberFormat="1" applyFont="1" applyFill="1" applyAlignment="1">
      <alignment vertical="center"/>
    </xf>
    <xf numFmtId="0" fontId="57" fillId="0" borderId="0" xfId="0" applyFont="1" applyFill="1" applyBorder="1" applyAlignment="1">
      <alignment vertical="center"/>
    </xf>
    <xf numFmtId="171" fontId="56" fillId="0" borderId="0" xfId="1" applyNumberFormat="1" applyFont="1" applyFill="1" applyBorder="1"/>
    <xf numFmtId="0" fontId="59" fillId="0" borderId="0" xfId="0" applyFont="1" applyBorder="1" applyAlignment="1">
      <alignment horizontal="center" vertical="top" wrapText="1"/>
    </xf>
    <xf numFmtId="3" fontId="54" fillId="6" borderId="30" xfId="15" applyNumberFormat="1" applyFont="1" applyFill="1" applyBorder="1"/>
    <xf numFmtId="0" fontId="59" fillId="0" borderId="12" xfId="0" applyFont="1" applyBorder="1" applyAlignment="1">
      <alignment vertical="top" wrapText="1"/>
    </xf>
    <xf numFmtId="3" fontId="56" fillId="0" borderId="0" xfId="0" applyNumberFormat="1" applyFont="1" applyBorder="1" applyAlignment="1">
      <alignment horizontal="right" indent="1"/>
    </xf>
    <xf numFmtId="3" fontId="56" fillId="0" borderId="34" xfId="0" applyNumberFormat="1" applyFont="1" applyFill="1" applyBorder="1" applyAlignment="1">
      <alignment horizontal="right" indent="1"/>
    </xf>
    <xf numFmtId="3" fontId="56" fillId="0" borderId="0" xfId="1" applyNumberFormat="1" applyFont="1" applyFill="1" applyBorder="1" applyAlignment="1">
      <alignment horizontal="right" indent="1"/>
    </xf>
    <xf numFmtId="0" fontId="56" fillId="0" borderId="36" xfId="0" applyFont="1" applyFill="1" applyBorder="1" applyAlignment="1">
      <alignment horizontal="left"/>
    </xf>
    <xf numFmtId="3" fontId="56" fillId="0" borderId="35" xfId="0" applyNumberFormat="1" applyFont="1" applyFill="1" applyBorder="1" applyAlignment="1">
      <alignment horizontal="right" indent="1"/>
    </xf>
    <xf numFmtId="0" fontId="57" fillId="18" borderId="78" xfId="0" applyFont="1" applyFill="1" applyBorder="1" applyAlignment="1">
      <alignment horizontal="center"/>
    </xf>
    <xf numFmtId="3" fontId="56" fillId="0" borderId="33" xfId="0" applyNumberFormat="1" applyFont="1" applyFill="1" applyBorder="1" applyAlignment="1">
      <alignment horizontal="right" indent="1"/>
    </xf>
    <xf numFmtId="3" fontId="56" fillId="0" borderId="16" xfId="0" applyNumberFormat="1" applyFont="1" applyFill="1" applyBorder="1" applyAlignment="1">
      <alignment horizontal="right" indent="1"/>
    </xf>
    <xf numFmtId="3" fontId="56" fillId="0" borderId="18" xfId="0" applyNumberFormat="1" applyFont="1" applyFill="1" applyBorder="1" applyAlignment="1">
      <alignment horizontal="right" indent="1"/>
    </xf>
    <xf numFmtId="49" fontId="83" fillId="0" borderId="0" xfId="19" applyNumberFormat="1" applyFont="1" applyBorder="1" applyAlignment="1">
      <alignment horizontal="center" wrapText="1"/>
    </xf>
    <xf numFmtId="0" fontId="28" fillId="0" borderId="0" xfId="0" applyFont="1" applyAlignment="1">
      <alignment horizontal="left" vertical="top" wrapText="1"/>
    </xf>
    <xf numFmtId="0" fontId="28" fillId="0" borderId="0" xfId="15" applyFont="1" applyAlignment="1">
      <alignment horizontal="left" wrapText="1"/>
    </xf>
    <xf numFmtId="3" fontId="56" fillId="0" borderId="45" xfId="0" applyNumberFormat="1" applyFont="1" applyFill="1" applyBorder="1" applyAlignment="1">
      <alignment horizontal="right" indent="1"/>
    </xf>
    <xf numFmtId="3" fontId="56" fillId="0" borderId="44" xfId="0" applyNumberFormat="1" applyFont="1" applyFill="1" applyBorder="1" applyAlignment="1">
      <alignment horizontal="right" indent="1"/>
    </xf>
    <xf numFmtId="3" fontId="56" fillId="0" borderId="92" xfId="0" applyNumberFormat="1" applyFont="1" applyFill="1" applyBorder="1" applyAlignment="1">
      <alignment horizontal="right" indent="1"/>
    </xf>
    <xf numFmtId="3" fontId="56" fillId="0" borderId="17" xfId="0" applyNumberFormat="1" applyFont="1" applyFill="1" applyBorder="1" applyAlignment="1">
      <alignment horizontal="right" indent="1"/>
    </xf>
    <xf numFmtId="0" fontId="106" fillId="7" borderId="159" xfId="0" applyFont="1" applyFill="1" applyBorder="1" applyAlignment="1"/>
    <xf numFmtId="0" fontId="107" fillId="0" borderId="34" xfId="0" applyFont="1" applyFill="1" applyBorder="1" applyAlignment="1"/>
    <xf numFmtId="0" fontId="107" fillId="0" borderId="36" xfId="0" applyFont="1" applyFill="1" applyBorder="1" applyAlignment="1"/>
    <xf numFmtId="0" fontId="108" fillId="0" borderId="0" xfId="0" applyFont="1" applyBorder="1" applyAlignment="1">
      <alignment horizontal="left" vertical="top" wrapText="1"/>
    </xf>
    <xf numFmtId="0" fontId="109" fillId="0" borderId="34" xfId="0" applyFont="1" applyFill="1" applyBorder="1" applyAlignment="1">
      <alignment vertical="center" wrapText="1"/>
    </xf>
    <xf numFmtId="0" fontId="106" fillId="0" borderId="34" xfId="0" applyFont="1" applyFill="1" applyBorder="1" applyAlignment="1"/>
    <xf numFmtId="37" fontId="106" fillId="7" borderId="141" xfId="1" applyNumberFormat="1" applyFont="1" applyFill="1" applyBorder="1" applyAlignment="1">
      <alignment horizontal="center"/>
    </xf>
    <xf numFmtId="9" fontId="106" fillId="7" borderId="141" xfId="39" applyNumberFormat="1" applyFont="1" applyFill="1" applyBorder="1" applyAlignment="1">
      <alignment horizontal="center"/>
    </xf>
    <xf numFmtId="9" fontId="106" fillId="7" borderId="141" xfId="39" applyFont="1" applyFill="1" applyBorder="1" applyAlignment="1">
      <alignment horizontal="center"/>
    </xf>
    <xf numFmtId="37" fontId="107" fillId="0" borderId="30" xfId="1" applyNumberFormat="1" applyFont="1" applyFill="1" applyBorder="1" applyAlignment="1">
      <alignment horizontal="center"/>
    </xf>
    <xf numFmtId="9" fontId="107" fillId="0" borderId="30" xfId="39" applyNumberFormat="1" applyFont="1" applyFill="1" applyBorder="1" applyAlignment="1">
      <alignment horizontal="center"/>
    </xf>
    <xf numFmtId="9" fontId="107" fillId="0" borderId="30" xfId="39" applyFont="1" applyBorder="1" applyAlignment="1">
      <alignment horizontal="center"/>
    </xf>
    <xf numFmtId="37" fontId="107" fillId="0" borderId="31" xfId="1" applyNumberFormat="1" applyFont="1" applyFill="1" applyBorder="1" applyAlignment="1">
      <alignment horizontal="center"/>
    </xf>
    <xf numFmtId="9" fontId="107" fillId="0" borderId="31" xfId="39" applyNumberFormat="1" applyFont="1" applyFill="1" applyBorder="1" applyAlignment="1">
      <alignment horizontal="center"/>
    </xf>
    <xf numFmtId="9" fontId="107" fillId="0" borderId="31" xfId="39" applyFont="1" applyBorder="1" applyAlignment="1">
      <alignment horizontal="center"/>
    </xf>
    <xf numFmtId="0" fontId="69" fillId="23" borderId="171" xfId="19" quotePrefix="1" applyFont="1" applyFill="1" applyBorder="1" applyAlignment="1">
      <alignment horizontal="center" vertical="top"/>
    </xf>
    <xf numFmtId="49" fontId="83" fillId="23" borderId="172" xfId="19" applyNumberFormat="1" applyFont="1" applyFill="1" applyBorder="1" applyAlignment="1">
      <alignment vertical="top" wrapText="1"/>
    </xf>
    <xf numFmtId="49" fontId="83" fillId="23" borderId="171" xfId="19" applyNumberFormat="1" applyFont="1" applyFill="1" applyBorder="1" applyAlignment="1">
      <alignment vertical="top" wrapText="1"/>
    </xf>
    <xf numFmtId="3" fontId="83" fillId="23" borderId="171" xfId="19" applyNumberFormat="1" applyFont="1" applyFill="1" applyBorder="1" applyAlignment="1">
      <alignment vertical="top" wrapText="1"/>
    </xf>
    <xf numFmtId="3" fontId="69" fillId="8" borderId="171" xfId="19" applyNumberFormat="1" applyFont="1" applyFill="1" applyBorder="1" applyAlignment="1">
      <alignment vertical="top"/>
    </xf>
    <xf numFmtId="0" fontId="28" fillId="0" borderId="0" xfId="0" applyFont="1" applyAlignment="1">
      <alignment vertical="top" wrapText="1"/>
    </xf>
    <xf numFmtId="0" fontId="28" fillId="0" borderId="0" xfId="0" applyFont="1" applyAlignment="1">
      <alignment vertical="top"/>
    </xf>
    <xf numFmtId="0" fontId="54" fillId="0" borderId="173" xfId="15" applyFont="1" applyBorder="1" applyAlignment="1">
      <alignment horizontal="left" wrapText="1"/>
    </xf>
    <xf numFmtId="0" fontId="54" fillId="6" borderId="173" xfId="15" applyFont="1" applyFill="1" applyBorder="1" applyAlignment="1">
      <alignment horizontal="left" wrapText="1"/>
    </xf>
    <xf numFmtId="0" fontId="75" fillId="0" borderId="41" xfId="15" applyFont="1" applyFill="1" applyBorder="1" applyAlignment="1">
      <alignment vertical="top"/>
    </xf>
    <xf numFmtId="0" fontId="75" fillId="0" borderId="34" xfId="15" applyFont="1" applyFill="1" applyBorder="1" applyAlignment="1">
      <alignment vertical="top"/>
    </xf>
    <xf numFmtId="0" fontId="75" fillId="0" borderId="36" xfId="15" applyFont="1" applyFill="1" applyBorder="1" applyAlignment="1">
      <alignment vertical="top"/>
    </xf>
    <xf numFmtId="0" fontId="54" fillId="0" borderId="20" xfId="15" applyFont="1" applyFill="1" applyBorder="1" applyAlignment="1">
      <alignment horizontal="center" wrapText="1"/>
    </xf>
    <xf numFmtId="0" fontId="54" fillId="0" borderId="21" xfId="15" applyFont="1" applyFill="1" applyBorder="1" applyAlignment="1">
      <alignment horizontal="center" wrapText="1"/>
    </xf>
    <xf numFmtId="3" fontId="54" fillId="11" borderId="20" xfId="15" applyNumberFormat="1" applyFont="1" applyFill="1" applyBorder="1" applyAlignment="1">
      <alignment horizontal="right" vertical="top"/>
    </xf>
    <xf numFmtId="3" fontId="22" fillId="0" borderId="23" xfId="0" applyNumberFormat="1" applyFont="1" applyFill="1" applyBorder="1" applyAlignment="1" applyProtection="1">
      <alignment horizontal="right" vertical="center"/>
    </xf>
    <xf numFmtId="3" fontId="22" fillId="0" borderId="22" xfId="0" applyNumberFormat="1" applyFont="1" applyFill="1" applyBorder="1" applyAlignment="1" applyProtection="1">
      <alignment horizontal="right" vertical="center"/>
      <protection locked="0"/>
    </xf>
    <xf numFmtId="3" fontId="22" fillId="0" borderId="24" xfId="0" applyNumberFormat="1" applyFont="1" applyFill="1" applyBorder="1" applyAlignment="1" applyProtection="1">
      <alignment horizontal="right" vertical="center"/>
    </xf>
    <xf numFmtId="3" fontId="22" fillId="0" borderId="24" xfId="0" applyNumberFormat="1" applyFont="1" applyFill="1" applyBorder="1" applyAlignment="1" applyProtection="1">
      <alignment horizontal="right" vertical="center"/>
      <protection locked="0"/>
    </xf>
    <xf numFmtId="3" fontId="22" fillId="0" borderId="25" xfId="0" applyNumberFormat="1" applyFont="1" applyFill="1" applyBorder="1" applyAlignment="1" applyProtection="1">
      <alignment horizontal="right" vertical="center"/>
      <protection locked="0"/>
    </xf>
    <xf numFmtId="3" fontId="22" fillId="0" borderId="27" xfId="0" applyNumberFormat="1" applyFont="1" applyFill="1" applyBorder="1" applyAlignment="1" applyProtection="1">
      <alignment horizontal="right" vertical="center"/>
    </xf>
    <xf numFmtId="3" fontId="22" fillId="0" borderId="27" xfId="0" applyNumberFormat="1" applyFont="1" applyFill="1" applyBorder="1" applyAlignment="1" applyProtection="1">
      <alignment horizontal="right" vertical="center"/>
      <protection locked="0"/>
    </xf>
    <xf numFmtId="3" fontId="22" fillId="0" borderId="26" xfId="0" applyNumberFormat="1" applyFont="1" applyFill="1" applyBorder="1" applyAlignment="1" applyProtection="1">
      <alignment horizontal="right" vertical="center"/>
    </xf>
    <xf numFmtId="173" fontId="22" fillId="0" borderId="29" xfId="0" applyNumberFormat="1" applyFont="1" applyFill="1" applyBorder="1" applyAlignment="1" applyProtection="1">
      <alignment vertical="center"/>
    </xf>
    <xf numFmtId="49" fontId="22" fillId="0" borderId="29" xfId="0" applyNumberFormat="1" applyFont="1" applyFill="1" applyBorder="1" applyAlignment="1">
      <alignment vertical="center"/>
    </xf>
    <xf numFmtId="3" fontId="22" fillId="0" borderId="24" xfId="39" applyNumberFormat="1" applyFont="1" applyFill="1" applyBorder="1" applyAlignment="1" applyProtection="1">
      <alignment horizontal="center" vertical="center"/>
    </xf>
    <xf numFmtId="3" fontId="24" fillId="6" borderId="174" xfId="0" applyNumberFormat="1" applyFont="1" applyFill="1" applyBorder="1" applyAlignment="1" applyProtection="1">
      <alignment horizontal="right" vertical="center"/>
    </xf>
    <xf numFmtId="3" fontId="24" fillId="6" borderId="20" xfId="0" applyNumberFormat="1" applyFont="1" applyFill="1" applyBorder="1" applyAlignment="1" applyProtection="1">
      <alignment horizontal="right" vertical="center"/>
    </xf>
    <xf numFmtId="3" fontId="24" fillId="6" borderId="20" xfId="39" applyNumberFormat="1" applyFont="1" applyFill="1" applyBorder="1" applyAlignment="1" applyProtection="1">
      <alignment horizontal="right" vertical="center"/>
    </xf>
    <xf numFmtId="3" fontId="24" fillId="6" borderId="20" xfId="0" applyNumberFormat="1" applyFont="1" applyFill="1" applyBorder="1" applyAlignment="1">
      <alignment horizontal="right" vertical="center"/>
    </xf>
    <xf numFmtId="3" fontId="24" fillId="6" borderId="21" xfId="0" applyNumberFormat="1" applyFont="1" applyFill="1" applyBorder="1" applyAlignment="1">
      <alignment horizontal="right" vertical="center"/>
    </xf>
    <xf numFmtId="3" fontId="22" fillId="0" borderId="24" xfId="39" applyNumberFormat="1" applyFont="1" applyFill="1" applyBorder="1" applyAlignment="1" applyProtection="1">
      <alignment horizontal="right" vertical="center"/>
    </xf>
    <xf numFmtId="3" fontId="22" fillId="0" borderId="24" xfId="0" applyNumberFormat="1" applyFont="1" applyFill="1" applyBorder="1" applyAlignment="1">
      <alignment horizontal="right" vertical="center"/>
    </xf>
    <xf numFmtId="3" fontId="22" fillId="0" borderId="27" xfId="39" applyNumberFormat="1" applyFont="1" applyFill="1" applyBorder="1" applyAlignment="1" applyProtection="1">
      <alignment horizontal="right" vertical="center"/>
    </xf>
    <xf numFmtId="173" fontId="24" fillId="0" borderId="174" xfId="0" applyNumberFormat="1" applyFont="1" applyFill="1" applyBorder="1" applyAlignment="1" applyProtection="1">
      <alignment horizontal="center" vertical="center"/>
    </xf>
    <xf numFmtId="173" fontId="24" fillId="0" borderId="20" xfId="0" applyNumberFormat="1" applyFont="1" applyFill="1" applyBorder="1" applyAlignment="1" applyProtection="1">
      <alignment horizontal="center" vertical="center"/>
    </xf>
    <xf numFmtId="173" fontId="24" fillId="0" borderId="20" xfId="0" applyNumberFormat="1" applyFont="1" applyFill="1" applyBorder="1" applyAlignment="1">
      <alignment horizontal="center" vertical="center"/>
    </xf>
    <xf numFmtId="173" fontId="24" fillId="0" borderId="20" xfId="0" applyNumberFormat="1" applyFont="1" applyFill="1" applyBorder="1"/>
    <xf numFmtId="173" fontId="24" fillId="0" borderId="21" xfId="0" applyNumberFormat="1" applyFont="1" applyFill="1" applyBorder="1"/>
    <xf numFmtId="3" fontId="22" fillId="0" borderId="22" xfId="0" applyNumberFormat="1" applyFont="1" applyFill="1" applyBorder="1"/>
    <xf numFmtId="3" fontId="22" fillId="0" borderId="24" xfId="0" applyNumberFormat="1" applyFont="1" applyFill="1" applyBorder="1"/>
    <xf numFmtId="3" fontId="24" fillId="6" borderId="174" xfId="0" applyNumberFormat="1" applyFont="1" applyFill="1" applyBorder="1"/>
    <xf numFmtId="3" fontId="24" fillId="6" borderId="20" xfId="0" applyNumberFormat="1" applyFont="1" applyFill="1" applyBorder="1"/>
    <xf numFmtId="3" fontId="24" fillId="6" borderId="21" xfId="0" applyNumberFormat="1" applyFont="1" applyFill="1" applyBorder="1"/>
    <xf numFmtId="173" fontId="24" fillId="0" borderId="174" xfId="0" applyNumberFormat="1" applyFont="1" applyFill="1" applyBorder="1"/>
    <xf numFmtId="9" fontId="22" fillId="0" borderId="22" xfId="39" applyFont="1" applyFill="1" applyBorder="1"/>
    <xf numFmtId="9" fontId="22" fillId="0" borderId="24" xfId="39" applyFont="1" applyFill="1" applyBorder="1"/>
    <xf numFmtId="9" fontId="22" fillId="0" borderId="22" xfId="0" applyNumberFormat="1" applyFont="1" applyFill="1" applyBorder="1"/>
    <xf numFmtId="9" fontId="22" fillId="0" borderId="24" xfId="0" applyNumberFormat="1" applyFont="1" applyFill="1" applyBorder="1"/>
    <xf numFmtId="9" fontId="24" fillId="6" borderId="174" xfId="39" applyFont="1" applyFill="1" applyBorder="1"/>
    <xf numFmtId="9" fontId="24" fillId="6" borderId="20" xfId="39" applyFont="1" applyFill="1" applyBorder="1"/>
    <xf numFmtId="9" fontId="24" fillId="6" borderId="21" xfId="39" applyFont="1" applyFill="1" applyBorder="1"/>
    <xf numFmtId="3" fontId="22" fillId="0" borderId="22" xfId="0" applyNumberFormat="1" applyFont="1" applyFill="1" applyBorder="1" applyAlignment="1" applyProtection="1">
      <alignment vertical="center"/>
      <protection locked="0"/>
    </xf>
    <xf numFmtId="3" fontId="22" fillId="0" borderId="24" xfId="0" applyNumberFormat="1" applyFont="1" applyFill="1" applyBorder="1" applyAlignment="1" applyProtection="1">
      <alignment vertical="center"/>
    </xf>
    <xf numFmtId="3" fontId="22" fillId="0" borderId="24" xfId="0" applyNumberFormat="1" applyFont="1" applyFill="1" applyBorder="1" applyAlignment="1" applyProtection="1">
      <alignment vertical="center"/>
      <protection locked="0"/>
    </xf>
    <xf numFmtId="9" fontId="0" fillId="0" borderId="0" xfId="39" applyFont="1"/>
    <xf numFmtId="49" fontId="75" fillId="0" borderId="0" xfId="9" applyNumberFormat="1" applyFont="1" applyBorder="1" applyAlignment="1">
      <alignment horizontal="center"/>
    </xf>
    <xf numFmtId="49" fontId="75" fillId="0" borderId="0" xfId="9" quotePrefix="1" applyNumberFormat="1" applyFont="1" applyBorder="1" applyAlignment="1">
      <alignment horizontal="center"/>
    </xf>
    <xf numFmtId="0" fontId="54" fillId="0" borderId="0" xfId="9" applyFont="1" applyBorder="1" applyAlignment="1">
      <alignment horizontal="right" wrapText="1"/>
    </xf>
    <xf numFmtId="9" fontId="57" fillId="18" borderId="16" xfId="39" applyFont="1" applyFill="1" applyBorder="1" applyAlignment="1">
      <alignment horizontal="center" vertical="center"/>
    </xf>
    <xf numFmtId="9" fontId="57" fillId="18" borderId="17" xfId="39" applyFont="1" applyFill="1" applyBorder="1" applyAlignment="1">
      <alignment horizontal="center" vertical="center"/>
    </xf>
    <xf numFmtId="0" fontId="94" fillId="18" borderId="45" xfId="0" applyFont="1" applyFill="1" applyBorder="1" applyAlignment="1">
      <alignment horizontal="center" vertical="center" wrapText="1"/>
    </xf>
    <xf numFmtId="9" fontId="57" fillId="18" borderId="25" xfId="39" applyFont="1" applyFill="1" applyBorder="1" applyAlignment="1">
      <alignment horizontal="center" vertical="center"/>
    </xf>
    <xf numFmtId="9" fontId="57" fillId="18" borderId="27" xfId="39" applyFont="1" applyFill="1" applyBorder="1" applyAlignment="1">
      <alignment horizontal="center" vertical="center"/>
    </xf>
    <xf numFmtId="0" fontId="94" fillId="18" borderId="92" xfId="0" applyFont="1" applyFill="1" applyBorder="1" applyAlignment="1">
      <alignment horizontal="center" vertical="center" wrapText="1"/>
    </xf>
    <xf numFmtId="0" fontId="106" fillId="31" borderId="170" xfId="0" applyFont="1" applyFill="1" applyBorder="1" applyAlignment="1">
      <alignment horizontal="center" vertical="center"/>
    </xf>
    <xf numFmtId="0" fontId="106" fillId="31" borderId="157" xfId="0" applyFont="1" applyFill="1" applyBorder="1" applyAlignment="1">
      <alignment horizontal="center"/>
    </xf>
    <xf numFmtId="165" fontId="24" fillId="6" borderId="174" xfId="39" applyNumberFormat="1" applyFont="1" applyFill="1" applyBorder="1"/>
    <xf numFmtId="165" fontId="24" fillId="6" borderId="20" xfId="39" applyNumberFormat="1" applyFont="1" applyFill="1" applyBorder="1"/>
    <xf numFmtId="165" fontId="22" fillId="0" borderId="22" xfId="39" applyNumberFormat="1" applyFont="1" applyFill="1" applyBorder="1"/>
    <xf numFmtId="165" fontId="22" fillId="0" borderId="24" xfId="39" applyNumberFormat="1" applyFont="1" applyFill="1" applyBorder="1"/>
    <xf numFmtId="165" fontId="22" fillId="0" borderId="22" xfId="0" applyNumberFormat="1" applyFont="1" applyFill="1" applyBorder="1"/>
    <xf numFmtId="165" fontId="22" fillId="0" borderId="24" xfId="0" applyNumberFormat="1" applyFont="1" applyFill="1" applyBorder="1"/>
    <xf numFmtId="165" fontId="22" fillId="0" borderId="23" xfId="0" applyNumberFormat="1" applyFont="1" applyFill="1" applyBorder="1"/>
    <xf numFmtId="165" fontId="0" fillId="0" borderId="0" xfId="39" applyNumberFormat="1" applyFont="1"/>
    <xf numFmtId="0" fontId="69" fillId="0" borderId="0" xfId="0" applyFont="1"/>
    <xf numFmtId="0" fontId="70" fillId="0" borderId="0" xfId="0" applyFont="1"/>
    <xf numFmtId="0" fontId="114" fillId="0" borderId="0" xfId="0" applyFont="1"/>
    <xf numFmtId="0" fontId="114" fillId="0" borderId="12" xfId="0" applyFont="1" applyBorder="1"/>
    <xf numFmtId="0" fontId="114" fillId="0" borderId="174" xfId="0" applyFont="1" applyBorder="1"/>
    <xf numFmtId="0" fontId="114" fillId="0" borderId="20" xfId="0" applyFont="1" applyBorder="1"/>
    <xf numFmtId="0" fontId="114" fillId="0" borderId="21" xfId="0" applyFont="1" applyBorder="1"/>
    <xf numFmtId="3" fontId="70" fillId="0" borderId="22" xfId="0" applyNumberFormat="1" applyFont="1" applyBorder="1"/>
    <xf numFmtId="3" fontId="70" fillId="0" borderId="176" xfId="0" applyNumberFormat="1" applyFont="1" applyBorder="1"/>
    <xf numFmtId="3" fontId="70" fillId="0" borderId="175" xfId="0" applyNumberFormat="1" applyFont="1" applyBorder="1"/>
    <xf numFmtId="0" fontId="115" fillId="0" borderId="0" xfId="4" applyFont="1" applyAlignment="1" applyProtection="1"/>
    <xf numFmtId="49" fontId="70" fillId="7" borderId="0" xfId="0" applyNumberFormat="1" applyFont="1" applyFill="1"/>
    <xf numFmtId="0" fontId="114" fillId="7" borderId="0" xfId="0" applyFont="1" applyFill="1"/>
    <xf numFmtId="3" fontId="114" fillId="7" borderId="22" xfId="0" applyNumberFormat="1" applyFont="1" applyFill="1" applyBorder="1"/>
    <xf numFmtId="3" fontId="114" fillId="7" borderId="24" xfId="0" applyNumberFormat="1" applyFont="1" applyFill="1" applyBorder="1"/>
    <xf numFmtId="3" fontId="114" fillId="7" borderId="175" xfId="0" applyNumberFormat="1" applyFont="1" applyFill="1" applyBorder="1"/>
    <xf numFmtId="3" fontId="114" fillId="7" borderId="176" xfId="0" applyNumberFormat="1" applyFont="1" applyFill="1" applyBorder="1"/>
    <xf numFmtId="0" fontId="70" fillId="0" borderId="12" xfId="0" applyFont="1" applyBorder="1"/>
    <xf numFmtId="3" fontId="70" fillId="0" borderId="25" xfId="0" applyNumberFormat="1" applyFont="1" applyBorder="1"/>
    <xf numFmtId="3" fontId="70" fillId="0" borderId="27" xfId="0" applyNumberFormat="1" applyFont="1" applyBorder="1"/>
    <xf numFmtId="3" fontId="70" fillId="0" borderId="177" xfId="0" applyNumberFormat="1" applyFont="1" applyBorder="1"/>
    <xf numFmtId="3" fontId="70" fillId="0" borderId="178" xfId="0" applyNumberFormat="1" applyFont="1" applyBorder="1"/>
    <xf numFmtId="3" fontId="70" fillId="0" borderId="179" xfId="0" applyNumberFormat="1" applyFont="1" applyBorder="1"/>
    <xf numFmtId="165" fontId="70" fillId="0" borderId="22" xfId="0" applyNumberFormat="1" applyFont="1" applyBorder="1"/>
    <xf numFmtId="165" fontId="70" fillId="0" borderId="176" xfId="0" applyNumberFormat="1" applyFont="1" applyBorder="1"/>
    <xf numFmtId="165" fontId="70" fillId="0" borderId="175" xfId="0" applyNumberFormat="1" applyFont="1" applyBorder="1"/>
    <xf numFmtId="165" fontId="114" fillId="7" borderId="22" xfId="0" applyNumberFormat="1" applyFont="1" applyFill="1" applyBorder="1" applyAlignment="1">
      <alignment horizontal="right"/>
    </xf>
    <xf numFmtId="165" fontId="114" fillId="7" borderId="176" xfId="0" applyNumberFormat="1" applyFont="1" applyFill="1" applyBorder="1" applyAlignment="1">
      <alignment horizontal="right"/>
    </xf>
    <xf numFmtId="165" fontId="114" fillId="7" borderId="175" xfId="0" applyNumberFormat="1" applyFont="1" applyFill="1" applyBorder="1" applyAlignment="1">
      <alignment horizontal="right"/>
    </xf>
    <xf numFmtId="165" fontId="70" fillId="0" borderId="22" xfId="0" applyNumberFormat="1" applyFont="1" applyBorder="1" applyAlignment="1">
      <alignment horizontal="right"/>
    </xf>
    <xf numFmtId="165" fontId="70" fillId="0" borderId="176" xfId="0" applyNumberFormat="1" applyFont="1" applyBorder="1" applyAlignment="1">
      <alignment horizontal="right"/>
    </xf>
    <xf numFmtId="165" fontId="70" fillId="0" borderId="175" xfId="0" applyNumberFormat="1" applyFont="1" applyBorder="1" applyAlignment="1">
      <alignment horizontal="right"/>
    </xf>
    <xf numFmtId="165" fontId="70" fillId="0" borderId="25" xfId="0" applyNumberFormat="1" applyFont="1" applyBorder="1" applyAlignment="1">
      <alignment horizontal="right"/>
    </xf>
    <xf numFmtId="165" fontId="70" fillId="0" borderId="27" xfId="0" applyNumberFormat="1" applyFont="1" applyBorder="1" applyAlignment="1">
      <alignment horizontal="right"/>
    </xf>
    <xf numFmtId="165" fontId="70" fillId="0" borderId="177" xfId="0" applyNumberFormat="1" applyFont="1" applyBorder="1" applyAlignment="1">
      <alignment horizontal="right"/>
    </xf>
    <xf numFmtId="165" fontId="106" fillId="7" borderId="141" xfId="39" applyNumberFormat="1" applyFont="1" applyFill="1" applyBorder="1" applyAlignment="1">
      <alignment horizontal="center"/>
    </xf>
    <xf numFmtId="165" fontId="107" fillId="0" borderId="30" xfId="39" applyNumberFormat="1" applyFont="1" applyFill="1" applyBorder="1" applyAlignment="1">
      <alignment horizontal="center"/>
    </xf>
    <xf numFmtId="165" fontId="107" fillId="0" borderId="31" xfId="39" applyNumberFormat="1" applyFont="1" applyFill="1" applyBorder="1" applyAlignment="1">
      <alignment horizontal="center"/>
    </xf>
    <xf numFmtId="165" fontId="107" fillId="0" borderId="30" xfId="39" applyNumberFormat="1" applyFont="1" applyBorder="1" applyAlignment="1">
      <alignment horizontal="center"/>
    </xf>
    <xf numFmtId="165" fontId="107" fillId="0" borderId="31" xfId="39" applyNumberFormat="1" applyFont="1" applyBorder="1" applyAlignment="1">
      <alignment horizontal="center"/>
    </xf>
    <xf numFmtId="49" fontId="57" fillId="19" borderId="127" xfId="0" applyNumberFormat="1" applyFont="1" applyFill="1" applyBorder="1" applyAlignment="1">
      <alignment horizontal="center"/>
    </xf>
    <xf numFmtId="3" fontId="56" fillId="0" borderId="176" xfId="0" applyNumberFormat="1" applyFont="1" applyFill="1" applyBorder="1" applyAlignment="1">
      <alignment horizontal="right" indent="1"/>
    </xf>
    <xf numFmtId="3" fontId="56" fillId="0" borderId="180" xfId="0" applyNumberFormat="1" applyFont="1" applyFill="1" applyBorder="1" applyAlignment="1">
      <alignment horizontal="right" indent="1"/>
    </xf>
    <xf numFmtId="0" fontId="56" fillId="0" borderId="156" xfId="0" applyFont="1" applyFill="1" applyBorder="1" applyAlignment="1">
      <alignment horizontal="right" indent="1"/>
    </xf>
    <xf numFmtId="0" fontId="56" fillId="0" borderId="153" xfId="0" applyFont="1" applyFill="1" applyBorder="1" applyAlignment="1">
      <alignment horizontal="right" indent="1"/>
    </xf>
    <xf numFmtId="0" fontId="56" fillId="0" borderId="181" xfId="0" applyFont="1" applyFill="1" applyBorder="1" applyAlignment="1">
      <alignment horizontal="right" indent="1"/>
    </xf>
    <xf numFmtId="171" fontId="69" fillId="23" borderId="22" xfId="14" applyNumberFormat="1" applyFont="1" applyFill="1" applyBorder="1"/>
    <xf numFmtId="0" fontId="75" fillId="0" borderId="0" xfId="0" applyFont="1" applyFill="1"/>
    <xf numFmtId="9" fontId="73" fillId="0" borderId="0" xfId="1" applyNumberFormat="1" applyFont="1"/>
    <xf numFmtId="37" fontId="73" fillId="0" borderId="0" xfId="1" applyNumberFormat="1" applyFont="1"/>
    <xf numFmtId="9" fontId="73" fillId="0" borderId="0" xfId="0" applyNumberFormat="1" applyFont="1"/>
    <xf numFmtId="171" fontId="55" fillId="6" borderId="173" xfId="1" applyNumberFormat="1" applyFont="1" applyFill="1" applyBorder="1"/>
    <xf numFmtId="171" fontId="55" fillId="6" borderId="171" xfId="1" applyNumberFormat="1" applyFont="1" applyFill="1" applyBorder="1"/>
    <xf numFmtId="9" fontId="55" fillId="6" borderId="171" xfId="39" applyFont="1" applyFill="1" applyBorder="1"/>
    <xf numFmtId="0" fontId="0" fillId="0" borderId="171" xfId="0" applyBorder="1"/>
    <xf numFmtId="37" fontId="55" fillId="6" borderId="171" xfId="1" applyNumberFormat="1" applyFont="1" applyFill="1" applyBorder="1"/>
    <xf numFmtId="0" fontId="116" fillId="6" borderId="171" xfId="0" applyFont="1" applyFill="1" applyBorder="1"/>
    <xf numFmtId="49" fontId="24" fillId="0" borderId="29" xfId="0" applyNumberFormat="1" applyFont="1" applyFill="1" applyBorder="1" applyAlignment="1">
      <alignment vertical="center"/>
    </xf>
    <xf numFmtId="173" fontId="24" fillId="0" borderId="29" xfId="0" applyNumberFormat="1" applyFont="1" applyFill="1" applyBorder="1" applyAlignment="1" applyProtection="1">
      <alignment vertical="center"/>
    </xf>
    <xf numFmtId="0" fontId="22" fillId="0" borderId="0" xfId="0" applyNumberFormat="1" applyFont="1" applyFill="1" applyBorder="1" applyAlignment="1">
      <alignment horizontal="left"/>
    </xf>
    <xf numFmtId="3" fontId="73" fillId="0" borderId="0" xfId="1" applyNumberFormat="1" applyFont="1" applyFill="1" applyBorder="1"/>
    <xf numFmtId="3" fontId="73" fillId="0" borderId="0" xfId="1" applyNumberFormat="1" applyFont="1"/>
    <xf numFmtId="9" fontId="117" fillId="0" borderId="0" xfId="0" applyNumberFormat="1" applyFont="1" applyAlignment="1">
      <alignment vertical="center"/>
    </xf>
    <xf numFmtId="0" fontId="75" fillId="0" borderId="0" xfId="15" applyFont="1" applyAlignment="1">
      <alignment horizontal="left" wrapText="1"/>
    </xf>
    <xf numFmtId="0" fontId="57" fillId="0" borderId="0" xfId="0" applyFont="1" applyFill="1" applyBorder="1" applyAlignment="1">
      <alignment vertical="center" wrapText="1"/>
    </xf>
    <xf numFmtId="0" fontId="90" fillId="0" borderId="0" xfId="0" applyFont="1"/>
    <xf numFmtId="0" fontId="55" fillId="6" borderId="0" xfId="0" applyFont="1" applyFill="1"/>
    <xf numFmtId="0" fontId="55" fillId="6" borderId="0" xfId="0" applyFont="1" applyFill="1" applyAlignment="1">
      <alignment horizontal="left"/>
    </xf>
    <xf numFmtId="3" fontId="55" fillId="6" borderId="0" xfId="0" applyNumberFormat="1" applyFont="1" applyFill="1"/>
    <xf numFmtId="164" fontId="55" fillId="6" borderId="0" xfId="39" applyNumberFormat="1" applyFont="1" applyFill="1"/>
    <xf numFmtId="171" fontId="73" fillId="0" borderId="0" xfId="1" applyNumberFormat="1" applyFont="1" applyFill="1"/>
    <xf numFmtId="0" fontId="71" fillId="0" borderId="95" xfId="11" applyFont="1" applyFill="1" applyBorder="1" applyAlignment="1">
      <alignment horizontal="center"/>
    </xf>
    <xf numFmtId="164" fontId="72" fillId="0" borderId="182" xfId="16" applyNumberFormat="1" applyFont="1" applyFill="1" applyBorder="1" applyAlignment="1">
      <alignment wrapText="1"/>
    </xf>
    <xf numFmtId="0" fontId="71" fillId="0" borderId="101" xfId="16" applyFont="1" applyBorder="1" applyAlignment="1">
      <alignment horizontal="center"/>
    </xf>
    <xf numFmtId="171" fontId="71" fillId="6" borderId="59" xfId="1" applyNumberFormat="1" applyFont="1" applyFill="1" applyBorder="1"/>
    <xf numFmtId="171" fontId="72" fillId="0" borderId="61" xfId="1" applyNumberFormat="1" applyFont="1" applyBorder="1"/>
    <xf numFmtId="171" fontId="72" fillId="0" borderId="183" xfId="1" applyNumberFormat="1" applyFont="1" applyBorder="1"/>
    <xf numFmtId="164" fontId="72" fillId="0" borderId="38" xfId="39" applyNumberFormat="1" applyFont="1" applyFill="1" applyBorder="1" applyAlignment="1">
      <alignment wrapText="1"/>
    </xf>
    <xf numFmtId="0" fontId="71" fillId="0" borderId="58" xfId="16" applyFont="1" applyBorder="1" applyAlignment="1">
      <alignment horizontal="center"/>
    </xf>
    <xf numFmtId="3" fontId="72" fillId="0" borderId="38" xfId="16" applyNumberFormat="1" applyFont="1" applyBorder="1"/>
    <xf numFmtId="3" fontId="72" fillId="0" borderId="184" xfId="16" applyNumberFormat="1" applyFont="1" applyBorder="1"/>
    <xf numFmtId="3" fontId="71" fillId="6" borderId="58" xfId="16" applyNumberFormat="1" applyFont="1" applyFill="1" applyBorder="1"/>
    <xf numFmtId="171" fontId="75" fillId="0" borderId="0" xfId="1" applyNumberFormat="1" applyFont="1" applyBorder="1"/>
    <xf numFmtId="164" fontId="75" fillId="0" borderId="0" xfId="39" applyNumberFormat="1" applyFont="1" applyBorder="1"/>
    <xf numFmtId="0" fontId="54" fillId="0" borderId="45" xfId="0" applyFont="1" applyBorder="1" applyAlignment="1">
      <alignment horizontal="center"/>
    </xf>
    <xf numFmtId="164" fontId="75" fillId="8" borderId="42" xfId="39" applyNumberFormat="1" applyFont="1" applyFill="1" applyBorder="1"/>
    <xf numFmtId="0" fontId="56" fillId="0" borderId="0" xfId="0" applyFont="1" applyAlignment="1">
      <alignment horizontal="left" wrapText="1"/>
    </xf>
    <xf numFmtId="0" fontId="72" fillId="0" borderId="4" xfId="37" applyFont="1" applyFill="1" applyBorder="1" applyAlignment="1">
      <alignment horizontal="center"/>
    </xf>
    <xf numFmtId="167" fontId="59" fillId="9" borderId="179" xfId="0" applyNumberFormat="1" applyFont="1" applyFill="1" applyBorder="1"/>
    <xf numFmtId="5" fontId="72" fillId="0" borderId="3" xfId="3" applyNumberFormat="1" applyFont="1" applyFill="1" applyBorder="1" applyAlignment="1">
      <alignment wrapText="1"/>
    </xf>
    <xf numFmtId="7" fontId="75" fillId="0" borderId="0" xfId="3" applyNumberFormat="1" applyFont="1" applyBorder="1" applyAlignment="1"/>
    <xf numFmtId="0" fontId="56" fillId="0" borderId="0" xfId="0" applyFont="1" applyAlignment="1">
      <alignment horizontal="left" wrapText="1"/>
    </xf>
    <xf numFmtId="7" fontId="71" fillId="0" borderId="6" xfId="27" applyNumberFormat="1" applyFont="1" applyFill="1" applyBorder="1" applyAlignment="1">
      <alignment horizontal="center" wrapText="1"/>
    </xf>
    <xf numFmtId="5" fontId="54" fillId="6" borderId="0" xfId="0" applyNumberFormat="1" applyFont="1" applyFill="1" applyBorder="1" applyAlignment="1"/>
    <xf numFmtId="5" fontId="75" fillId="0" borderId="0" xfId="0" applyNumberFormat="1" applyFont="1" applyFill="1" applyBorder="1" applyAlignment="1"/>
    <xf numFmtId="5" fontId="54" fillId="6" borderId="34" xfId="0" applyNumberFormat="1" applyFont="1" applyFill="1" applyBorder="1" applyAlignment="1"/>
    <xf numFmtId="5" fontId="75" fillId="0" borderId="34" xfId="0" applyNumberFormat="1" applyFont="1" applyBorder="1" applyAlignment="1"/>
    <xf numFmtId="5" fontId="54" fillId="6" borderId="9" xfId="0" applyNumberFormat="1" applyFont="1" applyFill="1" applyBorder="1" applyAlignment="1"/>
    <xf numFmtId="5" fontId="75" fillId="0" borderId="3" xfId="0" applyNumberFormat="1" applyFont="1" applyBorder="1" applyAlignment="1"/>
    <xf numFmtId="5" fontId="75" fillId="0" borderId="9" xfId="0" applyNumberFormat="1" applyFont="1" applyFill="1" applyBorder="1" applyAlignment="1"/>
    <xf numFmtId="0" fontId="71" fillId="0" borderId="58" xfId="21" applyFont="1" applyFill="1" applyBorder="1" applyAlignment="1">
      <alignment horizontal="center" wrapText="1"/>
    </xf>
    <xf numFmtId="0" fontId="71" fillId="0" borderId="69" xfId="34" applyFont="1" applyFill="1" applyBorder="1" applyAlignment="1">
      <alignment horizontal="center" wrapText="1"/>
    </xf>
    <xf numFmtId="5" fontId="72" fillId="0" borderId="32" xfId="34" applyNumberFormat="1" applyFont="1" applyFill="1" applyBorder="1" applyAlignment="1">
      <alignment wrapText="1"/>
    </xf>
    <xf numFmtId="0" fontId="56" fillId="0" borderId="0" xfId="0" applyFont="1" applyAlignment="1">
      <alignment horizontal="left" wrapText="1"/>
    </xf>
    <xf numFmtId="0" fontId="86" fillId="0" borderId="185" xfId="36" applyFont="1" applyFill="1" applyBorder="1" applyAlignment="1">
      <alignment horizontal="center"/>
    </xf>
    <xf numFmtId="0" fontId="87" fillId="0" borderId="5" xfId="35" applyFont="1" applyFill="1" applyBorder="1" applyAlignment="1">
      <alignment horizontal="center" wrapText="1"/>
    </xf>
    <xf numFmtId="167" fontId="86" fillId="0" borderId="0" xfId="36" applyNumberFormat="1" applyFont="1" applyFill="1" applyBorder="1" applyAlignment="1">
      <alignment horizontal="right" wrapText="1"/>
    </xf>
    <xf numFmtId="167" fontId="86" fillId="0" borderId="0" xfId="3" applyNumberFormat="1" applyFont="1" applyFill="1" applyBorder="1" applyAlignment="1">
      <alignment wrapText="1"/>
    </xf>
    <xf numFmtId="5" fontId="88" fillId="0" borderId="37" xfId="3" applyNumberFormat="1" applyFont="1" applyFill="1" applyBorder="1" applyAlignment="1">
      <alignment wrapText="1"/>
    </xf>
    <xf numFmtId="5" fontId="89" fillId="6" borderId="75" xfId="3" applyNumberFormat="1" applyFont="1" applyFill="1" applyBorder="1" applyAlignment="1">
      <alignment wrapText="1"/>
    </xf>
    <xf numFmtId="5" fontId="88" fillId="0" borderId="38" xfId="3" applyNumberFormat="1" applyFont="1" applyFill="1" applyBorder="1" applyAlignment="1">
      <alignment wrapText="1"/>
    </xf>
    <xf numFmtId="5" fontId="89" fillId="6" borderId="58" xfId="3" applyNumberFormat="1" applyFont="1" applyFill="1" applyBorder="1" applyAlignment="1">
      <alignment wrapText="1"/>
    </xf>
    <xf numFmtId="0" fontId="89" fillId="0" borderId="5" xfId="37" applyFont="1" applyFill="1" applyBorder="1" applyAlignment="1">
      <alignment horizontal="center" wrapText="1"/>
    </xf>
    <xf numFmtId="5" fontId="88" fillId="0" borderId="39" xfId="3" applyNumberFormat="1" applyFont="1" applyFill="1" applyBorder="1" applyAlignment="1">
      <alignment wrapText="1"/>
    </xf>
    <xf numFmtId="5" fontId="88" fillId="0" borderId="0" xfId="3" applyNumberFormat="1" applyFont="1" applyFill="1" applyBorder="1" applyAlignment="1">
      <alignment wrapText="1"/>
    </xf>
    <xf numFmtId="0" fontId="71" fillId="0" borderId="2" xfId="25" applyFont="1" applyFill="1" applyBorder="1" applyAlignment="1">
      <alignment horizontal="center" wrapText="1"/>
    </xf>
    <xf numFmtId="0" fontId="71" fillId="21" borderId="2" xfId="25" applyFont="1" applyFill="1" applyBorder="1" applyAlignment="1">
      <alignment horizontal="center"/>
    </xf>
    <xf numFmtId="167" fontId="71" fillId="0" borderId="2" xfId="25" applyNumberFormat="1" applyFont="1" applyFill="1" applyBorder="1" applyAlignment="1">
      <alignment horizontal="center" wrapText="1"/>
    </xf>
    <xf numFmtId="167" fontId="71" fillId="21" borderId="2" xfId="25" applyNumberFormat="1" applyFont="1" applyFill="1" applyBorder="1" applyAlignment="1">
      <alignment horizontal="center"/>
    </xf>
    <xf numFmtId="0" fontId="56" fillId="9" borderId="0" xfId="0" applyFont="1" applyFill="1" applyBorder="1" applyAlignment="1">
      <alignment horizontal="left" indent="1"/>
    </xf>
    <xf numFmtId="0" fontId="99" fillId="18" borderId="29" xfId="0" applyFont="1" applyFill="1" applyBorder="1" applyAlignment="1">
      <alignment horizontal="center" wrapText="1"/>
    </xf>
    <xf numFmtId="0" fontId="99" fillId="18" borderId="31" xfId="0" applyFont="1" applyFill="1" applyBorder="1" applyAlignment="1">
      <alignment horizontal="center" wrapText="1"/>
    </xf>
    <xf numFmtId="0" fontId="75" fillId="0" borderId="0" xfId="15" applyFont="1" applyAlignment="1">
      <alignment horizontal="left" wrapText="1"/>
    </xf>
    <xf numFmtId="0" fontId="68" fillId="0" borderId="12" xfId="9" applyFont="1" applyBorder="1" applyAlignment="1">
      <alignment horizontal="center" wrapText="1"/>
    </xf>
    <xf numFmtId="167" fontId="72" fillId="0" borderId="186" xfId="25" applyNumberFormat="1" applyFont="1" applyFill="1" applyBorder="1" applyAlignment="1">
      <alignment wrapText="1"/>
    </xf>
    <xf numFmtId="167" fontId="72" fillId="0" borderId="0" xfId="25" applyNumberFormat="1" applyFont="1" applyFill="1" applyBorder="1" applyAlignment="1">
      <alignment wrapText="1"/>
    </xf>
    <xf numFmtId="0" fontId="89" fillId="21" borderId="98" xfId="20" applyFont="1" applyFill="1" applyBorder="1" applyAlignment="1">
      <alignment horizontal="center" wrapText="1"/>
    </xf>
    <xf numFmtId="0" fontId="89" fillId="21" borderId="101" xfId="20" applyFont="1" applyFill="1" applyBorder="1" applyAlignment="1">
      <alignment horizontal="center" wrapText="1"/>
    </xf>
    <xf numFmtId="5" fontId="89" fillId="22" borderId="75" xfId="3" applyNumberFormat="1" applyFont="1" applyFill="1" applyBorder="1" applyAlignment="1">
      <alignment horizontal="center"/>
    </xf>
    <xf numFmtId="5" fontId="89" fillId="22" borderId="58" xfId="3" applyNumberFormat="1" applyFont="1" applyFill="1" applyBorder="1" applyAlignment="1">
      <alignment horizontal="center"/>
    </xf>
    <xf numFmtId="0" fontId="57" fillId="15" borderId="189" xfId="0" applyFont="1" applyFill="1" applyBorder="1" applyAlignment="1"/>
    <xf numFmtId="0" fontId="76" fillId="15" borderId="188" xfId="0" applyFont="1" applyFill="1" applyBorder="1" applyAlignment="1"/>
    <xf numFmtId="9" fontId="79" fillId="15" borderId="187" xfId="39" applyFont="1" applyFill="1" applyBorder="1"/>
    <xf numFmtId="9" fontId="79" fillId="15" borderId="190" xfId="39" applyFont="1" applyFill="1" applyBorder="1"/>
    <xf numFmtId="9" fontId="79" fillId="15" borderId="191" xfId="39" applyFont="1" applyFill="1" applyBorder="1"/>
    <xf numFmtId="9" fontId="79" fillId="15" borderId="192" xfId="39" applyFont="1" applyFill="1" applyBorder="1"/>
    <xf numFmtId="167" fontId="118" fillId="10" borderId="16" xfId="0" applyNumberFormat="1" applyFont="1" applyFill="1" applyBorder="1"/>
    <xf numFmtId="167" fontId="118" fillId="10" borderId="17" xfId="0" applyNumberFormat="1" applyFont="1" applyFill="1" applyBorder="1"/>
    <xf numFmtId="167" fontId="118" fillId="10" borderId="18" xfId="0" applyNumberFormat="1" applyFont="1" applyFill="1" applyBorder="1"/>
    <xf numFmtId="167" fontId="118" fillId="10" borderId="118" xfId="0" applyNumberFormat="1" applyFont="1" applyFill="1" applyBorder="1"/>
    <xf numFmtId="167" fontId="119" fillId="10" borderId="129" xfId="0" applyNumberFormat="1" applyFont="1" applyFill="1" applyBorder="1"/>
    <xf numFmtId="164" fontId="56" fillId="0" borderId="0" xfId="39" applyNumberFormat="1" applyFont="1"/>
    <xf numFmtId="5" fontId="54" fillId="13" borderId="171" xfId="3" applyNumberFormat="1" applyFont="1" applyFill="1" applyBorder="1"/>
    <xf numFmtId="5" fontId="75" fillId="0" borderId="0" xfId="3" applyNumberFormat="1" applyFont="1"/>
    <xf numFmtId="167" fontId="71" fillId="6" borderId="193" xfId="29" applyNumberFormat="1" applyFont="1" applyFill="1" applyBorder="1" applyAlignment="1">
      <alignment wrapText="1"/>
    </xf>
    <xf numFmtId="0" fontId="54" fillId="0" borderId="2" xfId="0" applyFont="1" applyBorder="1"/>
    <xf numFmtId="5" fontId="88" fillId="0" borderId="0" xfId="38" applyNumberFormat="1" applyFont="1" applyFill="1" applyBorder="1" applyAlignment="1">
      <alignment horizontal="right" wrapText="1"/>
    </xf>
    <xf numFmtId="5" fontId="89" fillId="22" borderId="59" xfId="3" applyNumberFormat="1" applyFont="1" applyFill="1" applyBorder="1" applyAlignment="1">
      <alignment horizontal="center"/>
    </xf>
    <xf numFmtId="0" fontId="89" fillId="0" borderId="194" xfId="20" applyFont="1" applyFill="1" applyBorder="1" applyAlignment="1">
      <alignment horizontal="center" wrapText="1"/>
    </xf>
    <xf numFmtId="5" fontId="89" fillId="22" borderId="6" xfId="3" applyNumberFormat="1" applyFont="1" applyFill="1" applyBorder="1" applyAlignment="1">
      <alignment horizontal="center"/>
    </xf>
    <xf numFmtId="5" fontId="89" fillId="22" borderId="76" xfId="3" applyNumberFormat="1" applyFont="1" applyFill="1" applyBorder="1" applyAlignment="1">
      <alignment horizontal="center"/>
    </xf>
    <xf numFmtId="5" fontId="88" fillId="0" borderId="195" xfId="38" applyNumberFormat="1" applyFont="1" applyFill="1" applyBorder="1" applyAlignment="1">
      <alignment horizontal="right" wrapText="1"/>
    </xf>
    <xf numFmtId="5" fontId="88" fillId="0" borderId="82" xfId="38" applyNumberFormat="1" applyFont="1" applyFill="1" applyBorder="1" applyAlignment="1">
      <alignment horizontal="right" wrapText="1"/>
    </xf>
    <xf numFmtId="5" fontId="88" fillId="0" borderId="9" xfId="38" applyNumberFormat="1" applyFont="1" applyFill="1" applyBorder="1" applyAlignment="1">
      <alignment horizontal="right" wrapText="1"/>
    </xf>
    <xf numFmtId="5" fontId="88" fillId="0" borderId="196" xfId="38" applyNumberFormat="1" applyFont="1" applyFill="1" applyBorder="1" applyAlignment="1">
      <alignment horizontal="right" wrapText="1"/>
    </xf>
    <xf numFmtId="5" fontId="88" fillId="0" borderId="186" xfId="38" applyNumberFormat="1" applyFont="1" applyFill="1" applyBorder="1" applyAlignment="1">
      <alignment horizontal="right" wrapText="1"/>
    </xf>
    <xf numFmtId="5" fontId="88" fillId="0" borderId="197" xfId="38" applyNumberFormat="1" applyFont="1" applyFill="1" applyBorder="1" applyAlignment="1">
      <alignment horizontal="right" wrapText="1"/>
    </xf>
    <xf numFmtId="167" fontId="89" fillId="22" borderId="75" xfId="3" applyNumberFormat="1" applyFont="1" applyFill="1" applyBorder="1" applyAlignment="1">
      <alignment horizontal="center"/>
    </xf>
    <xf numFmtId="167" fontId="89" fillId="22" borderId="58" xfId="3" applyNumberFormat="1" applyFont="1" applyFill="1" applyBorder="1" applyAlignment="1">
      <alignment horizontal="center"/>
    </xf>
    <xf numFmtId="0" fontId="71" fillId="0" borderId="59" xfId="36" applyFont="1" applyFill="1" applyBorder="1" applyAlignment="1">
      <alignment horizontal="center" wrapText="1"/>
    </xf>
    <xf numFmtId="0" fontId="54" fillId="0" borderId="199" xfId="0" applyFont="1" applyBorder="1" applyAlignment="1">
      <alignment wrapText="1"/>
    </xf>
    <xf numFmtId="0" fontId="56" fillId="9" borderId="200" xfId="0" applyFont="1" applyFill="1" applyBorder="1" applyAlignment="1">
      <alignment horizontal="left" indent="1"/>
    </xf>
    <xf numFmtId="5" fontId="54" fillId="13" borderId="173" xfId="3" applyNumberFormat="1" applyFont="1" applyFill="1" applyBorder="1"/>
    <xf numFmtId="5" fontId="54" fillId="13" borderId="15" xfId="3" applyNumberFormat="1" applyFont="1" applyFill="1" applyBorder="1"/>
    <xf numFmtId="177" fontId="75" fillId="0" borderId="200" xfId="3" applyNumberFormat="1" applyFont="1" applyBorder="1"/>
    <xf numFmtId="177" fontId="54" fillId="0" borderId="173" xfId="3" applyNumberFormat="1" applyFont="1" applyBorder="1"/>
    <xf numFmtId="177" fontId="54" fillId="0" borderId="171" xfId="3" applyNumberFormat="1" applyFont="1" applyBorder="1" applyAlignment="1">
      <alignment wrapText="1"/>
    </xf>
    <xf numFmtId="177" fontId="54" fillId="0" borderId="171" xfId="3" applyNumberFormat="1" applyFont="1" applyBorder="1"/>
    <xf numFmtId="177" fontId="54" fillId="0" borderId="15" xfId="3" applyNumberFormat="1" applyFont="1" applyBorder="1"/>
    <xf numFmtId="164" fontId="54" fillId="13" borderId="13" xfId="39" applyNumberFormat="1" applyFont="1" applyFill="1" applyBorder="1"/>
    <xf numFmtId="164" fontId="54" fillId="13" borderId="14" xfId="39" applyNumberFormat="1" applyFont="1" applyFill="1" applyBorder="1"/>
    <xf numFmtId="164" fontId="54" fillId="13" borderId="15" xfId="39" applyNumberFormat="1" applyFont="1" applyFill="1" applyBorder="1"/>
    <xf numFmtId="164" fontId="75" fillId="0" borderId="12" xfId="39" applyNumberFormat="1" applyFont="1" applyBorder="1"/>
    <xf numFmtId="164" fontId="75" fillId="0" borderId="34" xfId="39" applyNumberFormat="1" applyFont="1" applyBorder="1"/>
    <xf numFmtId="164" fontId="75" fillId="0" borderId="36" xfId="39" applyNumberFormat="1" applyFont="1" applyBorder="1"/>
    <xf numFmtId="164" fontId="75" fillId="0" borderId="33" xfId="39" applyNumberFormat="1" applyFont="1" applyBorder="1"/>
    <xf numFmtId="164" fontId="75" fillId="0" borderId="35" xfId="39" applyNumberFormat="1" applyFont="1" applyBorder="1"/>
    <xf numFmtId="9" fontId="54" fillId="0" borderId="34" xfId="39" applyFont="1" applyBorder="1" applyAlignment="1">
      <alignment wrapText="1"/>
    </xf>
    <xf numFmtId="0" fontId="71" fillId="0" borderId="0" xfId="14" applyFont="1" applyFill="1" applyBorder="1" applyAlignment="1">
      <alignment horizontal="center" wrapText="1"/>
    </xf>
    <xf numFmtId="3" fontId="56" fillId="0" borderId="176" xfId="0" applyNumberFormat="1" applyFont="1" applyBorder="1" applyAlignment="1">
      <alignment horizontal="right" indent="1"/>
    </xf>
    <xf numFmtId="171" fontId="56" fillId="0" borderId="198" xfId="1" applyNumberFormat="1" applyFont="1" applyBorder="1" applyAlignment="1">
      <alignment horizontal="right"/>
    </xf>
    <xf numFmtId="3" fontId="56" fillId="11" borderId="176" xfId="0" applyNumberFormat="1" applyFont="1" applyFill="1" applyBorder="1" applyAlignment="1">
      <alignment horizontal="right" indent="1"/>
    </xf>
    <xf numFmtId="171" fontId="56" fillId="11" borderId="198" xfId="1" applyNumberFormat="1" applyFont="1" applyFill="1" applyBorder="1" applyAlignment="1">
      <alignment horizontal="right"/>
    </xf>
    <xf numFmtId="171" fontId="56" fillId="11" borderId="198" xfId="1" applyNumberFormat="1" applyFont="1" applyFill="1" applyBorder="1"/>
    <xf numFmtId="167" fontId="118" fillId="10" borderId="179" xfId="0" applyNumberFormat="1" applyFont="1" applyFill="1" applyBorder="1"/>
    <xf numFmtId="167" fontId="118" fillId="10" borderId="198" xfId="0" applyNumberFormat="1" applyFont="1" applyFill="1" applyBorder="1"/>
    <xf numFmtId="167" fontId="59" fillId="9" borderId="176" xfId="0" applyNumberFormat="1" applyFont="1" applyFill="1" applyBorder="1"/>
    <xf numFmtId="9" fontId="79" fillId="15" borderId="179" xfId="0" applyNumberFormat="1" applyFont="1" applyFill="1" applyBorder="1"/>
    <xf numFmtId="9" fontId="79" fillId="15" borderId="198" xfId="0" applyNumberFormat="1" applyFont="1" applyFill="1" applyBorder="1"/>
    <xf numFmtId="9" fontId="79" fillId="15" borderId="204" xfId="39" applyFont="1" applyFill="1" applyBorder="1"/>
    <xf numFmtId="164" fontId="79" fillId="15" borderId="204" xfId="39" applyNumberFormat="1" applyFont="1" applyFill="1" applyBorder="1"/>
    <xf numFmtId="164" fontId="79" fillId="15" borderId="203" xfId="39" applyNumberFormat="1" applyFont="1" applyFill="1" applyBorder="1"/>
    <xf numFmtId="167" fontId="59" fillId="9" borderId="198" xfId="0" applyNumberFormat="1" applyFont="1" applyFill="1" applyBorder="1"/>
    <xf numFmtId="9" fontId="79" fillId="15" borderId="179" xfId="39" applyFont="1" applyFill="1" applyBorder="1"/>
    <xf numFmtId="9" fontId="79" fillId="15" borderId="198" xfId="39" applyFont="1" applyFill="1" applyBorder="1"/>
    <xf numFmtId="0" fontId="57" fillId="0" borderId="201" xfId="0" applyFont="1" applyFill="1" applyBorder="1" applyAlignment="1"/>
    <xf numFmtId="0" fontId="56" fillId="0" borderId="205" xfId="0" applyFont="1" applyBorder="1" applyAlignment="1"/>
    <xf numFmtId="0" fontId="57" fillId="0" borderId="205" xfId="0" applyFont="1" applyFill="1" applyBorder="1" applyAlignment="1"/>
    <xf numFmtId="9" fontId="59" fillId="0" borderId="204" xfId="39" applyFont="1" applyFill="1" applyBorder="1"/>
    <xf numFmtId="0" fontId="68" fillId="0" borderId="0" xfId="9" applyFont="1"/>
    <xf numFmtId="49" fontId="57" fillId="19" borderId="128" xfId="0" applyNumberFormat="1" applyFont="1" applyFill="1" applyBorder="1" applyAlignment="1">
      <alignment horizontal="center"/>
    </xf>
    <xf numFmtId="0" fontId="56" fillId="0" borderId="112" xfId="0" applyFont="1" applyBorder="1" applyAlignment="1">
      <alignment horizontal="right" indent="1"/>
    </xf>
    <xf numFmtId="3" fontId="56" fillId="0" borderId="113" xfId="0" applyNumberFormat="1" applyFont="1" applyFill="1" applyBorder="1" applyAlignment="1">
      <alignment horizontal="right" indent="1"/>
    </xf>
    <xf numFmtId="3" fontId="56" fillId="0" borderId="114" xfId="0" applyNumberFormat="1" applyFont="1" applyFill="1" applyBorder="1" applyAlignment="1">
      <alignment horizontal="right" indent="1"/>
    </xf>
    <xf numFmtId="0" fontId="56" fillId="0" borderId="133" xfId="0" applyFont="1" applyBorder="1" applyAlignment="1">
      <alignment horizontal="right" indent="1"/>
    </xf>
    <xf numFmtId="0" fontId="56" fillId="0" borderId="134" xfId="0" applyFont="1" applyFill="1" applyBorder="1" applyAlignment="1">
      <alignment horizontal="right" indent="1"/>
    </xf>
    <xf numFmtId="0" fontId="56" fillId="0" borderId="135" xfId="0" applyFont="1" applyFill="1" applyBorder="1" applyAlignment="1">
      <alignment horizontal="right" indent="1"/>
    </xf>
    <xf numFmtId="0" fontId="57" fillId="19" borderId="204" xfId="0" applyFont="1" applyFill="1" applyBorder="1" applyAlignment="1">
      <alignment horizontal="center"/>
    </xf>
    <xf numFmtId="171" fontId="54" fillId="6" borderId="14" xfId="1" applyNumberFormat="1" applyFont="1" applyFill="1" applyBorder="1"/>
    <xf numFmtId="0" fontId="20" fillId="0" borderId="0" xfId="0" applyFont="1"/>
    <xf numFmtId="0" fontId="20" fillId="0" borderId="0" xfId="0" applyFont="1" applyAlignment="1">
      <alignment horizontal="left"/>
    </xf>
    <xf numFmtId="0" fontId="20" fillId="0" borderId="0" xfId="0" applyFont="1" applyAlignment="1"/>
    <xf numFmtId="0" fontId="120" fillId="9" borderId="0" xfId="0" applyFont="1" applyFill="1" applyAlignment="1">
      <alignment vertical="top" wrapText="1"/>
    </xf>
    <xf numFmtId="0" fontId="71" fillId="0" borderId="0" xfId="16" applyFont="1" applyFill="1" applyBorder="1" applyAlignment="1">
      <alignment horizontal="center" vertical="center"/>
    </xf>
    <xf numFmtId="0" fontId="71" fillId="0" borderId="0" xfId="16" applyFont="1" applyAlignment="1">
      <alignment vertical="center"/>
    </xf>
    <xf numFmtId="0" fontId="71" fillId="0" borderId="211" xfId="33" applyFont="1" applyFill="1" applyBorder="1" applyAlignment="1">
      <alignment horizontal="center" wrapText="1"/>
    </xf>
    <xf numFmtId="3" fontId="72" fillId="0" borderId="176" xfId="33" applyNumberFormat="1" applyFont="1" applyFill="1" applyBorder="1" applyAlignment="1">
      <alignment horizontal="right" wrapText="1"/>
    </xf>
    <xf numFmtId="9" fontId="75" fillId="21" borderId="0" xfId="39" applyFont="1" applyFill="1"/>
    <xf numFmtId="0" fontId="75" fillId="0" borderId="34" xfId="0" applyFont="1" applyBorder="1"/>
    <xf numFmtId="3" fontId="81" fillId="0" borderId="22" xfId="14" applyNumberFormat="1" applyFont="1" applyBorder="1"/>
    <xf numFmtId="3" fontId="81" fillId="0" borderId="24" xfId="14" applyNumberFormat="1" applyFont="1" applyBorder="1"/>
    <xf numFmtId="3" fontId="81" fillId="0" borderId="53" xfId="14" applyNumberFormat="1" applyFont="1" applyBorder="1"/>
    <xf numFmtId="3" fontId="72" fillId="0" borderId="176" xfId="33" applyNumberFormat="1" applyFont="1" applyFill="1" applyBorder="1"/>
    <xf numFmtId="0" fontId="56" fillId="9" borderId="200" xfId="0" applyFont="1" applyFill="1" applyBorder="1" applyAlignment="1">
      <alignment horizontal="left" indent="1"/>
    </xf>
    <xf numFmtId="0" fontId="56" fillId="9" borderId="0" xfId="0" applyFont="1" applyFill="1" applyBorder="1" applyAlignment="1">
      <alignment horizontal="left" indent="1"/>
    </xf>
    <xf numFmtId="0" fontId="76" fillId="15" borderId="188" xfId="0" applyFont="1" applyFill="1" applyBorder="1" applyAlignment="1"/>
    <xf numFmtId="0" fontId="64" fillId="0" borderId="0" xfId="0" applyFont="1" applyAlignment="1">
      <alignment horizontal="right"/>
    </xf>
    <xf numFmtId="0" fontId="72" fillId="0" borderId="0" xfId="27" applyFont="1" applyFill="1" applyBorder="1" applyAlignment="1">
      <alignment horizontal="center" wrapText="1"/>
    </xf>
    <xf numFmtId="5" fontId="75" fillId="0" borderId="0" xfId="0" applyNumberFormat="1" applyFont="1" applyBorder="1" applyAlignment="1"/>
    <xf numFmtId="5" fontId="72" fillId="0" borderId="213" xfId="26" applyNumberFormat="1" applyFont="1" applyFill="1" applyBorder="1" applyAlignment="1">
      <alignment wrapText="1"/>
    </xf>
    <xf numFmtId="5" fontId="72" fillId="0" borderId="213" xfId="3" applyNumberFormat="1" applyFont="1" applyFill="1" applyBorder="1" applyAlignment="1">
      <alignment wrapText="1"/>
    </xf>
    <xf numFmtId="5" fontId="72" fillId="0" borderId="213" xfId="3" applyNumberFormat="1" applyFont="1" applyBorder="1" applyAlignment="1"/>
    <xf numFmtId="5" fontId="72" fillId="0" borderId="0" xfId="3" applyNumberFormat="1" applyFont="1" applyBorder="1" applyAlignment="1"/>
    <xf numFmtId="5" fontId="72" fillId="0" borderId="0" xfId="3" applyNumberFormat="1" applyFont="1" applyFill="1" applyBorder="1" applyAlignment="1">
      <alignment wrapText="1"/>
    </xf>
    <xf numFmtId="5" fontId="72" fillId="0" borderId="0" xfId="27" applyNumberFormat="1" applyFont="1" applyFill="1" applyBorder="1" applyAlignment="1">
      <alignment wrapText="1"/>
    </xf>
    <xf numFmtId="5" fontId="75" fillId="0" borderId="0" xfId="0" applyNumberFormat="1" applyFont="1"/>
    <xf numFmtId="167" fontId="86" fillId="0" borderId="0" xfId="36" applyNumberFormat="1" applyFont="1" applyBorder="1"/>
    <xf numFmtId="5" fontId="73" fillId="0" borderId="0" xfId="0" applyNumberFormat="1" applyFont="1" applyBorder="1" applyAlignment="1"/>
    <xf numFmtId="5" fontId="73" fillId="0" borderId="0" xfId="0" applyNumberFormat="1" applyFont="1" applyBorder="1"/>
    <xf numFmtId="49" fontId="2" fillId="0" borderId="0" xfId="9" applyNumberFormat="1" applyFont="1" applyAlignment="1">
      <alignment horizontal="center"/>
    </xf>
    <xf numFmtId="171" fontId="73" fillId="0" borderId="0" xfId="2" applyNumberFormat="1" applyFont="1"/>
    <xf numFmtId="166" fontId="32" fillId="0" borderId="0" xfId="38" applyNumberFormat="1" applyFont="1" applyFill="1" applyBorder="1" applyAlignment="1">
      <alignment horizontal="right" wrapText="1"/>
    </xf>
    <xf numFmtId="0" fontId="64" fillId="0" borderId="0" xfId="0" applyFont="1" applyFill="1" applyBorder="1" applyAlignment="1">
      <alignment horizontal="right"/>
    </xf>
    <xf numFmtId="0" fontId="64" fillId="0" borderId="0" xfId="0" quotePrefix="1" applyFont="1" applyFill="1" applyBorder="1" applyAlignment="1">
      <alignment horizontal="left"/>
    </xf>
    <xf numFmtId="0" fontId="64" fillId="0" borderId="0" xfId="0" applyFont="1" applyFill="1" applyBorder="1" applyAlignment="1"/>
    <xf numFmtId="0" fontId="64" fillId="0" borderId="40" xfId="0" applyFont="1" applyFill="1" applyBorder="1" applyAlignment="1" applyProtection="1">
      <alignment vertical="center"/>
      <protection locked="0"/>
    </xf>
    <xf numFmtId="0" fontId="64" fillId="0" borderId="200" xfId="0" applyFont="1" applyFill="1" applyBorder="1" applyAlignment="1">
      <alignment horizontal="right"/>
    </xf>
    <xf numFmtId="0" fontId="65" fillId="0" borderId="0" xfId="0" applyFont="1" applyBorder="1"/>
    <xf numFmtId="167" fontId="59" fillId="0" borderId="216" xfId="0" applyNumberFormat="1" applyFont="1" applyFill="1" applyBorder="1"/>
    <xf numFmtId="167" fontId="59" fillId="0" borderId="53" xfId="0" applyNumberFormat="1" applyFont="1" applyFill="1" applyBorder="1"/>
    <xf numFmtId="167" fontId="59" fillId="0" borderId="33" xfId="0" applyNumberFormat="1" applyFont="1" applyFill="1" applyBorder="1"/>
    <xf numFmtId="173" fontId="24" fillId="0" borderId="42" xfId="0" applyNumberFormat="1" applyFont="1" applyFill="1" applyBorder="1"/>
    <xf numFmtId="9" fontId="24" fillId="6" borderId="42" xfId="39" applyFont="1" applyFill="1" applyBorder="1"/>
    <xf numFmtId="9" fontId="22" fillId="0" borderId="217" xfId="39" applyFont="1" applyFill="1" applyBorder="1"/>
    <xf numFmtId="9" fontId="22" fillId="0" borderId="217" xfId="0" applyNumberFormat="1" applyFont="1" applyFill="1" applyBorder="1"/>
    <xf numFmtId="9" fontId="22" fillId="0" borderId="175" xfId="39" applyFont="1" applyFill="1" applyBorder="1"/>
    <xf numFmtId="9" fontId="22" fillId="0" borderId="175" xfId="0" applyNumberFormat="1" applyFont="1" applyFill="1" applyBorder="1"/>
    <xf numFmtId="3" fontId="24" fillId="6" borderId="42" xfId="0" applyNumberFormat="1" applyFont="1" applyFill="1" applyBorder="1" applyAlignment="1">
      <alignment horizontal="right" vertical="center"/>
    </xf>
    <xf numFmtId="3" fontId="22" fillId="0" borderId="217" xfId="0" applyNumberFormat="1" applyFont="1" applyFill="1" applyBorder="1" applyAlignment="1">
      <alignment horizontal="right" vertical="center"/>
    </xf>
    <xf numFmtId="3" fontId="22" fillId="0" borderId="175" xfId="0" applyNumberFormat="1" applyFont="1" applyFill="1" applyBorder="1" applyAlignment="1">
      <alignment horizontal="right" vertical="center"/>
    </xf>
    <xf numFmtId="3" fontId="24" fillId="6" borderId="42" xfId="0" applyNumberFormat="1" applyFont="1" applyFill="1" applyBorder="1"/>
    <xf numFmtId="3" fontId="22" fillId="0" borderId="217" xfId="0" applyNumberFormat="1" applyFont="1" applyFill="1" applyBorder="1"/>
    <xf numFmtId="3" fontId="22" fillId="0" borderId="175" xfId="0" applyNumberFormat="1" applyFont="1" applyFill="1" applyBorder="1"/>
    <xf numFmtId="3" fontId="22" fillId="0" borderId="27" xfId="0" applyNumberFormat="1" applyFont="1" applyFill="1" applyBorder="1" applyAlignment="1">
      <alignment horizontal="right" vertical="center"/>
    </xf>
    <xf numFmtId="3" fontId="22" fillId="0" borderId="92" xfId="0" applyNumberFormat="1" applyFont="1" applyFill="1" applyBorder="1" applyAlignment="1">
      <alignment horizontal="right" vertical="center"/>
    </xf>
    <xf numFmtId="3" fontId="22" fillId="0" borderId="26" xfId="0" applyNumberFormat="1" applyFont="1" applyFill="1" applyBorder="1" applyAlignment="1">
      <alignment horizontal="right" vertical="center"/>
    </xf>
    <xf numFmtId="3" fontId="22" fillId="0" borderId="27" xfId="0" applyNumberFormat="1" applyFont="1" applyFill="1" applyBorder="1"/>
    <xf numFmtId="3" fontId="22" fillId="0" borderId="92" xfId="0" applyNumberFormat="1" applyFont="1" applyFill="1" applyBorder="1"/>
    <xf numFmtId="3" fontId="22" fillId="0" borderId="26" xfId="0" applyNumberFormat="1" applyFont="1" applyFill="1" applyBorder="1"/>
    <xf numFmtId="165" fontId="24" fillId="6" borderId="42" xfId="39" applyNumberFormat="1" applyFont="1" applyFill="1" applyBorder="1"/>
    <xf numFmtId="165" fontId="22" fillId="0" borderId="217" xfId="39" applyNumberFormat="1" applyFont="1" applyFill="1" applyBorder="1"/>
    <xf numFmtId="165" fontId="22" fillId="0" borderId="217" xfId="0" applyNumberFormat="1" applyFont="1" applyFill="1" applyBorder="1"/>
    <xf numFmtId="173" fontId="22" fillId="0" borderId="21" xfId="0" applyNumberFormat="1" applyFont="1" applyFill="1" applyBorder="1"/>
    <xf numFmtId="180" fontId="24" fillId="6" borderId="21" xfId="0" applyNumberFormat="1" applyFont="1" applyFill="1" applyBorder="1"/>
    <xf numFmtId="180" fontId="22" fillId="0" borderId="175" xfId="0" applyNumberFormat="1" applyFont="1" applyFill="1" applyBorder="1"/>
    <xf numFmtId="180" fontId="22" fillId="0" borderId="0" xfId="0" applyNumberFormat="1" applyFont="1" applyFill="1"/>
    <xf numFmtId="0" fontId="28" fillId="0" borderId="0" xfId="15" applyFont="1" applyAlignment="1">
      <alignment horizontal="left" wrapText="1"/>
    </xf>
    <xf numFmtId="0" fontId="71" fillId="0" borderId="218" xfId="14" quotePrefix="1" applyFont="1" applyFill="1" applyBorder="1" applyAlignment="1">
      <alignment horizontal="center" wrapText="1"/>
    </xf>
    <xf numFmtId="164" fontId="71" fillId="23" borderId="200" xfId="14" applyNumberFormat="1" applyFont="1" applyFill="1" applyBorder="1" applyAlignment="1">
      <alignment horizontal="center" wrapText="1"/>
    </xf>
    <xf numFmtId="164" fontId="72" fillId="0" borderId="200" xfId="14" applyNumberFormat="1" applyFont="1" applyFill="1" applyBorder="1" applyAlignment="1">
      <alignment horizontal="center" wrapText="1"/>
    </xf>
    <xf numFmtId="0" fontId="71" fillId="0" borderId="219" xfId="14" quotePrefix="1" applyFont="1" applyFill="1" applyBorder="1" applyAlignment="1">
      <alignment horizontal="center" wrapText="1"/>
    </xf>
    <xf numFmtId="164" fontId="71" fillId="23" borderId="175" xfId="14" applyNumberFormat="1" applyFont="1" applyFill="1" applyBorder="1" applyAlignment="1">
      <alignment horizontal="center" wrapText="1"/>
    </xf>
    <xf numFmtId="164" fontId="72" fillId="0" borderId="175" xfId="14" applyNumberFormat="1" applyFont="1" applyFill="1" applyBorder="1" applyAlignment="1">
      <alignment horizontal="center" wrapText="1"/>
    </xf>
    <xf numFmtId="164" fontId="72" fillId="0" borderId="204" xfId="14" applyNumberFormat="1" applyFont="1" applyFill="1" applyBorder="1" applyAlignment="1">
      <alignment horizontal="center" wrapText="1"/>
    </xf>
    <xf numFmtId="164" fontId="72" fillId="0" borderId="217" xfId="14" applyNumberFormat="1" applyFont="1" applyFill="1" applyBorder="1" applyAlignment="1">
      <alignment horizontal="center" wrapText="1"/>
    </xf>
    <xf numFmtId="164" fontId="72" fillId="0" borderId="176" xfId="14" applyNumberFormat="1" applyFont="1" applyFill="1" applyBorder="1" applyAlignment="1">
      <alignment horizontal="center" wrapText="1"/>
    </xf>
    <xf numFmtId="0" fontId="71" fillId="0" borderId="220" xfId="14" applyFont="1" applyFill="1" applyBorder="1" applyAlignment="1">
      <alignment horizontal="center" wrapText="1"/>
    </xf>
    <xf numFmtId="171" fontId="69" fillId="23" borderId="217" xfId="14" applyNumberFormat="1" applyFont="1" applyFill="1" applyBorder="1"/>
    <xf numFmtId="171" fontId="81" fillId="0" borderId="217" xfId="1" applyNumberFormat="1" applyFont="1" applyBorder="1"/>
    <xf numFmtId="0" fontId="71" fillId="0" borderId="221" xfId="14" applyFont="1" applyFill="1" applyBorder="1" applyAlignment="1">
      <alignment horizontal="center" wrapText="1"/>
    </xf>
    <xf numFmtId="0" fontId="71" fillId="0" borderId="219" xfId="14" applyFont="1" applyFill="1" applyBorder="1" applyAlignment="1">
      <alignment horizontal="center" wrapText="1"/>
    </xf>
    <xf numFmtId="0" fontId="81" fillId="0" borderId="216" xfId="14" applyFont="1" applyBorder="1"/>
    <xf numFmtId="0" fontId="81" fillId="0" borderId="175" xfId="14" applyFont="1" applyBorder="1"/>
    <xf numFmtId="3" fontId="72" fillId="0" borderId="217" xfId="14" applyNumberFormat="1" applyFont="1" applyFill="1" applyBorder="1" applyAlignment="1">
      <alignment horizontal="right" wrapText="1"/>
    </xf>
    <xf numFmtId="171" fontId="69" fillId="23" borderId="216" xfId="1" applyNumberFormat="1" applyFont="1" applyFill="1" applyBorder="1"/>
    <xf numFmtId="171" fontId="69" fillId="23" borderId="175" xfId="1" applyNumberFormat="1" applyFont="1" applyFill="1" applyBorder="1"/>
    <xf numFmtId="0" fontId="28" fillId="0" borderId="0" xfId="15" applyFont="1" applyAlignment="1">
      <alignment horizontal="left" wrapText="1"/>
    </xf>
    <xf numFmtId="0" fontId="75" fillId="0" borderId="0" xfId="15" applyFont="1" applyAlignment="1">
      <alignment horizontal="left" wrapText="1"/>
    </xf>
    <xf numFmtId="49" fontId="83" fillId="0" borderId="0" xfId="19" applyNumberFormat="1" applyFont="1" applyBorder="1" applyAlignment="1">
      <alignment horizontal="center" wrapText="1"/>
    </xf>
    <xf numFmtId="3" fontId="54" fillId="11" borderId="0" xfId="15" applyNumberFormat="1" applyFont="1" applyFill="1" applyBorder="1" applyAlignment="1">
      <alignment horizontal="right" vertical="top"/>
    </xf>
    <xf numFmtId="171" fontId="75" fillId="0" borderId="0" xfId="1" applyNumberFormat="1" applyFont="1" applyFill="1" applyBorder="1"/>
    <xf numFmtId="3" fontId="54" fillId="6" borderId="0" xfId="15" applyNumberFormat="1" applyFont="1" applyFill="1" applyBorder="1"/>
    <xf numFmtId="3" fontId="75" fillId="0" borderId="0" xfId="15" applyNumberFormat="1" applyFont="1" applyBorder="1"/>
    <xf numFmtId="171" fontId="54" fillId="6" borderId="0" xfId="1" applyNumberFormat="1" applyFont="1" applyFill="1" applyBorder="1" applyAlignment="1">
      <alignment horizontal="center" wrapText="1"/>
    </xf>
    <xf numFmtId="3" fontId="75" fillId="0" borderId="0" xfId="15" applyNumberFormat="1" applyFont="1" applyFill="1" applyBorder="1"/>
    <xf numFmtId="0" fontId="54" fillId="0" borderId="222" xfId="15" applyFont="1" applyFill="1" applyBorder="1" applyAlignment="1">
      <alignment horizontal="center" wrapText="1"/>
    </xf>
    <xf numFmtId="171" fontId="54" fillId="6" borderId="198" xfId="1" applyNumberFormat="1" applyFont="1" applyFill="1" applyBorder="1" applyAlignment="1">
      <alignment horizontal="center" wrapText="1"/>
    </xf>
    <xf numFmtId="3" fontId="75" fillId="0" borderId="198" xfId="15" applyNumberFormat="1" applyFont="1" applyFill="1" applyBorder="1"/>
    <xf numFmtId="3" fontId="54" fillId="0" borderId="222" xfId="15" applyNumberFormat="1" applyFont="1" applyFill="1" applyBorder="1" applyAlignment="1">
      <alignment vertical="top"/>
    </xf>
    <xf numFmtId="3" fontId="56" fillId="9" borderId="216" xfId="0" applyNumberFormat="1" applyFont="1" applyFill="1" applyBorder="1" applyAlignment="1">
      <alignment horizontal="right" indent="1"/>
    </xf>
    <xf numFmtId="3" fontId="56" fillId="9" borderId="176" xfId="0" applyNumberFormat="1" applyFont="1" applyFill="1" applyBorder="1" applyAlignment="1">
      <alignment horizontal="right" indent="1"/>
    </xf>
    <xf numFmtId="171" fontId="56" fillId="9" borderId="198" xfId="1" applyNumberFormat="1" applyFont="1" applyFill="1" applyBorder="1"/>
    <xf numFmtId="3" fontId="56" fillId="0" borderId="16" xfId="0" applyNumberFormat="1" applyFont="1" applyBorder="1" applyAlignment="1">
      <alignment horizontal="right" indent="1"/>
    </xf>
    <xf numFmtId="3" fontId="56" fillId="0" borderId="17" xfId="0" applyNumberFormat="1" applyFont="1" applyBorder="1" applyAlignment="1">
      <alignment horizontal="right" indent="1"/>
    </xf>
    <xf numFmtId="3" fontId="56" fillId="0" borderId="18" xfId="0" quotePrefix="1" applyNumberFormat="1" applyFont="1" applyFill="1" applyBorder="1" applyAlignment="1">
      <alignment horizontal="right" indent="1"/>
    </xf>
    <xf numFmtId="3" fontId="56" fillId="11" borderId="216" xfId="0" applyNumberFormat="1" applyFont="1" applyFill="1" applyBorder="1" applyAlignment="1">
      <alignment horizontal="right" indent="1"/>
    </xf>
    <xf numFmtId="3" fontId="56" fillId="11" borderId="175" xfId="0" quotePrefix="1" applyNumberFormat="1" applyFont="1" applyFill="1" applyBorder="1" applyAlignment="1">
      <alignment horizontal="right" indent="1"/>
    </xf>
    <xf numFmtId="3" fontId="56" fillId="0" borderId="216" xfId="0" applyNumberFormat="1" applyFont="1" applyBorder="1" applyAlignment="1">
      <alignment horizontal="right" indent="1"/>
    </xf>
    <xf numFmtId="3" fontId="56" fillId="0" borderId="175" xfId="0" quotePrefix="1" applyNumberFormat="1" applyFont="1" applyFill="1" applyBorder="1" applyAlignment="1">
      <alignment horizontal="right" indent="1"/>
    </xf>
    <xf numFmtId="3" fontId="56" fillId="9" borderId="175" xfId="0" quotePrefix="1" applyNumberFormat="1" applyFont="1" applyFill="1" applyBorder="1" applyAlignment="1">
      <alignment horizontal="right" indent="1"/>
    </xf>
    <xf numFmtId="171" fontId="56" fillId="0" borderId="29" xfId="1" applyNumberFormat="1" applyFont="1" applyBorder="1"/>
    <xf numFmtId="171" fontId="56" fillId="0" borderId="198" xfId="1" applyNumberFormat="1" applyFont="1" applyBorder="1"/>
    <xf numFmtId="171" fontId="56" fillId="0" borderId="29" xfId="1" applyNumberFormat="1" applyFont="1" applyBorder="1" applyAlignment="1">
      <alignment horizontal="right"/>
    </xf>
    <xf numFmtId="3" fontId="56" fillId="11" borderId="204" xfId="0" applyNumberFormat="1" applyFont="1" applyFill="1" applyBorder="1" applyAlignment="1">
      <alignment horizontal="right" indent="1"/>
    </xf>
    <xf numFmtId="3" fontId="56" fillId="11" borderId="223" xfId="0" applyNumberFormat="1" applyFont="1" applyFill="1" applyBorder="1" applyAlignment="1">
      <alignment horizontal="right" indent="1"/>
    </xf>
    <xf numFmtId="3" fontId="56" fillId="11" borderId="224" xfId="0" quotePrefix="1" applyNumberFormat="1" applyFont="1" applyFill="1" applyBorder="1" applyAlignment="1">
      <alignment horizontal="right" indent="1"/>
    </xf>
    <xf numFmtId="171" fontId="56" fillId="11" borderId="203" xfId="1" applyNumberFormat="1" applyFont="1" applyFill="1" applyBorder="1"/>
    <xf numFmtId="9" fontId="103" fillId="0" borderId="0" xfId="39" applyFont="1" applyFill="1" applyAlignment="1">
      <alignment vertical="center" wrapText="1"/>
    </xf>
    <xf numFmtId="171" fontId="54" fillId="8" borderId="0" xfId="1" applyNumberFormat="1" applyFont="1" applyFill="1"/>
    <xf numFmtId="0" fontId="57" fillId="18" borderId="222" xfId="0" applyFont="1" applyFill="1" applyBorder="1" applyAlignment="1">
      <alignment wrapText="1"/>
    </xf>
    <xf numFmtId="0" fontId="54" fillId="0" borderId="42" xfId="15" applyFont="1" applyFill="1" applyBorder="1" applyAlignment="1">
      <alignment horizontal="center" wrapText="1"/>
    </xf>
    <xf numFmtId="171" fontId="75" fillId="0" borderId="217" xfId="1" applyNumberFormat="1" applyFont="1" applyFill="1" applyBorder="1"/>
    <xf numFmtId="171" fontId="75" fillId="0" borderId="225" xfId="1" applyNumberFormat="1" applyFont="1" applyFill="1" applyBorder="1"/>
    <xf numFmtId="0" fontId="54" fillId="0" borderId="226" xfId="15" applyFont="1" applyFill="1" applyBorder="1" applyAlignment="1">
      <alignment horizontal="center" wrapText="1"/>
    </xf>
    <xf numFmtId="3" fontId="54" fillId="11" borderId="226" xfId="15" applyNumberFormat="1" applyFont="1" applyFill="1" applyBorder="1" applyAlignment="1">
      <alignment horizontal="right" vertical="top"/>
    </xf>
    <xf numFmtId="171" fontId="75" fillId="0" borderId="216" xfId="1" applyNumberFormat="1" applyFont="1" applyFill="1" applyBorder="1"/>
    <xf numFmtId="171" fontId="75" fillId="0" borderId="176" xfId="1" applyNumberFormat="1" applyFont="1" applyFill="1" applyBorder="1"/>
    <xf numFmtId="171" fontId="75" fillId="0" borderId="175" xfId="1" applyNumberFormat="1" applyFont="1" applyFill="1" applyBorder="1"/>
    <xf numFmtId="171" fontId="75" fillId="0" borderId="204" xfId="1" applyNumberFormat="1" applyFont="1" applyFill="1" applyBorder="1"/>
    <xf numFmtId="171" fontId="75" fillId="0" borderId="223" xfId="1" applyNumberFormat="1" applyFont="1" applyFill="1" applyBorder="1"/>
    <xf numFmtId="171" fontId="75" fillId="0" borderId="224" xfId="1" applyNumberFormat="1" applyFont="1" applyFill="1" applyBorder="1"/>
    <xf numFmtId="3" fontId="54" fillId="11" borderId="204" xfId="15" applyNumberFormat="1" applyFont="1" applyFill="1" applyBorder="1" applyAlignment="1">
      <alignment horizontal="right" vertical="top"/>
    </xf>
    <xf numFmtId="3" fontId="54" fillId="11" borderId="223" xfId="15" applyNumberFormat="1" applyFont="1" applyFill="1" applyBorder="1" applyAlignment="1">
      <alignment horizontal="right" vertical="top"/>
    </xf>
    <xf numFmtId="0" fontId="28" fillId="0" borderId="0" xfId="15" applyFont="1" applyAlignment="1">
      <alignment horizontal="left" wrapText="1"/>
    </xf>
    <xf numFmtId="3" fontId="75" fillId="0" borderId="198" xfId="15" applyNumberFormat="1" applyFont="1" applyFill="1" applyBorder="1" applyAlignment="1">
      <alignment horizontal="right" vertical="top"/>
    </xf>
    <xf numFmtId="3" fontId="75" fillId="0" borderId="203" xfId="15" applyNumberFormat="1" applyFont="1" applyFill="1" applyBorder="1" applyAlignment="1">
      <alignment horizontal="right" vertical="top"/>
    </xf>
    <xf numFmtId="3" fontId="54" fillId="6" borderId="222" xfId="15" applyNumberFormat="1" applyFont="1" applyFill="1" applyBorder="1" applyAlignment="1">
      <alignment horizontal="right" vertical="top"/>
    </xf>
    <xf numFmtId="171" fontId="75" fillId="0" borderId="198" xfId="1" applyNumberFormat="1" applyFont="1" applyBorder="1"/>
    <xf numFmtId="171" fontId="75" fillId="0" borderId="203" xfId="1" applyNumberFormat="1" applyFont="1" applyBorder="1"/>
    <xf numFmtId="0" fontId="54" fillId="0" borderId="222" xfId="15" applyFont="1" applyBorder="1"/>
    <xf numFmtId="3" fontId="54" fillId="6" borderId="222" xfId="15" applyNumberFormat="1" applyFont="1" applyFill="1" applyBorder="1"/>
    <xf numFmtId="0" fontId="75" fillId="0" borderId="0" xfId="15" applyFont="1" applyAlignment="1">
      <alignment horizontal="left" wrapText="1"/>
    </xf>
    <xf numFmtId="167" fontId="55" fillId="0" borderId="0" xfId="0" applyNumberFormat="1" applyFont="1" applyBorder="1"/>
    <xf numFmtId="167" fontId="73" fillId="0" borderId="0" xfId="0" applyNumberFormat="1" applyFont="1" applyBorder="1" applyAlignment="1"/>
    <xf numFmtId="0" fontId="89" fillId="6" borderId="65" xfId="36" applyFont="1" applyFill="1" applyBorder="1" applyAlignment="1">
      <alignment horizontal="left" wrapText="1"/>
    </xf>
    <xf numFmtId="0" fontId="89" fillId="6" borderId="66" xfId="36" applyFont="1" applyFill="1" applyBorder="1" applyAlignment="1">
      <alignment wrapText="1"/>
    </xf>
    <xf numFmtId="0" fontId="89" fillId="6" borderId="67" xfId="36" applyFont="1" applyFill="1" applyBorder="1" applyAlignment="1">
      <alignment wrapText="1"/>
    </xf>
    <xf numFmtId="5" fontId="90" fillId="6" borderId="37" xfId="3" applyNumberFormat="1" applyFont="1" applyFill="1" applyBorder="1"/>
    <xf numFmtId="5" fontId="90" fillId="6" borderId="9" xfId="3" applyNumberFormat="1" applyFont="1" applyFill="1" applyBorder="1"/>
    <xf numFmtId="5" fontId="90" fillId="6" borderId="199" xfId="0" applyNumberFormat="1" applyFont="1" applyFill="1" applyBorder="1"/>
    <xf numFmtId="0" fontId="1" fillId="0" borderId="0" xfId="0" applyFont="1"/>
    <xf numFmtId="167" fontId="88" fillId="0" borderId="0" xfId="36" applyNumberFormat="1" applyFont="1" applyFill="1" applyBorder="1" applyAlignment="1">
      <alignment wrapText="1"/>
    </xf>
    <xf numFmtId="0" fontId="88" fillId="0" borderId="0" xfId="36" applyFont="1" applyFill="1" applyBorder="1" applyAlignment="1">
      <alignment wrapText="1"/>
    </xf>
    <xf numFmtId="0" fontId="121" fillId="0" borderId="0" xfId="0" applyFont="1" applyBorder="1"/>
    <xf numFmtId="167" fontId="88" fillId="0" borderId="87" xfId="37" applyNumberFormat="1" applyFont="1" applyFill="1" applyBorder="1" applyAlignment="1">
      <alignment horizontal="right" wrapText="1"/>
    </xf>
    <xf numFmtId="167" fontId="88" fillId="0" borderId="63" xfId="37" applyNumberFormat="1" applyFont="1" applyFill="1" applyBorder="1" applyAlignment="1">
      <alignment horizontal="right" wrapText="1"/>
    </xf>
    <xf numFmtId="5" fontId="88" fillId="0" borderId="64" xfId="37" applyNumberFormat="1" applyFont="1" applyFill="1" applyBorder="1" applyAlignment="1">
      <alignment horizontal="right" wrapText="1"/>
    </xf>
    <xf numFmtId="5" fontId="1" fillId="0" borderId="198" xfId="0" applyNumberFormat="1" applyFont="1" applyBorder="1"/>
    <xf numFmtId="0" fontId="1" fillId="0" borderId="0" xfId="0" applyFont="1" applyBorder="1"/>
    <xf numFmtId="167" fontId="88" fillId="0" borderId="37" xfId="37" applyNumberFormat="1" applyFont="1" applyBorder="1"/>
    <xf numFmtId="167" fontId="88" fillId="0" borderId="38" xfId="37" applyNumberFormat="1" applyFont="1" applyBorder="1"/>
    <xf numFmtId="167" fontId="88" fillId="0" borderId="37" xfId="37" applyNumberFormat="1" applyFont="1" applyFill="1" applyBorder="1" applyAlignment="1">
      <alignment horizontal="right" wrapText="1"/>
    </xf>
    <xf numFmtId="167" fontId="88" fillId="0" borderId="38" xfId="37" applyNumberFormat="1" applyFont="1" applyFill="1" applyBorder="1" applyAlignment="1">
      <alignment horizontal="right" wrapText="1"/>
    </xf>
    <xf numFmtId="0" fontId="121" fillId="0" borderId="12" xfId="0" applyFont="1" applyBorder="1"/>
    <xf numFmtId="167" fontId="88" fillId="0" borderId="79" xfId="37" applyNumberFormat="1" applyFont="1" applyFill="1" applyBorder="1" applyAlignment="1">
      <alignment horizontal="right" wrapText="1"/>
    </xf>
    <xf numFmtId="167" fontId="88" fillId="0" borderId="80" xfId="37" applyNumberFormat="1" applyFont="1" applyFill="1" applyBorder="1" applyAlignment="1">
      <alignment horizontal="right" wrapText="1"/>
    </xf>
    <xf numFmtId="166" fontId="1" fillId="0" borderId="0" xfId="0" applyNumberFormat="1" applyFont="1"/>
    <xf numFmtId="5" fontId="1" fillId="0" borderId="0" xfId="0" applyNumberFormat="1" applyFont="1" applyBorder="1" applyAlignment="1"/>
    <xf numFmtId="0" fontId="89" fillId="0" borderId="2" xfId="23" applyFont="1" applyFill="1" applyBorder="1" applyAlignment="1">
      <alignment horizontal="center" wrapText="1"/>
    </xf>
    <xf numFmtId="0" fontId="89" fillId="0" borderId="6" xfId="23" applyFont="1" applyFill="1" applyBorder="1" applyAlignment="1">
      <alignment horizontal="left"/>
    </xf>
    <xf numFmtId="0" fontId="89" fillId="0" borderId="2" xfId="23" applyFont="1" applyFill="1" applyBorder="1" applyAlignment="1">
      <alignment horizontal="center"/>
    </xf>
    <xf numFmtId="0" fontId="89" fillId="22" borderId="0" xfId="23" applyFont="1" applyFill="1" applyBorder="1" applyAlignment="1">
      <alignment horizontal="center"/>
    </xf>
    <xf numFmtId="0" fontId="89" fillId="22" borderId="0" xfId="23" applyFont="1" applyFill="1" applyBorder="1" applyAlignment="1">
      <alignment horizontal="left"/>
    </xf>
    <xf numFmtId="167" fontId="90" fillId="6" borderId="3" xfId="0" applyNumberFormat="1" applyFont="1" applyFill="1" applyBorder="1"/>
    <xf numFmtId="0" fontId="88" fillId="0" borderId="1" xfId="23" applyFont="1" applyFill="1" applyBorder="1" applyAlignment="1">
      <alignment horizontal="center" wrapText="1"/>
    </xf>
    <xf numFmtId="0" fontId="88" fillId="0" borderId="11" xfId="23" applyFont="1" applyFill="1" applyBorder="1" applyAlignment="1">
      <alignment wrapText="1"/>
    </xf>
    <xf numFmtId="5" fontId="122" fillId="0" borderId="84" xfId="34" applyNumberFormat="1" applyFont="1" applyFill="1" applyBorder="1" applyAlignment="1">
      <alignment horizontal="right" wrapText="1"/>
    </xf>
    <xf numFmtId="5" fontId="1" fillId="0" borderId="0" xfId="0" applyNumberFormat="1" applyFont="1"/>
    <xf numFmtId="0" fontId="89" fillId="0" borderId="85" xfId="23" applyFont="1" applyFill="1" applyBorder="1" applyAlignment="1">
      <alignment horizontal="center" wrapText="1"/>
    </xf>
    <xf numFmtId="0" fontId="89" fillId="0" borderId="85" xfId="24" applyFont="1" applyFill="1" applyBorder="1" applyAlignment="1">
      <alignment horizontal="left"/>
    </xf>
    <xf numFmtId="0" fontId="89" fillId="0" borderId="85" xfId="24" applyFont="1" applyFill="1" applyBorder="1" applyAlignment="1">
      <alignment horizontal="center"/>
    </xf>
    <xf numFmtId="0" fontId="89" fillId="22" borderId="3" xfId="23" applyFont="1" applyFill="1" applyBorder="1" applyAlignment="1">
      <alignment horizontal="center"/>
    </xf>
    <xf numFmtId="0" fontId="89" fillId="22" borderId="3" xfId="24" applyFont="1" applyFill="1" applyBorder="1" applyAlignment="1">
      <alignment horizontal="left"/>
    </xf>
    <xf numFmtId="167" fontId="89" fillId="22" borderId="3" xfId="24" applyNumberFormat="1" applyFont="1" applyFill="1" applyBorder="1" applyAlignment="1"/>
    <xf numFmtId="0" fontId="88" fillId="0" borderId="3" xfId="23" applyFont="1" applyFill="1" applyBorder="1" applyAlignment="1">
      <alignment horizontal="center" wrapText="1"/>
    </xf>
    <xf numFmtId="0" fontId="88" fillId="0" borderId="3" xfId="24" applyFont="1" applyFill="1" applyBorder="1" applyAlignment="1">
      <alignment wrapText="1"/>
    </xf>
    <xf numFmtId="167" fontId="122" fillId="0" borderId="3" xfId="35" applyNumberFormat="1" applyFont="1" applyFill="1" applyBorder="1" applyAlignment="1">
      <alignment horizontal="right" wrapText="1"/>
    </xf>
    <xf numFmtId="0" fontId="88" fillId="0" borderId="86" xfId="23" applyFont="1" applyFill="1" applyBorder="1" applyAlignment="1">
      <alignment horizontal="center" wrapText="1"/>
    </xf>
    <xf numFmtId="0" fontId="88" fillId="0" borderId="86" xfId="24" applyFont="1" applyFill="1" applyBorder="1" applyAlignment="1">
      <alignment wrapText="1"/>
    </xf>
    <xf numFmtId="167" fontId="122" fillId="0" borderId="86" xfId="35" applyNumberFormat="1" applyFont="1" applyFill="1" applyBorder="1" applyAlignment="1">
      <alignment horizontal="right" wrapText="1"/>
    </xf>
    <xf numFmtId="166" fontId="123" fillId="0" borderId="0" xfId="0" applyNumberFormat="1" applyFont="1"/>
    <xf numFmtId="5" fontId="91" fillId="8" borderId="0" xfId="2" applyNumberFormat="1" applyFont="1" applyFill="1" applyAlignment="1">
      <alignment horizontal="center"/>
    </xf>
    <xf numFmtId="5" fontId="91" fillId="8" borderId="0" xfId="2" applyNumberFormat="1" applyFont="1" applyFill="1" applyAlignment="1">
      <alignment horizontal="right"/>
    </xf>
    <xf numFmtId="5" fontId="92" fillId="0" borderId="0" xfId="1" applyNumberFormat="1" applyFont="1" applyAlignment="1">
      <alignment horizontal="right"/>
    </xf>
    <xf numFmtId="5" fontId="92" fillId="24" borderId="0" xfId="1" applyNumberFormat="1" applyFont="1" applyFill="1"/>
    <xf numFmtId="5" fontId="47" fillId="0" borderId="0" xfId="2" applyNumberFormat="1" applyFont="1"/>
    <xf numFmtId="171" fontId="56" fillId="0" borderId="227" xfId="1" applyNumberFormat="1" applyFont="1" applyFill="1" applyBorder="1" applyAlignment="1">
      <alignment horizontal="right"/>
    </xf>
    <xf numFmtId="171" fontId="56" fillId="0" borderId="227" xfId="1" applyNumberFormat="1" applyFont="1" applyFill="1" applyBorder="1"/>
    <xf numFmtId="37" fontId="102" fillId="0" borderId="0" xfId="39" applyNumberFormat="1" applyFont="1" applyAlignment="1">
      <alignment vertical="center"/>
    </xf>
    <xf numFmtId="9" fontId="103" fillId="0" borderId="0" xfId="39" applyFont="1" applyFill="1" applyBorder="1" applyAlignment="1">
      <alignment vertical="center" wrapText="1"/>
    </xf>
    <xf numFmtId="0" fontId="57" fillId="0" borderId="227" xfId="0" applyFont="1" applyFill="1" applyBorder="1" applyAlignment="1">
      <alignment vertical="center"/>
    </xf>
    <xf numFmtId="3" fontId="75" fillId="0" borderId="228" xfId="15" applyNumberFormat="1" applyFont="1" applyFill="1" applyBorder="1"/>
    <xf numFmtId="3" fontId="75" fillId="0" borderId="203" xfId="15" applyNumberFormat="1" applyFont="1" applyFill="1" applyBorder="1"/>
    <xf numFmtId="171" fontId="54" fillId="6" borderId="222" xfId="1" applyNumberFormat="1" applyFont="1" applyFill="1" applyBorder="1" applyAlignment="1">
      <alignment horizontal="center" wrapText="1"/>
    </xf>
    <xf numFmtId="0" fontId="54" fillId="6" borderId="222" xfId="15" applyFont="1" applyFill="1" applyBorder="1" applyAlignment="1">
      <alignment horizontal="center"/>
    </xf>
    <xf numFmtId="0" fontId="54" fillId="6" borderId="222" xfId="15" applyFont="1" applyFill="1" applyBorder="1" applyAlignment="1">
      <alignment horizontal="left" wrapText="1"/>
    </xf>
    <xf numFmtId="167" fontId="28" fillId="0" borderId="229" xfId="30" applyNumberFormat="1" applyFont="1" applyFill="1" applyBorder="1" applyAlignment="1">
      <alignment wrapText="1"/>
    </xf>
    <xf numFmtId="167" fontId="28" fillId="0" borderId="5" xfId="30" applyNumberFormat="1" applyFont="1" applyFill="1" applyBorder="1" applyAlignment="1">
      <alignment wrapText="1"/>
    </xf>
    <xf numFmtId="167" fontId="63" fillId="0" borderId="230" xfId="3" applyNumberFormat="1" applyFont="1" applyBorder="1" applyAlignment="1"/>
    <xf numFmtId="167" fontId="28" fillId="0" borderId="195" xfId="30" applyNumberFormat="1" applyFont="1" applyBorder="1" applyAlignment="1"/>
    <xf numFmtId="167" fontId="28" fillId="0" borderId="231" xfId="30" applyNumberFormat="1" applyFont="1" applyBorder="1" applyAlignment="1"/>
    <xf numFmtId="167" fontId="28" fillId="0" borderId="195" xfId="30" applyNumberFormat="1" applyFont="1" applyFill="1" applyBorder="1" applyAlignment="1">
      <alignment wrapText="1"/>
    </xf>
    <xf numFmtId="167" fontId="28" fillId="0" borderId="231" xfId="30" applyNumberFormat="1" applyFont="1" applyFill="1" applyBorder="1" applyAlignment="1">
      <alignment wrapText="1"/>
    </xf>
    <xf numFmtId="5" fontId="35" fillId="0" borderId="89" xfId="30" applyNumberFormat="1" applyFont="1" applyBorder="1" applyAlignment="1"/>
    <xf numFmtId="5" fontId="35" fillId="0" borderId="5" xfId="30" applyNumberFormat="1" applyFont="1" applyBorder="1" applyAlignment="1"/>
    <xf numFmtId="5" fontId="35" fillId="0" borderId="195" xfId="30" applyNumberFormat="1" applyFont="1" applyBorder="1" applyAlignment="1"/>
    <xf numFmtId="5" fontId="32" fillId="0" borderId="195" xfId="30" applyNumberFormat="1" applyFont="1" applyFill="1" applyBorder="1" applyAlignment="1">
      <alignment wrapText="1"/>
    </xf>
    <xf numFmtId="5" fontId="32" fillId="0" borderId="0" xfId="30" applyNumberFormat="1" applyFont="1" applyFill="1" applyBorder="1" applyAlignment="1">
      <alignment wrapText="1"/>
    </xf>
    <xf numFmtId="5" fontId="32" fillId="0" borderId="231" xfId="30" applyNumberFormat="1" applyFont="1" applyFill="1" applyBorder="1" applyAlignment="1">
      <alignment wrapText="1"/>
    </xf>
    <xf numFmtId="5" fontId="44" fillId="0" borderId="0" xfId="3" applyNumberFormat="1" applyFont="1" applyBorder="1" applyAlignment="1"/>
    <xf numFmtId="167" fontId="28" fillId="0" borderId="196" xfId="30" applyNumberFormat="1" applyFont="1" applyFill="1" applyBorder="1" applyAlignment="1">
      <alignment wrapText="1"/>
    </xf>
    <xf numFmtId="167" fontId="28" fillId="0" borderId="186" xfId="30" applyNumberFormat="1" applyFont="1" applyFill="1" applyBorder="1" applyAlignment="1">
      <alignment wrapText="1"/>
    </xf>
    <xf numFmtId="167" fontId="32" fillId="0" borderId="229" xfId="30" applyNumberFormat="1" applyFont="1" applyFill="1" applyBorder="1" applyAlignment="1">
      <alignment wrapText="1"/>
    </xf>
    <xf numFmtId="167" fontId="32" fillId="0" borderId="5" xfId="30" applyNumberFormat="1" applyFont="1" applyFill="1" applyBorder="1" applyAlignment="1">
      <alignment wrapText="1"/>
    </xf>
    <xf numFmtId="167" fontId="32" fillId="0" borderId="230" xfId="30" applyNumberFormat="1" applyFont="1" applyFill="1" applyBorder="1" applyAlignment="1">
      <alignment wrapText="1"/>
    </xf>
    <xf numFmtId="167" fontId="32" fillId="0" borderId="195" xfId="30" applyNumberFormat="1" applyFont="1" applyFill="1" applyBorder="1" applyAlignment="1">
      <alignment wrapText="1"/>
    </xf>
    <xf numFmtId="167" fontId="32" fillId="0" borderId="0" xfId="30" applyNumberFormat="1" applyFont="1" applyFill="1" applyBorder="1" applyAlignment="1">
      <alignment wrapText="1"/>
    </xf>
    <xf numFmtId="167" fontId="32" fillId="0" borderId="231" xfId="30" applyNumberFormat="1" applyFont="1" applyFill="1" applyBorder="1" applyAlignment="1">
      <alignment wrapText="1"/>
    </xf>
    <xf numFmtId="167" fontId="35" fillId="0" borderId="195" xfId="30" applyNumberFormat="1" applyFont="1" applyBorder="1" applyAlignment="1"/>
    <xf numFmtId="167" fontId="35" fillId="0" borderId="231" xfId="30" applyNumberFormat="1" applyFont="1" applyBorder="1" applyAlignment="1"/>
    <xf numFmtId="167" fontId="32" fillId="0" borderId="196" xfId="30" applyNumberFormat="1" applyFont="1" applyFill="1" applyBorder="1" applyAlignment="1">
      <alignment wrapText="1"/>
    </xf>
    <xf numFmtId="167" fontId="32" fillId="0" borderId="186" xfId="30" applyNumberFormat="1" applyFont="1" applyFill="1" applyBorder="1" applyAlignment="1">
      <alignment wrapText="1"/>
    </xf>
    <xf numFmtId="167" fontId="32" fillId="0" borderId="232" xfId="30" applyNumberFormat="1" applyFont="1" applyFill="1" applyBorder="1" applyAlignment="1">
      <alignment wrapText="1"/>
    </xf>
    <xf numFmtId="167" fontId="32" fillId="0" borderId="229" xfId="30" applyNumberFormat="1" applyFont="1" applyFill="1" applyBorder="1" applyAlignment="1">
      <alignment horizontal="right" wrapText="1"/>
    </xf>
    <xf numFmtId="167" fontId="32" fillId="0" borderId="5" xfId="30" applyNumberFormat="1" applyFont="1" applyFill="1" applyBorder="1" applyAlignment="1">
      <alignment horizontal="right" wrapText="1"/>
    </xf>
    <xf numFmtId="167" fontId="32" fillId="0" borderId="230" xfId="30" applyNumberFormat="1" applyFont="1" applyFill="1" applyBorder="1" applyAlignment="1">
      <alignment horizontal="right" wrapText="1"/>
    </xf>
    <xf numFmtId="167" fontId="32" fillId="0" borderId="195" xfId="30" applyNumberFormat="1" applyFont="1" applyFill="1" applyBorder="1" applyAlignment="1">
      <alignment horizontal="right" wrapText="1"/>
    </xf>
    <xf numFmtId="167" fontId="32" fillId="0" borderId="231" xfId="30" applyNumberFormat="1" applyFont="1" applyFill="1" applyBorder="1" applyAlignment="1">
      <alignment horizontal="right" wrapText="1"/>
    </xf>
    <xf numFmtId="167" fontId="35" fillId="0" borderId="195" xfId="30" applyNumberFormat="1" applyFont="1" applyBorder="1"/>
    <xf numFmtId="167" fontId="35" fillId="0" borderId="231" xfId="30" applyNumberFormat="1" applyFont="1" applyBorder="1"/>
    <xf numFmtId="167" fontId="32" fillId="0" borderId="196" xfId="30" applyNumberFormat="1" applyFont="1" applyFill="1" applyBorder="1" applyAlignment="1">
      <alignment horizontal="right" wrapText="1"/>
    </xf>
    <xf numFmtId="167" fontId="32" fillId="0" borderId="186" xfId="30" applyNumberFormat="1" applyFont="1" applyFill="1" applyBorder="1" applyAlignment="1">
      <alignment horizontal="right" wrapText="1"/>
    </xf>
    <xf numFmtId="167" fontId="32" fillId="0" borderId="232" xfId="30" applyNumberFormat="1" applyFont="1" applyFill="1" applyBorder="1" applyAlignment="1">
      <alignment horizontal="right" wrapText="1"/>
    </xf>
    <xf numFmtId="167" fontId="35" fillId="0" borderId="229" xfId="30" applyNumberFormat="1" applyFont="1" applyBorder="1" applyAlignment="1"/>
    <xf numFmtId="167" fontId="35" fillId="0" borderId="5" xfId="30" applyNumberFormat="1" applyFont="1" applyBorder="1" applyAlignment="1"/>
    <xf numFmtId="167" fontId="72" fillId="0" borderId="229" xfId="30" applyNumberFormat="1" applyFont="1" applyBorder="1" applyAlignment="1"/>
    <xf numFmtId="167" fontId="72" fillId="0" borderId="5" xfId="30" applyNumberFormat="1" applyFont="1" applyBorder="1" applyAlignment="1"/>
    <xf numFmtId="167" fontId="72" fillId="0" borderId="195" xfId="30" applyNumberFormat="1" applyFont="1" applyFill="1" applyBorder="1" applyAlignment="1">
      <alignment wrapText="1"/>
    </xf>
    <xf numFmtId="167" fontId="72" fillId="0" borderId="0" xfId="30" applyNumberFormat="1" applyFont="1" applyFill="1" applyBorder="1" applyAlignment="1">
      <alignment wrapText="1"/>
    </xf>
    <xf numFmtId="167" fontId="72" fillId="0" borderId="231" xfId="30" applyNumberFormat="1" applyFont="1" applyFill="1" applyBorder="1" applyAlignment="1">
      <alignment wrapText="1"/>
    </xf>
    <xf numFmtId="167" fontId="72" fillId="0" borderId="195" xfId="30" applyNumberFormat="1" applyFont="1" applyBorder="1" applyAlignment="1"/>
    <xf numFmtId="167" fontId="72" fillId="0" borderId="196" xfId="30" applyNumberFormat="1" applyFont="1" applyFill="1" applyBorder="1" applyAlignment="1">
      <alignment wrapText="1"/>
    </xf>
    <xf numFmtId="167" fontId="72" fillId="0" borderId="186" xfId="30" applyNumberFormat="1" applyFont="1" applyFill="1" applyBorder="1" applyAlignment="1">
      <alignment wrapText="1"/>
    </xf>
    <xf numFmtId="167" fontId="72" fillId="0" borderId="232" xfId="30" applyNumberFormat="1" applyFont="1" applyFill="1" applyBorder="1" applyAlignment="1">
      <alignment wrapText="1"/>
    </xf>
    <xf numFmtId="167" fontId="63" fillId="0" borderId="229" xfId="3" applyNumberFormat="1" applyFont="1" applyBorder="1" applyAlignment="1"/>
    <xf numFmtId="167" fontId="63" fillId="0" borderId="5" xfId="3" applyNumberFormat="1" applyFont="1" applyBorder="1" applyAlignment="1"/>
    <xf numFmtId="167" fontId="63" fillId="0" borderId="195" xfId="3" applyNumberFormat="1" applyFont="1" applyBorder="1" applyAlignment="1"/>
    <xf numFmtId="167" fontId="63" fillId="0" borderId="0" xfId="3" applyNumberFormat="1" applyFont="1" applyBorder="1" applyAlignment="1"/>
    <xf numFmtId="167" fontId="63" fillId="0" borderId="231" xfId="3" applyNumberFormat="1" applyFont="1" applyBorder="1" applyAlignment="1"/>
    <xf numFmtId="167" fontId="35" fillId="0" borderId="229" xfId="30" applyNumberFormat="1" applyFont="1" applyBorder="1"/>
    <xf numFmtId="167" fontId="35" fillId="0" borderId="5" xfId="30" applyNumberFormat="1" applyFont="1" applyBorder="1"/>
    <xf numFmtId="7" fontId="75" fillId="0" borderId="0" xfId="7" applyNumberFormat="1" applyFont="1" applyBorder="1"/>
    <xf numFmtId="0" fontId="71" fillId="21" borderId="233" xfId="25" applyFont="1" applyFill="1" applyBorder="1" applyAlignment="1">
      <alignment horizontal="center"/>
    </xf>
    <xf numFmtId="167" fontId="54" fillId="6" borderId="233" xfId="0" applyNumberFormat="1" applyFont="1" applyFill="1" applyBorder="1"/>
    <xf numFmtId="0" fontId="71" fillId="0" borderId="233" xfId="25" applyFont="1" applyFill="1" applyBorder="1" applyAlignment="1">
      <alignment horizontal="center" wrapText="1"/>
    </xf>
    <xf numFmtId="5" fontId="73" fillId="0" borderId="0" xfId="3" applyNumberFormat="1" applyFont="1" applyBorder="1"/>
    <xf numFmtId="5" fontId="55" fillId="6" borderId="0" xfId="3" applyNumberFormat="1" applyFont="1" applyFill="1"/>
    <xf numFmtId="5" fontId="81" fillId="0" borderId="0" xfId="14" applyNumberFormat="1" applyFont="1"/>
    <xf numFmtId="167" fontId="118" fillId="21" borderId="118" xfId="0" applyNumberFormat="1" applyFont="1" applyFill="1" applyBorder="1"/>
    <xf numFmtId="167" fontId="118" fillId="0" borderId="16" xfId="0" applyNumberFormat="1" applyFont="1" applyFill="1" applyBorder="1"/>
    <xf numFmtId="167" fontId="118" fillId="0" borderId="17" xfId="0" applyNumberFormat="1" applyFont="1" applyFill="1" applyBorder="1"/>
    <xf numFmtId="167" fontId="118" fillId="0" borderId="18" xfId="0" applyNumberFormat="1" applyFont="1" applyFill="1" applyBorder="1"/>
    <xf numFmtId="167" fontId="59" fillId="0" borderId="179" xfId="0" applyNumberFormat="1" applyFont="1" applyFill="1" applyBorder="1"/>
    <xf numFmtId="167" fontId="59" fillId="0" borderId="176" xfId="0" applyNumberFormat="1" applyFont="1" applyFill="1" applyBorder="1"/>
    <xf numFmtId="167" fontId="59" fillId="0" borderId="23" xfId="0" applyNumberFormat="1" applyFont="1" applyFill="1" applyBorder="1"/>
    <xf numFmtId="167" fontId="59" fillId="0" borderId="198" xfId="0" applyNumberFormat="1" applyFont="1" applyFill="1" applyBorder="1"/>
    <xf numFmtId="0" fontId="54" fillId="0" borderId="0" xfId="0" applyFont="1" applyBorder="1" applyAlignment="1">
      <alignment horizontal="center"/>
    </xf>
    <xf numFmtId="0" fontId="68" fillId="0" borderId="12" xfId="9" applyFont="1" applyBorder="1" applyAlignment="1">
      <alignment horizontal="center" wrapText="1"/>
    </xf>
    <xf numFmtId="0" fontId="54" fillId="0" borderId="21" xfId="0" applyFont="1" applyBorder="1" applyAlignment="1">
      <alignment horizontal="center"/>
    </xf>
    <xf numFmtId="164" fontId="72" fillId="0" borderId="234" xfId="16" applyNumberFormat="1" applyFont="1" applyFill="1" applyBorder="1" applyAlignment="1">
      <alignment wrapText="1"/>
    </xf>
    <xf numFmtId="3" fontId="72" fillId="0" borderId="236" xfId="16" applyNumberFormat="1" applyFont="1" applyBorder="1"/>
    <xf numFmtId="3" fontId="72" fillId="0" borderId="237" xfId="16" applyNumberFormat="1" applyFont="1" applyBorder="1"/>
    <xf numFmtId="0" fontId="71" fillId="0" borderId="235" xfId="16" applyFont="1" applyBorder="1" applyAlignment="1">
      <alignment horizontal="center"/>
    </xf>
    <xf numFmtId="3" fontId="71" fillId="6" borderId="235" xfId="16" applyNumberFormat="1" applyFont="1" applyFill="1" applyBorder="1"/>
    <xf numFmtId="164" fontId="72" fillId="0" borderId="236" xfId="16" applyNumberFormat="1" applyFont="1" applyFill="1" applyBorder="1" applyAlignment="1">
      <alignment wrapText="1"/>
    </xf>
    <xf numFmtId="164" fontId="72" fillId="0" borderId="238" xfId="16" applyNumberFormat="1" applyFont="1" applyFill="1" applyBorder="1" applyAlignment="1">
      <alignment wrapText="1"/>
    </xf>
    <xf numFmtId="0" fontId="71" fillId="0" borderId="235" xfId="11" applyFont="1" applyFill="1" applyBorder="1" applyAlignment="1">
      <alignment horizontal="center"/>
    </xf>
    <xf numFmtId="164" fontId="71" fillId="6" borderId="235" xfId="16" applyNumberFormat="1" applyFont="1" applyFill="1" applyBorder="1" applyAlignment="1">
      <alignment wrapText="1"/>
    </xf>
    <xf numFmtId="164" fontId="72" fillId="0" borderId="236" xfId="39" applyNumberFormat="1" applyFont="1" applyFill="1" applyBorder="1" applyAlignment="1">
      <alignment wrapText="1"/>
    </xf>
    <xf numFmtId="3" fontId="72" fillId="0" borderId="239" xfId="16" applyNumberFormat="1" applyFont="1" applyBorder="1"/>
    <xf numFmtId="0" fontId="71" fillId="0" borderId="240" xfId="16" applyFont="1" applyFill="1" applyBorder="1" applyAlignment="1">
      <alignment horizontal="left"/>
    </xf>
    <xf numFmtId="0" fontId="71" fillId="6" borderId="0" xfId="16" applyFont="1" applyFill="1" applyBorder="1" applyAlignment="1">
      <alignment wrapText="1"/>
    </xf>
    <xf numFmtId="0" fontId="72" fillId="0" borderId="241" xfId="16" applyFont="1" applyFill="1" applyBorder="1" applyAlignment="1">
      <alignment wrapText="1"/>
    </xf>
    <xf numFmtId="0" fontId="72" fillId="0" borderId="242" xfId="16" applyFont="1" applyFill="1" applyBorder="1" applyAlignment="1">
      <alignment wrapText="1"/>
    </xf>
    <xf numFmtId="0" fontId="72" fillId="0" borderId="234" xfId="16" applyFont="1" applyFill="1" applyBorder="1" applyAlignment="1">
      <alignment wrapText="1"/>
    </xf>
    <xf numFmtId="0" fontId="71" fillId="0" borderId="0" xfId="16" applyFont="1" applyFill="1" applyBorder="1" applyAlignment="1">
      <alignment horizontal="left"/>
    </xf>
    <xf numFmtId="0" fontId="72" fillId="0" borderId="234" xfId="16" applyFont="1" applyBorder="1"/>
    <xf numFmtId="171" fontId="75" fillId="8" borderId="176" xfId="1" applyNumberFormat="1" applyFont="1" applyFill="1" applyBorder="1"/>
    <xf numFmtId="171" fontId="75" fillId="8" borderId="243" xfId="1" applyNumberFormat="1" applyFont="1" applyFill="1" applyBorder="1"/>
    <xf numFmtId="171" fontId="75" fillId="8" borderId="20" xfId="1" applyNumberFormat="1" applyFont="1" applyFill="1" applyBorder="1"/>
    <xf numFmtId="171" fontId="75" fillId="8" borderId="21" xfId="1" applyNumberFormat="1" applyFont="1" applyFill="1" applyBorder="1"/>
    <xf numFmtId="171" fontId="75" fillId="0" borderId="176" xfId="1" applyNumberFormat="1" applyFont="1" applyBorder="1"/>
    <xf numFmtId="0" fontId="54" fillId="0" borderId="42" xfId="0" applyFont="1" applyBorder="1" applyAlignment="1">
      <alignment horizontal="center"/>
    </xf>
    <xf numFmtId="164" fontId="75" fillId="0" borderId="244" xfId="39" applyNumberFormat="1" applyFont="1" applyBorder="1"/>
    <xf numFmtId="164" fontId="75" fillId="0" borderId="217" xfId="39" applyNumberFormat="1" applyFont="1" applyBorder="1"/>
    <xf numFmtId="164" fontId="75" fillId="0" borderId="175" xfId="39" applyNumberFormat="1" applyFont="1" applyBorder="1"/>
    <xf numFmtId="0" fontId="72" fillId="0" borderId="245" xfId="16" applyFont="1" applyBorder="1"/>
    <xf numFmtId="164" fontId="75" fillId="0" borderId="216" xfId="39" applyNumberFormat="1" applyFont="1" applyBorder="1"/>
    <xf numFmtId="164" fontId="75" fillId="0" borderId="176" xfId="39" applyNumberFormat="1" applyFont="1" applyBorder="1"/>
    <xf numFmtId="171" fontId="75" fillId="0" borderId="216" xfId="1" applyNumberFormat="1" applyFont="1" applyBorder="1"/>
    <xf numFmtId="171" fontId="75" fillId="0" borderId="217" xfId="1" applyNumberFormat="1" applyFont="1" applyBorder="1"/>
    <xf numFmtId="171" fontId="75" fillId="0" borderId="175" xfId="1" applyNumberFormat="1" applyFont="1" applyBorder="1"/>
    <xf numFmtId="0" fontId="56" fillId="0" borderId="121" xfId="0" applyFont="1" applyFill="1" applyBorder="1" applyAlignment="1">
      <alignment horizontal="left" indent="1"/>
    </xf>
    <xf numFmtId="164" fontId="56" fillId="16" borderId="216" xfId="0" applyNumberFormat="1" applyFont="1" applyFill="1" applyBorder="1" applyAlignment="1">
      <alignment horizontal="center"/>
    </xf>
    <xf numFmtId="164" fontId="56" fillId="0" borderId="216" xfId="0" applyNumberFormat="1" applyFont="1" applyBorder="1" applyAlignment="1">
      <alignment horizontal="center"/>
    </xf>
    <xf numFmtId="164" fontId="56" fillId="0" borderId="246" xfId="0" applyNumberFormat="1" applyFont="1" applyFill="1" applyBorder="1" applyAlignment="1">
      <alignment horizontal="center"/>
    </xf>
    <xf numFmtId="164" fontId="56" fillId="16" borderId="175" xfId="0" applyNumberFormat="1" applyFont="1" applyFill="1" applyBorder="1" applyAlignment="1">
      <alignment horizontal="center"/>
    </xf>
    <xf numFmtId="164" fontId="56" fillId="0" borderId="175" xfId="0" applyNumberFormat="1" applyFont="1" applyBorder="1" applyAlignment="1">
      <alignment horizontal="center"/>
    </xf>
    <xf numFmtId="164" fontId="56" fillId="16" borderId="175" xfId="39" applyNumberFormat="1" applyFont="1" applyFill="1" applyBorder="1" applyAlignment="1">
      <alignment horizontal="center"/>
    </xf>
    <xf numFmtId="164" fontId="56" fillId="0" borderId="248" xfId="39" applyNumberFormat="1" applyFont="1" applyFill="1" applyBorder="1" applyAlignment="1">
      <alignment horizontal="center"/>
    </xf>
    <xf numFmtId="164" fontId="56" fillId="0" borderId="216" xfId="0" applyNumberFormat="1" applyFont="1" applyFill="1" applyBorder="1" applyAlignment="1">
      <alignment horizontal="center"/>
    </xf>
    <xf numFmtId="164" fontId="56" fillId="0" borderId="175" xfId="39" applyNumberFormat="1" applyFont="1" applyFill="1" applyBorder="1" applyAlignment="1">
      <alignment horizontal="center"/>
    </xf>
    <xf numFmtId="164" fontId="56" fillId="0" borderId="175" xfId="39" applyNumberFormat="1" applyFont="1" applyBorder="1" applyAlignment="1">
      <alignment horizontal="center"/>
    </xf>
    <xf numFmtId="0" fontId="56" fillId="16" borderId="137" xfId="0" applyFont="1" applyFill="1" applyBorder="1" applyAlignment="1">
      <alignment horizontal="left" indent="1"/>
    </xf>
    <xf numFmtId="164" fontId="56" fillId="16" borderId="247" xfId="0" applyNumberFormat="1" applyFont="1" applyFill="1" applyBorder="1" applyAlignment="1">
      <alignment horizontal="center"/>
    </xf>
    <xf numFmtId="164" fontId="56" fillId="16" borderId="249" xfId="39" applyNumberFormat="1" applyFont="1" applyFill="1" applyBorder="1" applyAlignment="1">
      <alignment horizontal="center"/>
    </xf>
    <xf numFmtId="164" fontId="56" fillId="16" borderId="156" xfId="0" applyNumberFormat="1" applyFont="1" applyFill="1" applyBorder="1" applyAlignment="1">
      <alignment horizontal="center"/>
    </xf>
    <xf numFmtId="164" fontId="56" fillId="16" borderId="155" xfId="39" applyNumberFormat="1" applyFont="1" applyFill="1" applyBorder="1" applyAlignment="1">
      <alignment horizontal="center"/>
    </xf>
    <xf numFmtId="0" fontId="54" fillId="0" borderId="216" xfId="0" applyFont="1" applyFill="1" applyBorder="1" applyAlignment="1">
      <alignment horizontal="center"/>
    </xf>
    <xf numFmtId="164" fontId="75" fillId="0" borderId="216" xfId="39" applyNumberFormat="1" applyFont="1" applyFill="1" applyBorder="1"/>
    <xf numFmtId="0" fontId="68" fillId="0" borderId="12" xfId="9" applyFont="1" applyBorder="1" applyAlignment="1">
      <alignment horizontal="center" wrapText="1"/>
    </xf>
    <xf numFmtId="0" fontId="68" fillId="0" borderId="0" xfId="9" applyFont="1" applyAlignment="1">
      <alignment horizontal="left" vertical="top" wrapText="1"/>
    </xf>
    <xf numFmtId="3" fontId="72" fillId="0" borderId="250" xfId="16" applyNumberFormat="1" applyFont="1" applyFill="1" applyBorder="1" applyAlignment="1">
      <alignment horizontal="right" vertical="center" wrapText="1"/>
    </xf>
    <xf numFmtId="3" fontId="72" fillId="0" borderId="251" xfId="16" applyNumberFormat="1" applyFont="1" applyFill="1" applyBorder="1" applyAlignment="1">
      <alignment horizontal="right" vertical="center" wrapText="1"/>
    </xf>
    <xf numFmtId="3" fontId="72" fillId="0" borderId="251" xfId="16" applyNumberFormat="1" applyFont="1" applyBorder="1"/>
    <xf numFmtId="0" fontId="72" fillId="0" borderId="0" xfId="16" applyFont="1" applyBorder="1"/>
    <xf numFmtId="0" fontId="68" fillId="0" borderId="205" xfId="9" applyFont="1" applyBorder="1" applyAlignment="1">
      <alignment wrapText="1"/>
    </xf>
    <xf numFmtId="0" fontId="68" fillId="0" borderId="205" xfId="9" applyFont="1" applyBorder="1" applyAlignment="1">
      <alignment horizontal="center" wrapText="1"/>
    </xf>
    <xf numFmtId="3" fontId="63" fillId="0" borderId="205" xfId="9" applyNumberFormat="1" applyFont="1" applyBorder="1" applyAlignment="1">
      <alignment horizontal="right" indent="1"/>
    </xf>
    <xf numFmtId="49" fontId="57" fillId="19" borderId="222" xfId="0" applyNumberFormat="1" applyFont="1" applyFill="1" applyBorder="1" applyAlignment="1">
      <alignment horizontal="center"/>
    </xf>
    <xf numFmtId="171" fontId="56" fillId="0" borderId="222" xfId="1" applyNumberFormat="1" applyFont="1" applyFill="1" applyBorder="1" applyAlignment="1">
      <alignment horizontal="right" vertical="top" wrapText="1"/>
    </xf>
    <xf numFmtId="3" fontId="56" fillId="0" borderId="120" xfId="0" applyNumberFormat="1" applyFont="1" applyFill="1" applyBorder="1" applyAlignment="1">
      <alignment horizontal="right" indent="1"/>
    </xf>
    <xf numFmtId="3" fontId="56" fillId="0" borderId="222" xfId="0" applyNumberFormat="1" applyFont="1" applyFill="1" applyBorder="1" applyAlignment="1">
      <alignment horizontal="right" indent="1"/>
    </xf>
    <xf numFmtId="0" fontId="71" fillId="0" borderId="212" xfId="14" applyFont="1" applyFill="1" applyBorder="1" applyAlignment="1">
      <alignment horizontal="center"/>
    </xf>
    <xf numFmtId="0" fontId="75" fillId="0" borderId="205" xfId="0" applyFont="1" applyBorder="1"/>
    <xf numFmtId="0" fontId="54" fillId="0" borderId="0" xfId="0" applyFont="1" applyAlignment="1">
      <alignment wrapText="1"/>
    </xf>
    <xf numFmtId="3" fontId="56" fillId="0" borderId="139" xfId="0" applyNumberFormat="1" applyFont="1" applyFill="1" applyBorder="1" applyAlignment="1">
      <alignment horizontal="right" indent="1"/>
    </xf>
    <xf numFmtId="3" fontId="73" fillId="21" borderId="0" xfId="0" applyNumberFormat="1" applyFont="1" applyFill="1"/>
    <xf numFmtId="3" fontId="73" fillId="0" borderId="0" xfId="0" applyNumberFormat="1" applyFont="1" applyFill="1"/>
    <xf numFmtId="171" fontId="81" fillId="0" borderId="216" xfId="1" applyNumberFormat="1" applyFont="1" applyBorder="1"/>
    <xf numFmtId="171" fontId="81" fillId="0" borderId="175" xfId="1" applyNumberFormat="1" applyFont="1" applyBorder="1"/>
    <xf numFmtId="9" fontId="75" fillId="0" borderId="0" xfId="39" applyFont="1" applyFill="1"/>
    <xf numFmtId="0" fontId="54" fillId="0" borderId="0" xfId="0" applyFont="1" applyAlignment="1">
      <alignment horizontal="center" wrapText="1"/>
    </xf>
    <xf numFmtId="0" fontId="71" fillId="0" borderId="252" xfId="16" applyFont="1" applyFill="1" applyBorder="1" applyAlignment="1">
      <alignment horizontal="center" vertical="center"/>
    </xf>
    <xf numFmtId="3" fontId="72" fillId="6" borderId="252" xfId="16" applyNumberFormat="1" applyFont="1" applyFill="1" applyBorder="1" applyAlignment="1">
      <alignment horizontal="center" vertical="center"/>
    </xf>
    <xf numFmtId="0" fontId="71" fillId="0" borderId="253" xfId="16" applyFont="1" applyFill="1" applyBorder="1" applyAlignment="1">
      <alignment horizontal="center" vertical="center"/>
    </xf>
    <xf numFmtId="0" fontId="71" fillId="0" borderId="254" xfId="16" applyFont="1" applyFill="1" applyBorder="1" applyAlignment="1">
      <alignment horizontal="center" vertical="center"/>
    </xf>
    <xf numFmtId="0" fontId="71" fillId="0" borderId="254" xfId="16" applyFont="1" applyBorder="1" applyAlignment="1">
      <alignment vertical="center"/>
    </xf>
    <xf numFmtId="0" fontId="71" fillId="0" borderId="255" xfId="16" applyFont="1" applyBorder="1" applyAlignment="1">
      <alignment vertical="center"/>
    </xf>
    <xf numFmtId="5" fontId="75" fillId="0" borderId="228" xfId="0" applyNumberFormat="1" applyFont="1" applyBorder="1" applyAlignment="1"/>
    <xf numFmtId="5" fontId="75" fillId="0" borderId="228" xfId="0" applyNumberFormat="1" applyFont="1" applyFill="1" applyBorder="1" applyAlignment="1"/>
    <xf numFmtId="5" fontId="75" fillId="0" borderId="228" xfId="0" applyNumberFormat="1" applyFont="1" applyBorder="1"/>
    <xf numFmtId="5" fontId="1" fillId="0" borderId="228" xfId="0" applyNumberFormat="1" applyFont="1" applyBorder="1" applyAlignment="1">
      <alignment horizontal="right"/>
    </xf>
    <xf numFmtId="167" fontId="1" fillId="0" borderId="228" xfId="0" applyNumberFormat="1" applyFont="1" applyBorder="1" applyAlignment="1"/>
    <xf numFmtId="179" fontId="1" fillId="0" borderId="228" xfId="0" applyNumberFormat="1" applyFont="1" applyBorder="1" applyAlignment="1">
      <alignment horizontal="right"/>
    </xf>
    <xf numFmtId="5" fontId="1" fillId="0" borderId="228" xfId="0" applyNumberFormat="1" applyFont="1" applyBorder="1" applyAlignment="1"/>
    <xf numFmtId="5" fontId="73" fillId="0" borderId="228" xfId="0" applyNumberFormat="1" applyFont="1" applyBorder="1" applyAlignment="1"/>
    <xf numFmtId="5" fontId="73" fillId="0" borderId="228" xfId="0" applyNumberFormat="1" applyFont="1" applyBorder="1"/>
    <xf numFmtId="0" fontId="59" fillId="0" borderId="0" xfId="0" applyFont="1" applyBorder="1" applyAlignment="1">
      <alignment horizontal="left" vertical="top" wrapText="1"/>
    </xf>
    <xf numFmtId="0" fontId="108" fillId="0" borderId="0" xfId="0" applyFont="1" applyBorder="1" applyAlignment="1">
      <alignment horizontal="left" vertical="top" wrapText="1"/>
    </xf>
    <xf numFmtId="0" fontId="109" fillId="27" borderId="41" xfId="0" applyFont="1" applyFill="1" applyBorder="1" applyAlignment="1">
      <alignment horizontal="center" vertical="center" wrapText="1"/>
    </xf>
    <xf numFmtId="0" fontId="109" fillId="27" borderId="34" xfId="0" applyFont="1" applyFill="1" applyBorder="1" applyAlignment="1">
      <alignment horizontal="center" vertical="center" wrapText="1"/>
    </xf>
    <xf numFmtId="0" fontId="109" fillId="27" borderId="158" xfId="0" applyFont="1" applyFill="1" applyBorder="1" applyAlignment="1">
      <alignment horizontal="center" vertical="center" wrapText="1"/>
    </xf>
    <xf numFmtId="0" fontId="59" fillId="0" borderId="0" xfId="0" applyFont="1" applyFill="1" applyBorder="1" applyAlignment="1">
      <alignment horizontal="left" vertical="top" wrapText="1"/>
    </xf>
    <xf numFmtId="0" fontId="67" fillId="16" borderId="0" xfId="0" applyFont="1" applyFill="1" applyBorder="1" applyAlignment="1">
      <alignment horizontal="center" vertical="center" wrapText="1"/>
    </xf>
    <xf numFmtId="0" fontId="64" fillId="6" borderId="29" xfId="0" applyFont="1" applyFill="1" applyBorder="1" applyAlignment="1">
      <alignment horizontal="center" vertical="center"/>
    </xf>
    <xf numFmtId="0" fontId="64" fillId="6" borderId="31" xfId="0" applyFont="1" applyFill="1" applyBorder="1" applyAlignment="1">
      <alignment horizontal="center" vertical="center"/>
    </xf>
    <xf numFmtId="0" fontId="95" fillId="0" borderId="34" xfId="0" applyFont="1" applyBorder="1" applyAlignment="1">
      <alignment horizontal="left"/>
    </xf>
    <xf numFmtId="0" fontId="95" fillId="0" borderId="0" xfId="0" applyFont="1" applyBorder="1" applyAlignment="1">
      <alignment horizontal="left"/>
    </xf>
    <xf numFmtId="0" fontId="105" fillId="26" borderId="13" xfId="0" applyFont="1" applyFill="1" applyBorder="1" applyAlignment="1">
      <alignment horizontal="left" vertical="center" wrapText="1"/>
    </xf>
    <xf numFmtId="0" fontId="105" fillId="26" borderId="14" xfId="0" applyFont="1" applyFill="1" applyBorder="1" applyAlignment="1">
      <alignment horizontal="left" vertical="center" wrapText="1"/>
    </xf>
    <xf numFmtId="0" fontId="59" fillId="0" borderId="40" xfId="0" applyFont="1" applyBorder="1" applyAlignment="1">
      <alignment horizontal="center" vertical="top" wrapText="1"/>
    </xf>
    <xf numFmtId="0" fontId="59" fillId="0" borderId="234" xfId="0" applyFont="1" applyBorder="1" applyAlignment="1">
      <alignment horizontal="left"/>
    </xf>
    <xf numFmtId="0" fontId="106" fillId="31" borderId="170" xfId="0" applyFont="1" applyFill="1" applyBorder="1" applyAlignment="1">
      <alignment horizontal="center" vertical="center" wrapText="1"/>
    </xf>
    <xf numFmtId="0" fontId="109" fillId="31" borderId="28" xfId="0" applyFont="1" applyFill="1" applyBorder="1" applyAlignment="1">
      <alignment horizontal="center" vertical="top" wrapText="1"/>
    </xf>
    <xf numFmtId="0" fontId="109" fillId="31" borderId="173" xfId="0" applyFont="1" applyFill="1" applyBorder="1" applyAlignment="1">
      <alignment horizontal="center" vertical="top"/>
    </xf>
    <xf numFmtId="0" fontId="109" fillId="31" borderId="171" xfId="0" applyFont="1" applyFill="1" applyBorder="1" applyAlignment="1">
      <alignment horizontal="center" vertical="top"/>
    </xf>
    <xf numFmtId="0" fontId="109" fillId="31" borderId="15" xfId="0" applyFont="1" applyFill="1" applyBorder="1" applyAlignment="1">
      <alignment horizontal="center" vertical="top"/>
    </xf>
    <xf numFmtId="9" fontId="117" fillId="0" borderId="0" xfId="0" applyNumberFormat="1" applyFont="1" applyAlignment="1">
      <alignment horizontal="center" vertical="center"/>
    </xf>
    <xf numFmtId="0" fontId="59" fillId="0" borderId="0" xfId="0" applyFont="1" applyFill="1" applyAlignment="1">
      <alignment horizontal="left" vertical="top" wrapText="1"/>
    </xf>
    <xf numFmtId="0" fontId="57" fillId="17" borderId="118" xfId="0" applyFont="1" applyFill="1" applyBorder="1" applyAlignment="1">
      <alignment horizontal="center" vertical="center" wrapText="1"/>
    </xf>
    <xf numFmtId="0" fontId="57" fillId="17" borderId="129" xfId="0" applyFont="1" applyFill="1" applyBorder="1" applyAlignment="1">
      <alignment horizontal="center" vertical="center" wrapText="1"/>
    </xf>
    <xf numFmtId="0" fontId="57" fillId="17" borderId="22" xfId="0" applyFont="1" applyFill="1" applyBorder="1" applyAlignment="1">
      <alignment horizontal="center" vertical="center" wrapText="1"/>
    </xf>
    <xf numFmtId="0" fontId="57" fillId="17" borderId="23" xfId="0" applyFont="1" applyFill="1" applyBorder="1" applyAlignment="1">
      <alignment horizontal="center" vertical="center" wrapText="1"/>
    </xf>
    <xf numFmtId="0" fontId="57" fillId="17" borderId="118" xfId="0" applyFont="1" applyFill="1" applyBorder="1" applyAlignment="1">
      <alignment horizontal="center" vertical="center"/>
    </xf>
    <xf numFmtId="0" fontId="57" fillId="17" borderId="129" xfId="0" applyFont="1" applyFill="1" applyBorder="1" applyAlignment="1">
      <alignment horizontal="center" vertical="center"/>
    </xf>
    <xf numFmtId="0" fontId="57" fillId="17" borderId="22" xfId="0" applyFont="1" applyFill="1" applyBorder="1" applyAlignment="1">
      <alignment horizontal="center" vertical="center"/>
    </xf>
    <xf numFmtId="0" fontId="57" fillId="17" borderId="23" xfId="0" applyFont="1" applyFill="1" applyBorder="1" applyAlignment="1">
      <alignment horizontal="center" vertical="center"/>
    </xf>
    <xf numFmtId="0" fontId="57" fillId="17" borderId="29" xfId="0" applyFont="1" applyFill="1" applyBorder="1" applyAlignment="1">
      <alignment horizontal="center" vertical="center" wrapText="1"/>
    </xf>
    <xf numFmtId="0" fontId="57" fillId="17" borderId="123" xfId="0" applyFont="1" applyFill="1" applyBorder="1" applyAlignment="1">
      <alignment horizontal="center" vertical="center" wrapText="1"/>
    </xf>
    <xf numFmtId="0" fontId="93" fillId="25" borderId="41" xfId="0" applyFont="1" applyFill="1" applyBorder="1" applyAlignment="1">
      <alignment horizontal="left" vertical="center" wrapText="1"/>
    </xf>
    <xf numFmtId="0" fontId="93" fillId="25" borderId="34" xfId="0" applyFont="1" applyFill="1" applyBorder="1" applyAlignment="1">
      <alignment horizontal="left" vertical="center" wrapText="1"/>
    </xf>
    <xf numFmtId="0" fontId="56" fillId="9" borderId="200" xfId="0" applyFont="1" applyFill="1" applyBorder="1" applyAlignment="1">
      <alignment horizontal="left" indent="1"/>
    </xf>
    <xf numFmtId="0" fontId="56" fillId="9" borderId="0" xfId="0" applyFont="1" applyFill="1" applyBorder="1" applyAlignment="1">
      <alignment horizontal="left" indent="1"/>
    </xf>
    <xf numFmtId="37" fontId="102" fillId="0" borderId="0" xfId="39" applyNumberFormat="1" applyFont="1" applyAlignment="1">
      <alignment horizontal="center" vertical="center"/>
    </xf>
    <xf numFmtId="9" fontId="103" fillId="30" borderId="0" xfId="39" applyFont="1" applyFill="1" applyAlignment="1">
      <alignment horizontal="center" vertical="center" wrapText="1"/>
    </xf>
    <xf numFmtId="0" fontId="120" fillId="9" borderId="0" xfId="0" applyFont="1" applyFill="1" applyAlignment="1">
      <alignment horizontal="left" vertical="top" wrapText="1"/>
    </xf>
    <xf numFmtId="0" fontId="56" fillId="0" borderId="0" xfId="0" applyFont="1" applyAlignment="1">
      <alignment horizontal="left" wrapText="1"/>
    </xf>
    <xf numFmtId="0" fontId="110" fillId="6" borderId="0" xfId="0" applyFont="1" applyFill="1" applyAlignment="1">
      <alignment horizontal="left" vertical="top" wrapText="1" indent="1"/>
    </xf>
    <xf numFmtId="0" fontId="57" fillId="18" borderId="29" xfId="0" applyFont="1" applyFill="1" applyBorder="1" applyAlignment="1">
      <alignment horizontal="center" vertical="center"/>
    </xf>
    <xf numFmtId="0" fontId="57" fillId="18" borderId="30" xfId="0" applyFont="1" applyFill="1" applyBorder="1" applyAlignment="1">
      <alignment horizontal="center" vertical="center"/>
    </xf>
    <xf numFmtId="0" fontId="57" fillId="18" borderId="31" xfId="0" applyFont="1" applyFill="1" applyBorder="1" applyAlignment="1">
      <alignment horizontal="center" vertical="center"/>
    </xf>
    <xf numFmtId="0" fontId="56" fillId="0" borderId="0" xfId="0" applyFont="1" applyAlignment="1">
      <alignment horizontal="center"/>
    </xf>
    <xf numFmtId="0" fontId="57" fillId="10" borderId="200" xfId="0" applyFont="1" applyFill="1" applyBorder="1" applyAlignment="1"/>
    <xf numFmtId="0" fontId="57" fillId="10" borderId="0" xfId="0" applyFont="1" applyFill="1" applyBorder="1" applyAlignment="1"/>
    <xf numFmtId="0" fontId="80" fillId="0" borderId="0" xfId="0" applyFont="1" applyAlignment="1">
      <alignment horizontal="center" vertical="center" wrapText="1"/>
    </xf>
    <xf numFmtId="0" fontId="76" fillId="15" borderId="201" xfId="0" applyFont="1" applyFill="1" applyBorder="1" applyAlignment="1"/>
    <xf numFmtId="0" fontId="76" fillId="15" borderId="205" xfId="0" applyFont="1" applyFill="1" applyBorder="1" applyAlignment="1"/>
    <xf numFmtId="0" fontId="57" fillId="10" borderId="41" xfId="0" applyFont="1" applyFill="1" applyBorder="1" applyAlignment="1"/>
    <xf numFmtId="0" fontId="57" fillId="10" borderId="40" xfId="0" applyFont="1" applyFill="1" applyBorder="1" applyAlignment="1"/>
    <xf numFmtId="0" fontId="57" fillId="10" borderId="200" xfId="0" applyFont="1" applyFill="1" applyBorder="1" applyAlignment="1">
      <alignment horizontal="left"/>
    </xf>
    <xf numFmtId="0" fontId="57" fillId="10" borderId="0" xfId="0" applyFont="1" applyFill="1" applyBorder="1" applyAlignment="1">
      <alignment horizontal="left"/>
    </xf>
    <xf numFmtId="0" fontId="57" fillId="0" borderId="0" xfId="0" applyFont="1" applyFill="1" applyBorder="1" applyAlignment="1">
      <alignment horizontal="center" vertical="center" wrapText="1"/>
    </xf>
    <xf numFmtId="164" fontId="56" fillId="0" borderId="0" xfId="39" applyNumberFormat="1" applyFont="1" applyFill="1" applyBorder="1" applyAlignment="1">
      <alignment horizontal="center"/>
    </xf>
    <xf numFmtId="0" fontId="98" fillId="28" borderId="41" xfId="0" applyFont="1" applyFill="1" applyBorder="1" applyAlignment="1">
      <alignment horizontal="left" vertical="center" wrapText="1"/>
    </xf>
    <xf numFmtId="0" fontId="98" fillId="28" borderId="40" xfId="0" applyFont="1" applyFill="1" applyBorder="1" applyAlignment="1">
      <alignment horizontal="left" vertical="center" wrapText="1"/>
    </xf>
    <xf numFmtId="0" fontId="98" fillId="28" borderId="160" xfId="0" applyFont="1" applyFill="1" applyBorder="1" applyAlignment="1">
      <alignment horizontal="left" vertical="center" wrapText="1"/>
    </xf>
    <xf numFmtId="0" fontId="98" fillId="28" borderId="36" xfId="0" applyFont="1" applyFill="1" applyBorder="1" applyAlignment="1">
      <alignment horizontal="left" vertical="center" wrapText="1"/>
    </xf>
    <xf numFmtId="0" fontId="98" fillId="28" borderId="12" xfId="0" applyFont="1" applyFill="1" applyBorder="1" applyAlignment="1">
      <alignment horizontal="left" vertical="center" wrapText="1"/>
    </xf>
    <xf numFmtId="0" fontId="98" fillId="28" borderId="161" xfId="0" applyFont="1" applyFill="1" applyBorder="1" applyAlignment="1">
      <alignment horizontal="left" vertical="center" wrapText="1"/>
    </xf>
    <xf numFmtId="0" fontId="56" fillId="0" borderId="206" xfId="0" applyFont="1" applyFill="1" applyBorder="1" applyAlignment="1">
      <alignment horizontal="left"/>
    </xf>
    <xf numFmtId="0" fontId="56" fillId="0" borderId="207" xfId="0" applyFont="1" applyFill="1" applyBorder="1" applyAlignment="1">
      <alignment horizontal="left"/>
    </xf>
    <xf numFmtId="0" fontId="56" fillId="0" borderId="208" xfId="0" applyFont="1" applyFill="1" applyBorder="1" applyAlignment="1">
      <alignment horizontal="left"/>
    </xf>
    <xf numFmtId="0" fontId="57" fillId="19" borderId="142" xfId="0" applyFont="1" applyFill="1" applyBorder="1" applyAlignment="1">
      <alignment horizontal="center"/>
    </xf>
    <xf numFmtId="0" fontId="57" fillId="19" borderId="144" xfId="0" applyFont="1" applyFill="1" applyBorder="1" applyAlignment="1">
      <alignment horizontal="center"/>
    </xf>
    <xf numFmtId="0" fontId="93" fillId="26" borderId="140" xfId="0" applyFont="1" applyFill="1" applyBorder="1" applyAlignment="1">
      <alignment horizontal="left" vertical="center" wrapText="1"/>
    </xf>
    <xf numFmtId="0" fontId="93" fillId="26" borderId="148" xfId="0" applyFont="1" applyFill="1" applyBorder="1" applyAlignment="1">
      <alignment horizontal="left" vertical="center" wrapText="1"/>
    </xf>
    <xf numFmtId="0" fontId="93" fillId="26" borderId="209" xfId="0" applyFont="1" applyFill="1" applyBorder="1" applyAlignment="1">
      <alignment horizontal="left" vertical="center" wrapText="1"/>
    </xf>
    <xf numFmtId="0" fontId="93" fillId="26" borderId="210" xfId="0" applyFont="1" applyFill="1" applyBorder="1" applyAlignment="1">
      <alignment horizontal="left" vertical="center" wrapText="1"/>
    </xf>
    <xf numFmtId="0" fontId="93" fillId="26" borderId="205" xfId="0" applyFont="1" applyFill="1" applyBorder="1" applyAlignment="1">
      <alignment horizontal="left" vertical="center" wrapText="1"/>
    </xf>
    <xf numFmtId="0" fontId="93" fillId="26" borderId="202" xfId="0" applyFont="1" applyFill="1" applyBorder="1" applyAlignment="1">
      <alignment horizontal="left" vertical="center" wrapText="1"/>
    </xf>
    <xf numFmtId="0" fontId="57" fillId="19" borderId="143" xfId="0" applyFont="1" applyFill="1" applyBorder="1" applyAlignment="1">
      <alignment horizontal="center"/>
    </xf>
    <xf numFmtId="0" fontId="57" fillId="19" borderId="149" xfId="0" applyFont="1" applyFill="1" applyBorder="1" applyAlignment="1">
      <alignment horizontal="center"/>
    </xf>
    <xf numFmtId="0" fontId="76" fillId="15" borderId="200" xfId="0" applyFont="1" applyFill="1" applyBorder="1" applyAlignment="1"/>
    <xf numFmtId="0" fontId="76" fillId="15" borderId="0" xfId="0" applyFont="1" applyFill="1" applyBorder="1" applyAlignment="1"/>
    <xf numFmtId="0" fontId="67" fillId="0" borderId="12" xfId="0" applyFont="1" applyBorder="1" applyAlignment="1">
      <alignment horizontal="center"/>
    </xf>
    <xf numFmtId="0" fontId="64" fillId="14" borderId="173" xfId="0" applyFont="1" applyFill="1" applyBorder="1" applyAlignment="1" applyProtection="1">
      <alignment horizontal="center" vertical="center"/>
      <protection locked="0"/>
    </xf>
    <xf numFmtId="0" fontId="64" fillId="14" borderId="171" xfId="0" applyFont="1" applyFill="1" applyBorder="1" applyAlignment="1" applyProtection="1">
      <alignment horizontal="center" vertical="center"/>
      <protection locked="0"/>
    </xf>
    <xf numFmtId="0" fontId="64" fillId="14" borderId="15" xfId="0" applyFont="1" applyFill="1" applyBorder="1" applyAlignment="1" applyProtection="1">
      <alignment horizontal="center" vertical="center"/>
      <protection locked="0"/>
    </xf>
    <xf numFmtId="0" fontId="57" fillId="0" borderId="0" xfId="0" applyFont="1" applyAlignment="1">
      <alignment horizontal="right"/>
    </xf>
    <xf numFmtId="0" fontId="56" fillId="14" borderId="0" xfId="0" applyFont="1" applyFill="1" applyAlignment="1">
      <alignment horizontal="left"/>
    </xf>
    <xf numFmtId="0" fontId="64" fillId="0" borderId="0" xfId="0" applyFont="1" applyAlignment="1">
      <alignment horizontal="right"/>
    </xf>
    <xf numFmtId="0" fontId="67" fillId="16" borderId="40" xfId="0" applyFont="1" applyFill="1" applyBorder="1" applyAlignment="1">
      <alignment horizontal="center" vertical="center" wrapText="1"/>
    </xf>
    <xf numFmtId="0" fontId="67" fillId="16" borderId="105" xfId="0" applyFont="1" applyFill="1" applyBorder="1" applyAlignment="1">
      <alignment horizontal="center" vertical="center" wrapText="1"/>
    </xf>
    <xf numFmtId="0" fontId="67" fillId="16" borderId="106" xfId="0" applyFont="1" applyFill="1" applyBorder="1" applyAlignment="1">
      <alignment horizontal="center" vertical="center" wrapText="1"/>
    </xf>
    <xf numFmtId="9" fontId="96" fillId="0" borderId="0" xfId="39" applyFont="1" applyAlignment="1">
      <alignment horizontal="center" vertical="center"/>
    </xf>
    <xf numFmtId="0" fontId="57" fillId="0" borderId="0" xfId="0" applyFont="1" applyAlignment="1">
      <alignment horizontal="center"/>
    </xf>
    <xf numFmtId="171" fontId="97" fillId="0" borderId="0" xfId="1" applyNumberFormat="1" applyFont="1" applyAlignment="1">
      <alignment horizontal="center" vertical="center"/>
    </xf>
    <xf numFmtId="0" fontId="98" fillId="27" borderId="41" xfId="0" applyFont="1" applyFill="1" applyBorder="1" applyAlignment="1">
      <alignment horizontal="left" vertical="center"/>
    </xf>
    <xf numFmtId="0" fontId="98" fillId="27" borderId="40" xfId="0" applyFont="1" applyFill="1" applyBorder="1" applyAlignment="1">
      <alignment horizontal="left" vertical="center"/>
    </xf>
    <xf numFmtId="0" fontId="98" fillId="27" borderId="34" xfId="0" applyFont="1" applyFill="1" applyBorder="1" applyAlignment="1">
      <alignment horizontal="left" vertical="center"/>
    </xf>
    <xf numFmtId="0" fontId="98" fillId="27" borderId="0" xfId="0" applyFont="1" applyFill="1" applyBorder="1" applyAlignment="1">
      <alignment horizontal="left" vertical="center"/>
    </xf>
    <xf numFmtId="0" fontId="98" fillId="27" borderId="36" xfId="0" applyFont="1" applyFill="1" applyBorder="1" applyAlignment="1">
      <alignment horizontal="left" vertical="center"/>
    </xf>
    <xf numFmtId="0" fontId="98" fillId="27" borderId="12" xfId="0" applyFont="1" applyFill="1" applyBorder="1" applyAlignment="1">
      <alignment horizontal="left" vertical="center"/>
    </xf>
    <xf numFmtId="0" fontId="57" fillId="6" borderId="41" xfId="0" applyFont="1" applyFill="1" applyBorder="1" applyAlignment="1">
      <alignment horizontal="center" vertical="center" wrapText="1"/>
    </xf>
    <xf numFmtId="0" fontId="57" fillId="6" borderId="68" xfId="0" applyFont="1" applyFill="1" applyBorder="1" applyAlignment="1">
      <alignment horizontal="center" vertical="center" wrapText="1"/>
    </xf>
    <xf numFmtId="0" fontId="57" fillId="6" borderId="36" xfId="0" applyFont="1" applyFill="1" applyBorder="1" applyAlignment="1">
      <alignment horizontal="center" vertical="center" wrapText="1"/>
    </xf>
    <xf numFmtId="0" fontId="57" fillId="6" borderId="35" xfId="0" applyFont="1" applyFill="1" applyBorder="1" applyAlignment="1">
      <alignment horizontal="center" vertical="center" wrapText="1"/>
    </xf>
    <xf numFmtId="37" fontId="97" fillId="0" borderId="0" xfId="1" applyNumberFormat="1" applyFont="1" applyFill="1" applyAlignment="1">
      <alignment horizontal="center" vertical="center"/>
    </xf>
    <xf numFmtId="0" fontId="95" fillId="0" borderId="36" xfId="0" applyFont="1" applyBorder="1" applyAlignment="1">
      <alignment horizontal="left"/>
    </xf>
    <xf numFmtId="0" fontId="95" fillId="0" borderId="12" xfId="0" applyFont="1" applyBorder="1" applyAlignment="1">
      <alignment horizontal="left"/>
    </xf>
    <xf numFmtId="0" fontId="67" fillId="16" borderId="107" xfId="0" applyFont="1" applyFill="1" applyBorder="1" applyAlignment="1">
      <alignment horizontal="center" vertical="center" wrapText="1"/>
    </xf>
    <xf numFmtId="0" fontId="57" fillId="19" borderId="141" xfId="0" applyFont="1" applyFill="1" applyBorder="1" applyAlignment="1">
      <alignment horizontal="center" wrapText="1"/>
    </xf>
    <xf numFmtId="0" fontId="57" fillId="19" borderId="203" xfId="0" applyFont="1" applyFill="1" applyBorder="1" applyAlignment="1">
      <alignment horizontal="center" wrapText="1"/>
    </xf>
    <xf numFmtId="0" fontId="56" fillId="0" borderId="121" xfId="0" applyFont="1" applyFill="1" applyBorder="1" applyAlignment="1">
      <alignment horizontal="left"/>
    </xf>
    <xf numFmtId="0" fontId="56" fillId="0" borderId="0" xfId="0" applyFont="1" applyFill="1" applyBorder="1" applyAlignment="1">
      <alignment horizontal="left"/>
    </xf>
    <xf numFmtId="0" fontId="93" fillId="26" borderId="154" xfId="0" applyFont="1" applyFill="1" applyBorder="1" applyAlignment="1">
      <alignment horizontal="left" vertical="center"/>
    </xf>
    <xf numFmtId="0" fontId="93" fillId="26" borderId="146" xfId="0" applyFont="1" applyFill="1" applyBorder="1" applyAlignment="1">
      <alignment horizontal="left" vertical="center"/>
    </xf>
    <xf numFmtId="9" fontId="57" fillId="19" borderId="154" xfId="0" applyNumberFormat="1" applyFont="1" applyFill="1" applyBorder="1" applyAlignment="1">
      <alignment horizontal="center"/>
    </xf>
    <xf numFmtId="9" fontId="57" fillId="19" borderId="146" xfId="0" applyNumberFormat="1" applyFont="1" applyFill="1" applyBorder="1" applyAlignment="1">
      <alignment horizontal="center"/>
    </xf>
    <xf numFmtId="9" fontId="57" fillId="19" borderId="147" xfId="0" applyNumberFormat="1" applyFont="1" applyFill="1" applyBorder="1" applyAlignment="1">
      <alignment horizontal="center"/>
    </xf>
    <xf numFmtId="0" fontId="56" fillId="0" borderId="137" xfId="0" applyFont="1" applyFill="1" applyBorder="1" applyAlignment="1">
      <alignment horizontal="left"/>
    </xf>
    <xf numFmtId="0" fontId="56" fillId="0" borderId="138" xfId="0" applyFont="1" applyFill="1" applyBorder="1" applyAlignment="1">
      <alignment horizontal="left"/>
    </xf>
    <xf numFmtId="9" fontId="57" fillId="19" borderId="145" xfId="0" applyNumberFormat="1" applyFont="1" applyFill="1" applyBorder="1" applyAlignment="1">
      <alignment horizontal="center"/>
    </xf>
    <xf numFmtId="0" fontId="56" fillId="0" borderId="33" xfId="0" applyFont="1" applyFill="1" applyBorder="1" applyAlignment="1">
      <alignment horizontal="left"/>
    </xf>
    <xf numFmtId="0" fontId="59" fillId="0" borderId="138" xfId="0" applyFont="1" applyBorder="1" applyAlignment="1">
      <alignment horizontal="left" vertical="top" wrapText="1"/>
    </xf>
    <xf numFmtId="0" fontId="57" fillId="0" borderId="0" xfId="0" applyFont="1" applyFill="1" applyBorder="1" applyAlignment="1">
      <alignment horizontal="center" vertical="center"/>
    </xf>
    <xf numFmtId="0" fontId="93" fillId="26" borderId="41" xfId="0" applyFont="1" applyFill="1" applyBorder="1" applyAlignment="1">
      <alignment horizontal="left" vertical="center" wrapText="1"/>
    </xf>
    <xf numFmtId="0" fontId="93" fillId="26" borderId="68" xfId="0" applyFont="1" applyFill="1" applyBorder="1" applyAlignment="1">
      <alignment horizontal="left" vertical="center" wrapText="1"/>
    </xf>
    <xf numFmtId="0" fontId="93" fillId="26" borderId="200" xfId="0" applyFont="1" applyFill="1" applyBorder="1" applyAlignment="1">
      <alignment horizontal="left" vertical="center" wrapText="1"/>
    </xf>
    <xf numFmtId="0" fontId="93" fillId="26" borderId="33" xfId="0" applyFont="1" applyFill="1" applyBorder="1" applyAlignment="1">
      <alignment horizontal="left" vertical="center" wrapText="1"/>
    </xf>
    <xf numFmtId="0" fontId="56" fillId="0" borderId="200" xfId="0" quotePrefix="1" applyFont="1" applyBorder="1" applyAlignment="1">
      <alignment horizontal="left"/>
    </xf>
    <xf numFmtId="0" fontId="56" fillId="0" borderId="33" xfId="0" quotePrefix="1" applyFont="1" applyBorder="1" applyAlignment="1">
      <alignment horizontal="left"/>
    </xf>
    <xf numFmtId="0" fontId="56" fillId="11" borderId="200" xfId="0" quotePrefix="1" applyFont="1" applyFill="1" applyBorder="1" applyAlignment="1">
      <alignment horizontal="left"/>
    </xf>
    <xf numFmtId="0" fontId="56" fillId="11" borderId="33" xfId="0" quotePrefix="1" applyFont="1" applyFill="1" applyBorder="1" applyAlignment="1">
      <alignment horizontal="left"/>
    </xf>
    <xf numFmtId="0" fontId="56" fillId="9" borderId="200" xfId="0" quotePrefix="1" applyFont="1" applyFill="1" applyBorder="1" applyAlignment="1">
      <alignment horizontal="left"/>
    </xf>
    <xf numFmtId="0" fontId="56" fillId="9" borderId="33" xfId="0" quotePrefix="1" applyFont="1" applyFill="1" applyBorder="1" applyAlignment="1">
      <alignment horizontal="left"/>
    </xf>
    <xf numFmtId="0" fontId="56" fillId="11" borderId="201" xfId="0" quotePrefix="1" applyFont="1" applyFill="1" applyBorder="1" applyAlignment="1">
      <alignment horizontal="left"/>
    </xf>
    <xf numFmtId="0" fontId="56" fillId="11" borderId="202" xfId="0" quotePrefix="1" applyFont="1" applyFill="1" applyBorder="1" applyAlignment="1">
      <alignment horizontal="left"/>
    </xf>
    <xf numFmtId="0" fontId="93" fillId="25" borderId="140" xfId="0" applyFont="1" applyFill="1" applyBorder="1" applyAlignment="1">
      <alignment horizontal="left" vertical="center" wrapText="1"/>
    </xf>
    <xf numFmtId="0" fontId="93" fillId="25" borderId="121" xfId="0" applyFont="1" applyFill="1" applyBorder="1" applyAlignment="1">
      <alignment horizontal="left" vertical="center" wrapText="1"/>
    </xf>
    <xf numFmtId="9" fontId="57" fillId="18" borderId="173" xfId="39" applyFont="1" applyFill="1" applyBorder="1" applyAlignment="1">
      <alignment horizontal="center"/>
    </xf>
    <xf numFmtId="9" fontId="57" fillId="18" borderId="171" xfId="39" applyFont="1" applyFill="1" applyBorder="1" applyAlignment="1">
      <alignment horizontal="center"/>
    </xf>
    <xf numFmtId="9" fontId="57" fillId="18" borderId="15" xfId="39" applyFont="1" applyFill="1" applyBorder="1" applyAlignment="1">
      <alignment horizontal="center"/>
    </xf>
    <xf numFmtId="0" fontId="57" fillId="18" borderId="68" xfId="0" applyFont="1" applyFill="1" applyBorder="1" applyAlignment="1">
      <alignment horizontal="center"/>
    </xf>
    <xf numFmtId="0" fontId="57" fillId="18" borderId="35" xfId="0" applyFont="1" applyFill="1" applyBorder="1" applyAlignment="1">
      <alignment horizontal="center"/>
    </xf>
    <xf numFmtId="9" fontId="57" fillId="19" borderId="173" xfId="39" applyFont="1" applyFill="1" applyBorder="1" applyAlignment="1">
      <alignment horizontal="center"/>
    </xf>
    <xf numFmtId="9" fontId="57" fillId="19" borderId="171" xfId="39" applyFont="1" applyFill="1" applyBorder="1" applyAlignment="1">
      <alignment horizontal="center"/>
    </xf>
    <xf numFmtId="9" fontId="57" fillId="19" borderId="15" xfId="39" applyFont="1" applyFill="1" applyBorder="1" applyAlignment="1">
      <alignment horizontal="center"/>
    </xf>
    <xf numFmtId="0" fontId="57" fillId="19" borderId="29" xfId="0" applyFont="1" applyFill="1" applyBorder="1" applyAlignment="1">
      <alignment horizontal="center" vertical="center"/>
    </xf>
    <xf numFmtId="0" fontId="57" fillId="19" borderId="198" xfId="0" applyFont="1" applyFill="1" applyBorder="1" applyAlignment="1">
      <alignment horizontal="center" vertical="center"/>
    </xf>
    <xf numFmtId="0" fontId="57" fillId="19" borderId="203" xfId="0" applyFont="1" applyFill="1" applyBorder="1" applyAlignment="1">
      <alignment horizontal="center" vertical="center"/>
    </xf>
    <xf numFmtId="9" fontId="57" fillId="19" borderId="174" xfId="39" applyFont="1" applyFill="1" applyBorder="1" applyAlignment="1">
      <alignment horizontal="center" vertical="center"/>
    </xf>
    <xf numFmtId="9" fontId="57" fillId="19" borderId="20" xfId="39" applyFont="1" applyFill="1" applyBorder="1" applyAlignment="1">
      <alignment horizontal="center" vertical="center"/>
    </xf>
    <xf numFmtId="0" fontId="94" fillId="19" borderId="42" xfId="0" applyFont="1" applyFill="1" applyBorder="1" applyAlignment="1">
      <alignment horizontal="center" vertical="center" wrapText="1"/>
    </xf>
    <xf numFmtId="0" fontId="57" fillId="18" borderId="41" xfId="0" applyFont="1" applyFill="1" applyBorder="1" applyAlignment="1">
      <alignment horizontal="center"/>
    </xf>
    <xf numFmtId="0" fontId="57" fillId="18" borderId="40" xfId="0" applyFont="1" applyFill="1" applyBorder="1" applyAlignment="1">
      <alignment horizontal="center"/>
    </xf>
    <xf numFmtId="0" fontId="59" fillId="0" borderId="40" xfId="0" applyFont="1" applyFill="1" applyBorder="1" applyAlignment="1">
      <alignment horizontal="left" vertical="top" wrapText="1"/>
    </xf>
    <xf numFmtId="0" fontId="57" fillId="18" borderId="13" xfId="0" applyFont="1" applyFill="1" applyBorder="1" applyAlignment="1">
      <alignment horizontal="center"/>
    </xf>
    <xf numFmtId="0" fontId="57" fillId="18" borderId="14" xfId="0" applyFont="1" applyFill="1" applyBorder="1" applyAlignment="1">
      <alignment horizontal="center"/>
    </xf>
    <xf numFmtId="0" fontId="57" fillId="18" borderId="15" xfId="0" applyFont="1" applyFill="1" applyBorder="1" applyAlignment="1">
      <alignment horizontal="center"/>
    </xf>
    <xf numFmtId="0" fontId="57" fillId="19" borderId="173" xfId="0" applyFont="1" applyFill="1" applyBorder="1" applyAlignment="1">
      <alignment horizontal="center" vertical="center"/>
    </xf>
    <xf numFmtId="0" fontId="57" fillId="19" borderId="171" xfId="0" applyFont="1" applyFill="1" applyBorder="1" applyAlignment="1">
      <alignment horizontal="center" vertical="center"/>
    </xf>
    <xf numFmtId="0" fontId="57" fillId="19" borderId="15" xfId="0" applyFont="1" applyFill="1" applyBorder="1" applyAlignment="1">
      <alignment horizontal="center" vertical="center"/>
    </xf>
    <xf numFmtId="0" fontId="99" fillId="19" borderId="29" xfId="0" applyFont="1" applyFill="1" applyBorder="1" applyAlignment="1">
      <alignment horizontal="center" vertical="center" wrapText="1"/>
    </xf>
    <xf numFmtId="0" fontId="99" fillId="19" borderId="203" xfId="0" applyFont="1" applyFill="1" applyBorder="1" applyAlignment="1">
      <alignment horizontal="center" vertical="center" wrapText="1"/>
    </xf>
    <xf numFmtId="0" fontId="76" fillId="15" borderId="188" xfId="0" applyFont="1" applyFill="1" applyBorder="1" applyAlignment="1"/>
    <xf numFmtId="0" fontId="76" fillId="15" borderId="189" xfId="0" applyFont="1" applyFill="1" applyBorder="1" applyAlignment="1"/>
    <xf numFmtId="49" fontId="56" fillId="0" borderId="0" xfId="0" applyNumberFormat="1" applyFont="1" applyAlignment="1">
      <alignment horizontal="left" wrapText="1"/>
    </xf>
    <xf numFmtId="0" fontId="57" fillId="10" borderId="159" xfId="0" applyFont="1" applyFill="1" applyBorder="1" applyAlignment="1"/>
    <xf numFmtId="0" fontId="57" fillId="10" borderId="148" xfId="0" applyFont="1" applyFill="1" applyBorder="1" applyAlignment="1"/>
    <xf numFmtId="0" fontId="57" fillId="29" borderId="18" xfId="0" applyFont="1" applyFill="1" applyBorder="1" applyAlignment="1">
      <alignment horizontal="center" vertical="center"/>
    </xf>
    <xf numFmtId="0" fontId="57" fillId="29" borderId="155" xfId="0" applyFont="1" applyFill="1" applyBorder="1" applyAlignment="1">
      <alignment horizontal="center" vertical="center"/>
    </xf>
    <xf numFmtId="0" fontId="57" fillId="29" borderId="16" xfId="0" applyFont="1" applyFill="1" applyBorder="1" applyAlignment="1">
      <alignment horizontal="center" vertical="center"/>
    </xf>
    <xf numFmtId="0" fontId="57" fillId="29" borderId="156" xfId="0" applyFont="1" applyFill="1" applyBorder="1" applyAlignment="1">
      <alignment horizontal="center" vertical="center"/>
    </xf>
    <xf numFmtId="0" fontId="57" fillId="19" borderId="157" xfId="0" applyFont="1" applyFill="1" applyBorder="1" applyAlignment="1">
      <alignment horizontal="center" wrapText="1"/>
    </xf>
    <xf numFmtId="0" fontId="57" fillId="19" borderId="222" xfId="0" applyFont="1" applyFill="1" applyBorder="1" applyAlignment="1">
      <alignment horizontal="center" wrapText="1"/>
    </xf>
    <xf numFmtId="0" fontId="56" fillId="0" borderId="0" xfId="0" applyFont="1" applyBorder="1" applyAlignment="1">
      <alignment horizontal="center"/>
    </xf>
    <xf numFmtId="0" fontId="56" fillId="10" borderId="13" xfId="0" applyFont="1" applyFill="1" applyBorder="1" applyAlignment="1">
      <alignment horizontal="left"/>
    </xf>
    <xf numFmtId="0" fontId="56" fillId="10" borderId="14" xfId="0" applyFont="1" applyFill="1" applyBorder="1" applyAlignment="1">
      <alignment horizontal="left"/>
    </xf>
    <xf numFmtId="0" fontId="56" fillId="10" borderId="150" xfId="0" applyFont="1" applyFill="1" applyBorder="1" applyAlignment="1">
      <alignment horizontal="left"/>
    </xf>
    <xf numFmtId="0" fontId="56" fillId="28" borderId="151" xfId="0" applyFont="1" applyFill="1" applyBorder="1" applyAlignment="1">
      <alignment horizontal="center"/>
    </xf>
    <xf numFmtId="0" fontId="56" fillId="28" borderId="152" xfId="0" applyFont="1" applyFill="1" applyBorder="1" applyAlignment="1">
      <alignment horizontal="center"/>
    </xf>
    <xf numFmtId="0" fontId="57" fillId="0" borderId="34" xfId="0" applyFont="1" applyFill="1" applyBorder="1" applyAlignment="1">
      <alignment horizontal="center" vertical="center" wrapText="1"/>
    </xf>
    <xf numFmtId="0" fontId="57" fillId="10" borderId="162" xfId="0" applyFont="1" applyFill="1" applyBorder="1" applyAlignment="1">
      <alignment horizontal="center" vertical="center" wrapText="1"/>
    </xf>
    <xf numFmtId="0" fontId="57" fillId="10" borderId="163" xfId="0" applyFont="1" applyFill="1" applyBorder="1" applyAlignment="1">
      <alignment horizontal="center" vertical="center" wrapText="1"/>
    </xf>
    <xf numFmtId="0" fontId="57" fillId="10" borderId="164" xfId="0" applyFont="1" applyFill="1" applyBorder="1" applyAlignment="1">
      <alignment horizontal="center" vertical="center" wrapText="1"/>
    </xf>
    <xf numFmtId="0" fontId="57" fillId="10" borderId="165" xfId="0" applyFont="1" applyFill="1" applyBorder="1" applyAlignment="1">
      <alignment horizontal="center" vertical="center" wrapText="1"/>
    </xf>
    <xf numFmtId="0" fontId="57" fillId="10" borderId="166" xfId="0" applyFont="1" applyFill="1" applyBorder="1" applyAlignment="1">
      <alignment horizontal="center" vertical="center" wrapText="1"/>
    </xf>
    <xf numFmtId="0" fontId="57" fillId="10" borderId="167" xfId="0" applyFont="1" applyFill="1" applyBorder="1" applyAlignment="1">
      <alignment horizontal="center" vertical="center" wrapText="1"/>
    </xf>
    <xf numFmtId="0" fontId="57" fillId="10" borderId="168" xfId="0" applyFont="1" applyFill="1" applyBorder="1" applyAlignment="1">
      <alignment horizontal="center" wrapText="1"/>
    </xf>
    <xf numFmtId="0" fontId="57" fillId="10" borderId="169" xfId="0" applyFont="1" applyFill="1" applyBorder="1" applyAlignment="1">
      <alignment horizontal="center" wrapText="1"/>
    </xf>
    <xf numFmtId="0" fontId="56" fillId="0" borderId="0" xfId="0" applyNumberFormat="1" applyFont="1" applyAlignment="1">
      <alignment horizontal="left" wrapText="1"/>
    </xf>
    <xf numFmtId="0" fontId="57" fillId="29" borderId="17" xfId="0" applyFont="1" applyFill="1" applyBorder="1" applyAlignment="1">
      <alignment horizontal="center" vertical="center"/>
    </xf>
    <xf numFmtId="0" fontId="57" fillId="29" borderId="153" xfId="0" applyFont="1" applyFill="1" applyBorder="1" applyAlignment="1">
      <alignment horizontal="center" vertical="center"/>
    </xf>
    <xf numFmtId="0" fontId="98" fillId="28" borderId="41" xfId="0" applyFont="1" applyFill="1" applyBorder="1" applyAlignment="1">
      <alignment horizontal="left" wrapText="1"/>
    </xf>
    <xf numFmtId="0" fontId="98" fillId="28" borderId="40" xfId="0" applyFont="1" applyFill="1" applyBorder="1" applyAlignment="1">
      <alignment horizontal="left" wrapText="1"/>
    </xf>
    <xf numFmtId="0" fontId="98" fillId="28" borderId="158" xfId="0" applyFont="1" applyFill="1" applyBorder="1" applyAlignment="1">
      <alignment horizontal="left" wrapText="1"/>
    </xf>
    <xf numFmtId="0" fontId="98" fillId="28" borderId="138" xfId="0" applyFont="1" applyFill="1" applyBorder="1" applyAlignment="1">
      <alignment horizontal="left" wrapText="1"/>
    </xf>
    <xf numFmtId="0" fontId="57" fillId="29" borderId="17" xfId="0" applyFont="1" applyFill="1" applyBorder="1" applyAlignment="1">
      <alignment horizontal="center" vertical="center" wrapText="1"/>
    </xf>
    <xf numFmtId="0" fontId="57" fillId="29" borderId="153" xfId="0" applyFont="1" applyFill="1" applyBorder="1" applyAlignment="1">
      <alignment horizontal="center" vertical="center" wrapText="1"/>
    </xf>
    <xf numFmtId="0" fontId="64" fillId="14" borderId="214" xfId="0" applyFont="1" applyFill="1" applyBorder="1" applyAlignment="1" applyProtection="1">
      <alignment horizontal="center" vertical="center"/>
      <protection locked="0"/>
    </xf>
    <xf numFmtId="0" fontId="64" fillId="14" borderId="212" xfId="0" applyFont="1" applyFill="1" applyBorder="1" applyAlignment="1" applyProtection="1">
      <alignment horizontal="center" vertical="center"/>
      <protection locked="0"/>
    </xf>
    <xf numFmtId="0" fontId="64" fillId="14" borderId="215" xfId="0" applyFont="1" applyFill="1" applyBorder="1" applyAlignment="1" applyProtection="1">
      <alignment horizontal="center" vertical="center"/>
      <protection locked="0"/>
    </xf>
    <xf numFmtId="0" fontId="59" fillId="0" borderId="40" xfId="0" applyFont="1" applyBorder="1" applyAlignment="1">
      <alignment horizontal="center"/>
    </xf>
    <xf numFmtId="0" fontId="54" fillId="0" borderId="0" xfId="0" applyFont="1" applyBorder="1" applyAlignment="1">
      <alignment horizontal="center"/>
    </xf>
    <xf numFmtId="0" fontId="54" fillId="0" borderId="33" xfId="0" applyFont="1" applyBorder="1" applyAlignment="1">
      <alignment horizontal="center"/>
    </xf>
    <xf numFmtId="0" fontId="54" fillId="0" borderId="34" xfId="0" applyFont="1" applyBorder="1" applyAlignment="1">
      <alignment horizontal="center"/>
    </xf>
    <xf numFmtId="9" fontId="54" fillId="0" borderId="34" xfId="39" applyFont="1" applyBorder="1" applyAlignment="1">
      <alignment horizontal="center"/>
    </xf>
    <xf numFmtId="9" fontId="54" fillId="0" borderId="0" xfId="39" applyFont="1" applyBorder="1" applyAlignment="1">
      <alignment horizontal="center"/>
    </xf>
    <xf numFmtId="9" fontId="54" fillId="0" borderId="33" xfId="39" applyFont="1" applyBorder="1" applyAlignment="1">
      <alignment horizontal="center"/>
    </xf>
    <xf numFmtId="0" fontId="55" fillId="0" borderId="0" xfId="0" applyFont="1" applyAlignment="1">
      <alignment horizontal="center"/>
    </xf>
    <xf numFmtId="0" fontId="71" fillId="0" borderId="4" xfId="16" applyFont="1" applyBorder="1" applyAlignment="1">
      <alignment horizontal="center"/>
    </xf>
    <xf numFmtId="0" fontId="54" fillId="0" borderId="205" xfId="0" applyFont="1" applyBorder="1" applyAlignment="1">
      <alignment horizontal="center"/>
    </xf>
    <xf numFmtId="0" fontId="31" fillId="0" borderId="12" xfId="0" applyFont="1" applyBorder="1" applyAlignment="1">
      <alignment horizontal="center"/>
    </xf>
    <xf numFmtId="0" fontId="31" fillId="0" borderId="0" xfId="0" applyFont="1" applyAlignment="1">
      <alignment horizontal="center"/>
    </xf>
    <xf numFmtId="16" fontId="31" fillId="0" borderId="12" xfId="0" applyNumberFormat="1" applyFont="1" applyBorder="1" applyAlignment="1">
      <alignment horizontal="center"/>
    </xf>
    <xf numFmtId="0" fontId="26" fillId="0" borderId="0" xfId="14" applyFont="1" applyFill="1" applyBorder="1" applyAlignment="1">
      <alignment horizontal="left" vertical="top" wrapText="1"/>
    </xf>
    <xf numFmtId="0" fontId="81" fillId="0" borderId="0" xfId="14" applyFont="1" applyFill="1" applyBorder="1" applyAlignment="1">
      <alignment horizontal="left" vertical="top" wrapText="1"/>
    </xf>
    <xf numFmtId="0" fontId="62" fillId="0" borderId="0" xfId="0" applyFont="1" applyAlignment="1">
      <alignment horizontal="left" vertical="top" wrapText="1"/>
    </xf>
    <xf numFmtId="173" fontId="22" fillId="0" borderId="13" xfId="0" applyNumberFormat="1" applyFont="1" applyFill="1" applyBorder="1" applyAlignment="1" applyProtection="1">
      <alignment horizontal="center" vertical="center"/>
    </xf>
    <xf numFmtId="173" fontId="22" fillId="0" borderId="14" xfId="0" applyNumberFormat="1" applyFont="1" applyFill="1" applyBorder="1" applyAlignment="1" applyProtection="1">
      <alignment horizontal="center" vertical="center"/>
    </xf>
    <xf numFmtId="173" fontId="22" fillId="0" borderId="15" xfId="0" applyNumberFormat="1" applyFont="1" applyFill="1" applyBorder="1" applyAlignment="1" applyProtection="1">
      <alignment horizontal="center" vertical="center"/>
    </xf>
    <xf numFmtId="0" fontId="61" fillId="0" borderId="12" xfId="0" applyFont="1" applyBorder="1" applyAlignment="1">
      <alignment horizontal="center" wrapText="1"/>
    </xf>
    <xf numFmtId="49" fontId="22" fillId="0" borderId="29" xfId="0" applyNumberFormat="1" applyFont="1" applyFill="1" applyBorder="1" applyAlignment="1">
      <alignment horizontal="center" vertical="center"/>
    </xf>
    <xf numFmtId="49" fontId="22" fillId="0" borderId="31" xfId="0" applyNumberFormat="1" applyFont="1" applyFill="1" applyBorder="1" applyAlignment="1">
      <alignment horizontal="center" vertical="center"/>
    </xf>
    <xf numFmtId="173" fontId="22" fillId="0" borderId="29" xfId="0" applyNumberFormat="1" applyFont="1" applyFill="1" applyBorder="1" applyAlignment="1" applyProtection="1">
      <alignment horizontal="center" vertical="center"/>
    </xf>
    <xf numFmtId="173" fontId="22" fillId="0" borderId="31" xfId="0" applyNumberFormat="1" applyFont="1" applyFill="1" applyBorder="1" applyAlignment="1" applyProtection="1">
      <alignment horizontal="center" vertical="center"/>
    </xf>
    <xf numFmtId="0" fontId="114" fillId="0" borderId="174" xfId="0" applyFont="1" applyBorder="1" applyAlignment="1">
      <alignment horizontal="center"/>
    </xf>
    <xf numFmtId="0" fontId="114" fillId="0" borderId="20" xfId="0" applyFont="1" applyBorder="1" applyAlignment="1">
      <alignment horizontal="center"/>
    </xf>
    <xf numFmtId="0" fontId="114" fillId="0" borderId="21" xfId="0" applyFont="1" applyBorder="1" applyAlignment="1">
      <alignment horizontal="center"/>
    </xf>
    <xf numFmtId="0" fontId="114" fillId="0" borderId="171" xfId="0" applyFont="1" applyBorder="1" applyAlignment="1">
      <alignment horizontal="center"/>
    </xf>
    <xf numFmtId="0" fontId="61" fillId="0" borderId="0" xfId="0" applyFont="1" applyBorder="1" applyAlignment="1">
      <alignment horizontal="center" wrapText="1"/>
    </xf>
    <xf numFmtId="0" fontId="68" fillId="0" borderId="205" xfId="0" applyFont="1" applyBorder="1" applyAlignment="1">
      <alignment horizontal="center" wrapText="1"/>
    </xf>
    <xf numFmtId="0" fontId="68" fillId="0" borderId="205" xfId="0" applyFont="1" applyBorder="1" applyAlignment="1">
      <alignment horizontal="center"/>
    </xf>
    <xf numFmtId="0" fontId="68" fillId="0" borderId="12" xfId="0" applyFont="1" applyBorder="1" applyAlignment="1">
      <alignment horizontal="center"/>
    </xf>
    <xf numFmtId="0" fontId="28" fillId="0" borderId="0" xfId="15" applyFont="1" applyAlignment="1">
      <alignment horizontal="left" wrapText="1"/>
    </xf>
    <xf numFmtId="0" fontId="75" fillId="0" borderId="0" xfId="15" applyFont="1" applyAlignment="1">
      <alignment horizontal="left" wrapText="1"/>
    </xf>
    <xf numFmtId="0" fontId="54" fillId="0" borderId="42" xfId="15" applyFont="1" applyBorder="1" applyAlignment="1">
      <alignment horizontal="center"/>
    </xf>
    <xf numFmtId="0" fontId="54" fillId="0" borderId="212" xfId="15" applyFont="1" applyBorder="1" applyAlignment="1">
      <alignment horizontal="center"/>
    </xf>
    <xf numFmtId="0" fontId="54" fillId="0" borderId="226" xfId="15" applyFont="1" applyBorder="1" applyAlignment="1">
      <alignment horizontal="center"/>
    </xf>
    <xf numFmtId="0" fontId="54" fillId="0" borderId="20" xfId="15" applyFont="1" applyBorder="1" applyAlignment="1">
      <alignment horizontal="center"/>
    </xf>
    <xf numFmtId="0" fontId="54" fillId="0" borderId="21" xfId="15" applyFont="1" applyBorder="1" applyAlignment="1">
      <alignment horizontal="center"/>
    </xf>
    <xf numFmtId="0" fontId="54" fillId="0" borderId="16" xfId="15" applyFont="1" applyBorder="1" applyAlignment="1">
      <alignment horizontal="center"/>
    </xf>
    <xf numFmtId="0" fontId="54" fillId="0" borderId="17" xfId="15" applyFont="1" applyBorder="1" applyAlignment="1">
      <alignment horizontal="center"/>
    </xf>
    <xf numFmtId="0" fontId="54" fillId="0" borderId="18" xfId="15" applyFont="1" applyBorder="1" applyAlignment="1">
      <alignment horizontal="center"/>
    </xf>
    <xf numFmtId="49" fontId="83" fillId="0" borderId="0" xfId="19" applyNumberFormat="1" applyFont="1" applyBorder="1" applyAlignment="1">
      <alignment horizontal="center" wrapText="1"/>
    </xf>
    <xf numFmtId="0" fontId="28" fillId="0" borderId="0" xfId="0" applyFont="1" applyAlignment="1">
      <alignment horizontal="left" vertical="top" wrapText="1"/>
    </xf>
    <xf numFmtId="0" fontId="60" fillId="0" borderId="0" xfId="0" applyFont="1" applyAlignment="1">
      <alignment horizontal="center"/>
    </xf>
    <xf numFmtId="0" fontId="78" fillId="0" borderId="0" xfId="0" applyFont="1" applyAlignment="1">
      <alignment horizontal="center"/>
    </xf>
    <xf numFmtId="0" fontId="68" fillId="0" borderId="12" xfId="9" applyFont="1" applyBorder="1" applyAlignment="1">
      <alignment horizontal="center" wrapText="1"/>
    </xf>
    <xf numFmtId="0" fontId="68" fillId="0" borderId="0" xfId="9" applyFont="1" applyAlignment="1">
      <alignment horizontal="left" vertical="top" wrapText="1"/>
    </xf>
    <xf numFmtId="0" fontId="26" fillId="0" borderId="0" xfId="9" applyFont="1" applyAlignment="1">
      <alignment horizontal="left" vertical="top" wrapText="1"/>
    </xf>
    <xf numFmtId="0" fontId="68" fillId="0" borderId="14" xfId="9" applyFont="1" applyBorder="1" applyAlignment="1">
      <alignment horizontal="center"/>
    </xf>
    <xf numFmtId="0" fontId="68" fillId="0" borderId="212" xfId="9" applyFont="1" applyBorder="1" applyAlignment="1">
      <alignment horizontal="center"/>
    </xf>
    <xf numFmtId="0" fontId="72" fillId="0" borderId="0" xfId="16" applyFont="1" applyAlignment="1">
      <alignment horizontal="left" wrapText="1"/>
    </xf>
    <xf numFmtId="0" fontId="28" fillId="0" borderId="0" xfId="16" applyFont="1" applyAlignment="1">
      <alignment horizontal="left" wrapText="1"/>
    </xf>
    <xf numFmtId="0" fontId="32" fillId="0" borderId="0" xfId="14" applyFont="1" applyFill="1" applyBorder="1" applyAlignment="1">
      <alignment horizontal="left" wrapText="1"/>
    </xf>
    <xf numFmtId="0" fontId="81" fillId="0" borderId="0" xfId="14" applyFont="1" applyAlignment="1">
      <alignment horizontal="left" vertical="top" wrapText="1"/>
    </xf>
    <xf numFmtId="0" fontId="54" fillId="0" borderId="0" xfId="0" applyFont="1" applyAlignment="1">
      <alignment horizontal="center"/>
    </xf>
    <xf numFmtId="0" fontId="28" fillId="0" borderId="0" xfId="14" applyFont="1" applyFill="1" applyBorder="1" applyAlignment="1">
      <alignment horizontal="left" wrapText="1"/>
    </xf>
    <xf numFmtId="0" fontId="68" fillId="0" borderId="0" xfId="9" applyFont="1" applyBorder="1" applyAlignment="1">
      <alignment horizontal="left"/>
    </xf>
    <xf numFmtId="0" fontId="15" fillId="0" borderId="4" xfId="18" applyFont="1" applyBorder="1" applyAlignment="1">
      <alignment horizontal="center"/>
    </xf>
    <xf numFmtId="0" fontId="16" fillId="0" borderId="0" xfId="18" applyFont="1" applyBorder="1" applyAlignment="1">
      <alignment horizontal="center"/>
    </xf>
    <xf numFmtId="0" fontId="7" fillId="0" borderId="0" xfId="18" applyFont="1" applyFill="1" applyBorder="1" applyAlignment="1">
      <alignment horizontal="left" wrapText="1"/>
    </xf>
    <xf numFmtId="0" fontId="7" fillId="0" borderId="33" xfId="18" applyFont="1" applyFill="1" applyBorder="1" applyAlignment="1">
      <alignment horizontal="left" wrapText="1"/>
    </xf>
    <xf numFmtId="0" fontId="16" fillId="0" borderId="12" xfId="18" applyFont="1" applyBorder="1" applyAlignment="1">
      <alignment horizontal="center"/>
    </xf>
    <xf numFmtId="0" fontId="16" fillId="0" borderId="4" xfId="18" applyFont="1" applyBorder="1" applyAlignment="1">
      <alignment horizontal="center"/>
    </xf>
    <xf numFmtId="0" fontId="15" fillId="0" borderId="69" xfId="18" applyFont="1" applyBorder="1" applyAlignment="1">
      <alignment horizontal="center"/>
    </xf>
    <xf numFmtId="9" fontId="54" fillId="0" borderId="41" xfId="39" applyFont="1" applyBorder="1" applyAlignment="1">
      <alignment horizontal="center"/>
    </xf>
    <xf numFmtId="9" fontId="54" fillId="0" borderId="40" xfId="39" applyFont="1" applyBorder="1" applyAlignment="1">
      <alignment horizontal="center"/>
    </xf>
    <xf numFmtId="9" fontId="54" fillId="0" borderId="68" xfId="39" applyFont="1" applyBorder="1" applyAlignment="1">
      <alignment horizontal="center"/>
    </xf>
    <xf numFmtId="177" fontId="54" fillId="0" borderId="41" xfId="3" applyNumberFormat="1" applyFont="1" applyBorder="1" applyAlignment="1">
      <alignment horizontal="center"/>
    </xf>
    <xf numFmtId="177" fontId="54" fillId="0" borderId="40" xfId="3" applyNumberFormat="1" applyFont="1" applyBorder="1" applyAlignment="1">
      <alignment horizontal="center"/>
    </xf>
    <xf numFmtId="177" fontId="54" fillId="0" borderId="68" xfId="3" applyNumberFormat="1" applyFont="1" applyBorder="1" applyAlignment="1">
      <alignment horizontal="center"/>
    </xf>
    <xf numFmtId="0" fontId="54" fillId="0" borderId="41" xfId="0" applyFont="1" applyBorder="1" applyAlignment="1">
      <alignment horizontal="center"/>
    </xf>
    <xf numFmtId="0" fontId="54" fillId="0" borderId="40" xfId="0" applyFont="1" applyBorder="1" applyAlignment="1">
      <alignment horizontal="center"/>
    </xf>
    <xf numFmtId="0" fontId="54" fillId="0" borderId="68" xfId="0" applyFont="1" applyBorder="1" applyAlignment="1">
      <alignment horizontal="center"/>
    </xf>
    <xf numFmtId="177" fontId="54" fillId="0" borderId="173" xfId="3" applyNumberFormat="1" applyFont="1" applyBorder="1" applyAlignment="1">
      <alignment horizontal="center"/>
    </xf>
    <xf numFmtId="177" fontId="54" fillId="0" borderId="171" xfId="3" applyNumberFormat="1" applyFont="1" applyBorder="1" applyAlignment="1">
      <alignment horizontal="center"/>
    </xf>
    <xf numFmtId="177" fontId="54" fillId="0" borderId="15" xfId="3" applyNumberFormat="1" applyFont="1" applyBorder="1" applyAlignment="1">
      <alignment horizontal="center"/>
    </xf>
    <xf numFmtId="0" fontId="54" fillId="0" borderId="19" xfId="0" applyFont="1" applyBorder="1" applyAlignment="1">
      <alignment horizontal="center"/>
    </xf>
    <xf numFmtId="0" fontId="54" fillId="0" borderId="78" xfId="0" applyFont="1" applyBorder="1" applyAlignment="1">
      <alignment horizontal="center"/>
    </xf>
    <xf numFmtId="0" fontId="54" fillId="0" borderId="20" xfId="0" applyFont="1" applyBorder="1" applyAlignment="1">
      <alignment horizontal="center"/>
    </xf>
    <xf numFmtId="0" fontId="54" fillId="0" borderId="21" xfId="0" applyFont="1" applyBorder="1" applyAlignment="1">
      <alignment horizontal="center"/>
    </xf>
    <xf numFmtId="0" fontId="54" fillId="0" borderId="29" xfId="0" applyFont="1" applyBorder="1" applyAlignment="1">
      <alignment horizontal="center" wrapText="1"/>
    </xf>
    <xf numFmtId="0" fontId="54" fillId="0" borderId="31" xfId="0" applyFont="1" applyBorder="1" applyAlignment="1">
      <alignment horizontal="center" wrapText="1"/>
    </xf>
    <xf numFmtId="0" fontId="54" fillId="0" borderId="28" xfId="0" applyFont="1" applyBorder="1" applyAlignment="1">
      <alignment horizontal="center" wrapText="1"/>
    </xf>
    <xf numFmtId="0" fontId="54" fillId="0" borderId="41" xfId="0" applyFont="1" applyBorder="1" applyAlignment="1">
      <alignment horizontal="center" wrapText="1"/>
    </xf>
    <xf numFmtId="0" fontId="54" fillId="0" borderId="40" xfId="0" applyFont="1" applyBorder="1" applyAlignment="1">
      <alignment horizontal="center" wrapText="1"/>
    </xf>
    <xf numFmtId="0" fontId="54" fillId="0" borderId="68" xfId="0" applyFont="1" applyBorder="1" applyAlignment="1">
      <alignment horizontal="center" wrapText="1"/>
    </xf>
    <xf numFmtId="0" fontId="61" fillId="0" borderId="28" xfId="0" applyFont="1" applyBorder="1" applyAlignment="1">
      <alignment horizontal="center" wrapText="1"/>
    </xf>
    <xf numFmtId="0" fontId="22" fillId="0" borderId="0" xfId="0" applyFont="1" applyBorder="1" applyAlignment="1">
      <alignment horizontal="left" vertical="top" wrapText="1"/>
    </xf>
    <xf numFmtId="0" fontId="23" fillId="0" borderId="0" xfId="4" applyFont="1" applyFill="1" applyBorder="1" applyAlignment="1" applyProtection="1">
      <alignment horizontal="left" wrapText="1"/>
    </xf>
    <xf numFmtId="0" fontId="68" fillId="0" borderId="0" xfId="0" applyFont="1" applyBorder="1" applyAlignment="1">
      <alignment horizontal="left" wrapText="1"/>
    </xf>
    <xf numFmtId="0" fontId="55" fillId="0" borderId="14" xfId="0" applyFont="1" applyBorder="1" applyAlignment="1">
      <alignment horizontal="center" wrapText="1"/>
    </xf>
    <xf numFmtId="0" fontId="26" fillId="0" borderId="0" xfId="14" applyFont="1" applyAlignment="1">
      <alignment horizontal="left" vertical="top" wrapText="1"/>
    </xf>
    <xf numFmtId="1" fontId="54" fillId="0" borderId="12" xfId="0" applyNumberFormat="1" applyFont="1" applyBorder="1" applyAlignment="1">
      <alignment horizontal="center"/>
    </xf>
    <xf numFmtId="1" fontId="54" fillId="0" borderId="0" xfId="0" applyNumberFormat="1" applyFont="1" applyAlignment="1">
      <alignment horizontal="center"/>
    </xf>
    <xf numFmtId="0" fontId="75" fillId="0" borderId="0" xfId="9" applyFont="1" applyAlignment="1">
      <alignment horizontal="left" vertical="top" wrapText="1"/>
    </xf>
    <xf numFmtId="0" fontId="81" fillId="0" borderId="0" xfId="9" applyFont="1" applyAlignment="1">
      <alignment horizontal="left" vertical="top" wrapText="1"/>
    </xf>
  </cellXfs>
  <cellStyles count="41">
    <cellStyle name="Comma" xfId="1" builtinId="3"/>
    <cellStyle name="Comma 2" xfId="2"/>
    <cellStyle name="Currency" xfId="3" builtinId="4"/>
    <cellStyle name="Hyperlink" xfId="4" builtinId="8"/>
    <cellStyle name="Hyperlink 2" xfId="5"/>
    <cellStyle name="Normal" xfId="0" builtinId="0"/>
    <cellStyle name="Normal 10" xfId="6"/>
    <cellStyle name="Normal 11" xfId="7"/>
    <cellStyle name="Normal 12" xfId="8"/>
    <cellStyle name="Normal 13" xfId="40"/>
    <cellStyle name="Normal 2" xfId="9"/>
    <cellStyle name="Normal 2 2" xfId="10"/>
    <cellStyle name="Normal 2 3" xfId="11"/>
    <cellStyle name="Normal 2 4" xfId="12"/>
    <cellStyle name="Normal 3" xfId="13"/>
    <cellStyle name="Normal 4" xfId="14"/>
    <cellStyle name="Normal 5" xfId="15"/>
    <cellStyle name="Normal 6" xfId="16"/>
    <cellStyle name="Normal 7" xfId="17"/>
    <cellStyle name="Normal 8" xfId="18"/>
    <cellStyle name="Normal 9" xfId="19"/>
    <cellStyle name="Normal_10 Other Benefits LASER 2011" xfId="20"/>
    <cellStyle name="Normal_3 Other Exp LASER 2011" xfId="21"/>
    <cellStyle name="Normal_5 Medicaid &amp; FAMIS 2011" xfId="22"/>
    <cellStyle name="Normal_6 SNAP LASER 2011" xfId="23"/>
    <cellStyle name="Normal_7 LIHEAP LASER 2011" xfId="24"/>
    <cellStyle name="Normal_Sheet1" xfId="25"/>
    <cellStyle name="Normal_Sheet1 2" xfId="26"/>
    <cellStyle name="Normal_Sheet2" xfId="27"/>
    <cellStyle name="Normal_Sheet2 2" xfId="28"/>
    <cellStyle name="Normal_Sheet2_1" xfId="29"/>
    <cellStyle name="Normal_Sheet3" xfId="30"/>
    <cellStyle name="Normal_Sheet4" xfId="31"/>
    <cellStyle name="Normal_Sheet4_1" xfId="32"/>
    <cellStyle name="Normal_Sheet4_2" xfId="33"/>
    <cellStyle name="Normal_Sheet5" xfId="34"/>
    <cellStyle name="Normal_Sheet6" xfId="35"/>
    <cellStyle name="Normal_Sheet7" xfId="36"/>
    <cellStyle name="Normal_Sheet8" xfId="37"/>
    <cellStyle name="Normal_Sheet9" xfId="38"/>
    <cellStyle name="Percent" xfId="39" builtinId="5"/>
  </cellStyles>
  <dxfs count="6">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Percent of Work-Eligible Adults who are Unemployed, 2004-2014</a:t>
            </a:r>
          </a:p>
        </c:rich>
      </c:tx>
      <c:layout>
        <c:manualLayout>
          <c:xMode val="edge"/>
          <c:yMode val="edge"/>
          <c:x val="0.17044581383848895"/>
          <c:y val="7.1399491094148476E-2"/>
        </c:manualLayout>
      </c:layout>
      <c:overlay val="0"/>
    </c:title>
    <c:autoTitleDeleted val="0"/>
    <c:plotArea>
      <c:layout>
        <c:manualLayout>
          <c:layoutTarget val="inner"/>
          <c:xMode val="edge"/>
          <c:yMode val="edge"/>
          <c:x val="0.13897504893237494"/>
          <c:y val="0.1526807893783152"/>
          <c:w val="0.80175410152944593"/>
          <c:h val="0.4843263342082324"/>
        </c:manualLayout>
      </c:layout>
      <c:lineChart>
        <c:grouping val="standard"/>
        <c:varyColors val="0"/>
        <c:ser>
          <c:idx val="0"/>
          <c:order val="0"/>
          <c:tx>
            <c:strRef>
              <c:f>Profile!$D$3</c:f>
              <c:strCache>
                <c:ptCount val="1"/>
                <c:pt idx="0">
                  <c:v>Accomack</c:v>
                </c:pt>
              </c:strCache>
            </c:strRef>
          </c:tx>
          <c:marker>
            <c:symbol val="none"/>
          </c:marker>
          <c:cat>
            <c:numRef>
              <c:f>Profile!$B$45:$B$55</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Profile!$D$45:$D$55</c:f>
              <c:numCache>
                <c:formatCode>0.0%</c:formatCode>
                <c:ptCount val="11"/>
                <c:pt idx="0">
                  <c:v>4.57900986010015E-2</c:v>
                </c:pt>
                <c:pt idx="1">
                  <c:v>4.6296296296296294E-2</c:v>
                </c:pt>
                <c:pt idx="2">
                  <c:v>4.2121684867394697E-2</c:v>
                </c:pt>
                <c:pt idx="3">
                  <c:v>4.1361228530151423E-2</c:v>
                </c:pt>
                <c:pt idx="4">
                  <c:v>4.9915842625710076E-2</c:v>
                </c:pt>
                <c:pt idx="5">
                  <c:v>6.7361708588491317E-2</c:v>
                </c:pt>
                <c:pt idx="6">
                  <c:v>7.0492496300993454E-2</c:v>
                </c:pt>
                <c:pt idx="7">
                  <c:v>7.280433499651269E-2</c:v>
                </c:pt>
                <c:pt idx="8">
                  <c:v>6.8050561185572622E-2</c:v>
                </c:pt>
                <c:pt idx="9">
                  <c:v>6.469613259668508E-2</c:v>
                </c:pt>
                <c:pt idx="10">
                  <c:v>6.4902646030953567E-2</c:v>
                </c:pt>
              </c:numCache>
            </c:numRef>
          </c:val>
          <c:smooth val="0"/>
        </c:ser>
        <c:ser>
          <c:idx val="1"/>
          <c:order val="1"/>
          <c:tx>
            <c:strRef>
              <c:f>Profile!$E$42</c:f>
              <c:strCache>
                <c:ptCount val="1"/>
                <c:pt idx="0">
                  <c:v>Eastern</c:v>
                </c:pt>
              </c:strCache>
            </c:strRef>
          </c:tx>
          <c:spPr>
            <a:ln>
              <a:prstDash val="sysDot"/>
            </a:ln>
          </c:spPr>
          <c:marker>
            <c:symbol val="none"/>
          </c:marker>
          <c:cat>
            <c:numRef>
              <c:f>Profile!$B$45:$B$55</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Profile!$E$45:$E$55</c:f>
              <c:numCache>
                <c:formatCode>0.0%</c:formatCode>
                <c:ptCount val="11"/>
                <c:pt idx="0">
                  <c:v>4.0761272067991045E-2</c:v>
                </c:pt>
                <c:pt idx="1">
                  <c:v>3.9893832142007021E-2</c:v>
                </c:pt>
                <c:pt idx="2">
                  <c:v>3.4054139645035592E-2</c:v>
                </c:pt>
                <c:pt idx="3">
                  <c:v>3.3091630916195276E-2</c:v>
                </c:pt>
                <c:pt idx="4">
                  <c:v>4.2744274872914149E-2</c:v>
                </c:pt>
                <c:pt idx="5">
                  <c:v>7.2502585768335376E-2</c:v>
                </c:pt>
                <c:pt idx="6">
                  <c:v>7.6663536748089484E-2</c:v>
                </c:pt>
                <c:pt idx="7">
                  <c:v>7.2411265556543009E-2</c:v>
                </c:pt>
                <c:pt idx="8">
                  <c:v>6.6414075961871114E-2</c:v>
                </c:pt>
                <c:pt idx="9">
                  <c:v>6.1377424762512969E-2</c:v>
                </c:pt>
                <c:pt idx="10">
                  <c:v>5.7334382521145637E-2</c:v>
                </c:pt>
              </c:numCache>
            </c:numRef>
          </c:val>
          <c:smooth val="0"/>
        </c:ser>
        <c:ser>
          <c:idx val="2"/>
          <c:order val="2"/>
          <c:tx>
            <c:strRef>
              <c:f>Profile!$F$42</c:f>
              <c:strCache>
                <c:ptCount val="1"/>
                <c:pt idx="0">
                  <c:v>Statewide</c:v>
                </c:pt>
              </c:strCache>
            </c:strRef>
          </c:tx>
          <c:marker>
            <c:symbol val="none"/>
          </c:marker>
          <c:cat>
            <c:numRef>
              <c:f>Profile!$B$45:$B$55</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Profile!$F$45:$F$55</c:f>
              <c:numCache>
                <c:formatCode>0.0%</c:formatCode>
                <c:ptCount val="11"/>
                <c:pt idx="0">
                  <c:v>3.6983564098822252E-2</c:v>
                </c:pt>
                <c:pt idx="1">
                  <c:v>3.5184099138150848E-2</c:v>
                </c:pt>
                <c:pt idx="2">
                  <c:v>3.042605361214783E-2</c:v>
                </c:pt>
                <c:pt idx="3">
                  <c:v>3.0637117624127935E-2</c:v>
                </c:pt>
                <c:pt idx="4">
                  <c:v>3.9533104507533175E-2</c:v>
                </c:pt>
                <c:pt idx="5">
                  <c:v>6.9500899241383113E-2</c:v>
                </c:pt>
                <c:pt idx="6">
                  <c:v>7.0996273411972191E-2</c:v>
                </c:pt>
                <c:pt idx="7">
                  <c:v>6.4437374190308969E-2</c:v>
                </c:pt>
                <c:pt idx="8">
                  <c:v>5.8774345474193433E-2</c:v>
                </c:pt>
                <c:pt idx="9">
                  <c:v>5.5454654156622714E-2</c:v>
                </c:pt>
                <c:pt idx="10">
                  <c:v>5.1645529339042547E-2</c:v>
                </c:pt>
              </c:numCache>
            </c:numRef>
          </c:val>
          <c:smooth val="0"/>
        </c:ser>
        <c:dLbls>
          <c:showLegendKey val="0"/>
          <c:showVal val="0"/>
          <c:showCatName val="0"/>
          <c:showSerName val="0"/>
          <c:showPercent val="0"/>
          <c:showBubbleSize val="0"/>
        </c:dLbls>
        <c:marker val="1"/>
        <c:smooth val="0"/>
        <c:axId val="49338240"/>
        <c:axId val="49339776"/>
      </c:lineChart>
      <c:catAx>
        <c:axId val="49338240"/>
        <c:scaling>
          <c:orientation val="minMax"/>
        </c:scaling>
        <c:delete val="0"/>
        <c:axPos val="b"/>
        <c:numFmt formatCode="General" sourceLinked="1"/>
        <c:majorTickMark val="out"/>
        <c:minorTickMark val="none"/>
        <c:tickLblPos val="nextTo"/>
        <c:txPr>
          <a:bodyPr rot="-1500000" vert="horz"/>
          <a:lstStyle/>
          <a:p>
            <a:pPr>
              <a:defRPr/>
            </a:pPr>
            <a:endParaRPr lang="en-US"/>
          </a:p>
        </c:txPr>
        <c:crossAx val="49339776"/>
        <c:crosses val="autoZero"/>
        <c:auto val="1"/>
        <c:lblAlgn val="ctr"/>
        <c:lblOffset val="100"/>
        <c:tickLblSkip val="1"/>
        <c:tickMarkSkip val="1"/>
        <c:noMultiLvlLbl val="0"/>
      </c:catAx>
      <c:valAx>
        <c:axId val="49339776"/>
        <c:scaling>
          <c:orientation val="minMax"/>
        </c:scaling>
        <c:delete val="0"/>
        <c:axPos val="l"/>
        <c:majorGridlines>
          <c:spPr>
            <a:ln>
              <a:solidFill>
                <a:schemeClr val="bg1"/>
              </a:solidFill>
            </a:ln>
          </c:spPr>
        </c:majorGridlines>
        <c:title>
          <c:tx>
            <c:rich>
              <a:bodyPr/>
              <a:lstStyle/>
              <a:p>
                <a:pPr>
                  <a:defRPr/>
                </a:pPr>
                <a:r>
                  <a:rPr lang="en-US"/>
                  <a:t>Percentage (%)</a:t>
                </a:r>
              </a:p>
            </c:rich>
          </c:tx>
          <c:layout>
            <c:manualLayout>
              <c:xMode val="edge"/>
              <c:yMode val="edge"/>
              <c:x val="3.704058731788961E-2"/>
              <c:y val="0.22067119472661337"/>
            </c:manualLayout>
          </c:layout>
          <c:overlay val="0"/>
        </c:title>
        <c:numFmt formatCode="0%" sourceLinked="0"/>
        <c:majorTickMark val="out"/>
        <c:minorTickMark val="none"/>
        <c:tickLblPos val="nextTo"/>
        <c:spPr>
          <a:ln>
            <a:noFill/>
          </a:ln>
        </c:spPr>
        <c:txPr>
          <a:bodyPr rot="0" vert="horz"/>
          <a:lstStyle/>
          <a:p>
            <a:pPr>
              <a:defRPr/>
            </a:pPr>
            <a:endParaRPr lang="en-US"/>
          </a:p>
        </c:txPr>
        <c:crossAx val="49338240"/>
        <c:crosses val="autoZero"/>
        <c:crossBetween val="midCat"/>
      </c:valAx>
      <c:spPr>
        <a:noFill/>
        <a:ln>
          <a:solidFill>
            <a:schemeClr val="accent5">
              <a:lumMod val="75000"/>
            </a:schemeClr>
          </a:solidFill>
        </a:ln>
      </c:spPr>
    </c:plotArea>
    <c:legend>
      <c:legendPos val="b"/>
      <c:layout>
        <c:manualLayout>
          <c:xMode val="edge"/>
          <c:yMode val="edge"/>
          <c:x val="9.0534063676824938E-3"/>
          <c:y val="0.77115986455892138"/>
          <c:w val="0.97708775533493097"/>
          <c:h val="8.8239065536656933E-2"/>
        </c:manualLayout>
      </c:layout>
      <c:overlay val="0"/>
    </c:legend>
    <c:plotVisOnly val="1"/>
    <c:dispBlanksAs val="gap"/>
    <c:showDLblsOverMax val="0"/>
  </c:chart>
  <c:spPr>
    <a:ln w="15875">
      <a:solidFill>
        <a:schemeClr val="accent5">
          <a:lumMod val="75000"/>
        </a:schemeClr>
      </a:solidFill>
    </a:ln>
  </c:sp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Total Social Services Spending by Funding Source, SFY 2015	</a:t>
            </a:r>
          </a:p>
          <a:p>
            <a:pPr>
              <a:defRPr sz="1000"/>
            </a:pPr>
            <a:endParaRPr lang="en-US" sz="1000"/>
          </a:p>
        </c:rich>
      </c:tx>
      <c:layout/>
      <c:overlay val="0"/>
    </c:title>
    <c:autoTitleDeleted val="0"/>
    <c:plotArea>
      <c:layout>
        <c:manualLayout>
          <c:layoutTarget val="inner"/>
          <c:xMode val="edge"/>
          <c:yMode val="edge"/>
          <c:x val="0.27425227728887114"/>
          <c:y val="0.32725632596896548"/>
          <c:w val="0.35985178323298261"/>
          <c:h val="0.59393012766608055"/>
        </c:manualLayout>
      </c:layout>
      <c:pieChart>
        <c:varyColors val="1"/>
        <c:ser>
          <c:idx val="0"/>
          <c:order val="0"/>
          <c:tx>
            <c:v>Pct of Total SS Spending by Source</c:v>
          </c:tx>
          <c:spPr>
            <a:ln>
              <a:solidFill>
                <a:schemeClr val="tx1"/>
              </a:solidFill>
            </a:ln>
          </c:spPr>
          <c:dLbls>
            <c:dLblPos val="outEnd"/>
            <c:showLegendKey val="0"/>
            <c:showVal val="1"/>
            <c:showCatName val="1"/>
            <c:showSerName val="0"/>
            <c:showPercent val="0"/>
            <c:showBubbleSize val="0"/>
            <c:showLeaderLines val="1"/>
          </c:dLbls>
          <c:cat>
            <c:strRef>
              <c:f>Profile!$J$138:$L$138</c:f>
              <c:strCache>
                <c:ptCount val="3"/>
                <c:pt idx="0">
                  <c:v>Federal</c:v>
                </c:pt>
                <c:pt idx="1">
                  <c:v>State</c:v>
                </c:pt>
                <c:pt idx="2">
                  <c:v>Local &amp; NER (comb.)</c:v>
                </c:pt>
              </c:strCache>
            </c:strRef>
          </c:cat>
          <c:val>
            <c:numRef>
              <c:f>'Finance By Region'!$I$25:$K$25</c:f>
              <c:numCache>
                <c:formatCode>0%</c:formatCode>
                <c:ptCount val="3"/>
                <c:pt idx="0">
                  <c:v>0.5482738909357473</c:v>
                </c:pt>
                <c:pt idx="1">
                  <c:v>0.41296256105486567</c:v>
                </c:pt>
                <c:pt idx="2">
                  <c:v>3.8763548009387125E-2</c:v>
                </c:pt>
              </c:numCache>
            </c:numRef>
          </c:val>
        </c:ser>
        <c:dLbls>
          <c:showLegendKey val="0"/>
          <c:showVal val="0"/>
          <c:showCatName val="0"/>
          <c:showSerName val="0"/>
          <c:showPercent val="0"/>
          <c:showBubbleSize val="0"/>
          <c:showLeaderLines val="1"/>
        </c:dLbls>
        <c:firstSliceAng val="129"/>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32" l="0.70000000000000062" r="0.70000000000000062" t="0.7500000000000133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Distribution</a:t>
            </a:r>
            <a:r>
              <a:rPr lang="en-US" sz="1000" baseline="0"/>
              <a:t> of </a:t>
            </a:r>
            <a:r>
              <a:rPr lang="en-US" sz="1000"/>
              <a:t>Social Services Spending, SFY 2015</a:t>
            </a:r>
          </a:p>
        </c:rich>
      </c:tx>
      <c:layout/>
      <c:overlay val="0"/>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tx>
            <c:v>% Total SS Spending</c:v>
          </c:tx>
          <c:spPr>
            <a:solidFill>
              <a:schemeClr val="accent3">
                <a:lumMod val="75000"/>
              </a:schemeClr>
            </a:solidFill>
            <a:ln>
              <a:solidFill>
                <a:schemeClr val="tx1"/>
              </a:solidFill>
            </a:ln>
          </c:spPr>
          <c:dPt>
            <c:idx val="0"/>
            <c:bubble3D val="0"/>
            <c:spPr>
              <a:solidFill>
                <a:schemeClr val="accent3">
                  <a:lumMod val="60000"/>
                  <a:lumOff val="40000"/>
                </a:schemeClr>
              </a:solidFill>
              <a:ln>
                <a:solidFill>
                  <a:schemeClr val="tx1"/>
                </a:solidFill>
              </a:ln>
            </c:spPr>
          </c:dPt>
          <c:dLbls>
            <c:dLbl>
              <c:idx val="0"/>
              <c:layout/>
              <c:spPr/>
              <c:txPr>
                <a:bodyPr/>
                <a:lstStyle/>
                <a:p>
                  <a:pPr>
                    <a:defRPr/>
                  </a:pPr>
                  <a:endParaRPr lang="en-US"/>
                </a:p>
              </c:txPr>
              <c:dLblPos val="outEnd"/>
              <c:showLegendKey val="0"/>
              <c:showVal val="1"/>
              <c:showCatName val="1"/>
              <c:showSerName val="0"/>
              <c:showPercent val="0"/>
              <c:showBubbleSize val="0"/>
            </c:dLbl>
            <c:dLbl>
              <c:idx val="1"/>
              <c:layout>
                <c:manualLayout>
                  <c:x val="5.4514974484494431E-2"/>
                  <c:y val="0.11940298507462686"/>
                </c:manualLayout>
              </c:layout>
              <c:spPr/>
              <c:txPr>
                <a:bodyPr/>
                <a:lstStyle/>
                <a:p>
                  <a:pPr>
                    <a:defRPr/>
                  </a:pPr>
                  <a:endParaRPr lang="en-US"/>
                </a:p>
              </c:txPr>
              <c:dLblPos val="bestFit"/>
              <c:showLegendKey val="0"/>
              <c:showVal val="1"/>
              <c:showCatName val="1"/>
              <c:showSerName val="0"/>
              <c:showPercent val="0"/>
              <c:showBubbleSize val="0"/>
              <c:separator>, </c:separator>
            </c:dLbl>
            <c:dLbl>
              <c:idx val="2"/>
              <c:layout>
                <c:manualLayout>
                  <c:x val="-4.6920821114369467E-2"/>
                  <c:y val="-3.9800995024875989E-2"/>
                </c:manualLayout>
              </c:layout>
              <c:dLblPos val="bestFit"/>
              <c:showLegendKey val="0"/>
              <c:showVal val="1"/>
              <c:showCatName val="1"/>
              <c:showSerName val="0"/>
              <c:showPercent val="0"/>
              <c:showBubbleSize val="0"/>
              <c:separator>, </c:separator>
            </c:dLbl>
            <c:dLblPos val="outEnd"/>
            <c:showLegendKey val="0"/>
            <c:showVal val="1"/>
            <c:showCatName val="1"/>
            <c:showSerName val="0"/>
            <c:showPercent val="0"/>
            <c:showBubbleSize val="0"/>
            <c:separator>, </c:separator>
            <c:showLeaderLines val="1"/>
          </c:dLbls>
          <c:cat>
            <c:strRef>
              <c:f>Profile!$U$150:$W$150</c:f>
              <c:strCache>
                <c:ptCount val="3"/>
                <c:pt idx="0">
                  <c:v>Admini-stration</c:v>
                </c:pt>
                <c:pt idx="1">
                  <c:v>Services</c:v>
                </c:pt>
                <c:pt idx="2">
                  <c:v>Benefits</c:v>
                </c:pt>
              </c:strCache>
            </c:strRef>
          </c:cat>
          <c:val>
            <c:numRef>
              <c:f>'Finance By Region'!$U$15:$W$15</c:f>
              <c:numCache>
                <c:formatCode>0.0%</c:formatCode>
                <c:ptCount val="3"/>
                <c:pt idx="0">
                  <c:v>6.228653020313827E-2</c:v>
                </c:pt>
                <c:pt idx="1">
                  <c:v>2.9316176450097848E-3</c:v>
                </c:pt>
                <c:pt idx="2">
                  <c:v>0.93478185215185194</c:v>
                </c:pt>
              </c:numCache>
            </c:numRef>
          </c:val>
        </c:ser>
        <c:dLbls>
          <c:showLegendKey val="0"/>
          <c:showVal val="0"/>
          <c:showCatName val="0"/>
          <c:showSerName val="0"/>
          <c:showPercent val="0"/>
          <c:showBubbleSize val="0"/>
          <c:showLeaderLines val="1"/>
        </c:dLbls>
        <c:firstSliceAng val="45"/>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54" l="0.70000000000000062" r="0.70000000000000062" t="0.7500000000000135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a:latin typeface="+mj-lt"/>
                <a:cs typeface="Times New Roman" pitchFamily="18" charset="0"/>
              </a:defRPr>
            </a:pPr>
            <a:r>
              <a:rPr lang="en-US" sz="1000">
                <a:latin typeface="+mj-lt"/>
                <a:cs typeface="Times New Roman" pitchFamily="18" charset="0"/>
              </a:rPr>
              <a:t>TANF Clients by State Fiscal Year</a:t>
            </a:r>
          </a:p>
        </c:rich>
      </c:tx>
      <c:layout>
        <c:manualLayout>
          <c:xMode val="edge"/>
          <c:yMode val="edge"/>
          <c:x val="0.15003927611673992"/>
          <c:y val="1.6872477147253338E-2"/>
        </c:manualLayout>
      </c:layout>
      <c:overlay val="0"/>
    </c:title>
    <c:autoTitleDeleted val="0"/>
    <c:plotArea>
      <c:layout>
        <c:manualLayout>
          <c:layoutTarget val="inner"/>
          <c:xMode val="edge"/>
          <c:yMode val="edge"/>
          <c:x val="0.19573838473054841"/>
          <c:y val="0.16463268228884667"/>
          <c:w val="0.75290123340788973"/>
          <c:h val="0.57219804959714204"/>
        </c:manualLayout>
      </c:layout>
      <c:barChart>
        <c:barDir val="col"/>
        <c:grouping val="clustered"/>
        <c:varyColors val="0"/>
        <c:ser>
          <c:idx val="0"/>
          <c:order val="0"/>
          <c:tx>
            <c:strRef>
              <c:f>Profile!$E$80</c:f>
              <c:strCache>
                <c:ptCount val="1"/>
                <c:pt idx="0">
                  <c:v>TANF</c:v>
                </c:pt>
              </c:strCache>
            </c:strRef>
          </c:tx>
          <c:spPr>
            <a:ln>
              <a:noFill/>
              <a:prstDash val="lgDashDotDot"/>
            </a:ln>
          </c:spPr>
          <c:invertIfNegative val="0"/>
          <c:dLbls>
            <c:txPr>
              <a:bodyPr/>
              <a:lstStyle/>
              <a:p>
                <a:pPr>
                  <a:defRPr sz="900"/>
                </a:pPr>
                <a:endParaRPr lang="en-US"/>
              </a:p>
            </c:txPr>
            <c:showLegendKey val="0"/>
            <c:showVal val="1"/>
            <c:showCatName val="0"/>
            <c:showSerName val="0"/>
            <c:showPercent val="0"/>
            <c:showBubbleSize val="0"/>
            <c:showLeaderLines val="0"/>
          </c:dLbls>
          <c:cat>
            <c:strRef>
              <c:f>Profile!$B$82:$C$87</c:f>
              <c:strCache>
                <c:ptCount val="6"/>
                <c:pt idx="0">
                  <c:v>2010</c:v>
                </c:pt>
                <c:pt idx="1">
                  <c:v>2011</c:v>
                </c:pt>
                <c:pt idx="2">
                  <c:v>2012</c:v>
                </c:pt>
                <c:pt idx="3">
                  <c:v>2013</c:v>
                </c:pt>
                <c:pt idx="4">
                  <c:v>2014</c:v>
                </c:pt>
                <c:pt idx="5">
                  <c:v>2015</c:v>
                </c:pt>
              </c:strCache>
            </c:strRef>
          </c:cat>
          <c:val>
            <c:numRef>
              <c:f>Profile!$E$82:$E$87</c:f>
              <c:numCache>
                <c:formatCode>#,##0</c:formatCode>
                <c:ptCount val="6"/>
                <c:pt idx="0">
                  <c:v>1098</c:v>
                </c:pt>
                <c:pt idx="1">
                  <c:v>1096</c:v>
                </c:pt>
                <c:pt idx="2">
                  <c:v>1127</c:v>
                </c:pt>
                <c:pt idx="3">
                  <c:v>1131</c:v>
                </c:pt>
                <c:pt idx="4">
                  <c:v>974</c:v>
                </c:pt>
                <c:pt idx="5">
                  <c:v>810</c:v>
                </c:pt>
              </c:numCache>
            </c:numRef>
          </c:val>
        </c:ser>
        <c:dLbls>
          <c:showLegendKey val="0"/>
          <c:showVal val="0"/>
          <c:showCatName val="0"/>
          <c:showSerName val="0"/>
          <c:showPercent val="0"/>
          <c:showBubbleSize val="0"/>
        </c:dLbls>
        <c:gapWidth val="150"/>
        <c:axId val="50269568"/>
        <c:axId val="50279552"/>
      </c:barChart>
      <c:catAx>
        <c:axId val="50269568"/>
        <c:scaling>
          <c:orientation val="minMax"/>
        </c:scaling>
        <c:delete val="0"/>
        <c:axPos val="b"/>
        <c:numFmt formatCode="General" sourceLinked="1"/>
        <c:majorTickMark val="out"/>
        <c:minorTickMark val="none"/>
        <c:tickLblPos val="nextTo"/>
        <c:txPr>
          <a:bodyPr rot="0" vert="horz"/>
          <a:lstStyle/>
          <a:p>
            <a:pPr>
              <a:defRPr/>
            </a:pPr>
            <a:endParaRPr lang="en-US"/>
          </a:p>
        </c:txPr>
        <c:crossAx val="50279552"/>
        <c:crosses val="autoZero"/>
        <c:auto val="1"/>
        <c:lblAlgn val="ctr"/>
        <c:lblOffset val="100"/>
        <c:noMultiLvlLbl val="0"/>
      </c:catAx>
      <c:valAx>
        <c:axId val="50279552"/>
        <c:scaling>
          <c:orientation val="minMax"/>
        </c:scaling>
        <c:delete val="0"/>
        <c:axPos val="l"/>
        <c:majorGridlines>
          <c:spPr>
            <a:ln>
              <a:solidFill>
                <a:schemeClr val="bg1"/>
              </a:solidFill>
            </a:ln>
          </c:spPr>
        </c:majorGridlines>
        <c:numFmt formatCode="#,##0" sourceLinked="1"/>
        <c:majorTickMark val="out"/>
        <c:minorTickMark val="none"/>
        <c:tickLblPos val="nextTo"/>
        <c:txPr>
          <a:bodyPr rot="0" vert="horz"/>
          <a:lstStyle/>
          <a:p>
            <a:pPr>
              <a:defRPr/>
            </a:pPr>
            <a:endParaRPr lang="en-US"/>
          </a:p>
        </c:txPr>
        <c:crossAx val="50269568"/>
        <c:crosses val="autoZero"/>
        <c:crossBetween val="between"/>
      </c:valAx>
    </c:plotArea>
    <c:plotVisOnly val="1"/>
    <c:dispBlanksAs val="gap"/>
    <c:showDLblsOverMax val="0"/>
  </c:chart>
  <c:spPr>
    <a:ln w="19050">
      <a:solidFill>
        <a:srgbClr val="8064A2">
          <a:lumMod val="75000"/>
        </a:srgbClr>
      </a:solidFill>
    </a:ln>
  </c:spPr>
  <c:printSettings>
    <c:headerFooter/>
    <c:pageMargins b="0.75000000000001465" l="0.25" r="0.25" t="0.75000000000001465"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Percentage of People (All Ages) Living in Poverty, </a:t>
            </a:r>
          </a:p>
          <a:p>
            <a:pPr>
              <a:defRPr sz="1000">
                <a:latin typeface="+mj-lt"/>
              </a:defRPr>
            </a:pPr>
            <a:r>
              <a:rPr lang="en-US" sz="1000">
                <a:latin typeface="+mj-lt"/>
              </a:rPr>
              <a:t>2004-2014</a:t>
            </a:r>
          </a:p>
        </c:rich>
      </c:tx>
      <c:layout/>
      <c:overlay val="0"/>
    </c:title>
    <c:autoTitleDeleted val="0"/>
    <c:plotArea>
      <c:layout>
        <c:manualLayout>
          <c:layoutTarget val="inner"/>
          <c:xMode val="edge"/>
          <c:yMode val="edge"/>
          <c:x val="0.13416343936028979"/>
          <c:y val="0.19261056920123787"/>
          <c:w val="0.80380179750259229"/>
          <c:h val="0.4789763779527631"/>
        </c:manualLayout>
      </c:layout>
      <c:lineChart>
        <c:grouping val="standard"/>
        <c:varyColors val="0"/>
        <c:ser>
          <c:idx val="0"/>
          <c:order val="0"/>
          <c:tx>
            <c:strRef>
              <c:f>Profile!$C$27</c:f>
              <c:strCache>
                <c:ptCount val="1"/>
                <c:pt idx="0">
                  <c:v>Accomack</c:v>
                </c:pt>
              </c:strCache>
            </c:strRef>
          </c:tx>
          <c:marker>
            <c:symbol val="none"/>
          </c:marker>
          <c:cat>
            <c:numRef>
              <c:f>Profile!$B$30:$B$40</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Profile!$C$30:$C$40</c:f>
              <c:numCache>
                <c:formatCode>0.0%</c:formatCode>
                <c:ptCount val="11"/>
                <c:pt idx="0">
                  <c:v>0.14899999999999999</c:v>
                </c:pt>
                <c:pt idx="1">
                  <c:v>0.183</c:v>
                </c:pt>
                <c:pt idx="2">
                  <c:v>0.154</c:v>
                </c:pt>
                <c:pt idx="3">
                  <c:v>0.16800000000000001</c:v>
                </c:pt>
                <c:pt idx="4">
                  <c:v>0.20600000000000002</c:v>
                </c:pt>
                <c:pt idx="5">
                  <c:v>0.183</c:v>
                </c:pt>
                <c:pt idx="6">
                  <c:v>0.20499999999999999</c:v>
                </c:pt>
                <c:pt idx="7">
                  <c:v>0.193</c:v>
                </c:pt>
                <c:pt idx="8">
                  <c:v>0.19900000000000001</c:v>
                </c:pt>
                <c:pt idx="9">
                  <c:v>0.19252741881281887</c:v>
                </c:pt>
                <c:pt idx="10">
                  <c:v>0.19371551195585529</c:v>
                </c:pt>
              </c:numCache>
            </c:numRef>
          </c:val>
          <c:smooth val="0"/>
        </c:ser>
        <c:ser>
          <c:idx val="1"/>
          <c:order val="1"/>
          <c:tx>
            <c:strRef>
              <c:f>Profile!$E$27</c:f>
              <c:strCache>
                <c:ptCount val="1"/>
                <c:pt idx="0">
                  <c:v>Eastern</c:v>
                </c:pt>
              </c:strCache>
            </c:strRef>
          </c:tx>
          <c:spPr>
            <a:ln>
              <a:prstDash val="sysDot"/>
            </a:ln>
          </c:spPr>
          <c:marker>
            <c:symbol val="none"/>
          </c:marker>
          <c:cat>
            <c:numRef>
              <c:f>Profile!$B$30:$B$40</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Profile!$E$30:$E$40</c:f>
              <c:numCache>
                <c:formatCode>0.0%</c:formatCode>
                <c:ptCount val="11"/>
                <c:pt idx="0">
                  <c:v>0.11259360124640222</c:v>
                </c:pt>
                <c:pt idx="1">
                  <c:v>0.11367927485747498</c:v>
                </c:pt>
                <c:pt idx="2">
                  <c:v>0.10639459370059251</c:v>
                </c:pt>
                <c:pt idx="3">
                  <c:v>0.11202655946373949</c:v>
                </c:pt>
                <c:pt idx="4">
                  <c:v>0.11571808952754851</c:v>
                </c:pt>
                <c:pt idx="5">
                  <c:v>0.11429957969100746</c:v>
                </c:pt>
                <c:pt idx="6">
                  <c:v>0.12023872863352066</c:v>
                </c:pt>
                <c:pt idx="7">
                  <c:v>0.12870004950966066</c:v>
                </c:pt>
                <c:pt idx="8">
                  <c:v>0.13600000000000001</c:v>
                </c:pt>
                <c:pt idx="9">
                  <c:v>0.13722953804582269</c:v>
                </c:pt>
                <c:pt idx="10">
                  <c:v>0.13349245196423984</c:v>
                </c:pt>
              </c:numCache>
            </c:numRef>
          </c:val>
          <c:smooth val="0"/>
        </c:ser>
        <c:ser>
          <c:idx val="2"/>
          <c:order val="2"/>
          <c:tx>
            <c:strRef>
              <c:f>Profile!$G$27</c:f>
              <c:strCache>
                <c:ptCount val="1"/>
                <c:pt idx="0">
                  <c:v>Statewide</c:v>
                </c:pt>
              </c:strCache>
            </c:strRef>
          </c:tx>
          <c:marker>
            <c:symbol val="none"/>
          </c:marker>
          <c:cat>
            <c:numRef>
              <c:f>Profile!$B$30:$B$40</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Profile!$G$30:$G$40</c:f>
              <c:numCache>
                <c:formatCode>0.0%</c:formatCode>
                <c:ptCount val="11"/>
                <c:pt idx="0">
                  <c:v>9.5199999999999993E-2</c:v>
                </c:pt>
                <c:pt idx="1">
                  <c:v>9.9600000000000008E-2</c:v>
                </c:pt>
                <c:pt idx="2">
                  <c:v>9.6199999999999994E-2</c:v>
                </c:pt>
                <c:pt idx="3">
                  <c:v>9.9000000000000005E-2</c:v>
                </c:pt>
                <c:pt idx="4">
                  <c:v>0.10210000000000001</c:v>
                </c:pt>
                <c:pt idx="5">
                  <c:v>0.1057</c:v>
                </c:pt>
                <c:pt idx="6">
                  <c:v>0.11118840014389482</c:v>
                </c:pt>
                <c:pt idx="7">
                  <c:v>0.11600000000000001</c:v>
                </c:pt>
                <c:pt idx="8">
                  <c:v>0.11799999999999999</c:v>
                </c:pt>
                <c:pt idx="9">
                  <c:v>0.11747751027208382</c:v>
                </c:pt>
                <c:pt idx="10">
                  <c:v>0.1182560438559494</c:v>
                </c:pt>
              </c:numCache>
            </c:numRef>
          </c:val>
          <c:smooth val="0"/>
        </c:ser>
        <c:dLbls>
          <c:showLegendKey val="0"/>
          <c:showVal val="0"/>
          <c:showCatName val="0"/>
          <c:showSerName val="0"/>
          <c:showPercent val="0"/>
          <c:showBubbleSize val="0"/>
        </c:dLbls>
        <c:marker val="1"/>
        <c:smooth val="0"/>
        <c:axId val="50322048"/>
        <c:axId val="50594176"/>
      </c:lineChart>
      <c:catAx>
        <c:axId val="50322048"/>
        <c:scaling>
          <c:orientation val="minMax"/>
        </c:scaling>
        <c:delete val="0"/>
        <c:axPos val="b"/>
        <c:numFmt formatCode="General" sourceLinked="1"/>
        <c:majorTickMark val="out"/>
        <c:minorTickMark val="none"/>
        <c:tickLblPos val="nextTo"/>
        <c:txPr>
          <a:bodyPr rot="-1200000" vert="horz"/>
          <a:lstStyle/>
          <a:p>
            <a:pPr>
              <a:defRPr/>
            </a:pPr>
            <a:endParaRPr lang="en-US"/>
          </a:p>
        </c:txPr>
        <c:crossAx val="50594176"/>
        <c:crosses val="autoZero"/>
        <c:auto val="1"/>
        <c:lblAlgn val="ctr"/>
        <c:lblOffset val="100"/>
        <c:tickLblSkip val="1"/>
        <c:noMultiLvlLbl val="0"/>
      </c:catAx>
      <c:valAx>
        <c:axId val="50594176"/>
        <c:scaling>
          <c:orientation val="minMax"/>
        </c:scaling>
        <c:delete val="0"/>
        <c:axPos val="l"/>
        <c:title>
          <c:tx>
            <c:rich>
              <a:bodyPr/>
              <a:lstStyle/>
              <a:p>
                <a:pPr>
                  <a:defRPr/>
                </a:pPr>
                <a:r>
                  <a:rPr lang="en-US"/>
                  <a:t>Percentage (%)</a:t>
                </a:r>
              </a:p>
            </c:rich>
          </c:tx>
          <c:layout/>
          <c:overlay val="0"/>
        </c:title>
        <c:numFmt formatCode="0%" sourceLinked="0"/>
        <c:majorTickMark val="out"/>
        <c:minorTickMark val="none"/>
        <c:tickLblPos val="nextTo"/>
        <c:txPr>
          <a:bodyPr rot="0" vert="horz"/>
          <a:lstStyle/>
          <a:p>
            <a:pPr>
              <a:defRPr/>
            </a:pPr>
            <a:endParaRPr lang="en-US"/>
          </a:p>
        </c:txPr>
        <c:crossAx val="50322048"/>
        <c:crosses val="autoZero"/>
        <c:crossBetween val="midCat"/>
      </c:valAx>
    </c:plotArea>
    <c:legend>
      <c:legendPos val="r"/>
      <c:layout>
        <c:manualLayout>
          <c:xMode val="edge"/>
          <c:yMode val="edge"/>
          <c:x val="1.0978558074672261E-3"/>
          <c:y val="0.7947236259646645"/>
          <c:w val="0.99890214419252699"/>
          <c:h val="0.13174716966349503"/>
        </c:manualLayout>
      </c:layout>
      <c:overlay val="0"/>
      <c:txPr>
        <a:bodyPr/>
        <a:lstStyle/>
        <a:p>
          <a:pPr>
            <a:defRPr sz="900"/>
          </a:pPr>
          <a:endParaRPr lang="en-US"/>
        </a:p>
      </c:txPr>
    </c:legend>
    <c:plotVisOnly val="1"/>
    <c:dispBlanksAs val="gap"/>
    <c:showDLblsOverMax val="0"/>
  </c:chart>
  <c:spPr>
    <a:ln w="15875">
      <a:solidFill>
        <a:schemeClr val="accent5">
          <a:lumMod val="75000"/>
        </a:schemeClr>
      </a:solidFill>
    </a:ln>
  </c:spPr>
  <c:printSettings>
    <c:headerFooter/>
    <c:pageMargins b="0.5" l="0.45" r="0.45" t="0.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Total Social Services Spending by Funding Source in Locality, SFY 2015</a:t>
            </a:r>
          </a:p>
          <a:p>
            <a:pPr>
              <a:defRPr sz="1000"/>
            </a:pPr>
            <a:endParaRPr lang="en-US" sz="1000"/>
          </a:p>
        </c:rich>
      </c:tx>
      <c:layout/>
      <c:overlay val="0"/>
    </c:title>
    <c:autoTitleDeleted val="0"/>
    <c:plotArea>
      <c:layout>
        <c:manualLayout>
          <c:layoutTarget val="inner"/>
          <c:xMode val="edge"/>
          <c:yMode val="edge"/>
          <c:x val="0.27425227728887114"/>
          <c:y val="0.32725632596896548"/>
          <c:w val="0.35985178323298261"/>
          <c:h val="0.59393012766608055"/>
        </c:manualLayout>
      </c:layout>
      <c:pieChart>
        <c:varyColors val="1"/>
        <c:ser>
          <c:idx val="0"/>
          <c:order val="0"/>
          <c:tx>
            <c:v>Pct of Total SS Spending by Source</c:v>
          </c:tx>
          <c:spPr>
            <a:ln>
              <a:solidFill>
                <a:schemeClr val="tx1"/>
              </a:solidFill>
            </a:ln>
          </c:spPr>
          <c:dPt>
            <c:idx val="0"/>
            <c:bubble3D val="0"/>
            <c:spPr>
              <a:solidFill>
                <a:schemeClr val="accent3">
                  <a:lumMod val="50000"/>
                </a:schemeClr>
              </a:solidFill>
              <a:ln>
                <a:solidFill>
                  <a:schemeClr val="tx1"/>
                </a:solidFill>
              </a:ln>
            </c:spPr>
          </c:dPt>
          <c:dLbls>
            <c:dLblPos val="outEnd"/>
            <c:showLegendKey val="0"/>
            <c:showVal val="1"/>
            <c:showCatName val="1"/>
            <c:showSerName val="0"/>
            <c:showPercent val="0"/>
            <c:showBubbleSize val="0"/>
            <c:showLeaderLines val="1"/>
          </c:dLbls>
          <c:cat>
            <c:strRef>
              <c:f>Profile!$J$138:$L$138</c:f>
              <c:strCache>
                <c:ptCount val="3"/>
                <c:pt idx="0">
                  <c:v>Federal</c:v>
                </c:pt>
                <c:pt idx="1">
                  <c:v>State</c:v>
                </c:pt>
                <c:pt idx="2">
                  <c:v>Local &amp; NER (comb.)</c:v>
                </c:pt>
              </c:strCache>
            </c:strRef>
          </c:cat>
          <c:val>
            <c:numRef>
              <c:f>Profile!$J$161:$L$161</c:f>
              <c:numCache>
                <c:formatCode>0%</c:formatCode>
                <c:ptCount val="3"/>
                <c:pt idx="0">
                  <c:v>0.57238995647075419</c:v>
                </c:pt>
                <c:pt idx="1">
                  <c:v>0.4116999848404474</c:v>
                </c:pt>
                <c:pt idx="2">
                  <c:v>1.591005868879846E-2</c:v>
                </c:pt>
              </c:numCache>
            </c:numRef>
          </c:val>
        </c:ser>
        <c:dLbls>
          <c:showLegendKey val="0"/>
          <c:showVal val="0"/>
          <c:showCatName val="0"/>
          <c:showSerName val="0"/>
          <c:showPercent val="0"/>
          <c:showBubbleSize val="0"/>
          <c:showLeaderLines val="1"/>
        </c:dLbls>
        <c:firstSliceAng val="129"/>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32" l="0.70000000000000062" r="0.70000000000000062" t="0.7500000000000133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000"/>
            </a:pPr>
            <a:r>
              <a:rPr lang="en-US" sz="1000"/>
              <a:t>Distribution</a:t>
            </a:r>
            <a:r>
              <a:rPr lang="en-US" sz="1000" baseline="0"/>
              <a:t> of </a:t>
            </a:r>
            <a:r>
              <a:rPr lang="en-US" sz="1000"/>
              <a:t>Social Services Spending in  Locality, SFY 2015</a:t>
            </a:r>
          </a:p>
        </c:rich>
      </c:tx>
      <c:layout/>
      <c:overlay val="0"/>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tx>
            <c:v>% Total SS Spending</c:v>
          </c:tx>
          <c:spPr>
            <a:solidFill>
              <a:schemeClr val="accent3">
                <a:lumMod val="75000"/>
              </a:schemeClr>
            </a:solidFill>
            <a:ln>
              <a:solidFill>
                <a:schemeClr val="tx1"/>
              </a:solidFill>
            </a:ln>
          </c:spPr>
          <c:dPt>
            <c:idx val="0"/>
            <c:bubble3D val="0"/>
            <c:spPr>
              <a:solidFill>
                <a:schemeClr val="accent3">
                  <a:lumMod val="60000"/>
                  <a:lumOff val="40000"/>
                </a:schemeClr>
              </a:solidFill>
              <a:ln>
                <a:solidFill>
                  <a:schemeClr val="tx1"/>
                </a:solidFill>
              </a:ln>
            </c:spPr>
          </c:dPt>
          <c:dPt>
            <c:idx val="1"/>
            <c:bubble3D val="0"/>
            <c:spPr>
              <a:solidFill>
                <a:schemeClr val="accent3"/>
              </a:solidFill>
              <a:ln>
                <a:solidFill>
                  <a:schemeClr val="tx1"/>
                </a:solidFill>
              </a:ln>
            </c:spPr>
          </c:dPt>
          <c:dPt>
            <c:idx val="2"/>
            <c:bubble3D val="0"/>
            <c:spPr>
              <a:solidFill>
                <a:schemeClr val="accent3">
                  <a:lumMod val="50000"/>
                </a:schemeClr>
              </a:solidFill>
              <a:ln>
                <a:solidFill>
                  <a:schemeClr val="tx1"/>
                </a:solidFill>
              </a:ln>
            </c:spPr>
          </c:dPt>
          <c:dLbls>
            <c:dLbl>
              <c:idx val="0"/>
              <c:layout/>
              <c:spPr/>
              <c:txPr>
                <a:bodyPr/>
                <a:lstStyle/>
                <a:p>
                  <a:pPr>
                    <a:defRPr/>
                  </a:pPr>
                  <a:endParaRPr lang="en-US"/>
                </a:p>
              </c:txPr>
              <c:dLblPos val="outEnd"/>
              <c:showLegendKey val="0"/>
              <c:showVal val="1"/>
              <c:showCatName val="1"/>
              <c:showSerName val="0"/>
              <c:showPercent val="0"/>
              <c:showBubbleSize val="0"/>
            </c:dLbl>
            <c:dLbl>
              <c:idx val="1"/>
              <c:layout>
                <c:manualLayout>
                  <c:x val="5.4514974484494431E-2"/>
                  <c:y val="0.11940298507462686"/>
                </c:manualLayout>
              </c:layout>
              <c:spPr/>
              <c:txPr>
                <a:bodyPr/>
                <a:lstStyle/>
                <a:p>
                  <a:pPr>
                    <a:defRPr/>
                  </a:pPr>
                  <a:endParaRPr lang="en-US"/>
                </a:p>
              </c:txPr>
              <c:dLblPos val="bestFit"/>
              <c:showLegendKey val="0"/>
              <c:showVal val="1"/>
              <c:showCatName val="1"/>
              <c:showSerName val="0"/>
              <c:showPercent val="0"/>
              <c:showBubbleSize val="0"/>
              <c:separator>, </c:separator>
            </c:dLbl>
            <c:dLbl>
              <c:idx val="2"/>
              <c:layout>
                <c:manualLayout>
                  <c:x val="-4.6920821114369467E-2"/>
                  <c:y val="-3.9800995024875989E-2"/>
                </c:manualLayout>
              </c:layout>
              <c:dLblPos val="bestFit"/>
              <c:showLegendKey val="0"/>
              <c:showVal val="1"/>
              <c:showCatName val="1"/>
              <c:showSerName val="0"/>
              <c:showPercent val="0"/>
              <c:showBubbleSize val="0"/>
              <c:separator>, </c:separator>
            </c:dLbl>
            <c:dLblPos val="outEnd"/>
            <c:showLegendKey val="0"/>
            <c:showVal val="1"/>
            <c:showCatName val="1"/>
            <c:showSerName val="0"/>
            <c:showPercent val="0"/>
            <c:showBubbleSize val="0"/>
            <c:separator>, </c:separator>
            <c:showLeaderLines val="1"/>
          </c:dLbls>
          <c:cat>
            <c:strRef>
              <c:f>Profile!$U$150:$W$150</c:f>
              <c:strCache>
                <c:ptCount val="3"/>
                <c:pt idx="0">
                  <c:v>Admini-stration</c:v>
                </c:pt>
                <c:pt idx="1">
                  <c:v>Services</c:v>
                </c:pt>
                <c:pt idx="2">
                  <c:v>Benefits</c:v>
                </c:pt>
              </c:strCache>
            </c:strRef>
          </c:cat>
          <c:val>
            <c:numRef>
              <c:f>Profile!$U$155:$W$155</c:f>
              <c:numCache>
                <c:formatCode>0.0%</c:formatCode>
                <c:ptCount val="3"/>
                <c:pt idx="0">
                  <c:v>5.1939208851232148E-2</c:v>
                </c:pt>
                <c:pt idx="1">
                  <c:v>1.584067207856325E-2</c:v>
                </c:pt>
                <c:pt idx="2">
                  <c:v>0.93222011907020463</c:v>
                </c:pt>
              </c:numCache>
            </c:numRef>
          </c:val>
        </c:ser>
        <c:dLbls>
          <c:showLegendKey val="0"/>
          <c:showVal val="0"/>
          <c:showCatName val="0"/>
          <c:showSerName val="0"/>
          <c:showPercent val="0"/>
          <c:showBubbleSize val="0"/>
          <c:showLeaderLines val="1"/>
        </c:dLbls>
        <c:firstSliceAng val="45"/>
      </c:pieChart>
      <c:spPr>
        <a:noFill/>
        <a:ln w="25400">
          <a:noFill/>
        </a:ln>
      </c:spPr>
    </c:plotArea>
    <c:plotVisOnly val="1"/>
    <c:dispBlanksAs val="zero"/>
    <c:showDLblsOverMax val="0"/>
  </c:chart>
  <c:spPr>
    <a:ln w="25400">
      <a:solidFill>
        <a:schemeClr val="accent3">
          <a:lumMod val="75000"/>
        </a:schemeClr>
      </a:solidFill>
    </a:ln>
  </c:spPr>
  <c:printSettings>
    <c:headerFooter/>
    <c:pageMargins b="0.75000000000001354" l="0.70000000000000062" r="0.70000000000000062" t="0.7500000000000135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a:latin typeface="+mj-lt"/>
                <a:cs typeface="Times New Roman" pitchFamily="18" charset="0"/>
              </a:defRPr>
            </a:pPr>
            <a:r>
              <a:rPr lang="en-US" sz="1000">
                <a:latin typeface="+mj-lt"/>
                <a:cs typeface="Times New Roman" pitchFamily="18" charset="0"/>
              </a:rPr>
              <a:t>Medicaid Clients by State Fiscal Year</a:t>
            </a:r>
          </a:p>
        </c:rich>
      </c:tx>
      <c:layout>
        <c:manualLayout>
          <c:xMode val="edge"/>
          <c:yMode val="edge"/>
          <c:x val="0.15003927611673992"/>
          <c:y val="1.6872477147253338E-2"/>
        </c:manualLayout>
      </c:layout>
      <c:overlay val="0"/>
    </c:title>
    <c:autoTitleDeleted val="0"/>
    <c:plotArea>
      <c:layout>
        <c:manualLayout>
          <c:layoutTarget val="inner"/>
          <c:xMode val="edge"/>
          <c:yMode val="edge"/>
          <c:x val="0.19573838473054841"/>
          <c:y val="0.16463268228884667"/>
          <c:w val="0.75290123340788973"/>
          <c:h val="0.57219804959714204"/>
        </c:manualLayout>
      </c:layout>
      <c:barChart>
        <c:barDir val="col"/>
        <c:grouping val="clustered"/>
        <c:varyColors val="0"/>
        <c:ser>
          <c:idx val="0"/>
          <c:order val="0"/>
          <c:tx>
            <c:strRef>
              <c:f>Profile!$F$80</c:f>
              <c:strCache>
                <c:ptCount val="1"/>
                <c:pt idx="0">
                  <c:v>Medicaid</c:v>
                </c:pt>
              </c:strCache>
            </c:strRef>
          </c:tx>
          <c:spPr>
            <a:ln>
              <a:noFill/>
              <a:prstDash val="lgDashDotDot"/>
            </a:ln>
          </c:spPr>
          <c:invertIfNegative val="0"/>
          <c:dLbls>
            <c:txPr>
              <a:bodyPr/>
              <a:lstStyle/>
              <a:p>
                <a:pPr>
                  <a:defRPr sz="900"/>
                </a:pPr>
                <a:endParaRPr lang="en-US"/>
              </a:p>
            </c:txPr>
            <c:showLegendKey val="0"/>
            <c:showVal val="1"/>
            <c:showCatName val="0"/>
            <c:showSerName val="0"/>
            <c:showPercent val="0"/>
            <c:showBubbleSize val="0"/>
            <c:showLeaderLines val="0"/>
          </c:dLbls>
          <c:cat>
            <c:strRef>
              <c:f>Profile!$B$82:$C$87</c:f>
              <c:strCache>
                <c:ptCount val="6"/>
                <c:pt idx="0">
                  <c:v>2010</c:v>
                </c:pt>
                <c:pt idx="1">
                  <c:v>2011</c:v>
                </c:pt>
                <c:pt idx="2">
                  <c:v>2012</c:v>
                </c:pt>
                <c:pt idx="3">
                  <c:v>2013</c:v>
                </c:pt>
                <c:pt idx="4">
                  <c:v>2014</c:v>
                </c:pt>
                <c:pt idx="5">
                  <c:v>2015</c:v>
                </c:pt>
              </c:strCache>
            </c:strRef>
          </c:cat>
          <c:val>
            <c:numRef>
              <c:f>Profile!$F$82:$F$87</c:f>
              <c:numCache>
                <c:formatCode>#,##0</c:formatCode>
                <c:ptCount val="6"/>
                <c:pt idx="0">
                  <c:v>7933</c:v>
                </c:pt>
                <c:pt idx="1">
                  <c:v>8275</c:v>
                </c:pt>
                <c:pt idx="2">
                  <c:v>8453</c:v>
                </c:pt>
                <c:pt idx="3">
                  <c:v>8723</c:v>
                </c:pt>
                <c:pt idx="4">
                  <c:v>8834</c:v>
                </c:pt>
                <c:pt idx="5">
                  <c:v>9118</c:v>
                </c:pt>
              </c:numCache>
            </c:numRef>
          </c:val>
        </c:ser>
        <c:dLbls>
          <c:showLegendKey val="0"/>
          <c:showVal val="0"/>
          <c:showCatName val="0"/>
          <c:showSerName val="0"/>
          <c:showPercent val="0"/>
          <c:showBubbleSize val="0"/>
        </c:dLbls>
        <c:gapWidth val="150"/>
        <c:axId val="50669056"/>
        <c:axId val="50670592"/>
      </c:barChart>
      <c:catAx>
        <c:axId val="50669056"/>
        <c:scaling>
          <c:orientation val="minMax"/>
        </c:scaling>
        <c:delete val="0"/>
        <c:axPos val="b"/>
        <c:numFmt formatCode="General" sourceLinked="1"/>
        <c:majorTickMark val="out"/>
        <c:minorTickMark val="none"/>
        <c:tickLblPos val="nextTo"/>
        <c:txPr>
          <a:bodyPr rot="0" vert="horz"/>
          <a:lstStyle/>
          <a:p>
            <a:pPr>
              <a:defRPr/>
            </a:pPr>
            <a:endParaRPr lang="en-US"/>
          </a:p>
        </c:txPr>
        <c:crossAx val="50670592"/>
        <c:crosses val="autoZero"/>
        <c:auto val="1"/>
        <c:lblAlgn val="ctr"/>
        <c:lblOffset val="100"/>
        <c:noMultiLvlLbl val="0"/>
      </c:catAx>
      <c:valAx>
        <c:axId val="50670592"/>
        <c:scaling>
          <c:orientation val="minMax"/>
        </c:scaling>
        <c:delete val="0"/>
        <c:axPos val="l"/>
        <c:majorGridlines>
          <c:spPr>
            <a:ln>
              <a:solidFill>
                <a:schemeClr val="bg1"/>
              </a:solidFill>
            </a:ln>
          </c:spPr>
        </c:majorGridlines>
        <c:numFmt formatCode="#,##0" sourceLinked="1"/>
        <c:majorTickMark val="out"/>
        <c:minorTickMark val="none"/>
        <c:tickLblPos val="nextTo"/>
        <c:txPr>
          <a:bodyPr rot="0" vert="horz"/>
          <a:lstStyle/>
          <a:p>
            <a:pPr>
              <a:defRPr/>
            </a:pPr>
            <a:endParaRPr lang="en-US"/>
          </a:p>
        </c:txPr>
        <c:crossAx val="50669056"/>
        <c:crosses val="autoZero"/>
        <c:crossBetween val="between"/>
      </c:valAx>
    </c:plotArea>
    <c:plotVisOnly val="1"/>
    <c:dispBlanksAs val="gap"/>
    <c:showDLblsOverMax val="0"/>
  </c:chart>
  <c:spPr>
    <a:ln w="19050">
      <a:solidFill>
        <a:srgbClr val="8064A2">
          <a:lumMod val="75000"/>
        </a:srgbClr>
      </a:solidFill>
    </a:ln>
  </c:spPr>
  <c:printSettings>
    <c:headerFooter/>
    <c:pageMargins b="0.75000000000001465" l="0.25" r="0.25" t="0.75000000000001465" header="0.30000000000000032" footer="0.30000000000000032"/>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a:latin typeface="+mj-lt"/>
                <a:cs typeface="Times New Roman" pitchFamily="18" charset="0"/>
              </a:defRPr>
            </a:pPr>
            <a:r>
              <a:rPr lang="en-US" sz="1000">
                <a:latin typeface="+mj-lt"/>
                <a:cs typeface="Times New Roman" pitchFamily="18" charset="0"/>
              </a:rPr>
              <a:t>SNAP Clients by State Fiscal Year</a:t>
            </a:r>
          </a:p>
        </c:rich>
      </c:tx>
      <c:layout>
        <c:manualLayout>
          <c:xMode val="edge"/>
          <c:yMode val="edge"/>
          <c:x val="0.15003927611673992"/>
          <c:y val="1.6872477147253338E-2"/>
        </c:manualLayout>
      </c:layout>
      <c:overlay val="0"/>
    </c:title>
    <c:autoTitleDeleted val="0"/>
    <c:plotArea>
      <c:layout>
        <c:manualLayout>
          <c:layoutTarget val="inner"/>
          <c:xMode val="edge"/>
          <c:yMode val="edge"/>
          <c:x val="0.19573838473054841"/>
          <c:y val="0.16463268228884667"/>
          <c:w val="0.75290123340788973"/>
          <c:h val="0.57219804959714204"/>
        </c:manualLayout>
      </c:layout>
      <c:barChart>
        <c:barDir val="col"/>
        <c:grouping val="clustered"/>
        <c:varyColors val="0"/>
        <c:ser>
          <c:idx val="0"/>
          <c:order val="0"/>
          <c:tx>
            <c:strRef>
              <c:f>Profile!$D$80</c:f>
              <c:strCache>
                <c:ptCount val="1"/>
                <c:pt idx="0">
                  <c:v>SNAP</c:v>
                </c:pt>
              </c:strCache>
            </c:strRef>
          </c:tx>
          <c:spPr>
            <a:ln>
              <a:noFill/>
              <a:prstDash val="lgDashDotDot"/>
            </a:ln>
          </c:spPr>
          <c:invertIfNegative val="0"/>
          <c:dLbls>
            <c:txPr>
              <a:bodyPr/>
              <a:lstStyle/>
              <a:p>
                <a:pPr>
                  <a:defRPr sz="900"/>
                </a:pPr>
                <a:endParaRPr lang="en-US"/>
              </a:p>
            </c:txPr>
            <c:showLegendKey val="0"/>
            <c:showVal val="1"/>
            <c:showCatName val="0"/>
            <c:showSerName val="0"/>
            <c:showPercent val="0"/>
            <c:showBubbleSize val="0"/>
            <c:showLeaderLines val="0"/>
          </c:dLbls>
          <c:cat>
            <c:strRef>
              <c:f>Profile!$B$82:$C$87</c:f>
              <c:strCache>
                <c:ptCount val="6"/>
                <c:pt idx="0">
                  <c:v>2010</c:v>
                </c:pt>
                <c:pt idx="1">
                  <c:v>2011</c:v>
                </c:pt>
                <c:pt idx="2">
                  <c:v>2012</c:v>
                </c:pt>
                <c:pt idx="3">
                  <c:v>2013</c:v>
                </c:pt>
                <c:pt idx="4">
                  <c:v>2014</c:v>
                </c:pt>
                <c:pt idx="5">
                  <c:v>2015</c:v>
                </c:pt>
              </c:strCache>
            </c:strRef>
          </c:cat>
          <c:val>
            <c:numRef>
              <c:f>Profile!$D$82:$D$87</c:f>
              <c:numCache>
                <c:formatCode>#,##0</c:formatCode>
                <c:ptCount val="6"/>
                <c:pt idx="0">
                  <c:v>8490</c:v>
                </c:pt>
                <c:pt idx="1">
                  <c:v>9362</c:v>
                </c:pt>
                <c:pt idx="2">
                  <c:v>10046</c:v>
                </c:pt>
                <c:pt idx="3">
                  <c:v>10332</c:v>
                </c:pt>
                <c:pt idx="4">
                  <c:v>10088</c:v>
                </c:pt>
                <c:pt idx="5">
                  <c:v>9291</c:v>
                </c:pt>
              </c:numCache>
            </c:numRef>
          </c:val>
        </c:ser>
        <c:dLbls>
          <c:showLegendKey val="0"/>
          <c:showVal val="0"/>
          <c:showCatName val="0"/>
          <c:showSerName val="0"/>
          <c:showPercent val="0"/>
          <c:showBubbleSize val="0"/>
        </c:dLbls>
        <c:gapWidth val="150"/>
        <c:axId val="50711936"/>
        <c:axId val="50717824"/>
      </c:barChart>
      <c:catAx>
        <c:axId val="50711936"/>
        <c:scaling>
          <c:orientation val="minMax"/>
        </c:scaling>
        <c:delete val="0"/>
        <c:axPos val="b"/>
        <c:numFmt formatCode="General" sourceLinked="1"/>
        <c:majorTickMark val="out"/>
        <c:minorTickMark val="none"/>
        <c:tickLblPos val="nextTo"/>
        <c:txPr>
          <a:bodyPr rot="0" vert="horz"/>
          <a:lstStyle/>
          <a:p>
            <a:pPr>
              <a:defRPr/>
            </a:pPr>
            <a:endParaRPr lang="en-US"/>
          </a:p>
        </c:txPr>
        <c:crossAx val="50717824"/>
        <c:crosses val="autoZero"/>
        <c:auto val="1"/>
        <c:lblAlgn val="ctr"/>
        <c:lblOffset val="100"/>
        <c:noMultiLvlLbl val="0"/>
      </c:catAx>
      <c:valAx>
        <c:axId val="50717824"/>
        <c:scaling>
          <c:orientation val="minMax"/>
        </c:scaling>
        <c:delete val="0"/>
        <c:axPos val="l"/>
        <c:majorGridlines>
          <c:spPr>
            <a:ln>
              <a:solidFill>
                <a:schemeClr val="bg1"/>
              </a:solidFill>
            </a:ln>
          </c:spPr>
        </c:majorGridlines>
        <c:numFmt formatCode="#,##0" sourceLinked="1"/>
        <c:majorTickMark val="out"/>
        <c:minorTickMark val="none"/>
        <c:tickLblPos val="nextTo"/>
        <c:txPr>
          <a:bodyPr rot="0" vert="horz"/>
          <a:lstStyle/>
          <a:p>
            <a:pPr>
              <a:defRPr/>
            </a:pPr>
            <a:endParaRPr lang="en-US"/>
          </a:p>
        </c:txPr>
        <c:crossAx val="50711936"/>
        <c:crosses val="autoZero"/>
        <c:crossBetween val="between"/>
      </c:valAx>
    </c:plotArea>
    <c:plotVisOnly val="1"/>
    <c:dispBlanksAs val="gap"/>
    <c:showDLblsOverMax val="0"/>
  </c:chart>
  <c:spPr>
    <a:ln w="19050">
      <a:solidFill>
        <a:srgbClr val="8064A2">
          <a:lumMod val="75000"/>
        </a:srgbClr>
      </a:solidFill>
    </a:ln>
  </c:spPr>
  <c:printSettings>
    <c:headerFooter/>
    <c:pageMargins b="0.75000000000001465" l="0.25" r="0.25" t="0.75000000000001465" header="0.30000000000000032" footer="0.30000000000000032"/>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Non-Marital</a:t>
            </a:r>
            <a:r>
              <a:rPr lang="en-US" sz="1200" baseline="0"/>
              <a:t> </a:t>
            </a:r>
            <a:r>
              <a:rPr lang="en-US" sz="1200"/>
              <a:t>Births, 1998-2013</a:t>
            </a:r>
          </a:p>
        </c:rich>
      </c:tx>
      <c:layout>
        <c:manualLayout>
          <c:xMode val="edge"/>
          <c:yMode val="edge"/>
          <c:x val="0.27221727718817756"/>
          <c:y val="1.6666666666666701E-2"/>
        </c:manualLayout>
      </c:layout>
      <c:overlay val="1"/>
    </c:title>
    <c:autoTitleDeleted val="0"/>
    <c:plotArea>
      <c:layout>
        <c:manualLayout>
          <c:layoutTarget val="inner"/>
          <c:xMode val="edge"/>
          <c:yMode val="edge"/>
          <c:x val="0.13912009250591928"/>
          <c:y val="0.20532280214199244"/>
          <c:w val="0.8329426304229457"/>
          <c:h val="0.5588455818022745"/>
        </c:manualLayout>
      </c:layout>
      <c:lineChart>
        <c:grouping val="standard"/>
        <c:varyColors val="0"/>
        <c:ser>
          <c:idx val="0"/>
          <c:order val="0"/>
          <c:tx>
            <c:strRef>
              <c:f>'Data for Graphs'!$B$2</c:f>
              <c:strCache>
                <c:ptCount val="1"/>
                <c:pt idx="0">
                  <c:v>Accomack</c:v>
                </c:pt>
              </c:strCache>
            </c:strRef>
          </c:tx>
          <c:spPr>
            <a:ln>
              <a:solidFill>
                <a:schemeClr val="accent2"/>
              </a:solidFill>
            </a:ln>
          </c:spPr>
          <c:marker>
            <c:symbol val="none"/>
          </c:marker>
          <c:cat>
            <c:numRef>
              <c:f>'Data for Graphs'!$A$3:$A$18</c:f>
              <c:numCache>
                <c:formatCode>General</c:formatCode>
                <c:ptCount val="1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numCache>
            </c:numRef>
          </c:cat>
          <c:val>
            <c:numRef>
              <c:f>'Data for Graphs'!$B$3:$B$18</c:f>
              <c:numCache>
                <c:formatCode>0%</c:formatCode>
                <c:ptCount val="16"/>
                <c:pt idx="0">
                  <c:v>0.5298329355608592</c:v>
                </c:pt>
                <c:pt idx="1">
                  <c:v>0.51756440281030447</c:v>
                </c:pt>
                <c:pt idx="2">
                  <c:v>0.4946236559139785</c:v>
                </c:pt>
                <c:pt idx="3">
                  <c:v>0.48988764044943822</c:v>
                </c:pt>
                <c:pt idx="4">
                  <c:v>0.54716981132075471</c:v>
                </c:pt>
                <c:pt idx="5">
                  <c:v>0.57236842105263153</c:v>
                </c:pt>
                <c:pt idx="6">
                  <c:v>0.55463917525773199</c:v>
                </c:pt>
                <c:pt idx="7">
                  <c:v>0.59023354564755837</c:v>
                </c:pt>
                <c:pt idx="8">
                  <c:v>0.65638766519823788</c:v>
                </c:pt>
                <c:pt idx="9">
                  <c:v>0.62204724409448819</c:v>
                </c:pt>
                <c:pt idx="10">
                  <c:v>0.61814345991561181</c:v>
                </c:pt>
                <c:pt idx="11">
                  <c:v>0.62383177570093462</c:v>
                </c:pt>
                <c:pt idx="12">
                  <c:v>0.5889145496535797</c:v>
                </c:pt>
                <c:pt idx="13">
                  <c:v>0.57740585774058573</c:v>
                </c:pt>
                <c:pt idx="14">
                  <c:v>0.56060606060606055</c:v>
                </c:pt>
                <c:pt idx="15">
                  <c:v>0.60762942779291551</c:v>
                </c:pt>
              </c:numCache>
            </c:numRef>
          </c:val>
          <c:smooth val="0"/>
        </c:ser>
        <c:ser>
          <c:idx val="2"/>
          <c:order val="1"/>
          <c:tx>
            <c:strRef>
              <c:f>'Data for Graphs'!$C$2</c:f>
              <c:strCache>
                <c:ptCount val="1"/>
                <c:pt idx="0">
                  <c:v>Eastern</c:v>
                </c:pt>
              </c:strCache>
            </c:strRef>
          </c:tx>
          <c:spPr>
            <a:ln>
              <a:solidFill>
                <a:schemeClr val="accent3">
                  <a:lumMod val="50000"/>
                </a:schemeClr>
              </a:solidFill>
              <a:prstDash val="sysDot"/>
            </a:ln>
          </c:spPr>
          <c:marker>
            <c:symbol val="none"/>
          </c:marker>
          <c:cat>
            <c:numRef>
              <c:f>'Data for Graphs'!$A$3:$A$18</c:f>
              <c:numCache>
                <c:formatCode>General</c:formatCode>
                <c:ptCount val="1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numCache>
            </c:numRef>
          </c:cat>
          <c:val>
            <c:numRef>
              <c:f>'Data for Graphs'!$C$3:$C$18</c:f>
              <c:numCache>
                <c:formatCode>0%</c:formatCode>
                <c:ptCount val="16"/>
                <c:pt idx="0">
                  <c:v>0.37341746714360358</c:v>
                </c:pt>
                <c:pt idx="1">
                  <c:v>0.37722880362269035</c:v>
                </c:pt>
                <c:pt idx="2">
                  <c:v>0.37406208040439143</c:v>
                </c:pt>
                <c:pt idx="3">
                  <c:v>0.3923052157115261</c:v>
                </c:pt>
                <c:pt idx="4">
                  <c:v>0.38504755407520364</c:v>
                </c:pt>
                <c:pt idx="5">
                  <c:v>0.37942966233146402</c:v>
                </c:pt>
                <c:pt idx="6">
                  <c:v>0.37898931075437725</c:v>
                </c:pt>
                <c:pt idx="7">
                  <c:v>0.38483135114057321</c:v>
                </c:pt>
                <c:pt idx="8">
                  <c:v>0.39784905228633538</c:v>
                </c:pt>
                <c:pt idx="9">
                  <c:v>0.40717948717948715</c:v>
                </c:pt>
                <c:pt idx="10">
                  <c:v>0.42314872433105166</c:v>
                </c:pt>
                <c:pt idx="11">
                  <c:v>0.42440128678660788</c:v>
                </c:pt>
                <c:pt idx="12">
                  <c:v>0.42288821653446723</c:v>
                </c:pt>
                <c:pt idx="13">
                  <c:v>0.42436647971506941</c:v>
                </c:pt>
                <c:pt idx="14">
                  <c:v>0.42346055560135193</c:v>
                </c:pt>
                <c:pt idx="15">
                  <c:v>0.41242131766680656</c:v>
                </c:pt>
              </c:numCache>
            </c:numRef>
          </c:val>
          <c:smooth val="0"/>
        </c:ser>
        <c:ser>
          <c:idx val="1"/>
          <c:order val="2"/>
          <c:tx>
            <c:strRef>
              <c:f>'Data for Graphs'!$D$2</c:f>
              <c:strCache>
                <c:ptCount val="1"/>
                <c:pt idx="0">
                  <c:v>STATE</c:v>
                </c:pt>
              </c:strCache>
            </c:strRef>
          </c:tx>
          <c:spPr>
            <a:ln>
              <a:solidFill>
                <a:schemeClr val="accent1"/>
              </a:solidFill>
            </a:ln>
          </c:spPr>
          <c:marker>
            <c:symbol val="none"/>
          </c:marker>
          <c:cat>
            <c:numRef>
              <c:f>'Data for Graphs'!$A$3:$A$18</c:f>
              <c:numCache>
                <c:formatCode>General</c:formatCode>
                <c:ptCount val="1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numCache>
            </c:numRef>
          </c:cat>
          <c:val>
            <c:numRef>
              <c:f>'Data for Graphs'!$D$3:$D$18</c:f>
              <c:numCache>
                <c:formatCode>0%</c:formatCode>
                <c:ptCount val="16"/>
                <c:pt idx="0">
                  <c:v>0.2981171770406103</c:v>
                </c:pt>
                <c:pt idx="1">
                  <c:v>0.29729956830905291</c:v>
                </c:pt>
                <c:pt idx="2">
                  <c:v>0.29975521929114746</c:v>
                </c:pt>
                <c:pt idx="3">
                  <c:v>0.303681074991627</c:v>
                </c:pt>
                <c:pt idx="4">
                  <c:v>0.30455988310575904</c:v>
                </c:pt>
                <c:pt idx="5">
                  <c:v>0.3059734887282346</c:v>
                </c:pt>
                <c:pt idx="6">
                  <c:v>0.31002600404507369</c:v>
                </c:pt>
                <c:pt idx="7">
                  <c:v>0.32234323558686168</c:v>
                </c:pt>
                <c:pt idx="8">
                  <c:v>0.34083438210267297</c:v>
                </c:pt>
                <c:pt idx="9">
                  <c:v>0.35309038250458874</c:v>
                </c:pt>
                <c:pt idx="10">
                  <c:v>0.35843232186755242</c:v>
                </c:pt>
                <c:pt idx="11">
                  <c:v>0.35824307718686593</c:v>
                </c:pt>
                <c:pt idx="12">
                  <c:v>0.35490702780422406</c:v>
                </c:pt>
                <c:pt idx="13">
                  <c:v>0.35493782004389174</c:v>
                </c:pt>
                <c:pt idx="14">
                  <c:v>0.35279298907704426</c:v>
                </c:pt>
                <c:pt idx="15">
                  <c:v>0.34604861880620141</c:v>
                </c:pt>
              </c:numCache>
            </c:numRef>
          </c:val>
          <c:smooth val="0"/>
        </c:ser>
        <c:dLbls>
          <c:showLegendKey val="0"/>
          <c:showVal val="0"/>
          <c:showCatName val="0"/>
          <c:showSerName val="0"/>
          <c:showPercent val="0"/>
          <c:showBubbleSize val="0"/>
        </c:dLbls>
        <c:marker val="1"/>
        <c:smooth val="0"/>
        <c:axId val="50838144"/>
        <c:axId val="50844032"/>
      </c:lineChart>
      <c:catAx>
        <c:axId val="50838144"/>
        <c:scaling>
          <c:orientation val="minMax"/>
        </c:scaling>
        <c:delete val="0"/>
        <c:axPos val="b"/>
        <c:numFmt formatCode="General" sourceLinked="1"/>
        <c:majorTickMark val="out"/>
        <c:minorTickMark val="none"/>
        <c:tickLblPos val="nextTo"/>
        <c:txPr>
          <a:bodyPr rot="-2100000"/>
          <a:lstStyle/>
          <a:p>
            <a:pPr>
              <a:defRPr/>
            </a:pPr>
            <a:endParaRPr lang="en-US"/>
          </a:p>
        </c:txPr>
        <c:crossAx val="50844032"/>
        <c:crosses val="autoZero"/>
        <c:auto val="1"/>
        <c:lblAlgn val="ctr"/>
        <c:lblOffset val="100"/>
        <c:tickLblSkip val="1"/>
        <c:noMultiLvlLbl val="0"/>
      </c:catAx>
      <c:valAx>
        <c:axId val="50844032"/>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Percentage</a:t>
                </a:r>
              </a:p>
            </c:rich>
          </c:tx>
          <c:layout>
            <c:manualLayout>
              <c:xMode val="edge"/>
              <c:yMode val="edge"/>
              <c:x val="2.0830962563246429E-3"/>
              <c:y val="0.36937051618548206"/>
            </c:manualLayout>
          </c:layout>
          <c:overlay val="0"/>
        </c:title>
        <c:numFmt formatCode="0%" sourceLinked="1"/>
        <c:majorTickMark val="out"/>
        <c:minorTickMark val="none"/>
        <c:tickLblPos val="nextTo"/>
        <c:crossAx val="50838144"/>
        <c:crosses val="autoZero"/>
        <c:crossBetween val="between"/>
      </c:valAx>
    </c:plotArea>
    <c:legend>
      <c:legendPos val="r"/>
      <c:layout>
        <c:manualLayout>
          <c:xMode val="edge"/>
          <c:yMode val="edge"/>
          <c:x val="7.0718083316509014E-2"/>
          <c:y val="0.12406035932814929"/>
          <c:w val="0.91713672154617021"/>
          <c:h val="8.209098862642171E-2"/>
        </c:manualLayout>
      </c:layout>
      <c:overlay val="0"/>
    </c:legend>
    <c:plotVisOnly val="1"/>
    <c:dispBlanksAs val="gap"/>
    <c:showDLblsOverMax val="0"/>
  </c:chart>
  <c:spPr>
    <a:ln w="15875">
      <a:solidFill>
        <a:schemeClr val="accent1"/>
      </a:solidFill>
    </a:ln>
  </c:spPr>
  <c:printSettings>
    <c:headerFooter/>
    <c:pageMargins b="0.75000000000000688" l="0.70000000000000062" r="0.70000000000000062" t="0.7500000000000068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Teen Birth</a:t>
            </a:r>
            <a:r>
              <a:rPr lang="en-US" sz="1200" baseline="0"/>
              <a:t> Rate</a:t>
            </a:r>
            <a:r>
              <a:rPr lang="en-US" sz="1200"/>
              <a:t>, 1998-2013</a:t>
            </a:r>
          </a:p>
        </c:rich>
      </c:tx>
      <c:layout>
        <c:manualLayout>
          <c:xMode val="edge"/>
          <c:yMode val="edge"/>
          <c:x val="0.29777777777778142"/>
          <c:y val="1.6666666666666701E-2"/>
        </c:manualLayout>
      </c:layout>
      <c:overlay val="1"/>
    </c:title>
    <c:autoTitleDeleted val="0"/>
    <c:plotArea>
      <c:layout>
        <c:manualLayout>
          <c:layoutTarget val="inner"/>
          <c:xMode val="edge"/>
          <c:yMode val="edge"/>
          <c:x val="0.11891808978423152"/>
          <c:y val="0.20532280214199244"/>
          <c:w val="0.85314472054629564"/>
          <c:h val="0.5588455818022745"/>
        </c:manualLayout>
      </c:layout>
      <c:lineChart>
        <c:grouping val="standard"/>
        <c:varyColors val="0"/>
        <c:ser>
          <c:idx val="0"/>
          <c:order val="0"/>
          <c:tx>
            <c:strRef>
              <c:f>'Data for Graphs'!$B$21</c:f>
              <c:strCache>
                <c:ptCount val="1"/>
                <c:pt idx="0">
                  <c:v>Accomack</c:v>
                </c:pt>
              </c:strCache>
            </c:strRef>
          </c:tx>
          <c:spPr>
            <a:ln>
              <a:solidFill>
                <a:schemeClr val="accent2"/>
              </a:solidFill>
            </a:ln>
          </c:spPr>
          <c:marker>
            <c:symbol val="none"/>
          </c:marker>
          <c:cat>
            <c:numRef>
              <c:f>'Data for Graphs'!$A$22:$A$37</c:f>
              <c:numCache>
                <c:formatCode>General</c:formatCode>
                <c:ptCount val="1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numCache>
            </c:numRef>
          </c:cat>
          <c:val>
            <c:numRef>
              <c:f>'Data for Graphs'!$B$22:$B$37</c:f>
              <c:numCache>
                <c:formatCode>0.0</c:formatCode>
                <c:ptCount val="16"/>
                <c:pt idx="0">
                  <c:v>33.483258370814596</c:v>
                </c:pt>
                <c:pt idx="1">
                  <c:v>40.520260130065033</c:v>
                </c:pt>
                <c:pt idx="2">
                  <c:v>34.803723188992308</c:v>
                </c:pt>
                <c:pt idx="3">
                  <c:v>23.668639053254438</c:v>
                </c:pt>
                <c:pt idx="4">
                  <c:v>33.307210031347964</c:v>
                </c:pt>
                <c:pt idx="5">
                  <c:v>33.397312859884835</c:v>
                </c:pt>
                <c:pt idx="6">
                  <c:v>28.974158183241972</c:v>
                </c:pt>
                <c:pt idx="7">
                  <c:v>34.194831013916499</c:v>
                </c:pt>
                <c:pt idx="8">
                  <c:v>32.271241830065364</c:v>
                </c:pt>
                <c:pt idx="9">
                  <c:v>37.663986457892513</c:v>
                </c:pt>
                <c:pt idx="10">
                  <c:v>32.77274687365243</c:v>
                </c:pt>
                <c:pt idx="11">
                  <c:v>21.557413110426747</c:v>
                </c:pt>
                <c:pt idx="12">
                  <c:v>29.168959823885526</c:v>
                </c:pt>
                <c:pt idx="13">
                  <c:v>23.982152816508645</c:v>
                </c:pt>
                <c:pt idx="14">
                  <c:v>18.212862834376779</c:v>
                </c:pt>
                <c:pt idx="15">
                  <c:v>13.248847926267281</c:v>
                </c:pt>
              </c:numCache>
            </c:numRef>
          </c:val>
          <c:smooth val="0"/>
        </c:ser>
        <c:ser>
          <c:idx val="2"/>
          <c:order val="1"/>
          <c:tx>
            <c:strRef>
              <c:f>'Data for Graphs'!$C$21</c:f>
              <c:strCache>
                <c:ptCount val="1"/>
                <c:pt idx="0">
                  <c:v>Eastern</c:v>
                </c:pt>
              </c:strCache>
            </c:strRef>
          </c:tx>
          <c:spPr>
            <a:ln>
              <a:solidFill>
                <a:schemeClr val="accent3">
                  <a:lumMod val="50000"/>
                </a:schemeClr>
              </a:solidFill>
              <a:prstDash val="sysDot"/>
            </a:ln>
          </c:spPr>
          <c:marker>
            <c:symbol val="none"/>
          </c:marker>
          <c:cat>
            <c:numRef>
              <c:f>'Data for Graphs'!$A$22:$A$37</c:f>
              <c:numCache>
                <c:formatCode>General</c:formatCode>
                <c:ptCount val="1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numCache>
            </c:numRef>
          </c:cat>
          <c:val>
            <c:numRef>
              <c:f>'Data for Graphs'!$C$22:$C$37</c:f>
              <c:numCache>
                <c:formatCode>0.0</c:formatCode>
                <c:ptCount val="16"/>
                <c:pt idx="0">
                  <c:v>26.16430374830064</c:v>
                </c:pt>
                <c:pt idx="1">
                  <c:v>25.422437567612867</c:v>
                </c:pt>
                <c:pt idx="2">
                  <c:v>24.942933231881302</c:v>
                </c:pt>
                <c:pt idx="3">
                  <c:v>24.200348308497308</c:v>
                </c:pt>
                <c:pt idx="4">
                  <c:v>23.263812888902788</c:v>
                </c:pt>
                <c:pt idx="5">
                  <c:v>21.303566215447969</c:v>
                </c:pt>
                <c:pt idx="6">
                  <c:v>21.586554001015838</c:v>
                </c:pt>
                <c:pt idx="7">
                  <c:v>21.111042222084446</c:v>
                </c:pt>
                <c:pt idx="8">
                  <c:v>21.461512562932111</c:v>
                </c:pt>
                <c:pt idx="9">
                  <c:v>21.50318710748461</c:v>
                </c:pt>
                <c:pt idx="10">
                  <c:v>20.230346309403437</c:v>
                </c:pt>
                <c:pt idx="11">
                  <c:v>19.306958769150995</c:v>
                </c:pt>
                <c:pt idx="12">
                  <c:v>17.725513398910337</c:v>
                </c:pt>
                <c:pt idx="13">
                  <c:v>15.679046633170904</c:v>
                </c:pt>
                <c:pt idx="14">
                  <c:v>14.462774596119328</c:v>
                </c:pt>
                <c:pt idx="15">
                  <c:v>12.325090549026759</c:v>
                </c:pt>
              </c:numCache>
            </c:numRef>
          </c:val>
          <c:smooth val="0"/>
        </c:ser>
        <c:ser>
          <c:idx val="1"/>
          <c:order val="2"/>
          <c:tx>
            <c:strRef>
              <c:f>'Data for Graphs'!$D$21</c:f>
              <c:strCache>
                <c:ptCount val="1"/>
                <c:pt idx="0">
                  <c:v>STATE</c:v>
                </c:pt>
              </c:strCache>
            </c:strRef>
          </c:tx>
          <c:spPr>
            <a:ln>
              <a:solidFill>
                <a:schemeClr val="accent1"/>
              </a:solidFill>
            </a:ln>
          </c:spPr>
          <c:marker>
            <c:symbol val="none"/>
          </c:marker>
          <c:cat>
            <c:numRef>
              <c:f>'Data for Graphs'!$A$22:$A$37</c:f>
              <c:numCache>
                <c:formatCode>General</c:formatCode>
                <c:ptCount val="1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numCache>
            </c:numRef>
          </c:cat>
          <c:val>
            <c:numRef>
              <c:f>'Data for Graphs'!$D$22:$D$37</c:f>
              <c:numCache>
                <c:formatCode>0.0</c:formatCode>
                <c:ptCount val="16"/>
                <c:pt idx="0">
                  <c:v>21.993094229370861</c:v>
                </c:pt>
                <c:pt idx="1">
                  <c:v>21.672451714894493</c:v>
                </c:pt>
                <c:pt idx="2">
                  <c:v>20.498076279692203</c:v>
                </c:pt>
                <c:pt idx="3">
                  <c:v>19.688543968751606</c:v>
                </c:pt>
                <c:pt idx="4">
                  <c:v>18.674449210372391</c:v>
                </c:pt>
                <c:pt idx="5">
                  <c:v>17.903555881281065</c:v>
                </c:pt>
                <c:pt idx="6">
                  <c:v>17.707166297187989</c:v>
                </c:pt>
                <c:pt idx="7">
                  <c:v>17.591687162315662</c:v>
                </c:pt>
                <c:pt idx="8">
                  <c:v>18.306180625228926</c:v>
                </c:pt>
                <c:pt idx="9">
                  <c:v>18.39683066850121</c:v>
                </c:pt>
                <c:pt idx="10">
                  <c:v>17.690427455734188</c:v>
                </c:pt>
                <c:pt idx="11">
                  <c:v>16.372318054611284</c:v>
                </c:pt>
                <c:pt idx="12">
                  <c:v>14.340618588477803</c:v>
                </c:pt>
                <c:pt idx="13">
                  <c:v>12.702167795404645</c:v>
                </c:pt>
                <c:pt idx="14">
                  <c:v>11.846432840922917</c:v>
                </c:pt>
                <c:pt idx="15">
                  <c:v>10.25553965050911</c:v>
                </c:pt>
              </c:numCache>
            </c:numRef>
          </c:val>
          <c:smooth val="0"/>
        </c:ser>
        <c:dLbls>
          <c:showLegendKey val="0"/>
          <c:showVal val="0"/>
          <c:showCatName val="0"/>
          <c:showSerName val="0"/>
          <c:showPercent val="0"/>
          <c:showBubbleSize val="0"/>
        </c:dLbls>
        <c:marker val="1"/>
        <c:smooth val="0"/>
        <c:axId val="50888704"/>
        <c:axId val="50890624"/>
      </c:lineChart>
      <c:catAx>
        <c:axId val="50888704"/>
        <c:scaling>
          <c:orientation val="minMax"/>
        </c:scaling>
        <c:delete val="0"/>
        <c:axPos val="b"/>
        <c:numFmt formatCode="General" sourceLinked="1"/>
        <c:majorTickMark val="out"/>
        <c:minorTickMark val="none"/>
        <c:tickLblPos val="nextTo"/>
        <c:txPr>
          <a:bodyPr rot="-2100000"/>
          <a:lstStyle/>
          <a:p>
            <a:pPr>
              <a:defRPr/>
            </a:pPr>
            <a:endParaRPr lang="en-US"/>
          </a:p>
        </c:txPr>
        <c:crossAx val="50890624"/>
        <c:crosses val="autoZero"/>
        <c:auto val="1"/>
        <c:lblAlgn val="ctr"/>
        <c:lblOffset val="100"/>
        <c:tickLblSkip val="1"/>
        <c:noMultiLvlLbl val="0"/>
      </c:catAx>
      <c:valAx>
        <c:axId val="50890624"/>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Rate (per 1,000 pop.)</a:t>
                </a:r>
              </a:p>
            </c:rich>
          </c:tx>
          <c:layout>
            <c:manualLayout>
              <c:xMode val="edge"/>
              <c:yMode val="edge"/>
              <c:x val="5.1910993643277123E-3"/>
              <c:y val="0.20270384951881021"/>
            </c:manualLayout>
          </c:layout>
          <c:overlay val="0"/>
        </c:title>
        <c:numFmt formatCode="0" sourceLinked="0"/>
        <c:majorTickMark val="out"/>
        <c:minorTickMark val="none"/>
        <c:tickLblPos val="nextTo"/>
        <c:crossAx val="50888704"/>
        <c:crosses val="autoZero"/>
        <c:crossBetween val="between"/>
      </c:valAx>
    </c:plotArea>
    <c:legend>
      <c:legendPos val="r"/>
      <c:layout>
        <c:manualLayout>
          <c:xMode val="edge"/>
          <c:yMode val="edge"/>
          <c:x val="4.2079967276817683E-2"/>
          <c:y val="0.12406035932814929"/>
          <c:w val="0.94577473270387502"/>
          <c:h val="7.0979877515310569E-2"/>
        </c:manualLayout>
      </c:layout>
      <c:overlay val="0"/>
    </c:legend>
    <c:plotVisOnly val="1"/>
    <c:dispBlanksAs val="gap"/>
    <c:showDLblsOverMax val="0"/>
  </c:chart>
  <c:spPr>
    <a:ln w="15875">
      <a:solidFill>
        <a:schemeClr val="accent1"/>
      </a:solidFill>
    </a:ln>
  </c:spPr>
  <c:printSettings>
    <c:headerFooter/>
    <c:pageMargins b="0.75000000000000711" l="0.70000000000000062" r="0.70000000000000062" t="0.7500000000000071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10.xml.rels><?xml version="1.0" encoding="UTF-8" standalone="yes"?>
<Relationships xmlns="http://schemas.openxmlformats.org/package/2006/relationships"><Relationship Id="rId1" Type="http://schemas.openxmlformats.org/officeDocument/2006/relationships/image" Target="http://dssdw.vita.virginia.gov:80/crn/common/images/filter.gif" TargetMode="Externa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6</xdr:col>
      <xdr:colOff>85725</xdr:colOff>
      <xdr:row>41</xdr:row>
      <xdr:rowOff>38100</xdr:rowOff>
    </xdr:from>
    <xdr:to>
      <xdr:col>13</xdr:col>
      <xdr:colOff>352425</xdr:colOff>
      <xdr:row>55</xdr:row>
      <xdr:rowOff>133350</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304802</xdr:colOff>
      <xdr:row>90</xdr:row>
      <xdr:rowOff>0</xdr:rowOff>
    </xdr:from>
    <xdr:to>
      <xdr:col>9</xdr:col>
      <xdr:colOff>638175</xdr:colOff>
      <xdr:row>102</xdr:row>
      <xdr:rowOff>85724</xdr:rowOff>
    </xdr:to>
    <xdr:graphicFrame macro="">
      <xdr:nvGraphicFramePr>
        <xdr:cNvPr id="102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66675</xdr:colOff>
      <xdr:row>24</xdr:row>
      <xdr:rowOff>142875</xdr:rowOff>
    </xdr:from>
    <xdr:to>
      <xdr:col>13</xdr:col>
      <xdr:colOff>676275</xdr:colOff>
      <xdr:row>40</xdr:row>
      <xdr:rowOff>123825</xdr:rowOff>
    </xdr:to>
    <xdr:graphicFrame macro="">
      <xdr:nvGraphicFramePr>
        <xdr:cNvPr id="10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149</xdr:row>
      <xdr:rowOff>161925</xdr:rowOff>
    </xdr:from>
    <xdr:to>
      <xdr:col>5</xdr:col>
      <xdr:colOff>485775</xdr:colOff>
      <xdr:row>161</xdr:row>
      <xdr:rowOff>66675</xdr:rowOff>
    </xdr:to>
    <xdr:graphicFrame macro="">
      <xdr:nvGraphicFramePr>
        <xdr:cNvPr id="102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137</xdr:row>
      <xdr:rowOff>123825</xdr:rowOff>
    </xdr:from>
    <xdr:to>
      <xdr:col>5</xdr:col>
      <xdr:colOff>504825</xdr:colOff>
      <xdr:row>148</xdr:row>
      <xdr:rowOff>152400</xdr:rowOff>
    </xdr:to>
    <xdr:graphicFrame macro="">
      <xdr:nvGraphicFramePr>
        <xdr:cNvPr id="103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11</xdr:row>
      <xdr:rowOff>19050</xdr:rowOff>
    </xdr:from>
    <xdr:to>
      <xdr:col>9</xdr:col>
      <xdr:colOff>0</xdr:colOff>
      <xdr:row>13</xdr:row>
      <xdr:rowOff>152400</xdr:rowOff>
    </xdr:to>
    <xdr:sp macro="" textlink="">
      <xdr:nvSpPr>
        <xdr:cNvPr id="24" name="Rounded Rectangle 23"/>
        <xdr:cNvSpPr/>
      </xdr:nvSpPr>
      <xdr:spPr>
        <a:xfrm>
          <a:off x="4933950" y="1762125"/>
          <a:ext cx="6667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17</xdr:row>
      <xdr:rowOff>19050</xdr:rowOff>
    </xdr:from>
    <xdr:to>
      <xdr:col>8</xdr:col>
      <xdr:colOff>666750</xdr:colOff>
      <xdr:row>19</xdr:row>
      <xdr:rowOff>152400</xdr:rowOff>
    </xdr:to>
    <xdr:sp macro="" textlink="">
      <xdr:nvSpPr>
        <xdr:cNvPr id="29" name="Rounded Rectangle 28"/>
        <xdr:cNvSpPr/>
      </xdr:nvSpPr>
      <xdr:spPr>
        <a:xfrm>
          <a:off x="4914900" y="2790825"/>
          <a:ext cx="6667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14</xdr:row>
      <xdr:rowOff>19050</xdr:rowOff>
    </xdr:from>
    <xdr:to>
      <xdr:col>8</xdr:col>
      <xdr:colOff>666750</xdr:colOff>
      <xdr:row>16</xdr:row>
      <xdr:rowOff>152400</xdr:rowOff>
    </xdr:to>
    <xdr:sp macro="" textlink="">
      <xdr:nvSpPr>
        <xdr:cNvPr id="31" name="Rounded Rectangle 30"/>
        <xdr:cNvSpPr/>
      </xdr:nvSpPr>
      <xdr:spPr>
        <a:xfrm>
          <a:off x="4914900" y="2790825"/>
          <a:ext cx="6667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20</xdr:row>
      <xdr:rowOff>19050</xdr:rowOff>
    </xdr:from>
    <xdr:to>
      <xdr:col>8</xdr:col>
      <xdr:colOff>666750</xdr:colOff>
      <xdr:row>22</xdr:row>
      <xdr:rowOff>152400</xdr:rowOff>
    </xdr:to>
    <xdr:sp macro="" textlink="">
      <xdr:nvSpPr>
        <xdr:cNvPr id="32" name="Rounded Rectangle 31"/>
        <xdr:cNvSpPr/>
      </xdr:nvSpPr>
      <xdr:spPr>
        <a:xfrm>
          <a:off x="4914900" y="2790825"/>
          <a:ext cx="6667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19050</xdr:colOff>
      <xdr:row>162</xdr:row>
      <xdr:rowOff>28575</xdr:rowOff>
    </xdr:from>
    <xdr:to>
      <xdr:col>3</xdr:col>
      <xdr:colOff>666750</xdr:colOff>
      <xdr:row>165</xdr:row>
      <xdr:rowOff>152400</xdr:rowOff>
    </xdr:to>
    <xdr:sp macro="" textlink="$M$160">
      <xdr:nvSpPr>
        <xdr:cNvPr id="11" name="Rounded Rectangle 10"/>
        <xdr:cNvSpPr/>
      </xdr:nvSpPr>
      <xdr:spPr>
        <a:xfrm>
          <a:off x="95250" y="221742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F0BD96E8-E6C8-4F1A-AEE8-8C7C3D486110}" type="TxLink">
            <a:rPr lang="en-US" sz="1600" b="1" i="0" u="none" strike="noStrike">
              <a:solidFill>
                <a:srgbClr val="FF0000"/>
              </a:solidFill>
              <a:latin typeface="Cambriaew Roman"/>
            </a:rPr>
            <a:pPr algn="ctr"/>
            <a:t>$64,983,676</a:t>
          </a:fld>
          <a:endParaRPr lang="en-US" sz="1600" b="1"/>
        </a:p>
      </xdr:txBody>
    </xdr:sp>
    <xdr:clientData/>
  </xdr:twoCellAnchor>
  <xdr:twoCellAnchor>
    <xdr:from>
      <xdr:col>5</xdr:col>
      <xdr:colOff>666750</xdr:colOff>
      <xdr:row>162</xdr:row>
      <xdr:rowOff>38100</xdr:rowOff>
    </xdr:from>
    <xdr:to>
      <xdr:col>8</xdr:col>
      <xdr:colOff>666750</xdr:colOff>
      <xdr:row>165</xdr:row>
      <xdr:rowOff>161925</xdr:rowOff>
    </xdr:to>
    <xdr:sp macro="" textlink="$L$160">
      <xdr:nvSpPr>
        <xdr:cNvPr id="37" name="Rounded Rectangle 36"/>
        <xdr:cNvSpPr/>
      </xdr:nvSpPr>
      <xdr:spPr>
        <a:xfrm>
          <a:off x="3524250" y="272796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6E64D973-77A5-4A49-B64A-D205048FC130}" type="TxLink">
            <a:rPr lang="en-US" sz="1600" b="1" i="0" u="none" strike="noStrike">
              <a:solidFill>
                <a:srgbClr val="000000"/>
              </a:solidFill>
              <a:latin typeface="Cambriaew Roman"/>
            </a:rPr>
            <a:pPr algn="ctr"/>
            <a:t>$1,033,894</a:t>
          </a:fld>
          <a:endParaRPr lang="en-US" sz="1600" b="1"/>
        </a:p>
      </xdr:txBody>
    </xdr:sp>
    <xdr:clientData/>
  </xdr:twoCellAnchor>
  <xdr:twoCellAnchor>
    <xdr:from>
      <xdr:col>9</xdr:col>
      <xdr:colOff>723900</xdr:colOff>
      <xdr:row>90</xdr:row>
      <xdr:rowOff>19050</xdr:rowOff>
    </xdr:from>
    <xdr:to>
      <xdr:col>13</xdr:col>
      <xdr:colOff>476249</xdr:colOff>
      <xdr:row>102</xdr:row>
      <xdr:rowOff>104774</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47625</xdr:colOff>
      <xdr:row>90</xdr:row>
      <xdr:rowOff>0</xdr:rowOff>
    </xdr:from>
    <xdr:to>
      <xdr:col>5</xdr:col>
      <xdr:colOff>190500</xdr:colOff>
      <xdr:row>102</xdr:row>
      <xdr:rowOff>85724</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38100</xdr:colOff>
      <xdr:row>64</xdr:row>
      <xdr:rowOff>19050</xdr:rowOff>
    </xdr:from>
    <xdr:to>
      <xdr:col>7</xdr:col>
      <xdr:colOff>266700</xdr:colOff>
      <xdr:row>76</xdr:row>
      <xdr:rowOff>133350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314326</xdr:colOff>
      <xdr:row>64</xdr:row>
      <xdr:rowOff>19050</xdr:rowOff>
    </xdr:from>
    <xdr:to>
      <xdr:col>13</xdr:col>
      <xdr:colOff>552451</xdr:colOff>
      <xdr:row>76</xdr:row>
      <xdr:rowOff>133350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704850</xdr:colOff>
      <xdr:row>55</xdr:row>
      <xdr:rowOff>171450</xdr:rowOff>
    </xdr:from>
    <xdr:to>
      <xdr:col>13</xdr:col>
      <xdr:colOff>19050</xdr:colOff>
      <xdr:row>58</xdr:row>
      <xdr:rowOff>9525</xdr:rowOff>
    </xdr:to>
    <xdr:sp macro="" textlink="">
      <xdr:nvSpPr>
        <xdr:cNvPr id="23" name="Rounded Rectangle 22"/>
        <xdr:cNvSpPr/>
      </xdr:nvSpPr>
      <xdr:spPr>
        <a:xfrm>
          <a:off x="7677150" y="9458325"/>
          <a:ext cx="733425"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solidFill>
              <a:schemeClr val="tx2"/>
            </a:solidFill>
          </a:endParaRPr>
        </a:p>
      </xdr:txBody>
    </xdr:sp>
    <xdr:clientData/>
  </xdr:twoCellAnchor>
  <xdr:twoCellAnchor>
    <xdr:from>
      <xdr:col>11</xdr:col>
      <xdr:colOff>247650</xdr:colOff>
      <xdr:row>78</xdr:row>
      <xdr:rowOff>19050</xdr:rowOff>
    </xdr:from>
    <xdr:to>
      <xdr:col>12</xdr:col>
      <xdr:colOff>400050</xdr:colOff>
      <xdr:row>80</xdr:row>
      <xdr:rowOff>152400</xdr:rowOff>
    </xdr:to>
    <xdr:sp macro="" textlink="">
      <xdr:nvSpPr>
        <xdr:cNvPr id="20" name="Rounded Rectangle 19"/>
        <xdr:cNvSpPr/>
      </xdr:nvSpPr>
      <xdr:spPr>
        <a:xfrm>
          <a:off x="9715500" y="13544550"/>
          <a:ext cx="914400"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152400</xdr:colOff>
      <xdr:row>0</xdr:row>
      <xdr:rowOff>152400</xdr:rowOff>
    </xdr:to>
    <xdr:pic>
      <xdr:nvPicPr>
        <xdr:cNvPr id="929793" name="Picture 1" descr="http://dssdw.vita.virginia.gov:80/crn/common/images/filter.gif"/>
        <xdr:cNvPicPr>
          <a:picLocks noChangeAspect="1" noChangeArrowheads="1"/>
        </xdr:cNvPicPr>
      </xdr:nvPicPr>
      <xdr:blipFill>
        <a:blip xmlns:r="http://schemas.openxmlformats.org/officeDocument/2006/relationships" r:link="rId1" cstate="print">
          <a:extLst>
            <a:ext uri="{28A0092B-C50C-407E-A947-70E740481C1C}">
              <a14:useLocalDpi xmlns:a14="http://schemas.microsoft.com/office/drawing/2010/main" val="0"/>
            </a:ext>
          </a:extLst>
        </a:blip>
        <a:srcRect/>
        <a:stretch>
          <a:fillRect/>
        </a:stretch>
      </xdr:blipFill>
      <xdr:spPr bwMode="auto">
        <a:xfrm>
          <a:off x="34290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0.0361</cdr:x>
      <cdr:y>0.88889</cdr:y>
    </cdr:from>
    <cdr:to>
      <cdr:x>0.98996</cdr:x>
      <cdr:y>0.97956</cdr:y>
    </cdr:to>
    <cdr:sp macro="" textlink="">
      <cdr:nvSpPr>
        <cdr:cNvPr id="3" name="TextBox 2"/>
        <cdr:cNvSpPr txBox="1"/>
      </cdr:nvSpPr>
      <cdr:spPr>
        <a:xfrm xmlns:a="http://schemas.openxmlformats.org/drawingml/2006/main">
          <a:off x="171239" y="2133600"/>
          <a:ext cx="4524586" cy="217646"/>
        </a:xfrm>
        <a:prstGeom xmlns:a="http://schemas.openxmlformats.org/drawingml/2006/main" prst="rect">
          <a:avLst/>
        </a:prstGeom>
      </cdr:spPr>
      <cdr:txBody>
        <a:bodyPr xmlns:a="http://schemas.openxmlformats.org/drawingml/2006/main" vertOverflow="clip" horzOverflow="clip" wrap="square" lIns="0" tIns="0" rIns="0" bIns="0" rtlCol="0" anchor="t" anchorCtr="0"/>
        <a:lstStyle xmlns:a="http://schemas.openxmlformats.org/drawingml/2006/main"/>
        <a:p xmlns:a="http://schemas.openxmlformats.org/drawingml/2006/main">
          <a:r>
            <a:rPr lang="en-US" sz="800">
              <a:latin typeface="+mj-lt"/>
              <a:cs typeface="Arial" pitchFamily="34" charset="0"/>
            </a:rPr>
            <a:t>Source: Virginia Employment Commission. Rates are</a:t>
          </a:r>
          <a:r>
            <a:rPr lang="en-US" sz="800" baseline="0">
              <a:latin typeface="+mj-lt"/>
              <a:cs typeface="Arial" pitchFamily="34" charset="0"/>
            </a:rPr>
            <a:t> for  each calendar year. </a:t>
          </a:r>
          <a:r>
            <a:rPr lang="en-US" sz="800">
              <a:latin typeface="+mj-lt"/>
              <a:cs typeface="Arial" pitchFamily="34" charset="0"/>
            </a:rPr>
            <a:t>Rates are not seasonally</a:t>
          </a:r>
          <a:r>
            <a:rPr lang="en-US" sz="800" baseline="0">
              <a:latin typeface="+mj-lt"/>
              <a:cs typeface="Arial" pitchFamily="34" charset="0"/>
            </a:rPr>
            <a:t> adjusted. </a:t>
          </a:r>
        </a:p>
        <a:p xmlns:a="http://schemas.openxmlformats.org/drawingml/2006/main">
          <a:r>
            <a:rPr lang="en-US" sz="800" baseline="0">
              <a:latin typeface="+mj-lt"/>
              <a:cs typeface="Arial" pitchFamily="34" charset="0"/>
            </a:rPr>
            <a:t>	</a:t>
          </a:r>
          <a:endParaRPr lang="en-US" sz="800">
            <a:latin typeface="+mj-lt"/>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0.00829</cdr:x>
      <cdr:y>0.84753</cdr:y>
    </cdr:from>
    <cdr:to>
      <cdr:x>0.9625</cdr:x>
      <cdr:y>1</cdr:y>
    </cdr:to>
    <cdr:sp macro="" textlink="">
      <cdr:nvSpPr>
        <cdr:cNvPr id="2" name="TextBox 1"/>
        <cdr:cNvSpPr txBox="1"/>
      </cdr:nvSpPr>
      <cdr:spPr>
        <a:xfrm xmlns:a="http://schemas.openxmlformats.org/drawingml/2006/main">
          <a:off x="25270" y="1864807"/>
          <a:ext cx="2908430" cy="3354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a:latin typeface="Arial" pitchFamily="34" charset="0"/>
              <a:cs typeface="Arial" pitchFamily="34" charset="0"/>
            </a:rPr>
            <a:t>Source: Benefit Programs, ADAPT</a:t>
          </a:r>
          <a:r>
            <a:rPr lang="en-US" sz="700" baseline="0">
              <a:latin typeface="Arial" pitchFamily="34" charset="0"/>
              <a:cs typeface="Arial" pitchFamily="34" charset="0"/>
            </a:rPr>
            <a:t> (Data Warehouse, Client Cross-</a:t>
          </a:r>
        </a:p>
        <a:p xmlns:a="http://schemas.openxmlformats.org/drawingml/2006/main">
          <a:r>
            <a:rPr lang="en-US" sz="700" baseline="0">
              <a:latin typeface="Arial" pitchFamily="34" charset="0"/>
              <a:cs typeface="Arial" pitchFamily="34" charset="0"/>
            </a:rPr>
            <a:t>Program Locality Yearly Analysis</a:t>
          </a:r>
          <a:r>
            <a:rPr lang="en-US" sz="700">
              <a:latin typeface="Arial" pitchFamily="34" charset="0"/>
              <a:cs typeface="Arial" pitchFamily="34" charset="0"/>
            </a:rPr>
            <a:t>)</a:t>
          </a:r>
          <a:r>
            <a:rPr lang="en-US" sz="700" baseline="0">
              <a:latin typeface="Arial" pitchFamily="34" charset="0"/>
              <a:cs typeface="Arial" pitchFamily="34" charset="0"/>
            </a:rPr>
            <a:t>. </a:t>
          </a:r>
          <a:endParaRPr lang="en-US" sz="7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0.06118</cdr:x>
      <cdr:y>0.88686</cdr:y>
    </cdr:from>
    <cdr:to>
      <cdr:x>0.99335</cdr:x>
      <cdr:y>1</cdr:y>
    </cdr:to>
    <cdr:sp macro="" textlink="">
      <cdr:nvSpPr>
        <cdr:cNvPr id="2" name="TextBox 1"/>
        <cdr:cNvSpPr txBox="1"/>
      </cdr:nvSpPr>
      <cdr:spPr>
        <a:xfrm xmlns:a="http://schemas.openxmlformats.org/drawingml/2006/main">
          <a:off x="262816" y="2314575"/>
          <a:ext cx="4004385" cy="2952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0.03107</cdr:x>
      <cdr:y>0.93073</cdr:y>
    </cdr:from>
    <cdr:to>
      <cdr:x>0.94664</cdr:x>
      <cdr:y>0.99584</cdr:y>
    </cdr:to>
    <cdr:sp macro="" textlink="">
      <cdr:nvSpPr>
        <cdr:cNvPr id="3" name="TextBox 2"/>
        <cdr:cNvSpPr txBox="1"/>
      </cdr:nvSpPr>
      <cdr:spPr>
        <a:xfrm xmlns:a="http://schemas.openxmlformats.org/drawingml/2006/main">
          <a:off x="126091" y="2411324"/>
          <a:ext cx="3715062" cy="168687"/>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US" sz="700">
              <a:latin typeface="Arial" pitchFamily="34" charset="0"/>
              <a:cs typeface="Arial" pitchFamily="34" charset="0"/>
            </a:rPr>
            <a:t>Source:</a:t>
          </a:r>
          <a:r>
            <a:rPr lang="en-US" sz="700" baseline="0">
              <a:latin typeface="Arial" pitchFamily="34" charset="0"/>
              <a:cs typeface="Arial" pitchFamily="34" charset="0"/>
            </a:rPr>
            <a:t> U.S. Census Bureau, Small Area Income and </a:t>
          </a:r>
          <a:r>
            <a:rPr lang="en-US" sz="700" baseline="0">
              <a:latin typeface="+mj-lt"/>
              <a:cs typeface="Arial" pitchFamily="34" charset="0"/>
            </a:rPr>
            <a:t>Poverty</a:t>
          </a:r>
          <a:r>
            <a:rPr lang="en-US" sz="700" baseline="0">
              <a:latin typeface="Arial" pitchFamily="34" charset="0"/>
              <a:cs typeface="Arial" pitchFamily="34" charset="0"/>
            </a:rPr>
            <a:t> Estimates (SAIPE).</a:t>
          </a:r>
          <a:endParaRPr lang="en-US" sz="7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0.00829</cdr:x>
      <cdr:y>0.84753</cdr:y>
    </cdr:from>
    <cdr:to>
      <cdr:x>0.9625</cdr:x>
      <cdr:y>1</cdr:y>
    </cdr:to>
    <cdr:sp macro="" textlink="">
      <cdr:nvSpPr>
        <cdr:cNvPr id="2" name="TextBox 1"/>
        <cdr:cNvSpPr txBox="1"/>
      </cdr:nvSpPr>
      <cdr:spPr>
        <a:xfrm xmlns:a="http://schemas.openxmlformats.org/drawingml/2006/main">
          <a:off x="25270" y="1864807"/>
          <a:ext cx="2908430" cy="3354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00">
              <a:latin typeface="Arial" pitchFamily="34" charset="0"/>
              <a:cs typeface="Arial" pitchFamily="34" charset="0"/>
            </a:rPr>
            <a:t>Source: Benefit Programs, ADAPT</a:t>
          </a:r>
          <a:r>
            <a:rPr lang="en-US" sz="700" baseline="0">
              <a:latin typeface="Arial" pitchFamily="34" charset="0"/>
              <a:cs typeface="Arial" pitchFamily="34" charset="0"/>
            </a:rPr>
            <a:t> (Data Warehouse, Client Cross-</a:t>
          </a:r>
        </a:p>
        <a:p xmlns:a="http://schemas.openxmlformats.org/drawingml/2006/main">
          <a:r>
            <a:rPr lang="en-US" sz="700" baseline="0">
              <a:latin typeface="Arial" pitchFamily="34" charset="0"/>
              <a:cs typeface="Arial" pitchFamily="34" charset="0"/>
            </a:rPr>
            <a:t>Program Locality Yearly Analysis</a:t>
          </a:r>
          <a:r>
            <a:rPr lang="en-US" sz="700">
              <a:latin typeface="Arial" pitchFamily="34" charset="0"/>
              <a:cs typeface="Arial" pitchFamily="34" charset="0"/>
            </a:rPr>
            <a:t>)</a:t>
          </a:r>
          <a:r>
            <a:rPr lang="en-US" sz="700" baseline="0">
              <a:latin typeface="Arial" pitchFamily="34" charset="0"/>
              <a:cs typeface="Arial" pitchFamily="34" charset="0"/>
            </a:rPr>
            <a:t>. </a:t>
          </a:r>
          <a:endParaRPr lang="en-US" sz="7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0.00829</cdr:x>
      <cdr:y>0.84753</cdr:y>
    </cdr:from>
    <cdr:to>
      <cdr:x>0.97183</cdr:x>
      <cdr:y>1</cdr:y>
    </cdr:to>
    <cdr:sp macro="" textlink="">
      <cdr:nvSpPr>
        <cdr:cNvPr id="2" name="TextBox 1"/>
        <cdr:cNvSpPr txBox="1"/>
      </cdr:nvSpPr>
      <cdr:spPr>
        <a:xfrm xmlns:a="http://schemas.openxmlformats.org/drawingml/2006/main">
          <a:off x="22425" y="1816362"/>
          <a:ext cx="2606475" cy="32676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700">
              <a:latin typeface="Arial" pitchFamily="34" charset="0"/>
              <a:cs typeface="Arial" pitchFamily="34" charset="0"/>
            </a:rPr>
            <a:t>Source: Benefit Programs, ADAPT</a:t>
          </a:r>
          <a:r>
            <a:rPr lang="en-US" sz="700" baseline="0">
              <a:latin typeface="Arial" pitchFamily="34" charset="0"/>
              <a:cs typeface="Arial" pitchFamily="34" charset="0"/>
            </a:rPr>
            <a:t> (Data Warehouse, Client Cross-</a:t>
          </a:r>
        </a:p>
        <a:p xmlns:a="http://schemas.openxmlformats.org/drawingml/2006/main">
          <a:pPr algn="l"/>
          <a:r>
            <a:rPr lang="en-US" sz="700" baseline="0">
              <a:latin typeface="Arial" pitchFamily="34" charset="0"/>
              <a:cs typeface="Arial" pitchFamily="34" charset="0"/>
            </a:rPr>
            <a:t>Program Locality Yearly Analysis</a:t>
          </a:r>
          <a:r>
            <a:rPr lang="en-US" sz="700">
              <a:latin typeface="Arial" pitchFamily="34" charset="0"/>
              <a:cs typeface="Arial" pitchFamily="34" charset="0"/>
            </a:rPr>
            <a:t>)</a:t>
          </a:r>
          <a:r>
            <a:rPr lang="en-US" sz="700" baseline="0">
              <a:latin typeface="Arial" pitchFamily="34" charset="0"/>
              <a:cs typeface="Arial" pitchFamily="34" charset="0"/>
            </a:rPr>
            <a:t>. </a:t>
          </a:r>
          <a:endParaRPr lang="en-US" sz="7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15-44 years.</a:t>
          </a:r>
          <a:endParaRPr lang="en-US" sz="800"/>
        </a:p>
      </cdr:txBody>
    </cdr:sp>
  </cdr:relSizeAnchor>
</c:userShapes>
</file>

<file path=xl/drawings/drawing8.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10-19 years.</a:t>
          </a:r>
          <a:endParaRPr lang="en-US" sz="800"/>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85725</xdr:colOff>
      <xdr:row>2</xdr:row>
      <xdr:rowOff>85725</xdr:rowOff>
    </xdr:from>
    <xdr:to>
      <xdr:col>4</xdr:col>
      <xdr:colOff>542925</xdr:colOff>
      <xdr:row>13</xdr:row>
      <xdr:rowOff>161925</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14</xdr:row>
      <xdr:rowOff>47624</xdr:rowOff>
    </xdr:from>
    <xdr:to>
      <xdr:col>4</xdr:col>
      <xdr:colOff>533400</xdr:colOff>
      <xdr:row>25</xdr:row>
      <xdr:rowOff>76199</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26</xdr:row>
      <xdr:rowOff>28575</xdr:rowOff>
    </xdr:from>
    <xdr:to>
      <xdr:col>2</xdr:col>
      <xdr:colOff>666750</xdr:colOff>
      <xdr:row>29</xdr:row>
      <xdr:rowOff>152400</xdr:rowOff>
    </xdr:to>
    <xdr:sp macro="" textlink="$L$24">
      <xdr:nvSpPr>
        <xdr:cNvPr id="4" name="Rounded Rectangle 3"/>
        <xdr:cNvSpPr/>
      </xdr:nvSpPr>
      <xdr:spPr>
        <a:xfrm>
          <a:off x="95250" y="27270075"/>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4DF10B21-1497-4A82-834F-CF2F964EB970}" type="TxLink">
            <a:rPr lang="en-US" sz="1600" b="1" i="0" u="none" strike="noStrike">
              <a:solidFill>
                <a:srgbClr val="FF0000"/>
              </a:solidFill>
              <a:latin typeface="+mn-lt"/>
              <a:cs typeface="Times New Roman"/>
            </a:rPr>
            <a:pPr algn="ctr"/>
            <a:t>$10,334,160,212</a:t>
          </a:fld>
          <a:endParaRPr lang="en-US" sz="1600" b="1">
            <a:latin typeface="+mn-lt"/>
          </a:endParaRPr>
        </a:p>
      </xdr:txBody>
    </xdr:sp>
    <xdr:clientData/>
  </xdr:twoCellAnchor>
  <xdr:twoCellAnchor>
    <xdr:from>
      <xdr:col>4</xdr:col>
      <xdr:colOff>666750</xdr:colOff>
      <xdr:row>26</xdr:row>
      <xdr:rowOff>38100</xdr:rowOff>
    </xdr:from>
    <xdr:to>
      <xdr:col>7</xdr:col>
      <xdr:colOff>666750</xdr:colOff>
      <xdr:row>29</xdr:row>
      <xdr:rowOff>161925</xdr:rowOff>
    </xdr:to>
    <xdr:sp macro="" textlink="$K$24">
      <xdr:nvSpPr>
        <xdr:cNvPr id="5" name="Rounded Rectangle 4"/>
        <xdr:cNvSpPr/>
      </xdr:nvSpPr>
      <xdr:spPr>
        <a:xfrm>
          <a:off x="3524250" y="27279600"/>
          <a:ext cx="2057400" cy="638175"/>
        </a:xfrm>
        <a:prstGeom prst="roundRect">
          <a:avLst/>
        </a:prstGeom>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C31A062B-EC35-4B52-AF38-2D995E6EEFD6}" type="TxLink">
            <a:rPr lang="en-US" sz="1600" b="1" i="0" u="none" strike="noStrike">
              <a:solidFill>
                <a:srgbClr val="000000"/>
              </a:solidFill>
              <a:latin typeface="+mn-lt"/>
              <a:cs typeface="Times New Roman"/>
            </a:rPr>
            <a:pPr algn="ctr"/>
            <a:t>$400,588,716</a:t>
          </a:fld>
          <a:endParaRPr lang="en-US" sz="1600" b="1">
            <a:latin typeface="+mn-l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ategy_Management/Local%20Departments,%20Data/Profiles/Profile%20Report%202012/2012%20Local%20DSS%20Agency%20Profile%20Report%202012_05_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Agency Level"/>
      <sheetName val="HR Policy"/>
      <sheetName val="IT Support"/>
      <sheetName val="Board Type"/>
      <sheetName val="2010 Population"/>
      <sheetName val="Hispanic Population"/>
      <sheetName val="Unemployment 2001-2011"/>
      <sheetName val="Poverty 1998-2010"/>
      <sheetName val="SNAP Demographics 2011"/>
      <sheetName val="TANF DEMOGRAPHICS 2011"/>
      <sheetName val="SNAP Clients by SFY"/>
      <sheetName val="TANF Clients by SFY"/>
      <sheetName val="Medicaid 2011"/>
      <sheetName val="Adoption Child by Race"/>
      <sheetName val="CPS Referrals by Race 2011"/>
      <sheetName val="Compare Recipients Census Med"/>
      <sheetName val="Compare Recipients Census SNAP"/>
      <sheetName val="Compare Recipients Census TANF"/>
      <sheetName val="Adoption Counts Summed SFY 2010"/>
      <sheetName val="Foster Care Children Race-2011"/>
      <sheetName val="CPS Ref Child Demo 2010 (2)"/>
      <sheetName val="Eligibililty Staff LASER-2011"/>
      <sheetName val="Services Staff LASER 2011"/>
      <sheetName val="Other Exp. LASER 2011"/>
      <sheetName val="Services for Clients LASER 2011"/>
      <sheetName val="Medicaid &amp; FAMIS - LASER 2011"/>
      <sheetName val="SNAP - LASER 2011"/>
      <sheetName val="FC &amp; Adoptions LASER 2011"/>
      <sheetName val="LIHEAP LASER 2011"/>
      <sheetName val="TANF LASER 2011"/>
      <sheetName val="Other Benefits LASER 2011"/>
      <sheetName val="Benefits Spending Summary"/>
      <sheetName val="Position_Mar2012"/>
      <sheetName val="Medicaid Clients"/>
      <sheetName val="Children in Single-Parent Homes"/>
      <sheetName val="Non-marital births"/>
      <sheetName val="Cohabiting Couples"/>
      <sheetName val="SNAP Participation Rate"/>
      <sheetName val="Children in Foster Care"/>
      <sheetName val="Children in CPS Investigations"/>
      <sheetName val="Abuse and Neglect by Locality"/>
      <sheetName val="Locality Name"/>
      <sheetName val="Password"/>
      <sheetName val="AG Master"/>
      <sheetName val="APS Master"/>
    </sheetNames>
    <sheetDataSet>
      <sheetData sheetId="0"/>
      <sheetData sheetId="1"/>
      <sheetData sheetId="2"/>
      <sheetData sheetId="3"/>
      <sheetData sheetId="4"/>
      <sheetData sheetId="5"/>
      <sheetData sheetId="6"/>
      <sheetData sheetId="7"/>
      <sheetData sheetId="8"/>
      <sheetData sheetId="9">
        <row r="6">
          <cell r="A6" t="str">
            <v>001</v>
          </cell>
          <cell r="B6" t="str">
            <v>Accomack</v>
          </cell>
          <cell r="C6">
            <v>5384</v>
          </cell>
          <cell r="D6">
            <v>2692</v>
          </cell>
          <cell r="E6">
            <v>2470</v>
          </cell>
          <cell r="F6">
            <v>222</v>
          </cell>
          <cell r="G6">
            <v>3978</v>
          </cell>
          <cell r="H6">
            <v>1992</v>
          </cell>
          <cell r="I6">
            <v>1898</v>
          </cell>
          <cell r="J6">
            <v>88</v>
          </cell>
          <cell r="K6">
            <v>9362</v>
          </cell>
        </row>
        <row r="7">
          <cell r="A7" t="str">
            <v>003</v>
          </cell>
          <cell r="B7" t="str">
            <v>Albemarle</v>
          </cell>
          <cell r="C7">
            <v>5829</v>
          </cell>
          <cell r="D7">
            <v>2981</v>
          </cell>
          <cell r="E7">
            <v>1544</v>
          </cell>
          <cell r="F7">
            <v>1304</v>
          </cell>
          <cell r="G7">
            <v>4102</v>
          </cell>
          <cell r="H7">
            <v>1817</v>
          </cell>
          <cell r="I7">
            <v>1232</v>
          </cell>
          <cell r="J7">
            <v>1053</v>
          </cell>
          <cell r="K7">
            <v>9931</v>
          </cell>
        </row>
        <row r="8">
          <cell r="A8" t="str">
            <v>005</v>
          </cell>
          <cell r="B8" t="str">
            <v>Alleghany/Covington</v>
          </cell>
          <cell r="C8">
            <v>3013</v>
          </cell>
          <cell r="D8">
            <v>2600</v>
          </cell>
          <cell r="E8">
            <v>331</v>
          </cell>
          <cell r="F8">
            <v>82</v>
          </cell>
          <cell r="G8">
            <v>1974</v>
          </cell>
          <cell r="H8">
            <v>1572</v>
          </cell>
          <cell r="I8">
            <v>208</v>
          </cell>
          <cell r="J8">
            <v>194</v>
          </cell>
          <cell r="K8">
            <v>4987</v>
          </cell>
        </row>
        <row r="9">
          <cell r="A9" t="str">
            <v>007</v>
          </cell>
          <cell r="B9" t="str">
            <v>Amelia</v>
          </cell>
          <cell r="C9">
            <v>1825</v>
          </cell>
          <cell r="D9">
            <v>1091</v>
          </cell>
          <cell r="E9">
            <v>658</v>
          </cell>
          <cell r="F9">
            <v>76</v>
          </cell>
          <cell r="G9">
            <v>1103</v>
          </cell>
          <cell r="H9">
            <v>660</v>
          </cell>
          <cell r="I9">
            <v>372</v>
          </cell>
          <cell r="J9">
            <v>71</v>
          </cell>
          <cell r="K9">
            <v>2928</v>
          </cell>
        </row>
        <row r="10">
          <cell r="A10" t="str">
            <v>009</v>
          </cell>
          <cell r="B10" t="str">
            <v>Amherst</v>
          </cell>
          <cell r="C10">
            <v>3581</v>
          </cell>
          <cell r="D10">
            <v>2278</v>
          </cell>
          <cell r="E10">
            <v>1005</v>
          </cell>
          <cell r="F10">
            <v>298</v>
          </cell>
          <cell r="G10">
            <v>2398</v>
          </cell>
          <cell r="H10">
            <v>1479</v>
          </cell>
          <cell r="I10">
            <v>662</v>
          </cell>
          <cell r="J10">
            <v>257</v>
          </cell>
          <cell r="K10">
            <v>5979</v>
          </cell>
        </row>
        <row r="11">
          <cell r="A11" t="str">
            <v>011</v>
          </cell>
          <cell r="B11" t="str">
            <v>Appomattox</v>
          </cell>
          <cell r="C11">
            <v>2108</v>
          </cell>
          <cell r="D11">
            <v>1268</v>
          </cell>
          <cell r="E11">
            <v>812</v>
          </cell>
          <cell r="F11">
            <v>28</v>
          </cell>
          <cell r="G11">
            <v>1348</v>
          </cell>
          <cell r="H11">
            <v>781</v>
          </cell>
          <cell r="I11">
            <v>514</v>
          </cell>
          <cell r="J11">
            <v>53</v>
          </cell>
          <cell r="K11">
            <v>3456</v>
          </cell>
        </row>
        <row r="12">
          <cell r="A12" t="str">
            <v>013</v>
          </cell>
          <cell r="B12" t="str">
            <v>Arlington</v>
          </cell>
          <cell r="C12">
            <v>7242</v>
          </cell>
          <cell r="D12">
            <v>2991</v>
          </cell>
          <cell r="E12">
            <v>2182</v>
          </cell>
          <cell r="F12">
            <v>2069</v>
          </cell>
          <cell r="G12">
            <v>4283</v>
          </cell>
          <cell r="H12">
            <v>1997</v>
          </cell>
          <cell r="I12">
            <v>1115</v>
          </cell>
          <cell r="J12">
            <v>1171</v>
          </cell>
          <cell r="K12">
            <v>11525</v>
          </cell>
        </row>
        <row r="13">
          <cell r="A13" t="str">
            <v>015</v>
          </cell>
          <cell r="B13" t="str">
            <v>Augusta/ Staunton/ Waynesboro</v>
          </cell>
          <cell r="C13">
            <v>13362</v>
          </cell>
          <cell r="D13">
            <v>10344</v>
          </cell>
          <cell r="E13">
            <v>1786</v>
          </cell>
          <cell r="F13">
            <v>1232</v>
          </cell>
          <cell r="G13">
            <v>8859</v>
          </cell>
          <cell r="H13">
            <v>6515</v>
          </cell>
          <cell r="I13">
            <v>1356</v>
          </cell>
          <cell r="J13">
            <v>988</v>
          </cell>
          <cell r="K13">
            <v>22221</v>
          </cell>
        </row>
        <row r="14">
          <cell r="A14" t="str">
            <v>017</v>
          </cell>
          <cell r="B14" t="str">
            <v>Bath</v>
          </cell>
          <cell r="C14">
            <v>376</v>
          </cell>
          <cell r="D14">
            <v>347</v>
          </cell>
          <cell r="E14">
            <v>21</v>
          </cell>
          <cell r="F14">
            <v>8</v>
          </cell>
          <cell r="G14">
            <v>203</v>
          </cell>
          <cell r="H14">
            <v>183</v>
          </cell>
          <cell r="I14">
            <v>6</v>
          </cell>
          <cell r="J14">
            <v>14</v>
          </cell>
          <cell r="K14">
            <v>579</v>
          </cell>
        </row>
        <row r="15">
          <cell r="A15" t="str">
            <v>019</v>
          </cell>
          <cell r="B15" t="str">
            <v>Bedford County/City</v>
          </cell>
          <cell r="C15">
            <v>6199</v>
          </cell>
          <cell r="D15">
            <v>4614</v>
          </cell>
          <cell r="E15">
            <v>956</v>
          </cell>
          <cell r="F15">
            <v>629</v>
          </cell>
          <cell r="G15">
            <v>4170</v>
          </cell>
          <cell r="H15">
            <v>3100</v>
          </cell>
          <cell r="I15">
            <v>647</v>
          </cell>
          <cell r="J15">
            <v>423</v>
          </cell>
          <cell r="K15">
            <v>10369</v>
          </cell>
        </row>
        <row r="16">
          <cell r="A16" t="str">
            <v>021</v>
          </cell>
          <cell r="B16" t="str">
            <v>Bland</v>
          </cell>
          <cell r="C16">
            <v>627</v>
          </cell>
          <cell r="D16">
            <v>542</v>
          </cell>
          <cell r="E16">
            <v>8</v>
          </cell>
          <cell r="F16">
            <v>77</v>
          </cell>
          <cell r="G16">
            <v>343</v>
          </cell>
          <cell r="H16">
            <v>308</v>
          </cell>
          <cell r="I16">
            <v>9</v>
          </cell>
          <cell r="J16">
            <v>26</v>
          </cell>
          <cell r="K16">
            <v>970</v>
          </cell>
        </row>
        <row r="17">
          <cell r="A17" t="str">
            <v>023</v>
          </cell>
          <cell r="B17" t="str">
            <v>Botetourt</v>
          </cell>
          <cell r="C17">
            <v>1497</v>
          </cell>
          <cell r="D17">
            <v>1328</v>
          </cell>
          <cell r="E17">
            <v>64</v>
          </cell>
          <cell r="F17">
            <v>105</v>
          </cell>
          <cell r="G17">
            <v>1025</v>
          </cell>
          <cell r="H17">
            <v>878</v>
          </cell>
          <cell r="I17">
            <v>47</v>
          </cell>
          <cell r="J17">
            <v>100</v>
          </cell>
          <cell r="K17">
            <v>2522</v>
          </cell>
        </row>
        <row r="18">
          <cell r="A18" t="str">
            <v>025</v>
          </cell>
          <cell r="B18" t="str">
            <v>Brunswick</v>
          </cell>
          <cell r="C18">
            <v>3160</v>
          </cell>
          <cell r="D18">
            <v>737</v>
          </cell>
          <cell r="E18">
            <v>2315</v>
          </cell>
          <cell r="F18">
            <v>108</v>
          </cell>
          <cell r="G18">
            <v>1896</v>
          </cell>
          <cell r="H18">
            <v>376</v>
          </cell>
          <cell r="I18">
            <v>1436</v>
          </cell>
          <cell r="J18">
            <v>84</v>
          </cell>
          <cell r="K18">
            <v>5056</v>
          </cell>
        </row>
        <row r="19">
          <cell r="A19" t="str">
            <v>027</v>
          </cell>
          <cell r="B19" t="str">
            <v>Buchanan</v>
          </cell>
          <cell r="C19">
            <v>4002</v>
          </cell>
          <cell r="D19">
            <v>3831</v>
          </cell>
          <cell r="E19">
            <v>18</v>
          </cell>
          <cell r="F19">
            <v>153</v>
          </cell>
          <cell r="G19">
            <v>2033</v>
          </cell>
          <cell r="H19">
            <v>1905</v>
          </cell>
          <cell r="I19">
            <v>9</v>
          </cell>
          <cell r="J19">
            <v>119</v>
          </cell>
          <cell r="K19">
            <v>6035</v>
          </cell>
        </row>
        <row r="20">
          <cell r="A20" t="str">
            <v>029</v>
          </cell>
          <cell r="B20" t="str">
            <v>Buckingham</v>
          </cell>
          <cell r="C20">
            <v>2910</v>
          </cell>
          <cell r="D20">
            <v>1327</v>
          </cell>
          <cell r="E20">
            <v>1358</v>
          </cell>
          <cell r="F20">
            <v>225</v>
          </cell>
          <cell r="G20">
            <v>1566</v>
          </cell>
          <cell r="H20">
            <v>787</v>
          </cell>
          <cell r="I20">
            <v>658</v>
          </cell>
          <cell r="J20">
            <v>121</v>
          </cell>
          <cell r="K20">
            <v>4476</v>
          </cell>
        </row>
        <row r="21">
          <cell r="A21" t="str">
            <v>031</v>
          </cell>
          <cell r="B21" t="str">
            <v>Campbell</v>
          </cell>
          <cell r="C21">
            <v>6627</v>
          </cell>
          <cell r="D21">
            <v>4457</v>
          </cell>
          <cell r="E21">
            <v>1617</v>
          </cell>
          <cell r="F21">
            <v>553</v>
          </cell>
          <cell r="G21">
            <v>4251</v>
          </cell>
          <cell r="H21">
            <v>2755</v>
          </cell>
          <cell r="I21">
            <v>1060</v>
          </cell>
          <cell r="J21">
            <v>436</v>
          </cell>
          <cell r="K21">
            <v>10878</v>
          </cell>
        </row>
        <row r="22">
          <cell r="A22" t="str">
            <v>033</v>
          </cell>
          <cell r="B22" t="str">
            <v>Caroline</v>
          </cell>
          <cell r="C22">
            <v>4064</v>
          </cell>
          <cell r="D22">
            <v>2037</v>
          </cell>
          <cell r="E22">
            <v>1653</v>
          </cell>
          <cell r="F22">
            <v>374</v>
          </cell>
          <cell r="G22">
            <v>2853</v>
          </cell>
          <cell r="H22">
            <v>1441</v>
          </cell>
          <cell r="I22">
            <v>1089</v>
          </cell>
          <cell r="J22">
            <v>323</v>
          </cell>
          <cell r="K22">
            <v>6917</v>
          </cell>
        </row>
        <row r="23">
          <cell r="A23" t="str">
            <v>035</v>
          </cell>
          <cell r="B23" t="str">
            <v>Carroll</v>
          </cell>
          <cell r="C23">
            <v>4866</v>
          </cell>
          <cell r="D23">
            <v>4326</v>
          </cell>
          <cell r="E23">
            <v>43</v>
          </cell>
          <cell r="F23">
            <v>497</v>
          </cell>
          <cell r="G23">
            <v>2686</v>
          </cell>
          <cell r="H23">
            <v>2362</v>
          </cell>
          <cell r="I23">
            <v>42</v>
          </cell>
          <cell r="J23">
            <v>282</v>
          </cell>
          <cell r="K23">
            <v>7552</v>
          </cell>
        </row>
        <row r="24">
          <cell r="A24" t="str">
            <v>036</v>
          </cell>
          <cell r="B24" t="str">
            <v>Charles City</v>
          </cell>
          <cell r="C24">
            <v>883</v>
          </cell>
          <cell r="D24">
            <v>223</v>
          </cell>
          <cell r="E24">
            <v>465</v>
          </cell>
          <cell r="F24">
            <v>195</v>
          </cell>
          <cell r="G24">
            <v>478</v>
          </cell>
          <cell r="H24">
            <v>147</v>
          </cell>
          <cell r="I24">
            <v>265</v>
          </cell>
          <cell r="J24">
            <v>66</v>
          </cell>
          <cell r="K24">
            <v>1361</v>
          </cell>
        </row>
        <row r="25">
          <cell r="A25" t="str">
            <v>037</v>
          </cell>
          <cell r="B25" t="str">
            <v>Charlotte</v>
          </cell>
          <cell r="C25">
            <v>2104</v>
          </cell>
          <cell r="D25">
            <v>986</v>
          </cell>
          <cell r="E25">
            <v>1031</v>
          </cell>
          <cell r="F25">
            <v>87</v>
          </cell>
          <cell r="G25">
            <v>1288</v>
          </cell>
          <cell r="H25">
            <v>556</v>
          </cell>
          <cell r="I25">
            <v>645</v>
          </cell>
          <cell r="J25">
            <v>87</v>
          </cell>
          <cell r="K25">
            <v>3392</v>
          </cell>
        </row>
        <row r="26">
          <cell r="A26" t="str">
            <v>041</v>
          </cell>
          <cell r="B26" t="str">
            <v>Chesterfield/Colonial Heights</v>
          </cell>
          <cell r="C26">
            <v>24892</v>
          </cell>
          <cell r="D26">
            <v>12095</v>
          </cell>
          <cell r="E26">
            <v>8742</v>
          </cell>
          <cell r="F26">
            <v>4055</v>
          </cell>
          <cell r="G26">
            <v>20904</v>
          </cell>
          <cell r="H26">
            <v>9459</v>
          </cell>
          <cell r="I26">
            <v>8109</v>
          </cell>
          <cell r="J26">
            <v>3336</v>
          </cell>
          <cell r="K26">
            <v>45796</v>
          </cell>
        </row>
        <row r="27">
          <cell r="A27" t="str">
            <v>043</v>
          </cell>
          <cell r="B27" t="str">
            <v>Clarke</v>
          </cell>
          <cell r="C27">
            <v>816</v>
          </cell>
          <cell r="D27">
            <v>593</v>
          </cell>
          <cell r="E27">
            <v>124</v>
          </cell>
          <cell r="F27">
            <v>99</v>
          </cell>
          <cell r="G27">
            <v>472</v>
          </cell>
          <cell r="H27">
            <v>346</v>
          </cell>
          <cell r="I27">
            <v>62</v>
          </cell>
          <cell r="J27">
            <v>64</v>
          </cell>
          <cell r="K27">
            <v>1288</v>
          </cell>
        </row>
        <row r="28">
          <cell r="A28" t="str">
            <v>045</v>
          </cell>
          <cell r="B28" t="str">
            <v>Craig</v>
          </cell>
          <cell r="C28">
            <v>504</v>
          </cell>
          <cell r="D28">
            <v>497</v>
          </cell>
          <cell r="E28">
            <v>3</v>
          </cell>
          <cell r="F28">
            <v>4</v>
          </cell>
          <cell r="G28">
            <v>325</v>
          </cell>
          <cell r="H28">
            <v>306</v>
          </cell>
          <cell r="I28">
            <v>2</v>
          </cell>
          <cell r="J28">
            <v>17</v>
          </cell>
          <cell r="K28">
            <v>829</v>
          </cell>
        </row>
        <row r="29">
          <cell r="A29" t="str">
            <v>047</v>
          </cell>
          <cell r="B29" t="str">
            <v>Culpeper</v>
          </cell>
          <cell r="C29">
            <v>4728</v>
          </cell>
          <cell r="D29">
            <v>2667</v>
          </cell>
          <cell r="E29">
            <v>1568</v>
          </cell>
          <cell r="F29">
            <v>493</v>
          </cell>
          <cell r="G29">
            <v>3568</v>
          </cell>
          <cell r="H29">
            <v>1765</v>
          </cell>
          <cell r="I29">
            <v>1046</v>
          </cell>
          <cell r="J29">
            <v>757</v>
          </cell>
          <cell r="K29">
            <v>8296</v>
          </cell>
        </row>
        <row r="30">
          <cell r="A30" t="str">
            <v>049</v>
          </cell>
          <cell r="B30" t="str">
            <v>Cumberland</v>
          </cell>
          <cell r="C30">
            <v>1843</v>
          </cell>
          <cell r="D30">
            <v>843</v>
          </cell>
          <cell r="E30">
            <v>894</v>
          </cell>
          <cell r="F30">
            <v>106</v>
          </cell>
          <cell r="G30">
            <v>1143</v>
          </cell>
          <cell r="H30">
            <v>519</v>
          </cell>
          <cell r="I30">
            <v>555</v>
          </cell>
          <cell r="J30">
            <v>69</v>
          </cell>
          <cell r="K30">
            <v>2986</v>
          </cell>
        </row>
        <row r="31">
          <cell r="A31" t="str">
            <v>051</v>
          </cell>
          <cell r="B31" t="str">
            <v>Dickenson</v>
          </cell>
          <cell r="C31">
            <v>2920</v>
          </cell>
          <cell r="D31">
            <v>2776</v>
          </cell>
          <cell r="E31">
            <v>20</v>
          </cell>
          <cell r="F31">
            <v>124</v>
          </cell>
          <cell r="G31">
            <v>1517</v>
          </cell>
          <cell r="H31">
            <v>1466</v>
          </cell>
          <cell r="I31">
            <v>10</v>
          </cell>
          <cell r="J31">
            <v>41</v>
          </cell>
          <cell r="K31">
            <v>4437</v>
          </cell>
        </row>
        <row r="32">
          <cell r="A32" t="str">
            <v>053</v>
          </cell>
          <cell r="B32" t="str">
            <v>Dinwiddie</v>
          </cell>
          <cell r="C32">
            <v>3851</v>
          </cell>
          <cell r="D32">
            <v>1846</v>
          </cell>
          <cell r="E32">
            <v>1515</v>
          </cell>
          <cell r="F32">
            <v>490</v>
          </cell>
          <cell r="G32">
            <v>2499</v>
          </cell>
          <cell r="H32">
            <v>1206</v>
          </cell>
          <cell r="I32">
            <v>961</v>
          </cell>
          <cell r="J32">
            <v>332</v>
          </cell>
          <cell r="K32">
            <v>6350</v>
          </cell>
        </row>
        <row r="33">
          <cell r="A33" t="str">
            <v>057</v>
          </cell>
          <cell r="B33" t="str">
            <v>Essex</v>
          </cell>
          <cell r="C33">
            <v>1852</v>
          </cell>
          <cell r="D33">
            <v>534</v>
          </cell>
          <cell r="E33">
            <v>1018</v>
          </cell>
          <cell r="F33">
            <v>300</v>
          </cell>
          <cell r="G33">
            <v>1355</v>
          </cell>
          <cell r="H33">
            <v>358</v>
          </cell>
          <cell r="I33">
            <v>760</v>
          </cell>
          <cell r="J33">
            <v>237</v>
          </cell>
          <cell r="K33">
            <v>3207</v>
          </cell>
        </row>
        <row r="34">
          <cell r="A34" t="str">
            <v>059</v>
          </cell>
          <cell r="B34" t="str">
            <v>Fairfax County/City/Falls Church</v>
          </cell>
          <cell r="C34">
            <v>40309</v>
          </cell>
          <cell r="D34">
            <v>17858</v>
          </cell>
          <cell r="E34">
            <v>8157</v>
          </cell>
          <cell r="F34">
            <v>14294</v>
          </cell>
          <cell r="G34">
            <v>29871</v>
          </cell>
          <cell r="H34">
            <v>14413</v>
          </cell>
          <cell r="I34">
            <v>6670</v>
          </cell>
          <cell r="J34">
            <v>8788</v>
          </cell>
          <cell r="K34">
            <v>70180</v>
          </cell>
        </row>
        <row r="35">
          <cell r="A35" t="str">
            <v>061</v>
          </cell>
          <cell r="B35" t="str">
            <v>Fauquier</v>
          </cell>
          <cell r="C35">
            <v>3775</v>
          </cell>
          <cell r="D35">
            <v>2133</v>
          </cell>
          <cell r="E35">
            <v>908</v>
          </cell>
          <cell r="F35">
            <v>734</v>
          </cell>
          <cell r="G35">
            <v>2726</v>
          </cell>
          <cell r="H35">
            <v>1552</v>
          </cell>
          <cell r="I35">
            <v>662</v>
          </cell>
          <cell r="J35">
            <v>512</v>
          </cell>
          <cell r="K35">
            <v>6501</v>
          </cell>
        </row>
        <row r="36">
          <cell r="A36" t="str">
            <v>063</v>
          </cell>
          <cell r="B36" t="str">
            <v>Floyd</v>
          </cell>
          <cell r="C36">
            <v>1800</v>
          </cell>
          <cell r="D36">
            <v>1498</v>
          </cell>
          <cell r="E36">
            <v>70</v>
          </cell>
          <cell r="F36">
            <v>232</v>
          </cell>
          <cell r="G36">
            <v>1137</v>
          </cell>
          <cell r="H36">
            <v>984</v>
          </cell>
          <cell r="I36">
            <v>39</v>
          </cell>
          <cell r="J36">
            <v>114</v>
          </cell>
          <cell r="K36">
            <v>2937</v>
          </cell>
        </row>
        <row r="37">
          <cell r="A37" t="str">
            <v>065</v>
          </cell>
          <cell r="B37" t="str">
            <v>Fluvanna</v>
          </cell>
          <cell r="C37">
            <v>1465</v>
          </cell>
          <cell r="D37">
            <v>888</v>
          </cell>
          <cell r="E37">
            <v>507</v>
          </cell>
          <cell r="F37">
            <v>70</v>
          </cell>
          <cell r="G37">
            <v>1082</v>
          </cell>
          <cell r="H37">
            <v>587</v>
          </cell>
          <cell r="I37">
            <v>415</v>
          </cell>
          <cell r="J37">
            <v>80</v>
          </cell>
          <cell r="K37">
            <v>2547</v>
          </cell>
        </row>
        <row r="38">
          <cell r="A38" t="str">
            <v>067</v>
          </cell>
          <cell r="B38" t="str">
            <v>Franklin County</v>
          </cell>
          <cell r="C38">
            <v>7028</v>
          </cell>
          <cell r="D38">
            <v>5022</v>
          </cell>
          <cell r="E38">
            <v>985</v>
          </cell>
          <cell r="F38">
            <v>1021</v>
          </cell>
          <cell r="G38">
            <v>4414</v>
          </cell>
          <cell r="H38">
            <v>3095</v>
          </cell>
          <cell r="I38">
            <v>600</v>
          </cell>
          <cell r="J38">
            <v>719</v>
          </cell>
          <cell r="K38">
            <v>11442</v>
          </cell>
        </row>
        <row r="39">
          <cell r="A39" t="str">
            <v>069</v>
          </cell>
          <cell r="B39" t="str">
            <v>Frederick</v>
          </cell>
          <cell r="C39">
            <v>6222</v>
          </cell>
          <cell r="D39">
            <v>5233</v>
          </cell>
          <cell r="E39">
            <v>468</v>
          </cell>
          <cell r="F39">
            <v>521</v>
          </cell>
          <cell r="G39">
            <v>4781</v>
          </cell>
          <cell r="H39">
            <v>3729</v>
          </cell>
          <cell r="I39">
            <v>453</v>
          </cell>
          <cell r="J39">
            <v>599</v>
          </cell>
          <cell r="K39">
            <v>11003</v>
          </cell>
        </row>
        <row r="40">
          <cell r="A40" t="str">
            <v>071</v>
          </cell>
          <cell r="B40" t="str">
            <v>Giles</v>
          </cell>
          <cell r="C40">
            <v>2307</v>
          </cell>
          <cell r="D40">
            <v>2189</v>
          </cell>
          <cell r="E40">
            <v>43</v>
          </cell>
          <cell r="F40">
            <v>75</v>
          </cell>
          <cell r="G40">
            <v>1338</v>
          </cell>
          <cell r="H40">
            <v>1240</v>
          </cell>
          <cell r="I40">
            <v>45</v>
          </cell>
          <cell r="J40">
            <v>53</v>
          </cell>
          <cell r="K40">
            <v>3645</v>
          </cell>
        </row>
        <row r="41">
          <cell r="A41" t="str">
            <v>073</v>
          </cell>
          <cell r="B41" t="str">
            <v>Gloucester</v>
          </cell>
          <cell r="C41">
            <v>3752</v>
          </cell>
          <cell r="D41">
            <v>2974</v>
          </cell>
          <cell r="E41">
            <v>610</v>
          </cell>
          <cell r="F41">
            <v>168</v>
          </cell>
          <cell r="G41">
            <v>2327</v>
          </cell>
          <cell r="H41">
            <v>1785</v>
          </cell>
          <cell r="I41">
            <v>367</v>
          </cell>
          <cell r="J41">
            <v>175</v>
          </cell>
          <cell r="K41">
            <v>6079</v>
          </cell>
        </row>
        <row r="42">
          <cell r="A42" t="str">
            <v>075</v>
          </cell>
          <cell r="B42" t="str">
            <v>Goochland</v>
          </cell>
          <cell r="C42">
            <v>1227</v>
          </cell>
          <cell r="D42">
            <v>543</v>
          </cell>
          <cell r="E42">
            <v>562</v>
          </cell>
          <cell r="F42">
            <v>122</v>
          </cell>
          <cell r="G42">
            <v>719</v>
          </cell>
          <cell r="H42">
            <v>319</v>
          </cell>
          <cell r="I42">
            <v>319</v>
          </cell>
          <cell r="J42">
            <v>81</v>
          </cell>
          <cell r="K42">
            <v>1946</v>
          </cell>
        </row>
        <row r="43">
          <cell r="A43" t="str">
            <v>077</v>
          </cell>
          <cell r="B43" t="str">
            <v>Grayson</v>
          </cell>
          <cell r="C43">
            <v>2572</v>
          </cell>
          <cell r="D43">
            <v>2334</v>
          </cell>
          <cell r="E43">
            <v>113</v>
          </cell>
          <cell r="F43">
            <v>125</v>
          </cell>
          <cell r="G43">
            <v>1381</v>
          </cell>
          <cell r="H43">
            <v>1231</v>
          </cell>
          <cell r="I43">
            <v>64</v>
          </cell>
          <cell r="J43">
            <v>86</v>
          </cell>
          <cell r="K43">
            <v>3953</v>
          </cell>
        </row>
        <row r="44">
          <cell r="A44" t="str">
            <v>079</v>
          </cell>
          <cell r="B44" t="str">
            <v>Greene</v>
          </cell>
          <cell r="C44">
            <v>1709</v>
          </cell>
          <cell r="D44">
            <v>1305</v>
          </cell>
          <cell r="E44">
            <v>287</v>
          </cell>
          <cell r="F44">
            <v>117</v>
          </cell>
          <cell r="G44">
            <v>1215</v>
          </cell>
          <cell r="H44">
            <v>819</v>
          </cell>
          <cell r="I44">
            <v>196</v>
          </cell>
          <cell r="J44">
            <v>200</v>
          </cell>
          <cell r="K44">
            <v>2924</v>
          </cell>
        </row>
        <row r="45">
          <cell r="A45" t="str">
            <v>081</v>
          </cell>
          <cell r="B45" t="str">
            <v>Greensville/Emporia</v>
          </cell>
          <cell r="C45">
            <v>3257</v>
          </cell>
          <cell r="D45">
            <v>502</v>
          </cell>
          <cell r="E45">
            <v>2674</v>
          </cell>
          <cell r="F45">
            <v>81</v>
          </cell>
          <cell r="G45">
            <v>2300</v>
          </cell>
          <cell r="H45">
            <v>280</v>
          </cell>
          <cell r="I45">
            <v>1919</v>
          </cell>
          <cell r="J45">
            <v>101</v>
          </cell>
          <cell r="K45">
            <v>5557</v>
          </cell>
        </row>
        <row r="46">
          <cell r="A46" t="str">
            <v>083</v>
          </cell>
          <cell r="B46" t="str">
            <v>Halifax</v>
          </cell>
          <cell r="C46">
            <v>5764</v>
          </cell>
          <cell r="D46">
            <v>1961</v>
          </cell>
          <cell r="E46">
            <v>3087</v>
          </cell>
          <cell r="F46">
            <v>716</v>
          </cell>
          <cell r="G46">
            <v>3560</v>
          </cell>
          <cell r="H46">
            <v>1157</v>
          </cell>
          <cell r="I46">
            <v>2063</v>
          </cell>
          <cell r="J46">
            <v>340</v>
          </cell>
          <cell r="K46">
            <v>9324</v>
          </cell>
        </row>
        <row r="47">
          <cell r="A47" t="str">
            <v>085</v>
          </cell>
          <cell r="B47" t="str">
            <v>Hanover</v>
          </cell>
          <cell r="C47">
            <v>4867</v>
          </cell>
          <cell r="D47">
            <v>3052</v>
          </cell>
          <cell r="E47">
            <v>1245</v>
          </cell>
          <cell r="F47">
            <v>570</v>
          </cell>
          <cell r="G47">
            <v>3487</v>
          </cell>
          <cell r="H47">
            <v>1971</v>
          </cell>
          <cell r="I47">
            <v>1030</v>
          </cell>
          <cell r="J47">
            <v>486</v>
          </cell>
          <cell r="K47">
            <v>8354</v>
          </cell>
        </row>
        <row r="48">
          <cell r="A48" t="str">
            <v>087</v>
          </cell>
          <cell r="B48" t="str">
            <v>Henrico</v>
          </cell>
          <cell r="C48">
            <v>26050</v>
          </cell>
          <cell r="D48">
            <v>6621</v>
          </cell>
          <cell r="E48">
            <v>13136</v>
          </cell>
          <cell r="F48">
            <v>6293</v>
          </cell>
          <cell r="G48">
            <v>20367</v>
          </cell>
          <cell r="H48">
            <v>4001</v>
          </cell>
          <cell r="I48">
            <v>11586</v>
          </cell>
          <cell r="J48">
            <v>4780</v>
          </cell>
          <cell r="K48">
            <v>46417</v>
          </cell>
        </row>
        <row r="49">
          <cell r="A49" t="str">
            <v>089</v>
          </cell>
          <cell r="B49" t="str">
            <v>Henry/Martinsville</v>
          </cell>
          <cell r="C49">
            <v>14011</v>
          </cell>
          <cell r="D49">
            <v>7090</v>
          </cell>
          <cell r="E49">
            <v>5115</v>
          </cell>
          <cell r="F49">
            <v>1806</v>
          </cell>
          <cell r="G49">
            <v>8296</v>
          </cell>
          <cell r="H49">
            <v>3742</v>
          </cell>
          <cell r="I49">
            <v>3047</v>
          </cell>
          <cell r="J49">
            <v>1507</v>
          </cell>
          <cell r="K49">
            <v>22307</v>
          </cell>
        </row>
        <row r="50">
          <cell r="A50" t="str">
            <v>091</v>
          </cell>
          <cell r="B50" t="str">
            <v>Highland</v>
          </cell>
          <cell r="C50">
            <v>167</v>
          </cell>
          <cell r="D50">
            <v>148</v>
          </cell>
          <cell r="E50">
            <v>1</v>
          </cell>
          <cell r="F50">
            <v>18</v>
          </cell>
          <cell r="G50">
            <v>81</v>
          </cell>
          <cell r="H50">
            <v>69</v>
          </cell>
          <cell r="I50">
            <v>0</v>
          </cell>
          <cell r="J50">
            <v>12</v>
          </cell>
          <cell r="K50">
            <v>248</v>
          </cell>
        </row>
        <row r="51">
          <cell r="A51" t="str">
            <v>093</v>
          </cell>
          <cell r="B51" t="str">
            <v>Isle of Wight</v>
          </cell>
          <cell r="C51">
            <v>3421</v>
          </cell>
          <cell r="D51">
            <v>1394</v>
          </cell>
          <cell r="E51">
            <v>1738</v>
          </cell>
          <cell r="F51">
            <v>289</v>
          </cell>
          <cell r="G51">
            <v>2265</v>
          </cell>
          <cell r="H51">
            <v>888</v>
          </cell>
          <cell r="I51">
            <v>1143</v>
          </cell>
          <cell r="J51">
            <v>234</v>
          </cell>
          <cell r="K51">
            <v>5686</v>
          </cell>
        </row>
        <row r="52">
          <cell r="A52" t="str">
            <v>095</v>
          </cell>
          <cell r="B52" t="str">
            <v>James City</v>
          </cell>
          <cell r="C52">
            <v>3713</v>
          </cell>
          <cell r="D52">
            <v>1749</v>
          </cell>
          <cell r="E52">
            <v>1521</v>
          </cell>
          <cell r="F52">
            <v>443</v>
          </cell>
          <cell r="G52">
            <v>2902</v>
          </cell>
          <cell r="H52">
            <v>1195</v>
          </cell>
          <cell r="I52">
            <v>1309</v>
          </cell>
          <cell r="J52">
            <v>398</v>
          </cell>
          <cell r="K52">
            <v>6615</v>
          </cell>
        </row>
        <row r="53">
          <cell r="A53" t="str">
            <v>097</v>
          </cell>
          <cell r="B53" t="str">
            <v>King and Queen</v>
          </cell>
          <cell r="C53">
            <v>950</v>
          </cell>
          <cell r="D53">
            <v>430</v>
          </cell>
          <cell r="E53">
            <v>418</v>
          </cell>
          <cell r="F53">
            <v>102</v>
          </cell>
          <cell r="G53">
            <v>667</v>
          </cell>
          <cell r="H53">
            <v>306</v>
          </cell>
          <cell r="I53">
            <v>257</v>
          </cell>
          <cell r="J53">
            <v>104</v>
          </cell>
          <cell r="K53">
            <v>1617</v>
          </cell>
        </row>
        <row r="54">
          <cell r="A54" t="str">
            <v>099</v>
          </cell>
          <cell r="B54" t="str">
            <v>King George</v>
          </cell>
          <cell r="C54">
            <v>2136</v>
          </cell>
          <cell r="D54">
            <v>1191</v>
          </cell>
          <cell r="E54">
            <v>781</v>
          </cell>
          <cell r="F54">
            <v>164</v>
          </cell>
          <cell r="G54">
            <v>1686</v>
          </cell>
          <cell r="H54">
            <v>855</v>
          </cell>
          <cell r="I54">
            <v>630</v>
          </cell>
          <cell r="J54">
            <v>201</v>
          </cell>
          <cell r="K54">
            <v>3822</v>
          </cell>
        </row>
        <row r="55">
          <cell r="A55" t="str">
            <v>101</v>
          </cell>
          <cell r="B55" t="str">
            <v>King William</v>
          </cell>
          <cell r="C55">
            <v>1470</v>
          </cell>
          <cell r="D55">
            <v>707</v>
          </cell>
          <cell r="E55">
            <v>590</v>
          </cell>
          <cell r="F55">
            <v>173</v>
          </cell>
          <cell r="G55">
            <v>1133</v>
          </cell>
          <cell r="H55">
            <v>624</v>
          </cell>
          <cell r="I55">
            <v>411</v>
          </cell>
          <cell r="J55">
            <v>98</v>
          </cell>
          <cell r="K55">
            <v>2603</v>
          </cell>
        </row>
        <row r="56">
          <cell r="A56" t="str">
            <v>103</v>
          </cell>
          <cell r="B56" t="str">
            <v>Lancaster</v>
          </cell>
          <cell r="C56">
            <v>1390</v>
          </cell>
          <cell r="D56">
            <v>458</v>
          </cell>
          <cell r="E56">
            <v>913</v>
          </cell>
          <cell r="F56">
            <v>19</v>
          </cell>
          <cell r="G56">
            <v>916</v>
          </cell>
          <cell r="H56">
            <v>210</v>
          </cell>
          <cell r="I56">
            <v>660</v>
          </cell>
          <cell r="J56">
            <v>46</v>
          </cell>
          <cell r="K56">
            <v>2306</v>
          </cell>
        </row>
        <row r="57">
          <cell r="A57" t="str">
            <v>105</v>
          </cell>
          <cell r="B57" t="str">
            <v>Lee</v>
          </cell>
          <cell r="C57">
            <v>5304</v>
          </cell>
          <cell r="D57">
            <v>5066</v>
          </cell>
          <cell r="E57">
            <v>30</v>
          </cell>
          <cell r="F57">
            <v>208</v>
          </cell>
          <cell r="G57">
            <v>2539</v>
          </cell>
          <cell r="H57">
            <v>2416</v>
          </cell>
          <cell r="I57">
            <v>30</v>
          </cell>
          <cell r="J57">
            <v>93</v>
          </cell>
          <cell r="K57">
            <v>7843</v>
          </cell>
        </row>
        <row r="58">
          <cell r="A58" t="str">
            <v>107</v>
          </cell>
          <cell r="B58" t="str">
            <v>Loudoun</v>
          </cell>
          <cell r="C58">
            <v>7728</v>
          </cell>
          <cell r="D58">
            <v>3545</v>
          </cell>
          <cell r="E58">
            <v>1602</v>
          </cell>
          <cell r="F58">
            <v>2581</v>
          </cell>
          <cell r="G58">
            <v>6319</v>
          </cell>
          <cell r="H58">
            <v>2617</v>
          </cell>
          <cell r="I58">
            <v>1397</v>
          </cell>
          <cell r="J58">
            <v>2305</v>
          </cell>
          <cell r="K58">
            <v>14047</v>
          </cell>
        </row>
        <row r="59">
          <cell r="A59" t="str">
            <v>109</v>
          </cell>
          <cell r="B59" t="str">
            <v>Louisa</v>
          </cell>
          <cell r="C59">
            <v>3740</v>
          </cell>
          <cell r="D59">
            <v>2162</v>
          </cell>
          <cell r="E59">
            <v>1131</v>
          </cell>
          <cell r="F59">
            <v>447</v>
          </cell>
          <cell r="G59">
            <v>2390</v>
          </cell>
          <cell r="H59">
            <v>1388</v>
          </cell>
          <cell r="I59">
            <v>674</v>
          </cell>
          <cell r="J59">
            <v>328</v>
          </cell>
          <cell r="K59">
            <v>6130</v>
          </cell>
        </row>
        <row r="60">
          <cell r="A60" t="str">
            <v>111</v>
          </cell>
          <cell r="B60" t="str">
            <v>Lunenburg</v>
          </cell>
          <cell r="C60">
            <v>2165</v>
          </cell>
          <cell r="D60">
            <v>983</v>
          </cell>
          <cell r="E60">
            <v>1006</v>
          </cell>
          <cell r="F60">
            <v>176</v>
          </cell>
          <cell r="G60">
            <v>1295</v>
          </cell>
          <cell r="H60">
            <v>522</v>
          </cell>
          <cell r="I60">
            <v>608</v>
          </cell>
          <cell r="J60">
            <v>165</v>
          </cell>
          <cell r="K60">
            <v>3460</v>
          </cell>
        </row>
        <row r="61">
          <cell r="A61" t="str">
            <v>113</v>
          </cell>
          <cell r="B61" t="str">
            <v>Madison</v>
          </cell>
          <cell r="C61">
            <v>1294</v>
          </cell>
          <cell r="D61">
            <v>981</v>
          </cell>
          <cell r="E61">
            <v>255</v>
          </cell>
          <cell r="F61">
            <v>58</v>
          </cell>
          <cell r="G61">
            <v>909</v>
          </cell>
          <cell r="H61">
            <v>680</v>
          </cell>
          <cell r="I61">
            <v>168</v>
          </cell>
          <cell r="J61">
            <v>61</v>
          </cell>
          <cell r="K61">
            <v>2203</v>
          </cell>
        </row>
        <row r="62">
          <cell r="A62" t="str">
            <v>115</v>
          </cell>
          <cell r="B62" t="str">
            <v>Mathews</v>
          </cell>
          <cell r="C62">
            <v>922</v>
          </cell>
          <cell r="D62">
            <v>665</v>
          </cell>
          <cell r="E62">
            <v>180</v>
          </cell>
          <cell r="F62">
            <v>77</v>
          </cell>
          <cell r="G62">
            <v>491</v>
          </cell>
          <cell r="H62">
            <v>397</v>
          </cell>
          <cell r="I62">
            <v>77</v>
          </cell>
          <cell r="J62">
            <v>17</v>
          </cell>
          <cell r="K62">
            <v>1413</v>
          </cell>
        </row>
        <row r="63">
          <cell r="A63" t="str">
            <v>117</v>
          </cell>
          <cell r="B63" t="str">
            <v>Mecklenburg</v>
          </cell>
          <cell r="C63">
            <v>4336</v>
          </cell>
          <cell r="D63">
            <v>1573</v>
          </cell>
          <cell r="E63">
            <v>2655</v>
          </cell>
          <cell r="F63">
            <v>108</v>
          </cell>
          <cell r="G63">
            <v>2891</v>
          </cell>
          <cell r="H63">
            <v>978</v>
          </cell>
          <cell r="I63">
            <v>1783</v>
          </cell>
          <cell r="J63">
            <v>130</v>
          </cell>
          <cell r="K63">
            <v>7227</v>
          </cell>
        </row>
        <row r="64">
          <cell r="A64" t="str">
            <v>119</v>
          </cell>
          <cell r="B64" t="str">
            <v>Middlesex</v>
          </cell>
          <cell r="C64">
            <v>1306</v>
          </cell>
          <cell r="D64">
            <v>751</v>
          </cell>
          <cell r="E64">
            <v>447</v>
          </cell>
          <cell r="F64">
            <v>108</v>
          </cell>
          <cell r="G64">
            <v>735</v>
          </cell>
          <cell r="H64">
            <v>462</v>
          </cell>
          <cell r="I64">
            <v>209</v>
          </cell>
          <cell r="J64">
            <v>64</v>
          </cell>
          <cell r="K64">
            <v>2041</v>
          </cell>
        </row>
        <row r="65">
          <cell r="A65" t="str">
            <v>121</v>
          </cell>
          <cell r="B65" t="str">
            <v>Montgomery</v>
          </cell>
          <cell r="C65">
            <v>6734</v>
          </cell>
          <cell r="D65">
            <v>5287</v>
          </cell>
          <cell r="E65">
            <v>531</v>
          </cell>
          <cell r="F65">
            <v>916</v>
          </cell>
          <cell r="G65">
            <v>4259</v>
          </cell>
          <cell r="H65">
            <v>3208</v>
          </cell>
          <cell r="I65">
            <v>427</v>
          </cell>
          <cell r="J65">
            <v>624</v>
          </cell>
          <cell r="K65">
            <v>10993</v>
          </cell>
        </row>
        <row r="66">
          <cell r="A66" t="str">
            <v>125</v>
          </cell>
          <cell r="B66" t="str">
            <v>Nelson</v>
          </cell>
          <cell r="C66">
            <v>1922</v>
          </cell>
          <cell r="D66">
            <v>1249</v>
          </cell>
          <cell r="E66">
            <v>406</v>
          </cell>
          <cell r="F66">
            <v>267</v>
          </cell>
          <cell r="G66">
            <v>1159</v>
          </cell>
          <cell r="H66">
            <v>766</v>
          </cell>
          <cell r="I66">
            <v>226</v>
          </cell>
          <cell r="J66">
            <v>167</v>
          </cell>
          <cell r="K66">
            <v>3081</v>
          </cell>
        </row>
        <row r="67">
          <cell r="A67" t="str">
            <v>127</v>
          </cell>
          <cell r="B67" t="str">
            <v>New Kent</v>
          </cell>
          <cell r="C67">
            <v>1003</v>
          </cell>
          <cell r="D67">
            <v>708</v>
          </cell>
          <cell r="E67">
            <v>221</v>
          </cell>
          <cell r="F67">
            <v>74</v>
          </cell>
          <cell r="G67">
            <v>719</v>
          </cell>
          <cell r="H67">
            <v>512</v>
          </cell>
          <cell r="I67">
            <v>154</v>
          </cell>
          <cell r="J67">
            <v>53</v>
          </cell>
          <cell r="K67">
            <v>1722</v>
          </cell>
        </row>
        <row r="68">
          <cell r="A68" t="str">
            <v>131</v>
          </cell>
          <cell r="B68" t="str">
            <v>Northampton</v>
          </cell>
          <cell r="C68">
            <v>2488</v>
          </cell>
          <cell r="D68">
            <v>753</v>
          </cell>
          <cell r="E68">
            <v>1542</v>
          </cell>
          <cell r="F68">
            <v>193</v>
          </cell>
          <cell r="G68">
            <v>1540</v>
          </cell>
          <cell r="H68">
            <v>574</v>
          </cell>
          <cell r="I68">
            <v>857</v>
          </cell>
          <cell r="J68">
            <v>109</v>
          </cell>
          <cell r="K68">
            <v>4028</v>
          </cell>
        </row>
        <row r="69">
          <cell r="A69" t="str">
            <v>133</v>
          </cell>
          <cell r="B69" t="str">
            <v>Northumberland</v>
          </cell>
          <cell r="C69">
            <v>1348</v>
          </cell>
          <cell r="D69">
            <v>534</v>
          </cell>
          <cell r="E69">
            <v>751</v>
          </cell>
          <cell r="F69">
            <v>63</v>
          </cell>
          <cell r="G69">
            <v>895</v>
          </cell>
          <cell r="H69">
            <v>295</v>
          </cell>
          <cell r="I69">
            <v>522</v>
          </cell>
          <cell r="J69">
            <v>78</v>
          </cell>
          <cell r="K69">
            <v>2243</v>
          </cell>
        </row>
        <row r="70">
          <cell r="A70" t="str">
            <v>135</v>
          </cell>
          <cell r="B70" t="str">
            <v>Nottoway</v>
          </cell>
          <cell r="C70">
            <v>2844</v>
          </cell>
          <cell r="D70">
            <v>1091</v>
          </cell>
          <cell r="E70">
            <v>1502</v>
          </cell>
          <cell r="F70">
            <v>251</v>
          </cell>
          <cell r="G70">
            <v>1852</v>
          </cell>
          <cell r="H70">
            <v>723</v>
          </cell>
          <cell r="I70">
            <v>942</v>
          </cell>
          <cell r="J70">
            <v>187</v>
          </cell>
          <cell r="K70">
            <v>4696</v>
          </cell>
        </row>
        <row r="71">
          <cell r="A71" t="str">
            <v>137</v>
          </cell>
          <cell r="B71" t="str">
            <v>Orange</v>
          </cell>
          <cell r="C71">
            <v>2887</v>
          </cell>
          <cell r="D71">
            <v>1809</v>
          </cell>
          <cell r="E71">
            <v>713</v>
          </cell>
          <cell r="F71">
            <v>365</v>
          </cell>
          <cell r="G71">
            <v>2096</v>
          </cell>
          <cell r="H71">
            <v>1263</v>
          </cell>
          <cell r="I71">
            <v>558</v>
          </cell>
          <cell r="J71">
            <v>275</v>
          </cell>
          <cell r="K71">
            <v>4983</v>
          </cell>
        </row>
        <row r="72">
          <cell r="A72" t="str">
            <v>139</v>
          </cell>
          <cell r="B72" t="str">
            <v>Page</v>
          </cell>
          <cell r="C72">
            <v>3351</v>
          </cell>
          <cell r="D72">
            <v>3002</v>
          </cell>
          <cell r="E72">
            <v>88</v>
          </cell>
          <cell r="F72">
            <v>261</v>
          </cell>
          <cell r="G72">
            <v>1985</v>
          </cell>
          <cell r="H72">
            <v>1809</v>
          </cell>
          <cell r="I72">
            <v>66</v>
          </cell>
          <cell r="J72">
            <v>110</v>
          </cell>
          <cell r="K72">
            <v>5336</v>
          </cell>
        </row>
        <row r="73">
          <cell r="A73" t="str">
            <v>141</v>
          </cell>
          <cell r="B73" t="str">
            <v>Patrick</v>
          </cell>
          <cell r="C73">
            <v>3218</v>
          </cell>
          <cell r="D73">
            <v>2682</v>
          </cell>
          <cell r="E73">
            <v>325</v>
          </cell>
          <cell r="F73">
            <v>211</v>
          </cell>
          <cell r="G73">
            <v>1781</v>
          </cell>
          <cell r="H73">
            <v>1464</v>
          </cell>
          <cell r="I73">
            <v>193</v>
          </cell>
          <cell r="J73">
            <v>124</v>
          </cell>
          <cell r="K73">
            <v>4999</v>
          </cell>
        </row>
        <row r="74">
          <cell r="A74" t="str">
            <v>143</v>
          </cell>
          <cell r="B74" t="str">
            <v>Pittsylvania</v>
          </cell>
          <cell r="C74">
            <v>8668</v>
          </cell>
          <cell r="D74">
            <v>4511</v>
          </cell>
          <cell r="E74">
            <v>2935</v>
          </cell>
          <cell r="F74">
            <v>1222</v>
          </cell>
          <cell r="G74">
            <v>5331</v>
          </cell>
          <cell r="H74">
            <v>2954</v>
          </cell>
          <cell r="I74">
            <v>1700</v>
          </cell>
          <cell r="J74">
            <v>677</v>
          </cell>
          <cell r="K74">
            <v>13999</v>
          </cell>
        </row>
        <row r="75">
          <cell r="A75" t="str">
            <v>145</v>
          </cell>
          <cell r="B75" t="str">
            <v>Powhatan</v>
          </cell>
          <cell r="C75">
            <v>1231</v>
          </cell>
          <cell r="D75">
            <v>731</v>
          </cell>
          <cell r="E75">
            <v>257</v>
          </cell>
          <cell r="F75">
            <v>243</v>
          </cell>
          <cell r="G75">
            <v>830</v>
          </cell>
          <cell r="H75">
            <v>549</v>
          </cell>
          <cell r="I75">
            <v>155</v>
          </cell>
          <cell r="J75">
            <v>126</v>
          </cell>
          <cell r="K75">
            <v>2061</v>
          </cell>
        </row>
        <row r="76">
          <cell r="A76" t="str">
            <v>147</v>
          </cell>
          <cell r="B76" t="str">
            <v>Prince Edward</v>
          </cell>
          <cell r="C76">
            <v>3093</v>
          </cell>
          <cell r="D76">
            <v>1076</v>
          </cell>
          <cell r="E76">
            <v>1891</v>
          </cell>
          <cell r="F76">
            <v>126</v>
          </cell>
          <cell r="G76">
            <v>1941</v>
          </cell>
          <cell r="H76">
            <v>602</v>
          </cell>
          <cell r="I76">
            <v>1173</v>
          </cell>
          <cell r="J76">
            <v>166</v>
          </cell>
          <cell r="K76">
            <v>5034</v>
          </cell>
        </row>
        <row r="77">
          <cell r="A77" t="str">
            <v>149</v>
          </cell>
          <cell r="B77" t="str">
            <v>Prince George</v>
          </cell>
          <cell r="C77">
            <v>2268</v>
          </cell>
          <cell r="D77">
            <v>1259</v>
          </cell>
          <cell r="E77">
            <v>890</v>
          </cell>
          <cell r="F77">
            <v>119</v>
          </cell>
          <cell r="G77">
            <v>1755</v>
          </cell>
          <cell r="H77">
            <v>826</v>
          </cell>
          <cell r="I77">
            <v>757</v>
          </cell>
          <cell r="J77">
            <v>172</v>
          </cell>
          <cell r="K77">
            <v>4023</v>
          </cell>
        </row>
        <row r="78">
          <cell r="A78" t="str">
            <v>153</v>
          </cell>
          <cell r="B78" t="str">
            <v>Prince William</v>
          </cell>
          <cell r="C78">
            <v>21993</v>
          </cell>
          <cell r="D78">
            <v>9832</v>
          </cell>
          <cell r="E78">
            <v>7074</v>
          </cell>
          <cell r="F78">
            <v>5087</v>
          </cell>
          <cell r="G78">
            <v>20483</v>
          </cell>
          <cell r="H78">
            <v>9153</v>
          </cell>
          <cell r="I78">
            <v>6755</v>
          </cell>
          <cell r="J78">
            <v>4575</v>
          </cell>
          <cell r="K78">
            <v>42476</v>
          </cell>
        </row>
        <row r="79">
          <cell r="A79" t="str">
            <v>155</v>
          </cell>
          <cell r="B79" t="str">
            <v>Pulaski</v>
          </cell>
          <cell r="C79">
            <v>5473</v>
          </cell>
          <cell r="D79">
            <v>4845</v>
          </cell>
          <cell r="E79">
            <v>486</v>
          </cell>
          <cell r="F79">
            <v>142</v>
          </cell>
          <cell r="G79">
            <v>3026</v>
          </cell>
          <cell r="H79">
            <v>2459</v>
          </cell>
          <cell r="I79">
            <v>305</v>
          </cell>
          <cell r="J79">
            <v>262</v>
          </cell>
          <cell r="K79">
            <v>8499</v>
          </cell>
        </row>
        <row r="80">
          <cell r="A80" t="str">
            <v>157</v>
          </cell>
          <cell r="B80" t="str">
            <v>Rappahannock</v>
          </cell>
          <cell r="C80">
            <v>481</v>
          </cell>
          <cell r="D80">
            <v>409</v>
          </cell>
          <cell r="E80">
            <v>42</v>
          </cell>
          <cell r="F80">
            <v>30</v>
          </cell>
          <cell r="G80">
            <v>312</v>
          </cell>
          <cell r="H80">
            <v>258</v>
          </cell>
          <cell r="I80">
            <v>31</v>
          </cell>
          <cell r="J80">
            <v>23</v>
          </cell>
          <cell r="K80">
            <v>793</v>
          </cell>
        </row>
        <row r="81">
          <cell r="A81" t="str">
            <v>159</v>
          </cell>
          <cell r="B81" t="str">
            <v>Richmond County</v>
          </cell>
          <cell r="C81">
            <v>1257</v>
          </cell>
          <cell r="D81">
            <v>536</v>
          </cell>
          <cell r="E81">
            <v>544</v>
          </cell>
          <cell r="F81">
            <v>177</v>
          </cell>
          <cell r="G81">
            <v>787</v>
          </cell>
          <cell r="H81">
            <v>312</v>
          </cell>
          <cell r="I81">
            <v>355</v>
          </cell>
          <cell r="J81">
            <v>120</v>
          </cell>
          <cell r="K81">
            <v>2044</v>
          </cell>
        </row>
        <row r="82">
          <cell r="A82" t="str">
            <v>161</v>
          </cell>
          <cell r="B82" t="str">
            <v>Roanoke County/Salem</v>
          </cell>
          <cell r="C82">
            <v>7060</v>
          </cell>
          <cell r="D82">
            <v>4820</v>
          </cell>
          <cell r="E82">
            <v>1013</v>
          </cell>
          <cell r="F82">
            <v>1227</v>
          </cell>
          <cell r="G82">
            <v>5188</v>
          </cell>
          <cell r="H82">
            <v>3274</v>
          </cell>
          <cell r="I82">
            <v>1036</v>
          </cell>
          <cell r="J82">
            <v>878</v>
          </cell>
          <cell r="K82">
            <v>12248</v>
          </cell>
        </row>
        <row r="83">
          <cell r="A83" t="str">
            <v>163</v>
          </cell>
          <cell r="B83" t="str">
            <v>Rockbridge/Buena Vista/Lexington</v>
          </cell>
          <cell r="C83">
            <v>3532</v>
          </cell>
          <cell r="D83">
            <v>2991</v>
          </cell>
          <cell r="E83">
            <v>298</v>
          </cell>
          <cell r="F83">
            <v>243</v>
          </cell>
          <cell r="G83">
            <v>2166</v>
          </cell>
          <cell r="H83">
            <v>1694</v>
          </cell>
          <cell r="I83">
            <v>214</v>
          </cell>
          <cell r="J83">
            <v>258</v>
          </cell>
          <cell r="K83">
            <v>5698</v>
          </cell>
        </row>
        <row r="84">
          <cell r="A84" t="str">
            <v>165</v>
          </cell>
          <cell r="B84" t="str">
            <v>Rockingham/Harrisonburg</v>
          </cell>
          <cell r="C84">
            <v>10477</v>
          </cell>
          <cell r="D84">
            <v>7532</v>
          </cell>
          <cell r="E84">
            <v>870</v>
          </cell>
          <cell r="F84">
            <v>2075</v>
          </cell>
          <cell r="G84">
            <v>7755</v>
          </cell>
          <cell r="H84">
            <v>5128</v>
          </cell>
          <cell r="I84">
            <v>665</v>
          </cell>
          <cell r="J84">
            <v>1962</v>
          </cell>
          <cell r="K84">
            <v>18232</v>
          </cell>
        </row>
        <row r="85">
          <cell r="A85" t="str">
            <v>167</v>
          </cell>
          <cell r="B85" t="str">
            <v>Russell</v>
          </cell>
          <cell r="C85">
            <v>5141</v>
          </cell>
          <cell r="D85">
            <v>4589</v>
          </cell>
          <cell r="E85">
            <v>30</v>
          </cell>
          <cell r="F85">
            <v>522</v>
          </cell>
          <cell r="G85">
            <v>2755</v>
          </cell>
          <cell r="H85">
            <v>2412</v>
          </cell>
          <cell r="I85">
            <v>28</v>
          </cell>
          <cell r="J85">
            <v>315</v>
          </cell>
          <cell r="K85">
            <v>7896</v>
          </cell>
        </row>
        <row r="86">
          <cell r="A86" t="str">
            <v>169</v>
          </cell>
          <cell r="B86" t="str">
            <v>Scott</v>
          </cell>
          <cell r="C86">
            <v>3443</v>
          </cell>
          <cell r="D86">
            <v>3181</v>
          </cell>
          <cell r="E86">
            <v>36</v>
          </cell>
          <cell r="F86">
            <v>226</v>
          </cell>
          <cell r="G86">
            <v>1869</v>
          </cell>
          <cell r="H86">
            <v>1709</v>
          </cell>
          <cell r="I86">
            <v>27</v>
          </cell>
          <cell r="J86">
            <v>133</v>
          </cell>
          <cell r="K86">
            <v>5312</v>
          </cell>
        </row>
        <row r="87">
          <cell r="A87" t="str">
            <v>171</v>
          </cell>
          <cell r="B87" t="str">
            <v>Shenandoah</v>
          </cell>
          <cell r="C87">
            <v>4416</v>
          </cell>
          <cell r="D87">
            <v>3543</v>
          </cell>
          <cell r="E87">
            <v>138</v>
          </cell>
          <cell r="F87">
            <v>735</v>
          </cell>
          <cell r="G87">
            <v>3120</v>
          </cell>
          <cell r="H87">
            <v>2506</v>
          </cell>
          <cell r="I87">
            <v>91</v>
          </cell>
          <cell r="J87">
            <v>523</v>
          </cell>
          <cell r="K87">
            <v>7536</v>
          </cell>
        </row>
        <row r="88">
          <cell r="A88" t="str">
            <v>173</v>
          </cell>
          <cell r="B88" t="str">
            <v>Smyth</v>
          </cell>
          <cell r="C88">
            <v>5752</v>
          </cell>
          <cell r="D88">
            <v>5199</v>
          </cell>
          <cell r="E88">
            <v>123</v>
          </cell>
          <cell r="F88">
            <v>430</v>
          </cell>
          <cell r="G88">
            <v>3180</v>
          </cell>
          <cell r="H88">
            <v>2730</v>
          </cell>
          <cell r="I88">
            <v>101</v>
          </cell>
          <cell r="J88">
            <v>349</v>
          </cell>
          <cell r="K88">
            <v>8932</v>
          </cell>
        </row>
        <row r="89">
          <cell r="A89" t="str">
            <v>175</v>
          </cell>
          <cell r="B89" t="str">
            <v>Southampton</v>
          </cell>
          <cell r="C89">
            <v>2449</v>
          </cell>
          <cell r="D89">
            <v>654</v>
          </cell>
          <cell r="E89">
            <v>1485</v>
          </cell>
          <cell r="F89">
            <v>310</v>
          </cell>
          <cell r="G89">
            <v>1523</v>
          </cell>
          <cell r="H89">
            <v>454</v>
          </cell>
          <cell r="I89">
            <v>936</v>
          </cell>
          <cell r="J89">
            <v>133</v>
          </cell>
          <cell r="K89">
            <v>3972</v>
          </cell>
        </row>
        <row r="90">
          <cell r="A90" t="str">
            <v>177</v>
          </cell>
          <cell r="B90" t="str">
            <v>Spotsylvania</v>
          </cell>
          <cell r="C90">
            <v>9472</v>
          </cell>
          <cell r="D90">
            <v>5799</v>
          </cell>
          <cell r="E90">
            <v>2551</v>
          </cell>
          <cell r="F90">
            <v>1122</v>
          </cell>
          <cell r="G90">
            <v>7930</v>
          </cell>
          <cell r="H90">
            <v>4242</v>
          </cell>
          <cell r="I90">
            <v>2470</v>
          </cell>
          <cell r="J90">
            <v>1218</v>
          </cell>
          <cell r="K90">
            <v>17402</v>
          </cell>
        </row>
        <row r="91">
          <cell r="A91" t="str">
            <v>179</v>
          </cell>
          <cell r="B91" t="str">
            <v>Stafford</v>
          </cell>
          <cell r="C91">
            <v>7196</v>
          </cell>
          <cell r="D91">
            <v>3113</v>
          </cell>
          <cell r="E91">
            <v>1872</v>
          </cell>
          <cell r="F91">
            <v>2211</v>
          </cell>
          <cell r="G91">
            <v>6727</v>
          </cell>
          <cell r="H91">
            <v>2630</v>
          </cell>
          <cell r="I91">
            <v>2052</v>
          </cell>
          <cell r="J91">
            <v>2045</v>
          </cell>
          <cell r="K91">
            <v>13923</v>
          </cell>
        </row>
        <row r="92">
          <cell r="A92" t="str">
            <v>181</v>
          </cell>
          <cell r="B92" t="str">
            <v>Surry</v>
          </cell>
          <cell r="C92">
            <v>884</v>
          </cell>
          <cell r="D92">
            <v>291</v>
          </cell>
          <cell r="E92">
            <v>531</v>
          </cell>
          <cell r="F92">
            <v>62</v>
          </cell>
          <cell r="G92">
            <v>528</v>
          </cell>
          <cell r="H92">
            <v>182</v>
          </cell>
          <cell r="I92">
            <v>320</v>
          </cell>
          <cell r="J92">
            <v>26</v>
          </cell>
          <cell r="K92">
            <v>1412</v>
          </cell>
        </row>
        <row r="93">
          <cell r="A93" t="str">
            <v>183</v>
          </cell>
          <cell r="B93" t="str">
            <v>Sussex</v>
          </cell>
          <cell r="C93">
            <v>1611</v>
          </cell>
          <cell r="D93">
            <v>323</v>
          </cell>
          <cell r="E93">
            <v>1022</v>
          </cell>
          <cell r="F93">
            <v>266</v>
          </cell>
          <cell r="G93">
            <v>1055</v>
          </cell>
          <cell r="H93">
            <v>198</v>
          </cell>
          <cell r="I93">
            <v>699</v>
          </cell>
          <cell r="J93">
            <v>158</v>
          </cell>
          <cell r="K93">
            <v>2666</v>
          </cell>
        </row>
        <row r="94">
          <cell r="A94" t="str">
            <v>185</v>
          </cell>
          <cell r="B94" t="str">
            <v>Tazewell</v>
          </cell>
          <cell r="C94">
            <v>6354</v>
          </cell>
          <cell r="D94">
            <v>5708</v>
          </cell>
          <cell r="E94">
            <v>199</v>
          </cell>
          <cell r="F94">
            <v>447</v>
          </cell>
          <cell r="G94">
            <v>3867</v>
          </cell>
          <cell r="H94">
            <v>3280</v>
          </cell>
          <cell r="I94">
            <v>172</v>
          </cell>
          <cell r="J94">
            <v>415</v>
          </cell>
          <cell r="K94">
            <v>10221</v>
          </cell>
        </row>
        <row r="95">
          <cell r="A95" t="str">
            <v>187</v>
          </cell>
          <cell r="B95" t="str">
            <v>Warren</v>
          </cell>
          <cell r="C95">
            <v>4290</v>
          </cell>
          <cell r="D95">
            <v>3214</v>
          </cell>
          <cell r="E95">
            <v>401</v>
          </cell>
          <cell r="F95">
            <v>675</v>
          </cell>
          <cell r="G95">
            <v>2886</v>
          </cell>
          <cell r="H95">
            <v>2161</v>
          </cell>
          <cell r="I95">
            <v>300</v>
          </cell>
          <cell r="J95">
            <v>425</v>
          </cell>
          <cell r="K95">
            <v>7176</v>
          </cell>
        </row>
        <row r="96">
          <cell r="A96" t="str">
            <v>191</v>
          </cell>
          <cell r="B96" t="str">
            <v>Washington</v>
          </cell>
          <cell r="C96">
            <v>6672</v>
          </cell>
          <cell r="D96">
            <v>6366</v>
          </cell>
          <cell r="E96">
            <v>164</v>
          </cell>
          <cell r="F96">
            <v>142</v>
          </cell>
          <cell r="G96">
            <v>3860</v>
          </cell>
          <cell r="H96">
            <v>3532</v>
          </cell>
          <cell r="I96">
            <v>115</v>
          </cell>
          <cell r="J96">
            <v>213</v>
          </cell>
          <cell r="K96">
            <v>10532</v>
          </cell>
        </row>
        <row r="97">
          <cell r="A97" t="str">
            <v>193</v>
          </cell>
          <cell r="B97" t="str">
            <v>Westmoreland</v>
          </cell>
          <cell r="C97">
            <v>2630</v>
          </cell>
          <cell r="D97">
            <v>1071</v>
          </cell>
          <cell r="E97">
            <v>1099</v>
          </cell>
          <cell r="F97">
            <v>460</v>
          </cell>
          <cell r="G97">
            <v>1801</v>
          </cell>
          <cell r="H97">
            <v>675</v>
          </cell>
          <cell r="I97">
            <v>845</v>
          </cell>
          <cell r="J97">
            <v>281</v>
          </cell>
          <cell r="K97">
            <v>4431</v>
          </cell>
        </row>
        <row r="98">
          <cell r="A98" t="str">
            <v>195</v>
          </cell>
          <cell r="B98" t="str">
            <v>Wise</v>
          </cell>
          <cell r="C98">
            <v>7307</v>
          </cell>
          <cell r="D98">
            <v>6563</v>
          </cell>
          <cell r="E98">
            <v>165</v>
          </cell>
          <cell r="F98">
            <v>579</v>
          </cell>
          <cell r="G98">
            <v>4173</v>
          </cell>
          <cell r="H98">
            <v>3605</v>
          </cell>
          <cell r="I98">
            <v>123</v>
          </cell>
          <cell r="J98">
            <v>445</v>
          </cell>
          <cell r="K98">
            <v>11480</v>
          </cell>
        </row>
        <row r="99">
          <cell r="A99" t="str">
            <v>197</v>
          </cell>
          <cell r="B99" t="str">
            <v>Wythe</v>
          </cell>
          <cell r="C99">
            <v>4291</v>
          </cell>
          <cell r="D99">
            <v>3611</v>
          </cell>
          <cell r="E99">
            <v>221</v>
          </cell>
          <cell r="F99">
            <v>459</v>
          </cell>
          <cell r="G99">
            <v>2369</v>
          </cell>
          <cell r="H99">
            <v>1905</v>
          </cell>
          <cell r="I99">
            <v>155</v>
          </cell>
          <cell r="J99">
            <v>309</v>
          </cell>
          <cell r="K99">
            <v>6660</v>
          </cell>
        </row>
        <row r="100">
          <cell r="A100" t="str">
            <v>199</v>
          </cell>
          <cell r="B100" t="str">
            <v>York/Poquoson</v>
          </cell>
          <cell r="C100">
            <v>2685</v>
          </cell>
          <cell r="D100">
            <v>1499</v>
          </cell>
          <cell r="E100">
            <v>895</v>
          </cell>
          <cell r="F100">
            <v>291</v>
          </cell>
          <cell r="G100">
            <v>2251</v>
          </cell>
          <cell r="H100">
            <v>1199</v>
          </cell>
          <cell r="I100">
            <v>810</v>
          </cell>
          <cell r="J100">
            <v>242</v>
          </cell>
          <cell r="K100">
            <v>4936</v>
          </cell>
        </row>
        <row r="101">
          <cell r="A101" t="str">
            <v>510</v>
          </cell>
          <cell r="B101" t="str">
            <v>Alexandria</v>
          </cell>
          <cell r="C101">
            <v>8162</v>
          </cell>
          <cell r="D101">
            <v>2475</v>
          </cell>
          <cell r="E101">
            <v>3669</v>
          </cell>
          <cell r="F101">
            <v>2018</v>
          </cell>
          <cell r="G101">
            <v>5682</v>
          </cell>
          <cell r="H101">
            <v>1969</v>
          </cell>
          <cell r="I101">
            <v>2374</v>
          </cell>
          <cell r="J101">
            <v>1339</v>
          </cell>
          <cell r="K101">
            <v>13844</v>
          </cell>
        </row>
        <row r="102">
          <cell r="A102" t="str">
            <v>520</v>
          </cell>
          <cell r="B102" t="str">
            <v>Bristol</v>
          </cell>
          <cell r="C102">
            <v>4197</v>
          </cell>
          <cell r="D102">
            <v>3676</v>
          </cell>
          <cell r="E102">
            <v>409</v>
          </cell>
          <cell r="F102">
            <v>112</v>
          </cell>
          <cell r="G102">
            <v>2458</v>
          </cell>
          <cell r="H102">
            <v>1970</v>
          </cell>
          <cell r="I102">
            <v>310</v>
          </cell>
          <cell r="J102">
            <v>178</v>
          </cell>
          <cell r="K102">
            <v>6655</v>
          </cell>
        </row>
        <row r="103">
          <cell r="A103" t="str">
            <v>540</v>
          </cell>
          <cell r="B103" t="str">
            <v>Charlottesville</v>
          </cell>
          <cell r="C103">
            <v>5283</v>
          </cell>
          <cell r="D103">
            <v>1835</v>
          </cell>
          <cell r="E103">
            <v>2846</v>
          </cell>
          <cell r="F103">
            <v>602</v>
          </cell>
          <cell r="G103">
            <v>3053</v>
          </cell>
          <cell r="H103">
            <v>741</v>
          </cell>
          <cell r="I103">
            <v>1905</v>
          </cell>
          <cell r="J103">
            <v>407</v>
          </cell>
          <cell r="K103">
            <v>8336</v>
          </cell>
        </row>
        <row r="104">
          <cell r="A104" t="str">
            <v>550</v>
          </cell>
          <cell r="B104" t="str">
            <v>Chesapeake</v>
          </cell>
          <cell r="C104">
            <v>17367</v>
          </cell>
          <cell r="D104">
            <v>5673</v>
          </cell>
          <cell r="E104">
            <v>10160</v>
          </cell>
          <cell r="F104">
            <v>1534</v>
          </cell>
          <cell r="G104">
            <v>14579</v>
          </cell>
          <cell r="H104">
            <v>3753</v>
          </cell>
          <cell r="I104">
            <v>9302</v>
          </cell>
          <cell r="J104">
            <v>1524</v>
          </cell>
          <cell r="K104">
            <v>31946</v>
          </cell>
        </row>
        <row r="105">
          <cell r="A105" t="str">
            <v>590</v>
          </cell>
          <cell r="B105" t="str">
            <v>Danville</v>
          </cell>
          <cell r="C105">
            <v>10842</v>
          </cell>
          <cell r="D105">
            <v>2649</v>
          </cell>
          <cell r="E105">
            <v>6840</v>
          </cell>
          <cell r="F105">
            <v>1353</v>
          </cell>
          <cell r="G105">
            <v>6712</v>
          </cell>
          <cell r="H105">
            <v>1296</v>
          </cell>
          <cell r="I105">
            <v>4618</v>
          </cell>
          <cell r="J105">
            <v>798</v>
          </cell>
          <cell r="K105">
            <v>17554</v>
          </cell>
        </row>
        <row r="106">
          <cell r="A106" t="str">
            <v>620</v>
          </cell>
          <cell r="B106" t="str">
            <v>Franklin City</v>
          </cell>
          <cell r="C106">
            <v>2065</v>
          </cell>
          <cell r="D106">
            <v>218</v>
          </cell>
          <cell r="E106">
            <v>1671</v>
          </cell>
          <cell r="F106">
            <v>176</v>
          </cell>
          <cell r="G106">
            <v>1357</v>
          </cell>
          <cell r="H106">
            <v>103</v>
          </cell>
          <cell r="I106">
            <v>1098</v>
          </cell>
          <cell r="J106">
            <v>156</v>
          </cell>
          <cell r="K106">
            <v>3422</v>
          </cell>
        </row>
        <row r="107">
          <cell r="A107" t="str">
            <v>630</v>
          </cell>
          <cell r="B107" t="str">
            <v>Fredericksburg</v>
          </cell>
          <cell r="C107">
            <v>4112</v>
          </cell>
          <cell r="D107">
            <v>1731</v>
          </cell>
          <cell r="E107">
            <v>1694</v>
          </cell>
          <cell r="F107">
            <v>687</v>
          </cell>
          <cell r="G107">
            <v>2844</v>
          </cell>
          <cell r="H107">
            <v>852</v>
          </cell>
          <cell r="I107">
            <v>1421</v>
          </cell>
          <cell r="J107">
            <v>571</v>
          </cell>
          <cell r="K107">
            <v>6956</v>
          </cell>
        </row>
        <row r="108">
          <cell r="A108" t="str">
            <v>640</v>
          </cell>
          <cell r="B108" t="str">
            <v>Galax</v>
          </cell>
          <cell r="C108">
            <v>1776</v>
          </cell>
          <cell r="D108">
            <v>1421</v>
          </cell>
          <cell r="E108">
            <v>151</v>
          </cell>
          <cell r="F108">
            <v>204</v>
          </cell>
          <cell r="G108">
            <v>1017</v>
          </cell>
          <cell r="H108">
            <v>821</v>
          </cell>
          <cell r="I108">
            <v>116</v>
          </cell>
          <cell r="J108">
            <v>80</v>
          </cell>
          <cell r="K108">
            <v>2793</v>
          </cell>
        </row>
        <row r="109">
          <cell r="A109" t="str">
            <v>650</v>
          </cell>
          <cell r="B109" t="str">
            <v>Hampton</v>
          </cell>
          <cell r="C109">
            <v>16627</v>
          </cell>
          <cell r="D109">
            <v>3783</v>
          </cell>
          <cell r="E109">
            <v>11321</v>
          </cell>
          <cell r="F109">
            <v>1523</v>
          </cell>
          <cell r="G109">
            <v>13015</v>
          </cell>
          <cell r="H109">
            <v>2262</v>
          </cell>
          <cell r="I109">
            <v>9218</v>
          </cell>
          <cell r="J109">
            <v>1535</v>
          </cell>
          <cell r="K109">
            <v>29642</v>
          </cell>
        </row>
        <row r="110">
          <cell r="A110" t="str">
            <v>670</v>
          </cell>
          <cell r="B110" t="str">
            <v>Hopewell</v>
          </cell>
          <cell r="C110">
            <v>5310</v>
          </cell>
          <cell r="D110">
            <v>2097</v>
          </cell>
          <cell r="E110">
            <v>2637</v>
          </cell>
          <cell r="F110">
            <v>576</v>
          </cell>
          <cell r="G110">
            <v>3928</v>
          </cell>
          <cell r="H110">
            <v>1291</v>
          </cell>
          <cell r="I110">
            <v>2177</v>
          </cell>
          <cell r="J110">
            <v>460</v>
          </cell>
          <cell r="K110">
            <v>9238</v>
          </cell>
        </row>
        <row r="111">
          <cell r="A111" t="str">
            <v>680</v>
          </cell>
          <cell r="B111" t="str">
            <v>Lynchburg</v>
          </cell>
          <cell r="C111">
            <v>10294</v>
          </cell>
          <cell r="D111">
            <v>3276</v>
          </cell>
          <cell r="E111">
            <v>5885</v>
          </cell>
          <cell r="F111">
            <v>1133</v>
          </cell>
          <cell r="G111">
            <v>7227</v>
          </cell>
          <cell r="H111">
            <v>1752</v>
          </cell>
          <cell r="I111">
            <v>4534</v>
          </cell>
          <cell r="J111">
            <v>941</v>
          </cell>
          <cell r="K111">
            <v>17521</v>
          </cell>
        </row>
        <row r="112">
          <cell r="A112" t="str">
            <v>683</v>
          </cell>
          <cell r="B112" t="str">
            <v>Manassas</v>
          </cell>
          <cell r="C112">
            <v>3508</v>
          </cell>
          <cell r="D112">
            <v>1528</v>
          </cell>
          <cell r="E112">
            <v>894</v>
          </cell>
          <cell r="F112">
            <v>1086</v>
          </cell>
          <cell r="G112">
            <v>3680</v>
          </cell>
          <cell r="H112">
            <v>1349</v>
          </cell>
          <cell r="I112">
            <v>743</v>
          </cell>
          <cell r="J112">
            <v>1588</v>
          </cell>
          <cell r="K112">
            <v>7188</v>
          </cell>
        </row>
        <row r="113">
          <cell r="A113" t="str">
            <v>685</v>
          </cell>
          <cell r="B113" t="str">
            <v>Manassas Park</v>
          </cell>
          <cell r="C113">
            <v>1146</v>
          </cell>
          <cell r="D113">
            <v>643</v>
          </cell>
          <cell r="E113">
            <v>178</v>
          </cell>
          <cell r="F113">
            <v>325</v>
          </cell>
          <cell r="G113">
            <v>1095</v>
          </cell>
          <cell r="H113">
            <v>562</v>
          </cell>
          <cell r="I113">
            <v>195</v>
          </cell>
          <cell r="J113">
            <v>338</v>
          </cell>
          <cell r="K113">
            <v>2241</v>
          </cell>
        </row>
        <row r="114">
          <cell r="A114" t="str">
            <v>700</v>
          </cell>
          <cell r="B114" t="str">
            <v>Newport News</v>
          </cell>
          <cell r="C114">
            <v>27379</v>
          </cell>
          <cell r="D114">
            <v>5295</v>
          </cell>
          <cell r="E114">
            <v>18419</v>
          </cell>
          <cell r="F114">
            <v>3665</v>
          </cell>
          <cell r="G114">
            <v>20949</v>
          </cell>
          <cell r="H114">
            <v>3075</v>
          </cell>
          <cell r="I114">
            <v>14882</v>
          </cell>
          <cell r="J114">
            <v>2992</v>
          </cell>
          <cell r="K114">
            <v>48328</v>
          </cell>
        </row>
        <row r="115">
          <cell r="A115" t="str">
            <v>710</v>
          </cell>
          <cell r="B115" t="str">
            <v>Norfolk</v>
          </cell>
          <cell r="C115">
            <v>37461</v>
          </cell>
          <cell r="D115">
            <v>6694</v>
          </cell>
          <cell r="E115">
            <v>26854</v>
          </cell>
          <cell r="F115">
            <v>3913</v>
          </cell>
          <cell r="G115">
            <v>26772</v>
          </cell>
          <cell r="H115">
            <v>3397</v>
          </cell>
          <cell r="I115">
            <v>20306</v>
          </cell>
          <cell r="J115">
            <v>3069</v>
          </cell>
          <cell r="K115">
            <v>64233</v>
          </cell>
        </row>
        <row r="116">
          <cell r="A116" t="str">
            <v>720</v>
          </cell>
          <cell r="B116" t="str">
            <v>Norton</v>
          </cell>
          <cell r="C116">
            <v>955</v>
          </cell>
          <cell r="D116">
            <v>789</v>
          </cell>
          <cell r="E116">
            <v>76</v>
          </cell>
          <cell r="F116">
            <v>90</v>
          </cell>
          <cell r="G116">
            <v>522</v>
          </cell>
          <cell r="H116">
            <v>396</v>
          </cell>
          <cell r="I116">
            <v>58</v>
          </cell>
          <cell r="J116">
            <v>68</v>
          </cell>
          <cell r="K116">
            <v>1477</v>
          </cell>
        </row>
        <row r="117">
          <cell r="A117" t="str">
            <v>730</v>
          </cell>
          <cell r="B117" t="str">
            <v>Petersburg</v>
          </cell>
          <cell r="C117">
            <v>9258</v>
          </cell>
          <cell r="D117">
            <v>726</v>
          </cell>
          <cell r="E117">
            <v>7470</v>
          </cell>
          <cell r="F117">
            <v>1062</v>
          </cell>
          <cell r="G117">
            <v>5447</v>
          </cell>
          <cell r="H117">
            <v>312</v>
          </cell>
          <cell r="I117">
            <v>4498</v>
          </cell>
          <cell r="J117">
            <v>637</v>
          </cell>
          <cell r="K117">
            <v>14705</v>
          </cell>
        </row>
        <row r="118">
          <cell r="A118" t="str">
            <v>740</v>
          </cell>
          <cell r="B118" t="str">
            <v>Portsmouth</v>
          </cell>
          <cell r="C118">
            <v>17171</v>
          </cell>
          <cell r="D118">
            <v>2842</v>
          </cell>
          <cell r="E118">
            <v>12377</v>
          </cell>
          <cell r="F118">
            <v>1952</v>
          </cell>
          <cell r="G118">
            <v>12724</v>
          </cell>
          <cell r="H118">
            <v>1540</v>
          </cell>
          <cell r="I118">
            <v>9965</v>
          </cell>
          <cell r="J118">
            <v>1219</v>
          </cell>
          <cell r="K118">
            <v>29895</v>
          </cell>
        </row>
        <row r="119">
          <cell r="A119" t="str">
            <v>750</v>
          </cell>
          <cell r="B119" t="str">
            <v>Radford</v>
          </cell>
          <cell r="C119">
            <v>1635</v>
          </cell>
          <cell r="D119">
            <v>1276</v>
          </cell>
          <cell r="E119">
            <v>293</v>
          </cell>
          <cell r="F119">
            <v>66</v>
          </cell>
          <cell r="G119">
            <v>1012</v>
          </cell>
          <cell r="H119">
            <v>688</v>
          </cell>
          <cell r="I119">
            <v>198</v>
          </cell>
          <cell r="J119">
            <v>126</v>
          </cell>
          <cell r="K119">
            <v>2647</v>
          </cell>
        </row>
        <row r="120">
          <cell r="A120" t="str">
            <v>760</v>
          </cell>
          <cell r="B120" t="str">
            <v>Richmond City</v>
          </cell>
          <cell r="C120">
            <v>42255</v>
          </cell>
          <cell r="D120">
            <v>4583</v>
          </cell>
          <cell r="E120">
            <v>32383</v>
          </cell>
          <cell r="F120">
            <v>5289</v>
          </cell>
          <cell r="G120">
            <v>25729</v>
          </cell>
          <cell r="H120">
            <v>1594</v>
          </cell>
          <cell r="I120">
            <v>20082</v>
          </cell>
          <cell r="J120">
            <v>4053</v>
          </cell>
          <cell r="K120">
            <v>67984</v>
          </cell>
        </row>
        <row r="121">
          <cell r="A121" t="str">
            <v>770</v>
          </cell>
          <cell r="B121" t="str">
            <v>Roanoke City</v>
          </cell>
          <cell r="C121">
            <v>19240</v>
          </cell>
          <cell r="D121">
            <v>9232</v>
          </cell>
          <cell r="E121">
            <v>7738</v>
          </cell>
          <cell r="F121">
            <v>2270</v>
          </cell>
          <cell r="G121">
            <v>12738</v>
          </cell>
          <cell r="H121">
            <v>4815</v>
          </cell>
          <cell r="I121">
            <v>6198</v>
          </cell>
          <cell r="J121">
            <v>1725</v>
          </cell>
          <cell r="K121">
            <v>31978</v>
          </cell>
        </row>
        <row r="122">
          <cell r="A122" t="str">
            <v>800</v>
          </cell>
          <cell r="B122" t="str">
            <v>Suffolk</v>
          </cell>
          <cell r="C122">
            <v>9608</v>
          </cell>
          <cell r="D122">
            <v>1799</v>
          </cell>
          <cell r="E122">
            <v>6641</v>
          </cell>
          <cell r="F122">
            <v>1168</v>
          </cell>
          <cell r="G122">
            <v>6941</v>
          </cell>
          <cell r="H122">
            <v>1134</v>
          </cell>
          <cell r="I122">
            <v>5035</v>
          </cell>
          <cell r="J122">
            <v>772</v>
          </cell>
          <cell r="K122">
            <v>16549</v>
          </cell>
        </row>
        <row r="123">
          <cell r="A123" t="str">
            <v>810</v>
          </cell>
          <cell r="B123" t="str">
            <v>Virginia Beach</v>
          </cell>
          <cell r="C123">
            <v>27476</v>
          </cell>
          <cell r="D123">
            <v>10992</v>
          </cell>
          <cell r="E123">
            <v>11907</v>
          </cell>
          <cell r="F123">
            <v>4577</v>
          </cell>
          <cell r="G123">
            <v>21346</v>
          </cell>
          <cell r="H123">
            <v>6514</v>
          </cell>
          <cell r="I123">
            <v>10810</v>
          </cell>
          <cell r="J123">
            <v>4022</v>
          </cell>
          <cell r="K123">
            <v>48822</v>
          </cell>
        </row>
        <row r="124">
          <cell r="A124" t="str">
            <v>830</v>
          </cell>
          <cell r="B124" t="str">
            <v>Williamsburg</v>
          </cell>
          <cell r="C124">
            <v>1070</v>
          </cell>
          <cell r="D124">
            <v>394</v>
          </cell>
          <cell r="E124">
            <v>521</v>
          </cell>
          <cell r="F124">
            <v>155</v>
          </cell>
          <cell r="G124">
            <v>815</v>
          </cell>
          <cell r="H124">
            <v>266</v>
          </cell>
          <cell r="I124">
            <v>420</v>
          </cell>
          <cell r="J124">
            <v>129</v>
          </cell>
          <cell r="K124">
            <v>1885</v>
          </cell>
        </row>
        <row r="125">
          <cell r="A125" t="str">
            <v>840</v>
          </cell>
          <cell r="B125" t="str">
            <v>Winchester</v>
          </cell>
          <cell r="C125">
            <v>4428</v>
          </cell>
          <cell r="D125">
            <v>2903</v>
          </cell>
          <cell r="E125">
            <v>759</v>
          </cell>
          <cell r="F125">
            <v>766</v>
          </cell>
          <cell r="G125">
            <v>3083</v>
          </cell>
          <cell r="H125">
            <v>1895</v>
          </cell>
          <cell r="I125">
            <v>605</v>
          </cell>
          <cell r="J125">
            <v>583</v>
          </cell>
          <cell r="K125">
            <v>7511</v>
          </cell>
        </row>
        <row r="126">
          <cell r="A126" t="str">
            <v>999</v>
          </cell>
          <cell r="B126" t="str">
            <v>Statewide</v>
          </cell>
          <cell r="C126">
            <v>741768</v>
          </cell>
          <cell r="D126">
            <v>344768</v>
          </cell>
          <cell r="E126">
            <v>292560</v>
          </cell>
          <cell r="F126">
            <v>104440</v>
          </cell>
          <cell r="G126">
            <v>486216</v>
          </cell>
          <cell r="H126">
            <v>217138</v>
          </cell>
          <cell r="I126">
            <v>221009</v>
          </cell>
          <cell r="J126">
            <v>81172</v>
          </cell>
          <cell r="K126">
            <v>1261087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search@dss.virginia.gov"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search@dss.virginia.gov"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esearch@dss.virginia.gov"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search@dss.virginia.gov"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search@dss.virginia.gov"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Research@dss.virginia.gov"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search@dss.virginia.gov"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Research@dss.virginia.gov"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Research@dss.virginia.gov"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Research@dss.virginia.gov"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Research@dss.virginia.gov"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earch@dss.virginia.gov"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Research@dss.virginia.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Research@dss.virginia.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esearch@dss.virginia.gov"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Research@dss.virginia.gov"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Research@dss.virginia.gov"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Research@dss.virginia.gov"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Research@dss.virginia.gov"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Research@dss.virginia.gov"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hyperlink" Target="mailto:Research@dss.virginia.gov" TargetMode="External"/><Relationship Id="rId4" Type="http://schemas.openxmlformats.org/officeDocument/2006/relationships/comments" Target="../comments1.xml"/></Relationships>
</file>

<file path=xl/worksheets/_rels/sheet5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Research@dss.virginia.gov"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esearch@dss.virginia.gov"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Research@dss.virginia.gov"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Research@dss.virginia.gov"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Research@dss.virginia.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Research@dss.virginia.gov"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224"/>
  <sheetViews>
    <sheetView tabSelected="1" zoomScaleNormal="100" zoomScaleSheetLayoutView="100" workbookViewId="0">
      <pane ySplit="4" topLeftCell="A5" activePane="bottomLeft" state="frozen"/>
      <selection pane="bottomLeft" activeCell="D3" sqref="D3:G3"/>
    </sheetView>
  </sheetViews>
  <sheetFormatPr defaultRowHeight="12" x14ac:dyDescent="0.2"/>
  <cols>
    <col min="1" max="1" width="1" style="66" customWidth="1"/>
    <col min="2" max="2" width="9.5" style="66" customWidth="1"/>
    <col min="3" max="9" width="9" style="66" customWidth="1"/>
    <col min="10" max="11" width="10.25" style="66" customWidth="1"/>
    <col min="12" max="13" width="10.625" style="66" customWidth="1"/>
    <col min="14" max="14" width="9" style="66" customWidth="1"/>
    <col min="15" max="16" width="10" style="66" customWidth="1"/>
    <col min="17" max="17" width="9.125" style="66" bestFit="1" customWidth="1"/>
    <col min="18" max="18" width="6.5" style="66" bestFit="1" customWidth="1"/>
    <col min="19" max="19" width="9.125" style="66" bestFit="1" customWidth="1"/>
    <col min="20" max="20" width="12" style="66" customWidth="1"/>
    <col min="21" max="21" width="12.75" style="66" customWidth="1"/>
    <col min="22" max="22" width="11" style="66" bestFit="1" customWidth="1"/>
    <col min="23" max="23" width="12" style="66" customWidth="1"/>
    <col min="24" max="24" width="10.875" style="66" bestFit="1" customWidth="1"/>
    <col min="25" max="16384" width="9" style="66"/>
  </cols>
  <sheetData>
    <row r="1" spans="2:32" ht="15.75" x14ac:dyDescent="0.25">
      <c r="B1" s="1953" t="s">
        <v>1174</v>
      </c>
      <c r="C1" s="1953"/>
      <c r="D1" s="1953"/>
      <c r="E1" s="1953"/>
      <c r="F1" s="1953"/>
      <c r="G1" s="1953"/>
      <c r="H1" s="1953"/>
      <c r="I1" s="1953"/>
      <c r="J1" s="1953"/>
      <c r="K1" s="1953"/>
      <c r="L1" s="1953"/>
      <c r="M1" s="1953"/>
      <c r="N1" s="1953"/>
      <c r="O1" s="173"/>
      <c r="P1" s="67"/>
      <c r="Q1" s="67"/>
      <c r="R1" s="67"/>
      <c r="AF1" s="68" t="s">
        <v>8</v>
      </c>
    </row>
    <row r="2" spans="2:32" ht="8.25" customHeight="1" x14ac:dyDescent="0.2"/>
    <row r="3" spans="2:32" ht="15.75" customHeight="1" x14ac:dyDescent="0.2">
      <c r="B3" s="1959" t="s">
        <v>1</v>
      </c>
      <c r="C3" s="1959"/>
      <c r="D3" s="1954" t="s">
        <v>11</v>
      </c>
      <c r="E3" s="1955"/>
      <c r="F3" s="1955"/>
      <c r="G3" s="1956"/>
      <c r="H3" s="160" t="s">
        <v>0</v>
      </c>
      <c r="I3" s="349" t="str">
        <f>VLOOKUP(D3,Loc_Name,2,FALSE)</f>
        <v>001</v>
      </c>
      <c r="J3" s="160" t="s">
        <v>613</v>
      </c>
      <c r="K3" s="348" t="str">
        <f>VLOOKUP(+I3,Agency_Level,3,FALSE)</f>
        <v>Eastern</v>
      </c>
      <c r="L3" s="161"/>
      <c r="M3" s="161"/>
      <c r="N3" s="161"/>
      <c r="O3" s="161"/>
      <c r="R3" s="71"/>
      <c r="S3" s="71"/>
      <c r="T3" s="71"/>
    </row>
    <row r="4" spans="2:32" ht="9" customHeight="1" x14ac:dyDescent="0.2">
      <c r="J4" s="72"/>
      <c r="Q4" s="71"/>
      <c r="R4" s="71"/>
      <c r="S4" s="71"/>
      <c r="T4" s="71"/>
    </row>
    <row r="5" spans="2:32" ht="13.5" customHeight="1" x14ac:dyDescent="0.2">
      <c r="B5" s="1957" t="s">
        <v>614</v>
      </c>
      <c r="C5" s="1957"/>
      <c r="D5" s="345" t="str">
        <f>VLOOKUP(I3,Agency_Level,5,FALSE)</f>
        <v>II (Two)</v>
      </c>
      <c r="E5" s="69" t="s">
        <v>615</v>
      </c>
      <c r="F5" s="1958" t="str">
        <f>VLOOKUP(I3,Agency_Level,9,FALSE)</f>
        <v>Non-Deviating</v>
      </c>
      <c r="G5" s="1958"/>
      <c r="H5" s="69" t="s">
        <v>616</v>
      </c>
      <c r="I5" s="346" t="str">
        <f>VLOOKUP(+I3,IT_Support,4,)</f>
        <v>Shared</v>
      </c>
      <c r="J5" s="1964" t="s">
        <v>734</v>
      </c>
      <c r="K5" s="1964"/>
      <c r="L5" s="347" t="str">
        <f>VLOOKUP(I3,Agency_Level,6,FALSE)</f>
        <v>Administrative</v>
      </c>
      <c r="M5" s="1914" t="str">
        <f>IF((VLOOKUP(I3,Agency_Level,6,FALSE))="Administrative"," ",VLOOKUP(I3,Agency_Level,7,FALSE))</f>
        <v xml:space="preserve"> </v>
      </c>
      <c r="N5" s="1914"/>
      <c r="O5" s="266"/>
      <c r="P5" s="266"/>
      <c r="R5" s="74"/>
      <c r="S5" s="74"/>
      <c r="T5" s="74"/>
    </row>
    <row r="6" spans="2:32" ht="7.5" customHeight="1" x14ac:dyDescent="0.2">
      <c r="J6" s="73"/>
      <c r="L6" s="174"/>
      <c r="M6" s="1914"/>
      <c r="N6" s="1914"/>
      <c r="O6" s="174"/>
      <c r="Q6" s="74"/>
      <c r="R6" s="74"/>
      <c r="S6" s="74"/>
      <c r="T6" s="74"/>
    </row>
    <row r="7" spans="2:32" ht="13.5" customHeight="1" x14ac:dyDescent="0.2">
      <c r="B7" s="1508" t="s">
        <v>1123</v>
      </c>
      <c r="C7" s="166"/>
      <c r="D7" s="166"/>
      <c r="E7" s="166"/>
      <c r="F7" s="166"/>
      <c r="G7" s="166"/>
      <c r="H7" s="166"/>
      <c r="I7" s="166"/>
      <c r="M7" s="1510"/>
      <c r="N7" s="1510"/>
      <c r="Q7" s="74"/>
      <c r="R7" s="74"/>
      <c r="S7" s="74"/>
      <c r="T7" s="74"/>
    </row>
    <row r="8" spans="2:32" ht="13.5" customHeight="1" x14ac:dyDescent="0.2">
      <c r="B8" s="1509" t="s">
        <v>1122</v>
      </c>
      <c r="C8" s="171"/>
      <c r="D8" s="171"/>
      <c r="E8" s="171"/>
      <c r="F8" s="171"/>
      <c r="G8" s="171"/>
      <c r="H8" s="166"/>
      <c r="I8" s="166"/>
      <c r="J8" s="166"/>
      <c r="K8" s="166"/>
      <c r="L8" s="166"/>
      <c r="M8" s="175"/>
      <c r="N8" s="166"/>
      <c r="O8" s="166"/>
      <c r="Q8" s="74"/>
      <c r="R8" s="74"/>
      <c r="S8" s="74"/>
      <c r="T8" s="74"/>
    </row>
    <row r="9" spans="2:32" ht="13.5" customHeight="1" x14ac:dyDescent="0.2">
      <c r="B9" s="90" t="s">
        <v>718</v>
      </c>
      <c r="C9" s="90"/>
      <c r="D9" s="90"/>
    </row>
    <row r="10" spans="2:32" ht="13.5" customHeight="1" x14ac:dyDescent="0.2">
      <c r="B10" s="1507" t="s">
        <v>1263</v>
      </c>
      <c r="C10" s="90"/>
      <c r="D10" s="90"/>
      <c r="E10" s="90"/>
      <c r="F10" s="90"/>
      <c r="G10" s="90"/>
      <c r="H10" s="90"/>
      <c r="I10" s="90"/>
      <c r="J10" s="90"/>
      <c r="K10" s="90"/>
      <c r="L10" s="90"/>
    </row>
    <row r="11" spans="2:32" ht="13.5" customHeight="1" x14ac:dyDescent="0.2">
      <c r="B11" s="1966" t="s">
        <v>1138</v>
      </c>
      <c r="C11" s="1967"/>
      <c r="D11" s="1972" t="str">
        <f>D3</f>
        <v>Accomack</v>
      </c>
      <c r="E11" s="1973"/>
      <c r="F11" s="1883" t="str">
        <f>K3</f>
        <v>Eastern</v>
      </c>
      <c r="G11" s="1883" t="s">
        <v>9</v>
      </c>
    </row>
    <row r="12" spans="2:32" ht="13.5" customHeight="1" x14ac:dyDescent="0.2">
      <c r="B12" s="1968"/>
      <c r="C12" s="1969"/>
      <c r="D12" s="1974"/>
      <c r="E12" s="1975"/>
      <c r="F12" s="1884"/>
      <c r="G12" s="1884"/>
      <c r="I12" s="1976">
        <f>VLOOKUP(I3,Poverty,5,FALSE)</f>
        <v>6319</v>
      </c>
      <c r="J12" s="1882" t="s">
        <v>782</v>
      </c>
      <c r="K12" s="1882"/>
      <c r="L12" s="1882"/>
      <c r="M12" s="1882"/>
    </row>
    <row r="13" spans="2:32" ht="13.5" customHeight="1" x14ac:dyDescent="0.2">
      <c r="B13" s="1970"/>
      <c r="C13" s="1971"/>
      <c r="D13" s="332" t="s">
        <v>620</v>
      </c>
      <c r="E13" s="333" t="s">
        <v>280</v>
      </c>
      <c r="F13" s="334" t="s">
        <v>280</v>
      </c>
      <c r="G13" s="358" t="s">
        <v>280</v>
      </c>
      <c r="I13" s="1976"/>
      <c r="J13" s="1882"/>
      <c r="K13" s="1882"/>
      <c r="L13" s="1882"/>
      <c r="M13" s="1882"/>
    </row>
    <row r="14" spans="2:32" ht="13.5" customHeight="1" x14ac:dyDescent="0.2">
      <c r="B14" s="359" t="s">
        <v>448</v>
      </c>
      <c r="C14" s="335"/>
      <c r="D14" s="336">
        <f>VLOOKUP(I3,Pop_2013,5,FALSE)</f>
        <v>33021</v>
      </c>
      <c r="E14" s="331"/>
      <c r="F14" s="337"/>
      <c r="G14" s="360"/>
      <c r="I14" s="1976"/>
      <c r="J14" s="1979"/>
      <c r="K14" s="1979"/>
      <c r="L14" s="1979"/>
      <c r="M14" s="1979"/>
    </row>
    <row r="15" spans="2:32" ht="13.5" customHeight="1" x14ac:dyDescent="0.2">
      <c r="B15" s="361" t="s">
        <v>617</v>
      </c>
      <c r="C15" s="163"/>
      <c r="D15" s="338"/>
      <c r="E15" s="164"/>
      <c r="F15" s="339"/>
      <c r="G15" s="362"/>
      <c r="I15" s="1963">
        <f>VLOOKUP(I3,Poverty,6,FALSE)</f>
        <v>0.19371551195585529</v>
      </c>
      <c r="J15" s="1882" t="s">
        <v>783</v>
      </c>
      <c r="K15" s="1882"/>
      <c r="L15" s="1882"/>
      <c r="M15" s="1882"/>
    </row>
    <row r="16" spans="2:32" ht="13.5" customHeight="1" x14ac:dyDescent="0.2">
      <c r="B16" s="1885" t="s">
        <v>618</v>
      </c>
      <c r="C16" s="1886"/>
      <c r="D16" s="340">
        <f>VLOOKUP(I3,Pop_2013,11,FALSE)</f>
        <v>6912</v>
      </c>
      <c r="E16" s="275">
        <f>VLOOKUP(I3,Pop_2013,34,FALSE)</f>
        <v>0.20932134096484056</v>
      </c>
      <c r="F16" s="341">
        <f>VLOOKUP(K3,Pop_2013,34,FALSE)</f>
        <v>0.22300580248855392</v>
      </c>
      <c r="G16" s="363">
        <f>'2014 Population'!AH5</f>
        <v>0.22448356044331394</v>
      </c>
      <c r="I16" s="1963"/>
      <c r="J16" s="1882"/>
      <c r="K16" s="1882"/>
      <c r="L16" s="1882"/>
      <c r="M16" s="1882"/>
    </row>
    <row r="17" spans="2:17" ht="13.5" customHeight="1" x14ac:dyDescent="0.2">
      <c r="B17" s="1885" t="s">
        <v>719</v>
      </c>
      <c r="C17" s="1886"/>
      <c r="D17" s="340">
        <f>VLOOKUP(I3,Pop_2013,17,FALSE)</f>
        <v>19091</v>
      </c>
      <c r="E17" s="275">
        <f>VLOOKUP(I3,Pop_2013,35,FALSE)</f>
        <v>0.5781472396353835</v>
      </c>
      <c r="F17" s="341">
        <f>VLOOKUP(K3,Pop_2013,35,FALSE)</f>
        <v>0.64267081389986502</v>
      </c>
      <c r="G17" s="363">
        <f>'2014 Population'!AI5</f>
        <v>0.63777368284958647</v>
      </c>
      <c r="I17" s="1963"/>
      <c r="J17" s="1882"/>
      <c r="K17" s="1882"/>
      <c r="L17" s="1882"/>
      <c r="M17" s="1882"/>
    </row>
    <row r="18" spans="2:17" ht="13.5" customHeight="1" x14ac:dyDescent="0.2">
      <c r="B18" s="1885" t="s">
        <v>742</v>
      </c>
      <c r="C18" s="1886"/>
      <c r="D18" s="340">
        <f>VLOOKUP(I3,Pop_2013,23,FALSE)</f>
        <v>7018</v>
      </c>
      <c r="E18" s="275">
        <f>VLOOKUP(I3,Pop_2013,36,FALSE)</f>
        <v>0.21253141939977591</v>
      </c>
      <c r="F18" s="341">
        <f>VLOOKUP(K3,Pop_2013,36,FALSE)</f>
        <v>0.134323383611581</v>
      </c>
      <c r="G18" s="363">
        <f>'2014 Population'!AJ5</f>
        <v>0.13774275670709965</v>
      </c>
      <c r="I18" s="1965">
        <f>VLOOKUP(I3,Poverty,8,FALSE)</f>
        <v>2102</v>
      </c>
      <c r="J18" s="1960" t="s">
        <v>784</v>
      </c>
      <c r="K18" s="1960"/>
      <c r="L18" s="1960"/>
      <c r="M18" s="1960"/>
    </row>
    <row r="19" spans="2:17" ht="13.5" customHeight="1" x14ac:dyDescent="0.2">
      <c r="B19" s="364" t="s">
        <v>874</v>
      </c>
      <c r="C19" s="165"/>
      <c r="D19" s="342"/>
      <c r="E19" s="276"/>
      <c r="F19" s="343"/>
      <c r="G19" s="365"/>
      <c r="I19" s="1965"/>
      <c r="J19" s="1882"/>
      <c r="K19" s="1882"/>
      <c r="L19" s="1882"/>
      <c r="M19" s="1882"/>
    </row>
    <row r="20" spans="2:17" ht="13.5" customHeight="1" x14ac:dyDescent="0.2">
      <c r="B20" s="1885" t="s">
        <v>2</v>
      </c>
      <c r="C20" s="1886"/>
      <c r="D20" s="344">
        <f>VLOOKUP(I3,Pop_2013,6,FALSE)</f>
        <v>23008</v>
      </c>
      <c r="E20" s="275">
        <f>VLOOKUP(I3,Pop_2013,29,FALSE)</f>
        <v>0.69676872293389058</v>
      </c>
      <c r="F20" s="341">
        <f>VLOOKUP(K3,Pop_2013,29,FALSE)</f>
        <v>0.61347219502695804</v>
      </c>
      <c r="G20" s="363">
        <f>'2014 Population'!AC5</f>
        <v>0.71888148489681303</v>
      </c>
      <c r="I20" s="1965"/>
      <c r="J20" s="1961"/>
      <c r="K20" s="1961"/>
      <c r="L20" s="1961"/>
      <c r="M20" s="1961"/>
    </row>
    <row r="21" spans="2:17" ht="13.5" customHeight="1" x14ac:dyDescent="0.2">
      <c r="B21" s="1885" t="s">
        <v>733</v>
      </c>
      <c r="C21" s="1886"/>
      <c r="D21" s="344">
        <f>VLOOKUP(I3,Pop_2013,7,FALSE)</f>
        <v>9485</v>
      </c>
      <c r="E21" s="275">
        <f>VLOOKUP(I3,Pop_2013,30,FALSE)</f>
        <v>0.28724145240907301</v>
      </c>
      <c r="F21" s="341">
        <f>VLOOKUP(K3,Pop_2013,30,FALSE)</f>
        <v>0.33700282153094535</v>
      </c>
      <c r="G21" s="363">
        <f>'2014 Population'!AD5</f>
        <v>0.20558990926209744</v>
      </c>
      <c r="I21" s="1963">
        <f>VLOOKUP(I3,Poverty,9,FALSE)</f>
        <v>0.30916311222238563</v>
      </c>
      <c r="J21" s="1962" t="s">
        <v>785</v>
      </c>
      <c r="K21" s="1962"/>
      <c r="L21" s="1962"/>
      <c r="M21" s="1962"/>
      <c r="Q21" s="80"/>
    </row>
    <row r="22" spans="2:17" ht="13.5" customHeight="1" x14ac:dyDescent="0.2">
      <c r="B22" s="1885" t="s">
        <v>581</v>
      </c>
      <c r="C22" s="1886"/>
      <c r="D22" s="344">
        <f>VLOOKUP(I3,Pop_2013,8,FALSE)</f>
        <v>301</v>
      </c>
      <c r="E22" s="275">
        <f>VLOOKUP(I3,Pop_2013,33,FALSE)</f>
        <v>1.5989824657036432E-2</v>
      </c>
      <c r="F22" s="341">
        <f>VLOOKUP(K3,Pop_2013,33,FALSE)</f>
        <v>4.9524983442096555E-2</v>
      </c>
      <c r="G22" s="363">
        <f>'2014 Population'!AG5</f>
        <v>7.5528605841089586E-2</v>
      </c>
      <c r="I22" s="1963"/>
      <c r="J22" s="1882"/>
      <c r="K22" s="1882"/>
      <c r="L22" s="1882"/>
      <c r="M22" s="1882"/>
    </row>
    <row r="23" spans="2:17" ht="13.5" customHeight="1" x14ac:dyDescent="0.2">
      <c r="B23" s="1977" t="s">
        <v>619</v>
      </c>
      <c r="C23" s="1978"/>
      <c r="D23" s="366">
        <f>VLOOKUP(I3,Pop_2013,37,FALSE)</f>
        <v>2924</v>
      </c>
      <c r="E23" s="367">
        <f>VLOOKUP(I3,Pop_2013,41,FALSE)</f>
        <v>8.8549710790103264E-2</v>
      </c>
      <c r="F23" s="368">
        <f>VLOOKUP(K3,Pop_2013,41,FALSE)</f>
        <v>6.2245412203522581E-2</v>
      </c>
      <c r="G23" s="369">
        <f>'2014 Population'!AO5</f>
        <v>8.8552775432128292E-2</v>
      </c>
      <c r="H23" s="78"/>
      <c r="I23" s="1963"/>
      <c r="J23" s="1882"/>
      <c r="K23" s="1882"/>
      <c r="L23" s="1882"/>
      <c r="M23" s="1882"/>
    </row>
    <row r="24" spans="2:17" ht="13.5" customHeight="1" x14ac:dyDescent="0.2">
      <c r="B24" s="1876" t="s">
        <v>743</v>
      </c>
      <c r="C24" s="1876"/>
      <c r="D24" s="1876"/>
      <c r="E24" s="1876"/>
      <c r="F24" s="1876"/>
      <c r="G24" s="1876"/>
      <c r="H24" s="277"/>
      <c r="I24" s="277"/>
      <c r="J24" s="1897" t="s">
        <v>1227</v>
      </c>
      <c r="K24" s="1897"/>
      <c r="L24" s="1897"/>
      <c r="M24" s="1897"/>
    </row>
    <row r="25" spans="2:17" ht="13.5" customHeight="1" x14ac:dyDescent="0.2">
      <c r="B25" s="1876"/>
      <c r="C25" s="1876"/>
      <c r="D25" s="1876"/>
      <c r="E25" s="1876"/>
      <c r="F25" s="1876"/>
      <c r="G25" s="1876"/>
      <c r="H25" s="277"/>
      <c r="I25" s="277"/>
      <c r="J25" s="1897"/>
      <c r="K25" s="1897"/>
      <c r="L25" s="1897"/>
      <c r="M25" s="1897"/>
    </row>
    <row r="26" spans="2:17" ht="13.5" customHeight="1" x14ac:dyDescent="0.2">
      <c r="B26" s="1876"/>
      <c r="C26" s="1876"/>
      <c r="D26" s="1876"/>
      <c r="E26" s="1876"/>
      <c r="F26" s="1876"/>
      <c r="G26" s="1876"/>
      <c r="H26" s="277"/>
      <c r="I26" s="277"/>
    </row>
    <row r="27" spans="2:17" ht="13.5" customHeight="1" x14ac:dyDescent="0.2">
      <c r="B27" s="2007" t="s">
        <v>745</v>
      </c>
      <c r="C27" s="1898" t="str">
        <f>D3</f>
        <v>Accomack</v>
      </c>
      <c r="D27" s="1899"/>
      <c r="E27" s="1898" t="str">
        <f>K3</f>
        <v>Eastern</v>
      </c>
      <c r="F27" s="1899"/>
      <c r="G27" s="1902" t="s">
        <v>9</v>
      </c>
      <c r="H27" s="1903"/>
      <c r="J27" s="172"/>
    </row>
    <row r="28" spans="2:17" ht="13.5" customHeight="1" x14ac:dyDescent="0.2">
      <c r="B28" s="2008"/>
      <c r="C28" s="1900"/>
      <c r="D28" s="1901"/>
      <c r="E28" s="1900"/>
      <c r="F28" s="1901"/>
      <c r="G28" s="1904"/>
      <c r="H28" s="1905"/>
      <c r="J28" s="172"/>
    </row>
    <row r="29" spans="2:17" ht="13.5" customHeight="1" x14ac:dyDescent="0.2">
      <c r="B29" s="2008"/>
      <c r="C29" s="373" t="s">
        <v>746</v>
      </c>
      <c r="D29" s="374" t="s">
        <v>7</v>
      </c>
      <c r="E29" s="373" t="s">
        <v>746</v>
      </c>
      <c r="F29" s="374" t="s">
        <v>7</v>
      </c>
      <c r="G29" s="373" t="s">
        <v>746</v>
      </c>
      <c r="H29" s="374" t="s">
        <v>7</v>
      </c>
    </row>
    <row r="30" spans="2:17" ht="13.5" customHeight="1" x14ac:dyDescent="0.2">
      <c r="B30" s="356">
        <v>2004</v>
      </c>
      <c r="C30" s="1821">
        <f>VLOOKUP(I3,Poverty_AllAges,8,FALSE)</f>
        <v>0.14899999999999999</v>
      </c>
      <c r="D30" s="1824">
        <f>VLOOKUP(I3,Poverty_Child,8,FALSE)</f>
        <v>0.2</v>
      </c>
      <c r="E30" s="1821">
        <f>VLOOKUP(K3,Poverty_AllAges,8,FALSE)</f>
        <v>0.11259360124640222</v>
      </c>
      <c r="F30" s="1824">
        <f>VLOOKUP(K3,Poverty_Child,8,FALSE)</f>
        <v>0.14922302530245857</v>
      </c>
      <c r="G30" s="1821">
        <f>'Poverty_All ages'!H4</f>
        <v>9.5199999999999993E-2</v>
      </c>
      <c r="H30" s="1826">
        <f>Poverty_Child!H5</f>
        <v>0.12190485917712804</v>
      </c>
    </row>
    <row r="31" spans="2:17" ht="13.5" customHeight="1" x14ac:dyDescent="0.2">
      <c r="B31" s="357">
        <v>2005</v>
      </c>
      <c r="C31" s="1822">
        <f>VLOOKUP(I3,Poverty_AllAges,9,FALSE)</f>
        <v>0.183</v>
      </c>
      <c r="D31" s="1825">
        <f>VLOOKUP(I3,Poverty_Child,9,FALSE)</f>
        <v>0.26399999999999996</v>
      </c>
      <c r="E31" s="1822">
        <f>VLOOKUP(K3,Poverty_AllAges,9,FALSE)</f>
        <v>0.11367927485747498</v>
      </c>
      <c r="F31" s="1825">
        <f>VLOOKUP(K3,Poverty_Child,9,FALSE)</f>
        <v>0.16352767930188164</v>
      </c>
      <c r="G31" s="1822">
        <f>'Poverty_All ages'!I4</f>
        <v>9.9600000000000008E-2</v>
      </c>
      <c r="H31" s="1830">
        <f>Poverty_Child!I5</f>
        <v>0.13300000000000001</v>
      </c>
    </row>
    <row r="32" spans="2:17" ht="13.5" customHeight="1" x14ac:dyDescent="0.2">
      <c r="B32" s="356">
        <v>2006</v>
      </c>
      <c r="C32" s="1821">
        <f>VLOOKUP(I3,Poverty_AllAges,10,FALSE)</f>
        <v>0.154</v>
      </c>
      <c r="D32" s="1824">
        <f>VLOOKUP(I3,Poverty_Child,10,FALSE)</f>
        <v>0.23199999999999998</v>
      </c>
      <c r="E32" s="1821">
        <f>VLOOKUP(K3,Poverty_AllAges,10,FALSE)</f>
        <v>0.10639459370059251</v>
      </c>
      <c r="F32" s="1824">
        <f>VLOOKUP(K3,Poverty_Child,10,FALSE)</f>
        <v>0.14641453075926292</v>
      </c>
      <c r="G32" s="1821">
        <f>'Poverty_All ages'!J4</f>
        <v>9.6199999999999994E-2</v>
      </c>
      <c r="H32" s="1826">
        <f>Poverty_Child!J5</f>
        <v>0.12322064717116948</v>
      </c>
    </row>
    <row r="33" spans="2:8" ht="13.5" customHeight="1" x14ac:dyDescent="0.2">
      <c r="B33" s="357">
        <v>2007</v>
      </c>
      <c r="C33" s="1822">
        <f>VLOOKUP(I3,Poverty_AllAges,11,FALSE)</f>
        <v>0.16800000000000001</v>
      </c>
      <c r="D33" s="1825">
        <f>VLOOKUP(I3,Poverty_Child,11,FALSE)</f>
        <v>0.25100000000000006</v>
      </c>
      <c r="E33" s="1822">
        <f>VLOOKUP(K3,Poverty_AllAges,11,FALSE)</f>
        <v>0.11202655946373949</v>
      </c>
      <c r="F33" s="1825">
        <f>VLOOKUP(K3,Poverty_Child,11,FALSE)</f>
        <v>0.15611975749596346</v>
      </c>
      <c r="G33" s="1822">
        <f>'Poverty_All ages'!K4</f>
        <v>9.9000000000000005E-2</v>
      </c>
      <c r="H33" s="1830">
        <f>Poverty_Child!K5</f>
        <v>0.12930216566469369</v>
      </c>
    </row>
    <row r="34" spans="2:8" ht="13.5" customHeight="1" x14ac:dyDescent="0.2">
      <c r="B34" s="356">
        <v>2008</v>
      </c>
      <c r="C34" s="1821">
        <f>VLOOKUP(I3,Poverty_AllAges,12,FALSE)</f>
        <v>0.20600000000000002</v>
      </c>
      <c r="D34" s="1824">
        <f>VLOOKUP(I3,Poverty_Child,12,FALSE)</f>
        <v>0.29699999999999999</v>
      </c>
      <c r="E34" s="1821">
        <f>VLOOKUP(K3,Poverty_AllAges,12,FALSE)</f>
        <v>0.11571808952754851</v>
      </c>
      <c r="F34" s="1824">
        <f>VLOOKUP(K3,Poverty_Child,12,FALSE)</f>
        <v>0.16549851613310601</v>
      </c>
      <c r="G34" s="1821">
        <f>'Poverty_All ages'!L4</f>
        <v>0.10210000000000001</v>
      </c>
      <c r="H34" s="1826">
        <f>Poverty_Child!L5</f>
        <v>0.13580226821250407</v>
      </c>
    </row>
    <row r="35" spans="2:8" ht="13.5" customHeight="1" x14ac:dyDescent="0.2">
      <c r="B35" s="357">
        <v>2009</v>
      </c>
      <c r="C35" s="1822">
        <f>VLOOKUP(I3,Poverty_AllAges,13,FALSE)</f>
        <v>0.183</v>
      </c>
      <c r="D35" s="1825">
        <f>VLOOKUP(I3,Poverty_Child,13,FALSE)</f>
        <v>0.27400000000000002</v>
      </c>
      <c r="E35" s="1822">
        <f>VLOOKUP(K3,Poverty_AllAges,13,FALSE)</f>
        <v>0.11429957969100746</v>
      </c>
      <c r="F35" s="1825">
        <f>VLOOKUP(K3,Poverty_Child,13,FALSE)</f>
        <v>0.16261973561466178</v>
      </c>
      <c r="G35" s="1822">
        <f>'Poverty_All ages'!M4</f>
        <v>0.1057</v>
      </c>
      <c r="H35" s="1830">
        <f>Poverty_Child!M5</f>
        <v>0.14000000000000001</v>
      </c>
    </row>
    <row r="36" spans="2:8" ht="13.5" customHeight="1" x14ac:dyDescent="0.2">
      <c r="B36" s="356">
        <v>2010</v>
      </c>
      <c r="C36" s="1821">
        <f>VLOOKUP(I3,Poverty_AllAges,14,FALSE)</f>
        <v>0.20499999999999999</v>
      </c>
      <c r="D36" s="1824">
        <f>VLOOKUP(I3,Poverty_Child,14,FALSE)</f>
        <v>0.28699999999999998</v>
      </c>
      <c r="E36" s="1821">
        <f>VLOOKUP(K3,Poverty_AllAges,14,FALSE)</f>
        <v>0.12023872863352066</v>
      </c>
      <c r="F36" s="1824">
        <f>VLOOKUP(K3,Poverty_Child,14,FALSE)</f>
        <v>0.16684839324070738</v>
      </c>
      <c r="G36" s="1821">
        <f>'Poverty_All ages'!N4</f>
        <v>0.11118840014389482</v>
      </c>
      <c r="H36" s="1826">
        <f>Poverty_Child!N5</f>
        <v>0.14555376556266278</v>
      </c>
    </row>
    <row r="37" spans="2:8" ht="13.5" customHeight="1" x14ac:dyDescent="0.2">
      <c r="B37" s="357">
        <v>2011</v>
      </c>
      <c r="C37" s="1822">
        <f>VLOOKUP(I3,Poverty_AllAges,15,FALSE)</f>
        <v>0.193</v>
      </c>
      <c r="D37" s="1825">
        <f>VLOOKUP(I3,Poverty_Child,15,FALSE)</f>
        <v>0.30499999999999999</v>
      </c>
      <c r="E37" s="1822">
        <f>VLOOKUP(K3,Poverty_AllAges,15,FALSE)</f>
        <v>0.12870004950966066</v>
      </c>
      <c r="F37" s="1825">
        <f>VLOOKUP(K3,Poverty_Child,15,FALSE)</f>
        <v>0.18344688787599084</v>
      </c>
      <c r="G37" s="1822">
        <f>'Poverty_All ages'!O4</f>
        <v>0.11600000000000001</v>
      </c>
      <c r="H37" s="1830">
        <f>Poverty_Child!O5</f>
        <v>0.156</v>
      </c>
    </row>
    <row r="38" spans="2:8" ht="13.5" customHeight="1" x14ac:dyDescent="0.2">
      <c r="B38" s="356">
        <v>2012</v>
      </c>
      <c r="C38" s="1821">
        <f>VLOOKUP(I3,Poverty_AllAges,16,FALSE)</f>
        <v>0.19900000000000001</v>
      </c>
      <c r="D38" s="1826">
        <f>VLOOKUP(I3,Poverty_Child,16,FALSE)</f>
        <v>0.314</v>
      </c>
      <c r="E38" s="1821">
        <f>VLOOKUP(K3,Poverty_AllAges,16,FALSE)</f>
        <v>0.13600000000000001</v>
      </c>
      <c r="F38" s="1826">
        <f>VLOOKUP(K3,Poverty_Child,16,FALSE)</f>
        <v>0.19465468306527908</v>
      </c>
      <c r="G38" s="1821">
        <f>'Poverty_All ages'!P4</f>
        <v>0.11799999999999999</v>
      </c>
      <c r="H38" s="1826">
        <f>Poverty_Child!P5</f>
        <v>0.155</v>
      </c>
    </row>
    <row r="39" spans="2:8" ht="13.5" customHeight="1" x14ac:dyDescent="0.2">
      <c r="B39" s="1820">
        <v>2013</v>
      </c>
      <c r="C39" s="1823">
        <f>VLOOKUP(I3,Poverty_AllAges,17,FALSE)</f>
        <v>0.19252741881281887</v>
      </c>
      <c r="D39" s="1827">
        <f>VLOOKUP(I3,Poverty_Child,17,FALSE)</f>
        <v>0.29439930354033661</v>
      </c>
      <c r="E39" s="1828">
        <f>VLOOKUP(K3,Poverty_AllAges,17,FALSE)</f>
        <v>0.13722953804582269</v>
      </c>
      <c r="F39" s="1829">
        <f>VLOOKUP(K3,Poverty_Child,17,FALSE)</f>
        <v>0.19731917697955095</v>
      </c>
      <c r="G39" s="1828">
        <f>'Poverty_All ages'!Q4</f>
        <v>0.11747751027208382</v>
      </c>
      <c r="H39" s="1829">
        <f>Poverty_Child!Q5</f>
        <v>0.15745553871615489</v>
      </c>
    </row>
    <row r="40" spans="2:8" ht="13.5" customHeight="1" x14ac:dyDescent="0.2">
      <c r="B40" s="1831">
        <v>2014</v>
      </c>
      <c r="C40" s="1832">
        <f>VLOOKUP(I3,Poverty_AllAges,18,FALSE)</f>
        <v>0.19371551195585529</v>
      </c>
      <c r="D40" s="1833">
        <f>VLOOKUP(I3,Poverty_Child,18,FALSE)</f>
        <v>0.30916311222238563</v>
      </c>
      <c r="E40" s="1834">
        <f>VLOOKUP(K3,Poverty_AllAges,18,FALSE)</f>
        <v>0.13349245196423984</v>
      </c>
      <c r="F40" s="1835">
        <f>VLOOKUP(K3,Poverty_Child,18,FALSE)</f>
        <v>0.1918605782799529</v>
      </c>
      <c r="G40" s="1834">
        <f>'Poverty_All ages'!R4</f>
        <v>0.1182560438559494</v>
      </c>
      <c r="H40" s="1835">
        <f>Poverty_Child!R5</f>
        <v>0.15872305329925826</v>
      </c>
    </row>
    <row r="41" spans="2:8" ht="13.5" customHeight="1" x14ac:dyDescent="0.2">
      <c r="B41" s="278" t="s">
        <v>744</v>
      </c>
      <c r="C41" s="90"/>
    </row>
    <row r="42" spans="2:8" ht="13.5" customHeight="1" x14ac:dyDescent="0.2">
      <c r="B42" s="1908" t="s">
        <v>747</v>
      </c>
      <c r="C42" s="1906" t="str">
        <f>D3</f>
        <v>Accomack</v>
      </c>
      <c r="D42" s="1906"/>
      <c r="E42" s="1906" t="str">
        <f>K3</f>
        <v>Eastern</v>
      </c>
      <c r="F42" s="1906" t="s">
        <v>9</v>
      </c>
      <c r="G42" s="1994"/>
      <c r="H42" s="1994"/>
    </row>
    <row r="43" spans="2:8" ht="13.5" customHeight="1" x14ac:dyDescent="0.2">
      <c r="B43" s="1909"/>
      <c r="C43" s="1907"/>
      <c r="D43" s="1907"/>
      <c r="E43" s="1907"/>
      <c r="F43" s="1907"/>
      <c r="G43" s="1994"/>
      <c r="H43" s="1994"/>
    </row>
    <row r="44" spans="2:8" ht="13.5" customHeight="1" x14ac:dyDescent="0.2">
      <c r="B44" s="1909"/>
      <c r="C44" s="381" t="s">
        <v>620</v>
      </c>
      <c r="D44" s="370" t="s">
        <v>748</v>
      </c>
      <c r="E44" s="375" t="s">
        <v>748</v>
      </c>
      <c r="F44" s="376" t="s">
        <v>748</v>
      </c>
      <c r="G44" s="307"/>
      <c r="H44" s="307"/>
    </row>
    <row r="45" spans="2:8" ht="13.5" customHeight="1" x14ac:dyDescent="0.2">
      <c r="B45" s="354">
        <v>2004</v>
      </c>
      <c r="C45" s="383">
        <f>VLOOKUP(I3,Employment,29,FALSE)</f>
        <v>887</v>
      </c>
      <c r="D45" s="372">
        <f>VLOOKUP($I$3,Employment,8,FALSE)</f>
        <v>4.57900986010015E-2</v>
      </c>
      <c r="E45" s="380">
        <f>VLOOKUP($K$3,Employment,8,FALSE)</f>
        <v>4.0761272067991045E-2</v>
      </c>
      <c r="F45" s="379">
        <f>Unemployment!H4</f>
        <v>3.6983564098822252E-2</v>
      </c>
      <c r="G45" s="309"/>
      <c r="H45" s="308"/>
    </row>
    <row r="46" spans="2:8" ht="13.5" customHeight="1" x14ac:dyDescent="0.2">
      <c r="B46" s="355">
        <v>2005</v>
      </c>
      <c r="C46" s="382">
        <f>VLOOKUP(I3,Employment,31,FALSE)</f>
        <v>875</v>
      </c>
      <c r="D46" s="371">
        <f>VLOOKUP($I$3,Employment,9,FALSE)</f>
        <v>4.6296296296296294E-2</v>
      </c>
      <c r="E46" s="378">
        <f>VLOOKUP($K$3,Employment,9,FALSE)</f>
        <v>3.9893832142007021E-2</v>
      </c>
      <c r="F46" s="377">
        <f>Unemployment!I4</f>
        <v>3.5184099138150848E-2</v>
      </c>
      <c r="G46" s="309"/>
      <c r="H46" s="308"/>
    </row>
    <row r="47" spans="2:8" ht="13.5" customHeight="1" x14ac:dyDescent="0.2">
      <c r="B47" s="354">
        <v>2006</v>
      </c>
      <c r="C47" s="383">
        <f>VLOOKUP(I3,Employment,33,FALSE)</f>
        <v>783</v>
      </c>
      <c r="D47" s="372">
        <f>VLOOKUP($I$3,Employment,10,FALSE)</f>
        <v>4.2121684867394697E-2</v>
      </c>
      <c r="E47" s="380">
        <f>VLOOKUP($K$3,Employment,10,FALSE)</f>
        <v>3.4054139645035592E-2</v>
      </c>
      <c r="F47" s="379">
        <f>Unemployment!J4</f>
        <v>3.042605361214783E-2</v>
      </c>
      <c r="G47" s="309"/>
      <c r="H47" s="308"/>
    </row>
    <row r="48" spans="2:8" ht="13.5" customHeight="1" x14ac:dyDescent="0.2">
      <c r="B48" s="355">
        <v>2007</v>
      </c>
      <c r="C48" s="382">
        <f>VLOOKUP(I3,Employment,35,FALSE)</f>
        <v>773</v>
      </c>
      <c r="D48" s="371">
        <f>VLOOKUP($I$3,Employment,11,FALSE)</f>
        <v>4.1361228530151423E-2</v>
      </c>
      <c r="E48" s="378">
        <f>VLOOKUP($K$3,Employment,11,FALSE)</f>
        <v>3.3091630916195276E-2</v>
      </c>
      <c r="F48" s="377">
        <f>Unemployment!K4</f>
        <v>3.0637117624127935E-2</v>
      </c>
      <c r="G48" s="309"/>
      <c r="H48" s="308"/>
    </row>
    <row r="49" spans="2:14" ht="13.5" customHeight="1" x14ac:dyDescent="0.2">
      <c r="B49" s="354">
        <v>2008</v>
      </c>
      <c r="C49" s="383">
        <f>VLOOKUP(I3,Employment,37,FALSE)</f>
        <v>949</v>
      </c>
      <c r="D49" s="372">
        <f>VLOOKUP($I$3,Employment,12,FALSE)</f>
        <v>4.9915842625710076E-2</v>
      </c>
      <c r="E49" s="380">
        <f>VLOOKUP($K$3,Employment,12,FALSE)</f>
        <v>4.2744274872914149E-2</v>
      </c>
      <c r="F49" s="379">
        <f>Unemployment!L4</f>
        <v>3.9533104507533175E-2</v>
      </c>
      <c r="G49" s="309"/>
      <c r="H49" s="308"/>
    </row>
    <row r="50" spans="2:14" ht="13.5" customHeight="1" x14ac:dyDescent="0.2">
      <c r="B50" s="355">
        <v>2009</v>
      </c>
      <c r="C50" s="382">
        <f>VLOOKUP(I3,Employment,39,FALSE)</f>
        <v>1331</v>
      </c>
      <c r="D50" s="371">
        <f>VLOOKUP($I$3,Employment,13,FALSE)</f>
        <v>6.7361708588491317E-2</v>
      </c>
      <c r="E50" s="378">
        <f>VLOOKUP($K$3,Employment,13,FALSE)</f>
        <v>7.2502585768335376E-2</v>
      </c>
      <c r="F50" s="377">
        <f>Unemployment!M4</f>
        <v>6.9500899241383113E-2</v>
      </c>
      <c r="G50" s="309"/>
      <c r="H50" s="308"/>
    </row>
    <row r="51" spans="2:14" ht="13.5" customHeight="1" x14ac:dyDescent="0.2">
      <c r="B51" s="354">
        <v>2010</v>
      </c>
      <c r="C51" s="383">
        <f>VLOOKUP(I3,Employment,41,FALSE)</f>
        <v>1334</v>
      </c>
      <c r="D51" s="372">
        <f>VLOOKUP($I$3,Employment,14,FALSE)</f>
        <v>7.0492496300993454E-2</v>
      </c>
      <c r="E51" s="380">
        <f>VLOOKUP($K$3,Employment,14,FALSE)</f>
        <v>7.6663536748089484E-2</v>
      </c>
      <c r="F51" s="379">
        <f>Unemployment!N4</f>
        <v>7.0996273411972191E-2</v>
      </c>
      <c r="G51" s="309"/>
      <c r="H51" s="308"/>
    </row>
    <row r="52" spans="2:14" ht="13.5" customHeight="1" x14ac:dyDescent="0.2">
      <c r="B52" s="355">
        <v>2011</v>
      </c>
      <c r="C52" s="382">
        <f>VLOOKUP(I3,Employment,43,FALSE)</f>
        <v>1357</v>
      </c>
      <c r="D52" s="371">
        <f>VLOOKUP($I$3,Employment,15,FALSE)</f>
        <v>7.280433499651269E-2</v>
      </c>
      <c r="E52" s="378">
        <f>VLOOKUP($K$3,Employment,15,FALSE)</f>
        <v>7.2411265556543009E-2</v>
      </c>
      <c r="F52" s="377">
        <f>Unemployment!O4</f>
        <v>6.4437374190308969E-2</v>
      </c>
      <c r="G52" s="309"/>
      <c r="H52" s="308"/>
    </row>
    <row r="53" spans="2:14" ht="13.5" customHeight="1" x14ac:dyDescent="0.2">
      <c r="B53" s="354">
        <v>2012</v>
      </c>
      <c r="C53" s="383">
        <f>VLOOKUP(I3,Employment,45,FALSE)</f>
        <v>1249</v>
      </c>
      <c r="D53" s="372">
        <f>VLOOKUP($I$3,Employment,16,FALSE)</f>
        <v>6.8050561185572622E-2</v>
      </c>
      <c r="E53" s="380">
        <f>VLOOKUP($K$3,Employment,16,FALSE)</f>
        <v>6.6414075961871114E-2</v>
      </c>
      <c r="F53" s="379">
        <f>Unemployment!P4</f>
        <v>5.8774345474193433E-2</v>
      </c>
      <c r="G53" s="309"/>
      <c r="H53" s="307"/>
    </row>
    <row r="54" spans="2:14" ht="13.5" customHeight="1" x14ac:dyDescent="0.2">
      <c r="B54" s="355">
        <v>2013</v>
      </c>
      <c r="C54" s="994">
        <f>VLOOKUP(I3,Employment,47,FALSE)</f>
        <v>1171</v>
      </c>
      <c r="D54" s="995">
        <f>VLOOKUP(I3,Employment,17,FALSE)</f>
        <v>6.469613259668508E-2</v>
      </c>
      <c r="E54" s="996">
        <f>VLOOKUP(K3,Employment,17,FALSE)</f>
        <v>6.1377424762512969E-2</v>
      </c>
      <c r="F54" s="377">
        <f>Unemployment!Q4</f>
        <v>5.5454654156622714E-2</v>
      </c>
      <c r="G54" s="309"/>
      <c r="H54" s="975"/>
    </row>
    <row r="55" spans="2:14" ht="13.5" customHeight="1" x14ac:dyDescent="0.2">
      <c r="B55" s="354">
        <v>2014</v>
      </c>
      <c r="C55" s="997">
        <f>VLOOKUP(I3,Employment,49,FALSE)</f>
        <v>1040</v>
      </c>
      <c r="D55" s="998">
        <f>VLOOKUP(I3,Employment,18,FALSE)</f>
        <v>6.4902646030953567E-2</v>
      </c>
      <c r="E55" s="999">
        <f>VLOOKUP(K3,Employment,18,FALSE)</f>
        <v>5.7334382521145637E-2</v>
      </c>
      <c r="F55" s="379">
        <f>Unemployment!R4</f>
        <v>5.1645529339042547E-2</v>
      </c>
      <c r="G55" s="309"/>
      <c r="H55" s="307"/>
    </row>
    <row r="56" spans="2:14" ht="14.25" customHeight="1" x14ac:dyDescent="0.2">
      <c r="B56" s="1889" t="s">
        <v>837</v>
      </c>
      <c r="C56" s="1889"/>
      <c r="D56" s="1889"/>
      <c r="E56" s="1889"/>
      <c r="F56" s="1889"/>
    </row>
    <row r="57" spans="2:14" ht="14.25" customHeight="1" x14ac:dyDescent="0.2">
      <c r="B57" s="1878" t="s">
        <v>1141</v>
      </c>
      <c r="C57" s="1892" t="s">
        <v>889</v>
      </c>
      <c r="D57" s="1892"/>
      <c r="E57" s="1892"/>
      <c r="F57" s="1892"/>
      <c r="G57" s="1893" t="s">
        <v>890</v>
      </c>
      <c r="H57" s="1894"/>
      <c r="I57" s="1894"/>
      <c r="J57" s="1895"/>
      <c r="K57" s="1212"/>
      <c r="M57" s="1896">
        <f>VLOOKUP(I3,Child_SingleParentHH,11,FALSE)</f>
        <v>0.35550824906865353</v>
      </c>
      <c r="N57" s="1360"/>
    </row>
    <row r="58" spans="2:14" ht="21.75" customHeight="1" x14ac:dyDescent="0.2">
      <c r="B58" s="1879"/>
      <c r="C58" s="1891" t="str">
        <f>D3</f>
        <v>Accomack</v>
      </c>
      <c r="D58" s="1891"/>
      <c r="E58" s="1288" t="str">
        <f>K3</f>
        <v>Eastern</v>
      </c>
      <c r="F58" s="1288" t="s">
        <v>9</v>
      </c>
      <c r="G58" s="1891" t="str">
        <f>D3</f>
        <v>Accomack</v>
      </c>
      <c r="H58" s="1891"/>
      <c r="I58" s="1288" t="str">
        <f>K3</f>
        <v>Eastern</v>
      </c>
      <c r="J58" s="1288" t="s">
        <v>9</v>
      </c>
      <c r="K58" s="1212"/>
      <c r="L58" s="1360"/>
      <c r="M58" s="1896"/>
      <c r="N58" s="1360"/>
    </row>
    <row r="59" spans="2:14" ht="14.25" customHeight="1" x14ac:dyDescent="0.2">
      <c r="B59" s="1880"/>
      <c r="C59" s="1289" t="s">
        <v>620</v>
      </c>
      <c r="D59" s="1289" t="s">
        <v>280</v>
      </c>
      <c r="E59" s="1289" t="s">
        <v>280</v>
      </c>
      <c r="F59" s="1289" t="s">
        <v>280</v>
      </c>
      <c r="G59" s="1289" t="s">
        <v>620</v>
      </c>
      <c r="H59" s="1289" t="s">
        <v>891</v>
      </c>
      <c r="I59" s="1289" t="s">
        <v>891</v>
      </c>
      <c r="J59" s="1289" t="s">
        <v>891</v>
      </c>
      <c r="K59" s="1212"/>
      <c r="L59" s="1916" t="s">
        <v>1271</v>
      </c>
      <c r="M59" s="1916"/>
      <c r="N59" s="1916"/>
    </row>
    <row r="60" spans="2:14" ht="14.25" customHeight="1" x14ac:dyDescent="0.2">
      <c r="B60" s="1208" t="s">
        <v>281</v>
      </c>
      <c r="C60" s="1214">
        <f>VLOOKUP(I3,NonMaritalBirths,8,FALSE)</f>
        <v>223</v>
      </c>
      <c r="D60" s="1215">
        <f>VLOOKUP(I3,NonMaritalBirths,12,FALSE)</f>
        <v>0.60762942779291551</v>
      </c>
      <c r="E60" s="1216">
        <f>VLOOKUP(K3,NonMaritalBirths,12,FALSE)</f>
        <v>0.41242131766680656</v>
      </c>
      <c r="F60" s="1215">
        <f>'Non-marital births'!L6</f>
        <v>0.34604861880620141</v>
      </c>
      <c r="G60" s="1214">
        <f>VLOOKUP(I3,TeenBirths, 4, FALSE)</f>
        <v>23</v>
      </c>
      <c r="H60" s="1333">
        <f>VLOOKUP(I3,TeenBirths, 12, FALSE)</f>
        <v>13.248847926267281</v>
      </c>
      <c r="I60" s="1333">
        <f>VLOOKUP(K3,TeenBirths, 12, FALSE)</f>
        <v>12.325090549026759</v>
      </c>
      <c r="J60" s="1333">
        <f>'Teen births'!L5</f>
        <v>10.25553965050911</v>
      </c>
      <c r="K60" s="1213"/>
      <c r="L60" s="1916"/>
      <c r="M60" s="1916"/>
      <c r="N60" s="1916"/>
    </row>
    <row r="61" spans="2:14" ht="14.25" customHeight="1" x14ac:dyDescent="0.2">
      <c r="B61" s="1209" t="s">
        <v>2</v>
      </c>
      <c r="C61" s="1217">
        <f>VLOOKUP(I3,NonMaritalBirths,9,FALSE)</f>
        <v>113</v>
      </c>
      <c r="D61" s="1218">
        <f>VLOOKUP(I3,NonMaritalBirths,13,FALSE)</f>
        <v>0.53051643192488263</v>
      </c>
      <c r="E61" s="1219">
        <f>VLOOKUP(K3,NonMaritalBirths,13,FALSE)</f>
        <v>0.24679386925242414</v>
      </c>
      <c r="F61" s="1218">
        <f>'Non-marital births'!M6</f>
        <v>0.25596849618508494</v>
      </c>
      <c r="G61" s="1217">
        <f>VLOOKUP(I3,TeenBirths, 5, FALSE)</f>
        <v>12</v>
      </c>
      <c r="H61" s="1334">
        <f>VLOOKUP(I3,TeenBirths, 13, FALSE)</f>
        <v>10.948905109489052</v>
      </c>
      <c r="I61" s="1336">
        <f>VLOOKUP(K3,TeenBirths, 13, FALSE)</f>
        <v>7.0036928562332861</v>
      </c>
      <c r="J61" s="1334">
        <f>'Teen births'!M5</f>
        <v>7.8673199301683843</v>
      </c>
      <c r="K61" s="1209"/>
      <c r="L61" s="1916"/>
      <c r="M61" s="1916"/>
      <c r="N61" s="1916"/>
    </row>
    <row r="62" spans="2:14" ht="14.25" customHeight="1" x14ac:dyDescent="0.2">
      <c r="B62" s="1209" t="s">
        <v>445</v>
      </c>
      <c r="C62" s="1217">
        <f>VLOOKUP(I3,NonMaritalBirths,10,FALSE)</f>
        <v>108</v>
      </c>
      <c r="D62" s="1218">
        <f>VLOOKUP(I3,NonMaritalBirths,14,FALSE)</f>
        <v>0.76595744680851063</v>
      </c>
      <c r="E62" s="1219">
        <f>VLOOKUP(K3,NonMaritalBirths,14,FALSE)</f>
        <v>0.68784433243465015</v>
      </c>
      <c r="F62" s="1218">
        <f>'Non-marital births'!N6</f>
        <v>0.65522822920038848</v>
      </c>
      <c r="G62" s="1217">
        <f>VLOOKUP(I3,TeenBirths, 6, FALSE)</f>
        <v>11</v>
      </c>
      <c r="H62" s="1334">
        <f>VLOOKUP(I3,TeenBirths, 14, FALSE)</f>
        <v>18.24212271973466</v>
      </c>
      <c r="I62" s="1336">
        <f>VLOOKUP(K3,TeenBirths, 14, FALSE)</f>
        <v>18.155316914239172</v>
      </c>
      <c r="J62" s="1334">
        <f>'Teen births'!N5</f>
        <v>15.104625992143029</v>
      </c>
      <c r="K62" s="1209"/>
      <c r="L62" s="1916"/>
      <c r="M62" s="1916"/>
      <c r="N62" s="1916"/>
    </row>
    <row r="63" spans="2:14" ht="14.25" customHeight="1" x14ac:dyDescent="0.2">
      <c r="B63" s="1210" t="s">
        <v>581</v>
      </c>
      <c r="C63" s="1220">
        <f>VLOOKUP(I3,NonMaritalBirths,11,FALSE)</f>
        <v>2</v>
      </c>
      <c r="D63" s="1221">
        <f>VLOOKUP(I3,NonMaritalBirths,15,FALSE)</f>
        <v>0.15384615384615385</v>
      </c>
      <c r="E63" s="1222">
        <f>VLOOKUP(K3,NonMaritalBirths,15,FALSE)</f>
        <v>0.32019115890083633</v>
      </c>
      <c r="F63" s="1221">
        <f>'Non-marital births'!O6</f>
        <v>0.29199791476606279</v>
      </c>
      <c r="G63" s="1220">
        <f>VLOOKUP(I3,TeenBirths, 7, FALSE)</f>
        <v>0</v>
      </c>
      <c r="H63" s="1335">
        <f>VLOOKUP(I3,TeenBirths, 15, FALSE)</f>
        <v>0</v>
      </c>
      <c r="I63" s="1337">
        <f>VLOOKUP(K3,TeenBirths, 15, FALSE)</f>
        <v>23.346303501945524</v>
      </c>
      <c r="J63" s="1335">
        <f>'Teen births'!O5</f>
        <v>16.578318262134914</v>
      </c>
      <c r="K63" s="1209"/>
      <c r="L63" s="1916"/>
      <c r="M63" s="1916"/>
      <c r="N63" s="1916"/>
    </row>
    <row r="64" spans="2:14" ht="14.25" customHeight="1" x14ac:dyDescent="0.2">
      <c r="B64" s="1877" t="s">
        <v>909</v>
      </c>
      <c r="C64" s="1877"/>
      <c r="D64" s="1877"/>
      <c r="E64" s="1877"/>
      <c r="F64" s="1877"/>
      <c r="G64" s="1877"/>
      <c r="H64" s="1877"/>
      <c r="I64" s="1877"/>
      <c r="J64" s="1877"/>
      <c r="K64" s="1877"/>
      <c r="L64" s="1877"/>
      <c r="M64" s="1877"/>
      <c r="N64" s="1877"/>
    </row>
    <row r="65" spans="2:16" ht="14.25" customHeight="1" x14ac:dyDescent="0.2">
      <c r="B65" s="1211"/>
      <c r="C65" s="1211"/>
      <c r="D65" s="1211"/>
      <c r="E65" s="1211"/>
      <c r="F65" s="1211"/>
      <c r="G65" s="1211"/>
      <c r="H65" s="1211"/>
    </row>
    <row r="66" spans="2:16" ht="14.25" customHeight="1" x14ac:dyDescent="0.2">
      <c r="B66" s="1211"/>
      <c r="C66" s="1211"/>
      <c r="D66" s="1211"/>
      <c r="E66" s="1211"/>
      <c r="F66" s="1211"/>
      <c r="G66" s="1211"/>
      <c r="H66" s="1211"/>
    </row>
    <row r="67" spans="2:16" ht="14.25" customHeight="1" x14ac:dyDescent="0.2">
      <c r="B67" s="1211"/>
      <c r="C67" s="1211"/>
      <c r="D67" s="1211"/>
      <c r="E67" s="1211"/>
      <c r="F67" s="1211"/>
      <c r="G67" s="1211"/>
      <c r="H67" s="1211"/>
    </row>
    <row r="68" spans="2:16" ht="14.25" customHeight="1" x14ac:dyDescent="0.2">
      <c r="B68" s="1211"/>
      <c r="C68" s="1211"/>
      <c r="D68" s="1211"/>
      <c r="E68" s="1211"/>
      <c r="F68" s="1211"/>
      <c r="G68" s="1211"/>
      <c r="H68" s="1211"/>
    </row>
    <row r="69" spans="2:16" ht="14.25" customHeight="1" x14ac:dyDescent="0.2">
      <c r="B69" s="1211"/>
      <c r="C69" s="1211"/>
      <c r="D69" s="1211"/>
      <c r="E69" s="1211"/>
      <c r="F69" s="1211"/>
      <c r="G69" s="1211"/>
      <c r="H69" s="1211"/>
    </row>
    <row r="70" spans="2:16" ht="14.25" customHeight="1" x14ac:dyDescent="0.2">
      <c r="B70" s="1189"/>
      <c r="C70" s="1189"/>
      <c r="D70" s="1189"/>
      <c r="E70" s="1189"/>
      <c r="F70" s="1189"/>
    </row>
    <row r="71" spans="2:16" ht="14.25" customHeight="1" x14ac:dyDescent="0.2">
      <c r="B71" s="1189"/>
      <c r="C71" s="1189"/>
      <c r="D71" s="1189"/>
      <c r="E71" s="1189"/>
      <c r="F71" s="1189"/>
    </row>
    <row r="72" spans="2:16" ht="14.25" customHeight="1" x14ac:dyDescent="0.2">
      <c r="B72" s="1189"/>
      <c r="C72" s="1189"/>
      <c r="D72" s="1189"/>
      <c r="E72" s="1189"/>
      <c r="F72" s="1189"/>
    </row>
    <row r="73" spans="2:16" ht="14.25" customHeight="1" x14ac:dyDescent="0.2">
      <c r="B73" s="1189"/>
      <c r="C73" s="1189"/>
      <c r="D73" s="1189"/>
      <c r="E73" s="1189"/>
      <c r="F73" s="1189"/>
    </row>
    <row r="74" spans="2:16" ht="14.25" customHeight="1" x14ac:dyDescent="0.2">
      <c r="B74" s="1189"/>
      <c r="C74" s="1189"/>
      <c r="D74" s="1189"/>
      <c r="E74" s="1189"/>
      <c r="F74" s="1189"/>
    </row>
    <row r="75" spans="2:16" ht="14.25" customHeight="1" x14ac:dyDescent="0.2">
      <c r="B75" s="1189"/>
      <c r="C75" s="1189"/>
      <c r="D75" s="1189"/>
      <c r="E75" s="1189"/>
      <c r="F75" s="1189"/>
    </row>
    <row r="76" spans="2:16" ht="14.25" customHeight="1" x14ac:dyDescent="0.2">
      <c r="B76" s="1189"/>
      <c r="C76" s="1189"/>
      <c r="D76" s="1189"/>
      <c r="E76" s="1189"/>
      <c r="F76" s="1189"/>
    </row>
    <row r="77" spans="2:16" ht="13.5" customHeight="1" x14ac:dyDescent="0.2">
      <c r="B77" s="278"/>
      <c r="C77" s="90"/>
    </row>
    <row r="78" spans="2:16" ht="13.5" customHeight="1" x14ac:dyDescent="0.2">
      <c r="B78" s="1191"/>
      <c r="C78" s="1191"/>
      <c r="D78" s="1191"/>
      <c r="E78" s="1191"/>
      <c r="F78" s="1191"/>
      <c r="G78" s="1191"/>
      <c r="H78" s="277"/>
      <c r="I78" s="277"/>
      <c r="J78" s="277"/>
      <c r="K78" s="87"/>
      <c r="L78" s="87"/>
    </row>
    <row r="79" spans="2:16" ht="13.5" customHeight="1" x14ac:dyDescent="0.2">
      <c r="B79" s="1995" t="s">
        <v>1104</v>
      </c>
      <c r="C79" s="1996"/>
      <c r="D79" s="2009" t="s">
        <v>877</v>
      </c>
      <c r="E79" s="2010"/>
      <c r="F79" s="2010"/>
      <c r="G79" s="2011"/>
      <c r="H79" s="1917" t="s">
        <v>881</v>
      </c>
      <c r="I79" s="1708"/>
      <c r="L79" s="1912">
        <f>G87</f>
        <v>12066</v>
      </c>
      <c r="M79" s="1912"/>
      <c r="O79" s="1706"/>
      <c r="P79" s="1706"/>
    </row>
    <row r="80" spans="2:16" ht="13.5" customHeight="1" x14ac:dyDescent="0.2">
      <c r="B80" s="1997"/>
      <c r="C80" s="1998"/>
      <c r="D80" s="1282" t="s">
        <v>318</v>
      </c>
      <c r="E80" s="1283" t="s">
        <v>409</v>
      </c>
      <c r="F80" s="1284" t="s">
        <v>876</v>
      </c>
      <c r="G80" s="1418" t="s">
        <v>894</v>
      </c>
      <c r="H80" s="1918"/>
      <c r="I80" s="1708"/>
      <c r="L80" s="1912"/>
      <c r="M80" s="1912"/>
      <c r="O80" s="1706"/>
      <c r="P80" s="1706"/>
    </row>
    <row r="81" spans="2:16" ht="13.5" customHeight="1" x14ac:dyDescent="0.2">
      <c r="B81" s="1997"/>
      <c r="C81" s="1998"/>
      <c r="D81" s="1285"/>
      <c r="E81" s="1286"/>
      <c r="F81" s="1287"/>
      <c r="G81" s="1419"/>
      <c r="H81" s="1919"/>
      <c r="I81" s="1708"/>
      <c r="L81" s="1912"/>
      <c r="M81" s="1912"/>
      <c r="O81" s="1706"/>
      <c r="P81" s="1706"/>
    </row>
    <row r="82" spans="2:16" ht="13.5" customHeight="1" x14ac:dyDescent="0.2">
      <c r="B82" s="1999">
        <v>2010</v>
      </c>
      <c r="C82" s="2000"/>
      <c r="D82" s="1610">
        <f>VLOOKUP($I$3,SNAPClients,9,FALSE)</f>
        <v>8490</v>
      </c>
      <c r="E82" s="1611">
        <f>VLOOKUP($I$3,TANFClients,9,FALSE)</f>
        <v>1098</v>
      </c>
      <c r="F82" s="1612">
        <f>VLOOKUP(I3,MedicaidClients,5,FALSE)</f>
        <v>7933</v>
      </c>
      <c r="G82" s="1618">
        <f>VLOOKUP(I3,BenefitClients,5,FALSE)</f>
        <v>10645</v>
      </c>
      <c r="H82" s="1620" t="s">
        <v>933</v>
      </c>
      <c r="I82" s="1704"/>
      <c r="L82" s="1913" t="s">
        <v>1158</v>
      </c>
      <c r="M82" s="1913"/>
      <c r="O82" s="1707"/>
      <c r="P82" s="1707"/>
    </row>
    <row r="83" spans="2:16" ht="13.5" customHeight="1" x14ac:dyDescent="0.2">
      <c r="B83" s="2001">
        <v>2011</v>
      </c>
      <c r="C83" s="2002"/>
      <c r="D83" s="1613">
        <f>VLOOKUP($I$3,SNAPClients,10,FALSE)</f>
        <v>9362</v>
      </c>
      <c r="E83" s="1479">
        <f>VLOOKUP($I$3,TANFClients,10,FALSE)</f>
        <v>1096</v>
      </c>
      <c r="F83" s="1614">
        <f>VLOOKUP(I3,MedicaidClients,6,FALSE)</f>
        <v>8275</v>
      </c>
      <c r="G83" s="1481">
        <f>VLOOKUP(I3,BenefitClients,6,FALSE)</f>
        <v>11189</v>
      </c>
      <c r="H83" s="1480" t="s">
        <v>933</v>
      </c>
      <c r="I83" s="1704"/>
      <c r="L83" s="1913"/>
      <c r="M83" s="1913"/>
      <c r="O83" s="1707"/>
      <c r="P83" s="1707"/>
    </row>
    <row r="84" spans="2:16" ht="13.5" customHeight="1" x14ac:dyDescent="0.2">
      <c r="B84" s="1999">
        <v>2012</v>
      </c>
      <c r="C84" s="2000"/>
      <c r="D84" s="1615">
        <f>VLOOKUP($I$3,SNAPClients,11,FALSE)</f>
        <v>10046</v>
      </c>
      <c r="E84" s="1477">
        <f>VLOOKUP($I$3,TANFClients,11,FALSE)</f>
        <v>1127</v>
      </c>
      <c r="F84" s="1616">
        <f>VLOOKUP(I3,MedicaidClients,7,FALSE)</f>
        <v>8453</v>
      </c>
      <c r="G84" s="1619">
        <f>VLOOKUP(I3,BenefitClients,7,FALSE)</f>
        <v>11696</v>
      </c>
      <c r="H84" s="1478" t="s">
        <v>933</v>
      </c>
      <c r="I84" s="1704"/>
      <c r="L84" s="1913"/>
      <c r="M84" s="1913"/>
      <c r="O84" s="1707"/>
      <c r="P84" s="1707"/>
    </row>
    <row r="85" spans="2:16" ht="13.5" customHeight="1" x14ac:dyDescent="0.2">
      <c r="B85" s="2001">
        <v>2013</v>
      </c>
      <c r="C85" s="2002"/>
      <c r="D85" s="1613">
        <f>VLOOKUP($I$3,SNAPClients,12,FALSE)</f>
        <v>10332</v>
      </c>
      <c r="E85" s="1479">
        <f>VLOOKUP($I$3,TANFClients,12,FALSE)</f>
        <v>1131</v>
      </c>
      <c r="F85" s="1614">
        <f>VLOOKUP(I3,MedicaidClients,8,FALSE)</f>
        <v>8723</v>
      </c>
      <c r="G85" s="1481">
        <f>VLOOKUP(I3,BenefitClients,8,FALSE)</f>
        <v>12021</v>
      </c>
      <c r="H85" s="1480" t="s">
        <v>933</v>
      </c>
      <c r="I85" s="1704"/>
      <c r="L85" s="1913"/>
      <c r="M85" s="1913"/>
      <c r="O85" s="1707"/>
      <c r="P85" s="1707"/>
    </row>
    <row r="86" spans="2:16" ht="13.5" customHeight="1" x14ac:dyDescent="0.2">
      <c r="B86" s="2003">
        <v>2014</v>
      </c>
      <c r="C86" s="2004"/>
      <c r="D86" s="1607">
        <f>VLOOKUP($I$3,SNAPClients,13,FALSE)</f>
        <v>10088</v>
      </c>
      <c r="E86" s="1608">
        <f>VLOOKUP($I$3,TANFClients,13,FALSE)</f>
        <v>974</v>
      </c>
      <c r="F86" s="1617">
        <f>VLOOKUP(I3,MedicaidClients,9,FALSE)</f>
        <v>8834</v>
      </c>
      <c r="G86" s="1609">
        <f>VLOOKUP(I3,BenefitClients,9,FALSE)</f>
        <v>11999</v>
      </c>
      <c r="H86" s="1609">
        <f>VLOOKUP(I3,ChildCareClients,4,FALSE)</f>
        <v>94</v>
      </c>
      <c r="I86" s="1705"/>
      <c r="L86" s="1913"/>
      <c r="M86" s="1913"/>
      <c r="O86" s="1707"/>
      <c r="P86" s="1707"/>
    </row>
    <row r="87" spans="2:16" ht="13.5" customHeight="1" x14ac:dyDescent="0.2">
      <c r="B87" s="2005">
        <v>2015</v>
      </c>
      <c r="C87" s="2006"/>
      <c r="D87" s="1621">
        <f>VLOOKUP($I$3,SNAPClients,14,FALSE)</f>
        <v>9291</v>
      </c>
      <c r="E87" s="1622">
        <f>VLOOKUP($I$3,TANFClients,14,FALSE)</f>
        <v>810</v>
      </c>
      <c r="F87" s="1623">
        <f>VLOOKUP(I3,MedicaidClients,10,FALSE)</f>
        <v>9118</v>
      </c>
      <c r="G87" s="1624">
        <f>VLOOKUP(I3,BenefitClients,10,FALSE)</f>
        <v>12066</v>
      </c>
      <c r="H87" s="1624">
        <f>VLOOKUP(I3,ChildCareClients,5,FALSE)</f>
        <v>83</v>
      </c>
      <c r="I87" s="1705"/>
      <c r="L87" s="1913"/>
      <c r="M87" s="1913"/>
      <c r="O87" s="1707"/>
      <c r="P87" s="1707"/>
    </row>
    <row r="88" spans="2:16" ht="13.5" customHeight="1" x14ac:dyDescent="0.2">
      <c r="B88" s="1876" t="s">
        <v>1189</v>
      </c>
      <c r="C88" s="1876"/>
      <c r="D88" s="1876"/>
      <c r="E88" s="1876"/>
      <c r="F88" s="1876"/>
      <c r="G88" s="1876"/>
      <c r="H88" s="1876"/>
      <c r="I88" s="1876"/>
      <c r="J88" s="1876"/>
      <c r="L88" s="1913"/>
      <c r="M88" s="1913"/>
      <c r="O88" s="1707"/>
      <c r="P88" s="1707"/>
    </row>
    <row r="89" spans="2:16" ht="13.5" customHeight="1" x14ac:dyDescent="0.2">
      <c r="B89" s="1876"/>
      <c r="C89" s="1876"/>
      <c r="D89" s="1876"/>
      <c r="E89" s="1876"/>
      <c r="F89" s="1876"/>
      <c r="G89" s="1876"/>
      <c r="H89" s="1876"/>
      <c r="I89" s="1876"/>
      <c r="J89" s="1876"/>
      <c r="L89" s="1913"/>
      <c r="M89" s="1913"/>
      <c r="O89" s="1707"/>
      <c r="P89" s="1707"/>
    </row>
    <row r="90" spans="2:16" ht="13.5" customHeight="1" x14ac:dyDescent="0.2">
      <c r="B90" s="1876"/>
      <c r="C90" s="1876"/>
      <c r="D90" s="1876"/>
      <c r="E90" s="1876"/>
      <c r="F90" s="1876"/>
      <c r="G90" s="1876"/>
      <c r="H90" s="1876"/>
      <c r="I90" s="1876"/>
      <c r="J90" s="1876"/>
      <c r="L90" s="1625"/>
      <c r="M90" s="1625"/>
      <c r="N90" s="87"/>
      <c r="O90" s="1707"/>
      <c r="P90" s="1707"/>
    </row>
    <row r="91" spans="2:16" ht="13.5" customHeight="1" x14ac:dyDescent="0.2">
      <c r="B91" s="1159"/>
      <c r="C91" s="1159"/>
      <c r="D91" s="1159"/>
      <c r="E91" s="1159"/>
      <c r="F91" s="1159"/>
      <c r="G91" s="1159"/>
      <c r="H91" s="1159"/>
      <c r="I91" s="126"/>
      <c r="J91" s="126"/>
      <c r="K91" s="87"/>
      <c r="L91" s="87"/>
      <c r="M91" s="87"/>
      <c r="N91" s="87"/>
    </row>
    <row r="92" spans="2:16" ht="13.5" customHeight="1" x14ac:dyDescent="0.2">
      <c r="B92" s="1159"/>
      <c r="C92" s="1159"/>
      <c r="D92" s="1159"/>
      <c r="E92" s="1159"/>
      <c r="F92" s="1159"/>
      <c r="G92" s="1159"/>
      <c r="H92" s="1159"/>
      <c r="I92" s="126"/>
      <c r="J92" s="126"/>
      <c r="K92" s="87"/>
      <c r="L92" s="87"/>
      <c r="M92" s="87"/>
      <c r="N92" s="87"/>
    </row>
    <row r="93" spans="2:16" ht="13.5" customHeight="1" x14ac:dyDescent="0.2">
      <c r="B93" s="1159"/>
      <c r="C93" s="1159"/>
      <c r="D93" s="1159"/>
      <c r="E93" s="1159"/>
      <c r="F93" s="1159"/>
      <c r="G93" s="1159"/>
      <c r="H93" s="1159"/>
      <c r="I93" s="126"/>
      <c r="J93" s="126"/>
      <c r="K93" s="87"/>
      <c r="L93" s="87"/>
      <c r="M93" s="87"/>
      <c r="N93" s="87"/>
    </row>
    <row r="94" spans="2:16" ht="13.5" customHeight="1" x14ac:dyDescent="0.2">
      <c r="B94" s="1159"/>
      <c r="C94" s="1159"/>
      <c r="D94" s="1159"/>
      <c r="E94" s="1159"/>
      <c r="F94" s="1159"/>
      <c r="G94" s="1159"/>
      <c r="H94" s="1159"/>
      <c r="I94" s="126"/>
      <c r="J94" s="126"/>
      <c r="K94" s="87"/>
      <c r="L94" s="87"/>
      <c r="M94" s="87"/>
      <c r="N94" s="87"/>
    </row>
    <row r="95" spans="2:16" ht="13.5" customHeight="1" x14ac:dyDescent="0.2">
      <c r="B95" s="1159"/>
      <c r="C95" s="1159"/>
      <c r="D95" s="1159"/>
      <c r="E95" s="1159"/>
      <c r="F95" s="1159"/>
      <c r="G95" s="1159"/>
      <c r="H95" s="1159"/>
      <c r="I95" s="126"/>
      <c r="J95" s="126"/>
      <c r="K95" s="87"/>
      <c r="L95" s="87"/>
      <c r="M95" s="87"/>
      <c r="N95" s="87"/>
    </row>
    <row r="96" spans="2:16" ht="13.5" customHeight="1" x14ac:dyDescent="0.2">
      <c r="B96" s="1159"/>
      <c r="C96" s="1159"/>
      <c r="D96" s="1159"/>
      <c r="E96" s="1159"/>
      <c r="F96" s="1159"/>
      <c r="G96" s="1159"/>
      <c r="H96" s="1159"/>
      <c r="I96" s="126"/>
      <c r="J96" s="126"/>
      <c r="K96" s="87"/>
      <c r="L96" s="87"/>
      <c r="M96" s="87"/>
      <c r="N96" s="87"/>
    </row>
    <row r="97" spans="2:28" ht="13.5" customHeight="1" x14ac:dyDescent="0.2">
      <c r="B97" s="1159"/>
      <c r="C97" s="1159"/>
      <c r="D97" s="1159"/>
      <c r="E97" s="1159"/>
      <c r="F97" s="1159"/>
      <c r="G97" s="1159"/>
      <c r="H97" s="1159"/>
      <c r="I97" s="126"/>
      <c r="J97" s="126"/>
      <c r="K97" s="87"/>
      <c r="L97" s="87"/>
      <c r="M97" s="87"/>
      <c r="N97" s="87"/>
    </row>
    <row r="98" spans="2:28" ht="13.5" customHeight="1" x14ac:dyDescent="0.2">
      <c r="B98" s="1159"/>
      <c r="C98" s="1159"/>
      <c r="D98" s="1159"/>
      <c r="E98" s="1159"/>
      <c r="F98" s="1159"/>
      <c r="G98" s="1159"/>
      <c r="H98" s="1159"/>
      <c r="I98" s="126"/>
      <c r="J98" s="126"/>
      <c r="K98" s="87"/>
      <c r="L98" s="87"/>
      <c r="M98" s="87"/>
      <c r="N98" s="87"/>
    </row>
    <row r="99" spans="2:28" ht="13.5" customHeight="1" x14ac:dyDescent="0.2">
      <c r="B99" s="1159"/>
      <c r="C99" s="1159"/>
      <c r="D99" s="1159"/>
      <c r="E99" s="1159"/>
      <c r="F99" s="1159"/>
      <c r="G99" s="1159"/>
      <c r="H99" s="1159"/>
      <c r="I99" s="126"/>
      <c r="J99" s="126"/>
      <c r="K99" s="87"/>
      <c r="L99" s="87"/>
      <c r="M99" s="87"/>
      <c r="N99" s="87"/>
    </row>
    <row r="100" spans="2:28" ht="13.5" customHeight="1" x14ac:dyDescent="0.2">
      <c r="B100" s="1159"/>
      <c r="C100" s="1159"/>
      <c r="D100" s="1159"/>
      <c r="E100" s="1159"/>
      <c r="F100" s="1159"/>
      <c r="G100" s="1159"/>
      <c r="H100" s="1159"/>
      <c r="I100" s="126"/>
      <c r="J100" s="126"/>
      <c r="K100" s="87"/>
      <c r="L100" s="87"/>
      <c r="M100" s="87"/>
      <c r="N100" s="87"/>
    </row>
    <row r="101" spans="2:28" ht="13.5" customHeight="1" x14ac:dyDescent="0.2">
      <c r="B101" s="1159"/>
      <c r="C101" s="1159"/>
      <c r="D101" s="1159"/>
      <c r="E101" s="1159"/>
      <c r="F101" s="1159"/>
      <c r="G101" s="1159"/>
      <c r="H101" s="1159"/>
      <c r="I101" s="126"/>
      <c r="J101" s="126"/>
      <c r="K101" s="87"/>
      <c r="L101" s="87"/>
      <c r="M101" s="87"/>
      <c r="N101" s="87"/>
    </row>
    <row r="102" spans="2:28" ht="13.5" customHeight="1" x14ac:dyDescent="0.2">
      <c r="B102" s="1159"/>
      <c r="C102" s="1159"/>
      <c r="D102" s="1159"/>
      <c r="E102" s="1159"/>
      <c r="F102" s="1159"/>
      <c r="G102" s="1159"/>
      <c r="H102" s="1159"/>
      <c r="I102" s="126"/>
      <c r="J102" s="126"/>
      <c r="K102" s="87"/>
      <c r="L102" s="87"/>
      <c r="M102" s="87"/>
      <c r="N102" s="87"/>
    </row>
    <row r="103" spans="2:28" ht="13.5" customHeight="1" x14ac:dyDescent="0.2">
      <c r="B103" s="277"/>
      <c r="C103" s="277"/>
      <c r="D103" s="277"/>
      <c r="E103" s="277"/>
      <c r="F103" s="277"/>
      <c r="G103" s="277"/>
      <c r="H103" s="1159"/>
      <c r="I103" s="126"/>
      <c r="J103" s="126"/>
      <c r="K103" s="87"/>
      <c r="L103" s="87"/>
      <c r="M103" s="87"/>
      <c r="N103" s="87"/>
    </row>
    <row r="104" spans="2:28" ht="13.5" customHeight="1" x14ac:dyDescent="0.2">
      <c r="B104" s="1887" t="s">
        <v>1170</v>
      </c>
      <c r="C104" s="1888"/>
      <c r="D104" s="2026" t="s">
        <v>842</v>
      </c>
      <c r="E104" s="2027"/>
      <c r="F104" s="2028"/>
      <c r="G104" s="2026" t="s">
        <v>887</v>
      </c>
      <c r="H104" s="2027"/>
      <c r="I104" s="2023" t="s">
        <v>778</v>
      </c>
      <c r="J104" s="2024"/>
      <c r="K104" s="2024"/>
      <c r="L104" s="2012"/>
      <c r="M104" s="2012" t="s">
        <v>551</v>
      </c>
      <c r="N104" s="274"/>
      <c r="P104" s="172"/>
      <c r="Q104" s="172"/>
      <c r="S104" s="78"/>
      <c r="T104" s="172"/>
      <c r="X104" s="75"/>
      <c r="Y104" s="76"/>
      <c r="Z104" s="76"/>
      <c r="AA104" s="77"/>
      <c r="AB104" s="76"/>
    </row>
    <row r="105" spans="2:28" ht="13.5" customHeight="1" x14ac:dyDescent="0.2">
      <c r="B105" s="1887"/>
      <c r="C105" s="1888"/>
      <c r="D105" s="384" t="s">
        <v>845</v>
      </c>
      <c r="E105" s="385" t="s">
        <v>844</v>
      </c>
      <c r="F105" s="387" t="s">
        <v>843</v>
      </c>
      <c r="G105" s="1197" t="s">
        <v>549</v>
      </c>
      <c r="H105" s="386" t="s">
        <v>548</v>
      </c>
      <c r="I105" s="384" t="s">
        <v>2</v>
      </c>
      <c r="J105" s="385" t="s">
        <v>445</v>
      </c>
      <c r="K105" s="387" t="s">
        <v>446</v>
      </c>
      <c r="L105" s="1627" t="s">
        <v>1101</v>
      </c>
      <c r="M105" s="2013"/>
      <c r="N105" s="274"/>
      <c r="P105" s="274"/>
      <c r="Q105" s="274"/>
      <c r="S105" s="78"/>
      <c r="T105" s="274"/>
      <c r="X105" s="75"/>
      <c r="Y105" s="76"/>
      <c r="Z105" s="76"/>
      <c r="AA105" s="77"/>
      <c r="AB105" s="76"/>
    </row>
    <row r="106" spans="2:28" ht="13.5" customHeight="1" x14ac:dyDescent="0.2">
      <c r="B106" s="350" t="s">
        <v>318</v>
      </c>
      <c r="C106" s="1160"/>
      <c r="D106" s="324">
        <f>VLOOKUP($I$3,SNAPClient_Demo,4,FALSE)</f>
        <v>3891</v>
      </c>
      <c r="E106" s="259">
        <f>VLOOKUP($I$3,SNAPClient_Demo,5,FALSE)</f>
        <v>4936</v>
      </c>
      <c r="F106" s="260">
        <f>VLOOKUP($I$3,SNAPClient_Demo,6,FALSE)</f>
        <v>464</v>
      </c>
      <c r="G106" s="1199">
        <f>VLOOKUP($I$3,SNAPClient_Demo,7,FALSE)</f>
        <v>5183</v>
      </c>
      <c r="H106" s="1204">
        <f>VLOOKUP($I$3,SNAPClient_Demo,8,FALSE)</f>
        <v>4108</v>
      </c>
      <c r="I106" s="1199">
        <f>VLOOKUP($I$3,SNAPClient_Demo,9,FALSE)</f>
        <v>4572</v>
      </c>
      <c r="J106" s="1207">
        <f>VLOOKUP($I$3,SNAPClient_Demo,10,FALSE)</f>
        <v>4250</v>
      </c>
      <c r="K106" s="1200">
        <f>VLOOKUP($I$3,SNAPClient_Demo,11,FALSE)</f>
        <v>156</v>
      </c>
      <c r="L106" s="1198">
        <f>VLOOKUP($I$3,SNAPClient_Demo,12,FALSE)</f>
        <v>98</v>
      </c>
      <c r="M106" s="1198" t="s">
        <v>933</v>
      </c>
      <c r="N106" s="269"/>
      <c r="P106" s="268"/>
      <c r="Q106" s="268"/>
      <c r="S106" s="78"/>
      <c r="T106" s="162"/>
      <c r="V106" s="79"/>
      <c r="W106" s="79"/>
      <c r="X106" s="79"/>
      <c r="Y106" s="79"/>
      <c r="Z106" s="79"/>
      <c r="AA106" s="79"/>
      <c r="AB106" s="79"/>
    </row>
    <row r="107" spans="2:28" ht="13.5" customHeight="1" x14ac:dyDescent="0.2">
      <c r="B107" s="350" t="s">
        <v>409</v>
      </c>
      <c r="C107" s="1160"/>
      <c r="D107" s="324">
        <f>VLOOKUP(I3,TANFClient_Demo,4,FALSE)</f>
        <v>517</v>
      </c>
      <c r="E107" s="259">
        <f>VLOOKUP(I3,TANFClient_Demo,5,FALSE)</f>
        <v>293</v>
      </c>
      <c r="F107" s="260">
        <f>VLOOKUP(I3,TANFClient_Demo,6,FALSE)</f>
        <v>0</v>
      </c>
      <c r="G107" s="324">
        <f>VLOOKUP(I3,TANFClient_Demo,7,FALSE)</f>
        <v>496</v>
      </c>
      <c r="H107" s="1205">
        <f>VLOOKUP(I3,TANFClient_Demo,8,FALSE)</f>
        <v>314</v>
      </c>
      <c r="I107" s="324">
        <f>VLOOKUP(I3,TANFClient_Demo,9,FALSE)</f>
        <v>277</v>
      </c>
      <c r="J107" s="259">
        <f>VLOOKUP(I3,TANFClient_Demo,10,FALSE)</f>
        <v>495</v>
      </c>
      <c r="K107" s="260">
        <f>VLOOKUP(I3,TANFClient_Demo,11,FALSE)</f>
        <v>26</v>
      </c>
      <c r="L107" s="1198">
        <f>VLOOKUP(I3,TANFClient_Demo,12,FALSE)</f>
        <v>25</v>
      </c>
      <c r="M107" s="1198" t="s">
        <v>933</v>
      </c>
      <c r="N107" s="269"/>
      <c r="P107" s="268"/>
      <c r="Q107" s="268"/>
      <c r="S107" s="78"/>
      <c r="T107" s="162"/>
      <c r="V107" s="79"/>
      <c r="W107" s="79"/>
      <c r="X107" s="79"/>
      <c r="Y107" s="79"/>
      <c r="Z107" s="79"/>
      <c r="AA107" s="79"/>
      <c r="AB107" s="79"/>
    </row>
    <row r="108" spans="2:28" ht="13.5" customHeight="1" x14ac:dyDescent="0.2">
      <c r="B108" s="350" t="s">
        <v>762</v>
      </c>
      <c r="C108" s="1160"/>
      <c r="D108" s="324">
        <f>VLOOKUP(I3,MedicaidClient_Demographics,4,FALSE)</f>
        <v>4885</v>
      </c>
      <c r="E108" s="259">
        <f>VLOOKUP(I3,MedicaidClient_Demographics,5,FALSE)</f>
        <v>3255</v>
      </c>
      <c r="F108" s="260">
        <f>VLOOKUP(I3,MedicaidClient_Demographics,6,FALSE)</f>
        <v>978</v>
      </c>
      <c r="G108" s="324">
        <f>VLOOKUP(I3,MedicaidClient_Demographics,7,FALSE)</f>
        <v>5223</v>
      </c>
      <c r="H108" s="1205">
        <f>VLOOKUP(I3,MedicaidClient_Demographics,8,FALSE)</f>
        <v>3895</v>
      </c>
      <c r="I108" s="324">
        <f>VLOOKUP(I3,MedicaidClient_Demographics,9,FALSE)</f>
        <v>4325</v>
      </c>
      <c r="J108" s="259">
        <f>VLOOKUP(I3,MedicaidClient_Demographics,10,FALSE)</f>
        <v>4183</v>
      </c>
      <c r="K108" s="260">
        <f>VLOOKUP(I3,MedicaidClient_Demographics,11,FALSE)</f>
        <v>511</v>
      </c>
      <c r="L108" s="1198">
        <f>VLOOKUP(I3,MedicaidClient_Demographics,12,FALSE)</f>
        <v>99</v>
      </c>
      <c r="M108" s="1198" t="s">
        <v>933</v>
      </c>
      <c r="N108" s="1194"/>
      <c r="P108" s="268"/>
      <c r="Q108" s="268"/>
      <c r="S108" s="78"/>
      <c r="T108" s="162"/>
      <c r="X108" s="75"/>
      <c r="Y108" s="76"/>
      <c r="Z108" s="76"/>
      <c r="AA108" s="77"/>
      <c r="AB108" s="76"/>
    </row>
    <row r="109" spans="2:28" ht="13.5" customHeight="1" x14ac:dyDescent="0.2">
      <c r="B109" s="1195" t="s">
        <v>893</v>
      </c>
      <c r="C109" s="971"/>
      <c r="D109" s="972">
        <f>VLOOKUP(I3,BenefitClient_Demo,4,FALSE)</f>
        <v>5648</v>
      </c>
      <c r="E109" s="973">
        <f>VLOOKUP(I3,BenefitClient_Demo,5,FALSE)</f>
        <v>5346</v>
      </c>
      <c r="F109" s="974">
        <f>VLOOKUP(I3,BenefitClient_Demo,6,FALSE)</f>
        <v>1072</v>
      </c>
      <c r="G109" s="972">
        <f>VLOOKUP(I3,BenefitClient_Demo,7,FALSE)</f>
        <v>6682</v>
      </c>
      <c r="H109" s="1206">
        <f>VLOOKUP(I3,BenefitClient_Demo,8,FALSE)</f>
        <v>5384</v>
      </c>
      <c r="I109" s="972">
        <f>VLOOKUP(I3,BenefitClient_Demo,9,FALSE)</f>
        <v>5648</v>
      </c>
      <c r="J109" s="973">
        <f>VLOOKUP(I3,BenefitClient_Demo,10,FALSE)</f>
        <v>5608</v>
      </c>
      <c r="K109" s="974">
        <f>VLOOKUP(I3,BenefitClient_Demo,11,FALSE)</f>
        <v>550</v>
      </c>
      <c r="L109" s="1196">
        <f>VLOOKUP(I3,BenefitClient_Demo,12,FALSE)</f>
        <v>499</v>
      </c>
      <c r="M109" s="1196" t="s">
        <v>933</v>
      </c>
      <c r="N109" s="269"/>
      <c r="O109" s="1192"/>
      <c r="P109" s="268"/>
      <c r="Q109" s="268"/>
      <c r="S109" s="78"/>
      <c r="T109" s="162"/>
      <c r="X109" s="75"/>
      <c r="Y109" s="76"/>
      <c r="Z109" s="76"/>
      <c r="AA109" s="77"/>
      <c r="AB109" s="76"/>
    </row>
    <row r="110" spans="2:28" ht="13.5" customHeight="1" x14ac:dyDescent="0.2">
      <c r="B110" s="2025" t="s">
        <v>1264</v>
      </c>
      <c r="C110" s="2025"/>
      <c r="D110" s="2025"/>
      <c r="E110" s="2025"/>
      <c r="F110" s="2025"/>
      <c r="G110" s="2025"/>
      <c r="H110" s="2025"/>
      <c r="I110" s="2025"/>
      <c r="J110" s="2025"/>
      <c r="K110" s="2025"/>
      <c r="L110" s="2025"/>
      <c r="M110" s="2025"/>
      <c r="N110" s="279"/>
      <c r="O110" s="279"/>
      <c r="P110" s="267"/>
    </row>
    <row r="111" spans="2:28" ht="13.5" customHeight="1" x14ac:dyDescent="0.2">
      <c r="B111" s="1881"/>
      <c r="C111" s="1881"/>
      <c r="D111" s="1881"/>
      <c r="E111" s="1881"/>
      <c r="F111" s="1881"/>
      <c r="G111" s="1881"/>
      <c r="H111" s="1881"/>
      <c r="I111" s="1881"/>
      <c r="J111" s="1881"/>
      <c r="K111" s="1881"/>
      <c r="L111" s="1881"/>
      <c r="M111" s="1881"/>
      <c r="N111" s="279"/>
      <c r="O111" s="279"/>
      <c r="P111" s="267"/>
    </row>
    <row r="112" spans="2:28" ht="13.5" customHeight="1" x14ac:dyDescent="0.2">
      <c r="B112" s="1995" t="s">
        <v>1103</v>
      </c>
      <c r="C112" s="1996"/>
      <c r="D112" s="2014" t="s">
        <v>877</v>
      </c>
      <c r="E112" s="2015"/>
      <c r="F112" s="2016"/>
      <c r="G112" s="2029" t="s">
        <v>882</v>
      </c>
      <c r="H112" s="2030"/>
      <c r="I112" s="2031"/>
      <c r="J112" s="2017" t="s">
        <v>881</v>
      </c>
      <c r="K112" s="1187"/>
      <c r="L112" s="1186"/>
      <c r="M112" s="1185"/>
      <c r="N112" s="1185"/>
      <c r="O112" s="1185"/>
      <c r="P112" s="1185"/>
      <c r="Q112" s="87"/>
      <c r="R112" s="80"/>
    </row>
    <row r="113" spans="2:24" ht="13.5" customHeight="1" x14ac:dyDescent="0.2">
      <c r="B113" s="1997"/>
      <c r="C113" s="1998"/>
      <c r="D113" s="2020" t="s">
        <v>318</v>
      </c>
      <c r="E113" s="2021" t="s">
        <v>409</v>
      </c>
      <c r="F113" s="2022" t="s">
        <v>876</v>
      </c>
      <c r="G113" s="2032" t="s">
        <v>878</v>
      </c>
      <c r="H113" s="2017" t="s">
        <v>879</v>
      </c>
      <c r="I113" s="2017" t="s">
        <v>880</v>
      </c>
      <c r="J113" s="2018"/>
      <c r="K113" s="1187"/>
      <c r="L113" s="1186"/>
      <c r="M113" s="1185"/>
      <c r="N113" s="1185"/>
      <c r="O113" s="1185"/>
      <c r="P113" s="1185"/>
      <c r="Q113" s="87"/>
      <c r="R113" s="80"/>
    </row>
    <row r="114" spans="2:24" ht="13.5" customHeight="1" x14ac:dyDescent="0.2">
      <c r="B114" s="1997"/>
      <c r="C114" s="1998"/>
      <c r="D114" s="2020"/>
      <c r="E114" s="2021"/>
      <c r="F114" s="2022"/>
      <c r="G114" s="2033"/>
      <c r="H114" s="2019"/>
      <c r="I114" s="2019"/>
      <c r="J114" s="2019"/>
      <c r="K114" s="1187"/>
      <c r="L114" s="1186"/>
      <c r="M114" s="1185"/>
      <c r="N114" s="1185"/>
      <c r="O114" s="1185"/>
      <c r="P114" s="1185"/>
      <c r="Q114" s="87"/>
      <c r="R114" s="80"/>
    </row>
    <row r="115" spans="2:24" ht="13.5" customHeight="1" x14ac:dyDescent="0.2">
      <c r="B115" s="1999">
        <v>2010</v>
      </c>
      <c r="C115" s="2000"/>
      <c r="D115" s="1610">
        <f>VLOOKUP(I3,SNAPCases_SFY, 4,FALSE)</f>
        <v>3524</v>
      </c>
      <c r="E115" s="1611">
        <f>VLOOKUP(I3,TANFCases_SFY,4,FALSE)</f>
        <v>375</v>
      </c>
      <c r="F115" s="1612">
        <f>VLOOKUP(I3,MedicaidCases_SFY,4,FALSE)</f>
        <v>5061</v>
      </c>
      <c r="G115" s="1620" t="s">
        <v>933</v>
      </c>
      <c r="H115" s="1620" t="s">
        <v>933</v>
      </c>
      <c r="I115" s="1620" t="s">
        <v>933</v>
      </c>
      <c r="J115" s="1620" t="s">
        <v>933</v>
      </c>
      <c r="K115" s="1188"/>
      <c r="L115" s="1184"/>
      <c r="M115" s="1185"/>
      <c r="N115" s="1185"/>
      <c r="O115" s="1185"/>
      <c r="P115" s="1185"/>
      <c r="Q115" s="87"/>
      <c r="R115" s="80"/>
    </row>
    <row r="116" spans="2:24" ht="13.5" customHeight="1" x14ac:dyDescent="0.2">
      <c r="B116" s="2001">
        <v>2011</v>
      </c>
      <c r="C116" s="2002"/>
      <c r="D116" s="1613">
        <f>VLOOKUP(I3,SNAPCases_SFY, 5,FALSE)</f>
        <v>3901</v>
      </c>
      <c r="E116" s="1479">
        <f>VLOOKUP(I3,TANFCases_SFY,5,FALSE)</f>
        <v>374</v>
      </c>
      <c r="F116" s="1614">
        <f>VLOOKUP(I3,MedicaidCases_SFY,5,FALSE)</f>
        <v>5183</v>
      </c>
      <c r="G116" s="1480" t="s">
        <v>933</v>
      </c>
      <c r="H116" s="1480" t="s">
        <v>933</v>
      </c>
      <c r="I116" s="1480" t="s">
        <v>933</v>
      </c>
      <c r="J116" s="1480" t="s">
        <v>933</v>
      </c>
      <c r="K116" s="1188"/>
      <c r="L116" s="1184"/>
      <c r="M116" s="1185"/>
      <c r="N116" s="1185"/>
      <c r="O116" s="1185"/>
      <c r="P116" s="1185"/>
      <c r="Q116" s="87"/>
      <c r="R116" s="80"/>
    </row>
    <row r="117" spans="2:24" ht="13.5" customHeight="1" x14ac:dyDescent="0.2">
      <c r="B117" s="1999">
        <v>2012</v>
      </c>
      <c r="C117" s="2000"/>
      <c r="D117" s="1615">
        <f>VLOOKUP(I3,SNAPCases_SFY, 6,FALSE)</f>
        <v>4257</v>
      </c>
      <c r="E117" s="1477">
        <f>VLOOKUP(I3,TANFCases_SFY,6,FALSE)</f>
        <v>387</v>
      </c>
      <c r="F117" s="1616">
        <f>VLOOKUP(I3,MedicaidCases_SFY,6,FALSE)</f>
        <v>5235</v>
      </c>
      <c r="G117" s="1478" t="s">
        <v>933</v>
      </c>
      <c r="H117" s="1478" t="s">
        <v>933</v>
      </c>
      <c r="I117" s="1478" t="s">
        <v>933</v>
      </c>
      <c r="J117" s="1478" t="s">
        <v>933</v>
      </c>
      <c r="K117" s="1188"/>
      <c r="L117" s="1184"/>
      <c r="M117" s="1185"/>
      <c r="N117" s="1185"/>
      <c r="O117" s="1185"/>
      <c r="P117" s="1185"/>
      <c r="Q117" s="87"/>
      <c r="R117" s="80"/>
    </row>
    <row r="118" spans="2:24" ht="13.5" customHeight="1" x14ac:dyDescent="0.2">
      <c r="B118" s="2001">
        <v>2013</v>
      </c>
      <c r="C118" s="2002"/>
      <c r="D118" s="1613">
        <f>VLOOKUP(I3,SNAPCases_SFY, 7,FALSE)</f>
        <v>4419</v>
      </c>
      <c r="E118" s="1479">
        <f>VLOOKUP(I3,TANFCases_SFY,7,FALSE)</f>
        <v>379</v>
      </c>
      <c r="F118" s="1614">
        <f>VLOOKUP(I3,MedicaidCases_SFY,7,FALSE)</f>
        <v>5244</v>
      </c>
      <c r="G118" s="1481">
        <f>VLOOKUP(I3,EACases_FFY,4,FALSE)</f>
        <v>1949</v>
      </c>
      <c r="H118" s="1481">
        <f>VLOOKUP(I3,EACases_FFY,7,FALSE)</f>
        <v>593</v>
      </c>
      <c r="I118" s="1481">
        <f>VLOOKUP(I3,EACases_FFY,10,FALSE)</f>
        <v>831</v>
      </c>
      <c r="J118" s="1480" t="s">
        <v>933</v>
      </c>
      <c r="K118" s="1188"/>
      <c r="L118" s="1184"/>
      <c r="M118" s="87"/>
      <c r="N118" s="87"/>
      <c r="O118" s="87"/>
      <c r="P118" s="87"/>
      <c r="Q118" s="87"/>
      <c r="R118" s="80"/>
    </row>
    <row r="119" spans="2:24" ht="13.5" customHeight="1" x14ac:dyDescent="0.2">
      <c r="B119" s="2003">
        <v>2014</v>
      </c>
      <c r="C119" s="2004"/>
      <c r="D119" s="1607">
        <f>VLOOKUP(I3,SNAPCases_SFY, 8,FALSE)</f>
        <v>4404</v>
      </c>
      <c r="E119" s="1608">
        <f>VLOOKUP(I3,TANFCases_SFY,8,FALSE)</f>
        <v>321</v>
      </c>
      <c r="F119" s="1617">
        <f>VLOOKUP(I3,MedicaidCases_SFY,8,FALSE)</f>
        <v>5279</v>
      </c>
      <c r="G119" s="1609">
        <f>VLOOKUP(I3,EACases_FFY,5,FALSE)</f>
        <v>1818</v>
      </c>
      <c r="H119" s="1609">
        <f>VLOOKUP(I3,EACases_FFY,8,FALSE)</f>
        <v>659</v>
      </c>
      <c r="I119" s="1609">
        <f>VLOOKUP(I3,EACases_FFY,11,FALSE)</f>
        <v>883</v>
      </c>
      <c r="J119" s="1609">
        <f>VLOOKUP(I3,ChildCareFamilies,4,FALSE)</f>
        <v>62</v>
      </c>
      <c r="K119" s="1188"/>
      <c r="L119" s="1184"/>
      <c r="M119" s="87"/>
      <c r="N119" s="87"/>
      <c r="O119" s="87"/>
      <c r="P119" s="87"/>
      <c r="Q119" s="87"/>
      <c r="R119" s="80"/>
    </row>
    <row r="120" spans="2:24" ht="13.5" customHeight="1" x14ac:dyDescent="0.2">
      <c r="B120" s="2005">
        <v>2015</v>
      </c>
      <c r="C120" s="2006"/>
      <c r="D120" s="1621">
        <f>VLOOKUP(I3,SNAPCases_SFY, 9,FALSE)</f>
        <v>4081</v>
      </c>
      <c r="E120" s="1622">
        <f>VLOOKUP(I3,TANFCases_SFY,9,FALSE)</f>
        <v>275</v>
      </c>
      <c r="F120" s="1623">
        <f>VLOOKUP(I3,MedicaidCases_SFY,9,FALSE)</f>
        <v>5412</v>
      </c>
      <c r="G120" s="1624">
        <f>VLOOKUP(I3,EACases_FFY,6,FALSE)</f>
        <v>1821</v>
      </c>
      <c r="H120" s="1624">
        <f>VLOOKUP(I3,EACases_FFY,9,FALSE)</f>
        <v>495</v>
      </c>
      <c r="I120" s="1624">
        <f>VLOOKUP(I3,EACases_FFY,12,FALSE)</f>
        <v>819</v>
      </c>
      <c r="J120" s="1624">
        <f>VLOOKUP(I3,ChildCareFamilies,5,FALSE)</f>
        <v>55</v>
      </c>
      <c r="K120" s="1188"/>
      <c r="L120" s="1184"/>
      <c r="M120" s="87"/>
      <c r="N120" s="87"/>
      <c r="O120" s="87"/>
      <c r="P120" s="87"/>
      <c r="Q120" s="87"/>
      <c r="R120" s="80"/>
    </row>
    <row r="121" spans="2:24" ht="13.5" customHeight="1" x14ac:dyDescent="0.2">
      <c r="B121" s="1876" t="s">
        <v>1102</v>
      </c>
      <c r="C121" s="1876"/>
      <c r="D121" s="1876"/>
      <c r="E121" s="1876"/>
      <c r="F121" s="1876"/>
      <c r="G121" s="1876"/>
      <c r="H121" s="1876"/>
      <c r="I121" s="1876"/>
      <c r="J121" s="1876"/>
      <c r="K121" s="1876"/>
      <c r="L121" s="87"/>
      <c r="M121" s="87"/>
      <c r="N121" s="87"/>
      <c r="O121" s="87"/>
      <c r="P121" s="87"/>
      <c r="Q121" s="87"/>
      <c r="R121" s="80"/>
    </row>
    <row r="122" spans="2:24" ht="13.5" customHeight="1" x14ac:dyDescent="0.2">
      <c r="B122" s="1993"/>
      <c r="C122" s="1993"/>
      <c r="D122" s="1993"/>
      <c r="E122" s="1993"/>
      <c r="F122" s="1993"/>
      <c r="G122" s="1993"/>
      <c r="H122" s="1993"/>
      <c r="I122" s="1993"/>
      <c r="J122" s="1993"/>
      <c r="K122" s="1993"/>
      <c r="L122" s="87"/>
      <c r="M122" s="87"/>
      <c r="N122" s="87"/>
      <c r="O122" s="87"/>
      <c r="P122" s="87"/>
      <c r="Q122" s="87"/>
      <c r="R122" s="80"/>
    </row>
    <row r="123" spans="2:24" ht="13.5" customHeight="1" x14ac:dyDescent="0.2">
      <c r="B123" s="1984" t="s">
        <v>1247</v>
      </c>
      <c r="C123" s="1985"/>
      <c r="D123" s="1985"/>
      <c r="E123" s="2043" t="s">
        <v>582</v>
      </c>
      <c r="F123" s="1991" t="s">
        <v>778</v>
      </c>
      <c r="G123" s="1987"/>
      <c r="H123" s="1988"/>
      <c r="I123" s="1986" t="s">
        <v>770</v>
      </c>
      <c r="J123" s="1987"/>
      <c r="K123" s="1987"/>
      <c r="L123" s="1987"/>
      <c r="M123" s="1988"/>
      <c r="N123" s="78"/>
      <c r="O123" s="85"/>
      <c r="P123" s="267"/>
    </row>
    <row r="124" spans="2:24" ht="13.5" customHeight="1" x14ac:dyDescent="0.2">
      <c r="B124" s="1984"/>
      <c r="C124" s="1985"/>
      <c r="D124" s="1985"/>
      <c r="E124" s="2043"/>
      <c r="F124" s="388" t="s">
        <v>2</v>
      </c>
      <c r="G124" s="389" t="s">
        <v>445</v>
      </c>
      <c r="H124" s="390" t="s">
        <v>446</v>
      </c>
      <c r="I124" s="388" t="s">
        <v>1108</v>
      </c>
      <c r="J124" s="1338" t="s">
        <v>1109</v>
      </c>
      <c r="K124" s="1498" t="s">
        <v>1117</v>
      </c>
      <c r="L124" s="390" t="s">
        <v>1110</v>
      </c>
      <c r="M124" s="390" t="s">
        <v>1111</v>
      </c>
      <c r="N124" s="268"/>
      <c r="O124" s="268"/>
      <c r="P124" s="268"/>
      <c r="X124" s="81"/>
    </row>
    <row r="125" spans="2:24" ht="13.5" customHeight="1" x14ac:dyDescent="0.2">
      <c r="B125" s="1982" t="s">
        <v>1112</v>
      </c>
      <c r="C125" s="1983"/>
      <c r="D125" s="1983"/>
      <c r="E125" s="324">
        <f>VLOOKUP(I3,FC_DEMO,4,FALSE)</f>
        <v>10</v>
      </c>
      <c r="F125" s="324">
        <f>VLOOKUP(I3,FC_DEMO,5,FALSE)</f>
        <v>7</v>
      </c>
      <c r="G125" s="1339">
        <f>VLOOKUP(I3,FC_DEMO,6,FALSE)</f>
        <v>1</v>
      </c>
      <c r="H125" s="1340">
        <f>VLOOKUP(I3,FC_DEMO,13,FALSE)</f>
        <v>0</v>
      </c>
      <c r="I125" s="1499">
        <f>VLOOKUP(I3,FC_DEMO,18,FALSE)</f>
        <v>0</v>
      </c>
      <c r="J125" s="1500">
        <f>VLOOKUP(I3,FC_DEMO,19,FALSE)</f>
        <v>4</v>
      </c>
      <c r="K125" s="1501">
        <f>VLOOKUP(I3,FC_DEMO,20,FALSE)</f>
        <v>1</v>
      </c>
      <c r="L125" s="1501">
        <f>VLOOKUP(I3,FC_DEMO,21,FALSE)</f>
        <v>2</v>
      </c>
      <c r="M125" s="1501">
        <f>VLOOKUP(I3,FC_DEMO,22,FALSE)</f>
        <v>3</v>
      </c>
      <c r="N125" s="268"/>
      <c r="O125" s="268"/>
      <c r="P125" s="162"/>
      <c r="T125" s="82"/>
      <c r="U125" s="81"/>
      <c r="V125" s="81"/>
      <c r="W125" s="81"/>
      <c r="X125" s="81"/>
    </row>
    <row r="126" spans="2:24" ht="13.5" customHeight="1" x14ac:dyDescent="0.2">
      <c r="B126" s="1982" t="s">
        <v>1238</v>
      </c>
      <c r="C126" s="1983"/>
      <c r="D126" s="1992"/>
      <c r="E126" s="1193">
        <f>VLOOKUP(I3,Adoption_Child_Demo,4,FALSE)</f>
        <v>0</v>
      </c>
      <c r="F126" s="324">
        <f>VLOOKUP(I3,Adoption_Child_Demo,5,FALSE)</f>
        <v>0</v>
      </c>
      <c r="G126" s="1339">
        <f>VLOOKUP(I3,Adoption_Child_Demo,6,FALSE)</f>
        <v>0</v>
      </c>
      <c r="H126" s="1340">
        <f>VLOOKUP(I3,Adoption_Child_Demo,13,FALSE)</f>
        <v>0</v>
      </c>
      <c r="I126" s="1499">
        <f>VLOOKUP(I3,Adoption_Child_Demo,15,FALSE)</f>
        <v>0</v>
      </c>
      <c r="J126" s="1500">
        <f>VLOOKUP(I3,Adoption_Child_Demo,16,FALSE)</f>
        <v>0</v>
      </c>
      <c r="K126" s="1501">
        <f>VLOOKUP(I3,Adoption_Child_Demo,17,FALSE)</f>
        <v>0</v>
      </c>
      <c r="L126" s="1501">
        <f>VLOOKUP(I3,Adoption_Child_Demo,18,FALSE)</f>
        <v>0</v>
      </c>
      <c r="M126" s="1501">
        <f>VLOOKUP(I3,Adoption_Child_Demo,19,FALSE)</f>
        <v>0</v>
      </c>
      <c r="N126" s="268"/>
      <c r="O126" s="268"/>
      <c r="P126" s="162"/>
      <c r="T126" s="82"/>
      <c r="U126" s="81"/>
      <c r="V126" s="81"/>
      <c r="W126" s="81"/>
      <c r="X126" s="81"/>
    </row>
    <row r="127" spans="2:24" ht="13.5" customHeight="1" x14ac:dyDescent="0.2">
      <c r="B127" s="1989" t="s">
        <v>888</v>
      </c>
      <c r="C127" s="1990"/>
      <c r="D127" s="1990"/>
      <c r="E127" s="353">
        <f>VLOOKUP(I3,AdoptionServices,4,FALSE)</f>
        <v>13</v>
      </c>
      <c r="F127" s="1341">
        <f>VLOOKUP(I3,AdoptionServices,5,FALSE)</f>
        <v>8</v>
      </c>
      <c r="G127" s="1342">
        <f>VLOOKUP(I3,AdoptionServices,6,FALSE)</f>
        <v>3</v>
      </c>
      <c r="H127" s="1343">
        <f>VLOOKUP(I3,AdoptionServices,12,FALSE)</f>
        <v>2</v>
      </c>
      <c r="I127" s="1502">
        <f>VLOOKUP(I3,AdoptionServices,14,FALSE)</f>
        <v>2</v>
      </c>
      <c r="J127" s="1503">
        <f>VLOOKUP(I3,AdoptionServices,15,FALSE)</f>
        <v>2</v>
      </c>
      <c r="K127" s="1504">
        <f>VLOOKUP(I3,AdoptionServices,16,FALSE)</f>
        <v>4</v>
      </c>
      <c r="L127" s="1504">
        <f>VLOOKUP(I3,AdoptionServices,17,FALSE)</f>
        <v>5</v>
      </c>
      <c r="M127" s="1504">
        <f>VLOOKUP(I3,AdoptionServices,18,FALSE)</f>
        <v>0</v>
      </c>
      <c r="N127" s="268"/>
      <c r="O127" s="268"/>
      <c r="P127" s="162"/>
      <c r="T127" s="82"/>
      <c r="U127" s="81"/>
      <c r="V127" s="81"/>
      <c r="W127" s="81"/>
      <c r="X127" s="81"/>
    </row>
    <row r="128" spans="2:24" ht="13.5" customHeight="1" x14ac:dyDescent="0.2">
      <c r="B128" s="1881" t="s">
        <v>1248</v>
      </c>
      <c r="C128" s="1881"/>
      <c r="D128" s="1881"/>
      <c r="E128" s="1881"/>
      <c r="F128" s="1881"/>
      <c r="G128" s="1881"/>
      <c r="H128" s="1881"/>
      <c r="I128" s="1881"/>
      <c r="J128" s="1881"/>
      <c r="K128" s="1881"/>
      <c r="L128" s="1881"/>
      <c r="M128" s="1881"/>
      <c r="N128" s="1881"/>
      <c r="O128" s="268"/>
      <c r="P128" s="162"/>
      <c r="T128" s="82"/>
      <c r="U128" s="81"/>
      <c r="V128" s="81"/>
      <c r="W128" s="81"/>
      <c r="X128" s="81"/>
    </row>
    <row r="129" spans="2:25" ht="13.5" customHeight="1" x14ac:dyDescent="0.2">
      <c r="B129" s="1881"/>
      <c r="C129" s="1881"/>
      <c r="D129" s="1881"/>
      <c r="E129" s="1881"/>
      <c r="F129" s="1881"/>
      <c r="G129" s="1881"/>
      <c r="H129" s="1881"/>
      <c r="I129" s="1881"/>
      <c r="J129" s="1881"/>
      <c r="K129" s="1881"/>
      <c r="L129" s="1881"/>
      <c r="M129" s="1881"/>
      <c r="N129" s="1881"/>
      <c r="O129" s="268"/>
      <c r="P129" s="162"/>
      <c r="T129" s="82"/>
      <c r="U129" s="81"/>
      <c r="V129" s="81"/>
      <c r="W129" s="81"/>
      <c r="X129" s="81"/>
    </row>
    <row r="130" spans="2:25" ht="13.5" customHeight="1" x14ac:dyDescent="0.2">
      <c r="B130" s="1943" t="s">
        <v>1347</v>
      </c>
      <c r="C130" s="1944"/>
      <c r="D130" s="1945"/>
      <c r="E130" s="1980" t="s">
        <v>449</v>
      </c>
      <c r="F130" s="1941" t="s">
        <v>778</v>
      </c>
      <c r="G130" s="1949"/>
      <c r="H130" s="1950"/>
      <c r="I130" s="2044" t="s">
        <v>770</v>
      </c>
      <c r="J130" s="2044"/>
      <c r="K130" s="2044"/>
      <c r="L130" s="2044"/>
      <c r="M130" s="2044"/>
      <c r="N130" s="2044"/>
      <c r="O130" s="268"/>
      <c r="P130" s="162"/>
      <c r="T130" s="82"/>
      <c r="U130" s="81"/>
      <c r="V130" s="81"/>
      <c r="W130" s="81"/>
      <c r="X130" s="81"/>
    </row>
    <row r="131" spans="2:25" ht="13.5" customHeight="1" x14ac:dyDescent="0.2">
      <c r="B131" s="1946"/>
      <c r="C131" s="1947"/>
      <c r="D131" s="1948"/>
      <c r="E131" s="1981"/>
      <c r="F131" s="1505" t="s">
        <v>2</v>
      </c>
      <c r="G131" s="1155" t="s">
        <v>445</v>
      </c>
      <c r="H131" s="1156" t="s">
        <v>446</v>
      </c>
      <c r="I131" s="1847" t="s">
        <v>1249</v>
      </c>
      <c r="J131" s="1847" t="s">
        <v>1252</v>
      </c>
      <c r="K131" s="1847" t="s">
        <v>1253</v>
      </c>
      <c r="L131" s="1847" t="s">
        <v>1254</v>
      </c>
      <c r="M131" s="1847" t="s">
        <v>1255</v>
      </c>
      <c r="N131" s="1847" t="s">
        <v>773</v>
      </c>
      <c r="O131" s="268"/>
      <c r="P131" s="162"/>
      <c r="T131" s="82"/>
      <c r="U131" s="81"/>
      <c r="V131" s="81"/>
      <c r="W131" s="81"/>
      <c r="X131" s="81"/>
    </row>
    <row r="132" spans="2:25" ht="13.5" customHeight="1" x14ac:dyDescent="0.2">
      <c r="B132" s="1938" t="s">
        <v>1257</v>
      </c>
      <c r="C132" s="1939"/>
      <c r="D132" s="1940"/>
      <c r="E132" s="1849">
        <f>VLOOKUP(I3,CPSReferrals,4,FALSE)</f>
        <v>353</v>
      </c>
      <c r="F132" s="1849">
        <f>VLOOKUP(I3,CPSReferrals,13,FALSE)</f>
        <v>238</v>
      </c>
      <c r="G132" s="1849">
        <f>VLOOKUP(I3,CPSReferrals,14,FALSE)</f>
        <v>113</v>
      </c>
      <c r="H132" s="1849">
        <f>VLOOKUP(I3,CPSReferrals,15,FALSE)</f>
        <v>0</v>
      </c>
      <c r="I132" s="1850">
        <f>VLOOKUP(I3,CPSReferrals,25,FALSE)</f>
        <v>72</v>
      </c>
      <c r="J132" s="1850">
        <f>VLOOKUP(I3,CPSReferrals,19,FALSE)</f>
        <v>93</v>
      </c>
      <c r="K132" s="1848">
        <f>VLOOKUP(I3,CPSReferrals,20,FALSE)</f>
        <v>79</v>
      </c>
      <c r="L132" s="1848">
        <f>VLOOKUP(I3,CPSReferrals,21,FALSE)</f>
        <v>63</v>
      </c>
      <c r="M132" s="1848">
        <f>VLOOKUP(I3,CPSReferrals, 22,FALSE)</f>
        <v>33</v>
      </c>
      <c r="N132" s="1848">
        <f>VLOOKUP(I3,CPSReferrals,23,FALSE)</f>
        <v>13</v>
      </c>
      <c r="O132" s="268"/>
      <c r="P132" s="162"/>
      <c r="T132" s="82"/>
      <c r="U132" s="81"/>
      <c r="V132" s="81"/>
      <c r="W132" s="81"/>
      <c r="X132" s="81"/>
    </row>
    <row r="133" spans="2:25" ht="13.5" customHeight="1" x14ac:dyDescent="0.2">
      <c r="B133" s="1881" t="s">
        <v>1256</v>
      </c>
      <c r="C133" s="1881"/>
      <c r="D133" s="1881"/>
      <c r="E133" s="1881"/>
      <c r="F133" s="1881"/>
      <c r="G133" s="1881"/>
      <c r="H133" s="1881"/>
      <c r="I133" s="1881"/>
      <c r="J133" s="1881"/>
      <c r="K133" s="1881"/>
      <c r="L133" s="1881"/>
      <c r="M133" s="1881"/>
      <c r="N133" s="1881"/>
      <c r="O133" s="268"/>
      <c r="P133" s="162"/>
      <c r="T133" s="82"/>
      <c r="U133" s="81"/>
      <c r="V133" s="81"/>
      <c r="W133" s="81"/>
      <c r="X133" s="81"/>
    </row>
    <row r="134" spans="2:25" ht="13.5" customHeight="1" x14ac:dyDescent="0.2">
      <c r="B134" s="1943" t="s">
        <v>1245</v>
      </c>
      <c r="C134" s="1944"/>
      <c r="D134" s="1945"/>
      <c r="E134" s="1980" t="s">
        <v>1268</v>
      </c>
      <c r="F134" s="1941" t="s">
        <v>1267</v>
      </c>
      <c r="G134" s="1949"/>
      <c r="H134" s="1950"/>
      <c r="I134" s="1941" t="s">
        <v>770</v>
      </c>
      <c r="J134" s="1942"/>
      <c r="K134" s="172"/>
      <c r="M134" s="268"/>
      <c r="N134" s="268"/>
      <c r="O134" s="268"/>
      <c r="P134" s="162"/>
      <c r="T134" s="82"/>
      <c r="U134" s="81"/>
      <c r="V134" s="81"/>
      <c r="W134" s="81"/>
      <c r="X134" s="81"/>
    </row>
    <row r="135" spans="2:25" ht="13.5" customHeight="1" x14ac:dyDescent="0.2">
      <c r="B135" s="1946"/>
      <c r="C135" s="1947"/>
      <c r="D135" s="1948"/>
      <c r="E135" s="1981"/>
      <c r="F135" s="1505" t="s">
        <v>2</v>
      </c>
      <c r="G135" s="1155" t="s">
        <v>445</v>
      </c>
      <c r="H135" s="1156" t="s">
        <v>446</v>
      </c>
      <c r="I135" s="1505" t="s">
        <v>1258</v>
      </c>
      <c r="J135" s="1157" t="s">
        <v>781</v>
      </c>
      <c r="K135" s="274"/>
      <c r="M135" s="268"/>
      <c r="N135" s="268"/>
      <c r="O135" s="268"/>
      <c r="P135" s="268"/>
      <c r="T135" s="82"/>
      <c r="U135" s="81"/>
      <c r="V135" s="81"/>
      <c r="W135" s="81"/>
      <c r="X135" s="81"/>
    </row>
    <row r="136" spans="2:25" ht="13.5" customHeight="1" x14ac:dyDescent="0.2">
      <c r="B136" s="1938" t="s">
        <v>1246</v>
      </c>
      <c r="C136" s="1939"/>
      <c r="D136" s="1940"/>
      <c r="E136" s="1849">
        <f>VLOOKUP(I3,APS_Reports,4,FALSE)</f>
        <v>72</v>
      </c>
      <c r="F136" s="1849">
        <f>VLOOKUP(I3,APS_Reports,5,FALSE)</f>
        <v>37</v>
      </c>
      <c r="G136" s="1849">
        <f>VLOOKUP(I3,APS_Reports,6,FALSE)</f>
        <v>34</v>
      </c>
      <c r="H136" s="1849">
        <f>VLOOKUP(I3,APS_Reports,7,FALSE)</f>
        <v>0</v>
      </c>
      <c r="I136" s="1849">
        <f>VLOOKUP(I3,APS_Reports,9,FALSE)</f>
        <v>26</v>
      </c>
      <c r="J136" s="1854">
        <f>VLOOKUP(I3,APS_Reports,10,FALSE)</f>
        <v>45</v>
      </c>
      <c r="K136" s="269"/>
      <c r="M136" s="78"/>
      <c r="N136" s="78"/>
      <c r="O136" s="78"/>
      <c r="P136" s="162"/>
      <c r="T136" s="82"/>
      <c r="U136" s="81"/>
      <c r="V136" s="81"/>
      <c r="W136" s="81"/>
      <c r="X136" s="81"/>
    </row>
    <row r="137" spans="2:25" ht="13.5" customHeight="1" x14ac:dyDescent="0.2">
      <c r="B137" s="1881" t="s">
        <v>1266</v>
      </c>
      <c r="C137" s="1881"/>
      <c r="D137" s="1881"/>
      <c r="E137" s="1881"/>
      <c r="F137" s="1881"/>
      <c r="G137" s="1881"/>
      <c r="H137" s="1881"/>
      <c r="I137" s="1881"/>
      <c r="J137" s="1881"/>
      <c r="K137" s="1881"/>
      <c r="L137" s="1881"/>
      <c r="M137" s="1881"/>
      <c r="N137" s="125"/>
      <c r="O137" s="125"/>
      <c r="P137" s="83"/>
      <c r="Q137" s="83"/>
      <c r="T137" s="82"/>
      <c r="U137" s="81"/>
      <c r="V137" s="81"/>
      <c r="W137" s="81"/>
      <c r="X137" s="81"/>
    </row>
    <row r="138" spans="2:25" ht="13.5" customHeight="1" x14ac:dyDescent="0.2">
      <c r="G138" s="2063" t="s">
        <v>1215</v>
      </c>
      <c r="H138" s="2064"/>
      <c r="I138" s="2064"/>
      <c r="J138" s="2041" t="s">
        <v>314</v>
      </c>
      <c r="K138" s="2061" t="s">
        <v>315</v>
      </c>
      <c r="L138" s="2067" t="s">
        <v>1261</v>
      </c>
      <c r="M138" s="2039" t="s">
        <v>1088</v>
      </c>
      <c r="N138" s="78"/>
      <c r="O138" s="83"/>
      <c r="T138" s="82"/>
      <c r="U138" s="92"/>
      <c r="V138" s="127"/>
      <c r="W138" s="80"/>
      <c r="X138" s="80"/>
      <c r="Y138" s="87"/>
    </row>
    <row r="139" spans="2:25" ht="13.5" customHeight="1" x14ac:dyDescent="0.2">
      <c r="G139" s="2065"/>
      <c r="H139" s="2066"/>
      <c r="I139" s="2066"/>
      <c r="J139" s="2042"/>
      <c r="K139" s="2062"/>
      <c r="L139" s="2068"/>
      <c r="M139" s="2040"/>
      <c r="N139" s="78"/>
      <c r="O139" s="83"/>
      <c r="T139" s="82"/>
      <c r="U139" s="92"/>
      <c r="V139" s="127"/>
      <c r="W139" s="80"/>
      <c r="X139" s="80"/>
      <c r="Y139" s="87"/>
    </row>
    <row r="140" spans="2:25" ht="13.5" customHeight="1" x14ac:dyDescent="0.2">
      <c r="G140" s="1928" t="s">
        <v>317</v>
      </c>
      <c r="H140" s="1929"/>
      <c r="I140" s="1929"/>
      <c r="J140" s="1482">
        <f>J141+J142</f>
        <v>1767984</v>
      </c>
      <c r="K140" s="1482">
        <f t="shared" ref="K140:M140" si="0">K141+K142</f>
        <v>919029.97</v>
      </c>
      <c r="L140" s="1482">
        <f t="shared" si="0"/>
        <v>688186.7300000001</v>
      </c>
      <c r="M140" s="1483">
        <f t="shared" si="0"/>
        <v>3375200.6999999997</v>
      </c>
      <c r="N140" s="78"/>
      <c r="O140" s="83"/>
      <c r="T140" s="82"/>
      <c r="V140" s="87"/>
      <c r="W140" s="87"/>
      <c r="X140" s="87"/>
      <c r="Y140" s="87"/>
    </row>
    <row r="141" spans="2:25" ht="13.5" customHeight="1" x14ac:dyDescent="0.2">
      <c r="G141" s="1910" t="s">
        <v>943</v>
      </c>
      <c r="H141" s="1911"/>
      <c r="I141" s="1911"/>
      <c r="J141" s="1386">
        <f>VLOOKUP(I3,Staffing_LASER,4,FALSE)</f>
        <v>1717126.42</v>
      </c>
      <c r="K141" s="1484">
        <f>VLOOKUP(I3,Staffing_LASER,5,FALSE)</f>
        <v>919029.97</v>
      </c>
      <c r="L141" s="1484">
        <f>VLOOKUP(I3,Staffing_LASER,11,FALSE)</f>
        <v>557740.31000000006</v>
      </c>
      <c r="M141" s="391">
        <f>VLOOKUP(I3,Staffing_LASER,9,FALSE)</f>
        <v>3193896.6999999997</v>
      </c>
      <c r="N141" s="78"/>
      <c r="O141" s="83"/>
      <c r="T141" s="82"/>
      <c r="V141" s="128"/>
      <c r="W141" s="80"/>
      <c r="X141" s="80"/>
      <c r="Y141" s="87"/>
    </row>
    <row r="142" spans="2:25" ht="13.5" customHeight="1" x14ac:dyDescent="0.2">
      <c r="G142" s="1910" t="s">
        <v>972</v>
      </c>
      <c r="H142" s="1911"/>
      <c r="I142" s="1911"/>
      <c r="J142" s="1386">
        <f>VLOOKUP(I3,Other_Oper_Exp_LASER,4,FALSE)</f>
        <v>50857.58</v>
      </c>
      <c r="K142" s="1484">
        <f>VLOOKUP(I3,Other_Oper_Exp_LASER,5,FALSE)</f>
        <v>0</v>
      </c>
      <c r="L142" s="1484">
        <f>VLOOKUP(I3,Other_Oper_Exp_LASER,11,FALSE)</f>
        <v>130446.42</v>
      </c>
      <c r="M142" s="391">
        <f>VLOOKUP(I3,Other_Oper_Exp_LASER,9,FALSE)</f>
        <v>181304</v>
      </c>
      <c r="P142" s="312"/>
      <c r="Q142" s="312"/>
      <c r="R142" s="302"/>
      <c r="S142" s="301"/>
      <c r="T142" s="82"/>
      <c r="U142" s="81"/>
      <c r="V142" s="81"/>
      <c r="W142" s="81"/>
      <c r="X142" s="81"/>
    </row>
    <row r="143" spans="2:25" ht="13.5" customHeight="1" x14ac:dyDescent="0.2">
      <c r="G143" s="2034" t="s">
        <v>1081</v>
      </c>
      <c r="H143" s="2035"/>
      <c r="I143" s="2035"/>
      <c r="J143" s="1430">
        <f>J140/M140</f>
        <v>0.52381596152193266</v>
      </c>
      <c r="K143" s="1430">
        <f>K140/M140</f>
        <v>0.27228898417803721</v>
      </c>
      <c r="L143" s="1430">
        <f>L140/M140</f>
        <v>0.20389505430003027</v>
      </c>
      <c r="M143" s="1431">
        <f>M140/M140</f>
        <v>1</v>
      </c>
      <c r="P143" s="312"/>
      <c r="Q143" s="312"/>
      <c r="R143" s="302"/>
      <c r="S143" s="301"/>
      <c r="T143" s="82"/>
    </row>
    <row r="144" spans="2:25" ht="13.5" customHeight="1" x14ac:dyDescent="0.2">
      <c r="G144" s="1951" t="s">
        <v>1078</v>
      </c>
      <c r="H144" s="1952"/>
      <c r="I144" s="1952"/>
      <c r="J144" s="1485">
        <f>J140/J160</f>
        <v>4.753155836773796E-2</v>
      </c>
      <c r="K144" s="1485">
        <f>K140/K160</f>
        <v>3.4351408641887064E-2</v>
      </c>
      <c r="L144" s="1485">
        <f>L140/L160</f>
        <v>0.66562594244096829</v>
      </c>
      <c r="M144" s="1486">
        <f>M140/M160</f>
        <v>5.1939208851232148E-2</v>
      </c>
      <c r="P144" s="312"/>
      <c r="Q144" s="312"/>
      <c r="R144" s="303"/>
      <c r="S144" s="301"/>
      <c r="T144" s="82"/>
    </row>
    <row r="145" spans="7:25" ht="13.5" customHeight="1" x14ac:dyDescent="0.2">
      <c r="G145" s="1926" t="s">
        <v>1131</v>
      </c>
      <c r="H145" s="1927"/>
      <c r="I145" s="1927"/>
      <c r="J145" s="1434">
        <f>SUM(J146:J148)</f>
        <v>163419.99597203414</v>
      </c>
      <c r="K145" s="1435">
        <f>SUM(K146:K148)</f>
        <v>673013.51</v>
      </c>
      <c r="L145" s="1435">
        <f>SUM(L146:L148)</f>
        <v>192951.59</v>
      </c>
      <c r="M145" s="1436">
        <f>SUM(M146:M148)</f>
        <v>1029385.0959720341</v>
      </c>
      <c r="P145" s="312"/>
      <c r="Q145" s="312"/>
      <c r="R145" s="303"/>
      <c r="S145" s="301"/>
      <c r="T145" s="82"/>
    </row>
    <row r="146" spans="7:25" ht="13.5" customHeight="1" x14ac:dyDescent="0.2">
      <c r="G146" s="1910" t="s">
        <v>1127</v>
      </c>
      <c r="H146" s="1911"/>
      <c r="I146" s="1911"/>
      <c r="J146" s="1386">
        <f>VLOOKUP(I3,FC_Adop_LASER,4,FALSE)</f>
        <v>94466.53</v>
      </c>
      <c r="K146" s="1386">
        <f>VLOOKUP(I3,FC_Adop_LASER,5,FALSE)</f>
        <v>167202.53</v>
      </c>
      <c r="L146" s="1386">
        <f>VLOOKUP(I3,FC_Adop_LASER,8,FALSE)</f>
        <v>-7.0000000000000007E-2</v>
      </c>
      <c r="M146" s="1490">
        <f>VLOOKUP(I3,FC_Adop_LASER,9,FALSE)</f>
        <v>261668.99</v>
      </c>
      <c r="P146" s="312"/>
      <c r="Q146" s="312"/>
      <c r="R146" s="303"/>
      <c r="S146" s="301"/>
      <c r="T146" s="82"/>
    </row>
    <row r="147" spans="7:25" ht="13.5" customHeight="1" x14ac:dyDescent="0.2">
      <c r="G147" s="1910" t="s">
        <v>1129</v>
      </c>
      <c r="H147" s="1911"/>
      <c r="I147" s="1911"/>
      <c r="J147" s="1386">
        <f>VLOOKUP(I3,CSA_LASER,4,FALSE)</f>
        <v>0</v>
      </c>
      <c r="K147" s="1386">
        <f>VLOOKUP(I3,CSA_LASER,5,FALSE)</f>
        <v>493115</v>
      </c>
      <c r="L147" s="1386">
        <f>VLOOKUP(I3,CSA_LASER,9,FALSE)</f>
        <v>169137.57</v>
      </c>
      <c r="M147" s="1490">
        <f>VLOOKUP(I3,CSA_LASER,8,FALSE)</f>
        <v>662252.57000000007</v>
      </c>
      <c r="P147" s="312"/>
      <c r="Q147" s="312"/>
      <c r="R147" s="303"/>
      <c r="S147" s="301"/>
      <c r="T147" s="82"/>
    </row>
    <row r="148" spans="7:25" ht="13.5" customHeight="1" x14ac:dyDescent="0.2">
      <c r="G148" s="1910" t="s">
        <v>1130</v>
      </c>
      <c r="H148" s="1911"/>
      <c r="I148" s="1911"/>
      <c r="J148" s="1546">
        <f>VLOOKUP(I3,Client_Svcs_LASER,4,FALSE)</f>
        <v>68953.465972034144</v>
      </c>
      <c r="K148" s="1547">
        <f>VLOOKUP(I3,Client_Svcs_LASER,5,FALSE)</f>
        <v>12695.98</v>
      </c>
      <c r="L148" s="1547">
        <f>VLOOKUP(I3,Client_Svcs_LASER,11,FALSE)</f>
        <v>23814.089999999997</v>
      </c>
      <c r="M148" s="1548">
        <f>VLOOKUP(I3,Client_Svcs_LASER,9, FALSE)</f>
        <v>105463.53597203414</v>
      </c>
      <c r="P148" s="312"/>
      <c r="Q148" s="312"/>
      <c r="R148" s="303"/>
      <c r="S148" s="301"/>
      <c r="T148" s="82"/>
    </row>
    <row r="149" spans="7:25" ht="13.5" customHeight="1" x14ac:dyDescent="0.2">
      <c r="G149" s="1429" t="s">
        <v>1082</v>
      </c>
      <c r="H149" s="1428"/>
      <c r="I149" s="1428"/>
      <c r="J149" s="1430">
        <f>J145/M145</f>
        <v>0.15875496605837186</v>
      </c>
      <c r="K149" s="1432">
        <f>K145/M145</f>
        <v>0.65380149045628311</v>
      </c>
      <c r="L149" s="1432">
        <f>L145/M145</f>
        <v>0.18744354348534498</v>
      </c>
      <c r="M149" s="1433">
        <f>M145/M145</f>
        <v>1</v>
      </c>
      <c r="P149" s="312"/>
      <c r="Q149" s="312"/>
      <c r="R149" s="303"/>
      <c r="S149" s="301"/>
      <c r="T149" s="82"/>
    </row>
    <row r="150" spans="7:25" ht="13.5" customHeight="1" x14ac:dyDescent="0.2">
      <c r="G150" s="1924" t="s">
        <v>1079</v>
      </c>
      <c r="H150" s="1925"/>
      <c r="I150" s="1925"/>
      <c r="J150" s="1487">
        <f>J145/J160</f>
        <v>4.3934826768795661E-3</v>
      </c>
      <c r="K150" s="1488">
        <f>K145/K160</f>
        <v>2.5155830449708563E-2</v>
      </c>
      <c r="L150" s="1488">
        <f>L145/L160</f>
        <v>0.18662606868230849</v>
      </c>
      <c r="M150" s="1489">
        <f>M145/M160</f>
        <v>1.584067207856325E-2</v>
      </c>
      <c r="P150" s="311"/>
      <c r="Q150" s="311"/>
      <c r="T150" s="81"/>
      <c r="U150" s="81" t="s">
        <v>1087</v>
      </c>
      <c r="V150" s="81" t="s">
        <v>1086</v>
      </c>
      <c r="W150" s="81" t="s">
        <v>1085</v>
      </c>
      <c r="Y150" s="87"/>
    </row>
    <row r="151" spans="7:25" ht="13.5" customHeight="1" x14ac:dyDescent="0.2">
      <c r="G151" s="1921" t="s">
        <v>641</v>
      </c>
      <c r="H151" s="1922"/>
      <c r="I151" s="1922"/>
      <c r="J151" s="1482">
        <f>SUM(J152:J157)</f>
        <v>35264599.264043503</v>
      </c>
      <c r="K151" s="1482">
        <f>SUM(K152:K157)</f>
        <v>25161734.788043503</v>
      </c>
      <c r="L151" s="1482">
        <f>SUM(L152:L157)</f>
        <v>152755.772944</v>
      </c>
      <c r="M151" s="1483">
        <f>SUM(M152:M157)</f>
        <v>60579089.825031005</v>
      </c>
      <c r="P151" s="311"/>
      <c r="Q151" s="311"/>
      <c r="T151" s="81"/>
      <c r="U151" s="81"/>
      <c r="V151" s="81"/>
      <c r="W151" s="81"/>
      <c r="Y151" s="87"/>
    </row>
    <row r="152" spans="7:25" ht="13.5" customHeight="1" x14ac:dyDescent="0.2">
      <c r="G152" s="1910" t="s">
        <v>1132</v>
      </c>
      <c r="H152" s="1911"/>
      <c r="I152" s="1911"/>
      <c r="J152" s="1386">
        <f>VLOOKUP(I3,Medicaid_FAMIS_LASER,5,FALSE)</f>
        <v>25470653.946015503</v>
      </c>
      <c r="K152" s="1484">
        <f>VLOOKUP(I3,Medicaid_FAMIS_LASER,6,FALSE)</f>
        <v>24819178.846071504</v>
      </c>
      <c r="L152" s="1484">
        <f>VLOOKUP(I3,Medicaid_FAMIS_LASER,7,FALSE)</f>
        <v>115696.97294399999</v>
      </c>
      <c r="M152" s="391">
        <f>VLOOKUP(I3,Medicaid_FAMIS_LASER,4,FALSE)</f>
        <v>50405529.76503101</v>
      </c>
      <c r="P152" s="311"/>
      <c r="Q152" s="311"/>
      <c r="T152" s="81" t="s">
        <v>314</v>
      </c>
      <c r="U152" s="1439">
        <f>J144</f>
        <v>4.753155836773796E-2</v>
      </c>
      <c r="V152" s="1439">
        <f>J150</f>
        <v>4.3934826768795661E-3</v>
      </c>
      <c r="W152" s="1439">
        <f>J159</f>
        <v>0.94807495895538241</v>
      </c>
      <c r="Y152" s="87"/>
    </row>
    <row r="153" spans="7:25" ht="13.5" customHeight="1" x14ac:dyDescent="0.2">
      <c r="G153" s="1910" t="s">
        <v>1134</v>
      </c>
      <c r="H153" s="1911"/>
      <c r="I153" s="1911"/>
      <c r="J153" s="1386">
        <f>VLOOKUP(I3,SNAP_LASER,5,FALSE)</f>
        <v>8505783</v>
      </c>
      <c r="K153" s="1484">
        <v>0</v>
      </c>
      <c r="L153" s="1484">
        <v>0</v>
      </c>
      <c r="M153" s="391">
        <f>VLOOKUP(I3,SNAP_LASER,4,FALSE)</f>
        <v>8505783</v>
      </c>
      <c r="N153" s="78"/>
      <c r="O153" s="83"/>
      <c r="P153" s="83"/>
      <c r="Q153" s="83"/>
      <c r="T153" s="81" t="s">
        <v>315</v>
      </c>
      <c r="U153" s="1439">
        <f>K144</f>
        <v>3.4351408641887064E-2</v>
      </c>
      <c r="V153" s="1439">
        <f>K150</f>
        <v>2.5155830449708563E-2</v>
      </c>
      <c r="W153" s="1439">
        <f>K159</f>
        <v>0.94049276090840439</v>
      </c>
      <c r="Y153" s="87"/>
    </row>
    <row r="154" spans="7:25" ht="13.5" customHeight="1" x14ac:dyDescent="0.2">
      <c r="G154" s="1910" t="s">
        <v>1135</v>
      </c>
      <c r="H154" s="1911"/>
      <c r="I154" s="1911"/>
      <c r="J154" s="1386">
        <f>VLOOKUP(I3,TANF_LASER,4,FALSE)</f>
        <v>163805.938028</v>
      </c>
      <c r="K154" s="1386">
        <f>VLOOKUP(I3,TANF_LASER,6,FALSE)</f>
        <v>181794.60197200003</v>
      </c>
      <c r="L154" s="1386">
        <f>VLOOKUP(I3,TANF_LASER,10,FALSE)</f>
        <v>0</v>
      </c>
      <c r="M154" s="1490">
        <f>VLOOKUP(I3,TANF_LASER,9,FALSE)</f>
        <v>345600.54000000004</v>
      </c>
      <c r="N154" s="78"/>
      <c r="O154" s="83"/>
      <c r="P154" s="83"/>
      <c r="Q154" s="83"/>
      <c r="T154" s="81" t="s">
        <v>662</v>
      </c>
      <c r="U154" s="1439">
        <f>L144</f>
        <v>0.66562594244096829</v>
      </c>
      <c r="V154" s="1439">
        <f>L150</f>
        <v>0.18662606868230849</v>
      </c>
      <c r="W154" s="1439">
        <f>L159</f>
        <v>0.14774798887672325</v>
      </c>
      <c r="X154" s="81"/>
    </row>
    <row r="155" spans="7:25" ht="13.5" customHeight="1" x14ac:dyDescent="0.2">
      <c r="G155" s="1910" t="s">
        <v>1136</v>
      </c>
      <c r="H155" s="1911"/>
      <c r="I155" s="1911"/>
      <c r="J155" s="1386">
        <f>VLOOKUP(I3,EA_LASER,5,FALSE)</f>
        <v>1009885.7999999999</v>
      </c>
      <c r="K155" s="1484">
        <f>VLOOKUP(I3,EA_LASER,7,FALSE)</f>
        <v>0</v>
      </c>
      <c r="L155" s="1484">
        <f>VLOOKUP(I3,EA_LASER,10,FALSE)</f>
        <v>0</v>
      </c>
      <c r="M155" s="391">
        <f>VLOOKUP(I3,EA_LASER,4,FALSE)</f>
        <v>1009885.7999999999</v>
      </c>
      <c r="N155" s="78"/>
      <c r="O155" s="83"/>
      <c r="P155" s="83"/>
      <c r="Q155" s="83"/>
      <c r="T155" s="81" t="s">
        <v>281</v>
      </c>
      <c r="U155" s="1439">
        <f>M144</f>
        <v>5.1939208851232148E-2</v>
      </c>
      <c r="V155" s="1439">
        <f>M150</f>
        <v>1.584067207856325E-2</v>
      </c>
      <c r="W155" s="1439">
        <f>M159</f>
        <v>0.93222011907020463</v>
      </c>
      <c r="X155" s="81"/>
    </row>
    <row r="156" spans="7:25" ht="13.5" customHeight="1" x14ac:dyDescent="0.2">
      <c r="G156" s="1459" t="s">
        <v>1029</v>
      </c>
      <c r="H156" s="1417"/>
      <c r="I156" s="1417"/>
      <c r="J156" s="1386">
        <f>VLOOKUP(I3,ChildCareLASER,9,FALSE)</f>
        <v>116755</v>
      </c>
      <c r="K156" s="1386">
        <f>VLOOKUP(I3,ChildCareLASER,10,FALSE)</f>
        <v>14721</v>
      </c>
      <c r="L156" s="1484">
        <v>0</v>
      </c>
      <c r="M156" s="391">
        <f>VLOOKUP(I3,ChildCareLASER,8,FALSE)</f>
        <v>131476</v>
      </c>
      <c r="N156" s="78"/>
      <c r="O156" s="83"/>
      <c r="P156" s="83"/>
      <c r="Q156" s="83"/>
      <c r="T156" s="82"/>
      <c r="U156" s="81"/>
      <c r="V156" s="81"/>
      <c r="W156" s="81"/>
      <c r="X156" s="81"/>
    </row>
    <row r="157" spans="7:25" ht="13.5" customHeight="1" x14ac:dyDescent="0.2">
      <c r="G157" s="1910" t="s">
        <v>1031</v>
      </c>
      <c r="H157" s="1911"/>
      <c r="I157" s="1911"/>
      <c r="J157" s="1386">
        <f>VLOOKUP(I3,OT_BENE_LASER,4,FALSE)</f>
        <v>-2284.42</v>
      </c>
      <c r="K157" s="1386">
        <f>VLOOKUP(I3,OT_BENE_LASER,5,FALSE)</f>
        <v>146040.34000000003</v>
      </c>
      <c r="L157" s="1386">
        <f>VLOOKUP(I3,OT_BENE_LASER,8,FALSE)</f>
        <v>37058.800000000003</v>
      </c>
      <c r="M157" s="1490">
        <f>VLOOKUP(I3,OT_BENE_LASER,9,FALSE)</f>
        <v>180814.72000000003</v>
      </c>
      <c r="N157" s="78"/>
      <c r="O157" s="83"/>
      <c r="P157" s="83"/>
      <c r="Q157" s="83"/>
      <c r="T157" s="82"/>
      <c r="U157" s="81"/>
      <c r="V157" s="81"/>
      <c r="W157" s="81"/>
      <c r="X157" s="81"/>
    </row>
    <row r="158" spans="7:25" ht="13.5" customHeight="1" x14ac:dyDescent="0.2">
      <c r="G158" s="2034" t="s">
        <v>1083</v>
      </c>
      <c r="H158" s="2035"/>
      <c r="I158" s="2035"/>
      <c r="J158" s="1430">
        <f>J151/M151</f>
        <v>0.58212494386920166</v>
      </c>
      <c r="K158" s="1430">
        <f>K151/M151</f>
        <v>0.41535346372349735</v>
      </c>
      <c r="L158" s="1430">
        <f>L151/M151</f>
        <v>2.521592407300943E-3</v>
      </c>
      <c r="M158" s="1431">
        <f>M151/M151</f>
        <v>1</v>
      </c>
      <c r="N158" s="78"/>
      <c r="O158" s="83"/>
      <c r="P158" s="83"/>
      <c r="Q158" s="83"/>
      <c r="T158" s="82"/>
      <c r="U158" s="81"/>
      <c r="V158" s="81"/>
      <c r="W158" s="81"/>
      <c r="X158" s="81"/>
    </row>
    <row r="159" spans="7:25" ht="13.5" customHeight="1" x14ac:dyDescent="0.2">
      <c r="G159" s="1951" t="s">
        <v>1080</v>
      </c>
      <c r="H159" s="1952"/>
      <c r="I159" s="1952"/>
      <c r="J159" s="1491">
        <f>J151/J160</f>
        <v>0.94807495895538241</v>
      </c>
      <c r="K159" s="1491">
        <f>K151/K160</f>
        <v>0.94049276090840439</v>
      </c>
      <c r="L159" s="1491">
        <f>L151/L160</f>
        <v>0.14774798887672325</v>
      </c>
      <c r="M159" s="1492">
        <f>M151/M160</f>
        <v>0.93222011907020463</v>
      </c>
      <c r="N159" s="78"/>
      <c r="O159" s="83"/>
      <c r="P159" s="83"/>
      <c r="Q159" s="83"/>
      <c r="T159" s="82"/>
      <c r="U159" s="81"/>
      <c r="V159" s="81"/>
      <c r="W159" s="81"/>
      <c r="X159" s="81"/>
    </row>
    <row r="160" spans="7:25" ht="13.5" customHeight="1" x14ac:dyDescent="0.2">
      <c r="G160" s="2037" t="s">
        <v>1089</v>
      </c>
      <c r="H160" s="2038"/>
      <c r="I160" s="2038"/>
      <c r="J160" s="1437">
        <f>J140+J145+J151</f>
        <v>37196003.26001554</v>
      </c>
      <c r="K160" s="1437">
        <f t="shared" ref="K160:M160" si="1">K140+K145+K151</f>
        <v>26753778.268043503</v>
      </c>
      <c r="L160" s="1437">
        <f t="shared" si="1"/>
        <v>1033894.092944</v>
      </c>
      <c r="M160" s="1438">
        <f t="shared" si="1"/>
        <v>64983675.621003039</v>
      </c>
      <c r="N160" s="92"/>
      <c r="O160" s="92"/>
      <c r="P160" s="83"/>
      <c r="Q160" s="83"/>
      <c r="T160" s="82"/>
      <c r="U160" s="81"/>
      <c r="V160" s="81"/>
      <c r="W160" s="81"/>
      <c r="X160" s="81"/>
    </row>
    <row r="161" spans="2:25" ht="13.5" customHeight="1" x14ac:dyDescent="0.2">
      <c r="G161" s="1493" t="s">
        <v>1084</v>
      </c>
      <c r="H161" s="1494"/>
      <c r="I161" s="1495"/>
      <c r="J161" s="1496">
        <f>J160/$M160</f>
        <v>0.57238995647075419</v>
      </c>
      <c r="K161" s="392">
        <f>K160/$M160</f>
        <v>0.4116999848404474</v>
      </c>
      <c r="L161" s="392">
        <f>L160/$M160</f>
        <v>1.591005868879846E-2</v>
      </c>
      <c r="M161" s="393">
        <f>SUM(J161:L161)</f>
        <v>1</v>
      </c>
      <c r="N161" s="92"/>
      <c r="O161" s="92"/>
      <c r="Q161" s="83"/>
      <c r="T161" s="82"/>
      <c r="U161" s="81"/>
      <c r="V161" s="81"/>
      <c r="W161" s="81"/>
      <c r="X161" s="81"/>
    </row>
    <row r="162" spans="2:25" ht="13.5" customHeight="1" x14ac:dyDescent="0.2">
      <c r="C162" s="91"/>
      <c r="D162" s="91"/>
      <c r="E162" s="133"/>
      <c r="F162" s="133"/>
      <c r="G162" s="1890" t="s">
        <v>1260</v>
      </c>
      <c r="H162" s="1890"/>
      <c r="I162" s="1890"/>
      <c r="J162" s="1890"/>
      <c r="K162" s="1890"/>
      <c r="L162" s="1890"/>
      <c r="M162" s="1890"/>
      <c r="N162" s="92"/>
      <c r="O162" s="92"/>
      <c r="P162" s="83"/>
      <c r="Q162" s="83"/>
      <c r="T162" s="82"/>
      <c r="U162" s="81"/>
      <c r="V162" s="81"/>
      <c r="W162" s="81"/>
      <c r="X162" s="81"/>
    </row>
    <row r="163" spans="2:25" ht="13.5" customHeight="1" x14ac:dyDescent="0.2">
      <c r="B163" s="1920"/>
      <c r="C163" s="1920"/>
      <c r="D163" s="1920"/>
      <c r="E163" s="1923" t="s">
        <v>1216</v>
      </c>
      <c r="F163" s="1923"/>
      <c r="G163" s="91"/>
      <c r="H163" s="133"/>
      <c r="J163" s="1923" t="s">
        <v>1217</v>
      </c>
      <c r="K163" s="1923"/>
      <c r="N163" s="92"/>
      <c r="O163" s="92"/>
      <c r="P163" s="83"/>
      <c r="Q163" s="83"/>
      <c r="T163" s="82"/>
      <c r="U163" s="81"/>
    </row>
    <row r="164" spans="2:25" ht="13.5" customHeight="1" x14ac:dyDescent="0.2">
      <c r="B164" s="1920"/>
      <c r="C164" s="1920"/>
      <c r="D164" s="1920"/>
      <c r="E164" s="1923"/>
      <c r="F164" s="1923"/>
      <c r="G164" s="91"/>
      <c r="H164" s="133"/>
      <c r="J164" s="1923"/>
      <c r="K164" s="1923"/>
      <c r="N164" s="92"/>
      <c r="O164" s="92"/>
      <c r="P164" s="83"/>
      <c r="Q164" s="83"/>
      <c r="T164" s="82"/>
      <c r="U164" s="81"/>
    </row>
    <row r="165" spans="2:25" ht="13.5" customHeight="1" x14ac:dyDescent="0.2">
      <c r="B165" s="1920"/>
      <c r="C165" s="1920"/>
      <c r="D165" s="1920"/>
      <c r="E165" s="1923"/>
      <c r="F165" s="1923"/>
      <c r="G165" s="91"/>
      <c r="H165" s="133"/>
      <c r="J165" s="1923"/>
      <c r="K165" s="1923"/>
      <c r="N165" s="92"/>
      <c r="O165" s="92"/>
      <c r="P165" s="83"/>
      <c r="Q165" s="83"/>
      <c r="T165" s="82"/>
      <c r="U165" s="81"/>
    </row>
    <row r="166" spans="2:25" ht="13.5" customHeight="1" x14ac:dyDescent="0.2">
      <c r="B166" s="1920"/>
      <c r="C166" s="1920"/>
      <c r="D166" s="1920"/>
      <c r="E166" s="1923"/>
      <c r="F166" s="1923"/>
      <c r="G166" s="91"/>
      <c r="H166" s="133"/>
      <c r="J166" s="1923"/>
      <c r="K166" s="1923"/>
      <c r="N166" s="92"/>
      <c r="O166" s="92"/>
      <c r="P166" s="83"/>
      <c r="Q166" s="83"/>
      <c r="T166" s="82"/>
      <c r="U166" s="81"/>
    </row>
    <row r="167" spans="2:25" ht="13.5" customHeight="1" x14ac:dyDescent="0.2">
      <c r="C167" s="91"/>
      <c r="D167" s="91"/>
      <c r="E167" s="133"/>
      <c r="F167" s="133"/>
      <c r="G167" s="91"/>
      <c r="H167" s="133"/>
      <c r="N167" s="92"/>
      <c r="O167" s="92"/>
      <c r="P167" s="83"/>
      <c r="Q167" s="83"/>
      <c r="T167" s="82"/>
      <c r="U167" s="81"/>
    </row>
    <row r="168" spans="2:25" ht="13.5" customHeight="1" x14ac:dyDescent="0.2">
      <c r="B168" s="1932" t="s">
        <v>1181</v>
      </c>
      <c r="C168" s="1933"/>
      <c r="D168" s="1934"/>
      <c r="E168" s="2052" t="s">
        <v>840</v>
      </c>
      <c r="F168" s="2054" t="s">
        <v>839</v>
      </c>
      <c r="G168" s="2054" t="s">
        <v>304</v>
      </c>
      <c r="H168" s="2056" t="s">
        <v>635</v>
      </c>
      <c r="I168" s="2058" t="s">
        <v>612</v>
      </c>
      <c r="J168" s="2051"/>
      <c r="K168" s="1362"/>
      <c r="L168" s="1930"/>
      <c r="M168" s="1930"/>
      <c r="U168" s="159"/>
    </row>
    <row r="169" spans="2:25" ht="13.5" customHeight="1" x14ac:dyDescent="0.2">
      <c r="B169" s="1935"/>
      <c r="C169" s="1936"/>
      <c r="D169" s="1937"/>
      <c r="E169" s="2053"/>
      <c r="F169" s="2055"/>
      <c r="G169" s="2055"/>
      <c r="H169" s="2057"/>
      <c r="I169" s="2059"/>
      <c r="J169" s="2051"/>
      <c r="K169" s="1362"/>
      <c r="L169" s="1930"/>
      <c r="M169" s="1930"/>
      <c r="U169" s="69"/>
      <c r="V169" s="69"/>
      <c r="W169" s="69"/>
      <c r="X169" s="69"/>
      <c r="Y169" s="69"/>
    </row>
    <row r="170" spans="2:25" ht="13.5" customHeight="1" x14ac:dyDescent="0.2">
      <c r="B170" s="350" t="s">
        <v>737</v>
      </c>
      <c r="C170" s="176"/>
      <c r="D170" s="176"/>
      <c r="E170" s="280">
        <f>VLOOKUP($I$3,Staffing,4,FALSE)</f>
        <v>29</v>
      </c>
      <c r="F170" s="281">
        <f>VLOOKUP($I$3,Staffing,5,FALSE)</f>
        <v>15</v>
      </c>
      <c r="G170" s="281">
        <f>VLOOKUP($I$3,Staffing,6,FALSE)</f>
        <v>0</v>
      </c>
      <c r="H170" s="282">
        <f>E170+F170+G170</f>
        <v>44</v>
      </c>
      <c r="I170" s="351">
        <f>H170/H172</f>
        <v>0.61111111111111116</v>
      </c>
      <c r="J170" s="963"/>
      <c r="K170" s="964"/>
      <c r="L170" s="1931"/>
      <c r="M170" s="1931"/>
      <c r="U170" s="86"/>
      <c r="V170" s="86"/>
      <c r="W170" s="86"/>
      <c r="X170" s="86"/>
      <c r="Y170" s="86"/>
    </row>
    <row r="171" spans="2:25" ht="13.5" customHeight="1" x14ac:dyDescent="0.2">
      <c r="B171" s="350" t="s">
        <v>738</v>
      </c>
      <c r="C171" s="176"/>
      <c r="D171" s="176"/>
      <c r="E171" s="280">
        <f>VLOOKUP($I$3,Staffing,8,FALSE)</f>
        <v>19</v>
      </c>
      <c r="F171" s="281">
        <f>VLOOKUP($I$3,Staffing,9,FALSE)</f>
        <v>9</v>
      </c>
      <c r="G171" s="281">
        <f>VLOOKUP($I$3,Staffing,10,FALSE)</f>
        <v>0</v>
      </c>
      <c r="H171" s="282">
        <f>E171+F171+G171</f>
        <v>28</v>
      </c>
      <c r="I171" s="352">
        <f>H171/H172</f>
        <v>0.3888888888888889</v>
      </c>
      <c r="J171" s="963"/>
      <c r="K171" s="964"/>
      <c r="L171" s="1931"/>
      <c r="M171" s="1931"/>
      <c r="U171" s="86"/>
      <c r="V171" s="86"/>
      <c r="W171" s="86"/>
      <c r="X171" s="86"/>
      <c r="Y171" s="86"/>
    </row>
    <row r="172" spans="2:25" ht="13.5" customHeight="1" x14ac:dyDescent="0.2">
      <c r="B172" s="350" t="s">
        <v>739</v>
      </c>
      <c r="C172" s="176"/>
      <c r="D172" s="176"/>
      <c r="E172" s="280">
        <f>+E171+E170</f>
        <v>48</v>
      </c>
      <c r="F172" s="281">
        <f>+F171+F170</f>
        <v>24</v>
      </c>
      <c r="G172" s="281">
        <f>+G171+G170</f>
        <v>0</v>
      </c>
      <c r="H172" s="282">
        <f>+H171+H170</f>
        <v>72</v>
      </c>
      <c r="I172" s="351">
        <f>H172/H172</f>
        <v>1</v>
      </c>
      <c r="J172" s="963"/>
      <c r="K172" s="964"/>
      <c r="L172" s="1931"/>
      <c r="M172" s="1931"/>
      <c r="U172" s="86"/>
      <c r="V172" s="86"/>
      <c r="W172" s="86"/>
      <c r="X172" s="86"/>
      <c r="Y172" s="86"/>
    </row>
    <row r="173" spans="2:25" ht="13.5" customHeight="1" x14ac:dyDescent="0.2">
      <c r="B173" s="2046" t="s">
        <v>628</v>
      </c>
      <c r="C173" s="2047"/>
      <c r="D173" s="2048"/>
      <c r="E173" s="328">
        <f>IF(E172=0,"NA",(E171/E172))</f>
        <v>0.39583333333333331</v>
      </c>
      <c r="F173" s="329">
        <f>IF(F172=0,"NA",(F171/F172))</f>
        <v>0.375</v>
      </c>
      <c r="G173" s="329" t="str">
        <f>IF(G172=0,"NA",(G171/G172))</f>
        <v>NA</v>
      </c>
      <c r="H173" s="330">
        <f>IF(H172=0,"NA",(H171/H172))</f>
        <v>0.3888888888888889</v>
      </c>
      <c r="I173" s="2049"/>
      <c r="J173" s="965"/>
      <c r="K173" s="966"/>
      <c r="L173" s="1931"/>
      <c r="M173" s="1931"/>
    </row>
    <row r="174" spans="2:25" ht="13.5" customHeight="1" x14ac:dyDescent="0.2">
      <c r="B174" s="2046" t="s">
        <v>629</v>
      </c>
      <c r="C174" s="2047"/>
      <c r="D174" s="2048"/>
      <c r="E174" s="328">
        <f>Staffing!W6</f>
        <v>0.17506941399970774</v>
      </c>
      <c r="F174" s="328">
        <f>Staffing!X6</f>
        <v>0.16250000000000001</v>
      </c>
      <c r="G174" s="328">
        <f>Staffing!Y6</f>
        <v>0.29581151832460734</v>
      </c>
      <c r="H174" s="328">
        <f>Staffing!Z6</f>
        <v>0.17543693906471422</v>
      </c>
      <c r="I174" s="2050"/>
      <c r="J174" s="965"/>
      <c r="K174" s="966"/>
      <c r="L174" s="1931"/>
      <c r="M174" s="1931"/>
      <c r="O174" s="87"/>
      <c r="P174" s="87"/>
      <c r="R174" s="80"/>
    </row>
    <row r="175" spans="2:25" ht="23.25" customHeight="1" x14ac:dyDescent="0.2">
      <c r="B175" s="1881" t="s">
        <v>1182</v>
      </c>
      <c r="C175" s="1881"/>
      <c r="D175" s="1881"/>
      <c r="E175" s="1881"/>
      <c r="F175" s="1881"/>
      <c r="G175" s="1881"/>
      <c r="H175" s="1881"/>
      <c r="I175" s="1881"/>
      <c r="J175" s="1881"/>
      <c r="K175" s="1881"/>
      <c r="L175" s="279"/>
      <c r="O175" s="87"/>
      <c r="P175" s="87"/>
      <c r="R175" s="80"/>
    </row>
    <row r="176" spans="2:25" x14ac:dyDescent="0.2">
      <c r="B176" s="131"/>
      <c r="C176" s="131"/>
      <c r="D176" s="131"/>
      <c r="E176" s="131"/>
      <c r="F176" s="131"/>
      <c r="G176" s="131"/>
      <c r="H176" s="131"/>
      <c r="I176" s="132"/>
      <c r="J176" s="132"/>
      <c r="K176" s="132"/>
      <c r="L176" s="132"/>
      <c r="M176" s="132"/>
      <c r="N176" s="132"/>
      <c r="O176" s="132"/>
    </row>
    <row r="177" spans="2:15" x14ac:dyDescent="0.2">
      <c r="B177" s="70" t="s">
        <v>1346</v>
      </c>
      <c r="C177" s="70"/>
      <c r="D177" s="70"/>
      <c r="E177" s="70"/>
      <c r="F177" s="70"/>
      <c r="G177" s="70"/>
      <c r="H177" s="70"/>
      <c r="I177" s="67"/>
      <c r="J177" s="67"/>
      <c r="K177" s="67"/>
      <c r="L177" s="67"/>
      <c r="M177" s="67"/>
    </row>
    <row r="178" spans="2:15" x14ac:dyDescent="0.2">
      <c r="B178" s="66" t="s">
        <v>565</v>
      </c>
      <c r="I178" s="67"/>
      <c r="J178" s="67"/>
      <c r="K178" s="67"/>
      <c r="L178" s="67"/>
      <c r="M178" s="67"/>
    </row>
    <row r="179" spans="2:15" s="133" customFormat="1" ht="12" customHeight="1" x14ac:dyDescent="0.2">
      <c r="B179" s="1915" t="s">
        <v>1028</v>
      </c>
      <c r="C179" s="1915"/>
      <c r="D179" s="1915"/>
      <c r="E179" s="1915"/>
      <c r="F179" s="1915"/>
      <c r="G179" s="1915"/>
      <c r="H179" s="1915"/>
      <c r="I179" s="1915"/>
      <c r="J179" s="1915"/>
      <c r="K179" s="1915"/>
      <c r="L179" s="1915"/>
      <c r="M179" s="1915"/>
      <c r="N179" s="1915"/>
      <c r="O179" s="84"/>
    </row>
    <row r="180" spans="2:15" ht="12" customHeight="1" x14ac:dyDescent="0.2">
      <c r="B180" s="1915" t="s">
        <v>1027</v>
      </c>
      <c r="C180" s="1915"/>
      <c r="D180" s="1915"/>
      <c r="E180" s="1915"/>
      <c r="F180" s="1915"/>
      <c r="G180" s="1915"/>
      <c r="H180" s="1915"/>
      <c r="I180" s="1915"/>
      <c r="J180" s="1915"/>
      <c r="K180" s="1915"/>
      <c r="L180" s="1915"/>
      <c r="M180" s="1915"/>
      <c r="N180" s="1915"/>
      <c r="O180" s="84"/>
    </row>
    <row r="181" spans="2:15" ht="12" customHeight="1" x14ac:dyDescent="0.2">
      <c r="B181" s="1915" t="s">
        <v>1221</v>
      </c>
      <c r="C181" s="1915"/>
      <c r="D181" s="1915"/>
      <c r="E181" s="1915"/>
      <c r="F181" s="1915"/>
      <c r="G181" s="1915"/>
      <c r="H181" s="1915"/>
      <c r="I181" s="1915"/>
      <c r="J181" s="1915"/>
      <c r="K181" s="1915"/>
      <c r="L181" s="1915"/>
      <c r="M181" s="1915"/>
      <c r="N181" s="1915"/>
      <c r="O181" s="84"/>
    </row>
    <row r="182" spans="2:15" x14ac:dyDescent="0.2">
      <c r="B182" s="133" t="s">
        <v>1128</v>
      </c>
      <c r="C182" s="1389"/>
      <c r="D182" s="1389"/>
      <c r="E182" s="1389"/>
      <c r="F182" s="1389"/>
      <c r="G182" s="1389"/>
      <c r="H182" s="1389"/>
      <c r="I182" s="1389"/>
      <c r="J182" s="1389"/>
      <c r="K182" s="1389"/>
      <c r="L182" s="1389"/>
      <c r="M182" s="1389"/>
      <c r="N182" s="1389"/>
      <c r="O182" s="1389"/>
    </row>
    <row r="183" spans="2:15" ht="63" customHeight="1" x14ac:dyDescent="0.2">
      <c r="B183" s="2060" t="s">
        <v>1222</v>
      </c>
      <c r="C183" s="2060"/>
      <c r="D183" s="2060"/>
      <c r="E183" s="2060"/>
      <c r="F183" s="2060"/>
      <c r="G183" s="2060"/>
      <c r="H183" s="2060"/>
      <c r="I183" s="2060"/>
      <c r="J183" s="2060"/>
      <c r="K183" s="2060"/>
      <c r="L183" s="2060"/>
      <c r="M183" s="2060"/>
      <c r="N183" s="2060"/>
      <c r="O183" s="1384"/>
    </row>
    <row r="184" spans="2:15" x14ac:dyDescent="0.2">
      <c r="B184" s="133" t="s">
        <v>1220</v>
      </c>
      <c r="C184" s="1384"/>
      <c r="D184" s="1384"/>
      <c r="E184" s="1384"/>
      <c r="F184" s="1384"/>
      <c r="G184" s="1384"/>
      <c r="H184" s="1384"/>
      <c r="I184" s="1384"/>
      <c r="J184" s="1384"/>
      <c r="K184" s="1384"/>
      <c r="L184" s="1384"/>
      <c r="M184" s="1384"/>
      <c r="N184" s="1384"/>
      <c r="O184" s="1384"/>
    </row>
    <row r="185" spans="2:15" ht="25.5" customHeight="1" x14ac:dyDescent="0.2">
      <c r="B185" s="1915" t="s">
        <v>1133</v>
      </c>
      <c r="C185" s="1915"/>
      <c r="D185" s="1915"/>
      <c r="E185" s="1915"/>
      <c r="F185" s="1915"/>
      <c r="G185" s="1915"/>
      <c r="H185" s="1915"/>
      <c r="I185" s="1915"/>
      <c r="J185" s="1915"/>
      <c r="K185" s="1915"/>
      <c r="L185" s="1915"/>
      <c r="M185" s="1915"/>
      <c r="N185" s="1915"/>
      <c r="O185" s="1384"/>
    </row>
    <row r="186" spans="2:15" x14ac:dyDescent="0.2">
      <c r="B186" s="133" t="s">
        <v>1030</v>
      </c>
      <c r="C186" s="1401"/>
      <c r="D186" s="1401"/>
      <c r="E186" s="1401"/>
      <c r="F186" s="1401"/>
      <c r="G186" s="1401"/>
      <c r="H186" s="1401"/>
      <c r="I186" s="1401"/>
      <c r="J186" s="1401"/>
      <c r="K186" s="1401"/>
      <c r="L186" s="1401"/>
      <c r="M186" s="1401"/>
      <c r="N186" s="1401"/>
      <c r="O186" s="1401"/>
    </row>
    <row r="187" spans="2:15" ht="24" customHeight="1" x14ac:dyDescent="0.2">
      <c r="B187" s="2036" t="s">
        <v>1095</v>
      </c>
      <c r="C187" s="2036"/>
      <c r="D187" s="2036"/>
      <c r="E187" s="2036"/>
      <c r="F187" s="2036"/>
      <c r="G187" s="2036"/>
      <c r="H187" s="2036"/>
      <c r="I187" s="2036"/>
      <c r="J187" s="2036"/>
      <c r="K187" s="2036"/>
      <c r="L187" s="2036"/>
      <c r="M187" s="2036"/>
      <c r="N187" s="2036"/>
    </row>
    <row r="188" spans="2:15" x14ac:dyDescent="0.2">
      <c r="B188" s="70"/>
      <c r="C188" s="70"/>
      <c r="D188" s="70"/>
      <c r="E188" s="70"/>
      <c r="F188" s="70"/>
      <c r="G188" s="70"/>
      <c r="H188" s="70"/>
      <c r="I188" s="67"/>
      <c r="J188" s="67"/>
      <c r="K188" s="67"/>
      <c r="L188" s="67"/>
      <c r="M188" s="67"/>
    </row>
    <row r="193" spans="2:15" ht="12.75" customHeight="1" x14ac:dyDescent="0.2">
      <c r="B193" s="263"/>
      <c r="C193" s="263"/>
      <c r="D193" s="263"/>
      <c r="E193" s="263"/>
      <c r="F193" s="263"/>
      <c r="G193" s="263"/>
      <c r="H193" s="263"/>
      <c r="I193" s="263"/>
      <c r="J193" s="263"/>
      <c r="K193" s="263"/>
      <c r="L193" s="265"/>
      <c r="M193" s="265"/>
      <c r="N193" s="265"/>
    </row>
    <row r="194" spans="2:15" ht="12.75" customHeight="1" x14ac:dyDescent="0.2">
      <c r="B194" s="262"/>
      <c r="C194" s="262"/>
      <c r="D194" s="262"/>
      <c r="E194" s="262"/>
      <c r="F194" s="262"/>
      <c r="G194" s="262"/>
      <c r="H194" s="262"/>
      <c r="I194" s="263"/>
      <c r="J194" s="263"/>
      <c r="K194" s="263"/>
      <c r="L194" s="130"/>
      <c r="M194" s="130"/>
      <c r="N194" s="130"/>
    </row>
    <row r="195" spans="2:15" x14ac:dyDescent="0.2">
      <c r="B195" s="263"/>
      <c r="C195" s="263"/>
      <c r="D195" s="262"/>
      <c r="E195" s="262"/>
      <c r="F195" s="262"/>
      <c r="G195" s="262"/>
      <c r="H195" s="262"/>
      <c r="I195" s="263"/>
      <c r="J195" s="262"/>
      <c r="K195" s="262"/>
      <c r="L195" s="262"/>
      <c r="M195" s="262"/>
      <c r="N195" s="262"/>
      <c r="O195" s="262"/>
    </row>
    <row r="196" spans="2:15" x14ac:dyDescent="0.2">
      <c r="B196" s="68"/>
      <c r="L196" s="73"/>
      <c r="M196" s="73"/>
      <c r="N196" s="88"/>
      <c r="O196" s="88"/>
    </row>
    <row r="197" spans="2:15" x14ac:dyDescent="0.2">
      <c r="B197" s="73"/>
      <c r="C197" s="73"/>
      <c r="D197" s="73"/>
      <c r="E197" s="73"/>
      <c r="F197" s="73"/>
      <c r="G197" s="73"/>
      <c r="H197" s="73"/>
      <c r="I197" s="89"/>
      <c r="J197" s="88"/>
      <c r="K197" s="88"/>
      <c r="L197" s="73"/>
      <c r="M197" s="73"/>
      <c r="N197" s="88"/>
      <c r="O197" s="88"/>
    </row>
    <row r="198" spans="2:15" x14ac:dyDescent="0.2">
      <c r="B198" s="73"/>
      <c r="C198" s="73"/>
      <c r="D198" s="73"/>
      <c r="E198" s="73"/>
      <c r="F198" s="73"/>
      <c r="G198" s="73"/>
      <c r="H198" s="73"/>
      <c r="I198" s="89"/>
      <c r="J198" s="88"/>
      <c r="K198" s="88"/>
      <c r="L198" s="73"/>
      <c r="M198" s="73"/>
      <c r="N198" s="88"/>
      <c r="O198" s="88"/>
    </row>
    <row r="199" spans="2:15" x14ac:dyDescent="0.2">
      <c r="B199" s="73"/>
      <c r="C199" s="73"/>
      <c r="D199" s="73"/>
      <c r="E199" s="73"/>
      <c r="F199" s="73"/>
      <c r="G199" s="73"/>
      <c r="H199" s="73"/>
      <c r="I199" s="89"/>
      <c r="J199" s="88"/>
      <c r="K199" s="88"/>
      <c r="L199" s="73"/>
      <c r="M199" s="73"/>
      <c r="N199" s="88"/>
      <c r="O199" s="88"/>
    </row>
    <row r="200" spans="2:15" x14ac:dyDescent="0.2">
      <c r="B200" s="73"/>
      <c r="C200" s="73"/>
      <c r="D200" s="73"/>
      <c r="E200" s="73"/>
      <c r="F200" s="73"/>
      <c r="G200" s="73"/>
      <c r="H200" s="73"/>
      <c r="I200" s="89"/>
      <c r="J200" s="88"/>
      <c r="K200" s="88"/>
      <c r="L200" s="73"/>
      <c r="M200" s="73"/>
      <c r="N200" s="88"/>
      <c r="O200" s="88"/>
    </row>
    <row r="201" spans="2:15" x14ac:dyDescent="0.2">
      <c r="B201" s="73"/>
      <c r="C201" s="73"/>
      <c r="D201" s="73"/>
      <c r="E201" s="73"/>
      <c r="F201" s="73"/>
      <c r="G201" s="73"/>
      <c r="H201" s="73"/>
      <c r="I201" s="89"/>
      <c r="J201" s="88"/>
      <c r="K201" s="88"/>
      <c r="L201" s="73"/>
      <c r="M201" s="73"/>
      <c r="N201" s="88"/>
      <c r="O201" s="88"/>
    </row>
    <row r="202" spans="2:15" x14ac:dyDescent="0.2">
      <c r="B202" s="73"/>
      <c r="C202" s="73"/>
      <c r="D202" s="73"/>
      <c r="E202" s="73"/>
      <c r="F202" s="73"/>
      <c r="G202" s="73"/>
      <c r="H202" s="73"/>
      <c r="I202" s="89"/>
      <c r="J202" s="88"/>
      <c r="K202" s="88"/>
      <c r="L202" s="73"/>
      <c r="M202" s="73"/>
      <c r="N202" s="88"/>
      <c r="O202" s="88"/>
    </row>
    <row r="203" spans="2:15" x14ac:dyDescent="0.2">
      <c r="B203" s="73"/>
      <c r="C203" s="73"/>
      <c r="D203" s="73"/>
      <c r="E203" s="73"/>
      <c r="F203" s="73"/>
      <c r="G203" s="73"/>
      <c r="H203" s="73"/>
      <c r="I203" s="89"/>
      <c r="J203" s="88"/>
      <c r="K203" s="88"/>
      <c r="L203" s="73"/>
      <c r="M203" s="73"/>
      <c r="N203" s="88"/>
      <c r="O203" s="88"/>
    </row>
    <row r="204" spans="2:15" x14ac:dyDescent="0.2">
      <c r="B204" s="73"/>
      <c r="C204" s="73"/>
      <c r="D204" s="73"/>
      <c r="E204" s="73"/>
      <c r="F204" s="73"/>
      <c r="G204" s="73"/>
      <c r="H204" s="73"/>
      <c r="I204" s="89"/>
      <c r="J204" s="88"/>
      <c r="K204" s="88"/>
      <c r="L204" s="73"/>
      <c r="M204" s="73"/>
      <c r="N204" s="88"/>
      <c r="O204" s="88"/>
    </row>
    <row r="205" spans="2:15" x14ac:dyDescent="0.2">
      <c r="B205" s="73"/>
      <c r="C205" s="73"/>
      <c r="D205" s="73"/>
      <c r="E205" s="73"/>
      <c r="F205" s="73"/>
      <c r="G205" s="73"/>
      <c r="H205" s="73"/>
      <c r="I205" s="89"/>
      <c r="J205" s="88"/>
      <c r="K205" s="88"/>
      <c r="L205" s="73"/>
      <c r="M205" s="73"/>
      <c r="N205" s="88"/>
      <c r="O205" s="88"/>
    </row>
    <row r="206" spans="2:15" x14ac:dyDescent="0.2">
      <c r="B206" s="73"/>
      <c r="C206" s="73"/>
      <c r="D206" s="73"/>
      <c r="E206" s="73"/>
      <c r="F206" s="73"/>
      <c r="G206" s="73"/>
      <c r="H206" s="73"/>
      <c r="I206" s="89"/>
      <c r="J206" s="88"/>
      <c r="K206" s="88"/>
      <c r="L206" s="73"/>
      <c r="M206" s="73"/>
      <c r="N206" s="88"/>
      <c r="O206" s="88"/>
    </row>
    <row r="207" spans="2:15" x14ac:dyDescent="0.2">
      <c r="B207" s="73"/>
      <c r="C207" s="73"/>
      <c r="D207" s="73"/>
      <c r="E207" s="73"/>
      <c r="F207" s="73"/>
      <c r="G207" s="73"/>
      <c r="H207" s="73"/>
      <c r="I207" s="89"/>
      <c r="J207" s="88"/>
      <c r="K207" s="88"/>
    </row>
    <row r="211" spans="2:25" x14ac:dyDescent="0.2">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row>
    <row r="212" spans="2:25" x14ac:dyDescent="0.2">
      <c r="B212" s="78"/>
      <c r="C212" s="78"/>
      <c r="D212" s="78"/>
      <c r="E212" s="78"/>
      <c r="F212" s="78"/>
      <c r="G212" s="78"/>
      <c r="H212" s="78"/>
      <c r="I212" s="78"/>
      <c r="J212" s="78"/>
      <c r="K212" s="78"/>
      <c r="L212" s="78"/>
      <c r="M212" s="78"/>
      <c r="N212" s="78"/>
      <c r="O212" s="78"/>
      <c r="P212" s="78"/>
      <c r="Q212" s="78"/>
      <c r="R212" s="78"/>
      <c r="S212" s="2045"/>
      <c r="T212" s="2045"/>
      <c r="U212" s="2045"/>
      <c r="V212" s="2045"/>
      <c r="W212" s="2045"/>
      <c r="X212" s="2045"/>
      <c r="Y212" s="2045"/>
    </row>
    <row r="213" spans="2:25" x14ac:dyDescent="0.2">
      <c r="B213" s="78"/>
      <c r="C213" s="78"/>
      <c r="D213" s="78"/>
      <c r="E213" s="78"/>
      <c r="F213" s="78"/>
      <c r="G213" s="78"/>
      <c r="H213" s="78"/>
      <c r="I213" s="78"/>
      <c r="J213" s="78"/>
      <c r="K213" s="78"/>
      <c r="L213" s="78"/>
      <c r="M213" s="78"/>
      <c r="N213" s="78"/>
      <c r="O213" s="78"/>
      <c r="P213" s="78"/>
      <c r="Q213" s="78"/>
      <c r="R213" s="78"/>
      <c r="S213" s="2045"/>
      <c r="T213" s="2045"/>
      <c r="U213" s="2045"/>
      <c r="V213" s="129"/>
      <c r="W213" s="2045"/>
      <c r="X213" s="2045"/>
      <c r="Y213" s="2045"/>
    </row>
    <row r="214" spans="2:25" x14ac:dyDescent="0.2">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row>
    <row r="215" spans="2:25" x14ac:dyDescent="0.2">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row>
    <row r="216" spans="2:25" x14ac:dyDescent="0.2">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row>
    <row r="217" spans="2:25" x14ac:dyDescent="0.2">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row>
    <row r="218" spans="2:25" x14ac:dyDescent="0.2">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row>
    <row r="219" spans="2:25" x14ac:dyDescent="0.2">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row>
    <row r="220" spans="2:25" x14ac:dyDescent="0.2">
      <c r="B220" s="78"/>
      <c r="C220" s="78"/>
      <c r="D220" s="78"/>
      <c r="E220" s="78"/>
      <c r="F220" s="78"/>
      <c r="G220" s="78"/>
      <c r="H220" s="78"/>
      <c r="I220" s="78"/>
      <c r="J220" s="78"/>
      <c r="K220" s="78"/>
      <c r="L220" s="78"/>
      <c r="M220" s="78"/>
      <c r="N220" s="78"/>
      <c r="O220" s="78"/>
      <c r="P220" s="78"/>
      <c r="Q220" s="78"/>
      <c r="R220" s="78"/>
      <c r="S220" s="78"/>
      <c r="T220" s="78"/>
      <c r="U220" s="78"/>
      <c r="V220" s="78"/>
      <c r="W220" s="83"/>
      <c r="X220" s="83"/>
      <c r="Y220" s="83"/>
    </row>
    <row r="221" spans="2:25" x14ac:dyDescent="0.2">
      <c r="B221" s="78"/>
      <c r="C221" s="78"/>
      <c r="D221" s="78"/>
      <c r="E221" s="78"/>
      <c r="F221" s="78"/>
      <c r="G221" s="78"/>
      <c r="H221" s="78"/>
      <c r="I221" s="78"/>
      <c r="J221" s="78"/>
      <c r="K221" s="78"/>
      <c r="L221" s="78"/>
      <c r="M221" s="78"/>
      <c r="N221" s="78"/>
      <c r="O221" s="78"/>
      <c r="P221" s="78"/>
      <c r="Q221" s="78"/>
      <c r="R221" s="78"/>
      <c r="S221" s="78"/>
      <c r="T221" s="78"/>
      <c r="U221" s="78"/>
      <c r="V221" s="78"/>
      <c r="W221" s="83"/>
      <c r="X221" s="83"/>
      <c r="Y221" s="83"/>
    </row>
    <row r="222" spans="2:25" x14ac:dyDescent="0.2">
      <c r="B222" s="78"/>
      <c r="C222" s="78"/>
      <c r="D222" s="78"/>
      <c r="E222" s="78"/>
      <c r="F222" s="78"/>
      <c r="G222" s="78"/>
      <c r="H222" s="78"/>
      <c r="I222" s="78"/>
      <c r="J222" s="78"/>
      <c r="K222" s="78"/>
      <c r="L222" s="78"/>
      <c r="M222" s="78"/>
      <c r="N222" s="78"/>
      <c r="O222" s="78"/>
      <c r="P222" s="78"/>
      <c r="Q222" s="78"/>
      <c r="R222" s="78"/>
      <c r="S222" s="78"/>
      <c r="T222" s="78"/>
      <c r="U222" s="78"/>
      <c r="V222" s="78"/>
      <c r="W222" s="83"/>
      <c r="X222" s="83"/>
      <c r="Y222" s="83"/>
    </row>
    <row r="223" spans="2:25" x14ac:dyDescent="0.2">
      <c r="N223" s="78"/>
    </row>
    <row r="224" spans="2:25" x14ac:dyDescent="0.2">
      <c r="I224" s="84"/>
      <c r="J224" s="84"/>
      <c r="K224" s="84"/>
      <c r="L224" s="84"/>
      <c r="M224" s="84"/>
      <c r="N224" s="84"/>
      <c r="O224" s="84"/>
      <c r="P224" s="84"/>
      <c r="Q224" s="84"/>
      <c r="R224" s="84"/>
      <c r="S224" s="84"/>
      <c r="T224" s="84"/>
      <c r="U224" s="84"/>
      <c r="V224" s="84"/>
      <c r="W224" s="84"/>
      <c r="X224" s="84"/>
      <c r="Y224" s="84"/>
    </row>
  </sheetData>
  <mergeCells count="151">
    <mergeCell ref="B130:D131"/>
    <mergeCell ref="E130:E131"/>
    <mergeCell ref="F130:H130"/>
    <mergeCell ref="B132:D132"/>
    <mergeCell ref="I130:N130"/>
    <mergeCell ref="B133:N133"/>
    <mergeCell ref="W213:Y213"/>
    <mergeCell ref="S212:Y212"/>
    <mergeCell ref="S213:U213"/>
    <mergeCell ref="B173:D173"/>
    <mergeCell ref="B174:D174"/>
    <mergeCell ref="I173:I174"/>
    <mergeCell ref="J168:J169"/>
    <mergeCell ref="E168:E169"/>
    <mergeCell ref="F168:F169"/>
    <mergeCell ref="G168:G169"/>
    <mergeCell ref="H168:H169"/>
    <mergeCell ref="I168:I169"/>
    <mergeCell ref="B183:N183"/>
    <mergeCell ref="B181:N181"/>
    <mergeCell ref="K138:K139"/>
    <mergeCell ref="G138:I139"/>
    <mergeCell ref="L138:L139"/>
    <mergeCell ref="B115:C115"/>
    <mergeCell ref="I113:I114"/>
    <mergeCell ref="G113:G114"/>
    <mergeCell ref="G158:I158"/>
    <mergeCell ref="H113:H114"/>
    <mergeCell ref="B187:N187"/>
    <mergeCell ref="B185:N185"/>
    <mergeCell ref="G159:I159"/>
    <mergeCell ref="G160:I160"/>
    <mergeCell ref="B120:C120"/>
    <mergeCell ref="B118:C118"/>
    <mergeCell ref="B119:C119"/>
    <mergeCell ref="M138:M139"/>
    <mergeCell ref="G146:I146"/>
    <mergeCell ref="G157:I157"/>
    <mergeCell ref="G142:I142"/>
    <mergeCell ref="G155:I155"/>
    <mergeCell ref="G147:I147"/>
    <mergeCell ref="G143:I143"/>
    <mergeCell ref="J138:J139"/>
    <mergeCell ref="E123:E124"/>
    <mergeCell ref="G153:I153"/>
    <mergeCell ref="G154:I154"/>
    <mergeCell ref="G141:I141"/>
    <mergeCell ref="M104:M105"/>
    <mergeCell ref="D112:F112"/>
    <mergeCell ref="J112:J114"/>
    <mergeCell ref="D113:D114"/>
    <mergeCell ref="E113:E114"/>
    <mergeCell ref="F113:F114"/>
    <mergeCell ref="I104:L104"/>
    <mergeCell ref="B110:M111"/>
    <mergeCell ref="D104:F104"/>
    <mergeCell ref="G104:H104"/>
    <mergeCell ref="G112:I112"/>
    <mergeCell ref="B112:C114"/>
    <mergeCell ref="B88:J90"/>
    <mergeCell ref="B20:C20"/>
    <mergeCell ref="E134:E135"/>
    <mergeCell ref="B125:D125"/>
    <mergeCell ref="B123:D124"/>
    <mergeCell ref="I123:M123"/>
    <mergeCell ref="B128:N129"/>
    <mergeCell ref="B127:D127"/>
    <mergeCell ref="F123:H123"/>
    <mergeCell ref="B126:D126"/>
    <mergeCell ref="B121:K122"/>
    <mergeCell ref="G42:H43"/>
    <mergeCell ref="B79:C81"/>
    <mergeCell ref="B82:C82"/>
    <mergeCell ref="B83:C83"/>
    <mergeCell ref="B84:C84"/>
    <mergeCell ref="B85:C85"/>
    <mergeCell ref="B86:C86"/>
    <mergeCell ref="B116:C116"/>
    <mergeCell ref="B117:C117"/>
    <mergeCell ref="B87:C87"/>
    <mergeCell ref="B27:B29"/>
    <mergeCell ref="B22:C22"/>
    <mergeCell ref="D79:G79"/>
    <mergeCell ref="B1:N1"/>
    <mergeCell ref="D3:G3"/>
    <mergeCell ref="B5:C5"/>
    <mergeCell ref="F5:G5"/>
    <mergeCell ref="B3:C3"/>
    <mergeCell ref="J18:M20"/>
    <mergeCell ref="J21:M23"/>
    <mergeCell ref="I15:I17"/>
    <mergeCell ref="J5:K5"/>
    <mergeCell ref="B16:C16"/>
    <mergeCell ref="B17:C17"/>
    <mergeCell ref="B18:C18"/>
    <mergeCell ref="I18:I20"/>
    <mergeCell ref="I21:I23"/>
    <mergeCell ref="B11:C13"/>
    <mergeCell ref="F11:F12"/>
    <mergeCell ref="D11:E12"/>
    <mergeCell ref="I12:I14"/>
    <mergeCell ref="B23:C23"/>
    <mergeCell ref="J12:M14"/>
    <mergeCell ref="L79:M81"/>
    <mergeCell ref="L82:M89"/>
    <mergeCell ref="M5:N6"/>
    <mergeCell ref="B180:N180"/>
    <mergeCell ref="B179:N179"/>
    <mergeCell ref="L59:N63"/>
    <mergeCell ref="H79:H81"/>
    <mergeCell ref="B163:D166"/>
    <mergeCell ref="G151:I151"/>
    <mergeCell ref="E163:F166"/>
    <mergeCell ref="G150:I150"/>
    <mergeCell ref="G145:I145"/>
    <mergeCell ref="G140:I140"/>
    <mergeCell ref="L168:M169"/>
    <mergeCell ref="L170:M174"/>
    <mergeCell ref="B168:D169"/>
    <mergeCell ref="B136:D136"/>
    <mergeCell ref="B137:M137"/>
    <mergeCell ref="I134:J134"/>
    <mergeCell ref="B134:D135"/>
    <mergeCell ref="F134:H134"/>
    <mergeCell ref="G144:I144"/>
    <mergeCell ref="J163:K166"/>
    <mergeCell ref="G152:I152"/>
    <mergeCell ref="B24:G26"/>
    <mergeCell ref="B64:N64"/>
    <mergeCell ref="B57:B59"/>
    <mergeCell ref="B175:K175"/>
    <mergeCell ref="J15:M17"/>
    <mergeCell ref="G11:G12"/>
    <mergeCell ref="B21:C21"/>
    <mergeCell ref="B104:C105"/>
    <mergeCell ref="B56:F56"/>
    <mergeCell ref="G162:M162"/>
    <mergeCell ref="C58:D58"/>
    <mergeCell ref="C57:F57"/>
    <mergeCell ref="G58:H58"/>
    <mergeCell ref="G57:J57"/>
    <mergeCell ref="M57:M58"/>
    <mergeCell ref="J24:M25"/>
    <mergeCell ref="C27:D28"/>
    <mergeCell ref="E27:F28"/>
    <mergeCell ref="G27:H28"/>
    <mergeCell ref="E42:E43"/>
    <mergeCell ref="F42:F43"/>
    <mergeCell ref="B42:B44"/>
    <mergeCell ref="C42:D43"/>
    <mergeCell ref="G148:I148"/>
  </mergeCells>
  <dataValidations count="1">
    <dataValidation type="list" allowBlank="1" showInputMessage="1" showErrorMessage="1" sqref="D3">
      <formula1>Locality</formula1>
    </dataValidation>
  </dataValidations>
  <printOptions horizontalCentered="1"/>
  <pageMargins left="0.25" right="0.25" top="0.5" bottom="0.5" header="0.3" footer="0.3"/>
  <pageSetup scale="99" orientation="landscape" r:id="rId1"/>
  <headerFooter>
    <oddFooter>&amp;L&amp;"Cambria,Regular"&amp;9Compiled by the VDSS Office of Research and Planning.  For more information, contact Gail.Jennings@dss.virginia.gov.&amp;R&amp;"Cambria,Regular"&amp;9&amp;P of &amp;N</oddFooter>
  </headerFooter>
  <rowBreaks count="4" manualBreakCount="4">
    <brk id="41" max="16383" man="1"/>
    <brk id="77" min="1" max="13" man="1"/>
    <brk id="111" min="1" max="13" man="1"/>
    <brk id="137"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C126"/>
  <sheetViews>
    <sheetView workbookViewId="0">
      <selection activeCell="C16" sqref="C16"/>
    </sheetView>
  </sheetViews>
  <sheetFormatPr defaultRowHeight="12.75" x14ac:dyDescent="0.2"/>
  <cols>
    <col min="1" max="1" width="9" style="928"/>
    <col min="2" max="2" width="30.375" style="941" customWidth="1"/>
    <col min="3" max="42" width="9" style="928"/>
    <col min="43" max="43" width="2.125" style="928" customWidth="1"/>
    <col min="44" max="46" width="9" style="928"/>
    <col min="47" max="47" width="2.5" style="928" customWidth="1"/>
    <col min="48" max="50" width="12" style="929" customWidth="1"/>
    <col min="51" max="51" width="2.875" style="928" customWidth="1"/>
    <col min="52" max="54" width="9.875" style="928" bestFit="1" customWidth="1"/>
    <col min="55" max="55" width="14.375" style="928" customWidth="1"/>
    <col min="56" max="16384" width="9" style="928"/>
  </cols>
  <sheetData>
    <row r="1" spans="1:55" ht="12" customHeight="1" x14ac:dyDescent="0.2">
      <c r="A1" s="933" t="s">
        <v>810</v>
      </c>
      <c r="B1" s="938"/>
    </row>
    <row r="2" spans="1:55" ht="12" customHeight="1" x14ac:dyDescent="0.2">
      <c r="A2" s="933" t="s">
        <v>811</v>
      </c>
      <c r="B2" s="938"/>
    </row>
    <row r="3" spans="1:55" ht="12" customHeight="1" x14ac:dyDescent="0.2">
      <c r="B3" s="939" t="s">
        <v>812</v>
      </c>
      <c r="AZ3" s="2083" t="s">
        <v>813</v>
      </c>
      <c r="BA3" s="2083"/>
      <c r="BB3" s="2083"/>
    </row>
    <row r="4" spans="1:55" ht="12" customHeight="1" x14ac:dyDescent="0.2">
      <c r="B4" s="940"/>
      <c r="C4" s="2082" t="s">
        <v>814</v>
      </c>
      <c r="D4" s="2082"/>
      <c r="E4" s="2082"/>
      <c r="F4" s="2082" t="s">
        <v>815</v>
      </c>
      <c r="G4" s="2082"/>
      <c r="H4" s="2082"/>
      <c r="I4" s="2084" t="s">
        <v>816</v>
      </c>
      <c r="J4" s="2082"/>
      <c r="K4" s="2082"/>
      <c r="L4" s="2084" t="s">
        <v>817</v>
      </c>
      <c r="M4" s="2082"/>
      <c r="N4" s="2082"/>
      <c r="O4" s="2084" t="s">
        <v>818</v>
      </c>
      <c r="P4" s="2082"/>
      <c r="Q4" s="2082"/>
      <c r="R4" s="2084" t="s">
        <v>819</v>
      </c>
      <c r="S4" s="2082"/>
      <c r="T4" s="2082"/>
      <c r="U4" s="2084" t="s">
        <v>820</v>
      </c>
      <c r="V4" s="2082"/>
      <c r="W4" s="2082"/>
      <c r="X4" s="2084" t="s">
        <v>821</v>
      </c>
      <c r="Y4" s="2082"/>
      <c r="Z4" s="2082"/>
      <c r="AA4" s="2084" t="s">
        <v>822</v>
      </c>
      <c r="AB4" s="2082"/>
      <c r="AC4" s="2082"/>
      <c r="AD4" s="2084" t="s">
        <v>823</v>
      </c>
      <c r="AE4" s="2082"/>
      <c r="AF4" s="2082"/>
      <c r="AG4" s="947"/>
      <c r="AH4" s="2082" t="s">
        <v>618</v>
      </c>
      <c r="AI4" s="2082"/>
      <c r="AJ4" s="2082"/>
      <c r="AK4" s="2082" t="s">
        <v>720</v>
      </c>
      <c r="AL4" s="2082"/>
      <c r="AM4" s="2082"/>
      <c r="AN4" s="2082" t="s">
        <v>793</v>
      </c>
      <c r="AO4" s="2082"/>
      <c r="AP4" s="2082"/>
      <c r="AQ4" s="947"/>
      <c r="AR4" s="948" t="s">
        <v>7</v>
      </c>
      <c r="AS4" s="948" t="s">
        <v>6</v>
      </c>
      <c r="AT4" s="948" t="s">
        <v>727</v>
      </c>
      <c r="AU4" s="947"/>
      <c r="AV4" s="949" t="s">
        <v>7</v>
      </c>
      <c r="AW4" s="949" t="s">
        <v>6</v>
      </c>
      <c r="AX4" s="949" t="s">
        <v>727</v>
      </c>
      <c r="AY4" s="947"/>
      <c r="AZ4" s="948" t="s">
        <v>7</v>
      </c>
      <c r="BA4" s="948" t="s">
        <v>6</v>
      </c>
      <c r="BB4" s="948" t="s">
        <v>727</v>
      </c>
      <c r="BC4" s="942" t="s">
        <v>829</v>
      </c>
    </row>
    <row r="5" spans="1:55" ht="12" customHeight="1" x14ac:dyDescent="0.2">
      <c r="A5" s="944" t="s">
        <v>4</v>
      </c>
      <c r="B5" s="945" t="s">
        <v>5</v>
      </c>
      <c r="C5" s="946" t="s">
        <v>824</v>
      </c>
      <c r="D5" s="946" t="s">
        <v>825</v>
      </c>
      <c r="E5" s="946" t="s">
        <v>281</v>
      </c>
      <c r="F5" s="946" t="s">
        <v>824</v>
      </c>
      <c r="G5" s="946" t="s">
        <v>825</v>
      </c>
      <c r="H5" s="946" t="s">
        <v>281</v>
      </c>
      <c r="I5" s="946" t="s">
        <v>824</v>
      </c>
      <c r="J5" s="946" t="s">
        <v>825</v>
      </c>
      <c r="K5" s="946" t="s">
        <v>281</v>
      </c>
      <c r="L5" s="946" t="s">
        <v>824</v>
      </c>
      <c r="M5" s="946" t="s">
        <v>825</v>
      </c>
      <c r="N5" s="946" t="s">
        <v>281</v>
      </c>
      <c r="O5" s="946" t="s">
        <v>824</v>
      </c>
      <c r="P5" s="946" t="s">
        <v>825</v>
      </c>
      <c r="Q5" s="946" t="s">
        <v>281</v>
      </c>
      <c r="R5" s="946" t="s">
        <v>824</v>
      </c>
      <c r="S5" s="946" t="s">
        <v>825</v>
      </c>
      <c r="T5" s="946" t="s">
        <v>281</v>
      </c>
      <c r="U5" s="946" t="s">
        <v>824</v>
      </c>
      <c r="V5" s="946" t="s">
        <v>825</v>
      </c>
      <c r="W5" s="946" t="s">
        <v>281</v>
      </c>
      <c r="X5" s="946" t="s">
        <v>824</v>
      </c>
      <c r="Y5" s="946" t="s">
        <v>825</v>
      </c>
      <c r="Z5" s="946" t="s">
        <v>281</v>
      </c>
      <c r="AA5" s="946" t="s">
        <v>824</v>
      </c>
      <c r="AB5" s="946" t="s">
        <v>825</v>
      </c>
      <c r="AC5" s="946" t="s">
        <v>281</v>
      </c>
      <c r="AD5" s="946" t="s">
        <v>824</v>
      </c>
      <c r="AE5" s="946" t="s">
        <v>825</v>
      </c>
      <c r="AF5" s="946" t="s">
        <v>281</v>
      </c>
      <c r="AH5" s="926" t="s">
        <v>824</v>
      </c>
      <c r="AI5" s="926" t="s">
        <v>825</v>
      </c>
      <c r="AJ5" s="926" t="s">
        <v>281</v>
      </c>
      <c r="AK5" s="926" t="s">
        <v>824</v>
      </c>
      <c r="AL5" s="926" t="s">
        <v>825</v>
      </c>
      <c r="AM5" s="926" t="s">
        <v>281</v>
      </c>
      <c r="AN5" s="926" t="s">
        <v>824</v>
      </c>
      <c r="AO5" s="926" t="s">
        <v>825</v>
      </c>
      <c r="AP5" s="926" t="s">
        <v>281</v>
      </c>
      <c r="AR5" s="926" t="s">
        <v>826</v>
      </c>
      <c r="AS5" s="926" t="s">
        <v>826</v>
      </c>
      <c r="AT5" s="926" t="s">
        <v>826</v>
      </c>
      <c r="AV5" s="927" t="s">
        <v>827</v>
      </c>
      <c r="AW5" s="927" t="s">
        <v>827</v>
      </c>
      <c r="AX5" s="927" t="s">
        <v>827</v>
      </c>
      <c r="AZ5" s="926" t="s">
        <v>826</v>
      </c>
      <c r="BA5" s="926" t="s">
        <v>826</v>
      </c>
      <c r="BB5" s="926" t="s">
        <v>826</v>
      </c>
    </row>
    <row r="6" spans="1:55" ht="12" customHeight="1" x14ac:dyDescent="0.2">
      <c r="A6" s="952">
        <v>999</v>
      </c>
      <c r="B6" s="953" t="s">
        <v>828</v>
      </c>
      <c r="C6" s="950">
        <v>125317</v>
      </c>
      <c r="D6" s="943">
        <v>474351</v>
      </c>
      <c r="E6" s="943">
        <v>599668</v>
      </c>
      <c r="F6" s="943">
        <v>109777</v>
      </c>
      <c r="G6" s="943">
        <v>488763</v>
      </c>
      <c r="H6" s="943">
        <v>598540</v>
      </c>
      <c r="I6" s="943">
        <v>100011</v>
      </c>
      <c r="J6" s="943">
        <v>519188</v>
      </c>
      <c r="K6" s="943">
        <v>619199</v>
      </c>
      <c r="L6" s="943">
        <v>172606</v>
      </c>
      <c r="M6" s="943">
        <v>509335</v>
      </c>
      <c r="N6" s="943">
        <v>681941</v>
      </c>
      <c r="O6" s="943">
        <v>139803</v>
      </c>
      <c r="P6" s="943">
        <v>900533</v>
      </c>
      <c r="Q6" s="943">
        <v>1040336</v>
      </c>
      <c r="R6" s="943">
        <v>116509</v>
      </c>
      <c r="S6" s="943">
        <v>990782</v>
      </c>
      <c r="T6" s="943">
        <v>1107291</v>
      </c>
      <c r="U6" s="943">
        <v>113684</v>
      </c>
      <c r="V6" s="943">
        <v>1067688</v>
      </c>
      <c r="W6" s="943">
        <v>1181372</v>
      </c>
      <c r="X6" s="943">
        <v>86625</v>
      </c>
      <c r="Y6" s="943">
        <v>838307</v>
      </c>
      <c r="Z6" s="943">
        <v>924932</v>
      </c>
      <c r="AA6" s="943">
        <v>54846</v>
      </c>
      <c r="AB6" s="943">
        <v>473761</v>
      </c>
      <c r="AC6" s="943">
        <v>528607</v>
      </c>
      <c r="AD6" s="943">
        <v>64094</v>
      </c>
      <c r="AE6" s="943">
        <v>335413</v>
      </c>
      <c r="AF6" s="943">
        <v>399507</v>
      </c>
      <c r="AH6" s="930">
        <f t="shared" ref="AH6:AH37" si="0">C6+F6+I6</f>
        <v>335105</v>
      </c>
      <c r="AI6" s="930">
        <f t="shared" ref="AI6:AI37" si="1">D6+G6+J6</f>
        <v>1482302</v>
      </c>
      <c r="AJ6" s="930">
        <f t="shared" ref="AJ6:AJ37" si="2">E6+H6+K6</f>
        <v>1817407</v>
      </c>
      <c r="AK6" s="930">
        <f t="shared" ref="AK6:AK37" si="3">L6+O6+R6+U6+X6</f>
        <v>629227</v>
      </c>
      <c r="AL6" s="930">
        <f t="shared" ref="AL6:AL37" si="4">M6+P6+S6+V6+Y6</f>
        <v>4306645</v>
      </c>
      <c r="AM6" s="930">
        <f t="shared" ref="AM6:AM37" si="5">N6+Q6+T6+W6+Z6</f>
        <v>4935872</v>
      </c>
      <c r="AN6" s="930">
        <f t="shared" ref="AN6:AN37" si="6">AA6+AD6</f>
        <v>118940</v>
      </c>
      <c r="AO6" s="930">
        <f t="shared" ref="AO6:AO37" si="7">AB6+AE6</f>
        <v>809174</v>
      </c>
      <c r="AP6" s="930">
        <f t="shared" ref="AP6:AP37" si="8">AC6+AF6</f>
        <v>928114</v>
      </c>
      <c r="AR6" s="931">
        <f t="shared" ref="AR6:AR37" si="9">AH6/AJ6</f>
        <v>0.18438632623292417</v>
      </c>
      <c r="AS6" s="931">
        <f t="shared" ref="AS6:AS37" si="10">AK6/AM6</f>
        <v>0.12748041278217911</v>
      </c>
      <c r="AT6" s="931">
        <f t="shared" ref="AT6:AT37" si="11">AN6/AP6</f>
        <v>0.12815236059363397</v>
      </c>
      <c r="AV6" s="932">
        <v>1853546</v>
      </c>
      <c r="AW6" s="932">
        <v>5231995</v>
      </c>
      <c r="AX6" s="932">
        <v>1011063</v>
      </c>
      <c r="AZ6" s="932">
        <f t="shared" ref="AZ6:AZ37" si="12">AR6*AV6</f>
        <v>341768.53744373168</v>
      </c>
      <c r="BA6" s="932">
        <f t="shared" ref="BA6:BA37" si="13">AS6*AW6</f>
        <v>666976.88227429718</v>
      </c>
      <c r="BB6" s="932">
        <f t="shared" ref="BB6:BB37" si="14">AT6*AX6</f>
        <v>129570.11015888135</v>
      </c>
      <c r="BC6" s="955">
        <f>SUM(AZ6:BB6)</f>
        <v>1138315.5298769102</v>
      </c>
    </row>
    <row r="7" spans="1:55" s="934" customFormat="1" ht="12" customHeight="1" x14ac:dyDescent="0.2">
      <c r="A7" s="934" t="s">
        <v>10</v>
      </c>
      <c r="B7" s="938" t="s">
        <v>450</v>
      </c>
      <c r="C7" s="951">
        <v>1259</v>
      </c>
      <c r="D7" s="935">
        <v>1135</v>
      </c>
      <c r="E7" s="935">
        <v>2394</v>
      </c>
      <c r="F7" s="935">
        <v>716</v>
      </c>
      <c r="G7" s="935">
        <v>1777</v>
      </c>
      <c r="H7" s="935">
        <v>2493</v>
      </c>
      <c r="I7" s="935">
        <v>496</v>
      </c>
      <c r="J7" s="935">
        <v>1833</v>
      </c>
      <c r="K7" s="935">
        <v>2329</v>
      </c>
      <c r="L7" s="935">
        <v>783</v>
      </c>
      <c r="M7" s="935">
        <v>1677</v>
      </c>
      <c r="N7" s="935">
        <v>2460</v>
      </c>
      <c r="O7" s="935">
        <v>806</v>
      </c>
      <c r="P7" s="935">
        <v>2617</v>
      </c>
      <c r="Q7" s="935">
        <v>3423</v>
      </c>
      <c r="R7" s="935">
        <v>623</v>
      </c>
      <c r="S7" s="935">
        <v>3263</v>
      </c>
      <c r="T7" s="935">
        <v>3886</v>
      </c>
      <c r="U7" s="935">
        <v>1058</v>
      </c>
      <c r="V7" s="935">
        <v>4232</v>
      </c>
      <c r="W7" s="935">
        <v>5290</v>
      </c>
      <c r="X7" s="935">
        <v>1083</v>
      </c>
      <c r="Y7" s="935">
        <v>3810</v>
      </c>
      <c r="Z7" s="935">
        <v>4893</v>
      </c>
      <c r="AA7" s="935">
        <v>497</v>
      </c>
      <c r="AB7" s="935">
        <v>2921</v>
      </c>
      <c r="AC7" s="935">
        <v>3418</v>
      </c>
      <c r="AD7" s="935">
        <v>913</v>
      </c>
      <c r="AE7" s="935">
        <v>1739</v>
      </c>
      <c r="AF7" s="935">
        <v>2652</v>
      </c>
      <c r="AH7" s="935">
        <f t="shared" si="0"/>
        <v>2471</v>
      </c>
      <c r="AI7" s="935">
        <f t="shared" si="1"/>
        <v>4745</v>
      </c>
      <c r="AJ7" s="935">
        <f t="shared" si="2"/>
        <v>7216</v>
      </c>
      <c r="AK7" s="935">
        <f t="shared" si="3"/>
        <v>4353</v>
      </c>
      <c r="AL7" s="935">
        <f t="shared" si="4"/>
        <v>15599</v>
      </c>
      <c r="AM7" s="935">
        <f t="shared" si="5"/>
        <v>19952</v>
      </c>
      <c r="AN7" s="935">
        <f t="shared" si="6"/>
        <v>1410</v>
      </c>
      <c r="AO7" s="935">
        <f t="shared" si="7"/>
        <v>4660</v>
      </c>
      <c r="AP7" s="935">
        <f t="shared" si="8"/>
        <v>6070</v>
      </c>
      <c r="AR7" s="936">
        <f t="shared" si="9"/>
        <v>0.34243348115299332</v>
      </c>
      <c r="AS7" s="936">
        <f t="shared" si="10"/>
        <v>0.21817361668003207</v>
      </c>
      <c r="AT7" s="936">
        <f t="shared" si="11"/>
        <v>0.23228995057660626</v>
      </c>
      <c r="AV7" s="937">
        <v>7036</v>
      </c>
      <c r="AW7" s="937">
        <v>19832</v>
      </c>
      <c r="AX7" s="937">
        <v>6468</v>
      </c>
      <c r="AZ7" s="937">
        <f t="shared" si="12"/>
        <v>2409.3619733924611</v>
      </c>
      <c r="BA7" s="937">
        <f t="shared" si="13"/>
        <v>4326.8191659983959</v>
      </c>
      <c r="BB7" s="937">
        <f t="shared" si="14"/>
        <v>1502.4514003294894</v>
      </c>
      <c r="BC7" s="954">
        <f t="shared" ref="BC7:BC70" si="15">SUM(AZ7:BB7)</f>
        <v>8238.6325397203473</v>
      </c>
    </row>
    <row r="8" spans="1:55" s="934" customFormat="1" ht="12" customHeight="1" x14ac:dyDescent="0.2">
      <c r="A8" s="934" t="s">
        <v>12</v>
      </c>
      <c r="B8" s="938" t="s">
        <v>451</v>
      </c>
      <c r="C8" s="951">
        <v>1302</v>
      </c>
      <c r="D8" s="935">
        <v>5120</v>
      </c>
      <c r="E8" s="935">
        <v>6422</v>
      </c>
      <c r="F8" s="935">
        <v>913</v>
      </c>
      <c r="G8" s="935">
        <v>6447</v>
      </c>
      <c r="H8" s="935">
        <v>7360</v>
      </c>
      <c r="I8" s="935">
        <v>1165</v>
      </c>
      <c r="J8" s="935">
        <v>6249</v>
      </c>
      <c r="K8" s="935">
        <v>7414</v>
      </c>
      <c r="L8" s="935">
        <v>2216</v>
      </c>
      <c r="M8" s="935">
        <v>5933</v>
      </c>
      <c r="N8" s="935">
        <v>8149</v>
      </c>
      <c r="O8" s="935">
        <v>1867</v>
      </c>
      <c r="P8" s="935">
        <v>9965</v>
      </c>
      <c r="Q8" s="935">
        <v>11832</v>
      </c>
      <c r="R8" s="935">
        <v>1068</v>
      </c>
      <c r="S8" s="935">
        <v>11128</v>
      </c>
      <c r="T8" s="935">
        <v>12196</v>
      </c>
      <c r="U8" s="935">
        <v>1150</v>
      </c>
      <c r="V8" s="935">
        <v>13176</v>
      </c>
      <c r="W8" s="935">
        <v>14326</v>
      </c>
      <c r="X8" s="935">
        <v>961</v>
      </c>
      <c r="Y8" s="935">
        <v>11026</v>
      </c>
      <c r="Z8" s="935">
        <v>11987</v>
      </c>
      <c r="AA8" s="935">
        <v>440</v>
      </c>
      <c r="AB8" s="935">
        <v>6378</v>
      </c>
      <c r="AC8" s="935">
        <v>6818</v>
      </c>
      <c r="AD8" s="935">
        <v>779</v>
      </c>
      <c r="AE8" s="935">
        <v>5574</v>
      </c>
      <c r="AF8" s="935">
        <v>6353</v>
      </c>
      <c r="AH8" s="935">
        <f t="shared" si="0"/>
        <v>3380</v>
      </c>
      <c r="AI8" s="935">
        <f t="shared" si="1"/>
        <v>17816</v>
      </c>
      <c r="AJ8" s="935">
        <f t="shared" si="2"/>
        <v>21196</v>
      </c>
      <c r="AK8" s="935">
        <f t="shared" si="3"/>
        <v>7262</v>
      </c>
      <c r="AL8" s="935">
        <f t="shared" si="4"/>
        <v>51228</v>
      </c>
      <c r="AM8" s="935">
        <f t="shared" si="5"/>
        <v>58490</v>
      </c>
      <c r="AN8" s="935">
        <f t="shared" si="6"/>
        <v>1219</v>
      </c>
      <c r="AO8" s="935">
        <f t="shared" si="7"/>
        <v>11952</v>
      </c>
      <c r="AP8" s="935">
        <f t="shared" si="8"/>
        <v>13171</v>
      </c>
      <c r="AR8" s="936">
        <f t="shared" si="9"/>
        <v>0.1594640498207209</v>
      </c>
      <c r="AS8" s="936">
        <f t="shared" si="10"/>
        <v>0.1241579757223457</v>
      </c>
      <c r="AT8" s="936">
        <f t="shared" si="11"/>
        <v>9.2551818388884668E-2</v>
      </c>
      <c r="AV8" s="937">
        <v>21443</v>
      </c>
      <c r="AW8" s="937">
        <v>64549</v>
      </c>
      <c r="AX8" s="937">
        <v>14561</v>
      </c>
      <c r="AZ8" s="937">
        <f t="shared" si="12"/>
        <v>3419.3876203057184</v>
      </c>
      <c r="BA8" s="937">
        <f t="shared" si="13"/>
        <v>8014.273174901693</v>
      </c>
      <c r="BB8" s="937">
        <f t="shared" si="14"/>
        <v>1347.6470275605498</v>
      </c>
      <c r="BC8" s="954">
        <f t="shared" si="15"/>
        <v>12781.307822767962</v>
      </c>
    </row>
    <row r="9" spans="1:55" s="934" customFormat="1" ht="12" customHeight="1" x14ac:dyDescent="0.2">
      <c r="A9" s="934" t="s">
        <v>16</v>
      </c>
      <c r="B9" s="938" t="s">
        <v>749</v>
      </c>
      <c r="C9" s="951">
        <v>369</v>
      </c>
      <c r="D9" s="935">
        <v>895</v>
      </c>
      <c r="E9" s="935">
        <v>1264</v>
      </c>
      <c r="F9" s="935">
        <v>481</v>
      </c>
      <c r="G9" s="935">
        <v>1061</v>
      </c>
      <c r="H9" s="935">
        <v>1542</v>
      </c>
      <c r="I9" s="935">
        <v>356</v>
      </c>
      <c r="J9" s="935">
        <v>1536</v>
      </c>
      <c r="K9" s="935">
        <v>1892</v>
      </c>
      <c r="L9" s="935">
        <v>387</v>
      </c>
      <c r="M9" s="935">
        <v>1292</v>
      </c>
      <c r="N9" s="935">
        <v>1679</v>
      </c>
      <c r="O9" s="935">
        <v>422</v>
      </c>
      <c r="P9" s="935">
        <v>1329</v>
      </c>
      <c r="Q9" s="935">
        <v>1751</v>
      </c>
      <c r="R9" s="935">
        <v>325</v>
      </c>
      <c r="S9" s="935">
        <v>2656</v>
      </c>
      <c r="T9" s="935">
        <v>2981</v>
      </c>
      <c r="U9" s="935">
        <v>513</v>
      </c>
      <c r="V9" s="935">
        <v>2898</v>
      </c>
      <c r="W9" s="935">
        <v>3411</v>
      </c>
      <c r="X9" s="935">
        <v>526</v>
      </c>
      <c r="Y9" s="935">
        <v>2680</v>
      </c>
      <c r="Z9" s="935">
        <v>3206</v>
      </c>
      <c r="AA9" s="935">
        <v>218</v>
      </c>
      <c r="AB9" s="935">
        <v>2173</v>
      </c>
      <c r="AC9" s="935">
        <v>2391</v>
      </c>
      <c r="AD9" s="935">
        <v>361</v>
      </c>
      <c r="AE9" s="935">
        <v>1439</v>
      </c>
      <c r="AF9" s="935">
        <v>1800</v>
      </c>
      <c r="AH9" s="935">
        <f t="shared" si="0"/>
        <v>1206</v>
      </c>
      <c r="AI9" s="935">
        <f t="shared" si="1"/>
        <v>3492</v>
      </c>
      <c r="AJ9" s="935">
        <f t="shared" si="2"/>
        <v>4698</v>
      </c>
      <c r="AK9" s="935">
        <f t="shared" si="3"/>
        <v>2173</v>
      </c>
      <c r="AL9" s="935">
        <f t="shared" si="4"/>
        <v>10855</v>
      </c>
      <c r="AM9" s="935">
        <f t="shared" si="5"/>
        <v>13028</v>
      </c>
      <c r="AN9" s="935">
        <f t="shared" si="6"/>
        <v>579</v>
      </c>
      <c r="AO9" s="935">
        <f t="shared" si="7"/>
        <v>3612</v>
      </c>
      <c r="AP9" s="935">
        <f t="shared" si="8"/>
        <v>4191</v>
      </c>
      <c r="AR9" s="936">
        <f t="shared" si="9"/>
        <v>0.25670498084291188</v>
      </c>
      <c r="AS9" s="936">
        <f t="shared" si="10"/>
        <v>0.16679459625422169</v>
      </c>
      <c r="AT9" s="936">
        <f t="shared" si="11"/>
        <v>0.13815318539727989</v>
      </c>
      <c r="AV9" s="937">
        <v>3385</v>
      </c>
      <c r="AW9" s="937">
        <v>9456</v>
      </c>
      <c r="AX9" s="937">
        <v>3334</v>
      </c>
      <c r="AZ9" s="937">
        <f t="shared" si="12"/>
        <v>868.94636015325671</v>
      </c>
      <c r="BA9" s="937">
        <f t="shared" si="13"/>
        <v>1577.2097021799202</v>
      </c>
      <c r="BB9" s="937">
        <f t="shared" si="14"/>
        <v>460.60272011453117</v>
      </c>
      <c r="BC9" s="954">
        <f t="shared" si="15"/>
        <v>2906.7587824477082</v>
      </c>
    </row>
    <row r="10" spans="1:55" s="934" customFormat="1" ht="12" customHeight="1" x14ac:dyDescent="0.2">
      <c r="A10" s="934" t="s">
        <v>18</v>
      </c>
      <c r="B10" s="938" t="s">
        <v>452</v>
      </c>
      <c r="C10" s="951">
        <v>317</v>
      </c>
      <c r="D10" s="935">
        <v>635</v>
      </c>
      <c r="E10" s="935">
        <v>952</v>
      </c>
      <c r="F10" s="935">
        <v>171</v>
      </c>
      <c r="G10" s="935">
        <v>787</v>
      </c>
      <c r="H10" s="935">
        <v>958</v>
      </c>
      <c r="I10" s="935">
        <v>216</v>
      </c>
      <c r="J10" s="935">
        <v>714</v>
      </c>
      <c r="K10" s="935">
        <v>930</v>
      </c>
      <c r="L10" s="935">
        <v>129</v>
      </c>
      <c r="M10" s="935">
        <v>812</v>
      </c>
      <c r="N10" s="935">
        <v>941</v>
      </c>
      <c r="O10" s="935">
        <v>509</v>
      </c>
      <c r="P10" s="935">
        <v>763</v>
      </c>
      <c r="Q10" s="935">
        <v>1272</v>
      </c>
      <c r="R10" s="935">
        <v>124</v>
      </c>
      <c r="S10" s="935">
        <v>1615</v>
      </c>
      <c r="T10" s="935">
        <v>1739</v>
      </c>
      <c r="U10" s="935">
        <v>333</v>
      </c>
      <c r="V10" s="935">
        <v>1782</v>
      </c>
      <c r="W10" s="935">
        <v>2115</v>
      </c>
      <c r="X10" s="935">
        <v>283</v>
      </c>
      <c r="Y10" s="935">
        <v>1329</v>
      </c>
      <c r="Z10" s="935">
        <v>1612</v>
      </c>
      <c r="AA10" s="935">
        <v>230</v>
      </c>
      <c r="AB10" s="935">
        <v>1029</v>
      </c>
      <c r="AC10" s="935">
        <v>1259</v>
      </c>
      <c r="AD10" s="935">
        <v>134</v>
      </c>
      <c r="AE10" s="935">
        <v>615</v>
      </c>
      <c r="AF10" s="935">
        <v>749</v>
      </c>
      <c r="AH10" s="935">
        <f t="shared" si="0"/>
        <v>704</v>
      </c>
      <c r="AI10" s="935">
        <f t="shared" si="1"/>
        <v>2136</v>
      </c>
      <c r="AJ10" s="935">
        <f t="shared" si="2"/>
        <v>2840</v>
      </c>
      <c r="AK10" s="935">
        <f t="shared" si="3"/>
        <v>1378</v>
      </c>
      <c r="AL10" s="935">
        <f t="shared" si="4"/>
        <v>6301</v>
      </c>
      <c r="AM10" s="935">
        <f t="shared" si="5"/>
        <v>7679</v>
      </c>
      <c r="AN10" s="935">
        <f t="shared" si="6"/>
        <v>364</v>
      </c>
      <c r="AO10" s="935">
        <f t="shared" si="7"/>
        <v>1644</v>
      </c>
      <c r="AP10" s="935">
        <f t="shared" si="8"/>
        <v>2008</v>
      </c>
      <c r="AR10" s="936">
        <f t="shared" si="9"/>
        <v>0.24788732394366197</v>
      </c>
      <c r="AS10" s="936">
        <f t="shared" si="10"/>
        <v>0.17945044927724965</v>
      </c>
      <c r="AT10" s="936">
        <f t="shared" si="11"/>
        <v>0.18127490039840638</v>
      </c>
      <c r="AV10" s="937">
        <v>2782</v>
      </c>
      <c r="AW10" s="937">
        <v>7949</v>
      </c>
      <c r="AX10" s="937">
        <v>2074</v>
      </c>
      <c r="AZ10" s="937">
        <f t="shared" si="12"/>
        <v>689.62253521126763</v>
      </c>
      <c r="BA10" s="937">
        <f t="shared" si="13"/>
        <v>1426.4516213048576</v>
      </c>
      <c r="BB10" s="937">
        <f t="shared" si="14"/>
        <v>375.96414342629481</v>
      </c>
      <c r="BC10" s="954">
        <f t="shared" si="15"/>
        <v>2492.0382999424201</v>
      </c>
    </row>
    <row r="11" spans="1:55" s="934" customFormat="1" ht="12" customHeight="1" x14ac:dyDescent="0.2">
      <c r="A11" s="934" t="s">
        <v>20</v>
      </c>
      <c r="B11" s="938" t="s">
        <v>453</v>
      </c>
      <c r="C11" s="951">
        <v>499</v>
      </c>
      <c r="D11" s="935">
        <v>1423</v>
      </c>
      <c r="E11" s="935">
        <v>1922</v>
      </c>
      <c r="F11" s="935">
        <v>452</v>
      </c>
      <c r="G11" s="935">
        <v>1514</v>
      </c>
      <c r="H11" s="935">
        <v>1966</v>
      </c>
      <c r="I11" s="935">
        <v>424</v>
      </c>
      <c r="J11" s="935">
        <v>2181</v>
      </c>
      <c r="K11" s="935">
        <v>2605</v>
      </c>
      <c r="L11" s="935">
        <v>585</v>
      </c>
      <c r="M11" s="935">
        <v>1914</v>
      </c>
      <c r="N11" s="935">
        <v>2499</v>
      </c>
      <c r="O11" s="935">
        <v>480</v>
      </c>
      <c r="P11" s="935">
        <v>2687</v>
      </c>
      <c r="Q11" s="935">
        <v>3167</v>
      </c>
      <c r="R11" s="935">
        <v>670</v>
      </c>
      <c r="S11" s="935">
        <v>3409</v>
      </c>
      <c r="T11" s="935">
        <v>4079</v>
      </c>
      <c r="U11" s="935">
        <v>695</v>
      </c>
      <c r="V11" s="935">
        <v>4317</v>
      </c>
      <c r="W11" s="935">
        <v>5012</v>
      </c>
      <c r="X11" s="935">
        <v>485</v>
      </c>
      <c r="Y11" s="935">
        <v>3869</v>
      </c>
      <c r="Z11" s="935">
        <v>4354</v>
      </c>
      <c r="AA11" s="935">
        <v>399</v>
      </c>
      <c r="AB11" s="935">
        <v>2737</v>
      </c>
      <c r="AC11" s="935">
        <v>3136</v>
      </c>
      <c r="AD11" s="935">
        <v>491</v>
      </c>
      <c r="AE11" s="935">
        <v>1822</v>
      </c>
      <c r="AF11" s="935">
        <v>2313</v>
      </c>
      <c r="AH11" s="935">
        <f t="shared" si="0"/>
        <v>1375</v>
      </c>
      <c r="AI11" s="935">
        <f t="shared" si="1"/>
        <v>5118</v>
      </c>
      <c r="AJ11" s="935">
        <f t="shared" si="2"/>
        <v>6493</v>
      </c>
      <c r="AK11" s="935">
        <f t="shared" si="3"/>
        <v>2915</v>
      </c>
      <c r="AL11" s="935">
        <f t="shared" si="4"/>
        <v>16196</v>
      </c>
      <c r="AM11" s="935">
        <f t="shared" si="5"/>
        <v>19111</v>
      </c>
      <c r="AN11" s="935">
        <f t="shared" si="6"/>
        <v>890</v>
      </c>
      <c r="AO11" s="935">
        <f t="shared" si="7"/>
        <v>4559</v>
      </c>
      <c r="AP11" s="935">
        <f t="shared" si="8"/>
        <v>5449</v>
      </c>
      <c r="AR11" s="936">
        <f t="shared" si="9"/>
        <v>0.21176651778838748</v>
      </c>
      <c r="AS11" s="936">
        <f t="shared" si="10"/>
        <v>0.15252995656951493</v>
      </c>
      <c r="AT11" s="936">
        <f t="shared" si="11"/>
        <v>0.16333272160029363</v>
      </c>
      <c r="AV11" s="937">
        <v>6688</v>
      </c>
      <c r="AW11" s="937">
        <v>19942</v>
      </c>
      <c r="AX11" s="937">
        <v>5537</v>
      </c>
      <c r="AZ11" s="937">
        <f t="shared" si="12"/>
        <v>1416.2944709687354</v>
      </c>
      <c r="BA11" s="937">
        <f t="shared" si="13"/>
        <v>3041.7523939092666</v>
      </c>
      <c r="BB11" s="937">
        <f t="shared" si="14"/>
        <v>904.3732795008259</v>
      </c>
      <c r="BC11" s="954">
        <f t="shared" si="15"/>
        <v>5362.4201443788279</v>
      </c>
    </row>
    <row r="12" spans="1:55" s="934" customFormat="1" ht="12" customHeight="1" x14ac:dyDescent="0.2">
      <c r="A12" s="934" t="s">
        <v>22</v>
      </c>
      <c r="B12" s="938" t="s">
        <v>454</v>
      </c>
      <c r="C12" s="951">
        <v>272</v>
      </c>
      <c r="D12" s="935">
        <v>542</v>
      </c>
      <c r="E12" s="935">
        <v>814</v>
      </c>
      <c r="F12" s="935">
        <v>406</v>
      </c>
      <c r="G12" s="935">
        <v>780</v>
      </c>
      <c r="H12" s="935">
        <v>1186</v>
      </c>
      <c r="I12" s="935">
        <v>300</v>
      </c>
      <c r="J12" s="935">
        <v>876</v>
      </c>
      <c r="K12" s="935">
        <v>1176</v>
      </c>
      <c r="L12" s="935">
        <v>178</v>
      </c>
      <c r="M12" s="935">
        <v>850</v>
      </c>
      <c r="N12" s="935">
        <v>1028</v>
      </c>
      <c r="O12" s="935">
        <v>556</v>
      </c>
      <c r="P12" s="935">
        <v>1209</v>
      </c>
      <c r="Q12" s="935">
        <v>1765</v>
      </c>
      <c r="R12" s="935">
        <v>224</v>
      </c>
      <c r="S12" s="935">
        <v>1563</v>
      </c>
      <c r="T12" s="935">
        <v>1787</v>
      </c>
      <c r="U12" s="935">
        <v>231</v>
      </c>
      <c r="V12" s="935">
        <v>2075</v>
      </c>
      <c r="W12" s="935">
        <v>2306</v>
      </c>
      <c r="X12" s="935">
        <v>267</v>
      </c>
      <c r="Y12" s="935">
        <v>1758</v>
      </c>
      <c r="Z12" s="935">
        <v>2025</v>
      </c>
      <c r="AA12" s="935">
        <v>230</v>
      </c>
      <c r="AB12" s="935">
        <v>1185</v>
      </c>
      <c r="AC12" s="935">
        <v>1415</v>
      </c>
      <c r="AD12" s="935">
        <v>205</v>
      </c>
      <c r="AE12" s="935">
        <v>895</v>
      </c>
      <c r="AF12" s="935">
        <v>1100</v>
      </c>
      <c r="AH12" s="935">
        <f t="shared" si="0"/>
        <v>978</v>
      </c>
      <c r="AI12" s="935">
        <f t="shared" si="1"/>
        <v>2198</v>
      </c>
      <c r="AJ12" s="935">
        <f t="shared" si="2"/>
        <v>3176</v>
      </c>
      <c r="AK12" s="935">
        <f t="shared" si="3"/>
        <v>1456</v>
      </c>
      <c r="AL12" s="935">
        <f t="shared" si="4"/>
        <v>7455</v>
      </c>
      <c r="AM12" s="935">
        <f t="shared" si="5"/>
        <v>8911</v>
      </c>
      <c r="AN12" s="935">
        <f t="shared" si="6"/>
        <v>435</v>
      </c>
      <c r="AO12" s="935">
        <f t="shared" si="7"/>
        <v>2080</v>
      </c>
      <c r="AP12" s="935">
        <f t="shared" si="8"/>
        <v>2515</v>
      </c>
      <c r="AR12" s="936">
        <f t="shared" si="9"/>
        <v>0.30793450881612089</v>
      </c>
      <c r="AS12" s="936">
        <f t="shared" si="10"/>
        <v>0.16339355852317361</v>
      </c>
      <c r="AT12" s="936">
        <f t="shared" si="11"/>
        <v>0.17296222664015903</v>
      </c>
      <c r="AV12" s="937">
        <v>3299</v>
      </c>
      <c r="AW12" s="937">
        <v>9056</v>
      </c>
      <c r="AX12" s="937">
        <v>2686</v>
      </c>
      <c r="AZ12" s="937">
        <f t="shared" si="12"/>
        <v>1015.8759445843829</v>
      </c>
      <c r="BA12" s="937">
        <f t="shared" si="13"/>
        <v>1479.6920659858602</v>
      </c>
      <c r="BB12" s="937">
        <f t="shared" si="14"/>
        <v>464.57654075546719</v>
      </c>
      <c r="BC12" s="954">
        <f t="shared" si="15"/>
        <v>2960.1445513257104</v>
      </c>
    </row>
    <row r="13" spans="1:55" s="934" customFormat="1" ht="12" customHeight="1" x14ac:dyDescent="0.2">
      <c r="A13" s="934" t="s">
        <v>24</v>
      </c>
      <c r="B13" s="938" t="s">
        <v>455</v>
      </c>
      <c r="C13" s="951">
        <v>1296</v>
      </c>
      <c r="D13" s="935">
        <v>12073</v>
      </c>
      <c r="E13" s="935">
        <v>13369</v>
      </c>
      <c r="F13" s="935">
        <v>1174</v>
      </c>
      <c r="G13" s="935">
        <v>8621</v>
      </c>
      <c r="H13" s="935">
        <v>9795</v>
      </c>
      <c r="I13" s="935">
        <v>1243</v>
      </c>
      <c r="J13" s="935">
        <v>7102</v>
      </c>
      <c r="K13" s="935">
        <v>8345</v>
      </c>
      <c r="L13" s="935">
        <v>3626</v>
      </c>
      <c r="M13" s="935">
        <v>15077</v>
      </c>
      <c r="N13" s="935">
        <v>18703</v>
      </c>
      <c r="O13" s="935">
        <v>3672</v>
      </c>
      <c r="P13" s="935">
        <v>51310</v>
      </c>
      <c r="Q13" s="935">
        <v>54982</v>
      </c>
      <c r="R13" s="935">
        <v>2092</v>
      </c>
      <c r="S13" s="935">
        <v>30150</v>
      </c>
      <c r="T13" s="935">
        <v>32242</v>
      </c>
      <c r="U13" s="935">
        <v>1453</v>
      </c>
      <c r="V13" s="935">
        <v>23764</v>
      </c>
      <c r="W13" s="935">
        <v>25217</v>
      </c>
      <c r="X13" s="935">
        <v>991</v>
      </c>
      <c r="Y13" s="935">
        <v>19273</v>
      </c>
      <c r="Z13" s="935">
        <v>20264</v>
      </c>
      <c r="AA13" s="935">
        <v>804</v>
      </c>
      <c r="AB13" s="935">
        <v>8813</v>
      </c>
      <c r="AC13" s="935">
        <v>9617</v>
      </c>
      <c r="AD13" s="935">
        <v>911</v>
      </c>
      <c r="AE13" s="935">
        <v>6659</v>
      </c>
      <c r="AF13" s="935">
        <v>7570</v>
      </c>
      <c r="AH13" s="935">
        <f t="shared" si="0"/>
        <v>3713</v>
      </c>
      <c r="AI13" s="935">
        <f t="shared" si="1"/>
        <v>27796</v>
      </c>
      <c r="AJ13" s="935">
        <f t="shared" si="2"/>
        <v>31509</v>
      </c>
      <c r="AK13" s="935">
        <f t="shared" si="3"/>
        <v>11834</v>
      </c>
      <c r="AL13" s="935">
        <f t="shared" si="4"/>
        <v>139574</v>
      </c>
      <c r="AM13" s="935">
        <f t="shared" si="5"/>
        <v>151408</v>
      </c>
      <c r="AN13" s="935">
        <f t="shared" si="6"/>
        <v>1715</v>
      </c>
      <c r="AO13" s="935">
        <f t="shared" si="7"/>
        <v>15472</v>
      </c>
      <c r="AP13" s="935">
        <f t="shared" si="8"/>
        <v>17187</v>
      </c>
      <c r="AR13" s="936">
        <f t="shared" si="9"/>
        <v>0.1178393474880193</v>
      </c>
      <c r="AS13" s="936">
        <f t="shared" si="10"/>
        <v>7.8159674521821834E-2</v>
      </c>
      <c r="AT13" s="936">
        <f t="shared" si="11"/>
        <v>9.9784721010065747E-2</v>
      </c>
      <c r="AV13" s="937">
        <v>34495</v>
      </c>
      <c r="AW13" s="937">
        <v>162774</v>
      </c>
      <c r="AX13" s="937">
        <v>18735</v>
      </c>
      <c r="AZ13" s="937">
        <f t="shared" si="12"/>
        <v>4064.8682915992258</v>
      </c>
      <c r="BA13" s="937">
        <f t="shared" si="13"/>
        <v>12722.362860615027</v>
      </c>
      <c r="BB13" s="937">
        <f t="shared" si="14"/>
        <v>1869.4667481235817</v>
      </c>
      <c r="BC13" s="954">
        <f t="shared" si="15"/>
        <v>18656.697900337833</v>
      </c>
    </row>
    <row r="14" spans="1:55" s="934" customFormat="1" ht="12" customHeight="1" x14ac:dyDescent="0.2">
      <c r="A14" s="934" t="s">
        <v>26</v>
      </c>
      <c r="B14" s="938" t="s">
        <v>750</v>
      </c>
      <c r="C14" s="951">
        <v>2102</v>
      </c>
      <c r="D14" s="935">
        <v>5811</v>
      </c>
      <c r="E14" s="935">
        <v>7913</v>
      </c>
      <c r="F14" s="935">
        <v>1941</v>
      </c>
      <c r="G14" s="935">
        <v>5907</v>
      </c>
      <c r="H14" s="935">
        <v>7848</v>
      </c>
      <c r="I14" s="935">
        <v>1921</v>
      </c>
      <c r="J14" s="935">
        <v>7146</v>
      </c>
      <c r="K14" s="935">
        <v>9067</v>
      </c>
      <c r="L14" s="935">
        <v>1702</v>
      </c>
      <c r="M14" s="935">
        <v>6491</v>
      </c>
      <c r="N14" s="935">
        <v>8193</v>
      </c>
      <c r="O14" s="935">
        <v>2319</v>
      </c>
      <c r="P14" s="935">
        <v>10534</v>
      </c>
      <c r="Q14" s="935">
        <v>12853</v>
      </c>
      <c r="R14" s="935">
        <v>2370</v>
      </c>
      <c r="S14" s="935">
        <v>12470</v>
      </c>
      <c r="T14" s="935">
        <v>14840</v>
      </c>
      <c r="U14" s="935">
        <v>1982</v>
      </c>
      <c r="V14" s="935">
        <v>15305</v>
      </c>
      <c r="W14" s="935">
        <v>17287</v>
      </c>
      <c r="X14" s="935">
        <v>1556</v>
      </c>
      <c r="Y14" s="935">
        <v>14218</v>
      </c>
      <c r="Z14" s="935">
        <v>15774</v>
      </c>
      <c r="AA14" s="935">
        <v>1520</v>
      </c>
      <c r="AB14" s="935">
        <v>9036</v>
      </c>
      <c r="AC14" s="935">
        <v>10556</v>
      </c>
      <c r="AD14" s="935">
        <v>1352</v>
      </c>
      <c r="AE14" s="935">
        <v>6963</v>
      </c>
      <c r="AF14" s="935">
        <v>8315</v>
      </c>
      <c r="AH14" s="935">
        <f t="shared" si="0"/>
        <v>5964</v>
      </c>
      <c r="AI14" s="935">
        <f t="shared" si="1"/>
        <v>18864</v>
      </c>
      <c r="AJ14" s="935">
        <f t="shared" si="2"/>
        <v>24828</v>
      </c>
      <c r="AK14" s="935">
        <f t="shared" si="3"/>
        <v>9929</v>
      </c>
      <c r="AL14" s="935">
        <f t="shared" si="4"/>
        <v>59018</v>
      </c>
      <c r="AM14" s="935">
        <f t="shared" si="5"/>
        <v>68947</v>
      </c>
      <c r="AN14" s="935">
        <f t="shared" si="6"/>
        <v>2872</v>
      </c>
      <c r="AO14" s="935">
        <f t="shared" si="7"/>
        <v>15999</v>
      </c>
      <c r="AP14" s="935">
        <f t="shared" si="8"/>
        <v>18871</v>
      </c>
      <c r="AR14" s="936">
        <f t="shared" si="9"/>
        <v>0.24021266312228129</v>
      </c>
      <c r="AS14" s="936">
        <f t="shared" si="10"/>
        <v>0.14400916646119483</v>
      </c>
      <c r="AT14" s="936">
        <f t="shared" si="11"/>
        <v>0.15219119283556781</v>
      </c>
      <c r="AV14" s="937">
        <v>15352</v>
      </c>
      <c r="AW14" s="937">
        <v>46035</v>
      </c>
      <c r="AX14" s="937">
        <v>12162</v>
      </c>
      <c r="AZ14" s="937">
        <f t="shared" si="12"/>
        <v>3687.7448042532624</v>
      </c>
      <c r="BA14" s="937">
        <f t="shared" si="13"/>
        <v>6629.461978041104</v>
      </c>
      <c r="BB14" s="937">
        <f t="shared" si="14"/>
        <v>1850.9492872661758</v>
      </c>
      <c r="BC14" s="954">
        <f t="shared" si="15"/>
        <v>12168.156069560542</v>
      </c>
    </row>
    <row r="15" spans="1:55" s="934" customFormat="1" ht="12" customHeight="1" x14ac:dyDescent="0.2">
      <c r="A15" s="934" t="s">
        <v>27</v>
      </c>
      <c r="B15" s="938" t="s">
        <v>456</v>
      </c>
      <c r="C15" s="951">
        <v>281</v>
      </c>
      <c r="D15" s="935">
        <v>81</v>
      </c>
      <c r="E15" s="935">
        <v>362</v>
      </c>
      <c r="F15" s="935">
        <v>65</v>
      </c>
      <c r="G15" s="935">
        <v>201</v>
      </c>
      <c r="H15" s="935">
        <v>266</v>
      </c>
      <c r="I15" s="935">
        <v>199</v>
      </c>
      <c r="J15" s="935">
        <v>89</v>
      </c>
      <c r="K15" s="935">
        <v>288</v>
      </c>
      <c r="L15" s="935">
        <v>87</v>
      </c>
      <c r="M15" s="935">
        <v>231</v>
      </c>
      <c r="N15" s="935">
        <v>318</v>
      </c>
      <c r="O15" s="935">
        <v>24</v>
      </c>
      <c r="P15" s="935">
        <v>331</v>
      </c>
      <c r="Q15" s="935">
        <v>355</v>
      </c>
      <c r="R15" s="935">
        <v>189</v>
      </c>
      <c r="S15" s="935">
        <v>423</v>
      </c>
      <c r="T15" s="935">
        <v>612</v>
      </c>
      <c r="U15" s="935">
        <v>103</v>
      </c>
      <c r="V15" s="935">
        <v>812</v>
      </c>
      <c r="W15" s="935">
        <v>915</v>
      </c>
      <c r="X15" s="935">
        <v>50</v>
      </c>
      <c r="Y15" s="935">
        <v>538</v>
      </c>
      <c r="Z15" s="935">
        <v>588</v>
      </c>
      <c r="AA15" s="935">
        <v>133</v>
      </c>
      <c r="AB15" s="935">
        <v>403</v>
      </c>
      <c r="AC15" s="935">
        <v>536</v>
      </c>
      <c r="AD15" s="935">
        <v>101</v>
      </c>
      <c r="AE15" s="935">
        <v>346</v>
      </c>
      <c r="AF15" s="935">
        <v>447</v>
      </c>
      <c r="AH15" s="935">
        <f t="shared" si="0"/>
        <v>545</v>
      </c>
      <c r="AI15" s="935">
        <f t="shared" si="1"/>
        <v>371</v>
      </c>
      <c r="AJ15" s="935">
        <f t="shared" si="2"/>
        <v>916</v>
      </c>
      <c r="AK15" s="935">
        <f t="shared" si="3"/>
        <v>453</v>
      </c>
      <c r="AL15" s="935">
        <f t="shared" si="4"/>
        <v>2335</v>
      </c>
      <c r="AM15" s="935">
        <f t="shared" si="5"/>
        <v>2788</v>
      </c>
      <c r="AN15" s="935">
        <f t="shared" si="6"/>
        <v>234</v>
      </c>
      <c r="AO15" s="935">
        <f t="shared" si="7"/>
        <v>749</v>
      </c>
      <c r="AP15" s="935">
        <f t="shared" si="8"/>
        <v>983</v>
      </c>
      <c r="AR15" s="936">
        <f t="shared" si="9"/>
        <v>0.59497816593886466</v>
      </c>
      <c r="AS15" s="936">
        <f t="shared" si="10"/>
        <v>0.16248206599713055</v>
      </c>
      <c r="AT15" s="936">
        <f t="shared" si="11"/>
        <v>0.2380467955239064</v>
      </c>
      <c r="AV15" s="937">
        <v>782</v>
      </c>
      <c r="AW15" s="937">
        <v>2804</v>
      </c>
      <c r="AX15" s="937">
        <v>1071</v>
      </c>
      <c r="AZ15" s="937">
        <f t="shared" si="12"/>
        <v>465.27292576419217</v>
      </c>
      <c r="BA15" s="937">
        <f t="shared" si="13"/>
        <v>455.59971305595406</v>
      </c>
      <c r="BB15" s="937">
        <f t="shared" si="14"/>
        <v>254.94811800610375</v>
      </c>
      <c r="BC15" s="954">
        <f t="shared" si="15"/>
        <v>1175.8207568262501</v>
      </c>
    </row>
    <row r="16" spans="1:55" s="934" customFormat="1" ht="12" customHeight="1" x14ac:dyDescent="0.2">
      <c r="A16" s="934" t="s">
        <v>29</v>
      </c>
      <c r="B16" s="938" t="s">
        <v>942</v>
      </c>
      <c r="C16" s="951">
        <v>1016</v>
      </c>
      <c r="D16" s="935">
        <v>3361</v>
      </c>
      <c r="E16" s="935">
        <v>4377</v>
      </c>
      <c r="F16" s="935">
        <v>1176</v>
      </c>
      <c r="G16" s="935">
        <v>4432</v>
      </c>
      <c r="H16" s="935">
        <v>5608</v>
      </c>
      <c r="I16" s="935">
        <v>756</v>
      </c>
      <c r="J16" s="935">
        <v>5825</v>
      </c>
      <c r="K16" s="935">
        <v>6581</v>
      </c>
      <c r="L16" s="935">
        <v>1109</v>
      </c>
      <c r="M16" s="935">
        <v>3839</v>
      </c>
      <c r="N16" s="935">
        <v>4948</v>
      </c>
      <c r="O16" s="935">
        <v>1117</v>
      </c>
      <c r="P16" s="935">
        <v>5591</v>
      </c>
      <c r="Q16" s="935">
        <v>6708</v>
      </c>
      <c r="R16" s="935">
        <v>1078</v>
      </c>
      <c r="S16" s="935">
        <v>9300</v>
      </c>
      <c r="T16" s="935">
        <v>10378</v>
      </c>
      <c r="U16" s="935">
        <v>1457</v>
      </c>
      <c r="V16" s="935">
        <v>11083</v>
      </c>
      <c r="W16" s="935">
        <v>12540</v>
      </c>
      <c r="X16" s="935">
        <v>1186</v>
      </c>
      <c r="Y16" s="935">
        <v>9867</v>
      </c>
      <c r="Z16" s="935">
        <v>11053</v>
      </c>
      <c r="AA16" s="935">
        <v>732</v>
      </c>
      <c r="AB16" s="935">
        <v>6331</v>
      </c>
      <c r="AC16" s="935">
        <v>7063</v>
      </c>
      <c r="AD16" s="935">
        <v>673</v>
      </c>
      <c r="AE16" s="935">
        <v>3961</v>
      </c>
      <c r="AF16" s="935">
        <v>4634</v>
      </c>
      <c r="AH16" s="935">
        <f t="shared" si="0"/>
        <v>2948</v>
      </c>
      <c r="AI16" s="935">
        <f t="shared" si="1"/>
        <v>13618</v>
      </c>
      <c r="AJ16" s="935">
        <f t="shared" si="2"/>
        <v>16566</v>
      </c>
      <c r="AK16" s="935">
        <f t="shared" si="3"/>
        <v>5947</v>
      </c>
      <c r="AL16" s="935">
        <f t="shared" si="4"/>
        <v>39680</v>
      </c>
      <c r="AM16" s="935">
        <f t="shared" si="5"/>
        <v>45627</v>
      </c>
      <c r="AN16" s="935">
        <f t="shared" si="6"/>
        <v>1405</v>
      </c>
      <c r="AO16" s="935">
        <f t="shared" si="7"/>
        <v>10292</v>
      </c>
      <c r="AP16" s="935">
        <f t="shared" si="8"/>
        <v>11697</v>
      </c>
      <c r="AR16" s="936">
        <f t="shared" si="9"/>
        <v>0.17795484727755645</v>
      </c>
      <c r="AS16" s="936">
        <f t="shared" si="10"/>
        <v>0.13033949196747541</v>
      </c>
      <c r="AT16" s="936">
        <f t="shared" si="11"/>
        <v>0.12011626912883645</v>
      </c>
      <c r="AV16" s="937">
        <v>15022</v>
      </c>
      <c r="AW16" s="937">
        <v>42606</v>
      </c>
      <c r="AX16" s="937">
        <v>11618</v>
      </c>
      <c r="AZ16" s="937">
        <f t="shared" si="12"/>
        <v>2673.2377158034528</v>
      </c>
      <c r="BA16" s="937">
        <f t="shared" si="13"/>
        <v>5553.2443947662568</v>
      </c>
      <c r="BB16" s="937">
        <f t="shared" si="14"/>
        <v>1395.5108147388219</v>
      </c>
      <c r="BC16" s="954">
        <f t="shared" si="15"/>
        <v>9621.992925308532</v>
      </c>
    </row>
    <row r="17" spans="1:55" s="934" customFormat="1" ht="12" customHeight="1" x14ac:dyDescent="0.2">
      <c r="A17" s="934" t="s">
        <v>30</v>
      </c>
      <c r="B17" s="938" t="s">
        <v>457</v>
      </c>
      <c r="C17" s="951">
        <v>10</v>
      </c>
      <c r="D17" s="935">
        <v>297</v>
      </c>
      <c r="E17" s="935">
        <v>307</v>
      </c>
      <c r="F17" s="935">
        <v>50</v>
      </c>
      <c r="G17" s="935">
        <v>262</v>
      </c>
      <c r="H17" s="935">
        <v>312</v>
      </c>
      <c r="I17" s="935">
        <v>83</v>
      </c>
      <c r="J17" s="935">
        <v>502</v>
      </c>
      <c r="K17" s="935">
        <v>585</v>
      </c>
      <c r="L17" s="935">
        <v>120</v>
      </c>
      <c r="M17" s="935">
        <v>262</v>
      </c>
      <c r="N17" s="935">
        <v>382</v>
      </c>
      <c r="O17" s="935">
        <v>32</v>
      </c>
      <c r="P17" s="935">
        <v>690</v>
      </c>
      <c r="Q17" s="935">
        <v>722</v>
      </c>
      <c r="R17" s="935">
        <v>160</v>
      </c>
      <c r="S17" s="935">
        <v>578</v>
      </c>
      <c r="T17" s="935">
        <v>738</v>
      </c>
      <c r="U17" s="935">
        <v>60</v>
      </c>
      <c r="V17" s="935">
        <v>877</v>
      </c>
      <c r="W17" s="935">
        <v>937</v>
      </c>
      <c r="X17" s="935">
        <v>97</v>
      </c>
      <c r="Y17" s="935">
        <v>904</v>
      </c>
      <c r="Z17" s="935">
        <v>1001</v>
      </c>
      <c r="AA17" s="935">
        <v>158</v>
      </c>
      <c r="AB17" s="935">
        <v>597</v>
      </c>
      <c r="AC17" s="935">
        <v>755</v>
      </c>
      <c r="AD17" s="935">
        <v>132</v>
      </c>
      <c r="AE17" s="935">
        <v>312</v>
      </c>
      <c r="AF17" s="935">
        <v>444</v>
      </c>
      <c r="AH17" s="935">
        <f t="shared" si="0"/>
        <v>143</v>
      </c>
      <c r="AI17" s="935">
        <f t="shared" si="1"/>
        <v>1061</v>
      </c>
      <c r="AJ17" s="935">
        <f t="shared" si="2"/>
        <v>1204</v>
      </c>
      <c r="AK17" s="935">
        <f t="shared" si="3"/>
        <v>469</v>
      </c>
      <c r="AL17" s="935">
        <f t="shared" si="4"/>
        <v>3311</v>
      </c>
      <c r="AM17" s="935">
        <f t="shared" si="5"/>
        <v>3780</v>
      </c>
      <c r="AN17" s="935">
        <f t="shared" si="6"/>
        <v>290</v>
      </c>
      <c r="AO17" s="935">
        <f t="shared" si="7"/>
        <v>909</v>
      </c>
      <c r="AP17" s="935">
        <f t="shared" si="8"/>
        <v>1199</v>
      </c>
      <c r="AR17" s="936">
        <f t="shared" si="9"/>
        <v>0.11877076411960133</v>
      </c>
      <c r="AS17" s="936">
        <f t="shared" si="10"/>
        <v>0.12407407407407407</v>
      </c>
      <c r="AT17" s="936">
        <f t="shared" si="11"/>
        <v>0.24186822351959966</v>
      </c>
      <c r="AV17" s="937">
        <v>1204</v>
      </c>
      <c r="AW17" s="937">
        <v>4393</v>
      </c>
      <c r="AX17" s="937">
        <v>1221</v>
      </c>
      <c r="AZ17" s="937">
        <f t="shared" si="12"/>
        <v>143</v>
      </c>
      <c r="BA17" s="937">
        <f t="shared" si="13"/>
        <v>545.05740740740737</v>
      </c>
      <c r="BB17" s="937">
        <f t="shared" si="14"/>
        <v>295.32110091743118</v>
      </c>
      <c r="BC17" s="954">
        <f t="shared" si="15"/>
        <v>983.37850832483855</v>
      </c>
    </row>
    <row r="18" spans="1:55" s="934" customFormat="1" ht="12" customHeight="1" x14ac:dyDescent="0.2">
      <c r="A18" s="934" t="s">
        <v>32</v>
      </c>
      <c r="B18" s="938" t="s">
        <v>458</v>
      </c>
      <c r="C18" s="951">
        <v>298</v>
      </c>
      <c r="D18" s="935">
        <v>1808</v>
      </c>
      <c r="E18" s="935">
        <v>2106</v>
      </c>
      <c r="F18" s="935">
        <v>152</v>
      </c>
      <c r="G18" s="935">
        <v>2119</v>
      </c>
      <c r="H18" s="935">
        <v>2271</v>
      </c>
      <c r="I18" s="935">
        <v>399</v>
      </c>
      <c r="J18" s="935">
        <v>2459</v>
      </c>
      <c r="K18" s="935">
        <v>2858</v>
      </c>
      <c r="L18" s="935">
        <v>297</v>
      </c>
      <c r="M18" s="935">
        <v>1736</v>
      </c>
      <c r="N18" s="935">
        <v>2033</v>
      </c>
      <c r="O18" s="935">
        <v>213</v>
      </c>
      <c r="P18" s="935">
        <v>2385</v>
      </c>
      <c r="Q18" s="935">
        <v>2598</v>
      </c>
      <c r="R18" s="935">
        <v>277</v>
      </c>
      <c r="S18" s="935">
        <v>4250</v>
      </c>
      <c r="T18" s="935">
        <v>4527</v>
      </c>
      <c r="U18" s="935">
        <v>431</v>
      </c>
      <c r="V18" s="935">
        <v>5217</v>
      </c>
      <c r="W18" s="935">
        <v>5648</v>
      </c>
      <c r="X18" s="935">
        <v>371</v>
      </c>
      <c r="Y18" s="935">
        <v>4779</v>
      </c>
      <c r="Z18" s="935">
        <v>5150</v>
      </c>
      <c r="AA18" s="935">
        <v>201</v>
      </c>
      <c r="AB18" s="935">
        <v>2921</v>
      </c>
      <c r="AC18" s="935">
        <v>3122</v>
      </c>
      <c r="AD18" s="935">
        <v>423</v>
      </c>
      <c r="AE18" s="935">
        <v>1760</v>
      </c>
      <c r="AF18" s="935">
        <v>2183</v>
      </c>
      <c r="AH18" s="935">
        <f t="shared" si="0"/>
        <v>849</v>
      </c>
      <c r="AI18" s="935">
        <f t="shared" si="1"/>
        <v>6386</v>
      </c>
      <c r="AJ18" s="935">
        <f t="shared" si="2"/>
        <v>7235</v>
      </c>
      <c r="AK18" s="935">
        <f t="shared" si="3"/>
        <v>1589</v>
      </c>
      <c r="AL18" s="935">
        <f t="shared" si="4"/>
        <v>18367</v>
      </c>
      <c r="AM18" s="935">
        <f t="shared" si="5"/>
        <v>19956</v>
      </c>
      <c r="AN18" s="935">
        <f t="shared" si="6"/>
        <v>624</v>
      </c>
      <c r="AO18" s="935">
        <f t="shared" si="7"/>
        <v>4681</v>
      </c>
      <c r="AP18" s="935">
        <f t="shared" si="8"/>
        <v>5305</v>
      </c>
      <c r="AR18" s="936">
        <f t="shared" si="9"/>
        <v>0.11734623358673117</v>
      </c>
      <c r="AS18" s="936">
        <f t="shared" si="10"/>
        <v>7.9625175385848873E-2</v>
      </c>
      <c r="AT18" s="936">
        <f t="shared" si="11"/>
        <v>0.1176248821866164</v>
      </c>
      <c r="AV18" s="937">
        <v>7171</v>
      </c>
      <c r="AW18" s="937">
        <v>20158</v>
      </c>
      <c r="AX18" s="937">
        <v>5599</v>
      </c>
      <c r="AZ18" s="937">
        <f t="shared" si="12"/>
        <v>841.48984105044929</v>
      </c>
      <c r="BA18" s="937">
        <f t="shared" si="13"/>
        <v>1605.0842854279415</v>
      </c>
      <c r="BB18" s="937">
        <f t="shared" si="14"/>
        <v>658.58171536286522</v>
      </c>
      <c r="BC18" s="954">
        <f t="shared" si="15"/>
        <v>3105.155841841256</v>
      </c>
    </row>
    <row r="19" spans="1:55" s="934" customFormat="1" ht="12" customHeight="1" x14ac:dyDescent="0.2">
      <c r="A19" s="934" t="s">
        <v>36</v>
      </c>
      <c r="B19" s="938" t="s">
        <v>459</v>
      </c>
      <c r="C19" s="951">
        <v>698</v>
      </c>
      <c r="D19" s="935">
        <v>319</v>
      </c>
      <c r="E19" s="935">
        <v>1017</v>
      </c>
      <c r="F19" s="935">
        <v>304</v>
      </c>
      <c r="G19" s="935">
        <v>698</v>
      </c>
      <c r="H19" s="935">
        <v>1002</v>
      </c>
      <c r="I19" s="935">
        <v>521</v>
      </c>
      <c r="J19" s="935">
        <v>761</v>
      </c>
      <c r="K19" s="935">
        <v>1282</v>
      </c>
      <c r="L19" s="935">
        <v>551</v>
      </c>
      <c r="M19" s="935">
        <v>652</v>
      </c>
      <c r="N19" s="935">
        <v>1203</v>
      </c>
      <c r="O19" s="935">
        <v>439</v>
      </c>
      <c r="P19" s="935">
        <v>1113</v>
      </c>
      <c r="Q19" s="935">
        <v>1552</v>
      </c>
      <c r="R19" s="935">
        <v>292</v>
      </c>
      <c r="S19" s="935">
        <v>1302</v>
      </c>
      <c r="T19" s="935">
        <v>1594</v>
      </c>
      <c r="U19" s="935">
        <v>489</v>
      </c>
      <c r="V19" s="935">
        <v>1915</v>
      </c>
      <c r="W19" s="935">
        <v>2404</v>
      </c>
      <c r="X19" s="935">
        <v>456</v>
      </c>
      <c r="Y19" s="935">
        <v>1776</v>
      </c>
      <c r="Z19" s="935">
        <v>2232</v>
      </c>
      <c r="AA19" s="935">
        <v>430</v>
      </c>
      <c r="AB19" s="935">
        <v>1100</v>
      </c>
      <c r="AC19" s="935">
        <v>1530</v>
      </c>
      <c r="AD19" s="935">
        <v>427</v>
      </c>
      <c r="AE19" s="935">
        <v>773</v>
      </c>
      <c r="AF19" s="935">
        <v>1200</v>
      </c>
      <c r="AH19" s="935">
        <f t="shared" si="0"/>
        <v>1523</v>
      </c>
      <c r="AI19" s="935">
        <f t="shared" si="1"/>
        <v>1778</v>
      </c>
      <c r="AJ19" s="935">
        <f t="shared" si="2"/>
        <v>3301</v>
      </c>
      <c r="AK19" s="935">
        <f t="shared" si="3"/>
        <v>2227</v>
      </c>
      <c r="AL19" s="935">
        <f t="shared" si="4"/>
        <v>6758</v>
      </c>
      <c r="AM19" s="935">
        <f t="shared" si="5"/>
        <v>8985</v>
      </c>
      <c r="AN19" s="935">
        <f t="shared" si="6"/>
        <v>857</v>
      </c>
      <c r="AO19" s="935">
        <f t="shared" si="7"/>
        <v>1873</v>
      </c>
      <c r="AP19" s="935">
        <f t="shared" si="8"/>
        <v>2730</v>
      </c>
      <c r="AR19" s="936">
        <f t="shared" si="9"/>
        <v>0.46137534080581644</v>
      </c>
      <c r="AS19" s="936">
        <f t="shared" si="10"/>
        <v>0.24785754034501947</v>
      </c>
      <c r="AT19" s="936">
        <f t="shared" si="11"/>
        <v>0.31391941391941391</v>
      </c>
      <c r="AV19" s="937">
        <v>3196</v>
      </c>
      <c r="AW19" s="937">
        <v>11045</v>
      </c>
      <c r="AX19" s="937">
        <v>2963</v>
      </c>
      <c r="AZ19" s="937">
        <f t="shared" si="12"/>
        <v>1474.5555892153893</v>
      </c>
      <c r="BA19" s="937">
        <f t="shared" si="13"/>
        <v>2737.5865331107402</v>
      </c>
      <c r="BB19" s="937">
        <f t="shared" si="14"/>
        <v>930.14322344322341</v>
      </c>
      <c r="BC19" s="954">
        <f t="shared" si="15"/>
        <v>5142.2853457693527</v>
      </c>
    </row>
    <row r="20" spans="1:55" s="934" customFormat="1" ht="12" customHeight="1" x14ac:dyDescent="0.2">
      <c r="A20" s="934" t="s">
        <v>38</v>
      </c>
      <c r="B20" s="938" t="s">
        <v>460</v>
      </c>
      <c r="C20" s="951">
        <v>716</v>
      </c>
      <c r="D20" s="935">
        <v>612</v>
      </c>
      <c r="E20" s="935">
        <v>1328</v>
      </c>
      <c r="F20" s="935">
        <v>558</v>
      </c>
      <c r="G20" s="935">
        <v>734</v>
      </c>
      <c r="H20" s="935">
        <v>1292</v>
      </c>
      <c r="I20" s="935">
        <v>743</v>
      </c>
      <c r="J20" s="935">
        <v>918</v>
      </c>
      <c r="K20" s="935">
        <v>1661</v>
      </c>
      <c r="L20" s="935">
        <v>507</v>
      </c>
      <c r="M20" s="935">
        <v>1177</v>
      </c>
      <c r="N20" s="935">
        <v>1684</v>
      </c>
      <c r="O20" s="935">
        <v>856</v>
      </c>
      <c r="P20" s="935">
        <v>1660</v>
      </c>
      <c r="Q20" s="935">
        <v>2516</v>
      </c>
      <c r="R20" s="935">
        <v>1095</v>
      </c>
      <c r="S20" s="935">
        <v>2151</v>
      </c>
      <c r="T20" s="935">
        <v>3246</v>
      </c>
      <c r="U20" s="935">
        <v>966</v>
      </c>
      <c r="V20" s="935">
        <v>3033</v>
      </c>
      <c r="W20" s="935">
        <v>3999</v>
      </c>
      <c r="X20" s="935">
        <v>755</v>
      </c>
      <c r="Y20" s="935">
        <v>2737</v>
      </c>
      <c r="Z20" s="935">
        <v>3492</v>
      </c>
      <c r="AA20" s="935">
        <v>508</v>
      </c>
      <c r="AB20" s="935">
        <v>1905</v>
      </c>
      <c r="AC20" s="935">
        <v>2413</v>
      </c>
      <c r="AD20" s="935">
        <v>373</v>
      </c>
      <c r="AE20" s="935">
        <v>1081</v>
      </c>
      <c r="AF20" s="935">
        <v>1454</v>
      </c>
      <c r="AH20" s="935">
        <f t="shared" si="0"/>
        <v>2017</v>
      </c>
      <c r="AI20" s="935">
        <f t="shared" si="1"/>
        <v>2264</v>
      </c>
      <c r="AJ20" s="935">
        <f t="shared" si="2"/>
        <v>4281</v>
      </c>
      <c r="AK20" s="935">
        <f t="shared" si="3"/>
        <v>4179</v>
      </c>
      <c r="AL20" s="935">
        <f t="shared" si="4"/>
        <v>10758</v>
      </c>
      <c r="AM20" s="935">
        <f t="shared" si="5"/>
        <v>14937</v>
      </c>
      <c r="AN20" s="935">
        <f t="shared" si="6"/>
        <v>881</v>
      </c>
      <c r="AO20" s="935">
        <f t="shared" si="7"/>
        <v>2986</v>
      </c>
      <c r="AP20" s="935">
        <f t="shared" si="8"/>
        <v>3867</v>
      </c>
      <c r="AR20" s="936">
        <f t="shared" si="9"/>
        <v>0.4711516000934361</v>
      </c>
      <c r="AS20" s="936">
        <f t="shared" si="10"/>
        <v>0.27977505523197427</v>
      </c>
      <c r="AT20" s="936">
        <f t="shared" si="11"/>
        <v>0.22782518748383759</v>
      </c>
      <c r="AV20" s="937">
        <v>4322</v>
      </c>
      <c r="AW20" s="937">
        <v>15371</v>
      </c>
      <c r="AX20" s="937">
        <v>3888</v>
      </c>
      <c r="AZ20" s="937">
        <f t="shared" si="12"/>
        <v>2036.3172156038308</v>
      </c>
      <c r="BA20" s="937">
        <f t="shared" si="13"/>
        <v>4300.4223739706767</v>
      </c>
      <c r="BB20" s="937">
        <f t="shared" si="14"/>
        <v>885.78432893716058</v>
      </c>
      <c r="BC20" s="954">
        <f t="shared" si="15"/>
        <v>7222.5239185116679</v>
      </c>
    </row>
    <row r="21" spans="1:55" s="934" customFormat="1" ht="12" customHeight="1" x14ac:dyDescent="0.2">
      <c r="A21" s="934" t="s">
        <v>40</v>
      </c>
      <c r="B21" s="938" t="s">
        <v>461</v>
      </c>
      <c r="C21" s="951">
        <v>291</v>
      </c>
      <c r="D21" s="935">
        <v>764</v>
      </c>
      <c r="E21" s="935">
        <v>1055</v>
      </c>
      <c r="F21" s="935">
        <v>182</v>
      </c>
      <c r="G21" s="935">
        <v>348</v>
      </c>
      <c r="H21" s="935">
        <v>530</v>
      </c>
      <c r="I21" s="935">
        <v>369</v>
      </c>
      <c r="J21" s="935">
        <v>582</v>
      </c>
      <c r="K21" s="935">
        <v>951</v>
      </c>
      <c r="L21" s="935">
        <v>228</v>
      </c>
      <c r="M21" s="935">
        <v>627</v>
      </c>
      <c r="N21" s="935">
        <v>855</v>
      </c>
      <c r="O21" s="935">
        <v>231</v>
      </c>
      <c r="P21" s="935">
        <v>902</v>
      </c>
      <c r="Q21" s="935">
        <v>1133</v>
      </c>
      <c r="R21" s="935">
        <v>371</v>
      </c>
      <c r="S21" s="935">
        <v>1116</v>
      </c>
      <c r="T21" s="935">
        <v>1487</v>
      </c>
      <c r="U21" s="935">
        <v>478</v>
      </c>
      <c r="V21" s="935">
        <v>1161</v>
      </c>
      <c r="W21" s="935">
        <v>1639</v>
      </c>
      <c r="X21" s="935">
        <v>373</v>
      </c>
      <c r="Y21" s="935">
        <v>1723</v>
      </c>
      <c r="Z21" s="935">
        <v>2096</v>
      </c>
      <c r="AA21" s="935">
        <v>246</v>
      </c>
      <c r="AB21" s="935">
        <v>1139</v>
      </c>
      <c r="AC21" s="935">
        <v>1385</v>
      </c>
      <c r="AD21" s="935">
        <v>246</v>
      </c>
      <c r="AE21" s="935">
        <v>641</v>
      </c>
      <c r="AF21" s="935">
        <v>887</v>
      </c>
      <c r="AH21" s="935">
        <f t="shared" si="0"/>
        <v>842</v>
      </c>
      <c r="AI21" s="935">
        <f t="shared" si="1"/>
        <v>1694</v>
      </c>
      <c r="AJ21" s="935">
        <f t="shared" si="2"/>
        <v>2536</v>
      </c>
      <c r="AK21" s="935">
        <f t="shared" si="3"/>
        <v>1681</v>
      </c>
      <c r="AL21" s="935">
        <f t="shared" si="4"/>
        <v>5529</v>
      </c>
      <c r="AM21" s="935">
        <f t="shared" si="5"/>
        <v>7210</v>
      </c>
      <c r="AN21" s="935">
        <f t="shared" si="6"/>
        <v>492</v>
      </c>
      <c r="AO21" s="935">
        <f t="shared" si="7"/>
        <v>1780</v>
      </c>
      <c r="AP21" s="935">
        <f t="shared" si="8"/>
        <v>2272</v>
      </c>
      <c r="AR21" s="936">
        <f t="shared" si="9"/>
        <v>0.33201892744479494</v>
      </c>
      <c r="AS21" s="936">
        <f t="shared" si="10"/>
        <v>0.23314840499306519</v>
      </c>
      <c r="AT21" s="936">
        <f t="shared" si="11"/>
        <v>0.21654929577464788</v>
      </c>
      <c r="AV21" s="937">
        <v>3271</v>
      </c>
      <c r="AW21" s="937">
        <v>11461</v>
      </c>
      <c r="AX21" s="937">
        <v>2546</v>
      </c>
      <c r="AZ21" s="937">
        <f t="shared" si="12"/>
        <v>1086.0339116719242</v>
      </c>
      <c r="BA21" s="937">
        <f t="shared" si="13"/>
        <v>2672.1138696255202</v>
      </c>
      <c r="BB21" s="937">
        <f t="shared" si="14"/>
        <v>551.33450704225345</v>
      </c>
      <c r="BC21" s="954">
        <f t="shared" si="15"/>
        <v>4309.4822883396982</v>
      </c>
    </row>
    <row r="22" spans="1:55" s="934" customFormat="1" ht="12" customHeight="1" x14ac:dyDescent="0.2">
      <c r="A22" s="934" t="s">
        <v>42</v>
      </c>
      <c r="B22" s="938" t="s">
        <v>462</v>
      </c>
      <c r="C22" s="951">
        <v>991</v>
      </c>
      <c r="D22" s="935">
        <v>2162</v>
      </c>
      <c r="E22" s="935">
        <v>3153</v>
      </c>
      <c r="F22" s="935">
        <v>919</v>
      </c>
      <c r="G22" s="935">
        <v>3023</v>
      </c>
      <c r="H22" s="935">
        <v>3942</v>
      </c>
      <c r="I22" s="935">
        <v>1389</v>
      </c>
      <c r="J22" s="935">
        <v>3197</v>
      </c>
      <c r="K22" s="935">
        <v>4586</v>
      </c>
      <c r="L22" s="935">
        <v>1443</v>
      </c>
      <c r="M22" s="935">
        <v>3736</v>
      </c>
      <c r="N22" s="935">
        <v>5179</v>
      </c>
      <c r="O22" s="935">
        <v>1150</v>
      </c>
      <c r="P22" s="935">
        <v>4520</v>
      </c>
      <c r="Q22" s="935">
        <v>5670</v>
      </c>
      <c r="R22" s="935">
        <v>1340</v>
      </c>
      <c r="S22" s="935">
        <v>6063</v>
      </c>
      <c r="T22" s="935">
        <v>7403</v>
      </c>
      <c r="U22" s="935">
        <v>1234</v>
      </c>
      <c r="V22" s="935">
        <v>7123</v>
      </c>
      <c r="W22" s="935">
        <v>8357</v>
      </c>
      <c r="X22" s="935">
        <v>798</v>
      </c>
      <c r="Y22" s="935">
        <v>6336</v>
      </c>
      <c r="Z22" s="935">
        <v>7134</v>
      </c>
      <c r="AA22" s="935">
        <v>564</v>
      </c>
      <c r="AB22" s="935">
        <v>4310</v>
      </c>
      <c r="AC22" s="935">
        <v>4874</v>
      </c>
      <c r="AD22" s="935">
        <v>391</v>
      </c>
      <c r="AE22" s="935">
        <v>3113</v>
      </c>
      <c r="AF22" s="935">
        <v>3504</v>
      </c>
      <c r="AH22" s="935">
        <f t="shared" si="0"/>
        <v>3299</v>
      </c>
      <c r="AI22" s="935">
        <f t="shared" si="1"/>
        <v>8382</v>
      </c>
      <c r="AJ22" s="935">
        <f t="shared" si="2"/>
        <v>11681</v>
      </c>
      <c r="AK22" s="935">
        <f t="shared" si="3"/>
        <v>5965</v>
      </c>
      <c r="AL22" s="935">
        <f t="shared" si="4"/>
        <v>27778</v>
      </c>
      <c r="AM22" s="935">
        <f t="shared" si="5"/>
        <v>33743</v>
      </c>
      <c r="AN22" s="935">
        <f t="shared" si="6"/>
        <v>955</v>
      </c>
      <c r="AO22" s="935">
        <f t="shared" si="7"/>
        <v>7423</v>
      </c>
      <c r="AP22" s="935">
        <f t="shared" si="8"/>
        <v>8378</v>
      </c>
      <c r="AR22" s="936">
        <f t="shared" si="9"/>
        <v>0.28242444996147592</v>
      </c>
      <c r="AS22" s="936">
        <f t="shared" si="10"/>
        <v>0.17677740568414191</v>
      </c>
      <c r="AT22" s="936">
        <f t="shared" si="11"/>
        <v>0.11398901885891621</v>
      </c>
      <c r="AV22" s="937">
        <v>11732</v>
      </c>
      <c r="AW22" s="937">
        <v>34424</v>
      </c>
      <c r="AX22" s="937">
        <v>8876</v>
      </c>
      <c r="AZ22" s="937">
        <f t="shared" si="12"/>
        <v>3313.4036469480357</v>
      </c>
      <c r="BA22" s="937">
        <f t="shared" si="13"/>
        <v>6085.3854132709012</v>
      </c>
      <c r="BB22" s="937">
        <f t="shared" si="14"/>
        <v>1011.7665313917403</v>
      </c>
      <c r="BC22" s="954">
        <f t="shared" si="15"/>
        <v>10410.555591610677</v>
      </c>
    </row>
    <row r="23" spans="1:55" s="934" customFormat="1" ht="12" customHeight="1" x14ac:dyDescent="0.2">
      <c r="A23" s="934" t="s">
        <v>44</v>
      </c>
      <c r="B23" s="938" t="s">
        <v>463</v>
      </c>
      <c r="C23" s="951">
        <v>164</v>
      </c>
      <c r="D23" s="935">
        <v>2049</v>
      </c>
      <c r="E23" s="935">
        <v>2213</v>
      </c>
      <c r="F23" s="935">
        <v>485</v>
      </c>
      <c r="G23" s="935">
        <v>1889</v>
      </c>
      <c r="H23" s="935">
        <v>2374</v>
      </c>
      <c r="I23" s="935">
        <v>307</v>
      </c>
      <c r="J23" s="935">
        <v>1756</v>
      </c>
      <c r="K23" s="935">
        <v>2063</v>
      </c>
      <c r="L23" s="935">
        <v>397</v>
      </c>
      <c r="M23" s="935">
        <v>1395</v>
      </c>
      <c r="N23" s="935">
        <v>1792</v>
      </c>
      <c r="O23" s="935">
        <v>367</v>
      </c>
      <c r="P23" s="935">
        <v>3098</v>
      </c>
      <c r="Q23" s="935">
        <v>3465</v>
      </c>
      <c r="R23" s="935">
        <v>440</v>
      </c>
      <c r="S23" s="935">
        <v>3530</v>
      </c>
      <c r="T23" s="935">
        <v>3970</v>
      </c>
      <c r="U23" s="935">
        <v>479</v>
      </c>
      <c r="V23" s="935">
        <v>3781</v>
      </c>
      <c r="W23" s="935">
        <v>4260</v>
      </c>
      <c r="X23" s="935">
        <v>199</v>
      </c>
      <c r="Y23" s="935">
        <v>3356</v>
      </c>
      <c r="Z23" s="935">
        <v>3555</v>
      </c>
      <c r="AA23" s="935">
        <v>331</v>
      </c>
      <c r="AB23" s="935">
        <v>1710</v>
      </c>
      <c r="AC23" s="935">
        <v>2041</v>
      </c>
      <c r="AD23" s="935">
        <v>201</v>
      </c>
      <c r="AE23" s="935">
        <v>1258</v>
      </c>
      <c r="AF23" s="935">
        <v>1459</v>
      </c>
      <c r="AH23" s="935">
        <f t="shared" si="0"/>
        <v>956</v>
      </c>
      <c r="AI23" s="935">
        <f t="shared" si="1"/>
        <v>5694</v>
      </c>
      <c r="AJ23" s="935">
        <f t="shared" si="2"/>
        <v>6650</v>
      </c>
      <c r="AK23" s="935">
        <f t="shared" si="3"/>
        <v>1882</v>
      </c>
      <c r="AL23" s="935">
        <f t="shared" si="4"/>
        <v>15160</v>
      </c>
      <c r="AM23" s="935">
        <f t="shared" si="5"/>
        <v>17042</v>
      </c>
      <c r="AN23" s="935">
        <f t="shared" si="6"/>
        <v>532</v>
      </c>
      <c r="AO23" s="935">
        <f t="shared" si="7"/>
        <v>2968</v>
      </c>
      <c r="AP23" s="935">
        <f t="shared" si="8"/>
        <v>3500</v>
      </c>
      <c r="AR23" s="936">
        <f t="shared" si="9"/>
        <v>0.14375939849624061</v>
      </c>
      <c r="AS23" s="936">
        <f t="shared" si="10"/>
        <v>0.11043304776434691</v>
      </c>
      <c r="AT23" s="936">
        <f t="shared" si="11"/>
        <v>0.152</v>
      </c>
      <c r="AV23" s="937">
        <v>6749</v>
      </c>
      <c r="AW23" s="937">
        <v>17996</v>
      </c>
      <c r="AX23" s="937">
        <v>3929</v>
      </c>
      <c r="AZ23" s="937">
        <f t="shared" si="12"/>
        <v>970.23218045112787</v>
      </c>
      <c r="BA23" s="937">
        <f t="shared" si="13"/>
        <v>1987.3531275671871</v>
      </c>
      <c r="BB23" s="937">
        <f t="shared" si="14"/>
        <v>597.20799999999997</v>
      </c>
      <c r="BC23" s="954">
        <f t="shared" si="15"/>
        <v>3554.7933080183152</v>
      </c>
    </row>
    <row r="24" spans="1:55" s="934" customFormat="1" ht="12" customHeight="1" x14ac:dyDescent="0.2">
      <c r="A24" s="934" t="s">
        <v>46</v>
      </c>
      <c r="B24" s="938" t="s">
        <v>464</v>
      </c>
      <c r="C24" s="951">
        <v>695</v>
      </c>
      <c r="D24" s="935">
        <v>886</v>
      </c>
      <c r="E24" s="935">
        <v>1581</v>
      </c>
      <c r="F24" s="935">
        <v>706</v>
      </c>
      <c r="G24" s="935">
        <v>1365</v>
      </c>
      <c r="H24" s="935">
        <v>2071</v>
      </c>
      <c r="I24" s="935">
        <v>508</v>
      </c>
      <c r="J24" s="935">
        <v>1698</v>
      </c>
      <c r="K24" s="935">
        <v>2206</v>
      </c>
      <c r="L24" s="935">
        <v>639</v>
      </c>
      <c r="M24" s="935">
        <v>1332</v>
      </c>
      <c r="N24" s="935">
        <v>1971</v>
      </c>
      <c r="O24" s="935">
        <v>715</v>
      </c>
      <c r="P24" s="935">
        <v>2365</v>
      </c>
      <c r="Q24" s="935">
        <v>3080</v>
      </c>
      <c r="R24" s="935">
        <v>978</v>
      </c>
      <c r="S24" s="935">
        <v>3094</v>
      </c>
      <c r="T24" s="935">
        <v>4072</v>
      </c>
      <c r="U24" s="935">
        <v>1046</v>
      </c>
      <c r="V24" s="935">
        <v>3504</v>
      </c>
      <c r="W24" s="935">
        <v>4550</v>
      </c>
      <c r="X24" s="935">
        <v>720</v>
      </c>
      <c r="Y24" s="935">
        <v>3814</v>
      </c>
      <c r="Z24" s="935">
        <v>4534</v>
      </c>
      <c r="AA24" s="935">
        <v>568</v>
      </c>
      <c r="AB24" s="935">
        <v>2726</v>
      </c>
      <c r="AC24" s="935">
        <v>3294</v>
      </c>
      <c r="AD24" s="935">
        <v>925</v>
      </c>
      <c r="AE24" s="935">
        <v>1548</v>
      </c>
      <c r="AF24" s="935">
        <v>2473</v>
      </c>
      <c r="AH24" s="935">
        <f t="shared" si="0"/>
        <v>1909</v>
      </c>
      <c r="AI24" s="935">
        <f t="shared" si="1"/>
        <v>3949</v>
      </c>
      <c r="AJ24" s="935">
        <f t="shared" si="2"/>
        <v>5858</v>
      </c>
      <c r="AK24" s="935">
        <f t="shared" si="3"/>
        <v>4098</v>
      </c>
      <c r="AL24" s="935">
        <f t="shared" si="4"/>
        <v>14109</v>
      </c>
      <c r="AM24" s="935">
        <f t="shared" si="5"/>
        <v>18207</v>
      </c>
      <c r="AN24" s="935">
        <f t="shared" si="6"/>
        <v>1493</v>
      </c>
      <c r="AO24" s="935">
        <f t="shared" si="7"/>
        <v>4274</v>
      </c>
      <c r="AP24" s="935">
        <f t="shared" si="8"/>
        <v>5767</v>
      </c>
      <c r="AR24" s="936">
        <f t="shared" si="9"/>
        <v>0.32587913963810172</v>
      </c>
      <c r="AS24" s="936">
        <f t="shared" si="10"/>
        <v>0.22507826660075794</v>
      </c>
      <c r="AT24" s="936">
        <f t="shared" si="11"/>
        <v>0.25888676955089301</v>
      </c>
      <c r="AV24" s="937">
        <v>6062</v>
      </c>
      <c r="AW24" s="937">
        <v>18006</v>
      </c>
      <c r="AX24" s="937">
        <v>5913</v>
      </c>
      <c r="AZ24" s="937">
        <f t="shared" si="12"/>
        <v>1975.4793444861727</v>
      </c>
      <c r="BA24" s="937">
        <f t="shared" si="13"/>
        <v>4052.7592684132474</v>
      </c>
      <c r="BB24" s="937">
        <f t="shared" si="14"/>
        <v>1530.7974683544303</v>
      </c>
      <c r="BC24" s="954">
        <f t="shared" si="15"/>
        <v>7559.0360812538511</v>
      </c>
    </row>
    <row r="25" spans="1:55" s="934" customFormat="1" ht="12" customHeight="1" x14ac:dyDescent="0.2">
      <c r="A25" s="934" t="s">
        <v>48</v>
      </c>
      <c r="B25" s="938" t="s">
        <v>465</v>
      </c>
      <c r="C25" s="951">
        <v>26</v>
      </c>
      <c r="D25" s="935">
        <v>324</v>
      </c>
      <c r="E25" s="935">
        <v>350</v>
      </c>
      <c r="F25" s="935">
        <v>85</v>
      </c>
      <c r="G25" s="935">
        <v>332</v>
      </c>
      <c r="H25" s="935">
        <v>417</v>
      </c>
      <c r="I25" s="935">
        <v>83</v>
      </c>
      <c r="J25" s="935">
        <v>489</v>
      </c>
      <c r="K25" s="935">
        <v>572</v>
      </c>
      <c r="L25" s="935">
        <v>52</v>
      </c>
      <c r="M25" s="935">
        <v>484</v>
      </c>
      <c r="N25" s="935">
        <v>536</v>
      </c>
      <c r="O25" s="935">
        <v>95</v>
      </c>
      <c r="P25" s="935">
        <v>528</v>
      </c>
      <c r="Q25" s="935">
        <v>623</v>
      </c>
      <c r="R25" s="935">
        <v>96</v>
      </c>
      <c r="S25" s="935">
        <v>844</v>
      </c>
      <c r="T25" s="935">
        <v>940</v>
      </c>
      <c r="U25" s="935">
        <v>149</v>
      </c>
      <c r="V25" s="935">
        <v>1210</v>
      </c>
      <c r="W25" s="935">
        <v>1359</v>
      </c>
      <c r="X25" s="935">
        <v>89</v>
      </c>
      <c r="Y25" s="935">
        <v>1137</v>
      </c>
      <c r="Z25" s="935">
        <v>1226</v>
      </c>
      <c r="AA25" s="935">
        <v>121</v>
      </c>
      <c r="AB25" s="935">
        <v>583</v>
      </c>
      <c r="AC25" s="935">
        <v>704</v>
      </c>
      <c r="AD25" s="935">
        <v>82</v>
      </c>
      <c r="AE25" s="935">
        <v>389</v>
      </c>
      <c r="AF25" s="935">
        <v>471</v>
      </c>
      <c r="AH25" s="935">
        <f t="shared" si="0"/>
        <v>194</v>
      </c>
      <c r="AI25" s="935">
        <f t="shared" si="1"/>
        <v>1145</v>
      </c>
      <c r="AJ25" s="935">
        <f t="shared" si="2"/>
        <v>1339</v>
      </c>
      <c r="AK25" s="935">
        <f t="shared" si="3"/>
        <v>481</v>
      </c>
      <c r="AL25" s="935">
        <f t="shared" si="4"/>
        <v>4203</v>
      </c>
      <c r="AM25" s="935">
        <f t="shared" si="5"/>
        <v>4684</v>
      </c>
      <c r="AN25" s="935">
        <f t="shared" si="6"/>
        <v>203</v>
      </c>
      <c r="AO25" s="935">
        <f t="shared" si="7"/>
        <v>972</v>
      </c>
      <c r="AP25" s="935">
        <f t="shared" si="8"/>
        <v>1175</v>
      </c>
      <c r="AR25" s="936">
        <f t="shared" si="9"/>
        <v>0.14488424197162061</v>
      </c>
      <c r="AS25" s="936">
        <f t="shared" si="10"/>
        <v>0.10269000853970965</v>
      </c>
      <c r="AT25" s="936">
        <f t="shared" si="11"/>
        <v>0.1727659574468085</v>
      </c>
      <c r="AV25" s="937">
        <v>1248</v>
      </c>
      <c r="AW25" s="937">
        <v>4724</v>
      </c>
      <c r="AX25" s="937">
        <v>1269</v>
      </c>
      <c r="AZ25" s="937">
        <f t="shared" si="12"/>
        <v>180.81553398058253</v>
      </c>
      <c r="BA25" s="937">
        <f t="shared" si="13"/>
        <v>485.10760034158841</v>
      </c>
      <c r="BB25" s="937">
        <f t="shared" si="14"/>
        <v>219.23999999999998</v>
      </c>
      <c r="BC25" s="954">
        <f t="shared" si="15"/>
        <v>885.16313432217089</v>
      </c>
    </row>
    <row r="26" spans="1:55" s="934" customFormat="1" ht="12" customHeight="1" x14ac:dyDescent="0.2">
      <c r="A26" s="934" t="s">
        <v>50</v>
      </c>
      <c r="B26" s="938" t="s">
        <v>466</v>
      </c>
      <c r="C26" s="951">
        <v>304</v>
      </c>
      <c r="D26" s="935">
        <v>571</v>
      </c>
      <c r="E26" s="935">
        <v>875</v>
      </c>
      <c r="F26" s="935">
        <v>337</v>
      </c>
      <c r="G26" s="935">
        <v>762</v>
      </c>
      <c r="H26" s="935">
        <v>1099</v>
      </c>
      <c r="I26" s="935">
        <v>241</v>
      </c>
      <c r="J26" s="935">
        <v>666</v>
      </c>
      <c r="K26" s="935">
        <v>907</v>
      </c>
      <c r="L26" s="935">
        <v>291</v>
      </c>
      <c r="M26" s="935">
        <v>670</v>
      </c>
      <c r="N26" s="935">
        <v>961</v>
      </c>
      <c r="O26" s="935">
        <v>256</v>
      </c>
      <c r="P26" s="935">
        <v>1029</v>
      </c>
      <c r="Q26" s="935">
        <v>1285</v>
      </c>
      <c r="R26" s="935">
        <v>252</v>
      </c>
      <c r="S26" s="935">
        <v>1127</v>
      </c>
      <c r="T26" s="935">
        <v>1379</v>
      </c>
      <c r="U26" s="935">
        <v>263</v>
      </c>
      <c r="V26" s="935">
        <v>1686</v>
      </c>
      <c r="W26" s="935">
        <v>1949</v>
      </c>
      <c r="X26" s="935">
        <v>317</v>
      </c>
      <c r="Y26" s="935">
        <v>1405</v>
      </c>
      <c r="Z26" s="935">
        <v>1722</v>
      </c>
      <c r="AA26" s="935">
        <v>301</v>
      </c>
      <c r="AB26" s="935">
        <v>987</v>
      </c>
      <c r="AC26" s="935">
        <v>1288</v>
      </c>
      <c r="AD26" s="935">
        <v>281</v>
      </c>
      <c r="AE26" s="935">
        <v>698</v>
      </c>
      <c r="AF26" s="935">
        <v>979</v>
      </c>
      <c r="AH26" s="935">
        <f t="shared" si="0"/>
        <v>882</v>
      </c>
      <c r="AI26" s="935">
        <f t="shared" si="1"/>
        <v>1999</v>
      </c>
      <c r="AJ26" s="935">
        <f t="shared" si="2"/>
        <v>2881</v>
      </c>
      <c r="AK26" s="935">
        <f t="shared" si="3"/>
        <v>1379</v>
      </c>
      <c r="AL26" s="935">
        <f t="shared" si="4"/>
        <v>5917</v>
      </c>
      <c r="AM26" s="935">
        <f t="shared" si="5"/>
        <v>7296</v>
      </c>
      <c r="AN26" s="935">
        <f t="shared" si="6"/>
        <v>582</v>
      </c>
      <c r="AO26" s="935">
        <f t="shared" si="7"/>
        <v>1685</v>
      </c>
      <c r="AP26" s="935">
        <f t="shared" si="8"/>
        <v>2267</v>
      </c>
      <c r="AR26" s="936">
        <f t="shared" si="9"/>
        <v>0.3061437001041305</v>
      </c>
      <c r="AS26" s="936">
        <f t="shared" si="10"/>
        <v>0.18900767543859648</v>
      </c>
      <c r="AT26" s="936">
        <f t="shared" si="11"/>
        <v>0.25672695191883549</v>
      </c>
      <c r="AV26" s="937">
        <v>2769</v>
      </c>
      <c r="AW26" s="937">
        <v>7373</v>
      </c>
      <c r="AX26" s="937">
        <v>2363</v>
      </c>
      <c r="AZ26" s="937">
        <f t="shared" si="12"/>
        <v>847.71190558833734</v>
      </c>
      <c r="BA26" s="937">
        <f t="shared" si="13"/>
        <v>1393.5535910087719</v>
      </c>
      <c r="BB26" s="937">
        <f t="shared" si="14"/>
        <v>606.64578738420823</v>
      </c>
      <c r="BC26" s="954">
        <f t="shared" si="15"/>
        <v>2847.9112839813174</v>
      </c>
    </row>
    <row r="27" spans="1:55" s="934" customFormat="1" ht="12" customHeight="1" x14ac:dyDescent="0.2">
      <c r="A27" s="934" t="s">
        <v>56</v>
      </c>
      <c r="B27" s="938" t="s">
        <v>751</v>
      </c>
      <c r="C27" s="951">
        <v>3314</v>
      </c>
      <c r="D27" s="935">
        <v>21849</v>
      </c>
      <c r="E27" s="935">
        <v>25163</v>
      </c>
      <c r="F27" s="935">
        <v>3832</v>
      </c>
      <c r="G27" s="935">
        <v>24770</v>
      </c>
      <c r="H27" s="935">
        <v>28602</v>
      </c>
      <c r="I27" s="935">
        <v>2771</v>
      </c>
      <c r="J27" s="935">
        <v>28098</v>
      </c>
      <c r="K27" s="935">
        <v>30869</v>
      </c>
      <c r="L27" s="935">
        <v>3398</v>
      </c>
      <c r="M27" s="935">
        <v>22536</v>
      </c>
      <c r="N27" s="935">
        <v>25934</v>
      </c>
      <c r="O27" s="935">
        <v>3796</v>
      </c>
      <c r="P27" s="935">
        <v>35491</v>
      </c>
      <c r="Q27" s="935">
        <v>39287</v>
      </c>
      <c r="R27" s="935">
        <v>3149</v>
      </c>
      <c r="S27" s="935">
        <v>45364</v>
      </c>
      <c r="T27" s="935">
        <v>48513</v>
      </c>
      <c r="U27" s="935">
        <v>3108</v>
      </c>
      <c r="V27" s="935">
        <v>49023</v>
      </c>
      <c r="W27" s="935">
        <v>52131</v>
      </c>
      <c r="X27" s="935">
        <v>2298</v>
      </c>
      <c r="Y27" s="935">
        <v>38362</v>
      </c>
      <c r="Z27" s="935">
        <v>40660</v>
      </c>
      <c r="AA27" s="935">
        <v>1014</v>
      </c>
      <c r="AB27" s="935">
        <v>18964</v>
      </c>
      <c r="AC27" s="935">
        <v>19978</v>
      </c>
      <c r="AD27" s="935">
        <v>1579</v>
      </c>
      <c r="AE27" s="935">
        <v>12761</v>
      </c>
      <c r="AF27" s="935">
        <v>14340</v>
      </c>
      <c r="AH27" s="935">
        <f t="shared" si="0"/>
        <v>9917</v>
      </c>
      <c r="AI27" s="935">
        <f t="shared" si="1"/>
        <v>74717</v>
      </c>
      <c r="AJ27" s="935">
        <f t="shared" si="2"/>
        <v>84634</v>
      </c>
      <c r="AK27" s="935">
        <f t="shared" si="3"/>
        <v>15749</v>
      </c>
      <c r="AL27" s="935">
        <f t="shared" si="4"/>
        <v>190776</v>
      </c>
      <c r="AM27" s="935">
        <f t="shared" si="5"/>
        <v>206525</v>
      </c>
      <c r="AN27" s="935">
        <f t="shared" si="6"/>
        <v>2593</v>
      </c>
      <c r="AO27" s="935">
        <f t="shared" si="7"/>
        <v>31725</v>
      </c>
      <c r="AP27" s="935">
        <f t="shared" si="8"/>
        <v>34318</v>
      </c>
      <c r="AR27" s="936">
        <f t="shared" si="9"/>
        <v>0.11717513056218541</v>
      </c>
      <c r="AS27" s="936">
        <f t="shared" si="10"/>
        <v>7.6257111729814794E-2</v>
      </c>
      <c r="AT27" s="936">
        <f t="shared" si="11"/>
        <v>7.5558016201410338E-2</v>
      </c>
      <c r="AV27" s="937">
        <v>81628</v>
      </c>
      <c r="AW27" s="937">
        <v>203652</v>
      </c>
      <c r="AX27" s="937">
        <v>34997</v>
      </c>
      <c r="AZ27" s="937">
        <f t="shared" si="12"/>
        <v>9564.7715575300699</v>
      </c>
      <c r="BA27" s="937">
        <f t="shared" si="13"/>
        <v>15529.913318000243</v>
      </c>
      <c r="BB27" s="937">
        <f t="shared" si="14"/>
        <v>2644.3038930007574</v>
      </c>
      <c r="BC27" s="954">
        <f t="shared" si="15"/>
        <v>27738.988768531071</v>
      </c>
    </row>
    <row r="28" spans="1:55" s="934" customFormat="1" ht="12" customHeight="1" x14ac:dyDescent="0.2">
      <c r="A28" s="934" t="s">
        <v>58</v>
      </c>
      <c r="B28" s="938" t="s">
        <v>467</v>
      </c>
      <c r="C28" s="951">
        <v>130</v>
      </c>
      <c r="D28" s="935">
        <v>683</v>
      </c>
      <c r="E28" s="935">
        <v>813</v>
      </c>
      <c r="F28" s="935">
        <v>70</v>
      </c>
      <c r="G28" s="935">
        <v>1072</v>
      </c>
      <c r="H28" s="935">
        <v>1142</v>
      </c>
      <c r="I28" s="935">
        <v>53</v>
      </c>
      <c r="J28" s="935">
        <v>1155</v>
      </c>
      <c r="K28" s="935">
        <v>1208</v>
      </c>
      <c r="L28" s="935">
        <v>143</v>
      </c>
      <c r="M28" s="935">
        <v>622</v>
      </c>
      <c r="N28" s="935">
        <v>765</v>
      </c>
      <c r="O28" s="935">
        <v>143</v>
      </c>
      <c r="P28" s="935">
        <v>1057</v>
      </c>
      <c r="Q28" s="935">
        <v>1200</v>
      </c>
      <c r="R28" s="935">
        <v>147</v>
      </c>
      <c r="S28" s="935">
        <v>1810</v>
      </c>
      <c r="T28" s="935">
        <v>1957</v>
      </c>
      <c r="U28" s="935">
        <v>167</v>
      </c>
      <c r="V28" s="935">
        <v>2288</v>
      </c>
      <c r="W28" s="935">
        <v>2455</v>
      </c>
      <c r="X28" s="935">
        <v>163</v>
      </c>
      <c r="Y28" s="935">
        <v>1919</v>
      </c>
      <c r="Z28" s="935">
        <v>2082</v>
      </c>
      <c r="AA28" s="935">
        <v>47</v>
      </c>
      <c r="AB28" s="935">
        <v>1109</v>
      </c>
      <c r="AC28" s="935">
        <v>1156</v>
      </c>
      <c r="AD28" s="935">
        <v>104</v>
      </c>
      <c r="AE28" s="935">
        <v>861</v>
      </c>
      <c r="AF28" s="935">
        <v>965</v>
      </c>
      <c r="AH28" s="935">
        <f t="shared" si="0"/>
        <v>253</v>
      </c>
      <c r="AI28" s="935">
        <f t="shared" si="1"/>
        <v>2910</v>
      </c>
      <c r="AJ28" s="935">
        <f t="shared" si="2"/>
        <v>3163</v>
      </c>
      <c r="AK28" s="935">
        <f t="shared" si="3"/>
        <v>763</v>
      </c>
      <c r="AL28" s="935">
        <f t="shared" si="4"/>
        <v>7696</v>
      </c>
      <c r="AM28" s="935">
        <f t="shared" si="5"/>
        <v>8459</v>
      </c>
      <c r="AN28" s="935">
        <f t="shared" si="6"/>
        <v>151</v>
      </c>
      <c r="AO28" s="935">
        <f t="shared" si="7"/>
        <v>1970</v>
      </c>
      <c r="AP28" s="935">
        <f t="shared" si="8"/>
        <v>2121</v>
      </c>
      <c r="AR28" s="936">
        <f t="shared" si="9"/>
        <v>7.9987353778058809E-2</v>
      </c>
      <c r="AS28" s="936">
        <f t="shared" si="10"/>
        <v>9.0199787208889937E-2</v>
      </c>
      <c r="AT28" s="936">
        <f t="shared" si="11"/>
        <v>7.119283356907119E-2</v>
      </c>
      <c r="AV28" s="937">
        <v>3169</v>
      </c>
      <c r="AW28" s="937">
        <v>8724</v>
      </c>
      <c r="AX28" s="937">
        <v>2365</v>
      </c>
      <c r="AZ28" s="937">
        <f t="shared" si="12"/>
        <v>253.47992412266836</v>
      </c>
      <c r="BA28" s="937">
        <f t="shared" si="13"/>
        <v>786.90294361035581</v>
      </c>
      <c r="BB28" s="937">
        <f t="shared" si="14"/>
        <v>168.37105139085335</v>
      </c>
      <c r="BC28" s="954">
        <f t="shared" si="15"/>
        <v>1208.7539191238775</v>
      </c>
    </row>
    <row r="29" spans="1:55" s="934" customFormat="1" ht="12" customHeight="1" x14ac:dyDescent="0.2">
      <c r="A29" s="934" t="s">
        <v>60</v>
      </c>
      <c r="B29" s="938" t="s">
        <v>468</v>
      </c>
      <c r="C29" s="951">
        <v>67</v>
      </c>
      <c r="D29" s="935">
        <v>322</v>
      </c>
      <c r="E29" s="935">
        <v>389</v>
      </c>
      <c r="F29" s="935">
        <v>52</v>
      </c>
      <c r="G29" s="935">
        <v>370</v>
      </c>
      <c r="H29" s="935">
        <v>422</v>
      </c>
      <c r="I29" s="935">
        <v>17</v>
      </c>
      <c r="J29" s="935">
        <v>311</v>
      </c>
      <c r="K29" s="935">
        <v>328</v>
      </c>
      <c r="L29" s="935">
        <v>25</v>
      </c>
      <c r="M29" s="935">
        <v>302</v>
      </c>
      <c r="N29" s="935">
        <v>327</v>
      </c>
      <c r="O29" s="935">
        <v>50</v>
      </c>
      <c r="P29" s="935">
        <v>445</v>
      </c>
      <c r="Q29" s="935">
        <v>495</v>
      </c>
      <c r="R29" s="935">
        <v>20</v>
      </c>
      <c r="S29" s="935">
        <v>759</v>
      </c>
      <c r="T29" s="935">
        <v>779</v>
      </c>
      <c r="U29" s="935">
        <v>12</v>
      </c>
      <c r="V29" s="935">
        <v>837</v>
      </c>
      <c r="W29" s="935">
        <v>849</v>
      </c>
      <c r="X29" s="935">
        <v>16</v>
      </c>
      <c r="Y29" s="935">
        <v>771</v>
      </c>
      <c r="Z29" s="935">
        <v>787</v>
      </c>
      <c r="AA29" s="935">
        <v>54</v>
      </c>
      <c r="AB29" s="935">
        <v>373</v>
      </c>
      <c r="AC29" s="935">
        <v>427</v>
      </c>
      <c r="AD29" s="935">
        <v>60</v>
      </c>
      <c r="AE29" s="935">
        <v>257</v>
      </c>
      <c r="AF29" s="935">
        <v>317</v>
      </c>
      <c r="AH29" s="935">
        <f t="shared" si="0"/>
        <v>136</v>
      </c>
      <c r="AI29" s="935">
        <f t="shared" si="1"/>
        <v>1003</v>
      </c>
      <c r="AJ29" s="935">
        <f t="shared" si="2"/>
        <v>1139</v>
      </c>
      <c r="AK29" s="935">
        <f t="shared" si="3"/>
        <v>123</v>
      </c>
      <c r="AL29" s="935">
        <f t="shared" si="4"/>
        <v>3114</v>
      </c>
      <c r="AM29" s="935">
        <f t="shared" si="5"/>
        <v>3237</v>
      </c>
      <c r="AN29" s="935">
        <f t="shared" si="6"/>
        <v>114</v>
      </c>
      <c r="AO29" s="935">
        <f t="shared" si="7"/>
        <v>630</v>
      </c>
      <c r="AP29" s="935">
        <f t="shared" si="8"/>
        <v>744</v>
      </c>
      <c r="AR29" s="936">
        <f t="shared" si="9"/>
        <v>0.11940298507462686</v>
      </c>
      <c r="AS29" s="936">
        <f t="shared" si="10"/>
        <v>3.7998146431881374E-2</v>
      </c>
      <c r="AT29" s="936">
        <f t="shared" si="11"/>
        <v>0.15322580645161291</v>
      </c>
      <c r="AV29" s="937">
        <v>1096</v>
      </c>
      <c r="AW29" s="937">
        <v>3155</v>
      </c>
      <c r="AX29" s="937">
        <v>848</v>
      </c>
      <c r="AZ29" s="937">
        <f t="shared" si="12"/>
        <v>130.86567164179104</v>
      </c>
      <c r="BA29" s="937">
        <f t="shared" si="13"/>
        <v>119.88415199258574</v>
      </c>
      <c r="BB29" s="937">
        <f t="shared" si="14"/>
        <v>129.93548387096774</v>
      </c>
      <c r="BC29" s="954">
        <f t="shared" si="15"/>
        <v>380.68530750534455</v>
      </c>
    </row>
    <row r="30" spans="1:55" s="934" customFormat="1" ht="12" customHeight="1" x14ac:dyDescent="0.2">
      <c r="A30" s="934" t="s">
        <v>62</v>
      </c>
      <c r="B30" s="938" t="s">
        <v>469</v>
      </c>
      <c r="C30" s="951">
        <v>613</v>
      </c>
      <c r="D30" s="935">
        <v>3390</v>
      </c>
      <c r="E30" s="935">
        <v>4003</v>
      </c>
      <c r="F30" s="935">
        <v>589</v>
      </c>
      <c r="G30" s="935">
        <v>3432</v>
      </c>
      <c r="H30" s="935">
        <v>4021</v>
      </c>
      <c r="I30" s="935">
        <v>353</v>
      </c>
      <c r="J30" s="935">
        <v>3181</v>
      </c>
      <c r="K30" s="935">
        <v>3534</v>
      </c>
      <c r="L30" s="935">
        <v>571</v>
      </c>
      <c r="M30" s="935">
        <v>2859</v>
      </c>
      <c r="N30" s="935">
        <v>3430</v>
      </c>
      <c r="O30" s="935">
        <v>746</v>
      </c>
      <c r="P30" s="935">
        <v>4944</v>
      </c>
      <c r="Q30" s="935">
        <v>5690</v>
      </c>
      <c r="R30" s="935">
        <v>551</v>
      </c>
      <c r="S30" s="935">
        <v>6251</v>
      </c>
      <c r="T30" s="935">
        <v>6802</v>
      </c>
      <c r="U30" s="935">
        <v>465</v>
      </c>
      <c r="V30" s="935">
        <v>6081</v>
      </c>
      <c r="W30" s="935">
        <v>6546</v>
      </c>
      <c r="X30" s="935">
        <v>436</v>
      </c>
      <c r="Y30" s="935">
        <v>4968</v>
      </c>
      <c r="Z30" s="935">
        <v>5404</v>
      </c>
      <c r="AA30" s="935">
        <v>243</v>
      </c>
      <c r="AB30" s="935">
        <v>2893</v>
      </c>
      <c r="AC30" s="935">
        <v>3136</v>
      </c>
      <c r="AD30" s="935">
        <v>294</v>
      </c>
      <c r="AE30" s="935">
        <v>1797</v>
      </c>
      <c r="AF30" s="935">
        <v>2091</v>
      </c>
      <c r="AH30" s="935">
        <f t="shared" si="0"/>
        <v>1555</v>
      </c>
      <c r="AI30" s="935">
        <f t="shared" si="1"/>
        <v>10003</v>
      </c>
      <c r="AJ30" s="935">
        <f t="shared" si="2"/>
        <v>11558</v>
      </c>
      <c r="AK30" s="935">
        <f t="shared" si="3"/>
        <v>2769</v>
      </c>
      <c r="AL30" s="935">
        <f t="shared" si="4"/>
        <v>25103</v>
      </c>
      <c r="AM30" s="935">
        <f t="shared" si="5"/>
        <v>27872</v>
      </c>
      <c r="AN30" s="935">
        <f t="shared" si="6"/>
        <v>537</v>
      </c>
      <c r="AO30" s="935">
        <f t="shared" si="7"/>
        <v>4690</v>
      </c>
      <c r="AP30" s="935">
        <f t="shared" si="8"/>
        <v>5227</v>
      </c>
      <c r="AR30" s="936">
        <f t="shared" si="9"/>
        <v>0.13453884755147949</v>
      </c>
      <c r="AS30" s="936">
        <f t="shared" si="10"/>
        <v>9.9347014925373137E-2</v>
      </c>
      <c r="AT30" s="936">
        <f t="shared" si="11"/>
        <v>0.10273579491103883</v>
      </c>
      <c r="AV30" s="937">
        <v>12053</v>
      </c>
      <c r="AW30" s="937">
        <v>29424</v>
      </c>
      <c r="AX30" s="937">
        <v>5999</v>
      </c>
      <c r="AZ30" s="937">
        <f t="shared" si="12"/>
        <v>1621.5967295379824</v>
      </c>
      <c r="BA30" s="937">
        <f t="shared" si="13"/>
        <v>2923.186567164179</v>
      </c>
      <c r="BB30" s="937">
        <f t="shared" si="14"/>
        <v>616.31203367132196</v>
      </c>
      <c r="BC30" s="954">
        <f t="shared" si="15"/>
        <v>5161.0953303734832</v>
      </c>
    </row>
    <row r="31" spans="1:55" s="934" customFormat="1" ht="12" customHeight="1" x14ac:dyDescent="0.2">
      <c r="A31" s="934" t="s">
        <v>64</v>
      </c>
      <c r="B31" s="938" t="s">
        <v>470</v>
      </c>
      <c r="C31" s="951">
        <v>311</v>
      </c>
      <c r="D31" s="935">
        <v>413</v>
      </c>
      <c r="E31" s="935">
        <v>724</v>
      </c>
      <c r="F31" s="935">
        <v>110</v>
      </c>
      <c r="G31" s="935">
        <v>612</v>
      </c>
      <c r="H31" s="935">
        <v>722</v>
      </c>
      <c r="I31" s="935">
        <v>317</v>
      </c>
      <c r="J31" s="935">
        <v>517</v>
      </c>
      <c r="K31" s="935">
        <v>834</v>
      </c>
      <c r="L31" s="935">
        <v>320</v>
      </c>
      <c r="M31" s="935">
        <v>582</v>
      </c>
      <c r="N31" s="935">
        <v>902</v>
      </c>
      <c r="O31" s="935">
        <v>177</v>
      </c>
      <c r="P31" s="935">
        <v>839</v>
      </c>
      <c r="Q31" s="935">
        <v>1016</v>
      </c>
      <c r="R31" s="935">
        <v>280</v>
      </c>
      <c r="S31" s="935">
        <v>1101</v>
      </c>
      <c r="T31" s="935">
        <v>1381</v>
      </c>
      <c r="U31" s="935">
        <v>215</v>
      </c>
      <c r="V31" s="935">
        <v>1163</v>
      </c>
      <c r="W31" s="935">
        <v>1378</v>
      </c>
      <c r="X31" s="935">
        <v>209</v>
      </c>
      <c r="Y31" s="935">
        <v>1191</v>
      </c>
      <c r="Z31" s="935">
        <v>1400</v>
      </c>
      <c r="AA31" s="935">
        <v>168</v>
      </c>
      <c r="AB31" s="935">
        <v>737</v>
      </c>
      <c r="AC31" s="935">
        <v>905</v>
      </c>
      <c r="AD31" s="935">
        <v>177</v>
      </c>
      <c r="AE31" s="935">
        <v>458</v>
      </c>
      <c r="AF31" s="935">
        <v>635</v>
      </c>
      <c r="AH31" s="935">
        <f t="shared" si="0"/>
        <v>738</v>
      </c>
      <c r="AI31" s="935">
        <f t="shared" si="1"/>
        <v>1542</v>
      </c>
      <c r="AJ31" s="935">
        <f t="shared" si="2"/>
        <v>2280</v>
      </c>
      <c r="AK31" s="935">
        <f t="shared" si="3"/>
        <v>1201</v>
      </c>
      <c r="AL31" s="935">
        <f t="shared" si="4"/>
        <v>4876</v>
      </c>
      <c r="AM31" s="935">
        <f t="shared" si="5"/>
        <v>6077</v>
      </c>
      <c r="AN31" s="935">
        <f t="shared" si="6"/>
        <v>345</v>
      </c>
      <c r="AO31" s="935">
        <f t="shared" si="7"/>
        <v>1195</v>
      </c>
      <c r="AP31" s="935">
        <f t="shared" si="8"/>
        <v>1540</v>
      </c>
      <c r="AR31" s="936">
        <f t="shared" si="9"/>
        <v>0.3236842105263158</v>
      </c>
      <c r="AS31" s="936">
        <f t="shared" si="10"/>
        <v>0.19763040974164883</v>
      </c>
      <c r="AT31" s="936">
        <f t="shared" si="11"/>
        <v>0.22402597402597402</v>
      </c>
      <c r="AV31" s="937">
        <v>2228</v>
      </c>
      <c r="AW31" s="937">
        <v>6071</v>
      </c>
      <c r="AX31" s="937">
        <v>1670</v>
      </c>
      <c r="AZ31" s="937">
        <f t="shared" si="12"/>
        <v>721.16842105263163</v>
      </c>
      <c r="BA31" s="937">
        <f t="shared" si="13"/>
        <v>1199.8142175415501</v>
      </c>
      <c r="BB31" s="937">
        <f t="shared" si="14"/>
        <v>374.1233766233766</v>
      </c>
      <c r="BC31" s="954">
        <f t="shared" si="15"/>
        <v>2295.1060152175583</v>
      </c>
    </row>
    <row r="32" spans="1:55" s="934" customFormat="1" ht="12" customHeight="1" x14ac:dyDescent="0.2">
      <c r="A32" s="934" t="s">
        <v>68</v>
      </c>
      <c r="B32" s="938" t="s">
        <v>471</v>
      </c>
      <c r="C32" s="951">
        <v>360</v>
      </c>
      <c r="D32" s="935">
        <v>693</v>
      </c>
      <c r="E32" s="935">
        <v>1053</v>
      </c>
      <c r="F32" s="935">
        <v>428</v>
      </c>
      <c r="G32" s="935">
        <v>554</v>
      </c>
      <c r="H32" s="935">
        <v>982</v>
      </c>
      <c r="I32" s="935">
        <v>514</v>
      </c>
      <c r="J32" s="935">
        <v>790</v>
      </c>
      <c r="K32" s="935">
        <v>1304</v>
      </c>
      <c r="L32" s="935">
        <v>431</v>
      </c>
      <c r="M32" s="935">
        <v>721</v>
      </c>
      <c r="N32" s="935">
        <v>1152</v>
      </c>
      <c r="O32" s="935">
        <v>408</v>
      </c>
      <c r="P32" s="935">
        <v>1440</v>
      </c>
      <c r="Q32" s="935">
        <v>1848</v>
      </c>
      <c r="R32" s="935">
        <v>809</v>
      </c>
      <c r="S32" s="935">
        <v>1222</v>
      </c>
      <c r="T32" s="935">
        <v>2031</v>
      </c>
      <c r="U32" s="935">
        <v>550</v>
      </c>
      <c r="V32" s="935">
        <v>1993</v>
      </c>
      <c r="W32" s="935">
        <v>2543</v>
      </c>
      <c r="X32" s="935">
        <v>443</v>
      </c>
      <c r="Y32" s="935">
        <v>1857</v>
      </c>
      <c r="Z32" s="935">
        <v>2300</v>
      </c>
      <c r="AA32" s="935">
        <v>379</v>
      </c>
      <c r="AB32" s="935">
        <v>1162</v>
      </c>
      <c r="AC32" s="935">
        <v>1541</v>
      </c>
      <c r="AD32" s="935">
        <v>236</v>
      </c>
      <c r="AE32" s="935">
        <v>822</v>
      </c>
      <c r="AF32" s="935">
        <v>1058</v>
      </c>
      <c r="AH32" s="935">
        <f t="shared" si="0"/>
        <v>1302</v>
      </c>
      <c r="AI32" s="935">
        <f t="shared" si="1"/>
        <v>2037</v>
      </c>
      <c r="AJ32" s="935">
        <f t="shared" si="2"/>
        <v>3339</v>
      </c>
      <c r="AK32" s="935">
        <f t="shared" si="3"/>
        <v>2641</v>
      </c>
      <c r="AL32" s="935">
        <f t="shared" si="4"/>
        <v>7233</v>
      </c>
      <c r="AM32" s="935">
        <f t="shared" si="5"/>
        <v>9874</v>
      </c>
      <c r="AN32" s="935">
        <f t="shared" si="6"/>
        <v>615</v>
      </c>
      <c r="AO32" s="935">
        <f t="shared" si="7"/>
        <v>1984</v>
      </c>
      <c r="AP32" s="935">
        <f t="shared" si="8"/>
        <v>2599</v>
      </c>
      <c r="AR32" s="936">
        <f t="shared" si="9"/>
        <v>0.38993710691823902</v>
      </c>
      <c r="AS32" s="936">
        <f t="shared" si="10"/>
        <v>0.26747012355681588</v>
      </c>
      <c r="AT32" s="936">
        <f t="shared" si="11"/>
        <v>0.23662947287418237</v>
      </c>
      <c r="AV32" s="937">
        <v>3221</v>
      </c>
      <c r="AW32" s="937">
        <v>9831</v>
      </c>
      <c r="AX32" s="937">
        <v>2689</v>
      </c>
      <c r="AZ32" s="937">
        <f t="shared" si="12"/>
        <v>1255.9874213836479</v>
      </c>
      <c r="BA32" s="937">
        <f t="shared" si="13"/>
        <v>2629.4987846870567</v>
      </c>
      <c r="BB32" s="937">
        <f t="shared" si="14"/>
        <v>636.29665255867644</v>
      </c>
      <c r="BC32" s="954">
        <f t="shared" si="15"/>
        <v>4521.7828586293808</v>
      </c>
    </row>
    <row r="33" spans="1:55" s="934" customFormat="1" ht="12" customHeight="1" x14ac:dyDescent="0.2">
      <c r="A33" s="934" t="s">
        <v>70</v>
      </c>
      <c r="B33" s="938" t="s">
        <v>472</v>
      </c>
      <c r="C33" s="951">
        <v>416</v>
      </c>
      <c r="D33" s="935">
        <v>1502</v>
      </c>
      <c r="E33" s="935">
        <v>1918</v>
      </c>
      <c r="F33" s="935">
        <v>205</v>
      </c>
      <c r="G33" s="935">
        <v>1686</v>
      </c>
      <c r="H33" s="935">
        <v>1891</v>
      </c>
      <c r="I33" s="935">
        <v>464</v>
      </c>
      <c r="J33" s="935">
        <v>1947</v>
      </c>
      <c r="K33" s="935">
        <v>2411</v>
      </c>
      <c r="L33" s="935">
        <v>367</v>
      </c>
      <c r="M33" s="935">
        <v>2150</v>
      </c>
      <c r="N33" s="935">
        <v>2517</v>
      </c>
      <c r="O33" s="935">
        <v>300</v>
      </c>
      <c r="P33" s="935">
        <v>2386</v>
      </c>
      <c r="Q33" s="935">
        <v>2686</v>
      </c>
      <c r="R33" s="935">
        <v>489</v>
      </c>
      <c r="S33" s="935">
        <v>3512</v>
      </c>
      <c r="T33" s="935">
        <v>4001</v>
      </c>
      <c r="U33" s="935">
        <v>754</v>
      </c>
      <c r="V33" s="935">
        <v>3861</v>
      </c>
      <c r="W33" s="935">
        <v>4615</v>
      </c>
      <c r="X33" s="935">
        <v>650</v>
      </c>
      <c r="Y33" s="935">
        <v>2849</v>
      </c>
      <c r="Z33" s="935">
        <v>3499</v>
      </c>
      <c r="AA33" s="935">
        <v>358</v>
      </c>
      <c r="AB33" s="935">
        <v>1902</v>
      </c>
      <c r="AC33" s="935">
        <v>2260</v>
      </c>
      <c r="AD33" s="935">
        <v>298</v>
      </c>
      <c r="AE33" s="935">
        <v>1110</v>
      </c>
      <c r="AF33" s="935">
        <v>1408</v>
      </c>
      <c r="AH33" s="935">
        <f t="shared" si="0"/>
        <v>1085</v>
      </c>
      <c r="AI33" s="935">
        <f t="shared" si="1"/>
        <v>5135</v>
      </c>
      <c r="AJ33" s="935">
        <f t="shared" si="2"/>
        <v>6220</v>
      </c>
      <c r="AK33" s="935">
        <f t="shared" si="3"/>
        <v>2560</v>
      </c>
      <c r="AL33" s="935">
        <f t="shared" si="4"/>
        <v>14758</v>
      </c>
      <c r="AM33" s="935">
        <f t="shared" si="5"/>
        <v>17318</v>
      </c>
      <c r="AN33" s="935">
        <f t="shared" si="6"/>
        <v>656</v>
      </c>
      <c r="AO33" s="935">
        <f t="shared" si="7"/>
        <v>3012</v>
      </c>
      <c r="AP33" s="935">
        <f t="shared" si="8"/>
        <v>3668</v>
      </c>
      <c r="AR33" s="936">
        <f t="shared" si="9"/>
        <v>0.17443729903536978</v>
      </c>
      <c r="AS33" s="936">
        <f t="shared" si="10"/>
        <v>0.14782307425799746</v>
      </c>
      <c r="AT33" s="936">
        <f t="shared" si="11"/>
        <v>0.17884405670665213</v>
      </c>
      <c r="AV33" s="937">
        <v>6118</v>
      </c>
      <c r="AW33" s="937">
        <v>17870</v>
      </c>
      <c r="AX33" s="937">
        <v>3930</v>
      </c>
      <c r="AZ33" s="937">
        <f t="shared" si="12"/>
        <v>1067.2073954983923</v>
      </c>
      <c r="BA33" s="937">
        <f t="shared" si="13"/>
        <v>2641.5983369904147</v>
      </c>
      <c r="BB33" s="937">
        <f t="shared" si="14"/>
        <v>702.85714285714289</v>
      </c>
      <c r="BC33" s="954">
        <f t="shared" si="15"/>
        <v>4411.6628753459499</v>
      </c>
    </row>
    <row r="34" spans="1:55" s="934" customFormat="1" ht="12" customHeight="1" x14ac:dyDescent="0.2">
      <c r="A34" s="934" t="s">
        <v>72</v>
      </c>
      <c r="B34" s="938" t="s">
        <v>473</v>
      </c>
      <c r="C34" s="951">
        <v>185</v>
      </c>
      <c r="D34" s="935">
        <v>490</v>
      </c>
      <c r="E34" s="935">
        <v>675</v>
      </c>
      <c r="F34" s="935">
        <v>203</v>
      </c>
      <c r="G34" s="935">
        <v>533</v>
      </c>
      <c r="H34" s="935">
        <v>736</v>
      </c>
      <c r="I34" s="935">
        <v>196</v>
      </c>
      <c r="J34" s="935">
        <v>710</v>
      </c>
      <c r="K34" s="935">
        <v>906</v>
      </c>
      <c r="L34" s="935">
        <v>170</v>
      </c>
      <c r="M34" s="935">
        <v>944</v>
      </c>
      <c r="N34" s="935">
        <v>1114</v>
      </c>
      <c r="O34" s="935">
        <v>92</v>
      </c>
      <c r="P34" s="935">
        <v>695</v>
      </c>
      <c r="Q34" s="935">
        <v>787</v>
      </c>
      <c r="R34" s="935">
        <v>188</v>
      </c>
      <c r="S34" s="935">
        <v>1346</v>
      </c>
      <c r="T34" s="935">
        <v>1534</v>
      </c>
      <c r="U34" s="935">
        <v>289</v>
      </c>
      <c r="V34" s="935">
        <v>1379</v>
      </c>
      <c r="W34" s="935">
        <v>1668</v>
      </c>
      <c r="X34" s="935">
        <v>138</v>
      </c>
      <c r="Y34" s="935">
        <v>1500</v>
      </c>
      <c r="Z34" s="935">
        <v>1638</v>
      </c>
      <c r="AA34" s="935">
        <v>113</v>
      </c>
      <c r="AB34" s="935">
        <v>856</v>
      </c>
      <c r="AC34" s="935">
        <v>969</v>
      </c>
      <c r="AD34" s="935">
        <v>209</v>
      </c>
      <c r="AE34" s="935">
        <v>630</v>
      </c>
      <c r="AF34" s="935">
        <v>839</v>
      </c>
      <c r="AH34" s="935">
        <f t="shared" si="0"/>
        <v>584</v>
      </c>
      <c r="AI34" s="935">
        <f t="shared" si="1"/>
        <v>1733</v>
      </c>
      <c r="AJ34" s="935">
        <f t="shared" si="2"/>
        <v>2317</v>
      </c>
      <c r="AK34" s="935">
        <f t="shared" si="3"/>
        <v>877</v>
      </c>
      <c r="AL34" s="935">
        <f t="shared" si="4"/>
        <v>5864</v>
      </c>
      <c r="AM34" s="935">
        <f t="shared" si="5"/>
        <v>6741</v>
      </c>
      <c r="AN34" s="935">
        <f t="shared" si="6"/>
        <v>322</v>
      </c>
      <c r="AO34" s="935">
        <f t="shared" si="7"/>
        <v>1486</v>
      </c>
      <c r="AP34" s="935">
        <f t="shared" si="8"/>
        <v>1808</v>
      </c>
      <c r="AR34" s="936">
        <f t="shared" si="9"/>
        <v>0.25205006473888647</v>
      </c>
      <c r="AS34" s="936">
        <f t="shared" si="10"/>
        <v>0.13009939178163477</v>
      </c>
      <c r="AT34" s="936">
        <f t="shared" si="11"/>
        <v>0.17809734513274336</v>
      </c>
      <c r="AV34" s="937">
        <v>2425</v>
      </c>
      <c r="AW34" s="937">
        <v>6788</v>
      </c>
      <c r="AX34" s="937">
        <v>1992</v>
      </c>
      <c r="AZ34" s="937">
        <f t="shared" si="12"/>
        <v>611.22140699179965</v>
      </c>
      <c r="BA34" s="937">
        <f t="shared" si="13"/>
        <v>883.1146714137368</v>
      </c>
      <c r="BB34" s="937">
        <f t="shared" si="14"/>
        <v>354.76991150442478</v>
      </c>
      <c r="BC34" s="954">
        <f t="shared" si="15"/>
        <v>1849.1059899099612</v>
      </c>
    </row>
    <row r="35" spans="1:55" s="934" customFormat="1" ht="12" customHeight="1" x14ac:dyDescent="0.2">
      <c r="A35" s="934" t="s">
        <v>74</v>
      </c>
      <c r="B35" s="938" t="s">
        <v>609</v>
      </c>
      <c r="C35" s="951">
        <v>9986</v>
      </c>
      <c r="D35" s="935">
        <v>78477</v>
      </c>
      <c r="E35" s="935">
        <v>88463</v>
      </c>
      <c r="F35" s="935">
        <v>7915</v>
      </c>
      <c r="G35" s="935">
        <v>78060</v>
      </c>
      <c r="H35" s="935">
        <v>85975</v>
      </c>
      <c r="I35" s="935">
        <v>7605</v>
      </c>
      <c r="J35" s="935">
        <v>81545</v>
      </c>
      <c r="K35" s="935">
        <v>89150</v>
      </c>
      <c r="L35" s="935">
        <v>13327</v>
      </c>
      <c r="M35" s="935">
        <v>69350</v>
      </c>
      <c r="N35" s="935">
        <v>82677</v>
      </c>
      <c r="O35" s="935">
        <v>11917</v>
      </c>
      <c r="P35" s="935">
        <v>146593</v>
      </c>
      <c r="Q35" s="935">
        <v>158510</v>
      </c>
      <c r="R35" s="935">
        <v>10812</v>
      </c>
      <c r="S35" s="935">
        <v>158721</v>
      </c>
      <c r="T35" s="935">
        <v>169533</v>
      </c>
      <c r="U35" s="935">
        <v>9306</v>
      </c>
      <c r="V35" s="935">
        <v>168097</v>
      </c>
      <c r="W35" s="935">
        <v>177403</v>
      </c>
      <c r="X35" s="935">
        <v>4785</v>
      </c>
      <c r="Y35" s="935">
        <v>127613</v>
      </c>
      <c r="Z35" s="935">
        <v>132398</v>
      </c>
      <c r="AA35" s="935">
        <v>3003</v>
      </c>
      <c r="AB35" s="935">
        <v>59049</v>
      </c>
      <c r="AC35" s="935">
        <v>62052</v>
      </c>
      <c r="AD35" s="935">
        <v>3658</v>
      </c>
      <c r="AE35" s="935">
        <v>39690</v>
      </c>
      <c r="AF35" s="935">
        <v>43348</v>
      </c>
      <c r="AH35" s="935">
        <f t="shared" si="0"/>
        <v>25506</v>
      </c>
      <c r="AI35" s="935">
        <f t="shared" si="1"/>
        <v>238082</v>
      </c>
      <c r="AJ35" s="935">
        <f t="shared" si="2"/>
        <v>263588</v>
      </c>
      <c r="AK35" s="935">
        <f t="shared" si="3"/>
        <v>50147</v>
      </c>
      <c r="AL35" s="935">
        <f t="shared" si="4"/>
        <v>670374</v>
      </c>
      <c r="AM35" s="935">
        <f t="shared" si="5"/>
        <v>720521</v>
      </c>
      <c r="AN35" s="935">
        <f t="shared" si="6"/>
        <v>6661</v>
      </c>
      <c r="AO35" s="935">
        <f t="shared" si="7"/>
        <v>98739</v>
      </c>
      <c r="AP35" s="935">
        <f t="shared" si="8"/>
        <v>105400</v>
      </c>
      <c r="AR35" s="936">
        <f t="shared" si="9"/>
        <v>9.6764647859538366E-2</v>
      </c>
      <c r="AS35" s="936">
        <f t="shared" si="10"/>
        <v>6.9598249044788424E-2</v>
      </c>
      <c r="AT35" s="936">
        <f t="shared" si="11"/>
        <v>6.3197343453510441E-2</v>
      </c>
      <c r="AV35" s="937">
        <v>265215</v>
      </c>
      <c r="AW35" s="937">
        <v>723287</v>
      </c>
      <c r="AX35" s="937">
        <v>112190</v>
      </c>
      <c r="AZ35" s="937">
        <f t="shared" si="12"/>
        <v>25663.436082067466</v>
      </c>
      <c r="BA35" s="937">
        <f t="shared" si="13"/>
        <v>50339.508756857882</v>
      </c>
      <c r="BB35" s="937">
        <f t="shared" si="14"/>
        <v>7090.109962049336</v>
      </c>
      <c r="BC35" s="954">
        <f t="shared" si="15"/>
        <v>83093.054800974685</v>
      </c>
    </row>
    <row r="36" spans="1:55" s="934" customFormat="1" ht="12" customHeight="1" x14ac:dyDescent="0.2">
      <c r="A36" s="934" t="s">
        <v>76</v>
      </c>
      <c r="B36" s="938" t="s">
        <v>474</v>
      </c>
      <c r="C36" s="951">
        <v>452</v>
      </c>
      <c r="D36" s="935">
        <v>4389</v>
      </c>
      <c r="E36" s="935">
        <v>4841</v>
      </c>
      <c r="F36" s="935">
        <v>757</v>
      </c>
      <c r="G36" s="935">
        <v>4893</v>
      </c>
      <c r="H36" s="935">
        <v>5650</v>
      </c>
      <c r="I36" s="935">
        <v>427</v>
      </c>
      <c r="J36" s="935">
        <v>5465</v>
      </c>
      <c r="K36" s="935">
        <v>5892</v>
      </c>
      <c r="L36" s="935">
        <v>468</v>
      </c>
      <c r="M36" s="935">
        <v>4163</v>
      </c>
      <c r="N36" s="935">
        <v>4631</v>
      </c>
      <c r="O36" s="935">
        <v>635</v>
      </c>
      <c r="P36" s="935">
        <v>5647</v>
      </c>
      <c r="Q36" s="935">
        <v>6282</v>
      </c>
      <c r="R36" s="935">
        <v>628</v>
      </c>
      <c r="S36" s="935">
        <v>8924</v>
      </c>
      <c r="T36" s="935">
        <v>9552</v>
      </c>
      <c r="U36" s="935">
        <v>689</v>
      </c>
      <c r="V36" s="935">
        <v>10652</v>
      </c>
      <c r="W36" s="935">
        <v>11341</v>
      </c>
      <c r="X36" s="935">
        <v>535</v>
      </c>
      <c r="Y36" s="935">
        <v>7930</v>
      </c>
      <c r="Z36" s="935">
        <v>8465</v>
      </c>
      <c r="AA36" s="935">
        <v>210</v>
      </c>
      <c r="AB36" s="935">
        <v>4539</v>
      </c>
      <c r="AC36" s="935">
        <v>4749</v>
      </c>
      <c r="AD36" s="935">
        <v>308</v>
      </c>
      <c r="AE36" s="935">
        <v>2761</v>
      </c>
      <c r="AF36" s="935">
        <v>3069</v>
      </c>
      <c r="AH36" s="935">
        <f t="shared" si="0"/>
        <v>1636</v>
      </c>
      <c r="AI36" s="935">
        <f t="shared" si="1"/>
        <v>14747</v>
      </c>
      <c r="AJ36" s="935">
        <f t="shared" si="2"/>
        <v>16383</v>
      </c>
      <c r="AK36" s="935">
        <f t="shared" si="3"/>
        <v>2955</v>
      </c>
      <c r="AL36" s="935">
        <f t="shared" si="4"/>
        <v>37316</v>
      </c>
      <c r="AM36" s="935">
        <f t="shared" si="5"/>
        <v>40271</v>
      </c>
      <c r="AN36" s="935">
        <f t="shared" si="6"/>
        <v>518</v>
      </c>
      <c r="AO36" s="935">
        <f t="shared" si="7"/>
        <v>7300</v>
      </c>
      <c r="AP36" s="935">
        <f t="shared" si="8"/>
        <v>7818</v>
      </c>
      <c r="AR36" s="936">
        <f t="shared" si="9"/>
        <v>9.9859610571934321E-2</v>
      </c>
      <c r="AS36" s="936">
        <f t="shared" si="10"/>
        <v>7.3377864964863052E-2</v>
      </c>
      <c r="AT36" s="936">
        <f t="shared" si="11"/>
        <v>6.6257354822205169E-2</v>
      </c>
      <c r="AV36" s="937">
        <v>16288</v>
      </c>
      <c r="AW36" s="937">
        <v>41075</v>
      </c>
      <c r="AX36" s="937">
        <v>8708</v>
      </c>
      <c r="AZ36" s="937">
        <f t="shared" si="12"/>
        <v>1626.5133369956661</v>
      </c>
      <c r="BA36" s="937">
        <f t="shared" si="13"/>
        <v>3013.9958034317497</v>
      </c>
      <c r="BB36" s="937">
        <f t="shared" si="14"/>
        <v>576.9690457917626</v>
      </c>
      <c r="BC36" s="954">
        <f t="shared" si="15"/>
        <v>5217.4781862191776</v>
      </c>
    </row>
    <row r="37" spans="1:55" s="934" customFormat="1" ht="12" customHeight="1" x14ac:dyDescent="0.2">
      <c r="A37" s="934" t="s">
        <v>78</v>
      </c>
      <c r="B37" s="938" t="s">
        <v>475</v>
      </c>
      <c r="C37" s="951">
        <v>181</v>
      </c>
      <c r="D37" s="935">
        <v>900</v>
      </c>
      <c r="E37" s="935">
        <v>1081</v>
      </c>
      <c r="F37" s="935">
        <v>307</v>
      </c>
      <c r="G37" s="935">
        <v>888</v>
      </c>
      <c r="H37" s="935">
        <v>1195</v>
      </c>
      <c r="I37" s="935">
        <v>238</v>
      </c>
      <c r="J37" s="935">
        <v>847</v>
      </c>
      <c r="K37" s="935">
        <v>1085</v>
      </c>
      <c r="L37" s="935">
        <v>85</v>
      </c>
      <c r="M37" s="935">
        <v>842</v>
      </c>
      <c r="N37" s="935">
        <v>927</v>
      </c>
      <c r="O37" s="935">
        <v>317</v>
      </c>
      <c r="P37" s="935">
        <v>1367</v>
      </c>
      <c r="Q37" s="935">
        <v>1684</v>
      </c>
      <c r="R37" s="935">
        <v>423</v>
      </c>
      <c r="S37" s="935">
        <v>1621</v>
      </c>
      <c r="T37" s="935">
        <v>2044</v>
      </c>
      <c r="U37" s="935">
        <v>201</v>
      </c>
      <c r="V37" s="935">
        <v>2019</v>
      </c>
      <c r="W37" s="935">
        <v>2220</v>
      </c>
      <c r="X37" s="935">
        <v>376</v>
      </c>
      <c r="Y37" s="935">
        <v>1891</v>
      </c>
      <c r="Z37" s="935">
        <v>2267</v>
      </c>
      <c r="AA37" s="935">
        <v>297</v>
      </c>
      <c r="AB37" s="935">
        <v>1215</v>
      </c>
      <c r="AC37" s="935">
        <v>1512</v>
      </c>
      <c r="AD37" s="935">
        <v>307</v>
      </c>
      <c r="AE37" s="935">
        <v>773</v>
      </c>
      <c r="AF37" s="935">
        <v>1080</v>
      </c>
      <c r="AH37" s="935">
        <f t="shared" si="0"/>
        <v>726</v>
      </c>
      <c r="AI37" s="935">
        <f t="shared" si="1"/>
        <v>2635</v>
      </c>
      <c r="AJ37" s="935">
        <f t="shared" si="2"/>
        <v>3361</v>
      </c>
      <c r="AK37" s="935">
        <f t="shared" si="3"/>
        <v>1402</v>
      </c>
      <c r="AL37" s="935">
        <f t="shared" si="4"/>
        <v>7740</v>
      </c>
      <c r="AM37" s="935">
        <f t="shared" si="5"/>
        <v>9142</v>
      </c>
      <c r="AN37" s="935">
        <f t="shared" si="6"/>
        <v>604</v>
      </c>
      <c r="AO37" s="935">
        <f t="shared" si="7"/>
        <v>1988</v>
      </c>
      <c r="AP37" s="935">
        <f t="shared" si="8"/>
        <v>2592</v>
      </c>
      <c r="AR37" s="936">
        <f t="shared" si="9"/>
        <v>0.21600714073192503</v>
      </c>
      <c r="AS37" s="936">
        <f t="shared" si="10"/>
        <v>0.15335812732443665</v>
      </c>
      <c r="AT37" s="936">
        <f t="shared" si="11"/>
        <v>0.2330246913580247</v>
      </c>
      <c r="AV37" s="937">
        <v>3303</v>
      </c>
      <c r="AW37" s="937">
        <v>9279</v>
      </c>
      <c r="AX37" s="937">
        <v>2796</v>
      </c>
      <c r="AZ37" s="937">
        <f t="shared" si="12"/>
        <v>713.47158583754845</v>
      </c>
      <c r="BA37" s="937">
        <f t="shared" si="13"/>
        <v>1423.0100634434477</v>
      </c>
      <c r="BB37" s="937">
        <f t="shared" si="14"/>
        <v>651.53703703703707</v>
      </c>
      <c r="BC37" s="954">
        <f t="shared" si="15"/>
        <v>2788.0186863180329</v>
      </c>
    </row>
    <row r="38" spans="1:55" s="934" customFormat="1" ht="12" customHeight="1" x14ac:dyDescent="0.2">
      <c r="A38" s="934" t="s">
        <v>80</v>
      </c>
      <c r="B38" s="938" t="s">
        <v>476</v>
      </c>
      <c r="C38" s="951">
        <v>150</v>
      </c>
      <c r="D38" s="935">
        <v>1821</v>
      </c>
      <c r="E38" s="935">
        <v>1971</v>
      </c>
      <c r="F38" s="935">
        <v>210</v>
      </c>
      <c r="G38" s="935">
        <v>1703</v>
      </c>
      <c r="H38" s="935">
        <v>1913</v>
      </c>
      <c r="I38" s="935">
        <v>263</v>
      </c>
      <c r="J38" s="935">
        <v>1676</v>
      </c>
      <c r="K38" s="935">
        <v>1939</v>
      </c>
      <c r="L38" s="935">
        <v>398</v>
      </c>
      <c r="M38" s="935">
        <v>1006</v>
      </c>
      <c r="N38" s="935">
        <v>1404</v>
      </c>
      <c r="O38" s="935">
        <v>113</v>
      </c>
      <c r="P38" s="935">
        <v>2720</v>
      </c>
      <c r="Q38" s="935">
        <v>2833</v>
      </c>
      <c r="R38" s="935">
        <v>208</v>
      </c>
      <c r="S38" s="935">
        <v>3202</v>
      </c>
      <c r="T38" s="935">
        <v>3410</v>
      </c>
      <c r="U38" s="935">
        <v>349</v>
      </c>
      <c r="V38" s="935">
        <v>3482</v>
      </c>
      <c r="W38" s="935">
        <v>3831</v>
      </c>
      <c r="X38" s="935">
        <v>315</v>
      </c>
      <c r="Y38" s="935">
        <v>2866</v>
      </c>
      <c r="Z38" s="935">
        <v>3181</v>
      </c>
      <c r="AA38" s="935">
        <v>232</v>
      </c>
      <c r="AB38" s="935">
        <v>2109</v>
      </c>
      <c r="AC38" s="935">
        <v>2341</v>
      </c>
      <c r="AD38" s="935">
        <v>168</v>
      </c>
      <c r="AE38" s="935">
        <v>1358</v>
      </c>
      <c r="AF38" s="935">
        <v>1526</v>
      </c>
      <c r="AH38" s="935">
        <f t="shared" ref="AH38:AH69" si="16">C38+F38+I38</f>
        <v>623</v>
      </c>
      <c r="AI38" s="935">
        <f t="shared" ref="AI38:AI69" si="17">D38+G38+J38</f>
        <v>5200</v>
      </c>
      <c r="AJ38" s="935">
        <f t="shared" ref="AJ38:AJ69" si="18">E38+H38+K38</f>
        <v>5823</v>
      </c>
      <c r="AK38" s="935">
        <f t="shared" ref="AK38:AK69" si="19">L38+O38+R38+U38+X38</f>
        <v>1383</v>
      </c>
      <c r="AL38" s="935">
        <f t="shared" ref="AL38:AL69" si="20">M38+P38+S38+V38+Y38</f>
        <v>13276</v>
      </c>
      <c r="AM38" s="935">
        <f t="shared" ref="AM38:AM69" si="21">N38+Q38+T38+W38+Z38</f>
        <v>14659</v>
      </c>
      <c r="AN38" s="935">
        <f t="shared" ref="AN38:AN69" si="22">AA38+AD38</f>
        <v>400</v>
      </c>
      <c r="AO38" s="935">
        <f t="shared" ref="AO38:AO69" si="23">AB38+AE38</f>
        <v>3467</v>
      </c>
      <c r="AP38" s="935">
        <f t="shared" ref="AP38:AP69" si="24">AC38+AF38</f>
        <v>3867</v>
      </c>
      <c r="AR38" s="936">
        <f t="shared" ref="AR38:AR69" si="25">AH38/AJ38</f>
        <v>0.1069895243001889</v>
      </c>
      <c r="AS38" s="936">
        <f t="shared" ref="AS38:AS69" si="26">AK38/AM38</f>
        <v>9.4344771130363603E-2</v>
      </c>
      <c r="AT38" s="936">
        <f t="shared" ref="AT38:AT69" si="27">AN38/AP38</f>
        <v>0.10343935867597621</v>
      </c>
      <c r="AV38" s="937">
        <v>5859</v>
      </c>
      <c r="AW38" s="937">
        <v>16009</v>
      </c>
      <c r="AX38" s="937">
        <v>4193</v>
      </c>
      <c r="AZ38" s="937">
        <f t="shared" ref="AZ38:AZ69" si="28">AR38*AV38</f>
        <v>626.85162287480682</v>
      </c>
      <c r="BA38" s="937">
        <f t="shared" ref="BA38:BA69" si="29">AS38*AW38</f>
        <v>1510.365441025991</v>
      </c>
      <c r="BB38" s="937">
        <f t="shared" ref="BB38:BB69" si="30">AT38*AX38</f>
        <v>433.72123092836824</v>
      </c>
      <c r="BC38" s="954">
        <f t="shared" si="15"/>
        <v>2570.9382948291659</v>
      </c>
    </row>
    <row r="39" spans="1:55" s="934" customFormat="1" ht="12" customHeight="1" x14ac:dyDescent="0.2">
      <c r="A39" s="934" t="s">
        <v>84</v>
      </c>
      <c r="B39" s="938" t="s">
        <v>85</v>
      </c>
      <c r="C39" s="951">
        <v>1058</v>
      </c>
      <c r="D39" s="935">
        <v>2491</v>
      </c>
      <c r="E39" s="935">
        <v>3549</v>
      </c>
      <c r="F39" s="935">
        <v>1125</v>
      </c>
      <c r="G39" s="935">
        <v>2453</v>
      </c>
      <c r="H39" s="935">
        <v>3578</v>
      </c>
      <c r="I39" s="935">
        <v>1281</v>
      </c>
      <c r="J39" s="935">
        <v>3013</v>
      </c>
      <c r="K39" s="935">
        <v>4294</v>
      </c>
      <c r="L39" s="935">
        <v>930</v>
      </c>
      <c r="M39" s="935">
        <v>2744</v>
      </c>
      <c r="N39" s="935">
        <v>3674</v>
      </c>
      <c r="O39" s="935">
        <v>1352</v>
      </c>
      <c r="P39" s="935">
        <v>4214</v>
      </c>
      <c r="Q39" s="935">
        <v>5566</v>
      </c>
      <c r="R39" s="935">
        <v>1231</v>
      </c>
      <c r="S39" s="935">
        <v>5799</v>
      </c>
      <c r="T39" s="935">
        <v>7030</v>
      </c>
      <c r="U39" s="935">
        <v>1168</v>
      </c>
      <c r="V39" s="935">
        <v>7611</v>
      </c>
      <c r="W39" s="935">
        <v>8779</v>
      </c>
      <c r="X39" s="935">
        <v>865</v>
      </c>
      <c r="Y39" s="935">
        <v>7564</v>
      </c>
      <c r="Z39" s="935">
        <v>8429</v>
      </c>
      <c r="AA39" s="935">
        <v>535</v>
      </c>
      <c r="AB39" s="935">
        <v>5220</v>
      </c>
      <c r="AC39" s="935">
        <v>5755</v>
      </c>
      <c r="AD39" s="935">
        <v>797</v>
      </c>
      <c r="AE39" s="935">
        <v>2824</v>
      </c>
      <c r="AF39" s="935">
        <v>3621</v>
      </c>
      <c r="AH39" s="935">
        <f t="shared" si="16"/>
        <v>3464</v>
      </c>
      <c r="AI39" s="935">
        <f t="shared" si="17"/>
        <v>7957</v>
      </c>
      <c r="AJ39" s="935">
        <f t="shared" si="18"/>
        <v>11421</v>
      </c>
      <c r="AK39" s="935">
        <f t="shared" si="19"/>
        <v>5546</v>
      </c>
      <c r="AL39" s="935">
        <f t="shared" si="20"/>
        <v>27932</v>
      </c>
      <c r="AM39" s="935">
        <f t="shared" si="21"/>
        <v>33478</v>
      </c>
      <c r="AN39" s="935">
        <f t="shared" si="22"/>
        <v>1332</v>
      </c>
      <c r="AO39" s="935">
        <f t="shared" si="23"/>
        <v>8044</v>
      </c>
      <c r="AP39" s="935">
        <f t="shared" si="24"/>
        <v>9376</v>
      </c>
      <c r="AR39" s="936">
        <f t="shared" si="25"/>
        <v>0.30330093687067683</v>
      </c>
      <c r="AS39" s="936">
        <f t="shared" si="26"/>
        <v>0.16566103112491787</v>
      </c>
      <c r="AT39" s="936">
        <f t="shared" si="27"/>
        <v>0.14206484641638226</v>
      </c>
      <c r="AV39" s="937">
        <v>11523</v>
      </c>
      <c r="AW39" s="937">
        <v>34581</v>
      </c>
      <c r="AX39" s="937">
        <v>10315</v>
      </c>
      <c r="AZ39" s="937">
        <f t="shared" si="28"/>
        <v>3494.9366955608093</v>
      </c>
      <c r="BA39" s="937">
        <f t="shared" si="29"/>
        <v>5728.7241173307848</v>
      </c>
      <c r="BB39" s="937">
        <f t="shared" si="30"/>
        <v>1465.398890784983</v>
      </c>
      <c r="BC39" s="954">
        <f t="shared" si="15"/>
        <v>10689.059703676578</v>
      </c>
    </row>
    <row r="40" spans="1:55" s="934" customFormat="1" ht="12" customHeight="1" x14ac:dyDescent="0.2">
      <c r="A40" s="934" t="s">
        <v>86</v>
      </c>
      <c r="B40" s="938" t="s">
        <v>477</v>
      </c>
      <c r="C40" s="951">
        <v>1067</v>
      </c>
      <c r="D40" s="935">
        <v>4824</v>
      </c>
      <c r="E40" s="935">
        <v>5891</v>
      </c>
      <c r="F40" s="935">
        <v>964</v>
      </c>
      <c r="G40" s="935">
        <v>5903</v>
      </c>
      <c r="H40" s="935">
        <v>6867</v>
      </c>
      <c r="I40" s="935">
        <v>749</v>
      </c>
      <c r="J40" s="935">
        <v>5739</v>
      </c>
      <c r="K40" s="935">
        <v>6488</v>
      </c>
      <c r="L40" s="935">
        <v>1021</v>
      </c>
      <c r="M40" s="935">
        <v>4789</v>
      </c>
      <c r="N40" s="935">
        <v>5810</v>
      </c>
      <c r="O40" s="935">
        <v>1206</v>
      </c>
      <c r="P40" s="935">
        <v>7636</v>
      </c>
      <c r="Q40" s="935">
        <v>8842</v>
      </c>
      <c r="R40" s="935">
        <v>1090</v>
      </c>
      <c r="S40" s="935">
        <v>10599</v>
      </c>
      <c r="T40" s="935">
        <v>11689</v>
      </c>
      <c r="U40" s="935">
        <v>728</v>
      </c>
      <c r="V40" s="935">
        <v>11330</v>
      </c>
      <c r="W40" s="935">
        <v>12058</v>
      </c>
      <c r="X40" s="935">
        <v>678</v>
      </c>
      <c r="Y40" s="935">
        <v>8242</v>
      </c>
      <c r="Z40" s="935">
        <v>8920</v>
      </c>
      <c r="AA40" s="935">
        <v>508</v>
      </c>
      <c r="AB40" s="935">
        <v>5148</v>
      </c>
      <c r="AC40" s="935">
        <v>5656</v>
      </c>
      <c r="AD40" s="935">
        <v>413</v>
      </c>
      <c r="AE40" s="935">
        <v>3374</v>
      </c>
      <c r="AF40" s="935">
        <v>3787</v>
      </c>
      <c r="AH40" s="935">
        <f t="shared" si="16"/>
        <v>2780</v>
      </c>
      <c r="AI40" s="935">
        <f t="shared" si="17"/>
        <v>16466</v>
      </c>
      <c r="AJ40" s="935">
        <f t="shared" si="18"/>
        <v>19246</v>
      </c>
      <c r="AK40" s="935">
        <f t="shared" si="19"/>
        <v>4723</v>
      </c>
      <c r="AL40" s="935">
        <f t="shared" si="20"/>
        <v>42596</v>
      </c>
      <c r="AM40" s="935">
        <f t="shared" si="21"/>
        <v>47319</v>
      </c>
      <c r="AN40" s="935">
        <f t="shared" si="22"/>
        <v>921</v>
      </c>
      <c r="AO40" s="935">
        <f t="shared" si="23"/>
        <v>8522</v>
      </c>
      <c r="AP40" s="935">
        <f t="shared" si="24"/>
        <v>9443</v>
      </c>
      <c r="AR40" s="936">
        <f t="shared" si="25"/>
        <v>0.14444559908552426</v>
      </c>
      <c r="AS40" s="936">
        <f t="shared" si="26"/>
        <v>9.9811914875631347E-2</v>
      </c>
      <c r="AT40" s="936">
        <f t="shared" si="27"/>
        <v>9.7532563803875885E-2</v>
      </c>
      <c r="AV40" s="937">
        <v>19667</v>
      </c>
      <c r="AW40" s="937">
        <v>49564</v>
      </c>
      <c r="AX40" s="937">
        <v>10435</v>
      </c>
      <c r="AZ40" s="937">
        <f t="shared" si="28"/>
        <v>2840.8115972150058</v>
      </c>
      <c r="BA40" s="937">
        <f t="shared" si="29"/>
        <v>4947.077748895792</v>
      </c>
      <c r="BB40" s="937">
        <f t="shared" si="30"/>
        <v>1017.7523032934448</v>
      </c>
      <c r="BC40" s="954">
        <f t="shared" si="15"/>
        <v>8805.6416494042423</v>
      </c>
    </row>
    <row r="41" spans="1:55" s="934" customFormat="1" ht="12" customHeight="1" x14ac:dyDescent="0.2">
      <c r="A41" s="934" t="s">
        <v>92</v>
      </c>
      <c r="B41" s="938" t="s">
        <v>478</v>
      </c>
      <c r="C41" s="951">
        <v>251</v>
      </c>
      <c r="D41" s="935">
        <v>743</v>
      </c>
      <c r="E41" s="935">
        <v>994</v>
      </c>
      <c r="F41" s="935">
        <v>356</v>
      </c>
      <c r="G41" s="935">
        <v>1006</v>
      </c>
      <c r="H41" s="935">
        <v>1362</v>
      </c>
      <c r="I41" s="935">
        <v>232</v>
      </c>
      <c r="J41" s="935">
        <v>1082</v>
      </c>
      <c r="K41" s="935">
        <v>1314</v>
      </c>
      <c r="L41" s="935">
        <v>269</v>
      </c>
      <c r="M41" s="935">
        <v>963</v>
      </c>
      <c r="N41" s="935">
        <v>1232</v>
      </c>
      <c r="O41" s="935">
        <v>461</v>
      </c>
      <c r="P41" s="935">
        <v>1286</v>
      </c>
      <c r="Q41" s="935">
        <v>1747</v>
      </c>
      <c r="R41" s="935">
        <v>386</v>
      </c>
      <c r="S41" s="935">
        <v>2036</v>
      </c>
      <c r="T41" s="935">
        <v>2422</v>
      </c>
      <c r="U41" s="935">
        <v>455</v>
      </c>
      <c r="V41" s="935">
        <v>2044</v>
      </c>
      <c r="W41" s="935">
        <v>2499</v>
      </c>
      <c r="X41" s="935">
        <v>468</v>
      </c>
      <c r="Y41" s="935">
        <v>2032</v>
      </c>
      <c r="Z41" s="935">
        <v>2500</v>
      </c>
      <c r="AA41" s="935">
        <v>283</v>
      </c>
      <c r="AB41" s="935">
        <v>1374</v>
      </c>
      <c r="AC41" s="935">
        <v>1657</v>
      </c>
      <c r="AD41" s="935">
        <v>294</v>
      </c>
      <c r="AE41" s="935">
        <v>984</v>
      </c>
      <c r="AF41" s="935">
        <v>1278</v>
      </c>
      <c r="AH41" s="935">
        <f t="shared" si="16"/>
        <v>839</v>
      </c>
      <c r="AI41" s="935">
        <f t="shared" si="17"/>
        <v>2831</v>
      </c>
      <c r="AJ41" s="935">
        <f t="shared" si="18"/>
        <v>3670</v>
      </c>
      <c r="AK41" s="935">
        <f t="shared" si="19"/>
        <v>2039</v>
      </c>
      <c r="AL41" s="935">
        <f t="shared" si="20"/>
        <v>8361</v>
      </c>
      <c r="AM41" s="935">
        <f t="shared" si="21"/>
        <v>10400</v>
      </c>
      <c r="AN41" s="935">
        <f t="shared" si="22"/>
        <v>577</v>
      </c>
      <c r="AO41" s="935">
        <f t="shared" si="23"/>
        <v>2358</v>
      </c>
      <c r="AP41" s="935">
        <f t="shared" si="24"/>
        <v>2935</v>
      </c>
      <c r="AR41" s="936">
        <f t="shared" si="25"/>
        <v>0.22861035422343323</v>
      </c>
      <c r="AS41" s="936">
        <f t="shared" si="26"/>
        <v>0.19605769230769229</v>
      </c>
      <c r="AT41" s="936">
        <f t="shared" si="27"/>
        <v>0.19659284497444635</v>
      </c>
      <c r="AV41" s="937">
        <v>3600</v>
      </c>
      <c r="AW41" s="937">
        <v>10356</v>
      </c>
      <c r="AX41" s="937">
        <v>3168</v>
      </c>
      <c r="AZ41" s="937">
        <f t="shared" si="28"/>
        <v>822.99727520435965</v>
      </c>
      <c r="BA41" s="937">
        <f t="shared" si="29"/>
        <v>2030.3734615384615</v>
      </c>
      <c r="BB41" s="937">
        <f t="shared" si="30"/>
        <v>622.806132879046</v>
      </c>
      <c r="BC41" s="954">
        <f t="shared" si="15"/>
        <v>3476.1768696218669</v>
      </c>
    </row>
    <row r="42" spans="1:55" s="934" customFormat="1" ht="12" customHeight="1" x14ac:dyDescent="0.2">
      <c r="A42" s="934" t="s">
        <v>94</v>
      </c>
      <c r="B42" s="938" t="s">
        <v>479</v>
      </c>
      <c r="C42" s="951">
        <v>248</v>
      </c>
      <c r="D42" s="935">
        <v>2072</v>
      </c>
      <c r="E42" s="935">
        <v>2320</v>
      </c>
      <c r="F42" s="935">
        <v>247</v>
      </c>
      <c r="G42" s="935">
        <v>2212</v>
      </c>
      <c r="H42" s="935">
        <v>2459</v>
      </c>
      <c r="I42" s="935">
        <v>466</v>
      </c>
      <c r="J42" s="935">
        <v>2931</v>
      </c>
      <c r="K42" s="935">
        <v>3397</v>
      </c>
      <c r="L42" s="935">
        <v>422</v>
      </c>
      <c r="M42" s="935">
        <v>2385</v>
      </c>
      <c r="N42" s="935">
        <v>2807</v>
      </c>
      <c r="O42" s="935">
        <v>400</v>
      </c>
      <c r="P42" s="935">
        <v>3471</v>
      </c>
      <c r="Q42" s="935">
        <v>3871</v>
      </c>
      <c r="R42" s="935">
        <v>440</v>
      </c>
      <c r="S42" s="935">
        <v>4655</v>
      </c>
      <c r="T42" s="935">
        <v>5095</v>
      </c>
      <c r="U42" s="935">
        <v>572</v>
      </c>
      <c r="V42" s="935">
        <v>5857</v>
      </c>
      <c r="W42" s="935">
        <v>6429</v>
      </c>
      <c r="X42" s="935">
        <v>238</v>
      </c>
      <c r="Y42" s="935">
        <v>4666</v>
      </c>
      <c r="Z42" s="935">
        <v>4904</v>
      </c>
      <c r="AA42" s="935">
        <v>303</v>
      </c>
      <c r="AB42" s="935">
        <v>2870</v>
      </c>
      <c r="AC42" s="935">
        <v>3173</v>
      </c>
      <c r="AD42" s="935">
        <v>264</v>
      </c>
      <c r="AE42" s="935">
        <v>1736</v>
      </c>
      <c r="AF42" s="935">
        <v>2000</v>
      </c>
      <c r="AH42" s="935">
        <f t="shared" si="16"/>
        <v>961</v>
      </c>
      <c r="AI42" s="935">
        <f t="shared" si="17"/>
        <v>7215</v>
      </c>
      <c r="AJ42" s="935">
        <f t="shared" si="18"/>
        <v>8176</v>
      </c>
      <c r="AK42" s="935">
        <f t="shared" si="19"/>
        <v>2072</v>
      </c>
      <c r="AL42" s="935">
        <f t="shared" si="20"/>
        <v>21034</v>
      </c>
      <c r="AM42" s="935">
        <f t="shared" si="21"/>
        <v>23106</v>
      </c>
      <c r="AN42" s="935">
        <f t="shared" si="22"/>
        <v>567</v>
      </c>
      <c r="AO42" s="935">
        <f t="shared" si="23"/>
        <v>4606</v>
      </c>
      <c r="AP42" s="935">
        <f t="shared" si="24"/>
        <v>5173</v>
      </c>
      <c r="AR42" s="936">
        <f t="shared" si="25"/>
        <v>0.11753913894324854</v>
      </c>
      <c r="AS42" s="936">
        <f t="shared" si="26"/>
        <v>8.9673677832597595E-2</v>
      </c>
      <c r="AT42" s="936">
        <f t="shared" si="27"/>
        <v>0.10960757780784844</v>
      </c>
      <c r="AV42" s="937">
        <v>7889</v>
      </c>
      <c r="AW42" s="937">
        <v>23382</v>
      </c>
      <c r="AX42" s="937">
        <v>5630</v>
      </c>
      <c r="AZ42" s="937">
        <f t="shared" si="28"/>
        <v>927.26626712328766</v>
      </c>
      <c r="BA42" s="937">
        <f t="shared" si="29"/>
        <v>2096.749935081797</v>
      </c>
      <c r="BB42" s="937">
        <f t="shared" si="30"/>
        <v>617.09066305818669</v>
      </c>
      <c r="BC42" s="954">
        <f t="shared" si="15"/>
        <v>3641.1068652632712</v>
      </c>
    </row>
    <row r="43" spans="1:55" s="934" customFormat="1" ht="12" customHeight="1" x14ac:dyDescent="0.2">
      <c r="A43" s="934" t="s">
        <v>96</v>
      </c>
      <c r="B43" s="938" t="s">
        <v>480</v>
      </c>
      <c r="C43" s="951">
        <v>138</v>
      </c>
      <c r="D43" s="935">
        <v>1055</v>
      </c>
      <c r="E43" s="935">
        <v>1193</v>
      </c>
      <c r="F43" s="935">
        <v>79</v>
      </c>
      <c r="G43" s="935">
        <v>1359</v>
      </c>
      <c r="H43" s="935">
        <v>1438</v>
      </c>
      <c r="I43" s="935">
        <v>165</v>
      </c>
      <c r="J43" s="935">
        <v>1327</v>
      </c>
      <c r="K43" s="935">
        <v>1492</v>
      </c>
      <c r="L43" s="935">
        <v>110</v>
      </c>
      <c r="M43" s="935">
        <v>678</v>
      </c>
      <c r="N43" s="935">
        <v>788</v>
      </c>
      <c r="O43" s="935">
        <v>75</v>
      </c>
      <c r="P43" s="935">
        <v>1140</v>
      </c>
      <c r="Q43" s="935">
        <v>1215</v>
      </c>
      <c r="R43" s="935">
        <v>182</v>
      </c>
      <c r="S43" s="935">
        <v>2240</v>
      </c>
      <c r="T43" s="935">
        <v>2422</v>
      </c>
      <c r="U43" s="935">
        <v>183</v>
      </c>
      <c r="V43" s="935">
        <v>3291</v>
      </c>
      <c r="W43" s="935">
        <v>3474</v>
      </c>
      <c r="X43" s="935">
        <v>85</v>
      </c>
      <c r="Y43" s="935">
        <v>3360</v>
      </c>
      <c r="Z43" s="935">
        <v>3445</v>
      </c>
      <c r="AA43" s="935">
        <v>84</v>
      </c>
      <c r="AB43" s="935">
        <v>1831</v>
      </c>
      <c r="AC43" s="935">
        <v>1915</v>
      </c>
      <c r="AD43" s="935">
        <v>221</v>
      </c>
      <c r="AE43" s="935">
        <v>945</v>
      </c>
      <c r="AF43" s="935">
        <v>1166</v>
      </c>
      <c r="AH43" s="935">
        <f t="shared" si="16"/>
        <v>382</v>
      </c>
      <c r="AI43" s="935">
        <f t="shared" si="17"/>
        <v>3741</v>
      </c>
      <c r="AJ43" s="935">
        <f t="shared" si="18"/>
        <v>4123</v>
      </c>
      <c r="AK43" s="935">
        <f t="shared" si="19"/>
        <v>635</v>
      </c>
      <c r="AL43" s="935">
        <f t="shared" si="20"/>
        <v>10709</v>
      </c>
      <c r="AM43" s="935">
        <f t="shared" si="21"/>
        <v>11344</v>
      </c>
      <c r="AN43" s="935">
        <f t="shared" si="22"/>
        <v>305</v>
      </c>
      <c r="AO43" s="935">
        <f t="shared" si="23"/>
        <v>2776</v>
      </c>
      <c r="AP43" s="935">
        <f t="shared" si="24"/>
        <v>3081</v>
      </c>
      <c r="AR43" s="936">
        <f t="shared" si="25"/>
        <v>9.2650982294445794E-2</v>
      </c>
      <c r="AS43" s="936">
        <f t="shared" si="26"/>
        <v>5.5976727785613543E-2</v>
      </c>
      <c r="AT43" s="936">
        <f t="shared" si="27"/>
        <v>9.8993833171048359E-2</v>
      </c>
      <c r="AV43" s="937">
        <v>4256</v>
      </c>
      <c r="AW43" s="937">
        <v>14156</v>
      </c>
      <c r="AX43" s="937">
        <v>3471</v>
      </c>
      <c r="AZ43" s="937">
        <f t="shared" si="28"/>
        <v>394.32258064516128</v>
      </c>
      <c r="BA43" s="937">
        <f t="shared" si="29"/>
        <v>792.40655853314536</v>
      </c>
      <c r="BB43" s="937">
        <f t="shared" si="30"/>
        <v>343.60759493670884</v>
      </c>
      <c r="BC43" s="954">
        <f t="shared" si="15"/>
        <v>1530.3367341150156</v>
      </c>
    </row>
    <row r="44" spans="1:55" s="934" customFormat="1" ht="12" customHeight="1" x14ac:dyDescent="0.2">
      <c r="A44" s="934" t="s">
        <v>98</v>
      </c>
      <c r="B44" s="938" t="s">
        <v>481</v>
      </c>
      <c r="C44" s="951">
        <v>360</v>
      </c>
      <c r="D44" s="935">
        <v>670</v>
      </c>
      <c r="E44" s="935">
        <v>1030</v>
      </c>
      <c r="F44" s="935">
        <v>314</v>
      </c>
      <c r="G44" s="935">
        <v>475</v>
      </c>
      <c r="H44" s="935">
        <v>789</v>
      </c>
      <c r="I44" s="935">
        <v>465</v>
      </c>
      <c r="J44" s="935">
        <v>713</v>
      </c>
      <c r="K44" s="935">
        <v>1178</v>
      </c>
      <c r="L44" s="935">
        <v>236</v>
      </c>
      <c r="M44" s="935">
        <v>766</v>
      </c>
      <c r="N44" s="935">
        <v>1002</v>
      </c>
      <c r="O44" s="935">
        <v>436</v>
      </c>
      <c r="P44" s="935">
        <v>1078</v>
      </c>
      <c r="Q44" s="935">
        <v>1514</v>
      </c>
      <c r="R44" s="935">
        <v>586</v>
      </c>
      <c r="S44" s="935">
        <v>1386</v>
      </c>
      <c r="T44" s="935">
        <v>1972</v>
      </c>
      <c r="U44" s="935">
        <v>522</v>
      </c>
      <c r="V44" s="935">
        <v>1930</v>
      </c>
      <c r="W44" s="935">
        <v>2452</v>
      </c>
      <c r="X44" s="935">
        <v>482</v>
      </c>
      <c r="Y44" s="935">
        <v>1998</v>
      </c>
      <c r="Z44" s="935">
        <v>2480</v>
      </c>
      <c r="AA44" s="935">
        <v>443</v>
      </c>
      <c r="AB44" s="935">
        <v>1303</v>
      </c>
      <c r="AC44" s="935">
        <v>1746</v>
      </c>
      <c r="AD44" s="935">
        <v>420</v>
      </c>
      <c r="AE44" s="935">
        <v>980</v>
      </c>
      <c r="AF44" s="935">
        <v>1400</v>
      </c>
      <c r="AH44" s="935">
        <f t="shared" si="16"/>
        <v>1139</v>
      </c>
      <c r="AI44" s="935">
        <f t="shared" si="17"/>
        <v>1858</v>
      </c>
      <c r="AJ44" s="935">
        <f t="shared" si="18"/>
        <v>2997</v>
      </c>
      <c r="AK44" s="935">
        <f t="shared" si="19"/>
        <v>2262</v>
      </c>
      <c r="AL44" s="935">
        <f t="shared" si="20"/>
        <v>7158</v>
      </c>
      <c r="AM44" s="935">
        <f t="shared" si="21"/>
        <v>9420</v>
      </c>
      <c r="AN44" s="935">
        <f t="shared" si="22"/>
        <v>863</v>
      </c>
      <c r="AO44" s="935">
        <f t="shared" si="23"/>
        <v>2283</v>
      </c>
      <c r="AP44" s="935">
        <f t="shared" si="24"/>
        <v>3146</v>
      </c>
      <c r="AR44" s="936">
        <f t="shared" si="25"/>
        <v>0.3800467133800467</v>
      </c>
      <c r="AS44" s="936">
        <f t="shared" si="26"/>
        <v>0.24012738853503185</v>
      </c>
      <c r="AT44" s="936">
        <f t="shared" si="27"/>
        <v>0.27431659249841067</v>
      </c>
      <c r="AV44" s="937">
        <v>2849</v>
      </c>
      <c r="AW44" s="937">
        <v>9209</v>
      </c>
      <c r="AX44" s="937">
        <v>3270</v>
      </c>
      <c r="AZ44" s="937">
        <f t="shared" si="28"/>
        <v>1082.7530864197531</v>
      </c>
      <c r="BA44" s="937">
        <f t="shared" si="29"/>
        <v>2211.3331210191081</v>
      </c>
      <c r="BB44" s="937">
        <f t="shared" si="30"/>
        <v>897.01525746980292</v>
      </c>
      <c r="BC44" s="954">
        <f t="shared" si="15"/>
        <v>4191.1014649086646</v>
      </c>
    </row>
    <row r="45" spans="1:55" s="934" customFormat="1" ht="12" customHeight="1" x14ac:dyDescent="0.2">
      <c r="A45" s="934" t="s">
        <v>100</v>
      </c>
      <c r="B45" s="938" t="s">
        <v>482</v>
      </c>
      <c r="C45" s="951">
        <v>324</v>
      </c>
      <c r="D45" s="935">
        <v>1214</v>
      </c>
      <c r="E45" s="935">
        <v>1538</v>
      </c>
      <c r="F45" s="935">
        <v>265</v>
      </c>
      <c r="G45" s="935">
        <v>1428</v>
      </c>
      <c r="H45" s="935">
        <v>1693</v>
      </c>
      <c r="I45" s="935">
        <v>301</v>
      </c>
      <c r="J45" s="935">
        <v>1018</v>
      </c>
      <c r="K45" s="935">
        <v>1319</v>
      </c>
      <c r="L45" s="935">
        <v>262</v>
      </c>
      <c r="M45" s="935">
        <v>1099</v>
      </c>
      <c r="N45" s="935">
        <v>1361</v>
      </c>
      <c r="O45" s="935">
        <v>268</v>
      </c>
      <c r="P45" s="935">
        <v>2115</v>
      </c>
      <c r="Q45" s="935">
        <v>2383</v>
      </c>
      <c r="R45" s="935">
        <v>250</v>
      </c>
      <c r="S45" s="935">
        <v>2384</v>
      </c>
      <c r="T45" s="935">
        <v>2634</v>
      </c>
      <c r="U45" s="935">
        <v>138</v>
      </c>
      <c r="V45" s="935">
        <v>2600</v>
      </c>
      <c r="W45" s="935">
        <v>2738</v>
      </c>
      <c r="X45" s="935">
        <v>166</v>
      </c>
      <c r="Y45" s="935">
        <v>2036</v>
      </c>
      <c r="Z45" s="935">
        <v>2202</v>
      </c>
      <c r="AA45" s="935">
        <v>185</v>
      </c>
      <c r="AB45" s="935">
        <v>1229</v>
      </c>
      <c r="AC45" s="935">
        <v>1414</v>
      </c>
      <c r="AD45" s="935">
        <v>167</v>
      </c>
      <c r="AE45" s="935">
        <v>702</v>
      </c>
      <c r="AF45" s="935">
        <v>869</v>
      </c>
      <c r="AH45" s="935">
        <f t="shared" si="16"/>
        <v>890</v>
      </c>
      <c r="AI45" s="935">
        <f t="shared" si="17"/>
        <v>3660</v>
      </c>
      <c r="AJ45" s="935">
        <f t="shared" si="18"/>
        <v>4550</v>
      </c>
      <c r="AK45" s="935">
        <f t="shared" si="19"/>
        <v>1084</v>
      </c>
      <c r="AL45" s="935">
        <f t="shared" si="20"/>
        <v>10234</v>
      </c>
      <c r="AM45" s="935">
        <f t="shared" si="21"/>
        <v>11318</v>
      </c>
      <c r="AN45" s="935">
        <f t="shared" si="22"/>
        <v>352</v>
      </c>
      <c r="AO45" s="935">
        <f t="shared" si="23"/>
        <v>1931</v>
      </c>
      <c r="AP45" s="935">
        <f t="shared" si="24"/>
        <v>2283</v>
      </c>
      <c r="AR45" s="936">
        <f t="shared" si="25"/>
        <v>0.1956043956043956</v>
      </c>
      <c r="AS45" s="936">
        <f t="shared" si="26"/>
        <v>9.5776638982152329E-2</v>
      </c>
      <c r="AT45" s="936">
        <f t="shared" si="27"/>
        <v>0.15418309242225142</v>
      </c>
      <c r="AV45" s="937">
        <v>4630</v>
      </c>
      <c r="AW45" s="937">
        <v>11549</v>
      </c>
      <c r="AX45" s="937">
        <v>2481</v>
      </c>
      <c r="AZ45" s="937">
        <f t="shared" si="28"/>
        <v>905.64835164835165</v>
      </c>
      <c r="BA45" s="937">
        <f t="shared" si="29"/>
        <v>1106.1244036048772</v>
      </c>
      <c r="BB45" s="937">
        <f t="shared" si="30"/>
        <v>382.52825229960575</v>
      </c>
      <c r="BC45" s="954">
        <f t="shared" si="15"/>
        <v>2394.3010075528346</v>
      </c>
    </row>
    <row r="46" spans="1:55" s="934" customFormat="1" ht="12" customHeight="1" x14ac:dyDescent="0.2">
      <c r="A46" s="934" t="s">
        <v>102</v>
      </c>
      <c r="B46" s="938" t="s">
        <v>752</v>
      </c>
      <c r="C46" s="951">
        <v>752</v>
      </c>
      <c r="D46" s="935">
        <v>439</v>
      </c>
      <c r="E46" s="935">
        <v>1191</v>
      </c>
      <c r="F46" s="935">
        <v>372</v>
      </c>
      <c r="G46" s="935">
        <v>586</v>
      </c>
      <c r="H46" s="935">
        <v>958</v>
      </c>
      <c r="I46" s="935">
        <v>380</v>
      </c>
      <c r="J46" s="935">
        <v>774</v>
      </c>
      <c r="K46" s="935">
        <v>1154</v>
      </c>
      <c r="L46" s="935">
        <v>459</v>
      </c>
      <c r="M46" s="935">
        <v>726</v>
      </c>
      <c r="N46" s="935">
        <v>1185</v>
      </c>
      <c r="O46" s="935">
        <v>714</v>
      </c>
      <c r="P46" s="935">
        <v>1004</v>
      </c>
      <c r="Q46" s="935">
        <v>1718</v>
      </c>
      <c r="R46" s="935">
        <v>320</v>
      </c>
      <c r="S46" s="935">
        <v>1498</v>
      </c>
      <c r="T46" s="935">
        <v>1818</v>
      </c>
      <c r="U46" s="935">
        <v>314</v>
      </c>
      <c r="V46" s="935">
        <v>1610</v>
      </c>
      <c r="W46" s="935">
        <v>1924</v>
      </c>
      <c r="X46" s="935">
        <v>534</v>
      </c>
      <c r="Y46" s="935">
        <v>1576</v>
      </c>
      <c r="Z46" s="935">
        <v>2110</v>
      </c>
      <c r="AA46" s="935">
        <v>234</v>
      </c>
      <c r="AB46" s="935">
        <v>1028</v>
      </c>
      <c r="AC46" s="935">
        <v>1262</v>
      </c>
      <c r="AD46" s="935">
        <v>283</v>
      </c>
      <c r="AE46" s="935">
        <v>723</v>
      </c>
      <c r="AF46" s="935">
        <v>1006</v>
      </c>
      <c r="AH46" s="935">
        <f t="shared" si="16"/>
        <v>1504</v>
      </c>
      <c r="AI46" s="935">
        <f t="shared" si="17"/>
        <v>1799</v>
      </c>
      <c r="AJ46" s="935">
        <f t="shared" si="18"/>
        <v>3303</v>
      </c>
      <c r="AK46" s="935">
        <f t="shared" si="19"/>
        <v>2341</v>
      </c>
      <c r="AL46" s="935">
        <f t="shared" si="20"/>
        <v>6414</v>
      </c>
      <c r="AM46" s="935">
        <f t="shared" si="21"/>
        <v>8755</v>
      </c>
      <c r="AN46" s="935">
        <f t="shared" si="22"/>
        <v>517</v>
      </c>
      <c r="AO46" s="935">
        <f t="shared" si="23"/>
        <v>1751</v>
      </c>
      <c r="AP46" s="935">
        <f t="shared" si="24"/>
        <v>2268</v>
      </c>
      <c r="AR46" s="936">
        <f t="shared" si="25"/>
        <v>0.45534362700575237</v>
      </c>
      <c r="AS46" s="936">
        <f t="shared" si="26"/>
        <v>0.267390062821245</v>
      </c>
      <c r="AT46" s="936">
        <f t="shared" si="27"/>
        <v>0.22795414462081129</v>
      </c>
      <c r="AV46" s="937">
        <v>1979</v>
      </c>
      <c r="AW46" s="937">
        <v>8577</v>
      </c>
      <c r="AX46" s="937">
        <v>1556</v>
      </c>
      <c r="AZ46" s="937">
        <f t="shared" si="28"/>
        <v>901.125037844384</v>
      </c>
      <c r="BA46" s="937">
        <f t="shared" si="29"/>
        <v>2293.4045688178185</v>
      </c>
      <c r="BB46" s="937">
        <f t="shared" si="30"/>
        <v>354.69664902998238</v>
      </c>
      <c r="BC46" s="954">
        <f t="shared" si="15"/>
        <v>3549.2262556921846</v>
      </c>
    </row>
    <row r="47" spans="1:55" s="934" customFormat="1" ht="12" customHeight="1" x14ac:dyDescent="0.2">
      <c r="A47" s="934" t="s">
        <v>104</v>
      </c>
      <c r="B47" s="938" t="s">
        <v>753</v>
      </c>
      <c r="C47" s="951">
        <v>667</v>
      </c>
      <c r="D47" s="935">
        <v>1700</v>
      </c>
      <c r="E47" s="935">
        <v>2367</v>
      </c>
      <c r="F47" s="935">
        <v>894</v>
      </c>
      <c r="G47" s="935">
        <v>1482</v>
      </c>
      <c r="H47" s="935">
        <v>2376</v>
      </c>
      <c r="I47" s="935">
        <v>980</v>
      </c>
      <c r="J47" s="935">
        <v>2181</v>
      </c>
      <c r="K47" s="935">
        <v>3161</v>
      </c>
      <c r="L47" s="935">
        <v>801</v>
      </c>
      <c r="M47" s="935">
        <v>1895</v>
      </c>
      <c r="N47" s="935">
        <v>2696</v>
      </c>
      <c r="O47" s="935">
        <v>820</v>
      </c>
      <c r="P47" s="935">
        <v>2326</v>
      </c>
      <c r="Q47" s="935">
        <v>3146</v>
      </c>
      <c r="R47" s="935">
        <v>1009</v>
      </c>
      <c r="S47" s="935">
        <v>3255</v>
      </c>
      <c r="T47" s="935">
        <v>4264</v>
      </c>
      <c r="U47" s="935">
        <v>1030</v>
      </c>
      <c r="V47" s="935">
        <v>4316</v>
      </c>
      <c r="W47" s="935">
        <v>5346</v>
      </c>
      <c r="X47" s="935">
        <v>1162</v>
      </c>
      <c r="Y47" s="935">
        <v>4229</v>
      </c>
      <c r="Z47" s="935">
        <v>5391</v>
      </c>
      <c r="AA47" s="935">
        <v>953</v>
      </c>
      <c r="AB47" s="935">
        <v>2746</v>
      </c>
      <c r="AC47" s="935">
        <v>3699</v>
      </c>
      <c r="AD47" s="935">
        <v>981</v>
      </c>
      <c r="AE47" s="935">
        <v>1889</v>
      </c>
      <c r="AF47" s="935">
        <v>2870</v>
      </c>
      <c r="AH47" s="935">
        <f t="shared" si="16"/>
        <v>2541</v>
      </c>
      <c r="AI47" s="935">
        <f t="shared" si="17"/>
        <v>5363</v>
      </c>
      <c r="AJ47" s="935">
        <f t="shared" si="18"/>
        <v>7904</v>
      </c>
      <c r="AK47" s="935">
        <f t="shared" si="19"/>
        <v>4822</v>
      </c>
      <c r="AL47" s="935">
        <f t="shared" si="20"/>
        <v>16021</v>
      </c>
      <c r="AM47" s="935">
        <f t="shared" si="21"/>
        <v>20843</v>
      </c>
      <c r="AN47" s="935">
        <f t="shared" si="22"/>
        <v>1934</v>
      </c>
      <c r="AO47" s="935">
        <f t="shared" si="23"/>
        <v>4635</v>
      </c>
      <c r="AP47" s="935">
        <f t="shared" si="24"/>
        <v>6569</v>
      </c>
      <c r="AR47" s="936">
        <f t="shared" si="25"/>
        <v>0.32148279352226722</v>
      </c>
      <c r="AS47" s="936">
        <f t="shared" si="26"/>
        <v>0.23134865422443987</v>
      </c>
      <c r="AT47" s="936">
        <f t="shared" si="27"/>
        <v>0.29441315268686252</v>
      </c>
      <c r="AV47" s="937">
        <v>7828</v>
      </c>
      <c r="AW47" s="937">
        <v>21081</v>
      </c>
      <c r="AX47" s="937">
        <v>7147</v>
      </c>
      <c r="AZ47" s="937">
        <f t="shared" si="28"/>
        <v>2516.5673076923076</v>
      </c>
      <c r="BA47" s="937">
        <f t="shared" si="29"/>
        <v>4877.0609797054167</v>
      </c>
      <c r="BB47" s="937">
        <f t="shared" si="30"/>
        <v>2104.1708022530065</v>
      </c>
      <c r="BC47" s="954">
        <f t="shared" si="15"/>
        <v>9497.7990896507308</v>
      </c>
    </row>
    <row r="48" spans="1:55" s="934" customFormat="1" ht="12" customHeight="1" x14ac:dyDescent="0.2">
      <c r="A48" s="934" t="s">
        <v>108</v>
      </c>
      <c r="B48" s="938" t="s">
        <v>483</v>
      </c>
      <c r="C48" s="951">
        <v>595</v>
      </c>
      <c r="D48" s="935">
        <v>6044</v>
      </c>
      <c r="E48" s="935">
        <v>6639</v>
      </c>
      <c r="F48" s="935">
        <v>537</v>
      </c>
      <c r="G48" s="935">
        <v>7977</v>
      </c>
      <c r="H48" s="935">
        <v>8514</v>
      </c>
      <c r="I48" s="935">
        <v>576</v>
      </c>
      <c r="J48" s="935">
        <v>9188</v>
      </c>
      <c r="K48" s="935">
        <v>9764</v>
      </c>
      <c r="L48" s="935">
        <v>700</v>
      </c>
      <c r="M48" s="935">
        <v>5668</v>
      </c>
      <c r="N48" s="935">
        <v>6368</v>
      </c>
      <c r="O48" s="935">
        <v>634</v>
      </c>
      <c r="P48" s="935">
        <v>8031</v>
      </c>
      <c r="Q48" s="935">
        <v>8665</v>
      </c>
      <c r="R48" s="935">
        <v>685</v>
      </c>
      <c r="S48" s="935">
        <v>13996</v>
      </c>
      <c r="T48" s="935">
        <v>14681</v>
      </c>
      <c r="U48" s="935">
        <v>827</v>
      </c>
      <c r="V48" s="935">
        <v>16536</v>
      </c>
      <c r="W48" s="935">
        <v>17363</v>
      </c>
      <c r="X48" s="935">
        <v>626</v>
      </c>
      <c r="Y48" s="935">
        <v>12050</v>
      </c>
      <c r="Z48" s="935">
        <v>12676</v>
      </c>
      <c r="AA48" s="935">
        <v>552</v>
      </c>
      <c r="AB48" s="935">
        <v>6436</v>
      </c>
      <c r="AC48" s="935">
        <v>6988</v>
      </c>
      <c r="AD48" s="935">
        <v>615</v>
      </c>
      <c r="AE48" s="935">
        <v>4804</v>
      </c>
      <c r="AF48" s="935">
        <v>5419</v>
      </c>
      <c r="AH48" s="935">
        <f t="shared" si="16"/>
        <v>1708</v>
      </c>
      <c r="AI48" s="935">
        <f t="shared" si="17"/>
        <v>23209</v>
      </c>
      <c r="AJ48" s="935">
        <f t="shared" si="18"/>
        <v>24917</v>
      </c>
      <c r="AK48" s="935">
        <f t="shared" si="19"/>
        <v>3472</v>
      </c>
      <c r="AL48" s="935">
        <f t="shared" si="20"/>
        <v>56281</v>
      </c>
      <c r="AM48" s="935">
        <f t="shared" si="21"/>
        <v>59753</v>
      </c>
      <c r="AN48" s="935">
        <f t="shared" si="22"/>
        <v>1167</v>
      </c>
      <c r="AO48" s="935">
        <f t="shared" si="23"/>
        <v>11240</v>
      </c>
      <c r="AP48" s="935">
        <f t="shared" si="24"/>
        <v>12407</v>
      </c>
      <c r="AR48" s="936">
        <f t="shared" si="25"/>
        <v>6.8547577958823297E-2</v>
      </c>
      <c r="AS48" s="936">
        <f t="shared" si="26"/>
        <v>5.8105869161381017E-2</v>
      </c>
      <c r="AT48" s="936">
        <f t="shared" si="27"/>
        <v>9.4059804948819214E-2</v>
      </c>
      <c r="AV48" s="937">
        <v>24344</v>
      </c>
      <c r="AW48" s="937">
        <v>62242</v>
      </c>
      <c r="AX48" s="937">
        <v>13756</v>
      </c>
      <c r="AZ48" s="937">
        <f t="shared" si="28"/>
        <v>1668.7222378295944</v>
      </c>
      <c r="BA48" s="937">
        <f t="shared" si="29"/>
        <v>3616.6255083426772</v>
      </c>
      <c r="BB48" s="937">
        <f t="shared" si="30"/>
        <v>1293.8866768759572</v>
      </c>
      <c r="BC48" s="954">
        <f t="shared" si="15"/>
        <v>6579.2344230482286</v>
      </c>
    </row>
    <row r="49" spans="1:55" s="934" customFormat="1" ht="12" customHeight="1" x14ac:dyDescent="0.2">
      <c r="A49" s="934" t="s">
        <v>110</v>
      </c>
      <c r="B49" s="938" t="s">
        <v>484</v>
      </c>
      <c r="C49" s="951">
        <v>5472</v>
      </c>
      <c r="D49" s="935">
        <v>19017</v>
      </c>
      <c r="E49" s="935">
        <v>24489</v>
      </c>
      <c r="F49" s="935">
        <v>4855</v>
      </c>
      <c r="G49" s="935">
        <v>18484</v>
      </c>
      <c r="H49" s="935">
        <v>23339</v>
      </c>
      <c r="I49" s="935">
        <v>4382</v>
      </c>
      <c r="J49" s="935">
        <v>20800</v>
      </c>
      <c r="K49" s="935">
        <v>25182</v>
      </c>
      <c r="L49" s="935">
        <v>5775</v>
      </c>
      <c r="M49" s="935">
        <v>18601</v>
      </c>
      <c r="N49" s="935">
        <v>24376</v>
      </c>
      <c r="O49" s="935">
        <v>5962</v>
      </c>
      <c r="P49" s="935">
        <v>37317</v>
      </c>
      <c r="Q49" s="935">
        <v>43279</v>
      </c>
      <c r="R49" s="935">
        <v>4215</v>
      </c>
      <c r="S49" s="935">
        <v>40052</v>
      </c>
      <c r="T49" s="935">
        <v>44267</v>
      </c>
      <c r="U49" s="935">
        <v>3973</v>
      </c>
      <c r="V49" s="935">
        <v>41508</v>
      </c>
      <c r="W49" s="935">
        <v>45481</v>
      </c>
      <c r="X49" s="935">
        <v>2618</v>
      </c>
      <c r="Y49" s="935">
        <v>31667</v>
      </c>
      <c r="Z49" s="935">
        <v>34285</v>
      </c>
      <c r="AA49" s="935">
        <v>1812</v>
      </c>
      <c r="AB49" s="935">
        <v>16352</v>
      </c>
      <c r="AC49" s="935">
        <v>18164</v>
      </c>
      <c r="AD49" s="935">
        <v>1583</v>
      </c>
      <c r="AE49" s="935">
        <v>15236</v>
      </c>
      <c r="AF49" s="935">
        <v>16819</v>
      </c>
      <c r="AH49" s="935">
        <f t="shared" si="16"/>
        <v>14709</v>
      </c>
      <c r="AI49" s="935">
        <f t="shared" si="17"/>
        <v>58301</v>
      </c>
      <c r="AJ49" s="935">
        <f t="shared" si="18"/>
        <v>73010</v>
      </c>
      <c r="AK49" s="935">
        <f t="shared" si="19"/>
        <v>22543</v>
      </c>
      <c r="AL49" s="935">
        <f t="shared" si="20"/>
        <v>169145</v>
      </c>
      <c r="AM49" s="935">
        <f t="shared" si="21"/>
        <v>191688</v>
      </c>
      <c r="AN49" s="935">
        <f t="shared" si="22"/>
        <v>3395</v>
      </c>
      <c r="AO49" s="935">
        <f t="shared" si="23"/>
        <v>31588</v>
      </c>
      <c r="AP49" s="935">
        <f t="shared" si="24"/>
        <v>34983</v>
      </c>
      <c r="AR49" s="936">
        <f t="shared" si="25"/>
        <v>0.20146555266401864</v>
      </c>
      <c r="AS49" s="936">
        <f t="shared" si="26"/>
        <v>0.11760256249739159</v>
      </c>
      <c r="AT49" s="936">
        <f t="shared" si="27"/>
        <v>9.704713718091644E-2</v>
      </c>
      <c r="AV49" s="937">
        <v>74013</v>
      </c>
      <c r="AW49" s="937">
        <v>197231</v>
      </c>
      <c r="AX49" s="937">
        <v>39201</v>
      </c>
      <c r="AZ49" s="937">
        <f t="shared" si="28"/>
        <v>14911.069949322011</v>
      </c>
      <c r="BA49" s="937">
        <f t="shared" si="29"/>
        <v>23194.871003923043</v>
      </c>
      <c r="BB49" s="937">
        <f t="shared" si="30"/>
        <v>3804.3448246291055</v>
      </c>
      <c r="BC49" s="954">
        <f t="shared" si="15"/>
        <v>41910.28577787416</v>
      </c>
    </row>
    <row r="50" spans="1:55" s="934" customFormat="1" ht="12" customHeight="1" x14ac:dyDescent="0.2">
      <c r="A50" s="934" t="s">
        <v>112</v>
      </c>
      <c r="B50" s="938" t="s">
        <v>754</v>
      </c>
      <c r="C50" s="951">
        <v>2351</v>
      </c>
      <c r="D50" s="935">
        <v>2243</v>
      </c>
      <c r="E50" s="935">
        <v>4594</v>
      </c>
      <c r="F50" s="935">
        <v>1817</v>
      </c>
      <c r="G50" s="935">
        <v>2683</v>
      </c>
      <c r="H50" s="935">
        <v>4500</v>
      </c>
      <c r="I50" s="935">
        <v>1966</v>
      </c>
      <c r="J50" s="935">
        <v>3054</v>
      </c>
      <c r="K50" s="935">
        <v>5020</v>
      </c>
      <c r="L50" s="935">
        <v>1596</v>
      </c>
      <c r="M50" s="935">
        <v>3319</v>
      </c>
      <c r="N50" s="935">
        <v>4915</v>
      </c>
      <c r="O50" s="935">
        <v>2083</v>
      </c>
      <c r="P50" s="935">
        <v>4680</v>
      </c>
      <c r="Q50" s="935">
        <v>6763</v>
      </c>
      <c r="R50" s="935">
        <v>2350</v>
      </c>
      <c r="S50" s="935">
        <v>6545</v>
      </c>
      <c r="T50" s="935">
        <v>8895</v>
      </c>
      <c r="U50" s="935">
        <v>2188</v>
      </c>
      <c r="V50" s="935">
        <v>8425</v>
      </c>
      <c r="W50" s="935">
        <v>10613</v>
      </c>
      <c r="X50" s="935">
        <v>1648</v>
      </c>
      <c r="Y50" s="935">
        <v>7626</v>
      </c>
      <c r="Z50" s="935">
        <v>9274</v>
      </c>
      <c r="AA50" s="935">
        <v>1059</v>
      </c>
      <c r="AB50" s="935">
        <v>6049</v>
      </c>
      <c r="AC50" s="935">
        <v>7108</v>
      </c>
      <c r="AD50" s="935">
        <v>1443</v>
      </c>
      <c r="AE50" s="935">
        <v>4187</v>
      </c>
      <c r="AF50" s="935">
        <v>5630</v>
      </c>
      <c r="AH50" s="935">
        <f t="shared" si="16"/>
        <v>6134</v>
      </c>
      <c r="AI50" s="935">
        <f t="shared" si="17"/>
        <v>7980</v>
      </c>
      <c r="AJ50" s="935">
        <f t="shared" si="18"/>
        <v>14114</v>
      </c>
      <c r="AK50" s="935">
        <f t="shared" si="19"/>
        <v>9865</v>
      </c>
      <c r="AL50" s="935">
        <f t="shared" si="20"/>
        <v>30595</v>
      </c>
      <c r="AM50" s="935">
        <f t="shared" si="21"/>
        <v>40460</v>
      </c>
      <c r="AN50" s="935">
        <f t="shared" si="22"/>
        <v>2502</v>
      </c>
      <c r="AO50" s="935">
        <f t="shared" si="23"/>
        <v>10236</v>
      </c>
      <c r="AP50" s="935">
        <f t="shared" si="24"/>
        <v>12738</v>
      </c>
      <c r="AR50" s="936">
        <f t="shared" si="25"/>
        <v>0.434603939350999</v>
      </c>
      <c r="AS50" s="936">
        <f t="shared" si="26"/>
        <v>0.24382105783489866</v>
      </c>
      <c r="AT50" s="936">
        <f t="shared" si="27"/>
        <v>0.19642016015073011</v>
      </c>
      <c r="AV50" s="937">
        <v>10889</v>
      </c>
      <c r="AW50" s="937">
        <v>31886</v>
      </c>
      <c r="AX50" s="937">
        <v>10966</v>
      </c>
      <c r="AZ50" s="937">
        <f t="shared" si="28"/>
        <v>4732.4022955930277</v>
      </c>
      <c r="BA50" s="937">
        <f t="shared" si="29"/>
        <v>7774.4782501235786</v>
      </c>
      <c r="BB50" s="937">
        <f t="shared" si="30"/>
        <v>2153.9434762129063</v>
      </c>
      <c r="BC50" s="954">
        <f t="shared" si="15"/>
        <v>14660.824021929511</v>
      </c>
    </row>
    <row r="51" spans="1:55" s="934" customFormat="1" ht="12" customHeight="1" x14ac:dyDescent="0.2">
      <c r="A51" s="934" t="s">
        <v>114</v>
      </c>
      <c r="B51" s="938" t="s">
        <v>485</v>
      </c>
      <c r="C51" s="951">
        <v>6</v>
      </c>
      <c r="D51" s="935">
        <v>70</v>
      </c>
      <c r="E51" s="935">
        <v>76</v>
      </c>
      <c r="F51" s="935">
        <v>10</v>
      </c>
      <c r="G51" s="935">
        <v>90</v>
      </c>
      <c r="H51" s="935">
        <v>100</v>
      </c>
      <c r="I51" s="935">
        <v>15</v>
      </c>
      <c r="J51" s="935">
        <v>130</v>
      </c>
      <c r="K51" s="935">
        <v>145</v>
      </c>
      <c r="L51" s="935">
        <v>9</v>
      </c>
      <c r="M51" s="935">
        <v>50</v>
      </c>
      <c r="N51" s="935">
        <v>59</v>
      </c>
      <c r="O51" s="935">
        <v>10</v>
      </c>
      <c r="P51" s="935">
        <v>84</v>
      </c>
      <c r="Q51" s="935">
        <v>94</v>
      </c>
      <c r="R51" s="935">
        <v>32</v>
      </c>
      <c r="S51" s="935">
        <v>291</v>
      </c>
      <c r="T51" s="935">
        <v>323</v>
      </c>
      <c r="U51" s="935">
        <v>86</v>
      </c>
      <c r="V51" s="935">
        <v>292</v>
      </c>
      <c r="W51" s="935">
        <v>378</v>
      </c>
      <c r="X51" s="935">
        <v>26</v>
      </c>
      <c r="Y51" s="935">
        <v>504</v>
      </c>
      <c r="Z51" s="935">
        <v>530</v>
      </c>
      <c r="AA51" s="935">
        <v>45</v>
      </c>
      <c r="AB51" s="935">
        <v>387</v>
      </c>
      <c r="AC51" s="935">
        <v>432</v>
      </c>
      <c r="AD51" s="935">
        <v>45</v>
      </c>
      <c r="AE51" s="935">
        <v>168</v>
      </c>
      <c r="AF51" s="935">
        <v>213</v>
      </c>
      <c r="AH51" s="935">
        <f t="shared" si="16"/>
        <v>31</v>
      </c>
      <c r="AI51" s="935">
        <f t="shared" si="17"/>
        <v>290</v>
      </c>
      <c r="AJ51" s="935">
        <f t="shared" si="18"/>
        <v>321</v>
      </c>
      <c r="AK51" s="935">
        <f t="shared" si="19"/>
        <v>163</v>
      </c>
      <c r="AL51" s="935">
        <f t="shared" si="20"/>
        <v>1221</v>
      </c>
      <c r="AM51" s="935">
        <f t="shared" si="21"/>
        <v>1384</v>
      </c>
      <c r="AN51" s="935">
        <f t="shared" si="22"/>
        <v>90</v>
      </c>
      <c r="AO51" s="935">
        <f t="shared" si="23"/>
        <v>555</v>
      </c>
      <c r="AP51" s="935">
        <f t="shared" si="24"/>
        <v>645</v>
      </c>
      <c r="AR51" s="936">
        <f t="shared" si="25"/>
        <v>9.657320872274143E-2</v>
      </c>
      <c r="AS51" s="936">
        <f t="shared" si="26"/>
        <v>0.11777456647398844</v>
      </c>
      <c r="AT51" s="936">
        <f t="shared" si="27"/>
        <v>0.13953488372093023</v>
      </c>
      <c r="AV51" s="937">
        <v>321</v>
      </c>
      <c r="AW51" s="937">
        <v>1344</v>
      </c>
      <c r="AX51" s="937">
        <v>602</v>
      </c>
      <c r="AZ51" s="937">
        <f t="shared" si="28"/>
        <v>31</v>
      </c>
      <c r="BA51" s="937">
        <f t="shared" si="29"/>
        <v>158.28901734104048</v>
      </c>
      <c r="BB51" s="937">
        <f t="shared" si="30"/>
        <v>84</v>
      </c>
      <c r="BC51" s="954">
        <f t="shared" si="15"/>
        <v>273.28901734104045</v>
      </c>
    </row>
    <row r="52" spans="1:55" s="934" customFormat="1" ht="12" customHeight="1" x14ac:dyDescent="0.2">
      <c r="A52" s="934" t="s">
        <v>118</v>
      </c>
      <c r="B52" s="938" t="s">
        <v>755</v>
      </c>
      <c r="C52" s="951">
        <v>593</v>
      </c>
      <c r="D52" s="935">
        <v>1768</v>
      </c>
      <c r="E52" s="935">
        <v>2361</v>
      </c>
      <c r="F52" s="935">
        <v>341</v>
      </c>
      <c r="G52" s="935">
        <v>2572</v>
      </c>
      <c r="H52" s="935">
        <v>2913</v>
      </c>
      <c r="I52" s="935">
        <v>354</v>
      </c>
      <c r="J52" s="935">
        <v>2329</v>
      </c>
      <c r="K52" s="935">
        <v>2683</v>
      </c>
      <c r="L52" s="935">
        <v>336</v>
      </c>
      <c r="M52" s="935">
        <v>2115</v>
      </c>
      <c r="N52" s="935">
        <v>2451</v>
      </c>
      <c r="O52" s="935">
        <v>322</v>
      </c>
      <c r="P52" s="935">
        <v>2856</v>
      </c>
      <c r="Q52" s="935">
        <v>3178</v>
      </c>
      <c r="R52" s="935">
        <v>508</v>
      </c>
      <c r="S52" s="935">
        <v>4327</v>
      </c>
      <c r="T52" s="935">
        <v>4835</v>
      </c>
      <c r="U52" s="935">
        <v>511</v>
      </c>
      <c r="V52" s="935">
        <v>6018</v>
      </c>
      <c r="W52" s="935">
        <v>6529</v>
      </c>
      <c r="X52" s="935">
        <v>630</v>
      </c>
      <c r="Y52" s="935">
        <v>4453</v>
      </c>
      <c r="Z52" s="935">
        <v>5083</v>
      </c>
      <c r="AA52" s="935">
        <v>208</v>
      </c>
      <c r="AB52" s="935">
        <v>2740</v>
      </c>
      <c r="AC52" s="935">
        <v>2948</v>
      </c>
      <c r="AD52" s="935">
        <v>342</v>
      </c>
      <c r="AE52" s="935">
        <v>1616</v>
      </c>
      <c r="AF52" s="935">
        <v>1958</v>
      </c>
      <c r="AH52" s="935">
        <f t="shared" si="16"/>
        <v>1288</v>
      </c>
      <c r="AI52" s="935">
        <f t="shared" si="17"/>
        <v>6669</v>
      </c>
      <c r="AJ52" s="935">
        <f t="shared" si="18"/>
        <v>7957</v>
      </c>
      <c r="AK52" s="935">
        <f t="shared" si="19"/>
        <v>2307</v>
      </c>
      <c r="AL52" s="935">
        <f t="shared" si="20"/>
        <v>19769</v>
      </c>
      <c r="AM52" s="935">
        <f t="shared" si="21"/>
        <v>22076</v>
      </c>
      <c r="AN52" s="935">
        <f t="shared" si="22"/>
        <v>550</v>
      </c>
      <c r="AO52" s="935">
        <f t="shared" si="23"/>
        <v>4356</v>
      </c>
      <c r="AP52" s="935">
        <f t="shared" si="24"/>
        <v>4906</v>
      </c>
      <c r="AR52" s="936">
        <f t="shared" si="25"/>
        <v>0.16187005152695741</v>
      </c>
      <c r="AS52" s="936">
        <f t="shared" si="26"/>
        <v>0.10450262728755209</v>
      </c>
      <c r="AT52" s="936">
        <f t="shared" si="27"/>
        <v>0.11210762331838565</v>
      </c>
      <c r="AV52" s="937">
        <v>7808</v>
      </c>
      <c r="AW52" s="937">
        <v>22111</v>
      </c>
      <c r="AX52" s="937">
        <v>5437</v>
      </c>
      <c r="AZ52" s="937">
        <f t="shared" si="28"/>
        <v>1263.8813623224835</v>
      </c>
      <c r="BA52" s="937">
        <f t="shared" si="29"/>
        <v>2310.6575919550642</v>
      </c>
      <c r="BB52" s="937">
        <f t="shared" si="30"/>
        <v>609.5291479820628</v>
      </c>
      <c r="BC52" s="954">
        <f t="shared" si="15"/>
        <v>4184.06810225961</v>
      </c>
    </row>
    <row r="53" spans="1:55" s="934" customFormat="1" ht="12" customHeight="1" x14ac:dyDescent="0.2">
      <c r="A53" s="934" t="s">
        <v>120</v>
      </c>
      <c r="B53" s="938" t="s">
        <v>285</v>
      </c>
      <c r="C53" s="951">
        <v>802</v>
      </c>
      <c r="D53" s="935">
        <v>3257</v>
      </c>
      <c r="E53" s="935">
        <v>4059</v>
      </c>
      <c r="F53" s="935">
        <v>707</v>
      </c>
      <c r="G53" s="935">
        <v>4065</v>
      </c>
      <c r="H53" s="935">
        <v>4772</v>
      </c>
      <c r="I53" s="935">
        <v>525</v>
      </c>
      <c r="J53" s="935">
        <v>4851</v>
      </c>
      <c r="K53" s="935">
        <v>5376</v>
      </c>
      <c r="L53" s="935">
        <v>843</v>
      </c>
      <c r="M53" s="935">
        <v>3679</v>
      </c>
      <c r="N53" s="935">
        <v>4522</v>
      </c>
      <c r="O53" s="935">
        <v>636</v>
      </c>
      <c r="P53" s="935">
        <v>5556</v>
      </c>
      <c r="Q53" s="935">
        <v>6192</v>
      </c>
      <c r="R53" s="935">
        <v>611</v>
      </c>
      <c r="S53" s="935">
        <v>7290</v>
      </c>
      <c r="T53" s="935">
        <v>7901</v>
      </c>
      <c r="U53" s="935">
        <v>459</v>
      </c>
      <c r="V53" s="935">
        <v>9228</v>
      </c>
      <c r="W53" s="935">
        <v>9687</v>
      </c>
      <c r="X53" s="935">
        <v>435</v>
      </c>
      <c r="Y53" s="935">
        <v>9043</v>
      </c>
      <c r="Z53" s="935">
        <v>9478</v>
      </c>
      <c r="AA53" s="935">
        <v>157</v>
      </c>
      <c r="AB53" s="935">
        <v>7084</v>
      </c>
      <c r="AC53" s="935">
        <v>7241</v>
      </c>
      <c r="AD53" s="935">
        <v>241</v>
      </c>
      <c r="AE53" s="935">
        <v>5543</v>
      </c>
      <c r="AF53" s="935">
        <v>5784</v>
      </c>
      <c r="AH53" s="935">
        <f t="shared" si="16"/>
        <v>2034</v>
      </c>
      <c r="AI53" s="935">
        <f t="shared" si="17"/>
        <v>12173</v>
      </c>
      <c r="AJ53" s="935">
        <f t="shared" si="18"/>
        <v>14207</v>
      </c>
      <c r="AK53" s="935">
        <f t="shared" si="19"/>
        <v>2984</v>
      </c>
      <c r="AL53" s="935">
        <f t="shared" si="20"/>
        <v>34796</v>
      </c>
      <c r="AM53" s="935">
        <f t="shared" si="21"/>
        <v>37780</v>
      </c>
      <c r="AN53" s="935">
        <f t="shared" si="22"/>
        <v>398</v>
      </c>
      <c r="AO53" s="935">
        <f t="shared" si="23"/>
        <v>12627</v>
      </c>
      <c r="AP53" s="935">
        <f t="shared" si="24"/>
        <v>13025</v>
      </c>
      <c r="AR53" s="936">
        <f t="shared" si="25"/>
        <v>0.14316886042091925</v>
      </c>
      <c r="AS53" s="936">
        <f t="shared" si="26"/>
        <v>7.8983589200635251E-2</v>
      </c>
      <c r="AT53" s="936">
        <f t="shared" si="27"/>
        <v>3.0556621880998079E-2</v>
      </c>
      <c r="AV53" s="937">
        <v>14335</v>
      </c>
      <c r="AW53" s="937">
        <v>39213</v>
      </c>
      <c r="AX53" s="937">
        <v>14652</v>
      </c>
      <c r="AZ53" s="937">
        <f t="shared" si="28"/>
        <v>2052.3256141338775</v>
      </c>
      <c r="BA53" s="937">
        <f t="shared" si="29"/>
        <v>3097.1834833245102</v>
      </c>
      <c r="BB53" s="937">
        <f t="shared" si="30"/>
        <v>447.71562380038387</v>
      </c>
      <c r="BC53" s="954">
        <f t="shared" si="15"/>
        <v>5597.2247212587708</v>
      </c>
    </row>
    <row r="54" spans="1:55" s="934" customFormat="1" ht="12" customHeight="1" x14ac:dyDescent="0.2">
      <c r="A54" s="934" t="s">
        <v>122</v>
      </c>
      <c r="B54" s="938" t="s">
        <v>756</v>
      </c>
      <c r="C54" s="951">
        <v>184</v>
      </c>
      <c r="D54" s="935">
        <v>280</v>
      </c>
      <c r="E54" s="935">
        <v>464</v>
      </c>
      <c r="F54" s="935">
        <v>121</v>
      </c>
      <c r="G54" s="935">
        <v>263</v>
      </c>
      <c r="H54" s="935">
        <v>384</v>
      </c>
      <c r="I54" s="935">
        <v>50</v>
      </c>
      <c r="J54" s="935">
        <v>537</v>
      </c>
      <c r="K54" s="935">
        <v>587</v>
      </c>
      <c r="L54" s="935">
        <v>73</v>
      </c>
      <c r="M54" s="935">
        <v>491</v>
      </c>
      <c r="N54" s="935">
        <v>564</v>
      </c>
      <c r="O54" s="935">
        <v>57</v>
      </c>
      <c r="P54" s="935">
        <v>434</v>
      </c>
      <c r="Q54" s="935">
        <v>491</v>
      </c>
      <c r="R54" s="935">
        <v>96</v>
      </c>
      <c r="S54" s="935">
        <v>864</v>
      </c>
      <c r="T54" s="935">
        <v>960</v>
      </c>
      <c r="U54" s="935">
        <v>106</v>
      </c>
      <c r="V54" s="935">
        <v>1136</v>
      </c>
      <c r="W54" s="935">
        <v>1242</v>
      </c>
      <c r="X54" s="935">
        <v>138</v>
      </c>
      <c r="Y54" s="935">
        <v>929</v>
      </c>
      <c r="Z54" s="935">
        <v>1067</v>
      </c>
      <c r="AA54" s="935">
        <v>67</v>
      </c>
      <c r="AB54" s="935">
        <v>598</v>
      </c>
      <c r="AC54" s="935">
        <v>665</v>
      </c>
      <c r="AD54" s="935">
        <v>125</v>
      </c>
      <c r="AE54" s="935">
        <v>397</v>
      </c>
      <c r="AF54" s="935">
        <v>522</v>
      </c>
      <c r="AH54" s="935">
        <f t="shared" si="16"/>
        <v>355</v>
      </c>
      <c r="AI54" s="935">
        <f t="shared" si="17"/>
        <v>1080</v>
      </c>
      <c r="AJ54" s="935">
        <f t="shared" si="18"/>
        <v>1435</v>
      </c>
      <c r="AK54" s="935">
        <f t="shared" si="19"/>
        <v>470</v>
      </c>
      <c r="AL54" s="935">
        <f t="shared" si="20"/>
        <v>3854</v>
      </c>
      <c r="AM54" s="935">
        <f t="shared" si="21"/>
        <v>4324</v>
      </c>
      <c r="AN54" s="935">
        <f t="shared" si="22"/>
        <v>192</v>
      </c>
      <c r="AO54" s="935">
        <f t="shared" si="23"/>
        <v>995</v>
      </c>
      <c r="AP54" s="935">
        <f t="shared" si="24"/>
        <v>1187</v>
      </c>
      <c r="AR54" s="936">
        <f t="shared" si="25"/>
        <v>0.24738675958188153</v>
      </c>
      <c r="AS54" s="936">
        <f t="shared" si="26"/>
        <v>0.10869565217391304</v>
      </c>
      <c r="AT54" s="936">
        <f t="shared" si="27"/>
        <v>0.16175231676495366</v>
      </c>
      <c r="AV54" s="937">
        <v>1382</v>
      </c>
      <c r="AW54" s="937">
        <v>4333</v>
      </c>
      <c r="AX54" s="937">
        <v>1282</v>
      </c>
      <c r="AZ54" s="937">
        <f t="shared" si="28"/>
        <v>341.88850174216026</v>
      </c>
      <c r="BA54" s="937">
        <f t="shared" si="29"/>
        <v>470.97826086956519</v>
      </c>
      <c r="BB54" s="937">
        <f t="shared" si="30"/>
        <v>207.3664700926706</v>
      </c>
      <c r="BC54" s="954">
        <f t="shared" si="15"/>
        <v>1020.2332327043961</v>
      </c>
    </row>
    <row r="55" spans="1:55" s="934" customFormat="1" ht="12" customHeight="1" x14ac:dyDescent="0.2">
      <c r="A55" s="934" t="s">
        <v>124</v>
      </c>
      <c r="B55" s="938" t="s">
        <v>488</v>
      </c>
      <c r="C55" s="951">
        <v>418</v>
      </c>
      <c r="D55" s="935">
        <v>1623</v>
      </c>
      <c r="E55" s="935">
        <v>2041</v>
      </c>
      <c r="F55" s="935">
        <v>266</v>
      </c>
      <c r="G55" s="935">
        <v>1933</v>
      </c>
      <c r="H55" s="935">
        <v>2199</v>
      </c>
      <c r="I55" s="935">
        <v>204</v>
      </c>
      <c r="J55" s="935">
        <v>2018</v>
      </c>
      <c r="K55" s="935">
        <v>2222</v>
      </c>
      <c r="L55" s="935">
        <v>332</v>
      </c>
      <c r="M55" s="935">
        <v>1271</v>
      </c>
      <c r="N55" s="935">
        <v>1603</v>
      </c>
      <c r="O55" s="935">
        <v>241</v>
      </c>
      <c r="P55" s="935">
        <v>2558</v>
      </c>
      <c r="Q55" s="935">
        <v>2799</v>
      </c>
      <c r="R55" s="935">
        <v>210</v>
      </c>
      <c r="S55" s="935">
        <v>3370</v>
      </c>
      <c r="T55" s="935">
        <v>3580</v>
      </c>
      <c r="U55" s="935">
        <v>127</v>
      </c>
      <c r="V55" s="935">
        <v>3653</v>
      </c>
      <c r="W55" s="935">
        <v>3780</v>
      </c>
      <c r="X55" s="935">
        <v>151</v>
      </c>
      <c r="Y55" s="935">
        <v>2288</v>
      </c>
      <c r="Z55" s="935">
        <v>2439</v>
      </c>
      <c r="AA55" s="935">
        <v>100</v>
      </c>
      <c r="AB55" s="935">
        <v>1369</v>
      </c>
      <c r="AC55" s="935">
        <v>1469</v>
      </c>
      <c r="AD55" s="935">
        <v>61</v>
      </c>
      <c r="AE55" s="935">
        <v>668</v>
      </c>
      <c r="AF55" s="935">
        <v>729</v>
      </c>
      <c r="AH55" s="935">
        <f t="shared" si="16"/>
        <v>888</v>
      </c>
      <c r="AI55" s="935">
        <f t="shared" si="17"/>
        <v>5574</v>
      </c>
      <c r="AJ55" s="935">
        <f t="shared" si="18"/>
        <v>6462</v>
      </c>
      <c r="AK55" s="935">
        <f t="shared" si="19"/>
        <v>1061</v>
      </c>
      <c r="AL55" s="935">
        <f t="shared" si="20"/>
        <v>13140</v>
      </c>
      <c r="AM55" s="935">
        <f t="shared" si="21"/>
        <v>14201</v>
      </c>
      <c r="AN55" s="935">
        <f t="shared" si="22"/>
        <v>161</v>
      </c>
      <c r="AO55" s="935">
        <f t="shared" si="23"/>
        <v>2037</v>
      </c>
      <c r="AP55" s="935">
        <f t="shared" si="24"/>
        <v>2198</v>
      </c>
      <c r="AR55" s="936">
        <f t="shared" si="25"/>
        <v>0.13741875580315691</v>
      </c>
      <c r="AS55" s="936">
        <f t="shared" si="26"/>
        <v>7.4713048376874869E-2</v>
      </c>
      <c r="AT55" s="936">
        <f t="shared" si="27"/>
        <v>7.32484076433121E-2</v>
      </c>
      <c r="AV55" s="937">
        <v>6530</v>
      </c>
      <c r="AW55" s="937">
        <v>15111</v>
      </c>
      <c r="AX55" s="937">
        <v>2520</v>
      </c>
      <c r="AZ55" s="937">
        <f t="shared" si="28"/>
        <v>897.34447539461462</v>
      </c>
      <c r="BA55" s="937">
        <f t="shared" si="29"/>
        <v>1128.9888740229562</v>
      </c>
      <c r="BB55" s="937">
        <f t="shared" si="30"/>
        <v>184.5859872611465</v>
      </c>
      <c r="BC55" s="954">
        <f t="shared" si="15"/>
        <v>2210.9193366787172</v>
      </c>
    </row>
    <row r="56" spans="1:55" s="934" customFormat="1" ht="12" customHeight="1" x14ac:dyDescent="0.2">
      <c r="A56" s="934" t="s">
        <v>126</v>
      </c>
      <c r="B56" s="938" t="s">
        <v>489</v>
      </c>
      <c r="C56" s="951">
        <v>24</v>
      </c>
      <c r="D56" s="935">
        <v>1107</v>
      </c>
      <c r="E56" s="935">
        <v>1131</v>
      </c>
      <c r="F56" s="935">
        <v>227</v>
      </c>
      <c r="G56" s="935">
        <v>1333</v>
      </c>
      <c r="H56" s="935">
        <v>1560</v>
      </c>
      <c r="I56" s="935">
        <v>192</v>
      </c>
      <c r="J56" s="935">
        <v>972</v>
      </c>
      <c r="K56" s="935">
        <v>1164</v>
      </c>
      <c r="L56" s="935">
        <v>183</v>
      </c>
      <c r="M56" s="935">
        <v>1053</v>
      </c>
      <c r="N56" s="935">
        <v>1236</v>
      </c>
      <c r="O56" s="935">
        <v>70</v>
      </c>
      <c r="P56" s="935">
        <v>1790</v>
      </c>
      <c r="Q56" s="935">
        <v>1860</v>
      </c>
      <c r="R56" s="935">
        <v>211</v>
      </c>
      <c r="S56" s="935">
        <v>2126</v>
      </c>
      <c r="T56" s="935">
        <v>2337</v>
      </c>
      <c r="U56" s="935">
        <v>175</v>
      </c>
      <c r="V56" s="935">
        <v>2319</v>
      </c>
      <c r="W56" s="935">
        <v>2494</v>
      </c>
      <c r="X56" s="935">
        <v>93</v>
      </c>
      <c r="Y56" s="935">
        <v>1921</v>
      </c>
      <c r="Z56" s="935">
        <v>2014</v>
      </c>
      <c r="AA56" s="935">
        <v>99</v>
      </c>
      <c r="AB56" s="935">
        <v>1002</v>
      </c>
      <c r="AC56" s="935">
        <v>1101</v>
      </c>
      <c r="AD56" s="935">
        <v>149</v>
      </c>
      <c r="AE56" s="935">
        <v>591</v>
      </c>
      <c r="AF56" s="935">
        <v>740</v>
      </c>
      <c r="AH56" s="935">
        <f t="shared" si="16"/>
        <v>443</v>
      </c>
      <c r="AI56" s="935">
        <f t="shared" si="17"/>
        <v>3412</v>
      </c>
      <c r="AJ56" s="935">
        <f t="shared" si="18"/>
        <v>3855</v>
      </c>
      <c r="AK56" s="935">
        <f t="shared" si="19"/>
        <v>732</v>
      </c>
      <c r="AL56" s="935">
        <f t="shared" si="20"/>
        <v>9209</v>
      </c>
      <c r="AM56" s="935">
        <f t="shared" si="21"/>
        <v>9941</v>
      </c>
      <c r="AN56" s="935">
        <f t="shared" si="22"/>
        <v>248</v>
      </c>
      <c r="AO56" s="935">
        <f t="shared" si="23"/>
        <v>1593</v>
      </c>
      <c r="AP56" s="935">
        <f t="shared" si="24"/>
        <v>1841</v>
      </c>
      <c r="AR56" s="936">
        <f t="shared" si="25"/>
        <v>0.11491569390402075</v>
      </c>
      <c r="AS56" s="936">
        <f t="shared" si="26"/>
        <v>7.3634443214968315E-2</v>
      </c>
      <c r="AT56" s="936">
        <f t="shared" si="27"/>
        <v>0.13470939706681151</v>
      </c>
      <c r="AV56" s="937">
        <v>3887</v>
      </c>
      <c r="AW56" s="937">
        <v>10093</v>
      </c>
      <c r="AX56" s="937">
        <v>2001</v>
      </c>
      <c r="AZ56" s="937">
        <f t="shared" si="28"/>
        <v>446.67730220492865</v>
      </c>
      <c r="BA56" s="937">
        <f t="shared" si="29"/>
        <v>743.19243536867521</v>
      </c>
      <c r="BB56" s="937">
        <f t="shared" si="30"/>
        <v>269.55350353068985</v>
      </c>
      <c r="BC56" s="954">
        <f t="shared" si="15"/>
        <v>1459.4232411042935</v>
      </c>
    </row>
    <row r="57" spans="1:55" s="934" customFormat="1" ht="12" customHeight="1" x14ac:dyDescent="0.2">
      <c r="A57" s="934" t="s">
        <v>128</v>
      </c>
      <c r="B57" s="938" t="s">
        <v>490</v>
      </c>
      <c r="C57" s="951">
        <v>174</v>
      </c>
      <c r="D57" s="935">
        <v>340</v>
      </c>
      <c r="E57" s="935">
        <v>514</v>
      </c>
      <c r="F57" s="935">
        <v>103</v>
      </c>
      <c r="G57" s="935">
        <v>366</v>
      </c>
      <c r="H57" s="935">
        <v>469</v>
      </c>
      <c r="I57" s="935">
        <v>189</v>
      </c>
      <c r="J57" s="935">
        <v>520</v>
      </c>
      <c r="K57" s="935">
        <v>709</v>
      </c>
      <c r="L57" s="935">
        <v>98</v>
      </c>
      <c r="M57" s="935">
        <v>447</v>
      </c>
      <c r="N57" s="935">
        <v>545</v>
      </c>
      <c r="O57" s="935">
        <v>145</v>
      </c>
      <c r="P57" s="935">
        <v>632</v>
      </c>
      <c r="Q57" s="935">
        <v>777</v>
      </c>
      <c r="R57" s="935">
        <v>197</v>
      </c>
      <c r="S57" s="935">
        <v>787</v>
      </c>
      <c r="T57" s="935">
        <v>984</v>
      </c>
      <c r="U57" s="935">
        <v>127</v>
      </c>
      <c r="V57" s="935">
        <v>1617</v>
      </c>
      <c r="W57" s="935">
        <v>1744</v>
      </c>
      <c r="X57" s="935">
        <v>73</v>
      </c>
      <c r="Y57" s="935">
        <v>1891</v>
      </c>
      <c r="Z57" s="935">
        <v>1964</v>
      </c>
      <c r="AA57" s="935">
        <v>251</v>
      </c>
      <c r="AB57" s="935">
        <v>1517</v>
      </c>
      <c r="AC57" s="935">
        <v>1768</v>
      </c>
      <c r="AD57" s="935">
        <v>232</v>
      </c>
      <c r="AE57" s="935">
        <v>1278</v>
      </c>
      <c r="AF57" s="935">
        <v>1510</v>
      </c>
      <c r="AH57" s="935">
        <f t="shared" si="16"/>
        <v>466</v>
      </c>
      <c r="AI57" s="935">
        <f t="shared" si="17"/>
        <v>1226</v>
      </c>
      <c r="AJ57" s="935">
        <f t="shared" si="18"/>
        <v>1692</v>
      </c>
      <c r="AK57" s="935">
        <f t="shared" si="19"/>
        <v>640</v>
      </c>
      <c r="AL57" s="935">
        <f t="shared" si="20"/>
        <v>5374</v>
      </c>
      <c r="AM57" s="935">
        <f t="shared" si="21"/>
        <v>6014</v>
      </c>
      <c r="AN57" s="935">
        <f t="shared" si="22"/>
        <v>483</v>
      </c>
      <c r="AO57" s="935">
        <f t="shared" si="23"/>
        <v>2795</v>
      </c>
      <c r="AP57" s="935">
        <f t="shared" si="24"/>
        <v>3278</v>
      </c>
      <c r="AR57" s="936">
        <f t="shared" si="25"/>
        <v>0.27541371158392436</v>
      </c>
      <c r="AS57" s="936">
        <f t="shared" si="26"/>
        <v>0.10641835716661124</v>
      </c>
      <c r="AT57" s="936">
        <f t="shared" si="27"/>
        <v>0.14734594264795606</v>
      </c>
      <c r="AV57" s="937">
        <v>1781</v>
      </c>
      <c r="AW57" s="937">
        <v>5954</v>
      </c>
      <c r="AX57" s="937">
        <v>3547</v>
      </c>
      <c r="AZ57" s="937">
        <f t="shared" si="28"/>
        <v>490.51182033096927</v>
      </c>
      <c r="BA57" s="937">
        <f t="shared" si="29"/>
        <v>633.61489857000333</v>
      </c>
      <c r="BB57" s="937">
        <f t="shared" si="30"/>
        <v>522.63605857230016</v>
      </c>
      <c r="BC57" s="954">
        <f t="shared" si="15"/>
        <v>1646.7627774732728</v>
      </c>
    </row>
    <row r="58" spans="1:55" s="934" customFormat="1" ht="12" customHeight="1" x14ac:dyDescent="0.2">
      <c r="A58" s="934" t="s">
        <v>130</v>
      </c>
      <c r="B58" s="938" t="s">
        <v>491</v>
      </c>
      <c r="C58" s="951">
        <v>682</v>
      </c>
      <c r="D58" s="935">
        <v>820</v>
      </c>
      <c r="E58" s="935">
        <v>1502</v>
      </c>
      <c r="F58" s="935">
        <v>552</v>
      </c>
      <c r="G58" s="935">
        <v>1148</v>
      </c>
      <c r="H58" s="935">
        <v>1700</v>
      </c>
      <c r="I58" s="935">
        <v>627</v>
      </c>
      <c r="J58" s="935">
        <v>1182</v>
      </c>
      <c r="K58" s="935">
        <v>1809</v>
      </c>
      <c r="L58" s="935">
        <v>608</v>
      </c>
      <c r="M58" s="935">
        <v>1244</v>
      </c>
      <c r="N58" s="935">
        <v>1852</v>
      </c>
      <c r="O58" s="935">
        <v>839</v>
      </c>
      <c r="P58" s="935">
        <v>1813</v>
      </c>
      <c r="Q58" s="935">
        <v>2652</v>
      </c>
      <c r="R58" s="935">
        <v>717</v>
      </c>
      <c r="S58" s="935">
        <v>2454</v>
      </c>
      <c r="T58" s="935">
        <v>3171</v>
      </c>
      <c r="U58" s="935">
        <v>965</v>
      </c>
      <c r="V58" s="935">
        <v>2844</v>
      </c>
      <c r="W58" s="935">
        <v>3809</v>
      </c>
      <c r="X58" s="935">
        <v>574</v>
      </c>
      <c r="Y58" s="935">
        <v>2831</v>
      </c>
      <c r="Z58" s="935">
        <v>3405</v>
      </c>
      <c r="AA58" s="935">
        <v>497</v>
      </c>
      <c r="AB58" s="935">
        <v>1821</v>
      </c>
      <c r="AC58" s="935">
        <v>2318</v>
      </c>
      <c r="AD58" s="935">
        <v>516</v>
      </c>
      <c r="AE58" s="935">
        <v>1084</v>
      </c>
      <c r="AF58" s="935">
        <v>1600</v>
      </c>
      <c r="AH58" s="935">
        <f t="shared" si="16"/>
        <v>1861</v>
      </c>
      <c r="AI58" s="935">
        <f t="shared" si="17"/>
        <v>3150</v>
      </c>
      <c r="AJ58" s="935">
        <f t="shared" si="18"/>
        <v>5011</v>
      </c>
      <c r="AK58" s="935">
        <f t="shared" si="19"/>
        <v>3703</v>
      </c>
      <c r="AL58" s="935">
        <f t="shared" si="20"/>
        <v>11186</v>
      </c>
      <c r="AM58" s="935">
        <f t="shared" si="21"/>
        <v>14889</v>
      </c>
      <c r="AN58" s="935">
        <f t="shared" si="22"/>
        <v>1013</v>
      </c>
      <c r="AO58" s="935">
        <f t="shared" si="23"/>
        <v>2905</v>
      </c>
      <c r="AP58" s="935">
        <f t="shared" si="24"/>
        <v>3918</v>
      </c>
      <c r="AR58" s="936">
        <f t="shared" si="25"/>
        <v>0.37138295749351424</v>
      </c>
      <c r="AS58" s="936">
        <f t="shared" si="26"/>
        <v>0.24870709920075224</v>
      </c>
      <c r="AT58" s="936">
        <f t="shared" si="27"/>
        <v>0.25855028075548747</v>
      </c>
      <c r="AV58" s="937">
        <v>5089</v>
      </c>
      <c r="AW58" s="937">
        <v>16175</v>
      </c>
      <c r="AX58" s="937">
        <v>3882</v>
      </c>
      <c r="AZ58" s="937">
        <f t="shared" si="28"/>
        <v>1889.9678706844941</v>
      </c>
      <c r="BA58" s="937">
        <f t="shared" si="29"/>
        <v>4022.8373295721676</v>
      </c>
      <c r="BB58" s="937">
        <f t="shared" si="30"/>
        <v>1003.6921898928024</v>
      </c>
      <c r="BC58" s="954">
        <f t="shared" si="15"/>
        <v>6916.4973901494641</v>
      </c>
    </row>
    <row r="59" spans="1:55" s="934" customFormat="1" ht="12" customHeight="1" x14ac:dyDescent="0.2">
      <c r="A59" s="934" t="s">
        <v>132</v>
      </c>
      <c r="B59" s="938" t="s">
        <v>492</v>
      </c>
      <c r="C59" s="951">
        <v>1493</v>
      </c>
      <c r="D59" s="935">
        <v>30744</v>
      </c>
      <c r="E59" s="935">
        <v>32237</v>
      </c>
      <c r="F59" s="935">
        <v>1381</v>
      </c>
      <c r="G59" s="935">
        <v>30755</v>
      </c>
      <c r="H59" s="935">
        <v>32136</v>
      </c>
      <c r="I59" s="935">
        <v>1358</v>
      </c>
      <c r="J59" s="935">
        <v>25571</v>
      </c>
      <c r="K59" s="935">
        <v>26929</v>
      </c>
      <c r="L59" s="935">
        <v>1355</v>
      </c>
      <c r="M59" s="935">
        <v>16631</v>
      </c>
      <c r="N59" s="935">
        <v>17986</v>
      </c>
      <c r="O59" s="935">
        <v>2541</v>
      </c>
      <c r="P59" s="935">
        <v>40781</v>
      </c>
      <c r="Q59" s="935">
        <v>43322</v>
      </c>
      <c r="R59" s="935">
        <v>1860</v>
      </c>
      <c r="S59" s="935">
        <v>56506</v>
      </c>
      <c r="T59" s="935">
        <v>58366</v>
      </c>
      <c r="U59" s="935">
        <v>1517</v>
      </c>
      <c r="V59" s="935">
        <v>44657</v>
      </c>
      <c r="W59" s="935">
        <v>46174</v>
      </c>
      <c r="X59" s="935">
        <v>824</v>
      </c>
      <c r="Y59" s="935">
        <v>24653</v>
      </c>
      <c r="Z59" s="935">
        <v>25477</v>
      </c>
      <c r="AA59" s="935">
        <v>331</v>
      </c>
      <c r="AB59" s="935">
        <v>11188</v>
      </c>
      <c r="AC59" s="935">
        <v>11519</v>
      </c>
      <c r="AD59" s="935">
        <v>651</v>
      </c>
      <c r="AE59" s="935">
        <v>6910</v>
      </c>
      <c r="AF59" s="935">
        <v>7561</v>
      </c>
      <c r="AH59" s="935">
        <f t="shared" si="16"/>
        <v>4232</v>
      </c>
      <c r="AI59" s="935">
        <f t="shared" si="17"/>
        <v>87070</v>
      </c>
      <c r="AJ59" s="935">
        <f t="shared" si="18"/>
        <v>91302</v>
      </c>
      <c r="AK59" s="935">
        <f t="shared" si="19"/>
        <v>8097</v>
      </c>
      <c r="AL59" s="935">
        <f t="shared" si="20"/>
        <v>183228</v>
      </c>
      <c r="AM59" s="935">
        <f t="shared" si="21"/>
        <v>191325</v>
      </c>
      <c r="AN59" s="935">
        <f t="shared" si="22"/>
        <v>982</v>
      </c>
      <c r="AO59" s="935">
        <f t="shared" si="23"/>
        <v>18098</v>
      </c>
      <c r="AP59" s="935">
        <f t="shared" si="24"/>
        <v>19080</v>
      </c>
      <c r="AR59" s="936">
        <f t="shared" si="25"/>
        <v>4.6351668090512804E-2</v>
      </c>
      <c r="AS59" s="936">
        <f t="shared" si="26"/>
        <v>4.2320658565268524E-2</v>
      </c>
      <c r="AT59" s="936">
        <f t="shared" si="27"/>
        <v>5.1467505241090145E-2</v>
      </c>
      <c r="AV59" s="937">
        <v>98249</v>
      </c>
      <c r="AW59" s="937">
        <v>204736</v>
      </c>
      <c r="AX59" s="937">
        <v>22420</v>
      </c>
      <c r="AZ59" s="937">
        <f t="shared" si="28"/>
        <v>4554.0050382247928</v>
      </c>
      <c r="BA59" s="937">
        <f t="shared" si="29"/>
        <v>8664.5623520188165</v>
      </c>
      <c r="BB59" s="937">
        <f t="shared" si="30"/>
        <v>1153.901467505241</v>
      </c>
      <c r="BC59" s="954">
        <f t="shared" si="15"/>
        <v>14372.46885774885</v>
      </c>
    </row>
    <row r="60" spans="1:55" s="934" customFormat="1" ht="12" customHeight="1" x14ac:dyDescent="0.2">
      <c r="A60" s="934" t="s">
        <v>134</v>
      </c>
      <c r="B60" s="938" t="s">
        <v>493</v>
      </c>
      <c r="C60" s="951">
        <v>317</v>
      </c>
      <c r="D60" s="935">
        <v>1976</v>
      </c>
      <c r="E60" s="935">
        <v>2293</v>
      </c>
      <c r="F60" s="935">
        <v>496</v>
      </c>
      <c r="G60" s="935">
        <v>2063</v>
      </c>
      <c r="H60" s="935">
        <v>2559</v>
      </c>
      <c r="I60" s="935">
        <v>348</v>
      </c>
      <c r="J60" s="935">
        <v>1980</v>
      </c>
      <c r="K60" s="935">
        <v>2328</v>
      </c>
      <c r="L60" s="935">
        <v>471</v>
      </c>
      <c r="M60" s="935">
        <v>1746</v>
      </c>
      <c r="N60" s="935">
        <v>2217</v>
      </c>
      <c r="O60" s="935">
        <v>386</v>
      </c>
      <c r="P60" s="935">
        <v>3340</v>
      </c>
      <c r="Q60" s="935">
        <v>3726</v>
      </c>
      <c r="R60" s="935">
        <v>696</v>
      </c>
      <c r="S60" s="935">
        <v>3746</v>
      </c>
      <c r="T60" s="935">
        <v>4442</v>
      </c>
      <c r="U60" s="935">
        <v>763</v>
      </c>
      <c r="V60" s="935">
        <v>4710</v>
      </c>
      <c r="W60" s="935">
        <v>5473</v>
      </c>
      <c r="X60" s="935">
        <v>620</v>
      </c>
      <c r="Y60" s="935">
        <v>4244</v>
      </c>
      <c r="Z60" s="935">
        <v>4864</v>
      </c>
      <c r="AA60" s="935">
        <v>264</v>
      </c>
      <c r="AB60" s="935">
        <v>2699</v>
      </c>
      <c r="AC60" s="935">
        <v>2963</v>
      </c>
      <c r="AD60" s="935">
        <v>427</v>
      </c>
      <c r="AE60" s="935">
        <v>1243</v>
      </c>
      <c r="AF60" s="935">
        <v>1670</v>
      </c>
      <c r="AH60" s="935">
        <f t="shared" si="16"/>
        <v>1161</v>
      </c>
      <c r="AI60" s="935">
        <f t="shared" si="17"/>
        <v>6019</v>
      </c>
      <c r="AJ60" s="935">
        <f t="shared" si="18"/>
        <v>7180</v>
      </c>
      <c r="AK60" s="935">
        <f t="shared" si="19"/>
        <v>2936</v>
      </c>
      <c r="AL60" s="935">
        <f t="shared" si="20"/>
        <v>17786</v>
      </c>
      <c r="AM60" s="935">
        <f t="shared" si="21"/>
        <v>20722</v>
      </c>
      <c r="AN60" s="935">
        <f t="shared" si="22"/>
        <v>691</v>
      </c>
      <c r="AO60" s="935">
        <f t="shared" si="23"/>
        <v>3942</v>
      </c>
      <c r="AP60" s="935">
        <f t="shared" si="24"/>
        <v>4633</v>
      </c>
      <c r="AR60" s="936">
        <f t="shared" si="25"/>
        <v>0.16169916434540391</v>
      </c>
      <c r="AS60" s="936">
        <f t="shared" si="26"/>
        <v>0.14168516552456326</v>
      </c>
      <c r="AT60" s="936">
        <f t="shared" si="27"/>
        <v>0.14914742067774661</v>
      </c>
      <c r="AV60" s="937">
        <v>7237</v>
      </c>
      <c r="AW60" s="937">
        <v>21128</v>
      </c>
      <c r="AX60" s="937">
        <v>5030</v>
      </c>
      <c r="AZ60" s="937">
        <f t="shared" si="28"/>
        <v>1170.216852367688</v>
      </c>
      <c r="BA60" s="937">
        <f t="shared" si="29"/>
        <v>2993.5241772029726</v>
      </c>
      <c r="BB60" s="937">
        <f t="shared" si="30"/>
        <v>750.21152600906544</v>
      </c>
      <c r="BC60" s="954">
        <f t="shared" si="15"/>
        <v>4913.9525555797263</v>
      </c>
    </row>
    <row r="61" spans="1:55" s="934" customFormat="1" ht="12" customHeight="1" x14ac:dyDescent="0.2">
      <c r="A61" s="934" t="s">
        <v>136</v>
      </c>
      <c r="B61" s="938" t="s">
        <v>494</v>
      </c>
      <c r="C61" s="951">
        <v>326</v>
      </c>
      <c r="D61" s="935">
        <v>388</v>
      </c>
      <c r="E61" s="935">
        <v>714</v>
      </c>
      <c r="F61" s="935">
        <v>213</v>
      </c>
      <c r="G61" s="935">
        <v>647</v>
      </c>
      <c r="H61" s="935">
        <v>860</v>
      </c>
      <c r="I61" s="935">
        <v>206</v>
      </c>
      <c r="J61" s="935">
        <v>643</v>
      </c>
      <c r="K61" s="935">
        <v>849</v>
      </c>
      <c r="L61" s="935">
        <v>306</v>
      </c>
      <c r="M61" s="935">
        <v>722</v>
      </c>
      <c r="N61" s="935">
        <v>1028</v>
      </c>
      <c r="O61" s="935">
        <v>352</v>
      </c>
      <c r="P61" s="935">
        <v>718</v>
      </c>
      <c r="Q61" s="935">
        <v>1070</v>
      </c>
      <c r="R61" s="935">
        <v>199</v>
      </c>
      <c r="S61" s="935">
        <v>845</v>
      </c>
      <c r="T61" s="935">
        <v>1044</v>
      </c>
      <c r="U61" s="935">
        <v>168</v>
      </c>
      <c r="V61" s="935">
        <v>1671</v>
      </c>
      <c r="W61" s="935">
        <v>1839</v>
      </c>
      <c r="X61" s="935">
        <v>581</v>
      </c>
      <c r="Y61" s="935">
        <v>1289</v>
      </c>
      <c r="Z61" s="935">
        <v>1870</v>
      </c>
      <c r="AA61" s="935">
        <v>233</v>
      </c>
      <c r="AB61" s="935">
        <v>929</v>
      </c>
      <c r="AC61" s="935">
        <v>1162</v>
      </c>
      <c r="AD61" s="935">
        <v>295</v>
      </c>
      <c r="AE61" s="935">
        <v>687</v>
      </c>
      <c r="AF61" s="935">
        <v>982</v>
      </c>
      <c r="AH61" s="935">
        <f t="shared" si="16"/>
        <v>745</v>
      </c>
      <c r="AI61" s="935">
        <f t="shared" si="17"/>
        <v>1678</v>
      </c>
      <c r="AJ61" s="935">
        <f t="shared" si="18"/>
        <v>2423</v>
      </c>
      <c r="AK61" s="935">
        <f t="shared" si="19"/>
        <v>1606</v>
      </c>
      <c r="AL61" s="935">
        <f t="shared" si="20"/>
        <v>5245</v>
      </c>
      <c r="AM61" s="935">
        <f t="shared" si="21"/>
        <v>6851</v>
      </c>
      <c r="AN61" s="935">
        <f t="shared" si="22"/>
        <v>528</v>
      </c>
      <c r="AO61" s="935">
        <f t="shared" si="23"/>
        <v>1616</v>
      </c>
      <c r="AP61" s="935">
        <f t="shared" si="24"/>
        <v>2144</v>
      </c>
      <c r="AR61" s="936">
        <f t="shared" si="25"/>
        <v>0.30747007841518781</v>
      </c>
      <c r="AS61" s="936">
        <f t="shared" si="26"/>
        <v>0.23441833309005985</v>
      </c>
      <c r="AT61" s="936">
        <f t="shared" si="27"/>
        <v>0.2462686567164179</v>
      </c>
      <c r="AV61" s="937">
        <v>2471</v>
      </c>
      <c r="AW61" s="937">
        <v>8158</v>
      </c>
      <c r="AX61" s="937">
        <v>2245</v>
      </c>
      <c r="AZ61" s="937">
        <f t="shared" si="28"/>
        <v>759.75856376392903</v>
      </c>
      <c r="BA61" s="937">
        <f t="shared" si="29"/>
        <v>1912.3847613487083</v>
      </c>
      <c r="BB61" s="937">
        <f t="shared" si="30"/>
        <v>552.87313432835822</v>
      </c>
      <c r="BC61" s="954">
        <f t="shared" si="15"/>
        <v>3225.0164594409953</v>
      </c>
    </row>
    <row r="62" spans="1:55" s="934" customFormat="1" ht="12" customHeight="1" x14ac:dyDescent="0.2">
      <c r="A62" s="934" t="s">
        <v>140</v>
      </c>
      <c r="B62" s="938" t="s">
        <v>495</v>
      </c>
      <c r="C62" s="951">
        <v>297</v>
      </c>
      <c r="D62" s="935">
        <v>645</v>
      </c>
      <c r="E62" s="935">
        <v>942</v>
      </c>
      <c r="F62" s="935">
        <v>186</v>
      </c>
      <c r="G62" s="935">
        <v>800</v>
      </c>
      <c r="H62" s="935">
        <v>986</v>
      </c>
      <c r="I62" s="935">
        <v>92</v>
      </c>
      <c r="J62" s="935">
        <v>919</v>
      </c>
      <c r="K62" s="935">
        <v>1011</v>
      </c>
      <c r="L62" s="935">
        <v>119</v>
      </c>
      <c r="M62" s="935">
        <v>708</v>
      </c>
      <c r="N62" s="935">
        <v>827</v>
      </c>
      <c r="O62" s="935">
        <v>325</v>
      </c>
      <c r="P62" s="935">
        <v>973</v>
      </c>
      <c r="Q62" s="935">
        <v>1298</v>
      </c>
      <c r="R62" s="935">
        <v>147</v>
      </c>
      <c r="S62" s="935">
        <v>1473</v>
      </c>
      <c r="T62" s="935">
        <v>1620</v>
      </c>
      <c r="U62" s="935">
        <v>129</v>
      </c>
      <c r="V62" s="935">
        <v>2158</v>
      </c>
      <c r="W62" s="935">
        <v>2287</v>
      </c>
      <c r="X62" s="935">
        <v>256</v>
      </c>
      <c r="Y62" s="935">
        <v>1658</v>
      </c>
      <c r="Z62" s="935">
        <v>1914</v>
      </c>
      <c r="AA62" s="935">
        <v>128</v>
      </c>
      <c r="AB62" s="935">
        <v>1175</v>
      </c>
      <c r="AC62" s="935">
        <v>1303</v>
      </c>
      <c r="AD62" s="935">
        <v>144</v>
      </c>
      <c r="AE62" s="935">
        <v>760</v>
      </c>
      <c r="AF62" s="935">
        <v>904</v>
      </c>
      <c r="AH62" s="935">
        <f t="shared" si="16"/>
        <v>575</v>
      </c>
      <c r="AI62" s="935">
        <f t="shared" si="17"/>
        <v>2364</v>
      </c>
      <c r="AJ62" s="935">
        <f t="shared" si="18"/>
        <v>2939</v>
      </c>
      <c r="AK62" s="935">
        <f t="shared" si="19"/>
        <v>976</v>
      </c>
      <c r="AL62" s="935">
        <f t="shared" si="20"/>
        <v>6970</v>
      </c>
      <c r="AM62" s="935">
        <f t="shared" si="21"/>
        <v>7946</v>
      </c>
      <c r="AN62" s="935">
        <f t="shared" si="22"/>
        <v>272</v>
      </c>
      <c r="AO62" s="935">
        <f t="shared" si="23"/>
        <v>1935</v>
      </c>
      <c r="AP62" s="935">
        <f t="shared" si="24"/>
        <v>2207</v>
      </c>
      <c r="AR62" s="936">
        <f t="shared" si="25"/>
        <v>0.19564477713507997</v>
      </c>
      <c r="AS62" s="936">
        <f t="shared" si="26"/>
        <v>0.12282909640070476</v>
      </c>
      <c r="AT62" s="936">
        <f t="shared" si="27"/>
        <v>0.1232442229270503</v>
      </c>
      <c r="AV62" s="937">
        <v>2839</v>
      </c>
      <c r="AW62" s="937">
        <v>7909</v>
      </c>
      <c r="AX62" s="937">
        <v>2421</v>
      </c>
      <c r="AZ62" s="937">
        <f t="shared" si="28"/>
        <v>555.43552228649207</v>
      </c>
      <c r="BA62" s="937">
        <f t="shared" si="29"/>
        <v>971.45532343317393</v>
      </c>
      <c r="BB62" s="937">
        <f t="shared" si="30"/>
        <v>298.37426370638877</v>
      </c>
      <c r="BC62" s="954">
        <f t="shared" si="15"/>
        <v>1825.2651094260548</v>
      </c>
    </row>
    <row r="63" spans="1:55" s="934" customFormat="1" ht="12" customHeight="1" x14ac:dyDescent="0.2">
      <c r="A63" s="934" t="s">
        <v>146</v>
      </c>
      <c r="B63" s="938" t="s">
        <v>496</v>
      </c>
      <c r="C63" s="951">
        <v>207</v>
      </c>
      <c r="D63" s="935">
        <v>306</v>
      </c>
      <c r="E63" s="935">
        <v>513</v>
      </c>
      <c r="F63" s="935">
        <v>58</v>
      </c>
      <c r="G63" s="935">
        <v>315</v>
      </c>
      <c r="H63" s="935">
        <v>373</v>
      </c>
      <c r="I63" s="935">
        <v>38</v>
      </c>
      <c r="J63" s="935">
        <v>752</v>
      </c>
      <c r="K63" s="935">
        <v>790</v>
      </c>
      <c r="L63" s="935">
        <v>90</v>
      </c>
      <c r="M63" s="935">
        <v>434</v>
      </c>
      <c r="N63" s="935">
        <v>524</v>
      </c>
      <c r="O63" s="935">
        <v>94</v>
      </c>
      <c r="P63" s="935">
        <v>418</v>
      </c>
      <c r="Q63" s="935">
        <v>512</v>
      </c>
      <c r="R63" s="935">
        <v>78</v>
      </c>
      <c r="S63" s="935">
        <v>928</v>
      </c>
      <c r="T63" s="935">
        <v>1006</v>
      </c>
      <c r="U63" s="935">
        <v>217</v>
      </c>
      <c r="V63" s="935">
        <v>1227</v>
      </c>
      <c r="W63" s="935">
        <v>1444</v>
      </c>
      <c r="X63" s="935">
        <v>137</v>
      </c>
      <c r="Y63" s="935">
        <v>1393</v>
      </c>
      <c r="Z63" s="935">
        <v>1530</v>
      </c>
      <c r="AA63" s="935">
        <v>50</v>
      </c>
      <c r="AB63" s="935">
        <v>1213</v>
      </c>
      <c r="AC63" s="935">
        <v>1263</v>
      </c>
      <c r="AD63" s="935">
        <v>178</v>
      </c>
      <c r="AE63" s="935">
        <v>753</v>
      </c>
      <c r="AF63" s="935">
        <v>931</v>
      </c>
      <c r="AH63" s="935">
        <f t="shared" si="16"/>
        <v>303</v>
      </c>
      <c r="AI63" s="935">
        <f t="shared" si="17"/>
        <v>1373</v>
      </c>
      <c r="AJ63" s="935">
        <f t="shared" si="18"/>
        <v>1676</v>
      </c>
      <c r="AK63" s="935">
        <f t="shared" si="19"/>
        <v>616</v>
      </c>
      <c r="AL63" s="935">
        <f t="shared" si="20"/>
        <v>4400</v>
      </c>
      <c r="AM63" s="935">
        <f t="shared" si="21"/>
        <v>5016</v>
      </c>
      <c r="AN63" s="935">
        <f t="shared" si="22"/>
        <v>228</v>
      </c>
      <c r="AO63" s="935">
        <f t="shared" si="23"/>
        <v>1966</v>
      </c>
      <c r="AP63" s="935">
        <f t="shared" si="24"/>
        <v>2194</v>
      </c>
      <c r="AR63" s="936">
        <f t="shared" si="25"/>
        <v>0.18078758949880669</v>
      </c>
      <c r="AS63" s="936">
        <f t="shared" si="26"/>
        <v>0.12280701754385964</v>
      </c>
      <c r="AT63" s="936">
        <f t="shared" si="27"/>
        <v>0.10391978122151321</v>
      </c>
      <c r="AV63" s="937">
        <v>1608</v>
      </c>
      <c r="AW63" s="937">
        <v>5014</v>
      </c>
      <c r="AX63" s="937">
        <v>2340</v>
      </c>
      <c r="AZ63" s="937">
        <f t="shared" si="28"/>
        <v>290.70644391408115</v>
      </c>
      <c r="BA63" s="937">
        <f t="shared" si="29"/>
        <v>615.75438596491222</v>
      </c>
      <c r="BB63" s="937">
        <f t="shared" si="30"/>
        <v>243.17228805834091</v>
      </c>
      <c r="BC63" s="954">
        <f t="shared" si="15"/>
        <v>1149.6331179373342</v>
      </c>
    </row>
    <row r="64" spans="1:55" s="934" customFormat="1" ht="12" customHeight="1" x14ac:dyDescent="0.2">
      <c r="A64" s="934" t="s">
        <v>148</v>
      </c>
      <c r="B64" s="938" t="s">
        <v>497</v>
      </c>
      <c r="C64" s="951">
        <v>711</v>
      </c>
      <c r="D64" s="935">
        <v>1203</v>
      </c>
      <c r="E64" s="935">
        <v>1914</v>
      </c>
      <c r="F64" s="935">
        <v>771</v>
      </c>
      <c r="G64" s="935">
        <v>1414</v>
      </c>
      <c r="H64" s="935">
        <v>2185</v>
      </c>
      <c r="I64" s="935">
        <v>537</v>
      </c>
      <c r="J64" s="935">
        <v>1665</v>
      </c>
      <c r="K64" s="935">
        <v>2202</v>
      </c>
      <c r="L64" s="935">
        <v>591</v>
      </c>
      <c r="M64" s="935">
        <v>1363</v>
      </c>
      <c r="N64" s="935">
        <v>1954</v>
      </c>
      <c r="O64" s="935">
        <v>1090</v>
      </c>
      <c r="P64" s="935">
        <v>2016</v>
      </c>
      <c r="Q64" s="935">
        <v>3106</v>
      </c>
      <c r="R64" s="935">
        <v>636</v>
      </c>
      <c r="S64" s="935">
        <v>2996</v>
      </c>
      <c r="T64" s="935">
        <v>3632</v>
      </c>
      <c r="U64" s="935">
        <v>1324</v>
      </c>
      <c r="V64" s="935">
        <v>3699</v>
      </c>
      <c r="W64" s="935">
        <v>5023</v>
      </c>
      <c r="X64" s="935">
        <v>774</v>
      </c>
      <c r="Y64" s="935">
        <v>3997</v>
      </c>
      <c r="Z64" s="935">
        <v>4771</v>
      </c>
      <c r="AA64" s="935">
        <v>578</v>
      </c>
      <c r="AB64" s="935">
        <v>3052</v>
      </c>
      <c r="AC64" s="935">
        <v>3630</v>
      </c>
      <c r="AD64" s="935">
        <v>1020</v>
      </c>
      <c r="AE64" s="935">
        <v>1826</v>
      </c>
      <c r="AF64" s="935">
        <v>2846</v>
      </c>
      <c r="AH64" s="935">
        <f t="shared" si="16"/>
        <v>2019</v>
      </c>
      <c r="AI64" s="935">
        <f t="shared" si="17"/>
        <v>4282</v>
      </c>
      <c r="AJ64" s="935">
        <f t="shared" si="18"/>
        <v>6301</v>
      </c>
      <c r="AK64" s="935">
        <f t="shared" si="19"/>
        <v>4415</v>
      </c>
      <c r="AL64" s="935">
        <f t="shared" si="20"/>
        <v>14071</v>
      </c>
      <c r="AM64" s="935">
        <f t="shared" si="21"/>
        <v>18486</v>
      </c>
      <c r="AN64" s="935">
        <f t="shared" si="22"/>
        <v>1598</v>
      </c>
      <c r="AO64" s="935">
        <f t="shared" si="23"/>
        <v>4878</v>
      </c>
      <c r="AP64" s="935">
        <f t="shared" si="24"/>
        <v>6476</v>
      </c>
      <c r="AR64" s="936">
        <f t="shared" si="25"/>
        <v>0.32042532931280748</v>
      </c>
      <c r="AS64" s="936">
        <f t="shared" si="26"/>
        <v>0.23882938439900464</v>
      </c>
      <c r="AT64" s="936">
        <f t="shared" si="27"/>
        <v>0.24675725756639902</v>
      </c>
      <c r="AV64" s="937">
        <v>6263</v>
      </c>
      <c r="AW64" s="937">
        <v>19437</v>
      </c>
      <c r="AX64" s="937">
        <v>6922</v>
      </c>
      <c r="AZ64" s="937">
        <f t="shared" si="28"/>
        <v>2006.8238374861132</v>
      </c>
      <c r="BA64" s="937">
        <f t="shared" si="29"/>
        <v>4642.126744563453</v>
      </c>
      <c r="BB64" s="937">
        <f t="shared" si="30"/>
        <v>1708.0537368746141</v>
      </c>
      <c r="BC64" s="954">
        <f t="shared" si="15"/>
        <v>8357.0043189241806</v>
      </c>
    </row>
    <row r="65" spans="1:55" s="934" customFormat="1" ht="12" customHeight="1" x14ac:dyDescent="0.2">
      <c r="A65" s="934" t="s">
        <v>150</v>
      </c>
      <c r="B65" s="938" t="s">
        <v>498</v>
      </c>
      <c r="C65" s="951">
        <v>38</v>
      </c>
      <c r="D65" s="935">
        <v>415</v>
      </c>
      <c r="E65" s="935">
        <v>453</v>
      </c>
      <c r="F65" s="935">
        <v>155</v>
      </c>
      <c r="G65" s="935">
        <v>511</v>
      </c>
      <c r="H65" s="935">
        <v>666</v>
      </c>
      <c r="I65" s="935">
        <v>83</v>
      </c>
      <c r="J65" s="935">
        <v>558</v>
      </c>
      <c r="K65" s="935">
        <v>641</v>
      </c>
      <c r="L65" s="935">
        <v>124</v>
      </c>
      <c r="M65" s="935">
        <v>500</v>
      </c>
      <c r="N65" s="935">
        <v>624</v>
      </c>
      <c r="O65" s="935">
        <v>107</v>
      </c>
      <c r="P65" s="935">
        <v>561</v>
      </c>
      <c r="Q65" s="935">
        <v>668</v>
      </c>
      <c r="R65" s="935">
        <v>154</v>
      </c>
      <c r="S65" s="935">
        <v>1057</v>
      </c>
      <c r="T65" s="935">
        <v>1211</v>
      </c>
      <c r="U65" s="935">
        <v>231</v>
      </c>
      <c r="V65" s="935">
        <v>1512</v>
      </c>
      <c r="W65" s="935">
        <v>1743</v>
      </c>
      <c r="X65" s="935">
        <v>134</v>
      </c>
      <c r="Y65" s="935">
        <v>1666</v>
      </c>
      <c r="Z65" s="935">
        <v>1800</v>
      </c>
      <c r="AA65" s="935">
        <v>105</v>
      </c>
      <c r="AB65" s="935">
        <v>1583</v>
      </c>
      <c r="AC65" s="935">
        <v>1688</v>
      </c>
      <c r="AD65" s="935">
        <v>173</v>
      </c>
      <c r="AE65" s="935">
        <v>867</v>
      </c>
      <c r="AF65" s="935">
        <v>1040</v>
      </c>
      <c r="AH65" s="935">
        <f t="shared" si="16"/>
        <v>276</v>
      </c>
      <c r="AI65" s="935">
        <f t="shared" si="17"/>
        <v>1484</v>
      </c>
      <c r="AJ65" s="935">
        <f t="shared" si="18"/>
        <v>1760</v>
      </c>
      <c r="AK65" s="935">
        <f t="shared" si="19"/>
        <v>750</v>
      </c>
      <c r="AL65" s="935">
        <f t="shared" si="20"/>
        <v>5296</v>
      </c>
      <c r="AM65" s="935">
        <f t="shared" si="21"/>
        <v>6046</v>
      </c>
      <c r="AN65" s="935">
        <f t="shared" si="22"/>
        <v>278</v>
      </c>
      <c r="AO65" s="935">
        <f t="shared" si="23"/>
        <v>2450</v>
      </c>
      <c r="AP65" s="935">
        <f t="shared" si="24"/>
        <v>2728</v>
      </c>
      <c r="AR65" s="936">
        <f t="shared" si="25"/>
        <v>0.15681818181818183</v>
      </c>
      <c r="AS65" s="936">
        <f t="shared" si="26"/>
        <v>0.1240489579887529</v>
      </c>
      <c r="AT65" s="936">
        <f t="shared" si="27"/>
        <v>0.10190615835777127</v>
      </c>
      <c r="AV65" s="937">
        <v>1689</v>
      </c>
      <c r="AW65" s="937">
        <v>6302</v>
      </c>
      <c r="AX65" s="937">
        <v>2863</v>
      </c>
      <c r="AZ65" s="937">
        <f t="shared" si="28"/>
        <v>264.8659090909091</v>
      </c>
      <c r="BA65" s="937">
        <f t="shared" si="29"/>
        <v>781.75653324512075</v>
      </c>
      <c r="BB65" s="937">
        <f t="shared" si="30"/>
        <v>291.75733137829911</v>
      </c>
      <c r="BC65" s="954">
        <f t="shared" si="15"/>
        <v>1338.3797737143291</v>
      </c>
    </row>
    <row r="66" spans="1:55" s="934" customFormat="1" ht="12" customHeight="1" x14ac:dyDescent="0.2">
      <c r="A66" s="934" t="s">
        <v>152</v>
      </c>
      <c r="B66" s="938" t="s">
        <v>499</v>
      </c>
      <c r="C66" s="951">
        <v>966</v>
      </c>
      <c r="D66" s="935">
        <v>3873</v>
      </c>
      <c r="E66" s="935">
        <v>4839</v>
      </c>
      <c r="F66" s="935">
        <v>893</v>
      </c>
      <c r="G66" s="935">
        <v>4056</v>
      </c>
      <c r="H66" s="935">
        <v>4949</v>
      </c>
      <c r="I66" s="935">
        <v>868</v>
      </c>
      <c r="J66" s="935">
        <v>3785</v>
      </c>
      <c r="K66" s="935">
        <v>4653</v>
      </c>
      <c r="L66" s="935">
        <v>13977</v>
      </c>
      <c r="M66" s="935">
        <v>5818</v>
      </c>
      <c r="N66" s="935">
        <v>19795</v>
      </c>
      <c r="O66" s="935">
        <v>2206</v>
      </c>
      <c r="P66" s="935">
        <v>9546</v>
      </c>
      <c r="Q66" s="935">
        <v>11752</v>
      </c>
      <c r="R66" s="935">
        <v>1301</v>
      </c>
      <c r="S66" s="935">
        <v>8347</v>
      </c>
      <c r="T66" s="935">
        <v>9648</v>
      </c>
      <c r="U66" s="935">
        <v>778</v>
      </c>
      <c r="V66" s="935">
        <v>8821</v>
      </c>
      <c r="W66" s="935">
        <v>9599</v>
      </c>
      <c r="X66" s="935">
        <v>703</v>
      </c>
      <c r="Y66" s="935">
        <v>7625</v>
      </c>
      <c r="Z66" s="935">
        <v>8328</v>
      </c>
      <c r="AA66" s="935">
        <v>398</v>
      </c>
      <c r="AB66" s="935">
        <v>4439</v>
      </c>
      <c r="AC66" s="935">
        <v>4837</v>
      </c>
      <c r="AD66" s="935">
        <v>550</v>
      </c>
      <c r="AE66" s="935">
        <v>3357</v>
      </c>
      <c r="AF66" s="935">
        <v>3907</v>
      </c>
      <c r="AH66" s="935">
        <f t="shared" si="16"/>
        <v>2727</v>
      </c>
      <c r="AI66" s="935">
        <f t="shared" si="17"/>
        <v>11714</v>
      </c>
      <c r="AJ66" s="935">
        <f t="shared" si="18"/>
        <v>14441</v>
      </c>
      <c r="AK66" s="935">
        <f t="shared" si="19"/>
        <v>18965</v>
      </c>
      <c r="AL66" s="935">
        <f t="shared" si="20"/>
        <v>40157</v>
      </c>
      <c r="AM66" s="935">
        <f t="shared" si="21"/>
        <v>59122</v>
      </c>
      <c r="AN66" s="935">
        <f t="shared" si="22"/>
        <v>948</v>
      </c>
      <c r="AO66" s="935">
        <f t="shared" si="23"/>
        <v>7796</v>
      </c>
      <c r="AP66" s="935">
        <f t="shared" si="24"/>
        <v>8744</v>
      </c>
      <c r="AR66" s="936">
        <f t="shared" si="25"/>
        <v>0.18883733813447823</v>
      </c>
      <c r="AS66" s="936">
        <f t="shared" si="26"/>
        <v>0.32077737559622477</v>
      </c>
      <c r="AT66" s="936">
        <f t="shared" si="27"/>
        <v>0.10841720036596524</v>
      </c>
      <c r="AV66" s="937">
        <v>14420</v>
      </c>
      <c r="AW66" s="937">
        <v>70390</v>
      </c>
      <c r="AX66" s="937">
        <v>9532</v>
      </c>
      <c r="AZ66" s="937">
        <f t="shared" si="28"/>
        <v>2723.0344158991761</v>
      </c>
      <c r="BA66" s="937">
        <f t="shared" si="29"/>
        <v>22579.519468218263</v>
      </c>
      <c r="BB66" s="937">
        <f t="shared" si="30"/>
        <v>1033.4327538883806</v>
      </c>
      <c r="BC66" s="954">
        <f t="shared" si="15"/>
        <v>26335.986638005819</v>
      </c>
    </row>
    <row r="67" spans="1:55" s="934" customFormat="1" ht="12" customHeight="1" x14ac:dyDescent="0.2">
      <c r="A67" s="934" t="s">
        <v>154</v>
      </c>
      <c r="B67" s="938" t="s">
        <v>500</v>
      </c>
      <c r="C67" s="951">
        <v>112</v>
      </c>
      <c r="D67" s="935">
        <v>655</v>
      </c>
      <c r="E67" s="935">
        <v>767</v>
      </c>
      <c r="F67" s="935">
        <v>96</v>
      </c>
      <c r="G67" s="935">
        <v>749</v>
      </c>
      <c r="H67" s="935">
        <v>845</v>
      </c>
      <c r="I67" s="935">
        <v>214</v>
      </c>
      <c r="J67" s="935">
        <v>1069</v>
      </c>
      <c r="K67" s="935">
        <v>1283</v>
      </c>
      <c r="L67" s="935">
        <v>333</v>
      </c>
      <c r="M67" s="935">
        <v>601</v>
      </c>
      <c r="N67" s="935">
        <v>934</v>
      </c>
      <c r="O67" s="935">
        <v>308</v>
      </c>
      <c r="P67" s="935">
        <v>1170</v>
      </c>
      <c r="Q67" s="935">
        <v>1478</v>
      </c>
      <c r="R67" s="935">
        <v>324</v>
      </c>
      <c r="S67" s="935">
        <v>1494</v>
      </c>
      <c r="T67" s="935">
        <v>1818</v>
      </c>
      <c r="U67" s="935">
        <v>325</v>
      </c>
      <c r="V67" s="935">
        <v>1917</v>
      </c>
      <c r="W67" s="935">
        <v>2242</v>
      </c>
      <c r="X67" s="935">
        <v>331</v>
      </c>
      <c r="Y67" s="935">
        <v>2456</v>
      </c>
      <c r="Z67" s="935">
        <v>2787</v>
      </c>
      <c r="AA67" s="935">
        <v>265</v>
      </c>
      <c r="AB67" s="935">
        <v>1420</v>
      </c>
      <c r="AC67" s="935">
        <v>1685</v>
      </c>
      <c r="AD67" s="935">
        <v>189</v>
      </c>
      <c r="AE67" s="935">
        <v>917</v>
      </c>
      <c r="AF67" s="935">
        <v>1106</v>
      </c>
      <c r="AH67" s="935">
        <f t="shared" si="16"/>
        <v>422</v>
      </c>
      <c r="AI67" s="935">
        <f t="shared" si="17"/>
        <v>2473</v>
      </c>
      <c r="AJ67" s="935">
        <f t="shared" si="18"/>
        <v>2895</v>
      </c>
      <c r="AK67" s="935">
        <f t="shared" si="19"/>
        <v>1621</v>
      </c>
      <c r="AL67" s="935">
        <f t="shared" si="20"/>
        <v>7638</v>
      </c>
      <c r="AM67" s="935">
        <f t="shared" si="21"/>
        <v>9259</v>
      </c>
      <c r="AN67" s="935">
        <f t="shared" si="22"/>
        <v>454</v>
      </c>
      <c r="AO67" s="935">
        <f t="shared" si="23"/>
        <v>2337</v>
      </c>
      <c r="AP67" s="935">
        <f t="shared" si="24"/>
        <v>2791</v>
      </c>
      <c r="AR67" s="936">
        <f t="shared" si="25"/>
        <v>0.14576856649395509</v>
      </c>
      <c r="AS67" s="936">
        <f t="shared" si="26"/>
        <v>0.17507290204125717</v>
      </c>
      <c r="AT67" s="936">
        <f t="shared" si="27"/>
        <v>0.16266571121461842</v>
      </c>
      <c r="AV67" s="937">
        <v>2882</v>
      </c>
      <c r="AW67" s="937">
        <v>9126</v>
      </c>
      <c r="AX67" s="937">
        <v>3089</v>
      </c>
      <c r="AZ67" s="937">
        <f t="shared" si="28"/>
        <v>420.10500863557854</v>
      </c>
      <c r="BA67" s="937">
        <f t="shared" si="29"/>
        <v>1597.7153040285129</v>
      </c>
      <c r="BB67" s="937">
        <f t="shared" si="30"/>
        <v>502.47438194195632</v>
      </c>
      <c r="BC67" s="954">
        <f t="shared" si="15"/>
        <v>2520.2946946060479</v>
      </c>
    </row>
    <row r="68" spans="1:55" s="934" customFormat="1" ht="12" customHeight="1" x14ac:dyDescent="0.2">
      <c r="A68" s="934" t="s">
        <v>156</v>
      </c>
      <c r="B68" s="938" t="s">
        <v>501</v>
      </c>
      <c r="C68" s="951">
        <v>131</v>
      </c>
      <c r="D68" s="935">
        <v>1067</v>
      </c>
      <c r="E68" s="935">
        <v>1198</v>
      </c>
      <c r="F68" s="935">
        <v>183</v>
      </c>
      <c r="G68" s="935">
        <v>1112</v>
      </c>
      <c r="H68" s="935">
        <v>1295</v>
      </c>
      <c r="I68" s="935">
        <v>227</v>
      </c>
      <c r="J68" s="935">
        <v>1328</v>
      </c>
      <c r="K68" s="935">
        <v>1555</v>
      </c>
      <c r="L68" s="935">
        <v>165</v>
      </c>
      <c r="M68" s="935">
        <v>899</v>
      </c>
      <c r="N68" s="935">
        <v>1064</v>
      </c>
      <c r="O68" s="935">
        <v>148</v>
      </c>
      <c r="P68" s="935">
        <v>1571</v>
      </c>
      <c r="Q68" s="935">
        <v>1719</v>
      </c>
      <c r="R68" s="935">
        <v>134</v>
      </c>
      <c r="S68" s="935">
        <v>2425</v>
      </c>
      <c r="T68" s="935">
        <v>2559</v>
      </c>
      <c r="U68" s="935">
        <v>252</v>
      </c>
      <c r="V68" s="935">
        <v>3009</v>
      </c>
      <c r="W68" s="935">
        <v>3261</v>
      </c>
      <c r="X68" s="935">
        <v>112</v>
      </c>
      <c r="Y68" s="935">
        <v>2766</v>
      </c>
      <c r="Z68" s="935">
        <v>2878</v>
      </c>
      <c r="AA68" s="935">
        <v>60</v>
      </c>
      <c r="AB68" s="935">
        <v>1252</v>
      </c>
      <c r="AC68" s="935">
        <v>1312</v>
      </c>
      <c r="AD68" s="935">
        <v>101</v>
      </c>
      <c r="AE68" s="935">
        <v>609</v>
      </c>
      <c r="AF68" s="935">
        <v>710</v>
      </c>
      <c r="AH68" s="935">
        <f t="shared" si="16"/>
        <v>541</v>
      </c>
      <c r="AI68" s="935">
        <f t="shared" si="17"/>
        <v>3507</v>
      </c>
      <c r="AJ68" s="935">
        <f t="shared" si="18"/>
        <v>4048</v>
      </c>
      <c r="AK68" s="935">
        <f t="shared" si="19"/>
        <v>811</v>
      </c>
      <c r="AL68" s="935">
        <f t="shared" si="20"/>
        <v>10670</v>
      </c>
      <c r="AM68" s="935">
        <f t="shared" si="21"/>
        <v>11481</v>
      </c>
      <c r="AN68" s="935">
        <f t="shared" si="22"/>
        <v>161</v>
      </c>
      <c r="AO68" s="935">
        <f t="shared" si="23"/>
        <v>1861</v>
      </c>
      <c r="AP68" s="935">
        <f t="shared" si="24"/>
        <v>2022</v>
      </c>
      <c r="AR68" s="936">
        <f t="shared" si="25"/>
        <v>0.13364624505928854</v>
      </c>
      <c r="AS68" s="936">
        <f t="shared" si="26"/>
        <v>7.0638446128386032E-2</v>
      </c>
      <c r="AT68" s="936">
        <f t="shared" si="27"/>
        <v>7.962413452027696E-2</v>
      </c>
      <c r="AV68" s="937">
        <v>4096</v>
      </c>
      <c r="AW68" s="937">
        <v>12302</v>
      </c>
      <c r="AX68" s="937">
        <v>2424</v>
      </c>
      <c r="AZ68" s="937">
        <f t="shared" si="28"/>
        <v>547.41501976284587</v>
      </c>
      <c r="BA68" s="937">
        <f t="shared" si="29"/>
        <v>868.994164271405</v>
      </c>
      <c r="BB68" s="937">
        <f t="shared" si="30"/>
        <v>193.00890207715136</v>
      </c>
      <c r="BC68" s="954">
        <f t="shared" si="15"/>
        <v>1609.4180861114021</v>
      </c>
    </row>
    <row r="69" spans="1:55" s="934" customFormat="1" ht="12" customHeight="1" x14ac:dyDescent="0.2">
      <c r="A69" s="934" t="s">
        <v>162</v>
      </c>
      <c r="B69" s="938" t="s">
        <v>502</v>
      </c>
      <c r="C69" s="951">
        <v>434</v>
      </c>
      <c r="D69" s="935">
        <v>491</v>
      </c>
      <c r="E69" s="935">
        <v>925</v>
      </c>
      <c r="F69" s="935">
        <v>398</v>
      </c>
      <c r="G69" s="935">
        <v>532</v>
      </c>
      <c r="H69" s="935">
        <v>930</v>
      </c>
      <c r="I69" s="935">
        <v>136</v>
      </c>
      <c r="J69" s="935">
        <v>529</v>
      </c>
      <c r="K69" s="935">
        <v>665</v>
      </c>
      <c r="L69" s="935">
        <v>299</v>
      </c>
      <c r="M69" s="935">
        <v>512</v>
      </c>
      <c r="N69" s="935">
        <v>811</v>
      </c>
      <c r="O69" s="935">
        <v>323</v>
      </c>
      <c r="P69" s="935">
        <v>902</v>
      </c>
      <c r="Q69" s="935">
        <v>1225</v>
      </c>
      <c r="R69" s="935">
        <v>246</v>
      </c>
      <c r="S69" s="935">
        <v>1033</v>
      </c>
      <c r="T69" s="935">
        <v>1279</v>
      </c>
      <c r="U69" s="935">
        <v>344</v>
      </c>
      <c r="V69" s="935">
        <v>1501</v>
      </c>
      <c r="W69" s="935">
        <v>1845</v>
      </c>
      <c r="X69" s="935">
        <v>449</v>
      </c>
      <c r="Y69" s="935">
        <v>1458</v>
      </c>
      <c r="Z69" s="935">
        <v>1907</v>
      </c>
      <c r="AA69" s="935">
        <v>231</v>
      </c>
      <c r="AB69" s="935">
        <v>1182</v>
      </c>
      <c r="AC69" s="935">
        <v>1413</v>
      </c>
      <c r="AD69" s="935">
        <v>503</v>
      </c>
      <c r="AE69" s="935">
        <v>722</v>
      </c>
      <c r="AF69" s="935">
        <v>1225</v>
      </c>
      <c r="AH69" s="935">
        <f t="shared" si="16"/>
        <v>968</v>
      </c>
      <c r="AI69" s="935">
        <f t="shared" si="17"/>
        <v>1552</v>
      </c>
      <c r="AJ69" s="935">
        <f t="shared" si="18"/>
        <v>2520</v>
      </c>
      <c r="AK69" s="935">
        <f t="shared" si="19"/>
        <v>1661</v>
      </c>
      <c r="AL69" s="935">
        <f t="shared" si="20"/>
        <v>5406</v>
      </c>
      <c r="AM69" s="935">
        <f t="shared" si="21"/>
        <v>7067</v>
      </c>
      <c r="AN69" s="935">
        <f t="shared" si="22"/>
        <v>734</v>
      </c>
      <c r="AO69" s="935">
        <f t="shared" si="23"/>
        <v>1904</v>
      </c>
      <c r="AP69" s="935">
        <f t="shared" si="24"/>
        <v>2638</v>
      </c>
      <c r="AR69" s="936">
        <f t="shared" si="25"/>
        <v>0.38412698412698415</v>
      </c>
      <c r="AS69" s="936">
        <f t="shared" si="26"/>
        <v>0.23503608320362246</v>
      </c>
      <c r="AT69" s="936">
        <f t="shared" si="27"/>
        <v>0.27824109173616374</v>
      </c>
      <c r="AV69" s="937">
        <v>2421</v>
      </c>
      <c r="AW69" s="937">
        <v>7204</v>
      </c>
      <c r="AX69" s="937">
        <v>2752</v>
      </c>
      <c r="AZ69" s="937">
        <f t="shared" si="28"/>
        <v>929.97142857142865</v>
      </c>
      <c r="BA69" s="937">
        <f t="shared" si="29"/>
        <v>1693.1999433988963</v>
      </c>
      <c r="BB69" s="937">
        <f t="shared" si="30"/>
        <v>765.71948445792259</v>
      </c>
      <c r="BC69" s="954">
        <f t="shared" si="15"/>
        <v>3388.8908564282474</v>
      </c>
    </row>
    <row r="70" spans="1:55" s="934" customFormat="1" ht="12" customHeight="1" x14ac:dyDescent="0.2">
      <c r="A70" s="934" t="s">
        <v>164</v>
      </c>
      <c r="B70" s="938" t="s">
        <v>503</v>
      </c>
      <c r="C70" s="951">
        <v>138</v>
      </c>
      <c r="D70" s="935">
        <v>531</v>
      </c>
      <c r="E70" s="935">
        <v>669</v>
      </c>
      <c r="F70" s="935">
        <v>97</v>
      </c>
      <c r="G70" s="935">
        <v>692</v>
      </c>
      <c r="H70" s="935">
        <v>789</v>
      </c>
      <c r="I70" s="935">
        <v>151</v>
      </c>
      <c r="J70" s="935">
        <v>461</v>
      </c>
      <c r="K70" s="935">
        <v>612</v>
      </c>
      <c r="L70" s="935">
        <v>127</v>
      </c>
      <c r="M70" s="935">
        <v>530</v>
      </c>
      <c r="N70" s="935">
        <v>657</v>
      </c>
      <c r="O70" s="935">
        <v>62</v>
      </c>
      <c r="P70" s="935">
        <v>840</v>
      </c>
      <c r="Q70" s="935">
        <v>902</v>
      </c>
      <c r="R70" s="935">
        <v>168</v>
      </c>
      <c r="S70" s="935">
        <v>989</v>
      </c>
      <c r="T70" s="935">
        <v>1157</v>
      </c>
      <c r="U70" s="935">
        <v>247</v>
      </c>
      <c r="V70" s="935">
        <v>1498</v>
      </c>
      <c r="W70" s="935">
        <v>1745</v>
      </c>
      <c r="X70" s="935">
        <v>286</v>
      </c>
      <c r="Y70" s="935">
        <v>1927</v>
      </c>
      <c r="Z70" s="935">
        <v>2213</v>
      </c>
      <c r="AA70" s="935">
        <v>188</v>
      </c>
      <c r="AB70" s="935">
        <v>1913</v>
      </c>
      <c r="AC70" s="935">
        <v>2101</v>
      </c>
      <c r="AD70" s="935">
        <v>207</v>
      </c>
      <c r="AE70" s="935">
        <v>1343</v>
      </c>
      <c r="AF70" s="935">
        <v>1550</v>
      </c>
      <c r="AH70" s="935">
        <f t="shared" ref="AH70:AH101" si="31">C70+F70+I70</f>
        <v>386</v>
      </c>
      <c r="AI70" s="935">
        <f t="shared" ref="AI70:AI101" si="32">D70+G70+J70</f>
        <v>1684</v>
      </c>
      <c r="AJ70" s="935">
        <f t="shared" ref="AJ70:AJ101" si="33">E70+H70+K70</f>
        <v>2070</v>
      </c>
      <c r="AK70" s="935">
        <f t="shared" ref="AK70:AK101" si="34">L70+O70+R70+U70+X70</f>
        <v>890</v>
      </c>
      <c r="AL70" s="935">
        <f t="shared" ref="AL70:AL101" si="35">M70+P70+S70+V70+Y70</f>
        <v>5784</v>
      </c>
      <c r="AM70" s="935">
        <f t="shared" ref="AM70:AM101" si="36">N70+Q70+T70+W70+Z70</f>
        <v>6674</v>
      </c>
      <c r="AN70" s="935">
        <f t="shared" ref="AN70:AN101" si="37">AA70+AD70</f>
        <v>395</v>
      </c>
      <c r="AO70" s="935">
        <f t="shared" ref="AO70:AO101" si="38">AB70+AE70</f>
        <v>3256</v>
      </c>
      <c r="AP70" s="935">
        <f t="shared" ref="AP70:AP101" si="39">AC70+AF70</f>
        <v>3651</v>
      </c>
      <c r="AR70" s="936">
        <f t="shared" ref="AR70:AR101" si="40">AH70/AJ70</f>
        <v>0.18647342995169083</v>
      </c>
      <c r="AS70" s="936">
        <f t="shared" ref="AS70:AS101" si="41">AK70/AM70</f>
        <v>0.13335331135750675</v>
      </c>
      <c r="AT70" s="936">
        <f t="shared" ref="AT70:AT101" si="42">AN70/AP70</f>
        <v>0.1081895371131197</v>
      </c>
      <c r="AV70" s="937">
        <v>2007</v>
      </c>
      <c r="AW70" s="937">
        <v>6588</v>
      </c>
      <c r="AX70" s="937">
        <v>3866</v>
      </c>
      <c r="AZ70" s="937">
        <f t="shared" ref="AZ70:AZ101" si="43">AR70*AV70</f>
        <v>374.25217391304352</v>
      </c>
      <c r="BA70" s="937">
        <f t="shared" ref="BA70:BA101" si="44">AS70*AW70</f>
        <v>878.53161522325445</v>
      </c>
      <c r="BB70" s="937">
        <f t="shared" ref="BB70:BB101" si="45">AT70*AX70</f>
        <v>418.26075047932073</v>
      </c>
      <c r="BC70" s="954">
        <f t="shared" si="15"/>
        <v>1671.0445396156185</v>
      </c>
    </row>
    <row r="71" spans="1:55" s="934" customFormat="1" ht="12" customHeight="1" x14ac:dyDescent="0.2">
      <c r="A71" s="934" t="s">
        <v>168</v>
      </c>
      <c r="B71" s="938" t="s">
        <v>504</v>
      </c>
      <c r="C71" s="951">
        <v>315</v>
      </c>
      <c r="D71" s="935">
        <v>522</v>
      </c>
      <c r="E71" s="935">
        <v>837</v>
      </c>
      <c r="F71" s="935">
        <v>228</v>
      </c>
      <c r="G71" s="935">
        <v>732</v>
      </c>
      <c r="H71" s="935">
        <v>960</v>
      </c>
      <c r="I71" s="935">
        <v>342</v>
      </c>
      <c r="J71" s="935">
        <v>871</v>
      </c>
      <c r="K71" s="935">
        <v>1213</v>
      </c>
      <c r="L71" s="935">
        <v>439</v>
      </c>
      <c r="M71" s="935">
        <v>964</v>
      </c>
      <c r="N71" s="935">
        <v>1403</v>
      </c>
      <c r="O71" s="935">
        <v>437</v>
      </c>
      <c r="P71" s="935">
        <v>1325</v>
      </c>
      <c r="Q71" s="935">
        <v>1762</v>
      </c>
      <c r="R71" s="935">
        <v>364</v>
      </c>
      <c r="S71" s="935">
        <v>1628</v>
      </c>
      <c r="T71" s="935">
        <v>1992</v>
      </c>
      <c r="U71" s="935">
        <v>336</v>
      </c>
      <c r="V71" s="935">
        <v>2000</v>
      </c>
      <c r="W71" s="935">
        <v>2336</v>
      </c>
      <c r="X71" s="935">
        <v>284</v>
      </c>
      <c r="Y71" s="935">
        <v>1574</v>
      </c>
      <c r="Z71" s="935">
        <v>1858</v>
      </c>
      <c r="AA71" s="935">
        <v>378</v>
      </c>
      <c r="AB71" s="935">
        <v>993</v>
      </c>
      <c r="AC71" s="935">
        <v>1371</v>
      </c>
      <c r="AD71" s="935">
        <v>228</v>
      </c>
      <c r="AE71" s="935">
        <v>919</v>
      </c>
      <c r="AF71" s="935">
        <v>1147</v>
      </c>
      <c r="AH71" s="935">
        <f t="shared" si="31"/>
        <v>885</v>
      </c>
      <c r="AI71" s="935">
        <f t="shared" si="32"/>
        <v>2125</v>
      </c>
      <c r="AJ71" s="935">
        <f t="shared" si="33"/>
        <v>3010</v>
      </c>
      <c r="AK71" s="935">
        <f t="shared" si="34"/>
        <v>1860</v>
      </c>
      <c r="AL71" s="935">
        <f t="shared" si="35"/>
        <v>7491</v>
      </c>
      <c r="AM71" s="935">
        <f t="shared" si="36"/>
        <v>9351</v>
      </c>
      <c r="AN71" s="935">
        <f t="shared" si="37"/>
        <v>606</v>
      </c>
      <c r="AO71" s="935">
        <f t="shared" si="38"/>
        <v>1912</v>
      </c>
      <c r="AP71" s="935">
        <f t="shared" si="39"/>
        <v>2518</v>
      </c>
      <c r="AR71" s="936">
        <f t="shared" si="40"/>
        <v>0.29401993355481726</v>
      </c>
      <c r="AS71" s="936">
        <f t="shared" si="41"/>
        <v>0.19890920757138275</v>
      </c>
      <c r="AT71" s="936">
        <f t="shared" si="42"/>
        <v>0.24066719618745036</v>
      </c>
      <c r="AV71" s="937">
        <v>3265</v>
      </c>
      <c r="AW71" s="937">
        <v>9884</v>
      </c>
      <c r="AX71" s="937">
        <v>2691</v>
      </c>
      <c r="AZ71" s="937">
        <f t="shared" si="43"/>
        <v>959.9750830564783</v>
      </c>
      <c r="BA71" s="937">
        <f t="shared" si="44"/>
        <v>1966.0186076355471</v>
      </c>
      <c r="BB71" s="937">
        <f t="shared" si="45"/>
        <v>647.63542494042895</v>
      </c>
      <c r="BC71" s="954">
        <f t="shared" ref="BC71:BC126" si="46">SUM(AZ71:BB71)</f>
        <v>3573.6291156324546</v>
      </c>
    </row>
    <row r="72" spans="1:55" s="934" customFormat="1" ht="12" customHeight="1" x14ac:dyDescent="0.2">
      <c r="A72" s="934" t="s">
        <v>170</v>
      </c>
      <c r="B72" s="938" t="s">
        <v>505</v>
      </c>
      <c r="C72" s="951">
        <v>501</v>
      </c>
      <c r="D72" s="935">
        <v>1748</v>
      </c>
      <c r="E72" s="935">
        <v>2249</v>
      </c>
      <c r="F72" s="935">
        <v>511</v>
      </c>
      <c r="G72" s="935">
        <v>2165</v>
      </c>
      <c r="H72" s="935">
        <v>2676</v>
      </c>
      <c r="I72" s="935">
        <v>691</v>
      </c>
      <c r="J72" s="935">
        <v>1911</v>
      </c>
      <c r="K72" s="935">
        <v>2602</v>
      </c>
      <c r="L72" s="935">
        <v>476</v>
      </c>
      <c r="M72" s="935">
        <v>1661</v>
      </c>
      <c r="N72" s="935">
        <v>2137</v>
      </c>
      <c r="O72" s="935">
        <v>426</v>
      </c>
      <c r="P72" s="935">
        <v>3181</v>
      </c>
      <c r="Q72" s="935">
        <v>3607</v>
      </c>
      <c r="R72" s="935">
        <v>662</v>
      </c>
      <c r="S72" s="935">
        <v>3579</v>
      </c>
      <c r="T72" s="935">
        <v>4241</v>
      </c>
      <c r="U72" s="935">
        <v>699</v>
      </c>
      <c r="V72" s="935">
        <v>4437</v>
      </c>
      <c r="W72" s="935">
        <v>5136</v>
      </c>
      <c r="X72" s="935">
        <v>568</v>
      </c>
      <c r="Y72" s="935">
        <v>3703</v>
      </c>
      <c r="Z72" s="935">
        <v>4271</v>
      </c>
      <c r="AA72" s="935">
        <v>343</v>
      </c>
      <c r="AB72" s="935">
        <v>3053</v>
      </c>
      <c r="AC72" s="935">
        <v>3396</v>
      </c>
      <c r="AD72" s="935">
        <v>316</v>
      </c>
      <c r="AE72" s="935">
        <v>1983</v>
      </c>
      <c r="AF72" s="935">
        <v>2299</v>
      </c>
      <c r="AH72" s="935">
        <f t="shared" si="31"/>
        <v>1703</v>
      </c>
      <c r="AI72" s="935">
        <f t="shared" si="32"/>
        <v>5824</v>
      </c>
      <c r="AJ72" s="935">
        <f t="shared" si="33"/>
        <v>7527</v>
      </c>
      <c r="AK72" s="935">
        <f t="shared" si="34"/>
        <v>2831</v>
      </c>
      <c r="AL72" s="935">
        <f t="shared" si="35"/>
        <v>16561</v>
      </c>
      <c r="AM72" s="935">
        <f t="shared" si="36"/>
        <v>19392</v>
      </c>
      <c r="AN72" s="935">
        <f t="shared" si="37"/>
        <v>659</v>
      </c>
      <c r="AO72" s="935">
        <f t="shared" si="38"/>
        <v>5036</v>
      </c>
      <c r="AP72" s="935">
        <f t="shared" si="39"/>
        <v>5695</v>
      </c>
      <c r="AR72" s="936">
        <f t="shared" si="40"/>
        <v>0.22625215889464595</v>
      </c>
      <c r="AS72" s="936">
        <f t="shared" si="41"/>
        <v>0.14598803630363036</v>
      </c>
      <c r="AT72" s="936">
        <f t="shared" si="42"/>
        <v>0.11571553994732221</v>
      </c>
      <c r="AV72" s="937">
        <v>7620</v>
      </c>
      <c r="AW72" s="937">
        <v>20089</v>
      </c>
      <c r="AX72" s="937">
        <v>6229</v>
      </c>
      <c r="AZ72" s="937">
        <f t="shared" si="43"/>
        <v>1724.041450777202</v>
      </c>
      <c r="BA72" s="937">
        <f t="shared" si="44"/>
        <v>2932.7536613036305</v>
      </c>
      <c r="BB72" s="937">
        <f t="shared" si="45"/>
        <v>720.79209833187008</v>
      </c>
      <c r="BC72" s="954">
        <f t="shared" si="46"/>
        <v>5377.587210412702</v>
      </c>
    </row>
    <row r="73" spans="1:55" s="934" customFormat="1" ht="12" customHeight="1" x14ac:dyDescent="0.2">
      <c r="A73" s="934" t="s">
        <v>172</v>
      </c>
      <c r="B73" s="938" t="s">
        <v>506</v>
      </c>
      <c r="C73" s="951">
        <v>775</v>
      </c>
      <c r="D73" s="935">
        <v>901</v>
      </c>
      <c r="E73" s="935">
        <v>1676</v>
      </c>
      <c r="F73" s="935">
        <v>432</v>
      </c>
      <c r="G73" s="935">
        <v>1029</v>
      </c>
      <c r="H73" s="935">
        <v>1461</v>
      </c>
      <c r="I73" s="935">
        <v>418</v>
      </c>
      <c r="J73" s="935">
        <v>1565</v>
      </c>
      <c r="K73" s="935">
        <v>1983</v>
      </c>
      <c r="L73" s="935">
        <v>323</v>
      </c>
      <c r="M73" s="935">
        <v>1466</v>
      </c>
      <c r="N73" s="935">
        <v>1789</v>
      </c>
      <c r="O73" s="935">
        <v>723</v>
      </c>
      <c r="P73" s="935">
        <v>1909</v>
      </c>
      <c r="Q73" s="935">
        <v>2632</v>
      </c>
      <c r="R73" s="935">
        <v>616</v>
      </c>
      <c r="S73" s="935">
        <v>2640</v>
      </c>
      <c r="T73" s="935">
        <v>3256</v>
      </c>
      <c r="U73" s="935">
        <v>419</v>
      </c>
      <c r="V73" s="935">
        <v>3194</v>
      </c>
      <c r="W73" s="935">
        <v>3613</v>
      </c>
      <c r="X73" s="935">
        <v>392</v>
      </c>
      <c r="Y73" s="935">
        <v>2877</v>
      </c>
      <c r="Z73" s="935">
        <v>3269</v>
      </c>
      <c r="AA73" s="935">
        <v>339</v>
      </c>
      <c r="AB73" s="935">
        <v>2115</v>
      </c>
      <c r="AC73" s="935">
        <v>2454</v>
      </c>
      <c r="AD73" s="935">
        <v>401</v>
      </c>
      <c r="AE73" s="935">
        <v>1263</v>
      </c>
      <c r="AF73" s="935">
        <v>1664</v>
      </c>
      <c r="AH73" s="935">
        <f t="shared" si="31"/>
        <v>1625</v>
      </c>
      <c r="AI73" s="935">
        <f t="shared" si="32"/>
        <v>3495</v>
      </c>
      <c r="AJ73" s="935">
        <f t="shared" si="33"/>
        <v>5120</v>
      </c>
      <c r="AK73" s="935">
        <f t="shared" si="34"/>
        <v>2473</v>
      </c>
      <c r="AL73" s="935">
        <f t="shared" si="35"/>
        <v>12086</v>
      </c>
      <c r="AM73" s="935">
        <f t="shared" si="36"/>
        <v>14559</v>
      </c>
      <c r="AN73" s="935">
        <f t="shared" si="37"/>
        <v>740</v>
      </c>
      <c r="AO73" s="935">
        <f t="shared" si="38"/>
        <v>3378</v>
      </c>
      <c r="AP73" s="935">
        <f t="shared" si="39"/>
        <v>4118</v>
      </c>
      <c r="AR73" s="936">
        <f t="shared" si="40"/>
        <v>0.3173828125</v>
      </c>
      <c r="AS73" s="936">
        <f t="shared" si="41"/>
        <v>0.16986056734665841</v>
      </c>
      <c r="AT73" s="936">
        <f t="shared" si="42"/>
        <v>0.17969888295288974</v>
      </c>
      <c r="AV73" s="937">
        <v>5045</v>
      </c>
      <c r="AW73" s="937">
        <v>14610</v>
      </c>
      <c r="AX73" s="937">
        <v>4303</v>
      </c>
      <c r="AZ73" s="937">
        <f t="shared" si="43"/>
        <v>1601.1962890625</v>
      </c>
      <c r="BA73" s="937">
        <f t="shared" si="44"/>
        <v>2481.6628889346794</v>
      </c>
      <c r="BB73" s="937">
        <f t="shared" si="45"/>
        <v>773.24429334628462</v>
      </c>
      <c r="BC73" s="954">
        <f t="shared" si="46"/>
        <v>4856.1034713434638</v>
      </c>
    </row>
    <row r="74" spans="1:55" s="934" customFormat="1" ht="12" customHeight="1" x14ac:dyDescent="0.2">
      <c r="A74" s="934" t="s">
        <v>174</v>
      </c>
      <c r="B74" s="938" t="s">
        <v>507</v>
      </c>
      <c r="C74" s="951">
        <v>229</v>
      </c>
      <c r="D74" s="935">
        <v>714</v>
      </c>
      <c r="E74" s="935">
        <v>943</v>
      </c>
      <c r="F74" s="935">
        <v>471</v>
      </c>
      <c r="G74" s="935">
        <v>634</v>
      </c>
      <c r="H74" s="935">
        <v>1105</v>
      </c>
      <c r="I74" s="935">
        <v>242</v>
      </c>
      <c r="J74" s="935">
        <v>1264</v>
      </c>
      <c r="K74" s="935">
        <v>1506</v>
      </c>
      <c r="L74" s="935">
        <v>136</v>
      </c>
      <c r="M74" s="935">
        <v>1097</v>
      </c>
      <c r="N74" s="935">
        <v>1233</v>
      </c>
      <c r="O74" s="935">
        <v>412</v>
      </c>
      <c r="P74" s="935">
        <v>1241</v>
      </c>
      <c r="Q74" s="935">
        <v>1653</v>
      </c>
      <c r="R74" s="935">
        <v>640</v>
      </c>
      <c r="S74" s="935">
        <v>1884</v>
      </c>
      <c r="T74" s="935">
        <v>2524</v>
      </c>
      <c r="U74" s="935">
        <v>523</v>
      </c>
      <c r="V74" s="935">
        <v>2324</v>
      </c>
      <c r="W74" s="935">
        <v>2847</v>
      </c>
      <c r="X74" s="935">
        <v>422</v>
      </c>
      <c r="Y74" s="935">
        <v>2348</v>
      </c>
      <c r="Z74" s="935">
        <v>2770</v>
      </c>
      <c r="AA74" s="935">
        <v>329</v>
      </c>
      <c r="AB74" s="935">
        <v>1918</v>
      </c>
      <c r="AC74" s="935">
        <v>2247</v>
      </c>
      <c r="AD74" s="935">
        <v>337</v>
      </c>
      <c r="AE74" s="935">
        <v>1199</v>
      </c>
      <c r="AF74" s="935">
        <v>1536</v>
      </c>
      <c r="AH74" s="935">
        <f t="shared" si="31"/>
        <v>942</v>
      </c>
      <c r="AI74" s="935">
        <f t="shared" si="32"/>
        <v>2612</v>
      </c>
      <c r="AJ74" s="935">
        <f t="shared" si="33"/>
        <v>3554</v>
      </c>
      <c r="AK74" s="935">
        <f t="shared" si="34"/>
        <v>2133</v>
      </c>
      <c r="AL74" s="935">
        <f t="shared" si="35"/>
        <v>8894</v>
      </c>
      <c r="AM74" s="935">
        <f t="shared" si="36"/>
        <v>11027</v>
      </c>
      <c r="AN74" s="935">
        <f t="shared" si="37"/>
        <v>666</v>
      </c>
      <c r="AO74" s="935">
        <f t="shared" si="38"/>
        <v>3117</v>
      </c>
      <c r="AP74" s="935">
        <f t="shared" si="39"/>
        <v>3783</v>
      </c>
      <c r="AR74" s="936">
        <f t="shared" si="40"/>
        <v>0.265053460889139</v>
      </c>
      <c r="AS74" s="936">
        <f t="shared" si="41"/>
        <v>0.19343429763308242</v>
      </c>
      <c r="AT74" s="936">
        <f t="shared" si="42"/>
        <v>0.17605075337034101</v>
      </c>
      <c r="AV74" s="937">
        <v>3460</v>
      </c>
      <c r="AW74" s="937">
        <v>10852</v>
      </c>
      <c r="AX74" s="937">
        <v>4078</v>
      </c>
      <c r="AZ74" s="937">
        <f t="shared" si="43"/>
        <v>917.08497467642098</v>
      </c>
      <c r="BA74" s="937">
        <f t="shared" si="44"/>
        <v>2099.1489979142107</v>
      </c>
      <c r="BB74" s="937">
        <f t="shared" si="45"/>
        <v>717.93497224425062</v>
      </c>
      <c r="BC74" s="954">
        <f t="shared" si="46"/>
        <v>3734.1689448348825</v>
      </c>
    </row>
    <row r="75" spans="1:55" s="934" customFormat="1" ht="12" customHeight="1" x14ac:dyDescent="0.2">
      <c r="A75" s="934" t="s">
        <v>178</v>
      </c>
      <c r="B75" s="938" t="s">
        <v>179</v>
      </c>
      <c r="C75" s="951">
        <v>1130</v>
      </c>
      <c r="D75" s="935">
        <v>2580</v>
      </c>
      <c r="E75" s="935">
        <v>3710</v>
      </c>
      <c r="F75" s="935">
        <v>1125</v>
      </c>
      <c r="G75" s="935">
        <v>3520</v>
      </c>
      <c r="H75" s="935">
        <v>4645</v>
      </c>
      <c r="I75" s="935">
        <v>1269</v>
      </c>
      <c r="J75" s="935">
        <v>3665</v>
      </c>
      <c r="K75" s="935">
        <v>4934</v>
      </c>
      <c r="L75" s="935">
        <v>1053</v>
      </c>
      <c r="M75" s="935">
        <v>3316</v>
      </c>
      <c r="N75" s="935">
        <v>4369</v>
      </c>
      <c r="O75" s="935">
        <v>1200</v>
      </c>
      <c r="P75" s="935">
        <v>4766</v>
      </c>
      <c r="Q75" s="935">
        <v>5966</v>
      </c>
      <c r="R75" s="935">
        <v>1363</v>
      </c>
      <c r="S75" s="935">
        <v>6905</v>
      </c>
      <c r="T75" s="935">
        <v>8268</v>
      </c>
      <c r="U75" s="935">
        <v>1692</v>
      </c>
      <c r="V75" s="935">
        <v>8657</v>
      </c>
      <c r="W75" s="935">
        <v>10349</v>
      </c>
      <c r="X75" s="935">
        <v>1173</v>
      </c>
      <c r="Y75" s="935">
        <v>8086</v>
      </c>
      <c r="Z75" s="935">
        <v>9259</v>
      </c>
      <c r="AA75" s="935">
        <v>872</v>
      </c>
      <c r="AB75" s="935">
        <v>5309</v>
      </c>
      <c r="AC75" s="935">
        <v>6181</v>
      </c>
      <c r="AD75" s="935">
        <v>1413</v>
      </c>
      <c r="AE75" s="935">
        <v>2995</v>
      </c>
      <c r="AF75" s="935">
        <v>4408</v>
      </c>
      <c r="AH75" s="935">
        <f t="shared" si="31"/>
        <v>3524</v>
      </c>
      <c r="AI75" s="935">
        <f t="shared" si="32"/>
        <v>9765</v>
      </c>
      <c r="AJ75" s="935">
        <f t="shared" si="33"/>
        <v>13289</v>
      </c>
      <c r="AK75" s="935">
        <f t="shared" si="34"/>
        <v>6481</v>
      </c>
      <c r="AL75" s="935">
        <f t="shared" si="35"/>
        <v>31730</v>
      </c>
      <c r="AM75" s="935">
        <f t="shared" si="36"/>
        <v>38211</v>
      </c>
      <c r="AN75" s="935">
        <f t="shared" si="37"/>
        <v>2285</v>
      </c>
      <c r="AO75" s="935">
        <f t="shared" si="38"/>
        <v>8304</v>
      </c>
      <c r="AP75" s="935">
        <f t="shared" si="39"/>
        <v>10589</v>
      </c>
      <c r="AR75" s="936">
        <f t="shared" si="40"/>
        <v>0.26518172924975542</v>
      </c>
      <c r="AS75" s="936">
        <f t="shared" si="41"/>
        <v>0.16961084504462065</v>
      </c>
      <c r="AT75" s="936">
        <f t="shared" si="42"/>
        <v>0.21578997072433659</v>
      </c>
      <c r="AV75" s="937">
        <v>13078</v>
      </c>
      <c r="AW75" s="937">
        <v>38645</v>
      </c>
      <c r="AX75" s="937">
        <v>11121</v>
      </c>
      <c r="AZ75" s="937">
        <f t="shared" si="43"/>
        <v>3468.0466551283012</v>
      </c>
      <c r="BA75" s="937">
        <f t="shared" si="44"/>
        <v>6554.6111067493648</v>
      </c>
      <c r="BB75" s="937">
        <f t="shared" si="45"/>
        <v>2399.800264425347</v>
      </c>
      <c r="BC75" s="954">
        <f t="shared" si="46"/>
        <v>12422.458026303013</v>
      </c>
    </row>
    <row r="76" spans="1:55" s="934" customFormat="1" ht="12" customHeight="1" x14ac:dyDescent="0.2">
      <c r="A76" s="934" t="s">
        <v>182</v>
      </c>
      <c r="B76" s="938" t="s">
        <v>509</v>
      </c>
      <c r="C76" s="951">
        <v>116</v>
      </c>
      <c r="D76" s="935">
        <v>1720</v>
      </c>
      <c r="E76" s="935">
        <v>1836</v>
      </c>
      <c r="F76" s="935">
        <v>99</v>
      </c>
      <c r="G76" s="935">
        <v>1781</v>
      </c>
      <c r="H76" s="935">
        <v>1880</v>
      </c>
      <c r="I76" s="935">
        <v>85</v>
      </c>
      <c r="J76" s="935">
        <v>1899</v>
      </c>
      <c r="K76" s="935">
        <v>1984</v>
      </c>
      <c r="L76" s="935">
        <v>71</v>
      </c>
      <c r="M76" s="935">
        <v>1268</v>
      </c>
      <c r="N76" s="935">
        <v>1339</v>
      </c>
      <c r="O76" s="935">
        <v>256</v>
      </c>
      <c r="P76" s="935">
        <v>1787</v>
      </c>
      <c r="Q76" s="935">
        <v>2043</v>
      </c>
      <c r="R76" s="935">
        <v>106</v>
      </c>
      <c r="S76" s="935">
        <v>3616</v>
      </c>
      <c r="T76" s="935">
        <v>3722</v>
      </c>
      <c r="U76" s="935">
        <v>244</v>
      </c>
      <c r="V76" s="935">
        <v>3896</v>
      </c>
      <c r="W76" s="935">
        <v>4140</v>
      </c>
      <c r="X76" s="935">
        <v>311</v>
      </c>
      <c r="Y76" s="935">
        <v>3353</v>
      </c>
      <c r="Z76" s="935">
        <v>3664</v>
      </c>
      <c r="AA76" s="935">
        <v>119</v>
      </c>
      <c r="AB76" s="935">
        <v>1966</v>
      </c>
      <c r="AC76" s="935">
        <v>2085</v>
      </c>
      <c r="AD76" s="935">
        <v>119</v>
      </c>
      <c r="AE76" s="935">
        <v>949</v>
      </c>
      <c r="AF76" s="935">
        <v>1068</v>
      </c>
      <c r="AH76" s="935">
        <f t="shared" si="31"/>
        <v>300</v>
      </c>
      <c r="AI76" s="935">
        <f t="shared" si="32"/>
        <v>5400</v>
      </c>
      <c r="AJ76" s="935">
        <f t="shared" si="33"/>
        <v>5700</v>
      </c>
      <c r="AK76" s="935">
        <f t="shared" si="34"/>
        <v>988</v>
      </c>
      <c r="AL76" s="935">
        <f t="shared" si="35"/>
        <v>13920</v>
      </c>
      <c r="AM76" s="935">
        <f t="shared" si="36"/>
        <v>14908</v>
      </c>
      <c r="AN76" s="935">
        <f t="shared" si="37"/>
        <v>238</v>
      </c>
      <c r="AO76" s="935">
        <f t="shared" si="38"/>
        <v>2915</v>
      </c>
      <c r="AP76" s="935">
        <f t="shared" si="39"/>
        <v>3153</v>
      </c>
      <c r="AR76" s="936">
        <f t="shared" si="40"/>
        <v>5.2631578947368418E-2</v>
      </c>
      <c r="AS76" s="936">
        <f t="shared" si="41"/>
        <v>6.6273141937214924E-2</v>
      </c>
      <c r="AT76" s="936">
        <f t="shared" si="42"/>
        <v>7.5483666349508399E-2</v>
      </c>
      <c r="AV76" s="937">
        <v>6162</v>
      </c>
      <c r="AW76" s="937">
        <v>18285</v>
      </c>
      <c r="AX76" s="937">
        <v>3663</v>
      </c>
      <c r="AZ76" s="937">
        <f t="shared" si="43"/>
        <v>324.31578947368422</v>
      </c>
      <c r="BA76" s="937">
        <f t="shared" si="44"/>
        <v>1211.804400321975</v>
      </c>
      <c r="BB76" s="937">
        <f t="shared" si="45"/>
        <v>276.49666983824926</v>
      </c>
      <c r="BC76" s="954">
        <f t="shared" si="46"/>
        <v>1812.6168596339085</v>
      </c>
    </row>
    <row r="77" spans="1:55" s="934" customFormat="1" ht="12" customHeight="1" x14ac:dyDescent="0.2">
      <c r="A77" s="934" t="s">
        <v>184</v>
      </c>
      <c r="B77" s="938" t="s">
        <v>510</v>
      </c>
      <c r="C77" s="951">
        <v>398</v>
      </c>
      <c r="D77" s="935">
        <v>825</v>
      </c>
      <c r="E77" s="935">
        <v>1223</v>
      </c>
      <c r="F77" s="935">
        <v>365</v>
      </c>
      <c r="G77" s="935">
        <v>1027</v>
      </c>
      <c r="H77" s="935">
        <v>1392</v>
      </c>
      <c r="I77" s="935">
        <v>393</v>
      </c>
      <c r="J77" s="935">
        <v>914</v>
      </c>
      <c r="K77" s="935">
        <v>1307</v>
      </c>
      <c r="L77" s="935">
        <v>1021</v>
      </c>
      <c r="M77" s="935">
        <v>1066</v>
      </c>
      <c r="N77" s="935">
        <v>2087</v>
      </c>
      <c r="O77" s="935">
        <v>317</v>
      </c>
      <c r="P77" s="935">
        <v>1303</v>
      </c>
      <c r="Q77" s="935">
        <v>1620</v>
      </c>
      <c r="R77" s="935">
        <v>505</v>
      </c>
      <c r="S77" s="935">
        <v>2007</v>
      </c>
      <c r="T77" s="935">
        <v>2512</v>
      </c>
      <c r="U77" s="935">
        <v>425</v>
      </c>
      <c r="V77" s="935">
        <v>2272</v>
      </c>
      <c r="W77" s="935">
        <v>2697</v>
      </c>
      <c r="X77" s="935">
        <v>322</v>
      </c>
      <c r="Y77" s="935">
        <v>2083</v>
      </c>
      <c r="Z77" s="935">
        <v>2405</v>
      </c>
      <c r="AA77" s="935">
        <v>176</v>
      </c>
      <c r="AB77" s="935">
        <v>1430</v>
      </c>
      <c r="AC77" s="935">
        <v>1606</v>
      </c>
      <c r="AD77" s="935">
        <v>272</v>
      </c>
      <c r="AE77" s="935">
        <v>1167</v>
      </c>
      <c r="AF77" s="935">
        <v>1439</v>
      </c>
      <c r="AH77" s="935">
        <f t="shared" si="31"/>
        <v>1156</v>
      </c>
      <c r="AI77" s="935">
        <f t="shared" si="32"/>
        <v>2766</v>
      </c>
      <c r="AJ77" s="935">
        <f t="shared" si="33"/>
        <v>3922</v>
      </c>
      <c r="AK77" s="935">
        <f t="shared" si="34"/>
        <v>2590</v>
      </c>
      <c r="AL77" s="935">
        <f t="shared" si="35"/>
        <v>8731</v>
      </c>
      <c r="AM77" s="935">
        <f t="shared" si="36"/>
        <v>11321</v>
      </c>
      <c r="AN77" s="935">
        <f t="shared" si="37"/>
        <v>448</v>
      </c>
      <c r="AO77" s="935">
        <f t="shared" si="38"/>
        <v>2597</v>
      </c>
      <c r="AP77" s="935">
        <f t="shared" si="39"/>
        <v>3045</v>
      </c>
      <c r="AR77" s="936">
        <f t="shared" si="40"/>
        <v>0.29474757776644567</v>
      </c>
      <c r="AS77" s="936">
        <f t="shared" si="41"/>
        <v>0.22877837646850985</v>
      </c>
      <c r="AT77" s="936">
        <f t="shared" si="42"/>
        <v>0.14712643678160919</v>
      </c>
      <c r="AV77" s="937">
        <v>3992</v>
      </c>
      <c r="AW77" s="937">
        <v>16036</v>
      </c>
      <c r="AX77" s="937">
        <v>3315</v>
      </c>
      <c r="AZ77" s="937">
        <f t="shared" si="43"/>
        <v>1176.6323304436512</v>
      </c>
      <c r="BA77" s="937">
        <f t="shared" si="44"/>
        <v>3668.6900450490239</v>
      </c>
      <c r="BB77" s="937">
        <f t="shared" si="45"/>
        <v>487.72413793103448</v>
      </c>
      <c r="BC77" s="954">
        <f t="shared" si="46"/>
        <v>5333.0465134237093</v>
      </c>
    </row>
    <row r="78" spans="1:55" s="934" customFormat="1" ht="12" customHeight="1" x14ac:dyDescent="0.2">
      <c r="A78" s="934" t="s">
        <v>186</v>
      </c>
      <c r="B78" s="938" t="s">
        <v>511</v>
      </c>
      <c r="C78" s="951">
        <v>355</v>
      </c>
      <c r="D78" s="935">
        <v>2036</v>
      </c>
      <c r="E78" s="935">
        <v>2391</v>
      </c>
      <c r="F78" s="935">
        <v>307</v>
      </c>
      <c r="G78" s="935">
        <v>2366</v>
      </c>
      <c r="H78" s="935">
        <v>2673</v>
      </c>
      <c r="I78" s="935">
        <v>391</v>
      </c>
      <c r="J78" s="935">
        <v>2543</v>
      </c>
      <c r="K78" s="935">
        <v>2934</v>
      </c>
      <c r="L78" s="935">
        <v>246</v>
      </c>
      <c r="M78" s="935">
        <v>1687</v>
      </c>
      <c r="N78" s="935">
        <v>1933</v>
      </c>
      <c r="O78" s="935">
        <v>345</v>
      </c>
      <c r="P78" s="935">
        <v>2990</v>
      </c>
      <c r="Q78" s="935">
        <v>3335</v>
      </c>
      <c r="R78" s="935">
        <v>310</v>
      </c>
      <c r="S78" s="935">
        <v>4073</v>
      </c>
      <c r="T78" s="935">
        <v>4383</v>
      </c>
      <c r="U78" s="935">
        <v>296</v>
      </c>
      <c r="V78" s="935">
        <v>4718</v>
      </c>
      <c r="W78" s="935">
        <v>5014</v>
      </c>
      <c r="X78" s="935">
        <v>228</v>
      </c>
      <c r="Y78" s="935">
        <v>3673</v>
      </c>
      <c r="Z78" s="935">
        <v>3901</v>
      </c>
      <c r="AA78" s="935">
        <v>65</v>
      </c>
      <c r="AB78" s="935">
        <v>2222</v>
      </c>
      <c r="AC78" s="935">
        <v>2287</v>
      </c>
      <c r="AD78" s="935">
        <v>195</v>
      </c>
      <c r="AE78" s="935">
        <v>1059</v>
      </c>
      <c r="AF78" s="935">
        <v>1254</v>
      </c>
      <c r="AH78" s="935">
        <f t="shared" si="31"/>
        <v>1053</v>
      </c>
      <c r="AI78" s="935">
        <f t="shared" si="32"/>
        <v>6945</v>
      </c>
      <c r="AJ78" s="935">
        <f t="shared" si="33"/>
        <v>7998</v>
      </c>
      <c r="AK78" s="935">
        <f t="shared" si="34"/>
        <v>1425</v>
      </c>
      <c r="AL78" s="935">
        <f t="shared" si="35"/>
        <v>17141</v>
      </c>
      <c r="AM78" s="935">
        <f t="shared" si="36"/>
        <v>18566</v>
      </c>
      <c r="AN78" s="935">
        <f t="shared" si="37"/>
        <v>260</v>
      </c>
      <c r="AO78" s="935">
        <f t="shared" si="38"/>
        <v>3281</v>
      </c>
      <c r="AP78" s="935">
        <f t="shared" si="39"/>
        <v>3541</v>
      </c>
      <c r="AR78" s="936">
        <f t="shared" si="40"/>
        <v>0.13165791447861966</v>
      </c>
      <c r="AS78" s="936">
        <f t="shared" si="41"/>
        <v>7.6753204782936554E-2</v>
      </c>
      <c r="AT78" s="936">
        <f t="shared" si="42"/>
        <v>7.3425585992657444E-2</v>
      </c>
      <c r="AV78" s="937">
        <v>8221</v>
      </c>
      <c r="AW78" s="937">
        <v>24450</v>
      </c>
      <c r="AX78" s="937">
        <v>3884</v>
      </c>
      <c r="AZ78" s="937">
        <f t="shared" si="43"/>
        <v>1082.3597149287323</v>
      </c>
      <c r="BA78" s="937">
        <f t="shared" si="44"/>
        <v>1876.6158569427987</v>
      </c>
      <c r="BB78" s="937">
        <f t="shared" si="45"/>
        <v>285.18497599548152</v>
      </c>
      <c r="BC78" s="954">
        <f t="shared" si="46"/>
        <v>3244.1605478670126</v>
      </c>
    </row>
    <row r="79" spans="1:55" s="934" customFormat="1" ht="12" customHeight="1" x14ac:dyDescent="0.2">
      <c r="A79" s="934" t="s">
        <v>188</v>
      </c>
      <c r="B79" s="938" t="s">
        <v>512</v>
      </c>
      <c r="C79" s="951">
        <v>4288</v>
      </c>
      <c r="D79" s="935">
        <v>34816</v>
      </c>
      <c r="E79" s="935">
        <v>39104</v>
      </c>
      <c r="F79" s="935">
        <v>4217</v>
      </c>
      <c r="G79" s="935">
        <v>33737</v>
      </c>
      <c r="H79" s="935">
        <v>37954</v>
      </c>
      <c r="I79" s="935">
        <v>3542</v>
      </c>
      <c r="J79" s="935">
        <v>31336</v>
      </c>
      <c r="K79" s="935">
        <v>34878</v>
      </c>
      <c r="L79" s="935">
        <v>3608</v>
      </c>
      <c r="M79" s="935">
        <v>28048</v>
      </c>
      <c r="N79" s="935">
        <v>31656</v>
      </c>
      <c r="O79" s="935">
        <v>4539</v>
      </c>
      <c r="P79" s="935">
        <v>52536</v>
      </c>
      <c r="Q79" s="935">
        <v>57075</v>
      </c>
      <c r="R79" s="935">
        <v>4562</v>
      </c>
      <c r="S79" s="935">
        <v>59713</v>
      </c>
      <c r="T79" s="935">
        <v>64275</v>
      </c>
      <c r="U79" s="935">
        <v>2812</v>
      </c>
      <c r="V79" s="935">
        <v>55760</v>
      </c>
      <c r="W79" s="935">
        <v>58572</v>
      </c>
      <c r="X79" s="935">
        <v>1527</v>
      </c>
      <c r="Y79" s="935">
        <v>35219</v>
      </c>
      <c r="Z79" s="935">
        <v>36746</v>
      </c>
      <c r="AA79" s="935">
        <v>758</v>
      </c>
      <c r="AB79" s="935">
        <v>16123</v>
      </c>
      <c r="AC79" s="935">
        <v>16881</v>
      </c>
      <c r="AD79" s="935">
        <v>794</v>
      </c>
      <c r="AE79" s="935">
        <v>7985</v>
      </c>
      <c r="AF79" s="935">
        <v>8779</v>
      </c>
      <c r="AH79" s="935">
        <f t="shared" si="31"/>
        <v>12047</v>
      </c>
      <c r="AI79" s="935">
        <f t="shared" si="32"/>
        <v>99889</v>
      </c>
      <c r="AJ79" s="935">
        <f t="shared" si="33"/>
        <v>111936</v>
      </c>
      <c r="AK79" s="935">
        <f t="shared" si="34"/>
        <v>17048</v>
      </c>
      <c r="AL79" s="935">
        <f t="shared" si="35"/>
        <v>231276</v>
      </c>
      <c r="AM79" s="935">
        <f t="shared" si="36"/>
        <v>248324</v>
      </c>
      <c r="AN79" s="935">
        <f t="shared" si="37"/>
        <v>1552</v>
      </c>
      <c r="AO79" s="935">
        <f t="shared" si="38"/>
        <v>24108</v>
      </c>
      <c r="AP79" s="935">
        <f t="shared" si="39"/>
        <v>25660</v>
      </c>
      <c r="AR79" s="936">
        <f t="shared" si="40"/>
        <v>0.10762399942824472</v>
      </c>
      <c r="AS79" s="936">
        <f t="shared" si="41"/>
        <v>6.8652244648121002E-2</v>
      </c>
      <c r="AT79" s="936">
        <f t="shared" si="42"/>
        <v>6.0483242400623541E-2</v>
      </c>
      <c r="AV79" s="937">
        <v>119405</v>
      </c>
      <c r="AW79" s="937">
        <v>269765</v>
      </c>
      <c r="AX79" s="937">
        <v>29836</v>
      </c>
      <c r="AZ79" s="937">
        <f t="shared" si="43"/>
        <v>12850.843651729559</v>
      </c>
      <c r="BA79" s="937">
        <f t="shared" si="44"/>
        <v>18519.972777500363</v>
      </c>
      <c r="BB79" s="937">
        <f t="shared" si="45"/>
        <v>1804.5780202650039</v>
      </c>
      <c r="BC79" s="954">
        <f t="shared" si="46"/>
        <v>33175.394449494925</v>
      </c>
    </row>
    <row r="80" spans="1:55" s="934" customFormat="1" ht="12" customHeight="1" x14ac:dyDescent="0.2">
      <c r="A80" s="934" t="s">
        <v>190</v>
      </c>
      <c r="B80" s="938" t="s">
        <v>513</v>
      </c>
      <c r="C80" s="951">
        <v>699</v>
      </c>
      <c r="D80" s="935">
        <v>1352</v>
      </c>
      <c r="E80" s="935">
        <v>2051</v>
      </c>
      <c r="F80" s="935">
        <v>710</v>
      </c>
      <c r="G80" s="935">
        <v>1520</v>
      </c>
      <c r="H80" s="935">
        <v>2230</v>
      </c>
      <c r="I80" s="935">
        <v>573</v>
      </c>
      <c r="J80" s="935">
        <v>1860</v>
      </c>
      <c r="K80" s="935">
        <v>2433</v>
      </c>
      <c r="L80" s="935">
        <v>637</v>
      </c>
      <c r="M80" s="935">
        <v>1775</v>
      </c>
      <c r="N80" s="935">
        <v>2412</v>
      </c>
      <c r="O80" s="935">
        <v>905</v>
      </c>
      <c r="P80" s="935">
        <v>2595</v>
      </c>
      <c r="Q80" s="935">
        <v>3500</v>
      </c>
      <c r="R80" s="935">
        <v>991</v>
      </c>
      <c r="S80" s="935">
        <v>3860</v>
      </c>
      <c r="T80" s="935">
        <v>4851</v>
      </c>
      <c r="U80" s="935">
        <v>723</v>
      </c>
      <c r="V80" s="935">
        <v>4460</v>
      </c>
      <c r="W80" s="935">
        <v>5183</v>
      </c>
      <c r="X80" s="935">
        <v>845</v>
      </c>
      <c r="Y80" s="935">
        <v>4439</v>
      </c>
      <c r="Z80" s="935">
        <v>5284</v>
      </c>
      <c r="AA80" s="935">
        <v>542</v>
      </c>
      <c r="AB80" s="935">
        <v>3030</v>
      </c>
      <c r="AC80" s="935">
        <v>3572</v>
      </c>
      <c r="AD80" s="935">
        <v>577</v>
      </c>
      <c r="AE80" s="935">
        <v>1746</v>
      </c>
      <c r="AF80" s="935">
        <v>2323</v>
      </c>
      <c r="AH80" s="935">
        <f t="shared" si="31"/>
        <v>1982</v>
      </c>
      <c r="AI80" s="935">
        <f t="shared" si="32"/>
        <v>4732</v>
      </c>
      <c r="AJ80" s="935">
        <f t="shared" si="33"/>
        <v>6714</v>
      </c>
      <c r="AK80" s="935">
        <f t="shared" si="34"/>
        <v>4101</v>
      </c>
      <c r="AL80" s="935">
        <f t="shared" si="35"/>
        <v>17129</v>
      </c>
      <c r="AM80" s="935">
        <f t="shared" si="36"/>
        <v>21230</v>
      </c>
      <c r="AN80" s="935">
        <f t="shared" si="37"/>
        <v>1119</v>
      </c>
      <c r="AO80" s="935">
        <f t="shared" si="38"/>
        <v>4776</v>
      </c>
      <c r="AP80" s="935">
        <f t="shared" si="39"/>
        <v>5895</v>
      </c>
      <c r="AR80" s="936">
        <f t="shared" si="40"/>
        <v>0.29520405123622284</v>
      </c>
      <c r="AS80" s="936">
        <f t="shared" si="41"/>
        <v>0.19317004239284033</v>
      </c>
      <c r="AT80" s="936">
        <f t="shared" si="42"/>
        <v>0.18982188295165395</v>
      </c>
      <c r="AV80" s="937">
        <v>6655</v>
      </c>
      <c r="AW80" s="937">
        <v>21596</v>
      </c>
      <c r="AX80" s="937">
        <v>6356</v>
      </c>
      <c r="AZ80" s="937">
        <f t="shared" si="43"/>
        <v>1964.5829609770631</v>
      </c>
      <c r="BA80" s="937">
        <f t="shared" si="44"/>
        <v>4171.7002355157802</v>
      </c>
      <c r="BB80" s="937">
        <f t="shared" si="45"/>
        <v>1206.5078880407125</v>
      </c>
      <c r="BC80" s="954">
        <f t="shared" si="46"/>
        <v>7342.7910845335555</v>
      </c>
    </row>
    <row r="81" spans="1:55" s="934" customFormat="1" ht="12" customHeight="1" x14ac:dyDescent="0.2">
      <c r="A81" s="934" t="s">
        <v>194</v>
      </c>
      <c r="B81" s="938" t="s">
        <v>195</v>
      </c>
      <c r="C81" s="951">
        <v>102</v>
      </c>
      <c r="D81" s="935">
        <v>335</v>
      </c>
      <c r="E81" s="935">
        <v>437</v>
      </c>
      <c r="F81" s="935">
        <v>64</v>
      </c>
      <c r="G81" s="935">
        <v>391</v>
      </c>
      <c r="H81" s="935">
        <v>455</v>
      </c>
      <c r="I81" s="935">
        <v>117</v>
      </c>
      <c r="J81" s="935">
        <v>447</v>
      </c>
      <c r="K81" s="935">
        <v>564</v>
      </c>
      <c r="L81" s="935">
        <v>53</v>
      </c>
      <c r="M81" s="935">
        <v>412</v>
      </c>
      <c r="N81" s="935">
        <v>465</v>
      </c>
      <c r="O81" s="935">
        <v>114</v>
      </c>
      <c r="P81" s="935">
        <v>466</v>
      </c>
      <c r="Q81" s="935">
        <v>580</v>
      </c>
      <c r="R81" s="935">
        <v>123</v>
      </c>
      <c r="S81" s="935">
        <v>749</v>
      </c>
      <c r="T81" s="935">
        <v>872</v>
      </c>
      <c r="U81" s="935">
        <v>95</v>
      </c>
      <c r="V81" s="935">
        <v>1198</v>
      </c>
      <c r="W81" s="935">
        <v>1293</v>
      </c>
      <c r="X81" s="935">
        <v>111</v>
      </c>
      <c r="Y81" s="935">
        <v>1160</v>
      </c>
      <c r="Z81" s="935">
        <v>1271</v>
      </c>
      <c r="AA81" s="935">
        <v>46</v>
      </c>
      <c r="AB81" s="935">
        <v>822</v>
      </c>
      <c r="AC81" s="935">
        <v>868</v>
      </c>
      <c r="AD81" s="935">
        <v>111</v>
      </c>
      <c r="AE81" s="935">
        <v>424</v>
      </c>
      <c r="AF81" s="935">
        <v>535</v>
      </c>
      <c r="AH81" s="935">
        <f t="shared" si="31"/>
        <v>283</v>
      </c>
      <c r="AI81" s="935">
        <f t="shared" si="32"/>
        <v>1173</v>
      </c>
      <c r="AJ81" s="935">
        <f t="shared" si="33"/>
        <v>1456</v>
      </c>
      <c r="AK81" s="935">
        <f t="shared" si="34"/>
        <v>496</v>
      </c>
      <c r="AL81" s="935">
        <f t="shared" si="35"/>
        <v>3985</v>
      </c>
      <c r="AM81" s="935">
        <f t="shared" si="36"/>
        <v>4481</v>
      </c>
      <c r="AN81" s="935">
        <f t="shared" si="37"/>
        <v>157</v>
      </c>
      <c r="AO81" s="935">
        <f t="shared" si="38"/>
        <v>1246</v>
      </c>
      <c r="AP81" s="935">
        <f t="shared" si="39"/>
        <v>1403</v>
      </c>
      <c r="AR81" s="936">
        <f t="shared" si="40"/>
        <v>0.19436813186813187</v>
      </c>
      <c r="AS81" s="936">
        <f t="shared" si="41"/>
        <v>0.11068957821914752</v>
      </c>
      <c r="AT81" s="936">
        <f t="shared" si="42"/>
        <v>0.11190306486101212</v>
      </c>
      <c r="AV81" s="937">
        <v>1444</v>
      </c>
      <c r="AW81" s="937">
        <v>4547</v>
      </c>
      <c r="AX81" s="937">
        <v>1453</v>
      </c>
      <c r="AZ81" s="937">
        <f t="shared" si="43"/>
        <v>280.66758241758242</v>
      </c>
      <c r="BA81" s="937">
        <f t="shared" si="44"/>
        <v>503.30551216246374</v>
      </c>
      <c r="BB81" s="937">
        <f t="shared" si="45"/>
        <v>162.59515324305062</v>
      </c>
      <c r="BC81" s="954">
        <f t="shared" si="46"/>
        <v>946.56824782309673</v>
      </c>
    </row>
    <row r="82" spans="1:55" s="934" customFormat="1" ht="12" customHeight="1" x14ac:dyDescent="0.2">
      <c r="A82" s="934" t="s">
        <v>198</v>
      </c>
      <c r="B82" s="938" t="s">
        <v>272</v>
      </c>
      <c r="C82" s="951">
        <v>53</v>
      </c>
      <c r="D82" s="935">
        <v>427</v>
      </c>
      <c r="E82" s="935">
        <v>480</v>
      </c>
      <c r="F82" s="935">
        <v>75</v>
      </c>
      <c r="G82" s="935">
        <v>418</v>
      </c>
      <c r="H82" s="935">
        <v>493</v>
      </c>
      <c r="I82" s="935">
        <v>105</v>
      </c>
      <c r="J82" s="935">
        <v>533</v>
      </c>
      <c r="K82" s="935">
        <v>638</v>
      </c>
      <c r="L82" s="935">
        <v>35</v>
      </c>
      <c r="M82" s="935">
        <v>665</v>
      </c>
      <c r="N82" s="935">
        <v>700</v>
      </c>
      <c r="O82" s="935">
        <v>85</v>
      </c>
      <c r="P82" s="935">
        <v>408</v>
      </c>
      <c r="Q82" s="935">
        <v>493</v>
      </c>
      <c r="R82" s="935">
        <v>142</v>
      </c>
      <c r="S82" s="935">
        <v>1050</v>
      </c>
      <c r="T82" s="935">
        <v>1192</v>
      </c>
      <c r="U82" s="935">
        <v>57</v>
      </c>
      <c r="V82" s="935">
        <v>1217</v>
      </c>
      <c r="W82" s="935">
        <v>1274</v>
      </c>
      <c r="X82" s="935">
        <v>130</v>
      </c>
      <c r="Y82" s="935">
        <v>765</v>
      </c>
      <c r="Z82" s="935">
        <v>895</v>
      </c>
      <c r="AA82" s="935">
        <v>160</v>
      </c>
      <c r="AB82" s="935">
        <v>650</v>
      </c>
      <c r="AC82" s="935">
        <v>810</v>
      </c>
      <c r="AD82" s="935">
        <v>258</v>
      </c>
      <c r="AE82" s="935">
        <v>472</v>
      </c>
      <c r="AF82" s="935">
        <v>730</v>
      </c>
      <c r="AH82" s="935">
        <f t="shared" si="31"/>
        <v>233</v>
      </c>
      <c r="AI82" s="935">
        <f t="shared" si="32"/>
        <v>1378</v>
      </c>
      <c r="AJ82" s="935">
        <f t="shared" si="33"/>
        <v>1611</v>
      </c>
      <c r="AK82" s="935">
        <f t="shared" si="34"/>
        <v>449</v>
      </c>
      <c r="AL82" s="935">
        <f t="shared" si="35"/>
        <v>4105</v>
      </c>
      <c r="AM82" s="935">
        <f t="shared" si="36"/>
        <v>4554</v>
      </c>
      <c r="AN82" s="935">
        <f t="shared" si="37"/>
        <v>418</v>
      </c>
      <c r="AO82" s="935">
        <f t="shared" si="38"/>
        <v>1122</v>
      </c>
      <c r="AP82" s="935">
        <f t="shared" si="39"/>
        <v>1540</v>
      </c>
      <c r="AR82" s="936">
        <f t="shared" si="40"/>
        <v>0.1446306641837368</v>
      </c>
      <c r="AS82" s="936">
        <f t="shared" si="41"/>
        <v>9.8594642072902944E-2</v>
      </c>
      <c r="AT82" s="936">
        <f t="shared" si="42"/>
        <v>0.27142857142857141</v>
      </c>
      <c r="AV82" s="937">
        <v>1554</v>
      </c>
      <c r="AW82" s="937">
        <v>5954</v>
      </c>
      <c r="AX82" s="937">
        <v>1712</v>
      </c>
      <c r="AZ82" s="937">
        <f t="shared" si="43"/>
        <v>224.75605214152699</v>
      </c>
      <c r="BA82" s="937">
        <f t="shared" si="44"/>
        <v>587.03249890206416</v>
      </c>
      <c r="BB82" s="937">
        <f t="shared" si="45"/>
        <v>464.68571428571425</v>
      </c>
      <c r="BC82" s="954">
        <f t="shared" si="46"/>
        <v>1276.4742653293054</v>
      </c>
    </row>
    <row r="83" spans="1:55" s="934" customFormat="1" ht="12" customHeight="1" x14ac:dyDescent="0.2">
      <c r="A83" s="934" t="s">
        <v>202</v>
      </c>
      <c r="B83" s="938" t="s">
        <v>611</v>
      </c>
      <c r="C83" s="951">
        <v>1240</v>
      </c>
      <c r="D83" s="935">
        <v>5996</v>
      </c>
      <c r="E83" s="935">
        <v>7236</v>
      </c>
      <c r="F83" s="935">
        <v>943</v>
      </c>
      <c r="G83" s="935">
        <v>6908</v>
      </c>
      <c r="H83" s="935">
        <v>7851</v>
      </c>
      <c r="I83" s="935">
        <v>889</v>
      </c>
      <c r="J83" s="935">
        <v>8841</v>
      </c>
      <c r="K83" s="935">
        <v>9730</v>
      </c>
      <c r="L83" s="935">
        <v>1557</v>
      </c>
      <c r="M83" s="935">
        <v>6696</v>
      </c>
      <c r="N83" s="935">
        <v>8253</v>
      </c>
      <c r="O83" s="935">
        <v>1238</v>
      </c>
      <c r="P83" s="935">
        <v>10373</v>
      </c>
      <c r="Q83" s="935">
        <v>11611</v>
      </c>
      <c r="R83" s="935">
        <v>982</v>
      </c>
      <c r="S83" s="935">
        <v>14774</v>
      </c>
      <c r="T83" s="935">
        <v>15756</v>
      </c>
      <c r="U83" s="935">
        <v>1219</v>
      </c>
      <c r="V83" s="935">
        <v>16718</v>
      </c>
      <c r="W83" s="935">
        <v>17937</v>
      </c>
      <c r="X83" s="935">
        <v>1140</v>
      </c>
      <c r="Y83" s="935">
        <v>14977</v>
      </c>
      <c r="Z83" s="935">
        <v>16117</v>
      </c>
      <c r="AA83" s="935">
        <v>646</v>
      </c>
      <c r="AB83" s="935">
        <v>9280</v>
      </c>
      <c r="AC83" s="935">
        <v>9926</v>
      </c>
      <c r="AD83" s="935">
        <v>1360</v>
      </c>
      <c r="AE83" s="935">
        <v>7223</v>
      </c>
      <c r="AF83" s="935">
        <v>8583</v>
      </c>
      <c r="AH83" s="935">
        <f t="shared" si="31"/>
        <v>3072</v>
      </c>
      <c r="AI83" s="935">
        <f t="shared" si="32"/>
        <v>21745</v>
      </c>
      <c r="AJ83" s="935">
        <f t="shared" si="33"/>
        <v>24817</v>
      </c>
      <c r="AK83" s="935">
        <f t="shared" si="34"/>
        <v>6136</v>
      </c>
      <c r="AL83" s="935">
        <f t="shared" si="35"/>
        <v>63538</v>
      </c>
      <c r="AM83" s="935">
        <f t="shared" si="36"/>
        <v>69674</v>
      </c>
      <c r="AN83" s="935">
        <f t="shared" si="37"/>
        <v>2006</v>
      </c>
      <c r="AO83" s="935">
        <f t="shared" si="38"/>
        <v>16503</v>
      </c>
      <c r="AP83" s="935">
        <f t="shared" si="39"/>
        <v>18509</v>
      </c>
      <c r="AR83" s="936">
        <f t="shared" si="40"/>
        <v>0.12378611435709393</v>
      </c>
      <c r="AS83" s="936">
        <f t="shared" si="41"/>
        <v>8.8067284783419922E-2</v>
      </c>
      <c r="AT83" s="936">
        <f t="shared" si="42"/>
        <v>0.10837970716948511</v>
      </c>
      <c r="AV83" s="937">
        <v>19743</v>
      </c>
      <c r="AW83" s="937">
        <v>56675</v>
      </c>
      <c r="AX83" s="937">
        <v>16322</v>
      </c>
      <c r="AZ83" s="937">
        <f t="shared" si="43"/>
        <v>2443.9092557521053</v>
      </c>
      <c r="BA83" s="937">
        <f t="shared" si="44"/>
        <v>4991.2133651003242</v>
      </c>
      <c r="BB83" s="937">
        <f t="shared" si="45"/>
        <v>1768.973580420336</v>
      </c>
      <c r="BC83" s="954">
        <f t="shared" si="46"/>
        <v>9204.096201272765</v>
      </c>
    </row>
    <row r="84" spans="1:55" s="934" customFormat="1" ht="12" customHeight="1" x14ac:dyDescent="0.2">
      <c r="A84" s="934" t="s">
        <v>204</v>
      </c>
      <c r="B84" s="938" t="s">
        <v>757</v>
      </c>
      <c r="C84" s="951">
        <v>723</v>
      </c>
      <c r="D84" s="935">
        <v>1551</v>
      </c>
      <c r="E84" s="935">
        <v>2274</v>
      </c>
      <c r="F84" s="935">
        <v>676</v>
      </c>
      <c r="G84" s="935">
        <v>1659</v>
      </c>
      <c r="H84" s="935">
        <v>2335</v>
      </c>
      <c r="I84" s="935">
        <v>414</v>
      </c>
      <c r="J84" s="935">
        <v>1470</v>
      </c>
      <c r="K84" s="935">
        <v>1884</v>
      </c>
      <c r="L84" s="935">
        <v>1105</v>
      </c>
      <c r="M84" s="935">
        <v>1673</v>
      </c>
      <c r="N84" s="935">
        <v>2778</v>
      </c>
      <c r="O84" s="935">
        <v>639</v>
      </c>
      <c r="P84" s="935">
        <v>2323</v>
      </c>
      <c r="Q84" s="935">
        <v>2962</v>
      </c>
      <c r="R84" s="935">
        <v>754</v>
      </c>
      <c r="S84" s="935">
        <v>3288</v>
      </c>
      <c r="T84" s="935">
        <v>4042</v>
      </c>
      <c r="U84" s="935">
        <v>685</v>
      </c>
      <c r="V84" s="935">
        <v>3909</v>
      </c>
      <c r="W84" s="935">
        <v>4594</v>
      </c>
      <c r="X84" s="935">
        <v>540</v>
      </c>
      <c r="Y84" s="935">
        <v>4148</v>
      </c>
      <c r="Z84" s="935">
        <v>4688</v>
      </c>
      <c r="AA84" s="935">
        <v>601</v>
      </c>
      <c r="AB84" s="935">
        <v>3012</v>
      </c>
      <c r="AC84" s="935">
        <v>3613</v>
      </c>
      <c r="AD84" s="935">
        <v>687</v>
      </c>
      <c r="AE84" s="935">
        <v>2024</v>
      </c>
      <c r="AF84" s="935">
        <v>2711</v>
      </c>
      <c r="AH84" s="935">
        <f t="shared" si="31"/>
        <v>1813</v>
      </c>
      <c r="AI84" s="935">
        <f t="shared" si="32"/>
        <v>4680</v>
      </c>
      <c r="AJ84" s="935">
        <f t="shared" si="33"/>
        <v>6493</v>
      </c>
      <c r="AK84" s="935">
        <f t="shared" si="34"/>
        <v>3723</v>
      </c>
      <c r="AL84" s="935">
        <f t="shared" si="35"/>
        <v>15341</v>
      </c>
      <c r="AM84" s="935">
        <f t="shared" si="36"/>
        <v>19064</v>
      </c>
      <c r="AN84" s="935">
        <f t="shared" si="37"/>
        <v>1288</v>
      </c>
      <c r="AO84" s="935">
        <f t="shared" si="38"/>
        <v>5036</v>
      </c>
      <c r="AP84" s="935">
        <f t="shared" si="39"/>
        <v>6324</v>
      </c>
      <c r="AR84" s="936">
        <f t="shared" si="40"/>
        <v>0.27922377945479748</v>
      </c>
      <c r="AS84" s="936">
        <f t="shared" si="41"/>
        <v>0.19528955098615192</v>
      </c>
      <c r="AT84" s="936">
        <f t="shared" si="42"/>
        <v>0.2036685641998735</v>
      </c>
      <c r="AV84" s="937">
        <v>4201</v>
      </c>
      <c r="AW84" s="937">
        <v>13443</v>
      </c>
      <c r="AX84" s="937">
        <v>4731</v>
      </c>
      <c r="AZ84" s="937">
        <f t="shared" si="43"/>
        <v>1173.0190974896043</v>
      </c>
      <c r="BA84" s="937">
        <f t="shared" si="44"/>
        <v>2625.2774339068401</v>
      </c>
      <c r="BB84" s="937">
        <f t="shared" si="45"/>
        <v>963.55597722960158</v>
      </c>
      <c r="BC84" s="954">
        <f t="shared" si="46"/>
        <v>4761.8525086260461</v>
      </c>
    </row>
    <row r="85" spans="1:55" s="934" customFormat="1" ht="12" customHeight="1" x14ac:dyDescent="0.2">
      <c r="A85" s="934" t="s">
        <v>206</v>
      </c>
      <c r="B85" s="938" t="s">
        <v>758</v>
      </c>
      <c r="C85" s="951">
        <v>2191</v>
      </c>
      <c r="D85" s="935">
        <v>6084</v>
      </c>
      <c r="E85" s="935">
        <v>8275</v>
      </c>
      <c r="F85" s="935">
        <v>1432</v>
      </c>
      <c r="G85" s="935">
        <v>6692</v>
      </c>
      <c r="H85" s="935">
        <v>8124</v>
      </c>
      <c r="I85" s="935">
        <v>1700</v>
      </c>
      <c r="J85" s="935">
        <v>6706</v>
      </c>
      <c r="K85" s="935">
        <v>8406</v>
      </c>
      <c r="L85" s="935">
        <v>10196</v>
      </c>
      <c r="M85" s="935">
        <v>8392</v>
      </c>
      <c r="N85" s="935">
        <v>18588</v>
      </c>
      <c r="O85" s="935">
        <v>2537</v>
      </c>
      <c r="P85" s="935">
        <v>11602</v>
      </c>
      <c r="Q85" s="935">
        <v>14139</v>
      </c>
      <c r="R85" s="935">
        <v>1881</v>
      </c>
      <c r="S85" s="935">
        <v>11766</v>
      </c>
      <c r="T85" s="935">
        <v>13647</v>
      </c>
      <c r="U85" s="935">
        <v>1509</v>
      </c>
      <c r="V85" s="935">
        <v>14016</v>
      </c>
      <c r="W85" s="935">
        <v>15525</v>
      </c>
      <c r="X85" s="935">
        <v>1219</v>
      </c>
      <c r="Y85" s="935">
        <v>11219</v>
      </c>
      <c r="Z85" s="935">
        <v>12438</v>
      </c>
      <c r="AA85" s="935">
        <v>811</v>
      </c>
      <c r="AB85" s="935">
        <v>7069</v>
      </c>
      <c r="AC85" s="935">
        <v>7880</v>
      </c>
      <c r="AD85" s="935">
        <v>1508</v>
      </c>
      <c r="AE85" s="935">
        <v>5632</v>
      </c>
      <c r="AF85" s="935">
        <v>7140</v>
      </c>
      <c r="AH85" s="935">
        <f t="shared" si="31"/>
        <v>5323</v>
      </c>
      <c r="AI85" s="935">
        <f t="shared" si="32"/>
        <v>19482</v>
      </c>
      <c r="AJ85" s="935">
        <f t="shared" si="33"/>
        <v>24805</v>
      </c>
      <c r="AK85" s="935">
        <f t="shared" si="34"/>
        <v>17342</v>
      </c>
      <c r="AL85" s="935">
        <f t="shared" si="35"/>
        <v>56995</v>
      </c>
      <c r="AM85" s="935">
        <f t="shared" si="36"/>
        <v>74337</v>
      </c>
      <c r="AN85" s="935">
        <f t="shared" si="37"/>
        <v>2319</v>
      </c>
      <c r="AO85" s="935">
        <f t="shared" si="38"/>
        <v>12701</v>
      </c>
      <c r="AP85" s="935">
        <f t="shared" si="39"/>
        <v>15020</v>
      </c>
      <c r="AR85" s="936">
        <f t="shared" si="40"/>
        <v>0.2145938318887321</v>
      </c>
      <c r="AS85" s="936">
        <f t="shared" si="41"/>
        <v>0.23328894090426033</v>
      </c>
      <c r="AT85" s="936">
        <f t="shared" si="42"/>
        <v>0.1543941411451398</v>
      </c>
      <c r="AV85" s="937">
        <v>17860</v>
      </c>
      <c r="AW85" s="937">
        <v>46626</v>
      </c>
      <c r="AX85" s="937">
        <v>12103</v>
      </c>
      <c r="AZ85" s="937">
        <f t="shared" si="43"/>
        <v>3832.6458375327552</v>
      </c>
      <c r="BA85" s="937">
        <f t="shared" si="44"/>
        <v>10877.330158602043</v>
      </c>
      <c r="BB85" s="937">
        <f t="shared" si="45"/>
        <v>1868.6322902796271</v>
      </c>
      <c r="BC85" s="954">
        <f t="shared" si="46"/>
        <v>16578.608286414423</v>
      </c>
    </row>
    <row r="86" spans="1:55" s="934" customFormat="1" ht="12" customHeight="1" x14ac:dyDescent="0.2">
      <c r="A86" s="934" t="s">
        <v>208</v>
      </c>
      <c r="B86" s="938" t="s">
        <v>515</v>
      </c>
      <c r="C86" s="951">
        <v>613</v>
      </c>
      <c r="D86" s="935">
        <v>1232</v>
      </c>
      <c r="E86" s="935">
        <v>1845</v>
      </c>
      <c r="F86" s="935">
        <v>644</v>
      </c>
      <c r="G86" s="935">
        <v>1403</v>
      </c>
      <c r="H86" s="935">
        <v>2047</v>
      </c>
      <c r="I86" s="935">
        <v>557</v>
      </c>
      <c r="J86" s="935">
        <v>1357</v>
      </c>
      <c r="K86" s="935">
        <v>1914</v>
      </c>
      <c r="L86" s="935">
        <v>722</v>
      </c>
      <c r="M86" s="935">
        <v>1437</v>
      </c>
      <c r="N86" s="935">
        <v>2159</v>
      </c>
      <c r="O86" s="935">
        <v>698</v>
      </c>
      <c r="P86" s="935">
        <v>2611</v>
      </c>
      <c r="Q86" s="935">
        <v>3309</v>
      </c>
      <c r="R86" s="935">
        <v>1019</v>
      </c>
      <c r="S86" s="935">
        <v>2806</v>
      </c>
      <c r="T86" s="935">
        <v>3825</v>
      </c>
      <c r="U86" s="935">
        <v>1186</v>
      </c>
      <c r="V86" s="935">
        <v>3528</v>
      </c>
      <c r="W86" s="935">
        <v>4714</v>
      </c>
      <c r="X86" s="935">
        <v>937</v>
      </c>
      <c r="Y86" s="935">
        <v>3200</v>
      </c>
      <c r="Z86" s="935">
        <v>4137</v>
      </c>
      <c r="AA86" s="935">
        <v>674</v>
      </c>
      <c r="AB86" s="935">
        <v>2029</v>
      </c>
      <c r="AC86" s="935">
        <v>2703</v>
      </c>
      <c r="AD86" s="935">
        <v>542</v>
      </c>
      <c r="AE86" s="935">
        <v>1357</v>
      </c>
      <c r="AF86" s="935">
        <v>1899</v>
      </c>
      <c r="AH86" s="935">
        <f t="shared" si="31"/>
        <v>1814</v>
      </c>
      <c r="AI86" s="935">
        <f t="shared" si="32"/>
        <v>3992</v>
      </c>
      <c r="AJ86" s="935">
        <f t="shared" si="33"/>
        <v>5806</v>
      </c>
      <c r="AK86" s="935">
        <f t="shared" si="34"/>
        <v>4562</v>
      </c>
      <c r="AL86" s="935">
        <f t="shared" si="35"/>
        <v>13582</v>
      </c>
      <c r="AM86" s="935">
        <f t="shared" si="36"/>
        <v>18144</v>
      </c>
      <c r="AN86" s="935">
        <f t="shared" si="37"/>
        <v>1216</v>
      </c>
      <c r="AO86" s="935">
        <f t="shared" si="38"/>
        <v>3386</v>
      </c>
      <c r="AP86" s="935">
        <f t="shared" si="39"/>
        <v>4602</v>
      </c>
      <c r="AR86" s="936">
        <f t="shared" si="40"/>
        <v>0.31243541164312782</v>
      </c>
      <c r="AS86" s="936">
        <f t="shared" si="41"/>
        <v>0.25143298059964725</v>
      </c>
      <c r="AT86" s="936">
        <f t="shared" si="42"/>
        <v>0.26423294219904392</v>
      </c>
      <c r="AV86" s="937">
        <v>5752</v>
      </c>
      <c r="AW86" s="937">
        <v>18169</v>
      </c>
      <c r="AX86" s="937">
        <v>4828</v>
      </c>
      <c r="AZ86" s="937">
        <f t="shared" si="43"/>
        <v>1797.1284877712712</v>
      </c>
      <c r="BA86" s="937">
        <f t="shared" si="44"/>
        <v>4568.285824514991</v>
      </c>
      <c r="BB86" s="937">
        <f t="shared" si="45"/>
        <v>1275.716644936984</v>
      </c>
      <c r="BC86" s="954">
        <f t="shared" si="46"/>
        <v>7641.1309572232467</v>
      </c>
    </row>
    <row r="87" spans="1:55" s="934" customFormat="1" ht="12" customHeight="1" x14ac:dyDescent="0.2">
      <c r="A87" s="934" t="s">
        <v>210</v>
      </c>
      <c r="B87" s="938" t="s">
        <v>516</v>
      </c>
      <c r="C87" s="951">
        <v>347</v>
      </c>
      <c r="D87" s="935">
        <v>1008</v>
      </c>
      <c r="E87" s="935">
        <v>1355</v>
      </c>
      <c r="F87" s="935">
        <v>328</v>
      </c>
      <c r="G87" s="935">
        <v>1108</v>
      </c>
      <c r="H87" s="935">
        <v>1436</v>
      </c>
      <c r="I87" s="935">
        <v>343</v>
      </c>
      <c r="J87" s="935">
        <v>1284</v>
      </c>
      <c r="K87" s="935">
        <v>1627</v>
      </c>
      <c r="L87" s="935">
        <v>458</v>
      </c>
      <c r="M87" s="935">
        <v>1160</v>
      </c>
      <c r="N87" s="935">
        <v>1618</v>
      </c>
      <c r="O87" s="935">
        <v>605</v>
      </c>
      <c r="P87" s="935">
        <v>1841</v>
      </c>
      <c r="Q87" s="935">
        <v>2446</v>
      </c>
      <c r="R87" s="935">
        <v>612</v>
      </c>
      <c r="S87" s="935">
        <v>2486</v>
      </c>
      <c r="T87" s="935">
        <v>3098</v>
      </c>
      <c r="U87" s="935">
        <v>604</v>
      </c>
      <c r="V87" s="935">
        <v>2869</v>
      </c>
      <c r="W87" s="935">
        <v>3473</v>
      </c>
      <c r="X87" s="935">
        <v>746</v>
      </c>
      <c r="Y87" s="935">
        <v>2601</v>
      </c>
      <c r="Z87" s="935">
        <v>3347</v>
      </c>
      <c r="AA87" s="935">
        <v>596</v>
      </c>
      <c r="AB87" s="935">
        <v>1913</v>
      </c>
      <c r="AC87" s="935">
        <v>2509</v>
      </c>
      <c r="AD87" s="935">
        <v>662</v>
      </c>
      <c r="AE87" s="935">
        <v>1247</v>
      </c>
      <c r="AF87" s="935">
        <v>1909</v>
      </c>
      <c r="AH87" s="935">
        <f t="shared" si="31"/>
        <v>1018</v>
      </c>
      <c r="AI87" s="935">
        <f t="shared" si="32"/>
        <v>3400</v>
      </c>
      <c r="AJ87" s="935">
        <f t="shared" si="33"/>
        <v>4418</v>
      </c>
      <c r="AK87" s="935">
        <f t="shared" si="34"/>
        <v>3025</v>
      </c>
      <c r="AL87" s="935">
        <f t="shared" si="35"/>
        <v>10957</v>
      </c>
      <c r="AM87" s="935">
        <f t="shared" si="36"/>
        <v>13982</v>
      </c>
      <c r="AN87" s="935">
        <f t="shared" si="37"/>
        <v>1258</v>
      </c>
      <c r="AO87" s="935">
        <f t="shared" si="38"/>
        <v>3160</v>
      </c>
      <c r="AP87" s="935">
        <f t="shared" si="39"/>
        <v>4418</v>
      </c>
      <c r="AR87" s="936">
        <f t="shared" si="40"/>
        <v>0.23042100497962878</v>
      </c>
      <c r="AS87" s="936">
        <f t="shared" si="41"/>
        <v>0.21634959233299958</v>
      </c>
      <c r="AT87" s="936">
        <f t="shared" si="42"/>
        <v>0.28474422815753736</v>
      </c>
      <c r="AV87" s="937">
        <v>4391</v>
      </c>
      <c r="AW87" s="937">
        <v>13918</v>
      </c>
      <c r="AX87" s="937">
        <v>4817</v>
      </c>
      <c r="AZ87" s="937">
        <f t="shared" si="43"/>
        <v>1011.77863286555</v>
      </c>
      <c r="BA87" s="937">
        <f t="shared" si="44"/>
        <v>3011.1536260906882</v>
      </c>
      <c r="BB87" s="937">
        <f t="shared" si="45"/>
        <v>1371.6129470348574</v>
      </c>
      <c r="BC87" s="954">
        <f t="shared" si="46"/>
        <v>5394.5452059910949</v>
      </c>
    </row>
    <row r="88" spans="1:55" s="934" customFormat="1" ht="12" customHeight="1" x14ac:dyDescent="0.2">
      <c r="A88" s="934" t="s">
        <v>212</v>
      </c>
      <c r="B88" s="938" t="s">
        <v>517</v>
      </c>
      <c r="C88" s="951">
        <v>587</v>
      </c>
      <c r="D88" s="935">
        <v>2303</v>
      </c>
      <c r="E88" s="935">
        <v>2890</v>
      </c>
      <c r="F88" s="935">
        <v>602</v>
      </c>
      <c r="G88" s="935">
        <v>2346</v>
      </c>
      <c r="H88" s="935">
        <v>2948</v>
      </c>
      <c r="I88" s="935">
        <v>913</v>
      </c>
      <c r="J88" s="935">
        <v>2337</v>
      </c>
      <c r="K88" s="935">
        <v>3250</v>
      </c>
      <c r="L88" s="935">
        <v>616</v>
      </c>
      <c r="M88" s="935">
        <v>2407</v>
      </c>
      <c r="N88" s="935">
        <v>3023</v>
      </c>
      <c r="O88" s="935">
        <v>682</v>
      </c>
      <c r="P88" s="935">
        <v>3755</v>
      </c>
      <c r="Q88" s="935">
        <v>4437</v>
      </c>
      <c r="R88" s="935">
        <v>762</v>
      </c>
      <c r="S88" s="935">
        <v>4732</v>
      </c>
      <c r="T88" s="935">
        <v>5494</v>
      </c>
      <c r="U88" s="935">
        <v>853</v>
      </c>
      <c r="V88" s="935">
        <v>5309</v>
      </c>
      <c r="W88" s="935">
        <v>6162</v>
      </c>
      <c r="X88" s="935">
        <v>672</v>
      </c>
      <c r="Y88" s="935">
        <v>4995</v>
      </c>
      <c r="Z88" s="935">
        <v>5667</v>
      </c>
      <c r="AA88" s="935">
        <v>454</v>
      </c>
      <c r="AB88" s="935">
        <v>3704</v>
      </c>
      <c r="AC88" s="935">
        <v>4158</v>
      </c>
      <c r="AD88" s="935">
        <v>610</v>
      </c>
      <c r="AE88" s="935">
        <v>2687</v>
      </c>
      <c r="AF88" s="935">
        <v>3297</v>
      </c>
      <c r="AH88" s="935">
        <f t="shared" si="31"/>
        <v>2102</v>
      </c>
      <c r="AI88" s="935">
        <f t="shared" si="32"/>
        <v>6986</v>
      </c>
      <c r="AJ88" s="935">
        <f t="shared" si="33"/>
        <v>9088</v>
      </c>
      <c r="AK88" s="935">
        <f t="shared" si="34"/>
        <v>3585</v>
      </c>
      <c r="AL88" s="935">
        <f t="shared" si="35"/>
        <v>21198</v>
      </c>
      <c r="AM88" s="935">
        <f t="shared" si="36"/>
        <v>24783</v>
      </c>
      <c r="AN88" s="935">
        <f t="shared" si="37"/>
        <v>1064</v>
      </c>
      <c r="AO88" s="935">
        <f t="shared" si="38"/>
        <v>6391</v>
      </c>
      <c r="AP88" s="935">
        <f t="shared" si="39"/>
        <v>7455</v>
      </c>
      <c r="AR88" s="936">
        <f t="shared" si="40"/>
        <v>0.23129401408450703</v>
      </c>
      <c r="AS88" s="936">
        <f t="shared" si="41"/>
        <v>0.14465561070088367</v>
      </c>
      <c r="AT88" s="936">
        <f t="shared" si="42"/>
        <v>0.14272300469483568</v>
      </c>
      <c r="AV88" s="937">
        <v>9208</v>
      </c>
      <c r="AW88" s="937">
        <v>25035</v>
      </c>
      <c r="AX88" s="937">
        <v>8046</v>
      </c>
      <c r="AZ88" s="937">
        <f t="shared" si="43"/>
        <v>2129.7552816901407</v>
      </c>
      <c r="BA88" s="937">
        <f t="shared" si="44"/>
        <v>3621.4532138966229</v>
      </c>
      <c r="BB88" s="937">
        <f t="shared" si="45"/>
        <v>1148.3492957746478</v>
      </c>
      <c r="BC88" s="954">
        <f t="shared" si="46"/>
        <v>6899.5577913614106</v>
      </c>
    </row>
    <row r="89" spans="1:55" s="934" customFormat="1" ht="12" customHeight="1" x14ac:dyDescent="0.2">
      <c r="A89" s="934" t="s">
        <v>214</v>
      </c>
      <c r="B89" s="938" t="s">
        <v>518</v>
      </c>
      <c r="C89" s="951">
        <v>1131</v>
      </c>
      <c r="D89" s="935">
        <v>993</v>
      </c>
      <c r="E89" s="935">
        <v>2124</v>
      </c>
      <c r="F89" s="935">
        <v>773</v>
      </c>
      <c r="G89" s="935">
        <v>1458</v>
      </c>
      <c r="H89" s="935">
        <v>2231</v>
      </c>
      <c r="I89" s="935">
        <v>610</v>
      </c>
      <c r="J89" s="935">
        <v>1678</v>
      </c>
      <c r="K89" s="935">
        <v>2288</v>
      </c>
      <c r="L89" s="935">
        <v>680</v>
      </c>
      <c r="M89" s="935">
        <v>1793</v>
      </c>
      <c r="N89" s="935">
        <v>2473</v>
      </c>
      <c r="O89" s="935">
        <v>1005</v>
      </c>
      <c r="P89" s="935">
        <v>2390</v>
      </c>
      <c r="Q89" s="935">
        <v>3395</v>
      </c>
      <c r="R89" s="935">
        <v>1083</v>
      </c>
      <c r="S89" s="935">
        <v>3213</v>
      </c>
      <c r="T89" s="935">
        <v>4296</v>
      </c>
      <c r="U89" s="935">
        <v>813</v>
      </c>
      <c r="V89" s="935">
        <v>3880</v>
      </c>
      <c r="W89" s="935">
        <v>4693</v>
      </c>
      <c r="X89" s="935">
        <v>709</v>
      </c>
      <c r="Y89" s="935">
        <v>3775</v>
      </c>
      <c r="Z89" s="935">
        <v>4484</v>
      </c>
      <c r="AA89" s="935">
        <v>480</v>
      </c>
      <c r="AB89" s="935">
        <v>2660</v>
      </c>
      <c r="AC89" s="935">
        <v>3140</v>
      </c>
      <c r="AD89" s="935">
        <v>655</v>
      </c>
      <c r="AE89" s="935">
        <v>1789</v>
      </c>
      <c r="AF89" s="935">
        <v>2444</v>
      </c>
      <c r="AH89" s="935">
        <f t="shared" si="31"/>
        <v>2514</v>
      </c>
      <c r="AI89" s="935">
        <f t="shared" si="32"/>
        <v>4129</v>
      </c>
      <c r="AJ89" s="935">
        <f t="shared" si="33"/>
        <v>6643</v>
      </c>
      <c r="AK89" s="935">
        <f t="shared" si="34"/>
        <v>4290</v>
      </c>
      <c r="AL89" s="935">
        <f t="shared" si="35"/>
        <v>15051</v>
      </c>
      <c r="AM89" s="935">
        <f t="shared" si="36"/>
        <v>19341</v>
      </c>
      <c r="AN89" s="935">
        <f t="shared" si="37"/>
        <v>1135</v>
      </c>
      <c r="AO89" s="935">
        <f t="shared" si="38"/>
        <v>4449</v>
      </c>
      <c r="AP89" s="935">
        <f t="shared" si="39"/>
        <v>5584</v>
      </c>
      <c r="AR89" s="936">
        <f t="shared" si="40"/>
        <v>0.37844347433388531</v>
      </c>
      <c r="AS89" s="936">
        <f t="shared" si="41"/>
        <v>0.22180859314409804</v>
      </c>
      <c r="AT89" s="936">
        <f t="shared" si="42"/>
        <v>0.2032593123209169</v>
      </c>
      <c r="AV89" s="937">
        <v>6500</v>
      </c>
      <c r="AW89" s="937">
        <v>19584</v>
      </c>
      <c r="AX89" s="937">
        <v>5945</v>
      </c>
      <c r="AZ89" s="937">
        <f t="shared" si="43"/>
        <v>2459.8825831702543</v>
      </c>
      <c r="BA89" s="937">
        <f t="shared" si="44"/>
        <v>4343.8994881340159</v>
      </c>
      <c r="BB89" s="937">
        <f t="shared" si="45"/>
        <v>1208.376611747851</v>
      </c>
      <c r="BC89" s="954">
        <f t="shared" si="46"/>
        <v>8012.158683052121</v>
      </c>
    </row>
    <row r="90" spans="1:55" s="934" customFormat="1" ht="12" customHeight="1" x14ac:dyDescent="0.2">
      <c r="A90" s="934" t="s">
        <v>216</v>
      </c>
      <c r="B90" s="938" t="s">
        <v>519</v>
      </c>
      <c r="C90" s="951">
        <v>338</v>
      </c>
      <c r="D90" s="935">
        <v>807</v>
      </c>
      <c r="E90" s="935">
        <v>1145</v>
      </c>
      <c r="F90" s="935">
        <v>349</v>
      </c>
      <c r="G90" s="935">
        <v>901</v>
      </c>
      <c r="H90" s="935">
        <v>1250</v>
      </c>
      <c r="I90" s="935">
        <v>318</v>
      </c>
      <c r="J90" s="935">
        <v>1150</v>
      </c>
      <c r="K90" s="935">
        <v>1468</v>
      </c>
      <c r="L90" s="935">
        <v>377</v>
      </c>
      <c r="M90" s="935">
        <v>1008</v>
      </c>
      <c r="N90" s="935">
        <v>1385</v>
      </c>
      <c r="O90" s="935">
        <v>325</v>
      </c>
      <c r="P90" s="935">
        <v>1367</v>
      </c>
      <c r="Q90" s="935">
        <v>1692</v>
      </c>
      <c r="R90" s="935">
        <v>279</v>
      </c>
      <c r="S90" s="935">
        <v>1964</v>
      </c>
      <c r="T90" s="935">
        <v>2243</v>
      </c>
      <c r="U90" s="935">
        <v>511</v>
      </c>
      <c r="V90" s="935">
        <v>2503</v>
      </c>
      <c r="W90" s="935">
        <v>3014</v>
      </c>
      <c r="X90" s="935">
        <v>445</v>
      </c>
      <c r="Y90" s="935">
        <v>1950</v>
      </c>
      <c r="Z90" s="935">
        <v>2395</v>
      </c>
      <c r="AA90" s="935">
        <v>264</v>
      </c>
      <c r="AB90" s="935">
        <v>1204</v>
      </c>
      <c r="AC90" s="935">
        <v>1468</v>
      </c>
      <c r="AD90" s="935">
        <v>241</v>
      </c>
      <c r="AE90" s="935">
        <v>817</v>
      </c>
      <c r="AF90" s="935">
        <v>1058</v>
      </c>
      <c r="AH90" s="935">
        <f t="shared" si="31"/>
        <v>1005</v>
      </c>
      <c r="AI90" s="935">
        <f t="shared" si="32"/>
        <v>2858</v>
      </c>
      <c r="AJ90" s="935">
        <f t="shared" si="33"/>
        <v>3863</v>
      </c>
      <c r="AK90" s="935">
        <f t="shared" si="34"/>
        <v>1937</v>
      </c>
      <c r="AL90" s="935">
        <f t="shared" si="35"/>
        <v>8792</v>
      </c>
      <c r="AM90" s="935">
        <f t="shared" si="36"/>
        <v>10729</v>
      </c>
      <c r="AN90" s="935">
        <f t="shared" si="37"/>
        <v>505</v>
      </c>
      <c r="AO90" s="935">
        <f t="shared" si="38"/>
        <v>2021</v>
      </c>
      <c r="AP90" s="935">
        <f t="shared" si="39"/>
        <v>2526</v>
      </c>
      <c r="AR90" s="936">
        <f t="shared" si="40"/>
        <v>0.26016049702303906</v>
      </c>
      <c r="AS90" s="936">
        <f t="shared" si="41"/>
        <v>0.18053872681517383</v>
      </c>
      <c r="AT90" s="936">
        <f t="shared" si="42"/>
        <v>0.19992082343626286</v>
      </c>
      <c r="AV90" s="937">
        <v>3801</v>
      </c>
      <c r="AW90" s="937">
        <v>11695</v>
      </c>
      <c r="AX90" s="937">
        <v>2912</v>
      </c>
      <c r="AZ90" s="937">
        <f t="shared" si="43"/>
        <v>988.87004918457149</v>
      </c>
      <c r="BA90" s="937">
        <f t="shared" si="44"/>
        <v>2111.4004101034579</v>
      </c>
      <c r="BB90" s="937">
        <f t="shared" si="45"/>
        <v>582.16943784639739</v>
      </c>
      <c r="BC90" s="954">
        <f t="shared" si="46"/>
        <v>3682.4398971344272</v>
      </c>
    </row>
    <row r="91" spans="1:55" s="934" customFormat="1" ht="12" customHeight="1" x14ac:dyDescent="0.2">
      <c r="A91" s="934" t="s">
        <v>218</v>
      </c>
      <c r="B91" s="938" t="s">
        <v>520</v>
      </c>
      <c r="C91" s="951">
        <v>1668</v>
      </c>
      <c r="D91" s="935">
        <v>8338</v>
      </c>
      <c r="E91" s="935">
        <v>10006</v>
      </c>
      <c r="F91" s="935">
        <v>1762</v>
      </c>
      <c r="G91" s="935">
        <v>10110</v>
      </c>
      <c r="H91" s="935">
        <v>11872</v>
      </c>
      <c r="I91" s="935">
        <v>1161</v>
      </c>
      <c r="J91" s="935">
        <v>10827</v>
      </c>
      <c r="K91" s="935">
        <v>11988</v>
      </c>
      <c r="L91" s="935">
        <v>1369</v>
      </c>
      <c r="M91" s="935">
        <v>8638</v>
      </c>
      <c r="N91" s="935">
        <v>10007</v>
      </c>
      <c r="O91" s="935">
        <v>1558</v>
      </c>
      <c r="P91" s="935">
        <v>13330</v>
      </c>
      <c r="Q91" s="935">
        <v>14888</v>
      </c>
      <c r="R91" s="935">
        <v>1836</v>
      </c>
      <c r="S91" s="935">
        <v>16893</v>
      </c>
      <c r="T91" s="935">
        <v>18729</v>
      </c>
      <c r="U91" s="935">
        <v>1024</v>
      </c>
      <c r="V91" s="935">
        <v>17992</v>
      </c>
      <c r="W91" s="935">
        <v>19016</v>
      </c>
      <c r="X91" s="935">
        <v>673</v>
      </c>
      <c r="Y91" s="935">
        <v>12419</v>
      </c>
      <c r="Z91" s="935">
        <v>13092</v>
      </c>
      <c r="AA91" s="935">
        <v>651</v>
      </c>
      <c r="AB91" s="935">
        <v>6102</v>
      </c>
      <c r="AC91" s="935">
        <v>6753</v>
      </c>
      <c r="AD91" s="935">
        <v>626</v>
      </c>
      <c r="AE91" s="935">
        <v>3906</v>
      </c>
      <c r="AF91" s="935">
        <v>4532</v>
      </c>
      <c r="AH91" s="935">
        <f t="shared" si="31"/>
        <v>4591</v>
      </c>
      <c r="AI91" s="935">
        <f t="shared" si="32"/>
        <v>29275</v>
      </c>
      <c r="AJ91" s="935">
        <f t="shared" si="33"/>
        <v>33866</v>
      </c>
      <c r="AK91" s="935">
        <f t="shared" si="34"/>
        <v>6460</v>
      </c>
      <c r="AL91" s="935">
        <f t="shared" si="35"/>
        <v>69272</v>
      </c>
      <c r="AM91" s="935">
        <f t="shared" si="36"/>
        <v>75732</v>
      </c>
      <c r="AN91" s="935">
        <f t="shared" si="37"/>
        <v>1277</v>
      </c>
      <c r="AO91" s="935">
        <f t="shared" si="38"/>
        <v>10008</v>
      </c>
      <c r="AP91" s="935">
        <f t="shared" si="39"/>
        <v>11285</v>
      </c>
      <c r="AR91" s="936">
        <f t="shared" si="40"/>
        <v>0.13556369219866532</v>
      </c>
      <c r="AS91" s="936">
        <f t="shared" si="41"/>
        <v>8.5300797549252627E-2</v>
      </c>
      <c r="AT91" s="936">
        <f t="shared" si="42"/>
        <v>0.11315906070004431</v>
      </c>
      <c r="AV91" s="937">
        <v>33455</v>
      </c>
      <c r="AW91" s="937">
        <v>78126</v>
      </c>
      <c r="AX91" s="937">
        <v>12746</v>
      </c>
      <c r="AZ91" s="937">
        <f t="shared" si="43"/>
        <v>4535.2833225063487</v>
      </c>
      <c r="BA91" s="937">
        <f t="shared" si="44"/>
        <v>6664.2101093329111</v>
      </c>
      <c r="BB91" s="937">
        <f t="shared" si="45"/>
        <v>1442.3253876827648</v>
      </c>
      <c r="BC91" s="954">
        <f t="shared" si="46"/>
        <v>12641.818819522025</v>
      </c>
    </row>
    <row r="92" spans="1:55" s="934" customFormat="1" ht="12" customHeight="1" x14ac:dyDescent="0.2">
      <c r="A92" s="934" t="s">
        <v>220</v>
      </c>
      <c r="B92" s="938" t="s">
        <v>521</v>
      </c>
      <c r="C92" s="951">
        <v>907</v>
      </c>
      <c r="D92" s="935">
        <v>9626</v>
      </c>
      <c r="E92" s="935">
        <v>10533</v>
      </c>
      <c r="F92" s="935">
        <v>894</v>
      </c>
      <c r="G92" s="935">
        <v>10972</v>
      </c>
      <c r="H92" s="935">
        <v>11866</v>
      </c>
      <c r="I92" s="935">
        <v>870</v>
      </c>
      <c r="J92" s="935">
        <v>13416</v>
      </c>
      <c r="K92" s="935">
        <v>14286</v>
      </c>
      <c r="L92" s="935">
        <v>970</v>
      </c>
      <c r="M92" s="935">
        <v>9634</v>
      </c>
      <c r="N92" s="935">
        <v>10604</v>
      </c>
      <c r="O92" s="935">
        <v>781</v>
      </c>
      <c r="P92" s="935">
        <v>13828</v>
      </c>
      <c r="Q92" s="935">
        <v>14609</v>
      </c>
      <c r="R92" s="935">
        <v>888</v>
      </c>
      <c r="S92" s="935">
        <v>19251</v>
      </c>
      <c r="T92" s="935">
        <v>20139</v>
      </c>
      <c r="U92" s="935">
        <v>662</v>
      </c>
      <c r="V92" s="935">
        <v>20157</v>
      </c>
      <c r="W92" s="935">
        <v>20819</v>
      </c>
      <c r="X92" s="935">
        <v>491</v>
      </c>
      <c r="Y92" s="935">
        <v>11560</v>
      </c>
      <c r="Z92" s="935">
        <v>12051</v>
      </c>
      <c r="AA92" s="935">
        <v>312</v>
      </c>
      <c r="AB92" s="935">
        <v>5380</v>
      </c>
      <c r="AC92" s="935">
        <v>5692</v>
      </c>
      <c r="AD92" s="935">
        <v>326</v>
      </c>
      <c r="AE92" s="935">
        <v>2891</v>
      </c>
      <c r="AF92" s="935">
        <v>3217</v>
      </c>
      <c r="AH92" s="935">
        <f t="shared" si="31"/>
        <v>2671</v>
      </c>
      <c r="AI92" s="935">
        <f t="shared" si="32"/>
        <v>34014</v>
      </c>
      <c r="AJ92" s="935">
        <f t="shared" si="33"/>
        <v>36685</v>
      </c>
      <c r="AK92" s="935">
        <f t="shared" si="34"/>
        <v>3792</v>
      </c>
      <c r="AL92" s="935">
        <f t="shared" si="35"/>
        <v>74430</v>
      </c>
      <c r="AM92" s="935">
        <f t="shared" si="36"/>
        <v>78222</v>
      </c>
      <c r="AN92" s="935">
        <f t="shared" si="37"/>
        <v>638</v>
      </c>
      <c r="AO92" s="935">
        <f t="shared" si="38"/>
        <v>8271</v>
      </c>
      <c r="AP92" s="935">
        <f t="shared" si="39"/>
        <v>8909</v>
      </c>
      <c r="AR92" s="936">
        <f t="shared" si="40"/>
        <v>7.2809050020444327E-2</v>
      </c>
      <c r="AS92" s="936">
        <f t="shared" si="41"/>
        <v>4.8477410447188771E-2</v>
      </c>
      <c r="AT92" s="936">
        <f t="shared" si="42"/>
        <v>7.1612975642608601E-2</v>
      </c>
      <c r="AV92" s="937">
        <v>37214</v>
      </c>
      <c r="AW92" s="937">
        <v>84846</v>
      </c>
      <c r="AX92" s="937">
        <v>10073</v>
      </c>
      <c r="AZ92" s="937">
        <f t="shared" si="43"/>
        <v>2709.5159874608153</v>
      </c>
      <c r="BA92" s="937">
        <f t="shared" si="44"/>
        <v>4113.1143668021787</v>
      </c>
      <c r="BB92" s="937">
        <f t="shared" si="45"/>
        <v>721.3575036479964</v>
      </c>
      <c r="BC92" s="954">
        <f t="shared" si="46"/>
        <v>7543.98785791099</v>
      </c>
    </row>
    <row r="93" spans="1:55" s="934" customFormat="1" ht="12" customHeight="1" x14ac:dyDescent="0.2">
      <c r="A93" s="934" t="s">
        <v>224</v>
      </c>
      <c r="B93" s="938" t="s">
        <v>522</v>
      </c>
      <c r="C93" s="951">
        <v>174</v>
      </c>
      <c r="D93" s="935">
        <v>277</v>
      </c>
      <c r="E93" s="935">
        <v>451</v>
      </c>
      <c r="F93" s="935">
        <v>166</v>
      </c>
      <c r="G93" s="935">
        <v>316</v>
      </c>
      <c r="H93" s="935">
        <v>482</v>
      </c>
      <c r="I93" s="935">
        <v>118</v>
      </c>
      <c r="J93" s="935">
        <v>483</v>
      </c>
      <c r="K93" s="935">
        <v>601</v>
      </c>
      <c r="L93" s="935">
        <v>208</v>
      </c>
      <c r="M93" s="935">
        <v>437</v>
      </c>
      <c r="N93" s="935">
        <v>645</v>
      </c>
      <c r="O93" s="935">
        <v>59</v>
      </c>
      <c r="P93" s="935">
        <v>492</v>
      </c>
      <c r="Q93" s="935">
        <v>551</v>
      </c>
      <c r="R93" s="935">
        <v>106</v>
      </c>
      <c r="S93" s="935">
        <v>714</v>
      </c>
      <c r="T93" s="935">
        <v>820</v>
      </c>
      <c r="U93" s="935">
        <v>124</v>
      </c>
      <c r="V93" s="935">
        <v>1241</v>
      </c>
      <c r="W93" s="935">
        <v>1365</v>
      </c>
      <c r="X93" s="935">
        <v>83</v>
      </c>
      <c r="Y93" s="935">
        <v>924</v>
      </c>
      <c r="Z93" s="935">
        <v>1007</v>
      </c>
      <c r="AA93" s="935">
        <v>95</v>
      </c>
      <c r="AB93" s="935">
        <v>542</v>
      </c>
      <c r="AC93" s="935">
        <v>637</v>
      </c>
      <c r="AD93" s="935">
        <v>72</v>
      </c>
      <c r="AE93" s="935">
        <v>395</v>
      </c>
      <c r="AF93" s="935">
        <v>467</v>
      </c>
      <c r="AH93" s="935">
        <f t="shared" si="31"/>
        <v>458</v>
      </c>
      <c r="AI93" s="935">
        <f t="shared" si="32"/>
        <v>1076</v>
      </c>
      <c r="AJ93" s="935">
        <f t="shared" si="33"/>
        <v>1534</v>
      </c>
      <c r="AK93" s="935">
        <f t="shared" si="34"/>
        <v>580</v>
      </c>
      <c r="AL93" s="935">
        <f t="shared" si="35"/>
        <v>3808</v>
      </c>
      <c r="AM93" s="935">
        <f t="shared" si="36"/>
        <v>4388</v>
      </c>
      <c r="AN93" s="935">
        <f t="shared" si="37"/>
        <v>167</v>
      </c>
      <c r="AO93" s="935">
        <f t="shared" si="38"/>
        <v>937</v>
      </c>
      <c r="AP93" s="935">
        <f t="shared" si="39"/>
        <v>1104</v>
      </c>
      <c r="AR93" s="936">
        <f t="shared" si="40"/>
        <v>0.29856584093872229</v>
      </c>
      <c r="AS93" s="936">
        <f t="shared" si="41"/>
        <v>0.13217866909753875</v>
      </c>
      <c r="AT93" s="936">
        <f t="shared" si="42"/>
        <v>0.15126811594202899</v>
      </c>
      <c r="AV93" s="937">
        <v>1394</v>
      </c>
      <c r="AW93" s="937">
        <v>4416</v>
      </c>
      <c r="AX93" s="937">
        <v>1121</v>
      </c>
      <c r="AZ93" s="937">
        <f t="shared" si="43"/>
        <v>416.20078226857891</v>
      </c>
      <c r="BA93" s="937">
        <f t="shared" si="44"/>
        <v>583.70100273473111</v>
      </c>
      <c r="BB93" s="937">
        <f t="shared" si="45"/>
        <v>169.5715579710145</v>
      </c>
      <c r="BC93" s="954">
        <f t="shared" si="46"/>
        <v>1169.4733429743246</v>
      </c>
    </row>
    <row r="94" spans="1:55" s="934" customFormat="1" ht="12" customHeight="1" x14ac:dyDescent="0.2">
      <c r="A94" s="934" t="s">
        <v>226</v>
      </c>
      <c r="B94" s="938" t="s">
        <v>523</v>
      </c>
      <c r="C94" s="951">
        <v>77</v>
      </c>
      <c r="D94" s="935">
        <v>577</v>
      </c>
      <c r="E94" s="935">
        <v>654</v>
      </c>
      <c r="F94" s="935">
        <v>194</v>
      </c>
      <c r="G94" s="935">
        <v>518</v>
      </c>
      <c r="H94" s="935">
        <v>712</v>
      </c>
      <c r="I94" s="935">
        <v>160</v>
      </c>
      <c r="J94" s="935">
        <v>545</v>
      </c>
      <c r="K94" s="935">
        <v>705</v>
      </c>
      <c r="L94" s="935">
        <v>174</v>
      </c>
      <c r="M94" s="935">
        <v>884</v>
      </c>
      <c r="N94" s="935">
        <v>1058</v>
      </c>
      <c r="O94" s="935">
        <v>315</v>
      </c>
      <c r="P94" s="935">
        <v>709</v>
      </c>
      <c r="Q94" s="935">
        <v>1024</v>
      </c>
      <c r="R94" s="935">
        <v>323</v>
      </c>
      <c r="S94" s="935">
        <v>1193</v>
      </c>
      <c r="T94" s="935">
        <v>1516</v>
      </c>
      <c r="U94" s="935">
        <v>405</v>
      </c>
      <c r="V94" s="935">
        <v>1167</v>
      </c>
      <c r="W94" s="935">
        <v>1572</v>
      </c>
      <c r="X94" s="935">
        <v>294</v>
      </c>
      <c r="Y94" s="935">
        <v>1186</v>
      </c>
      <c r="Z94" s="935">
        <v>1480</v>
      </c>
      <c r="AA94" s="935">
        <v>108</v>
      </c>
      <c r="AB94" s="935">
        <v>799</v>
      </c>
      <c r="AC94" s="935">
        <v>907</v>
      </c>
      <c r="AD94" s="935">
        <v>223</v>
      </c>
      <c r="AE94" s="935">
        <v>510</v>
      </c>
      <c r="AF94" s="935">
        <v>733</v>
      </c>
      <c r="AH94" s="935">
        <f t="shared" si="31"/>
        <v>431</v>
      </c>
      <c r="AI94" s="935">
        <f t="shared" si="32"/>
        <v>1640</v>
      </c>
      <c r="AJ94" s="935">
        <f t="shared" si="33"/>
        <v>2071</v>
      </c>
      <c r="AK94" s="935">
        <f t="shared" si="34"/>
        <v>1511</v>
      </c>
      <c r="AL94" s="935">
        <f t="shared" si="35"/>
        <v>5139</v>
      </c>
      <c r="AM94" s="935">
        <f t="shared" si="36"/>
        <v>6650</v>
      </c>
      <c r="AN94" s="935">
        <f t="shared" si="37"/>
        <v>331</v>
      </c>
      <c r="AO94" s="935">
        <f t="shared" si="38"/>
        <v>1309</v>
      </c>
      <c r="AP94" s="935">
        <f t="shared" si="39"/>
        <v>1640</v>
      </c>
      <c r="AR94" s="936">
        <f t="shared" si="40"/>
        <v>0.20811202317720909</v>
      </c>
      <c r="AS94" s="936">
        <f t="shared" si="41"/>
        <v>0.22721804511278196</v>
      </c>
      <c r="AT94" s="936">
        <f t="shared" si="42"/>
        <v>0.20182926829268294</v>
      </c>
      <c r="AV94" s="937">
        <v>2027</v>
      </c>
      <c r="AW94" s="937">
        <v>8301</v>
      </c>
      <c r="AX94" s="937">
        <v>1759</v>
      </c>
      <c r="AZ94" s="937">
        <f t="shared" si="43"/>
        <v>421.84307098020281</v>
      </c>
      <c r="BA94" s="937">
        <f t="shared" si="44"/>
        <v>1886.1369924812029</v>
      </c>
      <c r="BB94" s="937">
        <f t="shared" si="45"/>
        <v>355.01768292682931</v>
      </c>
      <c r="BC94" s="954">
        <f t="shared" si="46"/>
        <v>2662.9977463882351</v>
      </c>
    </row>
    <row r="95" spans="1:55" s="934" customFormat="1" ht="12" customHeight="1" x14ac:dyDescent="0.2">
      <c r="A95" s="934" t="s">
        <v>228</v>
      </c>
      <c r="B95" s="938" t="s">
        <v>524</v>
      </c>
      <c r="C95" s="951">
        <v>935</v>
      </c>
      <c r="D95" s="935">
        <v>1952</v>
      </c>
      <c r="E95" s="935">
        <v>2887</v>
      </c>
      <c r="F95" s="935">
        <v>1015</v>
      </c>
      <c r="G95" s="935">
        <v>1885</v>
      </c>
      <c r="H95" s="935">
        <v>2900</v>
      </c>
      <c r="I95" s="935">
        <v>862</v>
      </c>
      <c r="J95" s="935">
        <v>2308</v>
      </c>
      <c r="K95" s="935">
        <v>3170</v>
      </c>
      <c r="L95" s="935">
        <v>841</v>
      </c>
      <c r="M95" s="935">
        <v>2236</v>
      </c>
      <c r="N95" s="935">
        <v>3077</v>
      </c>
      <c r="O95" s="935">
        <v>1300</v>
      </c>
      <c r="P95" s="935">
        <v>3659</v>
      </c>
      <c r="Q95" s="935">
        <v>4959</v>
      </c>
      <c r="R95" s="935">
        <v>1457</v>
      </c>
      <c r="S95" s="935">
        <v>4224</v>
      </c>
      <c r="T95" s="935">
        <v>5681</v>
      </c>
      <c r="U95" s="935">
        <v>1373</v>
      </c>
      <c r="V95" s="935">
        <v>5486</v>
      </c>
      <c r="W95" s="935">
        <v>6859</v>
      </c>
      <c r="X95" s="935">
        <v>1163</v>
      </c>
      <c r="Y95" s="935">
        <v>5601</v>
      </c>
      <c r="Z95" s="935">
        <v>6764</v>
      </c>
      <c r="AA95" s="935">
        <v>702</v>
      </c>
      <c r="AB95" s="935">
        <v>3512</v>
      </c>
      <c r="AC95" s="935">
        <v>4214</v>
      </c>
      <c r="AD95" s="935">
        <v>636</v>
      </c>
      <c r="AE95" s="935">
        <v>2647</v>
      </c>
      <c r="AF95" s="935">
        <v>3283</v>
      </c>
      <c r="AH95" s="935">
        <f t="shared" si="31"/>
        <v>2812</v>
      </c>
      <c r="AI95" s="935">
        <f t="shared" si="32"/>
        <v>6145</v>
      </c>
      <c r="AJ95" s="935">
        <f t="shared" si="33"/>
        <v>8957</v>
      </c>
      <c r="AK95" s="935">
        <f t="shared" si="34"/>
        <v>6134</v>
      </c>
      <c r="AL95" s="935">
        <f t="shared" si="35"/>
        <v>21206</v>
      </c>
      <c r="AM95" s="935">
        <f t="shared" si="36"/>
        <v>27340</v>
      </c>
      <c r="AN95" s="935">
        <f t="shared" si="37"/>
        <v>1338</v>
      </c>
      <c r="AO95" s="935">
        <f t="shared" si="38"/>
        <v>6159</v>
      </c>
      <c r="AP95" s="935">
        <f t="shared" si="39"/>
        <v>7497</v>
      </c>
      <c r="AR95" s="936">
        <f t="shared" si="40"/>
        <v>0.31394440102712962</v>
      </c>
      <c r="AS95" s="936">
        <f t="shared" si="41"/>
        <v>0.22435991221653256</v>
      </c>
      <c r="AT95" s="936">
        <f t="shared" si="42"/>
        <v>0.17847138855542216</v>
      </c>
      <c r="AV95" s="937">
        <v>8909</v>
      </c>
      <c r="AW95" s="937">
        <v>27903</v>
      </c>
      <c r="AX95" s="937">
        <v>7903</v>
      </c>
      <c r="AZ95" s="937">
        <f t="shared" si="43"/>
        <v>2796.9306687506978</v>
      </c>
      <c r="BA95" s="937">
        <f t="shared" si="44"/>
        <v>6260.3146305779082</v>
      </c>
      <c r="BB95" s="937">
        <f t="shared" si="45"/>
        <v>1410.4593837535012</v>
      </c>
      <c r="BC95" s="954">
        <f t="shared" si="46"/>
        <v>10467.704683082107</v>
      </c>
    </row>
    <row r="96" spans="1:55" s="934" customFormat="1" ht="12" customHeight="1" x14ac:dyDescent="0.2">
      <c r="A96" s="934" t="s">
        <v>232</v>
      </c>
      <c r="B96" s="938" t="s">
        <v>525</v>
      </c>
      <c r="C96" s="951">
        <v>503</v>
      </c>
      <c r="D96" s="935">
        <v>2470</v>
      </c>
      <c r="E96" s="935">
        <v>2973</v>
      </c>
      <c r="F96" s="935">
        <v>257</v>
      </c>
      <c r="G96" s="935">
        <v>2525</v>
      </c>
      <c r="H96" s="935">
        <v>2782</v>
      </c>
      <c r="I96" s="935">
        <v>275</v>
      </c>
      <c r="J96" s="935">
        <v>2912</v>
      </c>
      <c r="K96" s="935">
        <v>3187</v>
      </c>
      <c r="L96" s="935">
        <v>490</v>
      </c>
      <c r="M96" s="935">
        <v>2241</v>
      </c>
      <c r="N96" s="935">
        <v>2731</v>
      </c>
      <c r="O96" s="935">
        <v>512</v>
      </c>
      <c r="P96" s="935">
        <v>3703</v>
      </c>
      <c r="Q96" s="935">
        <v>4215</v>
      </c>
      <c r="R96" s="935">
        <v>548</v>
      </c>
      <c r="S96" s="935">
        <v>4942</v>
      </c>
      <c r="T96" s="935">
        <v>5490</v>
      </c>
      <c r="U96" s="935">
        <v>566</v>
      </c>
      <c r="V96" s="935">
        <v>5568</v>
      </c>
      <c r="W96" s="935">
        <v>6134</v>
      </c>
      <c r="X96" s="935">
        <v>426</v>
      </c>
      <c r="Y96" s="935">
        <v>4093</v>
      </c>
      <c r="Z96" s="935">
        <v>4519</v>
      </c>
      <c r="AA96" s="935">
        <v>282</v>
      </c>
      <c r="AB96" s="935">
        <v>2467</v>
      </c>
      <c r="AC96" s="935">
        <v>2749</v>
      </c>
      <c r="AD96" s="935">
        <v>310</v>
      </c>
      <c r="AE96" s="935">
        <v>1514</v>
      </c>
      <c r="AF96" s="935">
        <v>1824</v>
      </c>
      <c r="AH96" s="935">
        <f t="shared" si="31"/>
        <v>1035</v>
      </c>
      <c r="AI96" s="935">
        <f t="shared" si="32"/>
        <v>7907</v>
      </c>
      <c r="AJ96" s="935">
        <f t="shared" si="33"/>
        <v>8942</v>
      </c>
      <c r="AK96" s="935">
        <f t="shared" si="34"/>
        <v>2542</v>
      </c>
      <c r="AL96" s="935">
        <f t="shared" si="35"/>
        <v>20547</v>
      </c>
      <c r="AM96" s="935">
        <f t="shared" si="36"/>
        <v>23089</v>
      </c>
      <c r="AN96" s="935">
        <f t="shared" si="37"/>
        <v>592</v>
      </c>
      <c r="AO96" s="935">
        <f t="shared" si="38"/>
        <v>3981</v>
      </c>
      <c r="AP96" s="935">
        <f t="shared" si="39"/>
        <v>4573</v>
      </c>
      <c r="AR96" s="936">
        <f t="shared" si="40"/>
        <v>0.11574591813911876</v>
      </c>
      <c r="AS96" s="936">
        <f t="shared" si="41"/>
        <v>0.11009571657499242</v>
      </c>
      <c r="AT96" s="936">
        <f t="shared" si="42"/>
        <v>0.12945549967198774</v>
      </c>
      <c r="AV96" s="937">
        <v>8908</v>
      </c>
      <c r="AW96" s="937">
        <v>23871</v>
      </c>
      <c r="AX96" s="937">
        <v>4970</v>
      </c>
      <c r="AZ96" s="937">
        <f t="shared" si="43"/>
        <v>1031.0646387832699</v>
      </c>
      <c r="BA96" s="937">
        <f t="shared" si="44"/>
        <v>2628.0948503616441</v>
      </c>
      <c r="BB96" s="937">
        <f t="shared" si="45"/>
        <v>643.39383336977914</v>
      </c>
      <c r="BC96" s="954">
        <f t="shared" si="46"/>
        <v>4302.5533225146928</v>
      </c>
    </row>
    <row r="97" spans="1:55" s="934" customFormat="1" ht="12" customHeight="1" x14ac:dyDescent="0.2">
      <c r="A97" s="934" t="s">
        <v>234</v>
      </c>
      <c r="B97" s="938" t="s">
        <v>526</v>
      </c>
      <c r="C97" s="951">
        <v>993</v>
      </c>
      <c r="D97" s="935">
        <v>2391</v>
      </c>
      <c r="E97" s="935">
        <v>3384</v>
      </c>
      <c r="F97" s="935">
        <v>871</v>
      </c>
      <c r="G97" s="935">
        <v>2498</v>
      </c>
      <c r="H97" s="935">
        <v>3369</v>
      </c>
      <c r="I97" s="935">
        <v>891</v>
      </c>
      <c r="J97" s="935">
        <v>2816</v>
      </c>
      <c r="K97" s="935">
        <v>3707</v>
      </c>
      <c r="L97" s="935">
        <v>1119</v>
      </c>
      <c r="M97" s="935">
        <v>2473</v>
      </c>
      <c r="N97" s="935">
        <v>3592</v>
      </c>
      <c r="O97" s="935">
        <v>1299</v>
      </c>
      <c r="P97" s="935">
        <v>4668</v>
      </c>
      <c r="Q97" s="935">
        <v>5967</v>
      </c>
      <c r="R97" s="935">
        <v>1347</v>
      </c>
      <c r="S97" s="935">
        <v>5955</v>
      </c>
      <c r="T97" s="935">
        <v>7302</v>
      </c>
      <c r="U97" s="935">
        <v>1452</v>
      </c>
      <c r="V97" s="935">
        <v>7040</v>
      </c>
      <c r="W97" s="935">
        <v>8492</v>
      </c>
      <c r="X97" s="935">
        <v>1238</v>
      </c>
      <c r="Y97" s="935">
        <v>6651</v>
      </c>
      <c r="Z97" s="935">
        <v>7889</v>
      </c>
      <c r="AA97" s="935">
        <v>829</v>
      </c>
      <c r="AB97" s="935">
        <v>4702</v>
      </c>
      <c r="AC97" s="935">
        <v>5531</v>
      </c>
      <c r="AD97" s="935">
        <v>781</v>
      </c>
      <c r="AE97" s="935">
        <v>3206</v>
      </c>
      <c r="AF97" s="935">
        <v>3987</v>
      </c>
      <c r="AH97" s="935">
        <f t="shared" si="31"/>
        <v>2755</v>
      </c>
      <c r="AI97" s="935">
        <f t="shared" si="32"/>
        <v>7705</v>
      </c>
      <c r="AJ97" s="935">
        <f t="shared" si="33"/>
        <v>10460</v>
      </c>
      <c r="AK97" s="935">
        <f t="shared" si="34"/>
        <v>6455</v>
      </c>
      <c r="AL97" s="935">
        <f t="shared" si="35"/>
        <v>26787</v>
      </c>
      <c r="AM97" s="935">
        <f t="shared" si="36"/>
        <v>33242</v>
      </c>
      <c r="AN97" s="935">
        <f t="shared" si="37"/>
        <v>1610</v>
      </c>
      <c r="AO97" s="935">
        <f t="shared" si="38"/>
        <v>7908</v>
      </c>
      <c r="AP97" s="935">
        <f t="shared" si="39"/>
        <v>9518</v>
      </c>
      <c r="AR97" s="936">
        <f t="shared" si="40"/>
        <v>0.26338432122370936</v>
      </c>
      <c r="AS97" s="936">
        <f t="shared" si="41"/>
        <v>0.19418205884122497</v>
      </c>
      <c r="AT97" s="936">
        <f t="shared" si="42"/>
        <v>0.16915318344189956</v>
      </c>
      <c r="AV97" s="937">
        <v>10580</v>
      </c>
      <c r="AW97" s="937">
        <v>34303</v>
      </c>
      <c r="AX97" s="937">
        <v>9944</v>
      </c>
      <c r="AZ97" s="937">
        <f t="shared" si="43"/>
        <v>2786.6061185468452</v>
      </c>
      <c r="BA97" s="937">
        <f t="shared" si="44"/>
        <v>6661.0271644305403</v>
      </c>
      <c r="BB97" s="937">
        <f t="shared" si="45"/>
        <v>1682.0592561462493</v>
      </c>
      <c r="BC97" s="954">
        <f t="shared" si="46"/>
        <v>11129.692539123635</v>
      </c>
    </row>
    <row r="98" spans="1:55" s="934" customFormat="1" ht="12" customHeight="1" x14ac:dyDescent="0.2">
      <c r="A98" s="934" t="s">
        <v>236</v>
      </c>
      <c r="B98" s="938" t="s">
        <v>527</v>
      </c>
      <c r="C98" s="951">
        <v>294</v>
      </c>
      <c r="D98" s="935">
        <v>680</v>
      </c>
      <c r="E98" s="935">
        <v>974</v>
      </c>
      <c r="F98" s="935">
        <v>157</v>
      </c>
      <c r="G98" s="935">
        <v>928</v>
      </c>
      <c r="H98" s="935">
        <v>1085</v>
      </c>
      <c r="I98" s="935">
        <v>213</v>
      </c>
      <c r="J98" s="935">
        <v>1149</v>
      </c>
      <c r="K98" s="935">
        <v>1362</v>
      </c>
      <c r="L98" s="935">
        <v>186</v>
      </c>
      <c r="M98" s="935">
        <v>1086</v>
      </c>
      <c r="N98" s="935">
        <v>1272</v>
      </c>
      <c r="O98" s="935">
        <v>335</v>
      </c>
      <c r="P98" s="935">
        <v>1459</v>
      </c>
      <c r="Q98" s="935">
        <v>1794</v>
      </c>
      <c r="R98" s="935">
        <v>218</v>
      </c>
      <c r="S98" s="935">
        <v>1649</v>
      </c>
      <c r="T98" s="935">
        <v>1867</v>
      </c>
      <c r="U98" s="935">
        <v>427</v>
      </c>
      <c r="V98" s="935">
        <v>2198</v>
      </c>
      <c r="W98" s="935">
        <v>2625</v>
      </c>
      <c r="X98" s="935">
        <v>382</v>
      </c>
      <c r="Y98" s="935">
        <v>2345</v>
      </c>
      <c r="Z98" s="935">
        <v>2727</v>
      </c>
      <c r="AA98" s="935">
        <v>259</v>
      </c>
      <c r="AB98" s="935">
        <v>1851</v>
      </c>
      <c r="AC98" s="935">
        <v>2110</v>
      </c>
      <c r="AD98" s="935">
        <v>357</v>
      </c>
      <c r="AE98" s="935">
        <v>1089</v>
      </c>
      <c r="AF98" s="935">
        <v>1446</v>
      </c>
      <c r="AH98" s="935">
        <f t="shared" si="31"/>
        <v>664</v>
      </c>
      <c r="AI98" s="935">
        <f t="shared" si="32"/>
        <v>2757</v>
      </c>
      <c r="AJ98" s="935">
        <f t="shared" si="33"/>
        <v>3421</v>
      </c>
      <c r="AK98" s="935">
        <f t="shared" si="34"/>
        <v>1548</v>
      </c>
      <c r="AL98" s="935">
        <f t="shared" si="35"/>
        <v>8737</v>
      </c>
      <c r="AM98" s="935">
        <f t="shared" si="36"/>
        <v>10285</v>
      </c>
      <c r="AN98" s="935">
        <f t="shared" si="37"/>
        <v>616</v>
      </c>
      <c r="AO98" s="935">
        <f t="shared" si="38"/>
        <v>2940</v>
      </c>
      <c r="AP98" s="935">
        <f t="shared" si="39"/>
        <v>3556</v>
      </c>
      <c r="AR98" s="936">
        <f t="shared" si="40"/>
        <v>0.19409529377375037</v>
      </c>
      <c r="AS98" s="936">
        <f t="shared" si="41"/>
        <v>0.15051045211473019</v>
      </c>
      <c r="AT98" s="936">
        <f t="shared" si="42"/>
        <v>0.17322834645669291</v>
      </c>
      <c r="AV98" s="937">
        <v>3481</v>
      </c>
      <c r="AW98" s="937">
        <v>10403</v>
      </c>
      <c r="AX98" s="937">
        <v>3711</v>
      </c>
      <c r="AZ98" s="937">
        <f t="shared" si="43"/>
        <v>675.64571762642504</v>
      </c>
      <c r="BA98" s="937">
        <f t="shared" si="44"/>
        <v>1565.7602333495381</v>
      </c>
      <c r="BB98" s="937">
        <f t="shared" si="45"/>
        <v>642.85039370078744</v>
      </c>
      <c r="BC98" s="954">
        <f t="shared" si="46"/>
        <v>2884.2563446767508</v>
      </c>
    </row>
    <row r="99" spans="1:55" s="934" customFormat="1" ht="12" customHeight="1" x14ac:dyDescent="0.2">
      <c r="A99" s="934" t="s">
        <v>242</v>
      </c>
      <c r="B99" s="938" t="s">
        <v>528</v>
      </c>
      <c r="C99" s="951">
        <v>1156</v>
      </c>
      <c r="D99" s="935">
        <v>1403</v>
      </c>
      <c r="E99" s="935">
        <v>2559</v>
      </c>
      <c r="F99" s="935">
        <v>1100</v>
      </c>
      <c r="G99" s="935">
        <v>1603</v>
      </c>
      <c r="H99" s="935">
        <v>2703</v>
      </c>
      <c r="I99" s="935">
        <v>1050</v>
      </c>
      <c r="J99" s="935">
        <v>2031</v>
      </c>
      <c r="K99" s="935">
        <v>3081</v>
      </c>
      <c r="L99" s="935">
        <v>1307</v>
      </c>
      <c r="M99" s="935">
        <v>2125</v>
      </c>
      <c r="N99" s="935">
        <v>3432</v>
      </c>
      <c r="O99" s="935">
        <v>1438</v>
      </c>
      <c r="P99" s="935">
        <v>3317</v>
      </c>
      <c r="Q99" s="935">
        <v>4755</v>
      </c>
      <c r="R99" s="935">
        <v>1663</v>
      </c>
      <c r="S99" s="935">
        <v>3561</v>
      </c>
      <c r="T99" s="935">
        <v>5224</v>
      </c>
      <c r="U99" s="935">
        <v>1368</v>
      </c>
      <c r="V99" s="935">
        <v>4546</v>
      </c>
      <c r="W99" s="935">
        <v>5914</v>
      </c>
      <c r="X99" s="935">
        <v>995</v>
      </c>
      <c r="Y99" s="935">
        <v>4291</v>
      </c>
      <c r="Z99" s="935">
        <v>5286</v>
      </c>
      <c r="AA99" s="935">
        <v>603</v>
      </c>
      <c r="AB99" s="935">
        <v>2650</v>
      </c>
      <c r="AC99" s="935">
        <v>3253</v>
      </c>
      <c r="AD99" s="935">
        <v>530</v>
      </c>
      <c r="AE99" s="935">
        <v>1917</v>
      </c>
      <c r="AF99" s="935">
        <v>2447</v>
      </c>
      <c r="AH99" s="935">
        <f t="shared" si="31"/>
        <v>3306</v>
      </c>
      <c r="AI99" s="935">
        <f t="shared" si="32"/>
        <v>5037</v>
      </c>
      <c r="AJ99" s="935">
        <f t="shared" si="33"/>
        <v>8343</v>
      </c>
      <c r="AK99" s="935">
        <f t="shared" si="34"/>
        <v>6771</v>
      </c>
      <c r="AL99" s="935">
        <f t="shared" si="35"/>
        <v>17840</v>
      </c>
      <c r="AM99" s="935">
        <f t="shared" si="36"/>
        <v>24611</v>
      </c>
      <c r="AN99" s="935">
        <f t="shared" si="37"/>
        <v>1133</v>
      </c>
      <c r="AO99" s="935">
        <f t="shared" si="38"/>
        <v>4567</v>
      </c>
      <c r="AP99" s="935">
        <f t="shared" si="39"/>
        <v>5700</v>
      </c>
      <c r="AR99" s="936">
        <f t="shared" si="40"/>
        <v>0.39626033800791083</v>
      </c>
      <c r="AS99" s="936">
        <f t="shared" si="41"/>
        <v>0.27512088090691156</v>
      </c>
      <c r="AT99" s="936">
        <f t="shared" si="42"/>
        <v>0.19877192982456141</v>
      </c>
      <c r="AV99" s="937">
        <v>8585</v>
      </c>
      <c r="AW99" s="937">
        <v>26974</v>
      </c>
      <c r="AX99" s="937">
        <v>6006</v>
      </c>
      <c r="AZ99" s="937">
        <f t="shared" si="43"/>
        <v>3401.8950017979146</v>
      </c>
      <c r="BA99" s="937">
        <f t="shared" si="44"/>
        <v>7421.1106415830327</v>
      </c>
      <c r="BB99" s="937">
        <f t="shared" si="45"/>
        <v>1193.8242105263157</v>
      </c>
      <c r="BC99" s="954">
        <f t="shared" si="46"/>
        <v>12016.829853907264</v>
      </c>
    </row>
    <row r="100" spans="1:55" s="934" customFormat="1" ht="12" customHeight="1" x14ac:dyDescent="0.2">
      <c r="A100" s="934" t="s">
        <v>244</v>
      </c>
      <c r="B100" s="938" t="s">
        <v>529</v>
      </c>
      <c r="C100" s="951">
        <v>632</v>
      </c>
      <c r="D100" s="935">
        <v>1005</v>
      </c>
      <c r="E100" s="935">
        <v>1637</v>
      </c>
      <c r="F100" s="935">
        <v>523</v>
      </c>
      <c r="G100" s="935">
        <v>1621</v>
      </c>
      <c r="H100" s="935">
        <v>2144</v>
      </c>
      <c r="I100" s="935">
        <v>616</v>
      </c>
      <c r="J100" s="935">
        <v>1295</v>
      </c>
      <c r="K100" s="935">
        <v>1911</v>
      </c>
      <c r="L100" s="935">
        <v>536</v>
      </c>
      <c r="M100" s="935">
        <v>1614</v>
      </c>
      <c r="N100" s="935">
        <v>2150</v>
      </c>
      <c r="O100" s="935">
        <v>597</v>
      </c>
      <c r="P100" s="935">
        <v>2599</v>
      </c>
      <c r="Q100" s="935">
        <v>3196</v>
      </c>
      <c r="R100" s="935">
        <v>665</v>
      </c>
      <c r="S100" s="935">
        <v>3361</v>
      </c>
      <c r="T100" s="935">
        <v>4026</v>
      </c>
      <c r="U100" s="935">
        <v>710</v>
      </c>
      <c r="V100" s="935">
        <v>3663</v>
      </c>
      <c r="W100" s="935">
        <v>4373</v>
      </c>
      <c r="X100" s="935">
        <v>597</v>
      </c>
      <c r="Y100" s="935">
        <v>3618</v>
      </c>
      <c r="Z100" s="935">
        <v>4215</v>
      </c>
      <c r="AA100" s="935">
        <v>353</v>
      </c>
      <c r="AB100" s="935">
        <v>2435</v>
      </c>
      <c r="AC100" s="935">
        <v>2788</v>
      </c>
      <c r="AD100" s="935">
        <v>531</v>
      </c>
      <c r="AE100" s="935">
        <v>1430</v>
      </c>
      <c r="AF100" s="935">
        <v>1961</v>
      </c>
      <c r="AH100" s="935">
        <f t="shared" si="31"/>
        <v>1771</v>
      </c>
      <c r="AI100" s="935">
        <f t="shared" si="32"/>
        <v>3921</v>
      </c>
      <c r="AJ100" s="935">
        <f t="shared" si="33"/>
        <v>5692</v>
      </c>
      <c r="AK100" s="935">
        <f t="shared" si="34"/>
        <v>3105</v>
      </c>
      <c r="AL100" s="935">
        <f t="shared" si="35"/>
        <v>14855</v>
      </c>
      <c r="AM100" s="935">
        <f t="shared" si="36"/>
        <v>17960</v>
      </c>
      <c r="AN100" s="935">
        <f t="shared" si="37"/>
        <v>884</v>
      </c>
      <c r="AO100" s="935">
        <f t="shared" si="38"/>
        <v>3865</v>
      </c>
      <c r="AP100" s="935">
        <f t="shared" si="39"/>
        <v>4749</v>
      </c>
      <c r="AR100" s="936">
        <f t="shared" si="40"/>
        <v>0.31113843991567114</v>
      </c>
      <c r="AS100" s="936">
        <f t="shared" si="41"/>
        <v>0.17288418708240536</v>
      </c>
      <c r="AT100" s="936">
        <f t="shared" si="42"/>
        <v>0.186144451463466</v>
      </c>
      <c r="AV100" s="937">
        <v>5977</v>
      </c>
      <c r="AW100" s="937">
        <v>17894</v>
      </c>
      <c r="AX100" s="937">
        <v>5333</v>
      </c>
      <c r="AZ100" s="937">
        <f t="shared" si="43"/>
        <v>1859.6744553759663</v>
      </c>
      <c r="BA100" s="937">
        <f t="shared" si="44"/>
        <v>3093.5896436525613</v>
      </c>
      <c r="BB100" s="937">
        <f t="shared" si="45"/>
        <v>992.70835965466415</v>
      </c>
      <c r="BC100" s="954">
        <f t="shared" si="46"/>
        <v>5945.9724586831917</v>
      </c>
    </row>
    <row r="101" spans="1:55" s="934" customFormat="1" ht="12" customHeight="1" x14ac:dyDescent="0.2">
      <c r="A101" s="934" t="s">
        <v>246</v>
      </c>
      <c r="B101" s="938" t="s">
        <v>759</v>
      </c>
      <c r="C101" s="951">
        <v>439</v>
      </c>
      <c r="D101" s="935">
        <v>4699</v>
      </c>
      <c r="E101" s="935">
        <v>5138</v>
      </c>
      <c r="F101" s="935">
        <v>508</v>
      </c>
      <c r="G101" s="935">
        <v>5940</v>
      </c>
      <c r="H101" s="935">
        <v>6448</v>
      </c>
      <c r="I101" s="935">
        <v>636</v>
      </c>
      <c r="J101" s="935">
        <v>7616</v>
      </c>
      <c r="K101" s="935">
        <v>8252</v>
      </c>
      <c r="L101" s="935">
        <v>609</v>
      </c>
      <c r="M101" s="935">
        <v>4897</v>
      </c>
      <c r="N101" s="935">
        <v>5506</v>
      </c>
      <c r="O101" s="935">
        <v>489</v>
      </c>
      <c r="P101" s="935">
        <v>6783</v>
      </c>
      <c r="Q101" s="935">
        <v>7272</v>
      </c>
      <c r="R101" s="935">
        <v>512</v>
      </c>
      <c r="S101" s="935">
        <v>10508</v>
      </c>
      <c r="T101" s="935">
        <v>11020</v>
      </c>
      <c r="U101" s="935">
        <v>379</v>
      </c>
      <c r="V101" s="935">
        <v>13000</v>
      </c>
      <c r="W101" s="935">
        <v>13379</v>
      </c>
      <c r="X101" s="935">
        <v>225</v>
      </c>
      <c r="Y101" s="935">
        <v>9332</v>
      </c>
      <c r="Z101" s="935">
        <v>9557</v>
      </c>
      <c r="AA101" s="935">
        <v>217</v>
      </c>
      <c r="AB101" s="935">
        <v>5302</v>
      </c>
      <c r="AC101" s="935">
        <v>5519</v>
      </c>
      <c r="AD101" s="935">
        <v>512</v>
      </c>
      <c r="AE101" s="935">
        <v>3308</v>
      </c>
      <c r="AF101" s="935">
        <v>3820</v>
      </c>
      <c r="AH101" s="935">
        <f t="shared" si="31"/>
        <v>1583</v>
      </c>
      <c r="AI101" s="935">
        <f t="shared" si="32"/>
        <v>18255</v>
      </c>
      <c r="AJ101" s="935">
        <f t="shared" si="33"/>
        <v>19838</v>
      </c>
      <c r="AK101" s="935">
        <f t="shared" si="34"/>
        <v>2214</v>
      </c>
      <c r="AL101" s="935">
        <f t="shared" si="35"/>
        <v>44520</v>
      </c>
      <c r="AM101" s="935">
        <f t="shared" si="36"/>
        <v>46734</v>
      </c>
      <c r="AN101" s="935">
        <f t="shared" si="37"/>
        <v>729</v>
      </c>
      <c r="AO101" s="935">
        <f t="shared" si="38"/>
        <v>8610</v>
      </c>
      <c r="AP101" s="935">
        <f t="shared" si="39"/>
        <v>9339</v>
      </c>
      <c r="AR101" s="936">
        <f t="shared" si="40"/>
        <v>7.979635043855228E-2</v>
      </c>
      <c r="AS101" s="936">
        <f t="shared" si="41"/>
        <v>4.7374502503530619E-2</v>
      </c>
      <c r="AT101" s="936">
        <f t="shared" si="42"/>
        <v>7.8059749437841316E-2</v>
      </c>
      <c r="AV101" s="937">
        <v>16758</v>
      </c>
      <c r="AW101" s="937">
        <v>41153</v>
      </c>
      <c r="AX101" s="937">
        <v>8223</v>
      </c>
      <c r="AZ101" s="937">
        <f t="shared" si="43"/>
        <v>1337.2272406492591</v>
      </c>
      <c r="BA101" s="937">
        <f t="shared" si="44"/>
        <v>1949.6029015277957</v>
      </c>
      <c r="BB101" s="937">
        <f t="shared" si="45"/>
        <v>641.8853196273692</v>
      </c>
      <c r="BC101" s="954">
        <f t="shared" si="46"/>
        <v>3928.7154618044242</v>
      </c>
    </row>
    <row r="102" spans="1:55" s="934" customFormat="1" ht="12" customHeight="1" x14ac:dyDescent="0.2">
      <c r="A102" s="934" t="s">
        <v>14</v>
      </c>
      <c r="B102" s="938" t="s">
        <v>15</v>
      </c>
      <c r="C102" s="951">
        <v>1767</v>
      </c>
      <c r="D102" s="935">
        <v>9613</v>
      </c>
      <c r="E102" s="935">
        <v>11380</v>
      </c>
      <c r="F102" s="935">
        <v>1663</v>
      </c>
      <c r="G102" s="935">
        <v>4934</v>
      </c>
      <c r="H102" s="935">
        <v>6597</v>
      </c>
      <c r="I102" s="935">
        <v>1080</v>
      </c>
      <c r="J102" s="935">
        <v>4150</v>
      </c>
      <c r="K102" s="935">
        <v>5230</v>
      </c>
      <c r="L102" s="935">
        <v>1489</v>
      </c>
      <c r="M102" s="935">
        <v>8262</v>
      </c>
      <c r="N102" s="935">
        <v>9751</v>
      </c>
      <c r="O102" s="935">
        <v>3190</v>
      </c>
      <c r="P102" s="935">
        <v>29865</v>
      </c>
      <c r="Q102" s="935">
        <v>33055</v>
      </c>
      <c r="R102" s="935">
        <v>1750</v>
      </c>
      <c r="S102" s="935">
        <v>22236</v>
      </c>
      <c r="T102" s="935">
        <v>23986</v>
      </c>
      <c r="U102" s="935">
        <v>1281</v>
      </c>
      <c r="V102" s="935">
        <v>16846</v>
      </c>
      <c r="W102" s="935">
        <v>18127</v>
      </c>
      <c r="X102" s="935">
        <v>1300</v>
      </c>
      <c r="Y102" s="935">
        <v>13969</v>
      </c>
      <c r="Z102" s="935">
        <v>15269</v>
      </c>
      <c r="AA102" s="935">
        <v>661</v>
      </c>
      <c r="AB102" s="935">
        <v>6220</v>
      </c>
      <c r="AC102" s="935">
        <v>6881</v>
      </c>
      <c r="AD102" s="935">
        <v>704</v>
      </c>
      <c r="AE102" s="935">
        <v>4395</v>
      </c>
      <c r="AF102" s="935">
        <v>5099</v>
      </c>
      <c r="AH102" s="935">
        <f t="shared" ref="AH102:AH126" si="47">C102+F102+I102</f>
        <v>4510</v>
      </c>
      <c r="AI102" s="935">
        <f t="shared" ref="AI102:AI126" si="48">D102+G102+J102</f>
        <v>18697</v>
      </c>
      <c r="AJ102" s="935">
        <f t="shared" ref="AJ102:AJ126" si="49">E102+H102+K102</f>
        <v>23207</v>
      </c>
      <c r="AK102" s="935">
        <f t="shared" ref="AK102:AK126" si="50">L102+O102+R102+U102+X102</f>
        <v>9010</v>
      </c>
      <c r="AL102" s="935">
        <f t="shared" ref="AL102:AL126" si="51">M102+P102+S102+V102+Y102</f>
        <v>91178</v>
      </c>
      <c r="AM102" s="935">
        <f t="shared" ref="AM102:AM126" si="52">N102+Q102+T102+W102+Z102</f>
        <v>100188</v>
      </c>
      <c r="AN102" s="935">
        <f t="shared" ref="AN102:AN126" si="53">AA102+AD102</f>
        <v>1365</v>
      </c>
      <c r="AO102" s="935">
        <f t="shared" ref="AO102:AO126" si="54">AB102+AE102</f>
        <v>10615</v>
      </c>
      <c r="AP102" s="935">
        <f t="shared" ref="AP102:AP126" si="55">AC102+AF102</f>
        <v>11980</v>
      </c>
      <c r="AR102" s="936">
        <f t="shared" ref="AR102:AR126" si="56">AH102/AJ102</f>
        <v>0.19433791528418148</v>
      </c>
      <c r="AS102" s="936">
        <f t="shared" ref="AS102:AS126" si="57">AK102/AM102</f>
        <v>8.9930929851878463E-2</v>
      </c>
      <c r="AT102" s="936">
        <f t="shared" ref="AT102:AT126" si="58">AN102/AP102</f>
        <v>0.11393989983305509</v>
      </c>
      <c r="AV102" s="937">
        <v>25229</v>
      </c>
      <c r="AW102" s="937">
        <v>105641</v>
      </c>
      <c r="AX102" s="937">
        <v>13431</v>
      </c>
      <c r="AZ102" s="937">
        <f t="shared" ref="AZ102:AZ126" si="59">AR102*AV102</f>
        <v>4902.9512647046149</v>
      </c>
      <c r="BA102" s="937">
        <f t="shared" ref="BA102:BA126" si="60">AS102*AW102</f>
        <v>9500.3933604822923</v>
      </c>
      <c r="BB102" s="937">
        <f t="shared" ref="BB102:BB126" si="61">AT102*AX102</f>
        <v>1530.326794657763</v>
      </c>
      <c r="BC102" s="954">
        <f t="shared" si="46"/>
        <v>15933.67141984467</v>
      </c>
    </row>
    <row r="103" spans="1:55" s="934" customFormat="1" ht="12" customHeight="1" x14ac:dyDescent="0.2">
      <c r="A103" s="934" t="s">
        <v>34</v>
      </c>
      <c r="B103" s="938" t="s">
        <v>35</v>
      </c>
      <c r="C103" s="951">
        <v>570</v>
      </c>
      <c r="D103" s="935">
        <v>704</v>
      </c>
      <c r="E103" s="935">
        <v>1274</v>
      </c>
      <c r="F103" s="935">
        <v>376</v>
      </c>
      <c r="G103" s="935">
        <v>760</v>
      </c>
      <c r="H103" s="935">
        <v>1136</v>
      </c>
      <c r="I103" s="935">
        <v>515</v>
      </c>
      <c r="J103" s="935">
        <v>704</v>
      </c>
      <c r="K103" s="935">
        <v>1219</v>
      </c>
      <c r="L103" s="935">
        <v>446</v>
      </c>
      <c r="M103" s="935">
        <v>784</v>
      </c>
      <c r="N103" s="935">
        <v>1230</v>
      </c>
      <c r="O103" s="935">
        <v>679</v>
      </c>
      <c r="P103" s="935">
        <v>1483</v>
      </c>
      <c r="Q103" s="935">
        <v>2162</v>
      </c>
      <c r="R103" s="935">
        <v>539</v>
      </c>
      <c r="S103" s="935">
        <v>1677</v>
      </c>
      <c r="T103" s="935">
        <v>2216</v>
      </c>
      <c r="U103" s="935">
        <v>529</v>
      </c>
      <c r="V103" s="935">
        <v>1892</v>
      </c>
      <c r="W103" s="935">
        <v>2421</v>
      </c>
      <c r="X103" s="935">
        <v>444</v>
      </c>
      <c r="Y103" s="935">
        <v>1722</v>
      </c>
      <c r="Z103" s="935">
        <v>2166</v>
      </c>
      <c r="AA103" s="935">
        <v>390</v>
      </c>
      <c r="AB103" s="935">
        <v>1359</v>
      </c>
      <c r="AC103" s="935">
        <v>1749</v>
      </c>
      <c r="AD103" s="935">
        <v>383</v>
      </c>
      <c r="AE103" s="935">
        <v>1224</v>
      </c>
      <c r="AF103" s="935">
        <v>1607</v>
      </c>
      <c r="AH103" s="935">
        <f t="shared" si="47"/>
        <v>1461</v>
      </c>
      <c r="AI103" s="935">
        <f t="shared" si="48"/>
        <v>2168</v>
      </c>
      <c r="AJ103" s="935">
        <f t="shared" si="49"/>
        <v>3629</v>
      </c>
      <c r="AK103" s="935">
        <f t="shared" si="50"/>
        <v>2637</v>
      </c>
      <c r="AL103" s="935">
        <f t="shared" si="51"/>
        <v>7558</v>
      </c>
      <c r="AM103" s="935">
        <f t="shared" si="52"/>
        <v>10195</v>
      </c>
      <c r="AN103" s="935">
        <f t="shared" si="53"/>
        <v>773</v>
      </c>
      <c r="AO103" s="935">
        <f t="shared" si="54"/>
        <v>2583</v>
      </c>
      <c r="AP103" s="935">
        <f t="shared" si="55"/>
        <v>3356</v>
      </c>
      <c r="AR103" s="936">
        <f t="shared" si="56"/>
        <v>0.4025902452466244</v>
      </c>
      <c r="AS103" s="936">
        <f t="shared" si="57"/>
        <v>0.25865620402157918</v>
      </c>
      <c r="AT103" s="936">
        <f t="shared" si="58"/>
        <v>0.2303337306317044</v>
      </c>
      <c r="AV103" s="937">
        <v>3592</v>
      </c>
      <c r="AW103" s="937">
        <v>10818</v>
      </c>
      <c r="AX103" s="937">
        <v>3340</v>
      </c>
      <c r="AZ103" s="937">
        <f t="shared" si="59"/>
        <v>1446.1041609258748</v>
      </c>
      <c r="BA103" s="937">
        <f t="shared" si="60"/>
        <v>2798.1428151054438</v>
      </c>
      <c r="BB103" s="937">
        <f t="shared" si="61"/>
        <v>769.3146603098927</v>
      </c>
      <c r="BC103" s="954">
        <f t="shared" si="46"/>
        <v>5013.5616363412119</v>
      </c>
    </row>
    <row r="104" spans="1:55" s="934" customFormat="1" ht="12" customHeight="1" x14ac:dyDescent="0.2">
      <c r="A104" s="934" t="s">
        <v>52</v>
      </c>
      <c r="B104" s="938" t="s">
        <v>53</v>
      </c>
      <c r="C104" s="951">
        <v>575</v>
      </c>
      <c r="D104" s="935">
        <v>1894</v>
      </c>
      <c r="E104" s="935">
        <v>2469</v>
      </c>
      <c r="F104" s="935">
        <v>391</v>
      </c>
      <c r="G104" s="935">
        <v>1540</v>
      </c>
      <c r="H104" s="935">
        <v>1931</v>
      </c>
      <c r="I104" s="935">
        <v>404</v>
      </c>
      <c r="J104" s="935">
        <v>1525</v>
      </c>
      <c r="K104" s="935">
        <v>1929</v>
      </c>
      <c r="L104" s="935">
        <v>6401</v>
      </c>
      <c r="M104" s="935">
        <v>3220</v>
      </c>
      <c r="N104" s="935">
        <v>9621</v>
      </c>
      <c r="O104" s="935">
        <v>1686</v>
      </c>
      <c r="P104" s="935">
        <v>5616</v>
      </c>
      <c r="Q104" s="935">
        <v>7302</v>
      </c>
      <c r="R104" s="935">
        <v>624</v>
      </c>
      <c r="S104" s="935">
        <v>3666</v>
      </c>
      <c r="T104" s="935">
        <v>4290</v>
      </c>
      <c r="U104" s="935">
        <v>946</v>
      </c>
      <c r="V104" s="935">
        <v>3365</v>
      </c>
      <c r="W104" s="935">
        <v>4311</v>
      </c>
      <c r="X104" s="935">
        <v>579</v>
      </c>
      <c r="Y104" s="935">
        <v>3154</v>
      </c>
      <c r="Z104" s="935">
        <v>3733</v>
      </c>
      <c r="AA104" s="935">
        <v>189</v>
      </c>
      <c r="AB104" s="935">
        <v>1878</v>
      </c>
      <c r="AC104" s="935">
        <v>2067</v>
      </c>
      <c r="AD104" s="935">
        <v>247</v>
      </c>
      <c r="AE104" s="935">
        <v>1577</v>
      </c>
      <c r="AF104" s="935">
        <v>1824</v>
      </c>
      <c r="AH104" s="935">
        <f t="shared" si="47"/>
        <v>1370</v>
      </c>
      <c r="AI104" s="935">
        <f t="shared" si="48"/>
        <v>4959</v>
      </c>
      <c r="AJ104" s="935">
        <f t="shared" si="49"/>
        <v>6329</v>
      </c>
      <c r="AK104" s="935">
        <f t="shared" si="50"/>
        <v>10236</v>
      </c>
      <c r="AL104" s="935">
        <f t="shared" si="51"/>
        <v>19021</v>
      </c>
      <c r="AM104" s="935">
        <f t="shared" si="52"/>
        <v>29257</v>
      </c>
      <c r="AN104" s="935">
        <f t="shared" si="53"/>
        <v>436</v>
      </c>
      <c r="AO104" s="935">
        <f t="shared" si="54"/>
        <v>3455</v>
      </c>
      <c r="AP104" s="935">
        <f t="shared" si="55"/>
        <v>3891</v>
      </c>
      <c r="AR104" s="936">
        <f t="shared" si="56"/>
        <v>0.2164638963501343</v>
      </c>
      <c r="AS104" s="936">
        <f t="shared" si="57"/>
        <v>0.34986498957514439</v>
      </c>
      <c r="AT104" s="936">
        <f t="shared" si="58"/>
        <v>0.11205345669493703</v>
      </c>
      <c r="AV104" s="937">
        <v>6368</v>
      </c>
      <c r="AW104" s="937">
        <v>33048</v>
      </c>
      <c r="AX104" s="937">
        <v>4095</v>
      </c>
      <c r="AZ104" s="937">
        <f t="shared" si="59"/>
        <v>1378.4420919576553</v>
      </c>
      <c r="BA104" s="937">
        <f t="shared" si="60"/>
        <v>11562.338175479372</v>
      </c>
      <c r="BB104" s="937">
        <f t="shared" si="61"/>
        <v>458.85890516576717</v>
      </c>
      <c r="BC104" s="954">
        <f t="shared" si="46"/>
        <v>13399.639172602794</v>
      </c>
    </row>
    <row r="105" spans="1:55" s="934" customFormat="1" ht="12" customHeight="1" x14ac:dyDescent="0.2">
      <c r="A105" s="934" t="s">
        <v>54</v>
      </c>
      <c r="B105" s="938" t="s">
        <v>55</v>
      </c>
      <c r="C105" s="951">
        <v>3084</v>
      </c>
      <c r="D105" s="935">
        <v>13772</v>
      </c>
      <c r="E105" s="935">
        <v>16856</v>
      </c>
      <c r="F105" s="935">
        <v>2692</v>
      </c>
      <c r="G105" s="935">
        <v>16302</v>
      </c>
      <c r="H105" s="935">
        <v>18994</v>
      </c>
      <c r="I105" s="935">
        <v>2296</v>
      </c>
      <c r="J105" s="935">
        <v>18621</v>
      </c>
      <c r="K105" s="935">
        <v>20917</v>
      </c>
      <c r="L105" s="935">
        <v>2402</v>
      </c>
      <c r="M105" s="935">
        <v>16644</v>
      </c>
      <c r="N105" s="935">
        <v>19046</v>
      </c>
      <c r="O105" s="935">
        <v>2964</v>
      </c>
      <c r="P105" s="935">
        <v>23493</v>
      </c>
      <c r="Q105" s="935">
        <v>26457</v>
      </c>
      <c r="R105" s="935">
        <v>2304</v>
      </c>
      <c r="S105" s="935">
        <v>28925</v>
      </c>
      <c r="T105" s="935">
        <v>31229</v>
      </c>
      <c r="U105" s="935">
        <v>2031</v>
      </c>
      <c r="V105" s="935">
        <v>33944</v>
      </c>
      <c r="W105" s="935">
        <v>35975</v>
      </c>
      <c r="X105" s="935">
        <v>1686</v>
      </c>
      <c r="Y105" s="935">
        <v>22430</v>
      </c>
      <c r="Z105" s="935">
        <v>24116</v>
      </c>
      <c r="AA105" s="935">
        <v>1218</v>
      </c>
      <c r="AB105" s="935">
        <v>11753</v>
      </c>
      <c r="AC105" s="935">
        <v>12971</v>
      </c>
      <c r="AD105" s="935">
        <v>1162</v>
      </c>
      <c r="AE105" s="935">
        <v>8133</v>
      </c>
      <c r="AF105" s="935">
        <v>9295</v>
      </c>
      <c r="AH105" s="935">
        <f t="shared" si="47"/>
        <v>8072</v>
      </c>
      <c r="AI105" s="935">
        <f t="shared" si="48"/>
        <v>48695</v>
      </c>
      <c r="AJ105" s="935">
        <f t="shared" si="49"/>
        <v>56767</v>
      </c>
      <c r="AK105" s="935">
        <f t="shared" si="50"/>
        <v>11387</v>
      </c>
      <c r="AL105" s="935">
        <f t="shared" si="51"/>
        <v>125436</v>
      </c>
      <c r="AM105" s="935">
        <f t="shared" si="52"/>
        <v>136823</v>
      </c>
      <c r="AN105" s="935">
        <f t="shared" si="53"/>
        <v>2380</v>
      </c>
      <c r="AO105" s="935">
        <f t="shared" si="54"/>
        <v>19886</v>
      </c>
      <c r="AP105" s="935">
        <f t="shared" si="55"/>
        <v>22266</v>
      </c>
      <c r="AR105" s="936">
        <f t="shared" si="56"/>
        <v>0.14219528951679672</v>
      </c>
      <c r="AS105" s="936">
        <f t="shared" si="57"/>
        <v>8.3224311701979928E-2</v>
      </c>
      <c r="AT105" s="936">
        <f t="shared" si="58"/>
        <v>0.10688942782718046</v>
      </c>
      <c r="AV105" s="937">
        <v>57117</v>
      </c>
      <c r="AW105" s="937">
        <v>143811</v>
      </c>
      <c r="AX105" s="937">
        <v>24122</v>
      </c>
      <c r="AZ105" s="937">
        <f t="shared" si="59"/>
        <v>8121.7683513308784</v>
      </c>
      <c r="BA105" s="937">
        <f t="shared" si="60"/>
        <v>11968.571490173435</v>
      </c>
      <c r="BB105" s="937">
        <f t="shared" si="61"/>
        <v>2578.3867780472469</v>
      </c>
      <c r="BC105" s="954">
        <f t="shared" si="46"/>
        <v>22668.726619551559</v>
      </c>
    </row>
    <row r="106" spans="1:55" s="934" customFormat="1" ht="12" customHeight="1" x14ac:dyDescent="0.2">
      <c r="A106" s="934" t="s">
        <v>66</v>
      </c>
      <c r="B106" s="938" t="s">
        <v>67</v>
      </c>
      <c r="C106" s="951">
        <v>1769</v>
      </c>
      <c r="D106" s="935">
        <v>1377</v>
      </c>
      <c r="E106" s="935">
        <v>3146</v>
      </c>
      <c r="F106" s="935">
        <v>1427</v>
      </c>
      <c r="G106" s="935">
        <v>1658</v>
      </c>
      <c r="H106" s="935">
        <v>3085</v>
      </c>
      <c r="I106" s="935">
        <v>1211</v>
      </c>
      <c r="J106" s="935">
        <v>1757</v>
      </c>
      <c r="K106" s="935">
        <v>2968</v>
      </c>
      <c r="L106" s="935">
        <v>1620</v>
      </c>
      <c r="M106" s="935">
        <v>2218</v>
      </c>
      <c r="N106" s="935">
        <v>3838</v>
      </c>
      <c r="O106" s="935">
        <v>1676</v>
      </c>
      <c r="P106" s="935">
        <v>2837</v>
      </c>
      <c r="Q106" s="935">
        <v>4513</v>
      </c>
      <c r="R106" s="935">
        <v>1314</v>
      </c>
      <c r="S106" s="935">
        <v>3376</v>
      </c>
      <c r="T106" s="935">
        <v>4690</v>
      </c>
      <c r="U106" s="935">
        <v>1527</v>
      </c>
      <c r="V106" s="935">
        <v>4702</v>
      </c>
      <c r="W106" s="935">
        <v>6229</v>
      </c>
      <c r="X106" s="935">
        <v>1121</v>
      </c>
      <c r="Y106" s="935">
        <v>4698</v>
      </c>
      <c r="Z106" s="935">
        <v>5819</v>
      </c>
      <c r="AA106" s="935">
        <v>753</v>
      </c>
      <c r="AB106" s="935">
        <v>3059</v>
      </c>
      <c r="AC106" s="935">
        <v>3812</v>
      </c>
      <c r="AD106" s="935">
        <v>1225</v>
      </c>
      <c r="AE106" s="935">
        <v>2640</v>
      </c>
      <c r="AF106" s="935">
        <v>3865</v>
      </c>
      <c r="AH106" s="935">
        <f t="shared" si="47"/>
        <v>4407</v>
      </c>
      <c r="AI106" s="935">
        <f t="shared" si="48"/>
        <v>4792</v>
      </c>
      <c r="AJ106" s="935">
        <f t="shared" si="49"/>
        <v>9199</v>
      </c>
      <c r="AK106" s="935">
        <f t="shared" si="50"/>
        <v>7258</v>
      </c>
      <c r="AL106" s="935">
        <f t="shared" si="51"/>
        <v>17831</v>
      </c>
      <c r="AM106" s="935">
        <f t="shared" si="52"/>
        <v>25089</v>
      </c>
      <c r="AN106" s="935">
        <f t="shared" si="53"/>
        <v>1978</v>
      </c>
      <c r="AO106" s="935">
        <f t="shared" si="54"/>
        <v>5699</v>
      </c>
      <c r="AP106" s="935">
        <f t="shared" si="55"/>
        <v>7677</v>
      </c>
      <c r="AR106" s="936">
        <f t="shared" si="56"/>
        <v>0.4790738123709099</v>
      </c>
      <c r="AS106" s="936">
        <f t="shared" si="57"/>
        <v>0.28929012714735541</v>
      </c>
      <c r="AT106" s="936">
        <f t="shared" si="58"/>
        <v>0.25765272893057184</v>
      </c>
      <c r="AV106" s="937">
        <v>9284</v>
      </c>
      <c r="AW106" s="937">
        <v>25358</v>
      </c>
      <c r="AX106" s="937">
        <v>8210</v>
      </c>
      <c r="AZ106" s="937">
        <f t="shared" si="59"/>
        <v>4447.7212740515279</v>
      </c>
      <c r="BA106" s="937">
        <f t="shared" si="60"/>
        <v>7335.8190442026389</v>
      </c>
      <c r="BB106" s="937">
        <f t="shared" si="61"/>
        <v>2115.3289045199949</v>
      </c>
      <c r="BC106" s="954">
        <f t="shared" si="46"/>
        <v>13898.869222774161</v>
      </c>
    </row>
    <row r="107" spans="1:55" s="934" customFormat="1" ht="12" customHeight="1" x14ac:dyDescent="0.2">
      <c r="A107" s="934" t="s">
        <v>82</v>
      </c>
      <c r="B107" s="938" t="s">
        <v>83</v>
      </c>
      <c r="C107" s="951">
        <v>344</v>
      </c>
      <c r="D107" s="935">
        <v>350</v>
      </c>
      <c r="E107" s="935">
        <v>694</v>
      </c>
      <c r="F107" s="935">
        <v>223</v>
      </c>
      <c r="G107" s="935">
        <v>450</v>
      </c>
      <c r="H107" s="935">
        <v>673</v>
      </c>
      <c r="I107" s="935">
        <v>265</v>
      </c>
      <c r="J107" s="935">
        <v>394</v>
      </c>
      <c r="K107" s="935">
        <v>659</v>
      </c>
      <c r="L107" s="935">
        <v>286</v>
      </c>
      <c r="M107" s="935">
        <v>550</v>
      </c>
      <c r="N107" s="935">
        <v>836</v>
      </c>
      <c r="O107" s="935">
        <v>220</v>
      </c>
      <c r="P107" s="935">
        <v>621</v>
      </c>
      <c r="Q107" s="935">
        <v>841</v>
      </c>
      <c r="R107" s="935">
        <v>116</v>
      </c>
      <c r="S107" s="935">
        <v>936</v>
      </c>
      <c r="T107" s="935">
        <v>1052</v>
      </c>
      <c r="U107" s="935">
        <v>281</v>
      </c>
      <c r="V107" s="935">
        <v>959</v>
      </c>
      <c r="W107" s="935">
        <v>1240</v>
      </c>
      <c r="X107" s="935">
        <v>211</v>
      </c>
      <c r="Y107" s="935">
        <v>872</v>
      </c>
      <c r="Z107" s="935">
        <v>1083</v>
      </c>
      <c r="AA107" s="935">
        <v>94</v>
      </c>
      <c r="AB107" s="935">
        <v>483</v>
      </c>
      <c r="AC107" s="935">
        <v>577</v>
      </c>
      <c r="AD107" s="935">
        <v>138</v>
      </c>
      <c r="AE107" s="935">
        <v>631</v>
      </c>
      <c r="AF107" s="935">
        <v>769</v>
      </c>
      <c r="AH107" s="935">
        <f t="shared" si="47"/>
        <v>832</v>
      </c>
      <c r="AI107" s="935">
        <f t="shared" si="48"/>
        <v>1194</v>
      </c>
      <c r="AJ107" s="935">
        <f t="shared" si="49"/>
        <v>2026</v>
      </c>
      <c r="AK107" s="935">
        <f t="shared" si="50"/>
        <v>1114</v>
      </c>
      <c r="AL107" s="935">
        <f t="shared" si="51"/>
        <v>3938</v>
      </c>
      <c r="AM107" s="935">
        <f t="shared" si="52"/>
        <v>5052</v>
      </c>
      <c r="AN107" s="935">
        <f t="shared" si="53"/>
        <v>232</v>
      </c>
      <c r="AO107" s="935">
        <f t="shared" si="54"/>
        <v>1114</v>
      </c>
      <c r="AP107" s="935">
        <f t="shared" si="55"/>
        <v>1346</v>
      </c>
      <c r="AR107" s="936">
        <f t="shared" si="56"/>
        <v>0.4106614017769003</v>
      </c>
      <c r="AS107" s="936">
        <f t="shared" si="57"/>
        <v>0.22050673000791765</v>
      </c>
      <c r="AT107" s="936">
        <f t="shared" si="58"/>
        <v>0.17236255572065379</v>
      </c>
      <c r="AV107" s="937">
        <v>2050</v>
      </c>
      <c r="AW107" s="937">
        <v>5023</v>
      </c>
      <c r="AX107" s="937">
        <v>1515</v>
      </c>
      <c r="AZ107" s="937">
        <f t="shared" si="59"/>
        <v>841.85587364264563</v>
      </c>
      <c r="BA107" s="937">
        <f t="shared" si="60"/>
        <v>1107.6053048297704</v>
      </c>
      <c r="BB107" s="937">
        <f t="shared" si="61"/>
        <v>261.12927191679051</v>
      </c>
      <c r="BC107" s="954">
        <f t="shared" si="46"/>
        <v>2210.5904503892066</v>
      </c>
    </row>
    <row r="108" spans="1:55" s="934" customFormat="1" ht="12" customHeight="1" x14ac:dyDescent="0.2">
      <c r="A108" s="934" t="s">
        <v>88</v>
      </c>
      <c r="B108" s="938" t="s">
        <v>89</v>
      </c>
      <c r="C108" s="951">
        <v>471</v>
      </c>
      <c r="D108" s="935">
        <v>1259</v>
      </c>
      <c r="E108" s="935">
        <v>1730</v>
      </c>
      <c r="F108" s="935">
        <v>243</v>
      </c>
      <c r="G108" s="935">
        <v>1358</v>
      </c>
      <c r="H108" s="935">
        <v>1601</v>
      </c>
      <c r="I108" s="935">
        <v>288</v>
      </c>
      <c r="J108" s="935">
        <v>1008</v>
      </c>
      <c r="K108" s="935">
        <v>1296</v>
      </c>
      <c r="L108" s="935">
        <v>1505</v>
      </c>
      <c r="M108" s="935">
        <v>1638</v>
      </c>
      <c r="N108" s="935">
        <v>3143</v>
      </c>
      <c r="O108" s="935">
        <v>351</v>
      </c>
      <c r="P108" s="935">
        <v>3063</v>
      </c>
      <c r="Q108" s="935">
        <v>3414</v>
      </c>
      <c r="R108" s="935">
        <v>314</v>
      </c>
      <c r="S108" s="935">
        <v>2643</v>
      </c>
      <c r="T108" s="935">
        <v>2957</v>
      </c>
      <c r="U108" s="935">
        <v>382</v>
      </c>
      <c r="V108" s="935">
        <v>2371</v>
      </c>
      <c r="W108" s="935">
        <v>2753</v>
      </c>
      <c r="X108" s="935">
        <v>371</v>
      </c>
      <c r="Y108" s="935">
        <v>1772</v>
      </c>
      <c r="Z108" s="935">
        <v>2143</v>
      </c>
      <c r="AA108" s="935">
        <v>74</v>
      </c>
      <c r="AB108" s="935">
        <v>1174</v>
      </c>
      <c r="AC108" s="935">
        <v>1248</v>
      </c>
      <c r="AD108" s="935">
        <v>189</v>
      </c>
      <c r="AE108" s="935">
        <v>1041</v>
      </c>
      <c r="AF108" s="935">
        <v>1230</v>
      </c>
      <c r="AH108" s="935">
        <f t="shared" si="47"/>
        <v>1002</v>
      </c>
      <c r="AI108" s="935">
        <f t="shared" si="48"/>
        <v>3625</v>
      </c>
      <c r="AJ108" s="935">
        <f t="shared" si="49"/>
        <v>4627</v>
      </c>
      <c r="AK108" s="935">
        <f t="shared" si="50"/>
        <v>2923</v>
      </c>
      <c r="AL108" s="935">
        <f t="shared" si="51"/>
        <v>11487</v>
      </c>
      <c r="AM108" s="935">
        <f t="shared" si="52"/>
        <v>14410</v>
      </c>
      <c r="AN108" s="935">
        <f t="shared" si="53"/>
        <v>263</v>
      </c>
      <c r="AO108" s="935">
        <f t="shared" si="54"/>
        <v>2215</v>
      </c>
      <c r="AP108" s="935">
        <f t="shared" si="55"/>
        <v>2478</v>
      </c>
      <c r="AR108" s="936">
        <f t="shared" si="56"/>
        <v>0.21655500324184138</v>
      </c>
      <c r="AS108" s="936">
        <f t="shared" si="57"/>
        <v>0.20284524635669673</v>
      </c>
      <c r="AT108" s="936">
        <f t="shared" si="58"/>
        <v>0.10613397901533494</v>
      </c>
      <c r="AV108" s="937">
        <v>5320</v>
      </c>
      <c r="AW108" s="937">
        <v>17912</v>
      </c>
      <c r="AX108" s="937">
        <v>2459</v>
      </c>
      <c r="AZ108" s="937">
        <f t="shared" si="59"/>
        <v>1152.0726172465961</v>
      </c>
      <c r="BA108" s="937">
        <f t="shared" si="60"/>
        <v>3633.3640527411521</v>
      </c>
      <c r="BB108" s="937">
        <f t="shared" si="61"/>
        <v>260.9834543987086</v>
      </c>
      <c r="BC108" s="954">
        <f t="shared" si="46"/>
        <v>5046.4201243864572</v>
      </c>
    </row>
    <row r="109" spans="1:55" s="934" customFormat="1" ht="12" customHeight="1" x14ac:dyDescent="0.2">
      <c r="A109" s="934" t="s">
        <v>90</v>
      </c>
      <c r="B109" s="938" t="s">
        <v>91</v>
      </c>
      <c r="C109" s="951">
        <v>145</v>
      </c>
      <c r="D109" s="935">
        <v>63</v>
      </c>
      <c r="E109" s="935">
        <v>208</v>
      </c>
      <c r="F109" s="935">
        <v>321</v>
      </c>
      <c r="G109" s="935">
        <v>223</v>
      </c>
      <c r="H109" s="935">
        <v>544</v>
      </c>
      <c r="I109" s="935">
        <v>142</v>
      </c>
      <c r="J109" s="935">
        <v>220</v>
      </c>
      <c r="K109" s="935">
        <v>362</v>
      </c>
      <c r="L109" s="935">
        <v>172</v>
      </c>
      <c r="M109" s="935">
        <v>196</v>
      </c>
      <c r="N109" s="935">
        <v>368</v>
      </c>
      <c r="O109" s="935">
        <v>500</v>
      </c>
      <c r="P109" s="935">
        <v>703</v>
      </c>
      <c r="Q109" s="935">
        <v>1203</v>
      </c>
      <c r="R109" s="935">
        <v>132</v>
      </c>
      <c r="S109" s="935">
        <v>534</v>
      </c>
      <c r="T109" s="935">
        <v>666</v>
      </c>
      <c r="U109" s="935">
        <v>236</v>
      </c>
      <c r="V109" s="935">
        <v>604</v>
      </c>
      <c r="W109" s="935">
        <v>840</v>
      </c>
      <c r="X109" s="935">
        <v>257</v>
      </c>
      <c r="Y109" s="935">
        <v>534</v>
      </c>
      <c r="Z109" s="935">
        <v>791</v>
      </c>
      <c r="AA109" s="935">
        <v>96</v>
      </c>
      <c r="AB109" s="935">
        <v>622</v>
      </c>
      <c r="AC109" s="935">
        <v>718</v>
      </c>
      <c r="AD109" s="935">
        <v>365</v>
      </c>
      <c r="AE109" s="935">
        <v>597</v>
      </c>
      <c r="AF109" s="935">
        <v>962</v>
      </c>
      <c r="AH109" s="935">
        <f t="shared" si="47"/>
        <v>608</v>
      </c>
      <c r="AI109" s="935">
        <f t="shared" si="48"/>
        <v>506</v>
      </c>
      <c r="AJ109" s="935">
        <f t="shared" si="49"/>
        <v>1114</v>
      </c>
      <c r="AK109" s="935">
        <f t="shared" si="50"/>
        <v>1297</v>
      </c>
      <c r="AL109" s="935">
        <f t="shared" si="51"/>
        <v>2571</v>
      </c>
      <c r="AM109" s="935">
        <f t="shared" si="52"/>
        <v>3868</v>
      </c>
      <c r="AN109" s="935">
        <f t="shared" si="53"/>
        <v>461</v>
      </c>
      <c r="AO109" s="935">
        <f t="shared" si="54"/>
        <v>1219</v>
      </c>
      <c r="AP109" s="935">
        <f t="shared" si="55"/>
        <v>1680</v>
      </c>
      <c r="AR109" s="936">
        <f t="shared" si="56"/>
        <v>0.54578096947935373</v>
      </c>
      <c r="AS109" s="936">
        <f t="shared" si="57"/>
        <v>0.33531540847983454</v>
      </c>
      <c r="AT109" s="936">
        <f t="shared" si="58"/>
        <v>0.27440476190476193</v>
      </c>
      <c r="AV109" s="937">
        <v>1537</v>
      </c>
      <c r="AW109" s="937">
        <v>3979</v>
      </c>
      <c r="AX109" s="937">
        <v>1467</v>
      </c>
      <c r="AZ109" s="937">
        <f t="shared" si="59"/>
        <v>838.86535008976671</v>
      </c>
      <c r="BA109" s="937">
        <f t="shared" si="60"/>
        <v>1334.2200103412617</v>
      </c>
      <c r="BB109" s="937">
        <f t="shared" si="61"/>
        <v>402.55178571428576</v>
      </c>
      <c r="BC109" s="954">
        <f t="shared" si="46"/>
        <v>2575.6371461453145</v>
      </c>
    </row>
    <row r="110" spans="1:55" s="934" customFormat="1" ht="12" customHeight="1" x14ac:dyDescent="0.2">
      <c r="A110" s="934" t="s">
        <v>106</v>
      </c>
      <c r="B110" s="938" t="s">
        <v>107</v>
      </c>
      <c r="C110" s="951">
        <v>2854</v>
      </c>
      <c r="D110" s="935">
        <v>7786</v>
      </c>
      <c r="E110" s="935">
        <v>10640</v>
      </c>
      <c r="F110" s="935">
        <v>3046</v>
      </c>
      <c r="G110" s="935">
        <v>6677</v>
      </c>
      <c r="H110" s="935">
        <v>9723</v>
      </c>
      <c r="I110" s="935">
        <v>3051</v>
      </c>
      <c r="J110" s="935">
        <v>7726</v>
      </c>
      <c r="K110" s="935">
        <v>10777</v>
      </c>
      <c r="L110" s="935">
        <v>3179</v>
      </c>
      <c r="M110" s="935">
        <v>11000</v>
      </c>
      <c r="N110" s="935">
        <v>14179</v>
      </c>
      <c r="O110" s="935">
        <v>2360</v>
      </c>
      <c r="P110" s="935">
        <v>16304</v>
      </c>
      <c r="Q110" s="935">
        <v>18664</v>
      </c>
      <c r="R110" s="935">
        <v>2567</v>
      </c>
      <c r="S110" s="935">
        <v>14294</v>
      </c>
      <c r="T110" s="935">
        <v>16861</v>
      </c>
      <c r="U110" s="935">
        <v>2069</v>
      </c>
      <c r="V110" s="935">
        <v>18621</v>
      </c>
      <c r="W110" s="935">
        <v>20690</v>
      </c>
      <c r="X110" s="935">
        <v>1807</v>
      </c>
      <c r="Y110" s="935">
        <v>13558</v>
      </c>
      <c r="Z110" s="935">
        <v>15365</v>
      </c>
      <c r="AA110" s="935">
        <v>818</v>
      </c>
      <c r="AB110" s="935">
        <v>8415</v>
      </c>
      <c r="AC110" s="935">
        <v>9233</v>
      </c>
      <c r="AD110" s="935">
        <v>1147</v>
      </c>
      <c r="AE110" s="935">
        <v>5758</v>
      </c>
      <c r="AF110" s="935">
        <v>6905</v>
      </c>
      <c r="AH110" s="935">
        <f t="shared" si="47"/>
        <v>8951</v>
      </c>
      <c r="AI110" s="935">
        <f t="shared" si="48"/>
        <v>22189</v>
      </c>
      <c r="AJ110" s="935">
        <f t="shared" si="49"/>
        <v>31140</v>
      </c>
      <c r="AK110" s="935">
        <f t="shared" si="50"/>
        <v>11982</v>
      </c>
      <c r="AL110" s="935">
        <f t="shared" si="51"/>
        <v>73777</v>
      </c>
      <c r="AM110" s="935">
        <f t="shared" si="52"/>
        <v>85759</v>
      </c>
      <c r="AN110" s="935">
        <f t="shared" si="53"/>
        <v>1965</v>
      </c>
      <c r="AO110" s="935">
        <f t="shared" si="54"/>
        <v>14173</v>
      </c>
      <c r="AP110" s="935">
        <f t="shared" si="55"/>
        <v>16138</v>
      </c>
      <c r="AR110" s="936">
        <f t="shared" si="56"/>
        <v>0.28744380218368659</v>
      </c>
      <c r="AS110" s="936">
        <f t="shared" si="57"/>
        <v>0.13971711423873878</v>
      </c>
      <c r="AT110" s="936">
        <f t="shared" si="58"/>
        <v>0.12176230016111042</v>
      </c>
      <c r="AV110" s="937">
        <v>30712</v>
      </c>
      <c r="AW110" s="937">
        <v>88489</v>
      </c>
      <c r="AX110" s="937">
        <v>17200</v>
      </c>
      <c r="AZ110" s="937">
        <f t="shared" si="59"/>
        <v>8827.9740526653823</v>
      </c>
      <c r="BA110" s="937">
        <f t="shared" si="60"/>
        <v>12363.427721871756</v>
      </c>
      <c r="BB110" s="937">
        <f t="shared" si="61"/>
        <v>2094.311562771099</v>
      </c>
      <c r="BC110" s="954">
        <f t="shared" si="46"/>
        <v>23285.713337308236</v>
      </c>
    </row>
    <row r="111" spans="1:55" s="934" customFormat="1" ht="12" customHeight="1" x14ac:dyDescent="0.2">
      <c r="A111" s="934" t="s">
        <v>116</v>
      </c>
      <c r="B111" s="938" t="s">
        <v>117</v>
      </c>
      <c r="C111" s="951">
        <v>757</v>
      </c>
      <c r="D111" s="935">
        <v>1260</v>
      </c>
      <c r="E111" s="935">
        <v>2017</v>
      </c>
      <c r="F111" s="935">
        <v>505</v>
      </c>
      <c r="G111" s="935">
        <v>874</v>
      </c>
      <c r="H111" s="935">
        <v>1379</v>
      </c>
      <c r="I111" s="935">
        <v>822</v>
      </c>
      <c r="J111" s="935">
        <v>1117</v>
      </c>
      <c r="K111" s="935">
        <v>1939</v>
      </c>
      <c r="L111" s="935">
        <v>434</v>
      </c>
      <c r="M111" s="935">
        <v>1597</v>
      </c>
      <c r="N111" s="935">
        <v>2031</v>
      </c>
      <c r="O111" s="935">
        <v>777</v>
      </c>
      <c r="P111" s="935">
        <v>2370</v>
      </c>
      <c r="Q111" s="935">
        <v>3147</v>
      </c>
      <c r="R111" s="935">
        <v>505</v>
      </c>
      <c r="S111" s="935">
        <v>2491</v>
      </c>
      <c r="T111" s="935">
        <v>2996</v>
      </c>
      <c r="U111" s="935">
        <v>610</v>
      </c>
      <c r="V111" s="935">
        <v>2329</v>
      </c>
      <c r="W111" s="935">
        <v>2939</v>
      </c>
      <c r="X111" s="935">
        <v>516</v>
      </c>
      <c r="Y111" s="935">
        <v>1878</v>
      </c>
      <c r="Z111" s="935">
        <v>2394</v>
      </c>
      <c r="AA111" s="935">
        <v>210</v>
      </c>
      <c r="AB111" s="935">
        <v>1386</v>
      </c>
      <c r="AC111" s="935">
        <v>1596</v>
      </c>
      <c r="AD111" s="935">
        <v>286</v>
      </c>
      <c r="AE111" s="935">
        <v>1298</v>
      </c>
      <c r="AF111" s="935">
        <v>1584</v>
      </c>
      <c r="AH111" s="935">
        <f t="shared" si="47"/>
        <v>2084</v>
      </c>
      <c r="AI111" s="935">
        <f t="shared" si="48"/>
        <v>3251</v>
      </c>
      <c r="AJ111" s="935">
        <f t="shared" si="49"/>
        <v>5335</v>
      </c>
      <c r="AK111" s="935">
        <f t="shared" si="50"/>
        <v>2842</v>
      </c>
      <c r="AL111" s="935">
        <f t="shared" si="51"/>
        <v>10665</v>
      </c>
      <c r="AM111" s="935">
        <f t="shared" si="52"/>
        <v>13507</v>
      </c>
      <c r="AN111" s="935">
        <f t="shared" si="53"/>
        <v>496</v>
      </c>
      <c r="AO111" s="935">
        <f t="shared" si="54"/>
        <v>2684</v>
      </c>
      <c r="AP111" s="935">
        <f t="shared" si="55"/>
        <v>3180</v>
      </c>
      <c r="AR111" s="936">
        <f t="shared" si="56"/>
        <v>0.39062792877225866</v>
      </c>
      <c r="AS111" s="936">
        <f t="shared" si="57"/>
        <v>0.21040941733915747</v>
      </c>
      <c r="AT111" s="936">
        <f t="shared" si="58"/>
        <v>0.15597484276729559</v>
      </c>
      <c r="AV111" s="937">
        <v>5605</v>
      </c>
      <c r="AW111" s="937">
        <v>13635</v>
      </c>
      <c r="AX111" s="937">
        <v>3340</v>
      </c>
      <c r="AZ111" s="937">
        <f t="shared" si="59"/>
        <v>2189.4695407685099</v>
      </c>
      <c r="BA111" s="937">
        <f t="shared" si="60"/>
        <v>2868.9324054194121</v>
      </c>
      <c r="BB111" s="937">
        <f t="shared" si="61"/>
        <v>520.95597484276732</v>
      </c>
      <c r="BC111" s="954">
        <f t="shared" si="46"/>
        <v>5579.3579210306889</v>
      </c>
    </row>
    <row r="112" spans="1:55" s="934" customFormat="1" ht="12" customHeight="1" x14ac:dyDescent="0.2">
      <c r="A112" s="934" t="s">
        <v>138</v>
      </c>
      <c r="B112" s="938" t="s">
        <v>139</v>
      </c>
      <c r="C112" s="951">
        <v>2402</v>
      </c>
      <c r="D112" s="935">
        <v>2700</v>
      </c>
      <c r="E112" s="935">
        <v>5102</v>
      </c>
      <c r="F112" s="935">
        <v>1577</v>
      </c>
      <c r="G112" s="935">
        <v>3199</v>
      </c>
      <c r="H112" s="935">
        <v>4776</v>
      </c>
      <c r="I112" s="935">
        <v>1248</v>
      </c>
      <c r="J112" s="935">
        <v>3311</v>
      </c>
      <c r="K112" s="935">
        <v>4559</v>
      </c>
      <c r="L112" s="935">
        <v>5359</v>
      </c>
      <c r="M112" s="935">
        <v>5038</v>
      </c>
      <c r="N112" s="935">
        <v>10397</v>
      </c>
      <c r="O112" s="935">
        <v>2181</v>
      </c>
      <c r="P112" s="935">
        <v>6576</v>
      </c>
      <c r="Q112" s="935">
        <v>8757</v>
      </c>
      <c r="R112" s="935">
        <v>1705</v>
      </c>
      <c r="S112" s="935">
        <v>5745</v>
      </c>
      <c r="T112" s="935">
        <v>7450</v>
      </c>
      <c r="U112" s="935">
        <v>1491</v>
      </c>
      <c r="V112" s="935">
        <v>7005</v>
      </c>
      <c r="W112" s="935">
        <v>8496</v>
      </c>
      <c r="X112" s="935">
        <v>1334</v>
      </c>
      <c r="Y112" s="935">
        <v>6129</v>
      </c>
      <c r="Z112" s="935">
        <v>7463</v>
      </c>
      <c r="AA112" s="935">
        <v>530</v>
      </c>
      <c r="AB112" s="935">
        <v>4082</v>
      </c>
      <c r="AC112" s="935">
        <v>4612</v>
      </c>
      <c r="AD112" s="935">
        <v>783</v>
      </c>
      <c r="AE112" s="935">
        <v>4343</v>
      </c>
      <c r="AF112" s="935">
        <v>5126</v>
      </c>
      <c r="AH112" s="935">
        <f t="shared" si="47"/>
        <v>5227</v>
      </c>
      <c r="AI112" s="935">
        <f t="shared" si="48"/>
        <v>9210</v>
      </c>
      <c r="AJ112" s="935">
        <f t="shared" si="49"/>
        <v>14437</v>
      </c>
      <c r="AK112" s="935">
        <f t="shared" si="50"/>
        <v>12070</v>
      </c>
      <c r="AL112" s="935">
        <f t="shared" si="51"/>
        <v>30493</v>
      </c>
      <c r="AM112" s="935">
        <f t="shared" si="52"/>
        <v>42563</v>
      </c>
      <c r="AN112" s="935">
        <f t="shared" si="53"/>
        <v>1313</v>
      </c>
      <c r="AO112" s="935">
        <f t="shared" si="54"/>
        <v>8425</v>
      </c>
      <c r="AP112" s="935">
        <f t="shared" si="55"/>
        <v>9738</v>
      </c>
      <c r="AR112" s="936">
        <f t="shared" si="56"/>
        <v>0.36205582877329084</v>
      </c>
      <c r="AS112" s="936">
        <f t="shared" si="57"/>
        <v>0.28357963489415688</v>
      </c>
      <c r="AT112" s="936">
        <f t="shared" si="58"/>
        <v>0.13483261449989731</v>
      </c>
      <c r="AV112" s="937">
        <v>14947</v>
      </c>
      <c r="AW112" s="937">
        <v>50797</v>
      </c>
      <c r="AX112" s="937">
        <v>10760</v>
      </c>
      <c r="AZ112" s="937">
        <f t="shared" si="59"/>
        <v>5411.6484726743784</v>
      </c>
      <c r="BA112" s="937">
        <f t="shared" si="60"/>
        <v>14404.994713718488</v>
      </c>
      <c r="BB112" s="937">
        <f t="shared" si="61"/>
        <v>1450.7989320188951</v>
      </c>
      <c r="BC112" s="954">
        <f t="shared" si="46"/>
        <v>21267.44211841176</v>
      </c>
    </row>
    <row r="113" spans="1:55" s="934" customFormat="1" ht="12" customHeight="1" x14ac:dyDescent="0.2">
      <c r="A113" s="934" t="s">
        <v>142</v>
      </c>
      <c r="B113" s="938" t="s">
        <v>143</v>
      </c>
      <c r="C113" s="951">
        <v>916</v>
      </c>
      <c r="D113" s="935">
        <v>2782</v>
      </c>
      <c r="E113" s="935">
        <v>3698</v>
      </c>
      <c r="F113" s="935">
        <v>1200</v>
      </c>
      <c r="G113" s="935">
        <v>2083</v>
      </c>
      <c r="H113" s="935">
        <v>3283</v>
      </c>
      <c r="I113" s="935">
        <v>531</v>
      </c>
      <c r="J113" s="935">
        <v>2908</v>
      </c>
      <c r="K113" s="935">
        <v>3439</v>
      </c>
      <c r="L113" s="935">
        <v>547</v>
      </c>
      <c r="M113" s="935">
        <v>3150</v>
      </c>
      <c r="N113" s="935">
        <v>3697</v>
      </c>
      <c r="O113" s="935">
        <v>881</v>
      </c>
      <c r="P113" s="935">
        <v>4642</v>
      </c>
      <c r="Q113" s="935">
        <v>5523</v>
      </c>
      <c r="R113" s="935">
        <v>1003</v>
      </c>
      <c r="S113" s="935">
        <v>4676</v>
      </c>
      <c r="T113" s="935">
        <v>5679</v>
      </c>
      <c r="U113" s="935">
        <v>406</v>
      </c>
      <c r="V113" s="935">
        <v>4895</v>
      </c>
      <c r="W113" s="935">
        <v>5301</v>
      </c>
      <c r="X113" s="935">
        <v>306</v>
      </c>
      <c r="Y113" s="935">
        <v>3097</v>
      </c>
      <c r="Z113" s="935">
        <v>3403</v>
      </c>
      <c r="AA113" s="935">
        <v>162</v>
      </c>
      <c r="AB113" s="935">
        <v>1357</v>
      </c>
      <c r="AC113" s="935">
        <v>1519</v>
      </c>
      <c r="AD113" s="935">
        <v>80</v>
      </c>
      <c r="AE113" s="935">
        <v>938</v>
      </c>
      <c r="AF113" s="935">
        <v>1018</v>
      </c>
      <c r="AH113" s="935">
        <f t="shared" si="47"/>
        <v>2647</v>
      </c>
      <c r="AI113" s="935">
        <f t="shared" si="48"/>
        <v>7773</v>
      </c>
      <c r="AJ113" s="935">
        <f t="shared" si="49"/>
        <v>10420</v>
      </c>
      <c r="AK113" s="935">
        <f t="shared" si="50"/>
        <v>3143</v>
      </c>
      <c r="AL113" s="935">
        <f t="shared" si="51"/>
        <v>20460</v>
      </c>
      <c r="AM113" s="935">
        <f t="shared" si="52"/>
        <v>23603</v>
      </c>
      <c r="AN113" s="935">
        <f t="shared" si="53"/>
        <v>242</v>
      </c>
      <c r="AO113" s="935">
        <f t="shared" si="54"/>
        <v>2295</v>
      </c>
      <c r="AP113" s="935">
        <f t="shared" si="55"/>
        <v>2537</v>
      </c>
      <c r="AR113" s="936">
        <f t="shared" si="56"/>
        <v>0.2540307101727447</v>
      </c>
      <c r="AS113" s="936">
        <f t="shared" si="57"/>
        <v>0.13316103885099351</v>
      </c>
      <c r="AT113" s="936">
        <f t="shared" si="58"/>
        <v>9.5388253843121801E-2</v>
      </c>
      <c r="AV113" s="937">
        <v>11024</v>
      </c>
      <c r="AW113" s="937">
        <v>25519</v>
      </c>
      <c r="AX113" s="937">
        <v>2757</v>
      </c>
      <c r="AZ113" s="937">
        <f t="shared" si="59"/>
        <v>2800.4345489443376</v>
      </c>
      <c r="BA113" s="937">
        <f t="shared" si="60"/>
        <v>3398.1365504385035</v>
      </c>
      <c r="BB113" s="937">
        <f t="shared" si="61"/>
        <v>262.98541584548678</v>
      </c>
      <c r="BC113" s="954">
        <f t="shared" si="46"/>
        <v>6461.556515228328</v>
      </c>
    </row>
    <row r="114" spans="1:55" s="934" customFormat="1" ht="12" customHeight="1" x14ac:dyDescent="0.2">
      <c r="A114" s="934" t="s">
        <v>144</v>
      </c>
      <c r="B114" s="938" t="s">
        <v>145</v>
      </c>
      <c r="C114" s="951">
        <v>183</v>
      </c>
      <c r="D114" s="935">
        <v>1365</v>
      </c>
      <c r="E114" s="935">
        <v>1548</v>
      </c>
      <c r="F114" s="935">
        <v>227</v>
      </c>
      <c r="G114" s="935">
        <v>1167</v>
      </c>
      <c r="H114" s="935">
        <v>1394</v>
      </c>
      <c r="I114" s="935">
        <v>39</v>
      </c>
      <c r="J114" s="935">
        <v>999</v>
      </c>
      <c r="K114" s="935">
        <v>1038</v>
      </c>
      <c r="L114" s="935">
        <v>139</v>
      </c>
      <c r="M114" s="935">
        <v>1254</v>
      </c>
      <c r="N114" s="935">
        <v>1393</v>
      </c>
      <c r="O114" s="935">
        <v>133</v>
      </c>
      <c r="P114" s="935">
        <v>2317</v>
      </c>
      <c r="Q114" s="935">
        <v>2450</v>
      </c>
      <c r="R114" s="935">
        <v>81</v>
      </c>
      <c r="S114" s="935">
        <v>2354</v>
      </c>
      <c r="T114" s="935">
        <v>2435</v>
      </c>
      <c r="U114" s="935">
        <v>18</v>
      </c>
      <c r="V114" s="935">
        <v>1693</v>
      </c>
      <c r="W114" s="935">
        <v>1711</v>
      </c>
      <c r="X114" s="935">
        <v>110</v>
      </c>
      <c r="Y114" s="935">
        <v>845</v>
      </c>
      <c r="Z114" s="935">
        <v>955</v>
      </c>
      <c r="AA114" s="935">
        <v>42</v>
      </c>
      <c r="AB114" s="935">
        <v>443</v>
      </c>
      <c r="AC114" s="935">
        <v>485</v>
      </c>
      <c r="AD114" s="935">
        <v>74</v>
      </c>
      <c r="AE114" s="935">
        <v>260</v>
      </c>
      <c r="AF114" s="935">
        <v>334</v>
      </c>
      <c r="AH114" s="935">
        <f t="shared" si="47"/>
        <v>449</v>
      </c>
      <c r="AI114" s="935">
        <f t="shared" si="48"/>
        <v>3531</v>
      </c>
      <c r="AJ114" s="935">
        <f t="shared" si="49"/>
        <v>3980</v>
      </c>
      <c r="AK114" s="935">
        <f t="shared" si="50"/>
        <v>481</v>
      </c>
      <c r="AL114" s="935">
        <f t="shared" si="51"/>
        <v>8463</v>
      </c>
      <c r="AM114" s="935">
        <f t="shared" si="52"/>
        <v>8944</v>
      </c>
      <c r="AN114" s="935">
        <f t="shared" si="53"/>
        <v>116</v>
      </c>
      <c r="AO114" s="935">
        <f t="shared" si="54"/>
        <v>703</v>
      </c>
      <c r="AP114" s="935">
        <f t="shared" si="55"/>
        <v>819</v>
      </c>
      <c r="AR114" s="936">
        <f t="shared" si="56"/>
        <v>0.11281407035175879</v>
      </c>
      <c r="AS114" s="936">
        <f t="shared" si="57"/>
        <v>5.3779069767441859E-2</v>
      </c>
      <c r="AT114" s="936">
        <f t="shared" si="58"/>
        <v>0.14163614163614163</v>
      </c>
      <c r="AV114" s="937">
        <v>4426</v>
      </c>
      <c r="AW114" s="937">
        <v>10119</v>
      </c>
      <c r="AX114" s="937">
        <v>787</v>
      </c>
      <c r="AZ114" s="937">
        <f t="shared" si="59"/>
        <v>499.31507537688441</v>
      </c>
      <c r="BA114" s="937">
        <f t="shared" si="60"/>
        <v>544.19040697674416</v>
      </c>
      <c r="BB114" s="937">
        <f t="shared" si="61"/>
        <v>111.46764346764347</v>
      </c>
      <c r="BC114" s="954">
        <f t="shared" si="46"/>
        <v>1154.9731258212721</v>
      </c>
    </row>
    <row r="115" spans="1:55" s="934" customFormat="1" ht="12" customHeight="1" x14ac:dyDescent="0.2">
      <c r="A115" s="934" t="s">
        <v>158</v>
      </c>
      <c r="B115" s="938" t="s">
        <v>159</v>
      </c>
      <c r="C115" s="951">
        <v>5139</v>
      </c>
      <c r="D115" s="935">
        <v>10578</v>
      </c>
      <c r="E115" s="935">
        <v>15717</v>
      </c>
      <c r="F115" s="935">
        <v>3631</v>
      </c>
      <c r="G115" s="935">
        <v>10278</v>
      </c>
      <c r="H115" s="935">
        <v>13909</v>
      </c>
      <c r="I115" s="935">
        <v>3008</v>
      </c>
      <c r="J115" s="935">
        <v>11217</v>
      </c>
      <c r="K115" s="935">
        <v>14225</v>
      </c>
      <c r="L115" s="935">
        <v>5567</v>
      </c>
      <c r="M115" s="935">
        <v>14387</v>
      </c>
      <c r="N115" s="935">
        <v>19954</v>
      </c>
      <c r="O115" s="935">
        <v>4292</v>
      </c>
      <c r="P115" s="935">
        <v>22506</v>
      </c>
      <c r="Q115" s="935">
        <v>26798</v>
      </c>
      <c r="R115" s="935">
        <v>2780</v>
      </c>
      <c r="S115" s="935">
        <v>19632</v>
      </c>
      <c r="T115" s="935">
        <v>22412</v>
      </c>
      <c r="U115" s="935">
        <v>2723</v>
      </c>
      <c r="V115" s="935">
        <v>22035</v>
      </c>
      <c r="W115" s="935">
        <v>24758</v>
      </c>
      <c r="X115" s="935">
        <v>2475</v>
      </c>
      <c r="Y115" s="935">
        <v>15195</v>
      </c>
      <c r="Z115" s="935">
        <v>17670</v>
      </c>
      <c r="AA115" s="935">
        <v>1014</v>
      </c>
      <c r="AB115" s="935">
        <v>9053</v>
      </c>
      <c r="AC115" s="935">
        <v>10067</v>
      </c>
      <c r="AD115" s="935">
        <v>1019</v>
      </c>
      <c r="AE115" s="935">
        <v>7091</v>
      </c>
      <c r="AF115" s="935">
        <v>8110</v>
      </c>
      <c r="AH115" s="935">
        <f t="shared" si="47"/>
        <v>11778</v>
      </c>
      <c r="AI115" s="935">
        <f t="shared" si="48"/>
        <v>32073</v>
      </c>
      <c r="AJ115" s="935">
        <f t="shared" si="49"/>
        <v>43851</v>
      </c>
      <c r="AK115" s="935">
        <f t="shared" si="50"/>
        <v>17837</v>
      </c>
      <c r="AL115" s="935">
        <f t="shared" si="51"/>
        <v>93755</v>
      </c>
      <c r="AM115" s="935">
        <f t="shared" si="52"/>
        <v>111592</v>
      </c>
      <c r="AN115" s="935">
        <f t="shared" si="53"/>
        <v>2033</v>
      </c>
      <c r="AO115" s="935">
        <f t="shared" si="54"/>
        <v>16144</v>
      </c>
      <c r="AP115" s="935">
        <f t="shared" si="55"/>
        <v>18177</v>
      </c>
      <c r="AR115" s="936">
        <f t="shared" si="56"/>
        <v>0.26859136621741808</v>
      </c>
      <c r="AS115" s="936">
        <f t="shared" si="57"/>
        <v>0.15984120725500037</v>
      </c>
      <c r="AT115" s="936">
        <f t="shared" si="58"/>
        <v>0.11184463882928976</v>
      </c>
      <c r="AV115" s="937">
        <v>43481</v>
      </c>
      <c r="AW115" s="937">
        <v>116671</v>
      </c>
      <c r="AX115" s="937">
        <v>19459</v>
      </c>
      <c r="AZ115" s="937">
        <f t="shared" si="59"/>
        <v>11678.621194499556</v>
      </c>
      <c r="BA115" s="937">
        <f t="shared" si="60"/>
        <v>18648.833491648147</v>
      </c>
      <c r="BB115" s="937">
        <f t="shared" si="61"/>
        <v>2176.3848269791492</v>
      </c>
      <c r="BC115" s="954">
        <f t="shared" si="46"/>
        <v>32503.839513126852</v>
      </c>
    </row>
    <row r="116" spans="1:55" s="934" customFormat="1" ht="12" customHeight="1" x14ac:dyDescent="0.2">
      <c r="A116" s="934" t="s">
        <v>160</v>
      </c>
      <c r="B116" s="938" t="s">
        <v>161</v>
      </c>
      <c r="C116" s="951">
        <v>7226</v>
      </c>
      <c r="D116" s="935">
        <v>12364</v>
      </c>
      <c r="E116" s="935">
        <v>19590</v>
      </c>
      <c r="F116" s="935">
        <v>5898</v>
      </c>
      <c r="G116" s="935">
        <v>10637</v>
      </c>
      <c r="H116" s="935">
        <v>16535</v>
      </c>
      <c r="I116" s="935">
        <v>4687</v>
      </c>
      <c r="J116" s="935">
        <v>10320</v>
      </c>
      <c r="K116" s="935">
        <v>15007</v>
      </c>
      <c r="L116" s="935">
        <v>8956</v>
      </c>
      <c r="M116" s="935">
        <v>22633</v>
      </c>
      <c r="N116" s="935">
        <v>31589</v>
      </c>
      <c r="O116" s="935">
        <v>7339</v>
      </c>
      <c r="P116" s="935">
        <v>30554</v>
      </c>
      <c r="Q116" s="935">
        <v>37893</v>
      </c>
      <c r="R116" s="935">
        <v>4172</v>
      </c>
      <c r="S116" s="935">
        <v>23184</v>
      </c>
      <c r="T116" s="935">
        <v>27356</v>
      </c>
      <c r="U116" s="935">
        <v>4981</v>
      </c>
      <c r="V116" s="935">
        <v>24197</v>
      </c>
      <c r="W116" s="935">
        <v>29178</v>
      </c>
      <c r="X116" s="935">
        <v>3225</v>
      </c>
      <c r="Y116" s="935">
        <v>18164</v>
      </c>
      <c r="Z116" s="935">
        <v>21389</v>
      </c>
      <c r="AA116" s="935">
        <v>1747</v>
      </c>
      <c r="AB116" s="935">
        <v>9446</v>
      </c>
      <c r="AC116" s="935">
        <v>11193</v>
      </c>
      <c r="AD116" s="935">
        <v>1811</v>
      </c>
      <c r="AE116" s="935">
        <v>9124</v>
      </c>
      <c r="AF116" s="935">
        <v>10935</v>
      </c>
      <c r="AH116" s="935">
        <f t="shared" si="47"/>
        <v>17811</v>
      </c>
      <c r="AI116" s="935">
        <f t="shared" si="48"/>
        <v>33321</v>
      </c>
      <c r="AJ116" s="935">
        <f t="shared" si="49"/>
        <v>51132</v>
      </c>
      <c r="AK116" s="935">
        <f t="shared" si="50"/>
        <v>28673</v>
      </c>
      <c r="AL116" s="935">
        <f t="shared" si="51"/>
        <v>118732</v>
      </c>
      <c r="AM116" s="935">
        <f t="shared" si="52"/>
        <v>147405</v>
      </c>
      <c r="AN116" s="935">
        <f t="shared" si="53"/>
        <v>3558</v>
      </c>
      <c r="AO116" s="935">
        <f t="shared" si="54"/>
        <v>18570</v>
      </c>
      <c r="AP116" s="935">
        <f t="shared" si="55"/>
        <v>22128</v>
      </c>
      <c r="AR116" s="936">
        <f t="shared" si="56"/>
        <v>0.34833372447782213</v>
      </c>
      <c r="AS116" s="936">
        <f t="shared" si="57"/>
        <v>0.19451850344289542</v>
      </c>
      <c r="AT116" s="936">
        <f t="shared" si="58"/>
        <v>0.16079175704989154</v>
      </c>
      <c r="AV116" s="937">
        <v>50672</v>
      </c>
      <c r="AW116" s="937">
        <v>169118</v>
      </c>
      <c r="AX116" s="937">
        <v>22838</v>
      </c>
      <c r="AZ116" s="937">
        <f t="shared" si="59"/>
        <v>17650.766486740202</v>
      </c>
      <c r="BA116" s="937">
        <f t="shared" si="60"/>
        <v>32896.580265255587</v>
      </c>
      <c r="BB116" s="937">
        <f t="shared" si="61"/>
        <v>3672.162147505423</v>
      </c>
      <c r="BC116" s="954">
        <f t="shared" si="46"/>
        <v>54219.508899501212</v>
      </c>
    </row>
    <row r="117" spans="1:55" s="934" customFormat="1" ht="12" customHeight="1" x14ac:dyDescent="0.2">
      <c r="A117" s="934" t="s">
        <v>166</v>
      </c>
      <c r="B117" s="938" t="s">
        <v>167</v>
      </c>
      <c r="C117" s="951">
        <v>102</v>
      </c>
      <c r="D117" s="935">
        <v>75</v>
      </c>
      <c r="E117" s="935">
        <v>177</v>
      </c>
      <c r="F117" s="935">
        <v>49</v>
      </c>
      <c r="G117" s="935">
        <v>268</v>
      </c>
      <c r="H117" s="935">
        <v>317</v>
      </c>
      <c r="I117" s="935">
        <v>117</v>
      </c>
      <c r="J117" s="935">
        <v>335</v>
      </c>
      <c r="K117" s="935">
        <v>452</v>
      </c>
      <c r="L117" s="935">
        <v>181</v>
      </c>
      <c r="M117" s="935">
        <v>187</v>
      </c>
      <c r="N117" s="935">
        <v>368</v>
      </c>
      <c r="O117" s="935">
        <v>79</v>
      </c>
      <c r="P117" s="935">
        <v>334</v>
      </c>
      <c r="Q117" s="935">
        <v>413</v>
      </c>
      <c r="R117" s="935">
        <v>127</v>
      </c>
      <c r="S117" s="935">
        <v>422</v>
      </c>
      <c r="T117" s="935">
        <v>549</v>
      </c>
      <c r="U117" s="935">
        <v>135</v>
      </c>
      <c r="V117" s="935">
        <v>475</v>
      </c>
      <c r="W117" s="935">
        <v>610</v>
      </c>
      <c r="X117" s="935">
        <v>40</v>
      </c>
      <c r="Y117" s="935">
        <v>488</v>
      </c>
      <c r="Z117" s="935">
        <v>528</v>
      </c>
      <c r="AA117" s="935">
        <v>77</v>
      </c>
      <c r="AB117" s="935">
        <v>191</v>
      </c>
      <c r="AC117" s="935">
        <v>268</v>
      </c>
      <c r="AD117" s="935">
        <v>35</v>
      </c>
      <c r="AE117" s="935">
        <v>174</v>
      </c>
      <c r="AF117" s="935">
        <v>209</v>
      </c>
      <c r="AH117" s="935">
        <f t="shared" si="47"/>
        <v>268</v>
      </c>
      <c r="AI117" s="935">
        <f t="shared" si="48"/>
        <v>678</v>
      </c>
      <c r="AJ117" s="935">
        <f t="shared" si="49"/>
        <v>946</v>
      </c>
      <c r="AK117" s="935">
        <f t="shared" si="50"/>
        <v>562</v>
      </c>
      <c r="AL117" s="935">
        <f t="shared" si="51"/>
        <v>1906</v>
      </c>
      <c r="AM117" s="935">
        <f t="shared" si="52"/>
        <v>2468</v>
      </c>
      <c r="AN117" s="935">
        <f t="shared" si="53"/>
        <v>112</v>
      </c>
      <c r="AO117" s="935">
        <f t="shared" si="54"/>
        <v>365</v>
      </c>
      <c r="AP117" s="935">
        <f t="shared" si="55"/>
        <v>477</v>
      </c>
      <c r="AR117" s="936">
        <f t="shared" si="56"/>
        <v>0.28329809725158561</v>
      </c>
      <c r="AS117" s="936">
        <f t="shared" si="57"/>
        <v>0.22771474878444084</v>
      </c>
      <c r="AT117" s="936">
        <f t="shared" si="58"/>
        <v>0.23480083857442349</v>
      </c>
      <c r="AV117" s="937">
        <v>891</v>
      </c>
      <c r="AW117" s="937">
        <v>2588</v>
      </c>
      <c r="AX117" s="937">
        <v>575</v>
      </c>
      <c r="AZ117" s="937">
        <f t="shared" si="59"/>
        <v>252.41860465116278</v>
      </c>
      <c r="BA117" s="937">
        <f t="shared" si="60"/>
        <v>589.32576985413289</v>
      </c>
      <c r="BB117" s="937">
        <f t="shared" si="61"/>
        <v>135.01048218029351</v>
      </c>
      <c r="BC117" s="954">
        <f t="shared" si="46"/>
        <v>976.75485668558917</v>
      </c>
    </row>
    <row r="118" spans="1:55" s="934" customFormat="1" ht="12" customHeight="1" x14ac:dyDescent="0.2">
      <c r="A118" s="934" t="s">
        <v>176</v>
      </c>
      <c r="B118" s="938" t="s">
        <v>177</v>
      </c>
      <c r="C118" s="951">
        <v>1152</v>
      </c>
      <c r="D118" s="935">
        <v>1316</v>
      </c>
      <c r="E118" s="935">
        <v>2468</v>
      </c>
      <c r="F118" s="935">
        <v>1062</v>
      </c>
      <c r="G118" s="935">
        <v>670</v>
      </c>
      <c r="H118" s="935">
        <v>1732</v>
      </c>
      <c r="I118" s="935">
        <v>965</v>
      </c>
      <c r="J118" s="935">
        <v>1542</v>
      </c>
      <c r="K118" s="935">
        <v>2507</v>
      </c>
      <c r="L118" s="935">
        <v>989</v>
      </c>
      <c r="M118" s="935">
        <v>2756</v>
      </c>
      <c r="N118" s="935">
        <v>3745</v>
      </c>
      <c r="O118" s="935">
        <v>1201</v>
      </c>
      <c r="P118" s="935">
        <v>2775</v>
      </c>
      <c r="Q118" s="935">
        <v>3976</v>
      </c>
      <c r="R118" s="935">
        <v>842</v>
      </c>
      <c r="S118" s="935">
        <v>2919</v>
      </c>
      <c r="T118" s="935">
        <v>3761</v>
      </c>
      <c r="U118" s="935">
        <v>1286</v>
      </c>
      <c r="V118" s="935">
        <v>3598</v>
      </c>
      <c r="W118" s="935">
        <v>4884</v>
      </c>
      <c r="X118" s="935">
        <v>588</v>
      </c>
      <c r="Y118" s="935">
        <v>3455</v>
      </c>
      <c r="Z118" s="935">
        <v>4043</v>
      </c>
      <c r="AA118" s="935">
        <v>447</v>
      </c>
      <c r="AB118" s="935">
        <v>2046</v>
      </c>
      <c r="AC118" s="935">
        <v>2493</v>
      </c>
      <c r="AD118" s="935">
        <v>476</v>
      </c>
      <c r="AE118" s="935">
        <v>1497</v>
      </c>
      <c r="AF118" s="935">
        <v>1973</v>
      </c>
      <c r="AH118" s="935">
        <f t="shared" si="47"/>
        <v>3179</v>
      </c>
      <c r="AI118" s="935">
        <f t="shared" si="48"/>
        <v>3528</v>
      </c>
      <c r="AJ118" s="935">
        <f t="shared" si="49"/>
        <v>6707</v>
      </c>
      <c r="AK118" s="935">
        <f t="shared" si="50"/>
        <v>4906</v>
      </c>
      <c r="AL118" s="935">
        <f t="shared" si="51"/>
        <v>15503</v>
      </c>
      <c r="AM118" s="935">
        <f t="shared" si="52"/>
        <v>20409</v>
      </c>
      <c r="AN118" s="935">
        <f t="shared" si="53"/>
        <v>923</v>
      </c>
      <c r="AO118" s="935">
        <f t="shared" si="54"/>
        <v>3543</v>
      </c>
      <c r="AP118" s="935">
        <f t="shared" si="55"/>
        <v>4466</v>
      </c>
      <c r="AR118" s="936">
        <f t="shared" si="56"/>
        <v>0.47398240644103173</v>
      </c>
      <c r="AS118" s="936">
        <f t="shared" si="57"/>
        <v>0.24038414425008575</v>
      </c>
      <c r="AT118" s="936">
        <f t="shared" si="58"/>
        <v>0.20667263770712047</v>
      </c>
      <c r="AV118" s="937">
        <v>6938</v>
      </c>
      <c r="AW118" s="937">
        <v>20387</v>
      </c>
      <c r="AX118" s="937">
        <v>5001</v>
      </c>
      <c r="AZ118" s="937">
        <f t="shared" si="59"/>
        <v>3288.4899358878783</v>
      </c>
      <c r="BA118" s="937">
        <f t="shared" si="60"/>
        <v>4900.7115488264981</v>
      </c>
      <c r="BB118" s="937">
        <f t="shared" si="61"/>
        <v>1033.5698611733094</v>
      </c>
      <c r="BC118" s="954">
        <f t="shared" si="46"/>
        <v>9222.771345887686</v>
      </c>
    </row>
    <row r="119" spans="1:55" s="934" customFormat="1" ht="12" customHeight="1" x14ac:dyDescent="0.2">
      <c r="A119" s="934" t="s">
        <v>180</v>
      </c>
      <c r="B119" s="938" t="s">
        <v>181</v>
      </c>
      <c r="C119" s="951">
        <v>3133</v>
      </c>
      <c r="D119" s="935">
        <v>5078</v>
      </c>
      <c r="E119" s="935">
        <v>8211</v>
      </c>
      <c r="F119" s="935">
        <v>2271</v>
      </c>
      <c r="G119" s="935">
        <v>4879</v>
      </c>
      <c r="H119" s="935">
        <v>7150</v>
      </c>
      <c r="I119" s="935">
        <v>1911</v>
      </c>
      <c r="J119" s="935">
        <v>5299</v>
      </c>
      <c r="K119" s="935">
        <v>7210</v>
      </c>
      <c r="L119" s="935">
        <v>2366</v>
      </c>
      <c r="M119" s="935">
        <v>5868</v>
      </c>
      <c r="N119" s="935">
        <v>8234</v>
      </c>
      <c r="O119" s="935">
        <v>2738</v>
      </c>
      <c r="P119" s="935">
        <v>10410</v>
      </c>
      <c r="Q119" s="935">
        <v>13148</v>
      </c>
      <c r="R119" s="935">
        <v>1461</v>
      </c>
      <c r="S119" s="935">
        <v>9460</v>
      </c>
      <c r="T119" s="935">
        <v>10921</v>
      </c>
      <c r="U119" s="935">
        <v>1867</v>
      </c>
      <c r="V119" s="935">
        <v>11354</v>
      </c>
      <c r="W119" s="935">
        <v>13221</v>
      </c>
      <c r="X119" s="935">
        <v>1433</v>
      </c>
      <c r="Y119" s="935">
        <v>9125</v>
      </c>
      <c r="Z119" s="935">
        <v>10558</v>
      </c>
      <c r="AA119" s="935">
        <v>757</v>
      </c>
      <c r="AB119" s="935">
        <v>5501</v>
      </c>
      <c r="AC119" s="935">
        <v>6258</v>
      </c>
      <c r="AD119" s="935">
        <v>1102</v>
      </c>
      <c r="AE119" s="935">
        <v>4910</v>
      </c>
      <c r="AF119" s="935">
        <v>6012</v>
      </c>
      <c r="AH119" s="935">
        <f t="shared" si="47"/>
        <v>7315</v>
      </c>
      <c r="AI119" s="935">
        <f t="shared" si="48"/>
        <v>15256</v>
      </c>
      <c r="AJ119" s="935">
        <f t="shared" si="49"/>
        <v>22571</v>
      </c>
      <c r="AK119" s="935">
        <f t="shared" si="50"/>
        <v>9865</v>
      </c>
      <c r="AL119" s="935">
        <f t="shared" si="51"/>
        <v>46217</v>
      </c>
      <c r="AM119" s="935">
        <f t="shared" si="52"/>
        <v>56082</v>
      </c>
      <c r="AN119" s="935">
        <f t="shared" si="53"/>
        <v>1859</v>
      </c>
      <c r="AO119" s="935">
        <f t="shared" si="54"/>
        <v>10411</v>
      </c>
      <c r="AP119" s="935">
        <f t="shared" si="55"/>
        <v>12270</v>
      </c>
      <c r="AR119" s="936">
        <f t="shared" si="56"/>
        <v>0.32408843205883658</v>
      </c>
      <c r="AS119" s="936">
        <f t="shared" si="57"/>
        <v>0.17590314182803751</v>
      </c>
      <c r="AT119" s="936">
        <f t="shared" si="58"/>
        <v>0.1515077424612877</v>
      </c>
      <c r="AV119" s="937">
        <v>22755</v>
      </c>
      <c r="AW119" s="937">
        <v>60387</v>
      </c>
      <c r="AX119" s="937">
        <v>12542</v>
      </c>
      <c r="AZ119" s="937">
        <f t="shared" si="59"/>
        <v>7374.6322714988264</v>
      </c>
      <c r="BA119" s="937">
        <f t="shared" si="60"/>
        <v>10622.2630255697</v>
      </c>
      <c r="BB119" s="937">
        <f t="shared" si="61"/>
        <v>1900.2101059494703</v>
      </c>
      <c r="BC119" s="954">
        <f t="shared" si="46"/>
        <v>19897.105403017998</v>
      </c>
    </row>
    <row r="120" spans="1:55" s="934" customFormat="1" ht="12" customHeight="1" x14ac:dyDescent="0.2">
      <c r="A120" s="934" t="s">
        <v>192</v>
      </c>
      <c r="B120" s="938" t="s">
        <v>193</v>
      </c>
      <c r="C120" s="951">
        <v>112</v>
      </c>
      <c r="D120" s="935">
        <v>500</v>
      </c>
      <c r="E120" s="935">
        <v>612</v>
      </c>
      <c r="F120" s="935">
        <v>159</v>
      </c>
      <c r="G120" s="935">
        <v>545</v>
      </c>
      <c r="H120" s="935">
        <v>704</v>
      </c>
      <c r="I120" s="935">
        <v>178</v>
      </c>
      <c r="J120" s="935">
        <v>534</v>
      </c>
      <c r="K120" s="935">
        <v>712</v>
      </c>
      <c r="L120" s="935">
        <v>3762</v>
      </c>
      <c r="M120" s="935">
        <v>827</v>
      </c>
      <c r="N120" s="935">
        <v>4589</v>
      </c>
      <c r="O120" s="935">
        <v>354</v>
      </c>
      <c r="P120" s="935">
        <v>1045</v>
      </c>
      <c r="Q120" s="935">
        <v>1399</v>
      </c>
      <c r="R120" s="935">
        <v>133</v>
      </c>
      <c r="S120" s="935">
        <v>1087</v>
      </c>
      <c r="T120" s="935">
        <v>1220</v>
      </c>
      <c r="U120" s="935">
        <v>298</v>
      </c>
      <c r="V120" s="935">
        <v>1150</v>
      </c>
      <c r="W120" s="935">
        <v>1448</v>
      </c>
      <c r="X120" s="935">
        <v>53</v>
      </c>
      <c r="Y120" s="935">
        <v>888</v>
      </c>
      <c r="Z120" s="935">
        <v>941</v>
      </c>
      <c r="AA120" s="935">
        <v>123</v>
      </c>
      <c r="AB120" s="935">
        <v>648</v>
      </c>
      <c r="AC120" s="935">
        <v>771</v>
      </c>
      <c r="AD120" s="935">
        <v>151</v>
      </c>
      <c r="AE120" s="935">
        <v>505</v>
      </c>
      <c r="AF120" s="935">
        <v>656</v>
      </c>
      <c r="AH120" s="935">
        <f t="shared" si="47"/>
        <v>449</v>
      </c>
      <c r="AI120" s="935">
        <f t="shared" si="48"/>
        <v>1579</v>
      </c>
      <c r="AJ120" s="935">
        <f t="shared" si="49"/>
        <v>2028</v>
      </c>
      <c r="AK120" s="935">
        <f t="shared" si="50"/>
        <v>4600</v>
      </c>
      <c r="AL120" s="935">
        <f t="shared" si="51"/>
        <v>4997</v>
      </c>
      <c r="AM120" s="935">
        <f t="shared" si="52"/>
        <v>9597</v>
      </c>
      <c r="AN120" s="935">
        <f t="shared" si="53"/>
        <v>274</v>
      </c>
      <c r="AO120" s="935">
        <f t="shared" si="54"/>
        <v>1153</v>
      </c>
      <c r="AP120" s="935">
        <f t="shared" si="55"/>
        <v>1427</v>
      </c>
      <c r="AR120" s="936">
        <f t="shared" si="56"/>
        <v>0.22140039447731755</v>
      </c>
      <c r="AS120" s="936">
        <f t="shared" si="57"/>
        <v>0.47931645305824738</v>
      </c>
      <c r="AT120" s="936">
        <f t="shared" si="58"/>
        <v>0.19201121233356691</v>
      </c>
      <c r="AV120" s="937">
        <v>2050</v>
      </c>
      <c r="AW120" s="937">
        <v>12937</v>
      </c>
      <c r="AX120" s="937">
        <v>1427</v>
      </c>
      <c r="AZ120" s="937">
        <f t="shared" si="59"/>
        <v>453.87080867850096</v>
      </c>
      <c r="BA120" s="937">
        <f t="shared" si="60"/>
        <v>6200.9169532145461</v>
      </c>
      <c r="BB120" s="937">
        <f t="shared" si="61"/>
        <v>274</v>
      </c>
      <c r="BC120" s="954">
        <f t="shared" si="46"/>
        <v>6928.787761893047</v>
      </c>
    </row>
    <row r="121" spans="1:55" s="934" customFormat="1" ht="12" customHeight="1" x14ac:dyDescent="0.2">
      <c r="A121" s="934" t="s">
        <v>196</v>
      </c>
      <c r="B121" s="938" t="s">
        <v>197</v>
      </c>
      <c r="C121" s="951">
        <v>6893</v>
      </c>
      <c r="D121" s="935">
        <v>8237</v>
      </c>
      <c r="E121" s="935">
        <v>15130</v>
      </c>
      <c r="F121" s="935">
        <v>6052</v>
      </c>
      <c r="G121" s="935">
        <v>6112</v>
      </c>
      <c r="H121" s="935">
        <v>12164</v>
      </c>
      <c r="I121" s="935">
        <v>4866</v>
      </c>
      <c r="J121" s="935">
        <v>6164</v>
      </c>
      <c r="K121" s="935">
        <v>11030</v>
      </c>
      <c r="L121" s="935">
        <v>15048</v>
      </c>
      <c r="M121" s="935">
        <v>13192</v>
      </c>
      <c r="N121" s="935">
        <v>28240</v>
      </c>
      <c r="O121" s="935">
        <v>8672</v>
      </c>
      <c r="P121" s="935">
        <v>25296</v>
      </c>
      <c r="Q121" s="935">
        <v>33968</v>
      </c>
      <c r="R121" s="935">
        <v>4789</v>
      </c>
      <c r="S121" s="935">
        <v>19247</v>
      </c>
      <c r="T121" s="935">
        <v>24036</v>
      </c>
      <c r="U121" s="935">
        <v>5552</v>
      </c>
      <c r="V121" s="935">
        <v>20057</v>
      </c>
      <c r="W121" s="935">
        <v>25609</v>
      </c>
      <c r="X121" s="935">
        <v>4607</v>
      </c>
      <c r="Y121" s="935">
        <v>16784</v>
      </c>
      <c r="Z121" s="935">
        <v>21391</v>
      </c>
      <c r="AA121" s="935">
        <v>2531</v>
      </c>
      <c r="AB121" s="935">
        <v>8702</v>
      </c>
      <c r="AC121" s="935">
        <v>11233</v>
      </c>
      <c r="AD121" s="935">
        <v>2177</v>
      </c>
      <c r="AE121" s="935">
        <v>8420</v>
      </c>
      <c r="AF121" s="935">
        <v>10597</v>
      </c>
      <c r="AH121" s="935">
        <f t="shared" si="47"/>
        <v>17811</v>
      </c>
      <c r="AI121" s="935">
        <f t="shared" si="48"/>
        <v>20513</v>
      </c>
      <c r="AJ121" s="935">
        <f t="shared" si="49"/>
        <v>38324</v>
      </c>
      <c r="AK121" s="935">
        <f t="shared" si="50"/>
        <v>38668</v>
      </c>
      <c r="AL121" s="935">
        <f t="shared" si="51"/>
        <v>94576</v>
      </c>
      <c r="AM121" s="935">
        <f t="shared" si="52"/>
        <v>133244</v>
      </c>
      <c r="AN121" s="935">
        <f t="shared" si="53"/>
        <v>4708</v>
      </c>
      <c r="AO121" s="935">
        <f t="shared" si="54"/>
        <v>17122</v>
      </c>
      <c r="AP121" s="935">
        <f t="shared" si="55"/>
        <v>21830</v>
      </c>
      <c r="AR121" s="936">
        <f t="shared" si="56"/>
        <v>0.46474793862853564</v>
      </c>
      <c r="AS121" s="936">
        <f t="shared" si="57"/>
        <v>0.29020443697277176</v>
      </c>
      <c r="AT121" s="936">
        <f t="shared" si="58"/>
        <v>0.21566651397159872</v>
      </c>
      <c r="AV121" s="937">
        <v>39396</v>
      </c>
      <c r="AW121" s="937">
        <v>143661</v>
      </c>
      <c r="AX121" s="937">
        <v>22476</v>
      </c>
      <c r="AZ121" s="937">
        <f t="shared" si="59"/>
        <v>18309.209790209788</v>
      </c>
      <c r="BA121" s="937">
        <f t="shared" si="60"/>
        <v>41691.059619945365</v>
      </c>
      <c r="BB121" s="937">
        <f t="shared" si="61"/>
        <v>4847.3205680256533</v>
      </c>
      <c r="BC121" s="954">
        <f t="shared" si="46"/>
        <v>64847.589978180804</v>
      </c>
    </row>
    <row r="122" spans="1:55" s="934" customFormat="1" ht="12" customHeight="1" x14ac:dyDescent="0.2">
      <c r="A122" s="934" t="s">
        <v>200</v>
      </c>
      <c r="B122" s="938" t="s">
        <v>201</v>
      </c>
      <c r="C122" s="951">
        <v>3167</v>
      </c>
      <c r="D122" s="935">
        <v>4574</v>
      </c>
      <c r="E122" s="935">
        <v>7741</v>
      </c>
      <c r="F122" s="935">
        <v>2806</v>
      </c>
      <c r="G122" s="935">
        <v>3698</v>
      </c>
      <c r="H122" s="935">
        <v>6504</v>
      </c>
      <c r="I122" s="935">
        <v>2386</v>
      </c>
      <c r="J122" s="935">
        <v>3845</v>
      </c>
      <c r="K122" s="935">
        <v>6231</v>
      </c>
      <c r="L122" s="935">
        <v>3011</v>
      </c>
      <c r="M122" s="935">
        <v>5271</v>
      </c>
      <c r="N122" s="935">
        <v>8282</v>
      </c>
      <c r="O122" s="935">
        <v>3420</v>
      </c>
      <c r="P122" s="935">
        <v>10524</v>
      </c>
      <c r="Q122" s="935">
        <v>13944</v>
      </c>
      <c r="R122" s="935">
        <v>2650</v>
      </c>
      <c r="S122" s="935">
        <v>10011</v>
      </c>
      <c r="T122" s="935">
        <v>12661</v>
      </c>
      <c r="U122" s="935">
        <v>2980</v>
      </c>
      <c r="V122" s="935">
        <v>10777</v>
      </c>
      <c r="W122" s="935">
        <v>13757</v>
      </c>
      <c r="X122" s="935">
        <v>2014</v>
      </c>
      <c r="Y122" s="935">
        <v>10035</v>
      </c>
      <c r="Z122" s="935">
        <v>12049</v>
      </c>
      <c r="AA122" s="935">
        <v>1202</v>
      </c>
      <c r="AB122" s="935">
        <v>5294</v>
      </c>
      <c r="AC122" s="935">
        <v>6496</v>
      </c>
      <c r="AD122" s="935">
        <v>1236</v>
      </c>
      <c r="AE122" s="935">
        <v>5378</v>
      </c>
      <c r="AF122" s="935">
        <v>6614</v>
      </c>
      <c r="AH122" s="935">
        <f t="shared" si="47"/>
        <v>8359</v>
      </c>
      <c r="AI122" s="935">
        <f t="shared" si="48"/>
        <v>12117</v>
      </c>
      <c r="AJ122" s="935">
        <f t="shared" si="49"/>
        <v>20476</v>
      </c>
      <c r="AK122" s="935">
        <f t="shared" si="50"/>
        <v>14075</v>
      </c>
      <c r="AL122" s="935">
        <f t="shared" si="51"/>
        <v>46618</v>
      </c>
      <c r="AM122" s="935">
        <f t="shared" si="52"/>
        <v>60693</v>
      </c>
      <c r="AN122" s="935">
        <f t="shared" si="53"/>
        <v>2438</v>
      </c>
      <c r="AO122" s="935">
        <f t="shared" si="54"/>
        <v>10672</v>
      </c>
      <c r="AP122" s="935">
        <f t="shared" si="55"/>
        <v>13110</v>
      </c>
      <c r="AR122" s="936">
        <f t="shared" si="56"/>
        <v>0.40823403008400078</v>
      </c>
      <c r="AS122" s="936">
        <f t="shared" si="57"/>
        <v>0.23190483251775329</v>
      </c>
      <c r="AT122" s="936">
        <f t="shared" si="58"/>
        <v>0.18596491228070175</v>
      </c>
      <c r="AV122" s="937">
        <v>21053</v>
      </c>
      <c r="AW122" s="937">
        <v>61790</v>
      </c>
      <c r="AX122" s="937">
        <v>13871</v>
      </c>
      <c r="AZ122" s="937">
        <f t="shared" si="59"/>
        <v>8594.5510353584687</v>
      </c>
      <c r="BA122" s="937">
        <f t="shared" si="60"/>
        <v>14329.399601271976</v>
      </c>
      <c r="BB122" s="937">
        <f t="shared" si="61"/>
        <v>2579.5192982456138</v>
      </c>
      <c r="BC122" s="954">
        <f t="shared" si="46"/>
        <v>25503.469934876059</v>
      </c>
    </row>
    <row r="123" spans="1:55" s="934" customFormat="1" ht="12" customHeight="1" x14ac:dyDescent="0.2">
      <c r="A123" s="934" t="s">
        <v>222</v>
      </c>
      <c r="B123" s="938" t="s">
        <v>223</v>
      </c>
      <c r="C123" s="951">
        <v>1792</v>
      </c>
      <c r="D123" s="935">
        <v>5748</v>
      </c>
      <c r="E123" s="935">
        <v>7540</v>
      </c>
      <c r="F123" s="935">
        <v>1628</v>
      </c>
      <c r="G123" s="935">
        <v>5507</v>
      </c>
      <c r="H123" s="935">
        <v>7135</v>
      </c>
      <c r="I123" s="935">
        <v>1378</v>
      </c>
      <c r="J123" s="935">
        <v>5698</v>
      </c>
      <c r="K123" s="935">
        <v>7076</v>
      </c>
      <c r="L123" s="935">
        <v>1362</v>
      </c>
      <c r="M123" s="935">
        <v>5179</v>
      </c>
      <c r="N123" s="935">
        <v>6541</v>
      </c>
      <c r="O123" s="935">
        <v>1570</v>
      </c>
      <c r="P123" s="935">
        <v>7943</v>
      </c>
      <c r="Q123" s="935">
        <v>9513</v>
      </c>
      <c r="R123" s="935">
        <v>1290</v>
      </c>
      <c r="S123" s="935">
        <v>11473</v>
      </c>
      <c r="T123" s="935">
        <v>12763</v>
      </c>
      <c r="U123" s="935">
        <v>1158</v>
      </c>
      <c r="V123" s="935">
        <v>12154</v>
      </c>
      <c r="W123" s="935">
        <v>13312</v>
      </c>
      <c r="X123" s="935">
        <v>797</v>
      </c>
      <c r="Y123" s="935">
        <v>8499</v>
      </c>
      <c r="Z123" s="935">
        <v>9296</v>
      </c>
      <c r="AA123" s="935">
        <v>511</v>
      </c>
      <c r="AB123" s="935">
        <v>4866</v>
      </c>
      <c r="AC123" s="935">
        <v>5377</v>
      </c>
      <c r="AD123" s="935">
        <v>676</v>
      </c>
      <c r="AE123" s="935">
        <v>3132</v>
      </c>
      <c r="AF123" s="935">
        <v>3808</v>
      </c>
      <c r="AH123" s="935">
        <f t="shared" si="47"/>
        <v>4798</v>
      </c>
      <c r="AI123" s="935">
        <f t="shared" si="48"/>
        <v>16953</v>
      </c>
      <c r="AJ123" s="935">
        <f t="shared" si="49"/>
        <v>21751</v>
      </c>
      <c r="AK123" s="935">
        <f t="shared" si="50"/>
        <v>6177</v>
      </c>
      <c r="AL123" s="935">
        <f t="shared" si="51"/>
        <v>45248</v>
      </c>
      <c r="AM123" s="935">
        <f t="shared" si="52"/>
        <v>51425</v>
      </c>
      <c r="AN123" s="935">
        <f t="shared" si="53"/>
        <v>1187</v>
      </c>
      <c r="AO123" s="935">
        <f t="shared" si="54"/>
        <v>7998</v>
      </c>
      <c r="AP123" s="935">
        <f t="shared" si="55"/>
        <v>9185</v>
      </c>
      <c r="AR123" s="936">
        <f t="shared" si="56"/>
        <v>0.2205875591926808</v>
      </c>
      <c r="AS123" s="936">
        <f t="shared" si="57"/>
        <v>0.12011667476908118</v>
      </c>
      <c r="AT123" s="936">
        <f t="shared" si="58"/>
        <v>0.12923244420250407</v>
      </c>
      <c r="AV123" s="937">
        <v>21786</v>
      </c>
      <c r="AW123" s="937">
        <v>53101</v>
      </c>
      <c r="AX123" s="937">
        <v>10043</v>
      </c>
      <c r="AZ123" s="937">
        <f t="shared" si="59"/>
        <v>4805.720564571744</v>
      </c>
      <c r="BA123" s="937">
        <f t="shared" si="60"/>
        <v>6378.3155469129797</v>
      </c>
      <c r="BB123" s="937">
        <f t="shared" si="61"/>
        <v>1297.8814371257483</v>
      </c>
      <c r="BC123" s="954">
        <f t="shared" si="46"/>
        <v>12481.917548610472</v>
      </c>
    </row>
    <row r="124" spans="1:55" s="934" customFormat="1" ht="12" customHeight="1" x14ac:dyDescent="0.2">
      <c r="A124" s="934" t="s">
        <v>230</v>
      </c>
      <c r="B124" s="938" t="s">
        <v>231</v>
      </c>
      <c r="C124" s="951">
        <v>5661</v>
      </c>
      <c r="D124" s="935">
        <v>27970</v>
      </c>
      <c r="E124" s="935">
        <v>33631</v>
      </c>
      <c r="F124" s="935">
        <v>4858</v>
      </c>
      <c r="G124" s="935">
        <v>29701</v>
      </c>
      <c r="H124" s="935">
        <v>34559</v>
      </c>
      <c r="I124" s="935">
        <v>4188</v>
      </c>
      <c r="J124" s="935">
        <v>32452</v>
      </c>
      <c r="K124" s="935">
        <v>36640</v>
      </c>
      <c r="L124" s="935">
        <v>5825</v>
      </c>
      <c r="M124" s="935">
        <v>36166</v>
      </c>
      <c r="N124" s="935">
        <v>41991</v>
      </c>
      <c r="O124" s="935">
        <v>5896</v>
      </c>
      <c r="P124" s="935">
        <v>58846</v>
      </c>
      <c r="Q124" s="935">
        <v>64742</v>
      </c>
      <c r="R124" s="935">
        <v>4241</v>
      </c>
      <c r="S124" s="935">
        <v>55844</v>
      </c>
      <c r="T124" s="935">
        <v>60085</v>
      </c>
      <c r="U124" s="935">
        <v>4287</v>
      </c>
      <c r="V124" s="935">
        <v>59707</v>
      </c>
      <c r="W124" s="935">
        <v>63994</v>
      </c>
      <c r="X124" s="935">
        <v>2815</v>
      </c>
      <c r="Y124" s="935">
        <v>43187</v>
      </c>
      <c r="Z124" s="935">
        <v>46002</v>
      </c>
      <c r="AA124" s="935">
        <v>1824</v>
      </c>
      <c r="AB124" s="935">
        <v>23101</v>
      </c>
      <c r="AC124" s="935">
        <v>24925</v>
      </c>
      <c r="AD124" s="935">
        <v>1774</v>
      </c>
      <c r="AE124" s="935">
        <v>17775</v>
      </c>
      <c r="AF124" s="935">
        <v>19549</v>
      </c>
      <c r="AH124" s="935">
        <f t="shared" si="47"/>
        <v>14707</v>
      </c>
      <c r="AI124" s="935">
        <f t="shared" si="48"/>
        <v>90123</v>
      </c>
      <c r="AJ124" s="935">
        <f t="shared" si="49"/>
        <v>104830</v>
      </c>
      <c r="AK124" s="935">
        <f t="shared" si="50"/>
        <v>23064</v>
      </c>
      <c r="AL124" s="935">
        <f t="shared" si="51"/>
        <v>253750</v>
      </c>
      <c r="AM124" s="935">
        <f t="shared" si="52"/>
        <v>276814</v>
      </c>
      <c r="AN124" s="935">
        <f t="shared" si="53"/>
        <v>3598</v>
      </c>
      <c r="AO124" s="935">
        <f t="shared" si="54"/>
        <v>40876</v>
      </c>
      <c r="AP124" s="935">
        <f t="shared" si="55"/>
        <v>44474</v>
      </c>
      <c r="AR124" s="936">
        <f t="shared" si="56"/>
        <v>0.14029380902413432</v>
      </c>
      <c r="AS124" s="936">
        <f t="shared" si="57"/>
        <v>8.3319485286148826E-2</v>
      </c>
      <c r="AT124" s="936">
        <f t="shared" si="58"/>
        <v>8.0901200701533477E-2</v>
      </c>
      <c r="AV124" s="937">
        <v>104515</v>
      </c>
      <c r="AW124" s="937">
        <v>290072</v>
      </c>
      <c r="AX124" s="937">
        <v>48120</v>
      </c>
      <c r="AZ124" s="937">
        <f t="shared" si="59"/>
        <v>14662.807450157399</v>
      </c>
      <c r="BA124" s="937">
        <f t="shared" si="60"/>
        <v>24168.649735923762</v>
      </c>
      <c r="BB124" s="937">
        <f t="shared" si="61"/>
        <v>3892.9657777577909</v>
      </c>
      <c r="BC124" s="954">
        <f t="shared" si="46"/>
        <v>42724.422963838952</v>
      </c>
    </row>
    <row r="125" spans="1:55" s="934" customFormat="1" ht="12" customHeight="1" x14ac:dyDescent="0.2">
      <c r="A125" s="934" t="s">
        <v>238</v>
      </c>
      <c r="B125" s="938" t="s">
        <v>239</v>
      </c>
      <c r="C125" s="951">
        <v>109</v>
      </c>
      <c r="D125" s="935">
        <v>410</v>
      </c>
      <c r="E125" s="935">
        <v>519</v>
      </c>
      <c r="F125" s="935">
        <v>90</v>
      </c>
      <c r="G125" s="935">
        <v>368</v>
      </c>
      <c r="H125" s="935">
        <v>458</v>
      </c>
      <c r="I125" s="935">
        <v>43</v>
      </c>
      <c r="J125" s="935">
        <v>322</v>
      </c>
      <c r="K125" s="935">
        <v>365</v>
      </c>
      <c r="L125" s="935">
        <v>780</v>
      </c>
      <c r="M125" s="935">
        <v>723</v>
      </c>
      <c r="N125" s="935">
        <v>1503</v>
      </c>
      <c r="O125" s="935">
        <v>224</v>
      </c>
      <c r="P125" s="935">
        <v>954</v>
      </c>
      <c r="Q125" s="935">
        <v>1178</v>
      </c>
      <c r="R125" s="935">
        <v>90</v>
      </c>
      <c r="S125" s="935">
        <v>705</v>
      </c>
      <c r="T125" s="935">
        <v>795</v>
      </c>
      <c r="U125" s="935">
        <v>110</v>
      </c>
      <c r="V125" s="935">
        <v>824</v>
      </c>
      <c r="W125" s="935">
        <v>934</v>
      </c>
      <c r="X125" s="935">
        <v>64</v>
      </c>
      <c r="Y125" s="935">
        <v>1103</v>
      </c>
      <c r="Z125" s="935">
        <v>1167</v>
      </c>
      <c r="AA125" s="935">
        <v>104</v>
      </c>
      <c r="AB125" s="935">
        <v>964</v>
      </c>
      <c r="AC125" s="935">
        <v>1068</v>
      </c>
      <c r="AD125" s="935">
        <v>31</v>
      </c>
      <c r="AE125" s="935">
        <v>627</v>
      </c>
      <c r="AF125" s="935">
        <v>658</v>
      </c>
      <c r="AH125" s="935">
        <f t="shared" si="47"/>
        <v>242</v>
      </c>
      <c r="AI125" s="935">
        <f t="shared" si="48"/>
        <v>1100</v>
      </c>
      <c r="AJ125" s="935">
        <f t="shared" si="49"/>
        <v>1342</v>
      </c>
      <c r="AK125" s="935">
        <f t="shared" si="50"/>
        <v>1268</v>
      </c>
      <c r="AL125" s="935">
        <f t="shared" si="51"/>
        <v>4309</v>
      </c>
      <c r="AM125" s="935">
        <f t="shared" si="52"/>
        <v>5577</v>
      </c>
      <c r="AN125" s="935">
        <f t="shared" si="53"/>
        <v>135</v>
      </c>
      <c r="AO125" s="935">
        <f t="shared" si="54"/>
        <v>1591</v>
      </c>
      <c r="AP125" s="935">
        <f t="shared" si="55"/>
        <v>1726</v>
      </c>
      <c r="AR125" s="936">
        <f t="shared" si="56"/>
        <v>0.18032786885245902</v>
      </c>
      <c r="AS125" s="936">
        <f t="shared" si="57"/>
        <v>0.22736238120853505</v>
      </c>
      <c r="AT125" s="936">
        <f t="shared" si="58"/>
        <v>7.8215527230590956E-2</v>
      </c>
      <c r="AV125" s="937">
        <v>1518</v>
      </c>
      <c r="AW125" s="937">
        <v>11055</v>
      </c>
      <c r="AX125" s="937">
        <v>1871</v>
      </c>
      <c r="AZ125" s="937">
        <f t="shared" si="59"/>
        <v>273.73770491803282</v>
      </c>
      <c r="BA125" s="937">
        <f t="shared" si="60"/>
        <v>2513.4911242603548</v>
      </c>
      <c r="BB125" s="937">
        <f t="shared" si="61"/>
        <v>146.34125144843568</v>
      </c>
      <c r="BC125" s="954">
        <f t="shared" si="46"/>
        <v>2933.5700806268233</v>
      </c>
    </row>
    <row r="126" spans="1:55" s="934" customFormat="1" ht="12" customHeight="1" x14ac:dyDescent="0.2">
      <c r="A126" s="934" t="s">
        <v>240</v>
      </c>
      <c r="B126" s="938" t="s">
        <v>241</v>
      </c>
      <c r="C126" s="951">
        <v>678</v>
      </c>
      <c r="D126" s="935">
        <v>1340</v>
      </c>
      <c r="E126" s="935">
        <v>2018</v>
      </c>
      <c r="F126" s="935">
        <v>554</v>
      </c>
      <c r="G126" s="935">
        <v>1068</v>
      </c>
      <c r="H126" s="935">
        <v>1622</v>
      </c>
      <c r="I126" s="935">
        <v>334</v>
      </c>
      <c r="J126" s="935">
        <v>1551</v>
      </c>
      <c r="K126" s="935">
        <v>1885</v>
      </c>
      <c r="L126" s="935">
        <v>1112</v>
      </c>
      <c r="M126" s="935">
        <v>1628</v>
      </c>
      <c r="N126" s="935">
        <v>2740</v>
      </c>
      <c r="O126" s="935">
        <v>756</v>
      </c>
      <c r="P126" s="935">
        <v>3033</v>
      </c>
      <c r="Q126" s="935">
        <v>3789</v>
      </c>
      <c r="R126" s="935">
        <v>624</v>
      </c>
      <c r="S126" s="935">
        <v>2603</v>
      </c>
      <c r="T126" s="935">
        <v>3227</v>
      </c>
      <c r="U126" s="935">
        <v>685</v>
      </c>
      <c r="V126" s="935">
        <v>2840</v>
      </c>
      <c r="W126" s="935">
        <v>3525</v>
      </c>
      <c r="X126" s="935">
        <v>360</v>
      </c>
      <c r="Y126" s="935">
        <v>2471</v>
      </c>
      <c r="Z126" s="935">
        <v>2831</v>
      </c>
      <c r="AA126" s="935">
        <v>253</v>
      </c>
      <c r="AB126" s="935">
        <v>1433</v>
      </c>
      <c r="AC126" s="935">
        <v>1686</v>
      </c>
      <c r="AD126" s="935">
        <v>204</v>
      </c>
      <c r="AE126" s="935">
        <v>1608</v>
      </c>
      <c r="AF126" s="935">
        <v>1812</v>
      </c>
      <c r="AH126" s="935">
        <f t="shared" si="47"/>
        <v>1566</v>
      </c>
      <c r="AI126" s="935">
        <f t="shared" si="48"/>
        <v>3959</v>
      </c>
      <c r="AJ126" s="935">
        <f t="shared" si="49"/>
        <v>5525</v>
      </c>
      <c r="AK126" s="935">
        <f t="shared" si="50"/>
        <v>3537</v>
      </c>
      <c r="AL126" s="935">
        <f t="shared" si="51"/>
        <v>12575</v>
      </c>
      <c r="AM126" s="935">
        <f t="shared" si="52"/>
        <v>16112</v>
      </c>
      <c r="AN126" s="935">
        <f t="shared" si="53"/>
        <v>457</v>
      </c>
      <c r="AO126" s="935">
        <f t="shared" si="54"/>
        <v>3041</v>
      </c>
      <c r="AP126" s="935">
        <f t="shared" si="55"/>
        <v>3498</v>
      </c>
      <c r="AR126" s="936">
        <f t="shared" si="56"/>
        <v>0.28343891402714932</v>
      </c>
      <c r="AS126" s="936">
        <f t="shared" si="57"/>
        <v>0.219525819265144</v>
      </c>
      <c r="AT126" s="936">
        <f t="shared" si="58"/>
        <v>0.13064608347627216</v>
      </c>
      <c r="AV126" s="937">
        <v>6017</v>
      </c>
      <c r="AW126" s="937">
        <v>16837</v>
      </c>
      <c r="AX126" s="937">
        <v>3733</v>
      </c>
      <c r="AZ126" s="937">
        <f t="shared" si="59"/>
        <v>1705.4519457013575</v>
      </c>
      <c r="BA126" s="937">
        <f t="shared" si="60"/>
        <v>3696.1562189672295</v>
      </c>
      <c r="BB126" s="937">
        <f t="shared" si="61"/>
        <v>487.70182961692399</v>
      </c>
      <c r="BC126" s="954">
        <f t="shared" si="46"/>
        <v>5889.3099942855115</v>
      </c>
    </row>
  </sheetData>
  <mergeCells count="14">
    <mergeCell ref="C4:E4"/>
    <mergeCell ref="F4:H4"/>
    <mergeCell ref="AZ3:BB3"/>
    <mergeCell ref="I4:K4"/>
    <mergeCell ref="L4:N4"/>
    <mergeCell ref="O4:Q4"/>
    <mergeCell ref="R4:T4"/>
    <mergeCell ref="U4:W4"/>
    <mergeCell ref="AA4:AC4"/>
    <mergeCell ref="AD4:AF4"/>
    <mergeCell ref="AH4:AJ4"/>
    <mergeCell ref="AK4:AM4"/>
    <mergeCell ref="AN4:AP4"/>
    <mergeCell ref="X4:Z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W137"/>
  <sheetViews>
    <sheetView workbookViewId="0">
      <pane xSplit="2" ySplit="4" topLeftCell="AP112" activePane="bottomRight" state="frozen"/>
      <selection pane="topRight" activeCell="C1" sqref="C1"/>
      <selection pane="bottomLeft" activeCell="A5" sqref="A5"/>
      <selection pane="bottomRight" activeCell="AV126" sqref="AV126:AV130"/>
    </sheetView>
  </sheetViews>
  <sheetFormatPr defaultRowHeight="15.75" x14ac:dyDescent="0.25"/>
  <cols>
    <col min="1" max="1" width="9.875" style="414" customWidth="1"/>
    <col min="2" max="2" width="32.5" style="414" customWidth="1"/>
    <col min="3" max="3" width="12.5" style="414" customWidth="1"/>
    <col min="4" max="15" width="7.375" style="414" customWidth="1"/>
    <col min="16" max="18" width="7.625" style="414" customWidth="1"/>
    <col min="19" max="19" width="3.25" style="414" customWidth="1"/>
    <col min="20" max="43" width="15" style="414" customWidth="1"/>
    <col min="44" max="44" width="14.125" style="414" customWidth="1"/>
    <col min="45" max="45" width="13.875" style="414" customWidth="1"/>
    <col min="46" max="47" width="14" style="414" customWidth="1"/>
    <col min="48" max="48" width="10.875" style="414" customWidth="1"/>
    <col min="49" max="49" width="12.625" style="414" customWidth="1"/>
    <col min="50" max="16384" width="9" style="414"/>
  </cols>
  <sheetData>
    <row r="1" spans="1:49" x14ac:dyDescent="0.25">
      <c r="A1" s="184" t="s">
        <v>1148</v>
      </c>
    </row>
    <row r="3" spans="1:49" ht="33.75" customHeight="1" x14ac:dyDescent="0.25">
      <c r="A3" s="417" t="s">
        <v>4</v>
      </c>
      <c r="B3" s="528" t="s">
        <v>5</v>
      </c>
      <c r="C3" s="607" t="s">
        <v>251</v>
      </c>
      <c r="D3" s="418">
        <v>2000</v>
      </c>
      <c r="E3" s="419">
        <v>2001</v>
      </c>
      <c r="F3" s="420">
        <v>2002</v>
      </c>
      <c r="G3" s="420">
        <v>2003</v>
      </c>
      <c r="H3" s="420">
        <v>2004</v>
      </c>
      <c r="I3" s="420">
        <v>2005</v>
      </c>
      <c r="J3" s="420">
        <v>2006</v>
      </c>
      <c r="K3" s="420">
        <v>2007</v>
      </c>
      <c r="L3" s="420">
        <v>2008</v>
      </c>
      <c r="M3" s="420">
        <v>2009</v>
      </c>
      <c r="N3" s="420">
        <v>2010</v>
      </c>
      <c r="O3" s="421" t="s">
        <v>587</v>
      </c>
      <c r="P3" s="422" t="s">
        <v>834</v>
      </c>
      <c r="Q3" s="1575">
        <v>2013</v>
      </c>
      <c r="R3" s="1578">
        <v>2014</v>
      </c>
      <c r="S3" s="186"/>
      <c r="T3" s="418" t="s">
        <v>736</v>
      </c>
      <c r="U3" s="423" t="s">
        <v>735</v>
      </c>
      <c r="V3" s="418" t="s">
        <v>438</v>
      </c>
      <c r="W3" s="423" t="s">
        <v>439</v>
      </c>
      <c r="X3" s="424" t="s">
        <v>440</v>
      </c>
      <c r="Y3" s="420" t="s">
        <v>441</v>
      </c>
      <c r="Z3" s="424" t="s">
        <v>442</v>
      </c>
      <c r="AA3" s="420" t="s">
        <v>443</v>
      </c>
      <c r="AB3" s="424" t="s">
        <v>252</v>
      </c>
      <c r="AC3" s="420" t="s">
        <v>253</v>
      </c>
      <c r="AD3" s="424" t="s">
        <v>254</v>
      </c>
      <c r="AE3" s="420" t="s">
        <v>255</v>
      </c>
      <c r="AF3" s="424" t="s">
        <v>256</v>
      </c>
      <c r="AG3" s="420" t="s">
        <v>257</v>
      </c>
      <c r="AH3" s="424" t="s">
        <v>258</v>
      </c>
      <c r="AI3" s="420" t="s">
        <v>259</v>
      </c>
      <c r="AJ3" s="424" t="s">
        <v>260</v>
      </c>
      <c r="AK3" s="420" t="s">
        <v>261</v>
      </c>
      <c r="AL3" s="425" t="s">
        <v>262</v>
      </c>
      <c r="AM3" s="420" t="s">
        <v>263</v>
      </c>
      <c r="AN3" s="418" t="s">
        <v>589</v>
      </c>
      <c r="AO3" s="420" t="s">
        <v>590</v>
      </c>
      <c r="AP3" s="426" t="s">
        <v>591</v>
      </c>
      <c r="AQ3" s="427" t="s">
        <v>592</v>
      </c>
      <c r="AR3" s="418" t="s">
        <v>835</v>
      </c>
      <c r="AS3" s="423" t="s">
        <v>836</v>
      </c>
      <c r="AT3" s="1001" t="s">
        <v>849</v>
      </c>
      <c r="AU3" s="1584" t="s">
        <v>850</v>
      </c>
      <c r="AV3" s="1587" t="s">
        <v>1146</v>
      </c>
      <c r="AW3" s="1588" t="s">
        <v>1147</v>
      </c>
    </row>
    <row r="4" spans="1:49" x14ac:dyDescent="0.25">
      <c r="A4" s="1176" t="s">
        <v>8</v>
      </c>
      <c r="B4" s="1177" t="s">
        <v>9</v>
      </c>
      <c r="C4" s="1178"/>
      <c r="D4" s="1179">
        <f t="shared" ref="D4" si="0">U4/T4</f>
        <v>2.2744400394302866E-2</v>
      </c>
      <c r="E4" s="1180">
        <f t="shared" ref="E4" si="1">W4/V4</f>
        <v>3.2187783912701044E-2</v>
      </c>
      <c r="F4" s="1181">
        <f t="shared" ref="F4" si="2">AS4/AR4</f>
        <v>5.8774345474193433E-2</v>
      </c>
      <c r="G4" s="1181">
        <f t="shared" ref="G4" si="3">AA4/Z4</f>
        <v>4.0951027325666245E-2</v>
      </c>
      <c r="H4" s="1181">
        <f t="shared" ref="H4" si="4">AC4/AB4</f>
        <v>3.6983564098822252E-2</v>
      </c>
      <c r="I4" s="1181">
        <f t="shared" ref="I4" si="5">AE4/AD4</f>
        <v>3.5184099138150848E-2</v>
      </c>
      <c r="J4" s="1181">
        <f t="shared" ref="J4" si="6">AG4/AF4</f>
        <v>3.042605361214783E-2</v>
      </c>
      <c r="K4" s="1181">
        <f t="shared" ref="K4" si="7">AI4/AH4</f>
        <v>3.0637117624127935E-2</v>
      </c>
      <c r="L4" s="1181">
        <f t="shared" ref="L4" si="8">AK4/AJ4</f>
        <v>3.9533104507533175E-2</v>
      </c>
      <c r="M4" s="1181">
        <f t="shared" ref="M4" si="9">AM4/AL4</f>
        <v>6.9500899241383113E-2</v>
      </c>
      <c r="N4" s="1181">
        <f t="shared" ref="N4" si="10">AO4/AN4</f>
        <v>7.0996273411972191E-2</v>
      </c>
      <c r="O4" s="1182">
        <f t="shared" ref="O4" si="11">AQ4/AP4</f>
        <v>6.4437374190308969E-2</v>
      </c>
      <c r="P4" s="1183">
        <f t="shared" ref="P4" si="12">AS4/AR4</f>
        <v>5.8774345474193433E-2</v>
      </c>
      <c r="Q4" s="1576">
        <f t="shared" ref="Q4" si="13">AU4/AT4</f>
        <v>5.5454654156622714E-2</v>
      </c>
      <c r="R4" s="1579">
        <f t="shared" ref="R4:R35" si="14">AW4/AV4</f>
        <v>5.1645529339042547E-2</v>
      </c>
      <c r="S4" s="187"/>
      <c r="T4" s="1169">
        <v>3584047</v>
      </c>
      <c r="U4" s="1170">
        <v>81517</v>
      </c>
      <c r="V4" s="1171">
        <v>3655393</v>
      </c>
      <c r="W4" s="1172">
        <v>117659</v>
      </c>
      <c r="X4" s="1171">
        <v>3744653</v>
      </c>
      <c r="Y4" s="1172">
        <v>156565</v>
      </c>
      <c r="Z4" s="1171">
        <v>3802835</v>
      </c>
      <c r="AA4" s="1172">
        <v>155730</v>
      </c>
      <c r="AB4" s="1171">
        <v>3857957</v>
      </c>
      <c r="AC4" s="1172">
        <v>142681</v>
      </c>
      <c r="AD4" s="1171">
        <v>3921800</v>
      </c>
      <c r="AE4" s="1172">
        <v>137985</v>
      </c>
      <c r="AF4" s="1171">
        <v>3983724</v>
      </c>
      <c r="AG4" s="1172">
        <v>121209</v>
      </c>
      <c r="AH4" s="1171">
        <v>4017186</v>
      </c>
      <c r="AI4" s="1172">
        <v>123075</v>
      </c>
      <c r="AJ4" s="1171">
        <v>4138228</v>
      </c>
      <c r="AK4" s="1172">
        <v>163597</v>
      </c>
      <c r="AL4" s="1173">
        <v>4130148</v>
      </c>
      <c r="AM4" s="1172">
        <v>287049</v>
      </c>
      <c r="AN4" s="1171">
        <v>4139175</v>
      </c>
      <c r="AO4" s="1172">
        <v>293866</v>
      </c>
      <c r="AP4" s="1171">
        <v>4208241</v>
      </c>
      <c r="AQ4" s="1172">
        <v>271168</v>
      </c>
      <c r="AR4" s="1174">
        <v>4220651</v>
      </c>
      <c r="AS4" s="1175">
        <v>248066</v>
      </c>
      <c r="AT4" s="1344">
        <v>4240113</v>
      </c>
      <c r="AU4" s="1585">
        <v>235134</v>
      </c>
      <c r="AV4" s="1592">
        <v>4261182</v>
      </c>
      <c r="AW4" s="1593">
        <v>220071</v>
      </c>
    </row>
    <row r="5" spans="1:49" ht="15" customHeight="1" x14ac:dyDescent="0.25">
      <c r="A5" s="428" t="s">
        <v>10</v>
      </c>
      <c r="B5" s="429" t="s">
        <v>11</v>
      </c>
      <c r="C5" s="190" t="s">
        <v>264</v>
      </c>
      <c r="D5" s="430">
        <f t="shared" ref="D5:D36" si="15">U5/T5</f>
        <v>2.9532585766625957E-2</v>
      </c>
      <c r="E5" s="431">
        <f t="shared" ref="E5:E36" si="16">W5/V5</f>
        <v>3.3548598949211909E-2</v>
      </c>
      <c r="F5" s="432">
        <f t="shared" ref="F5:F36" si="17">AS5/AR5</f>
        <v>6.8050561185572622E-2</v>
      </c>
      <c r="G5" s="432">
        <f t="shared" ref="G5:G36" si="18">AA5/Z5</f>
        <v>4.3487190018996764E-2</v>
      </c>
      <c r="H5" s="432">
        <f t="shared" ref="H5:H36" si="19">AC5/AB5</f>
        <v>4.57900986010015E-2</v>
      </c>
      <c r="I5" s="432">
        <f t="shared" ref="I5:I36" si="20">AE5/AD5</f>
        <v>4.6296296296296294E-2</v>
      </c>
      <c r="J5" s="432">
        <f t="shared" ref="J5:J36" si="21">AG5/AF5</f>
        <v>4.2121684867394697E-2</v>
      </c>
      <c r="K5" s="432">
        <f t="shared" ref="K5:K36" si="22">AI5/AH5</f>
        <v>4.1361228530151423E-2</v>
      </c>
      <c r="L5" s="432">
        <f t="shared" ref="L5:L36" si="23">AK5/AJ5</f>
        <v>4.9915842625710076E-2</v>
      </c>
      <c r="M5" s="432">
        <f t="shared" ref="M5:M36" si="24">AM5/AL5</f>
        <v>6.7361708588491317E-2</v>
      </c>
      <c r="N5" s="432">
        <f t="shared" ref="N5:N36" si="25">AO5/AN5</f>
        <v>7.0492496300993454E-2</v>
      </c>
      <c r="O5" s="433">
        <f t="shared" ref="O5:O36" si="26">AQ5/AP5</f>
        <v>7.280433499651269E-2</v>
      </c>
      <c r="P5" s="434">
        <f t="shared" ref="P5:P36" si="27">AS5/AR5</f>
        <v>6.8050561185572622E-2</v>
      </c>
      <c r="Q5" s="1577">
        <f t="shared" ref="Q5:Q36" si="28">AU5/AT5</f>
        <v>6.469613259668508E-2</v>
      </c>
      <c r="R5" s="1580">
        <f t="shared" si="14"/>
        <v>6.4902646030953567E-2</v>
      </c>
      <c r="S5" s="219"/>
      <c r="T5" s="435">
        <v>18014</v>
      </c>
      <c r="U5" s="436">
        <v>532</v>
      </c>
      <c r="V5" s="437">
        <v>18272</v>
      </c>
      <c r="W5" s="438">
        <v>613</v>
      </c>
      <c r="X5" s="437">
        <v>19107</v>
      </c>
      <c r="Y5" s="438">
        <v>791</v>
      </c>
      <c r="Z5" s="437">
        <v>19477</v>
      </c>
      <c r="AA5" s="438">
        <v>847</v>
      </c>
      <c r="AB5" s="437">
        <v>19371</v>
      </c>
      <c r="AC5" s="438">
        <v>887</v>
      </c>
      <c r="AD5" s="437">
        <v>18900</v>
      </c>
      <c r="AE5" s="438">
        <v>875</v>
      </c>
      <c r="AF5" s="437">
        <v>18589</v>
      </c>
      <c r="AG5" s="438">
        <v>783</v>
      </c>
      <c r="AH5" s="437">
        <v>18689</v>
      </c>
      <c r="AI5" s="438">
        <v>773</v>
      </c>
      <c r="AJ5" s="437">
        <v>19012</v>
      </c>
      <c r="AK5" s="438">
        <v>949</v>
      </c>
      <c r="AL5" s="439">
        <v>19759</v>
      </c>
      <c r="AM5" s="438">
        <v>1331</v>
      </c>
      <c r="AN5" s="437">
        <v>18924</v>
      </c>
      <c r="AO5" s="438">
        <v>1334</v>
      </c>
      <c r="AP5" s="440">
        <v>18639</v>
      </c>
      <c r="AQ5" s="441">
        <v>1357</v>
      </c>
      <c r="AR5" s="442">
        <v>18354</v>
      </c>
      <c r="AS5" s="443">
        <v>1249</v>
      </c>
      <c r="AT5" s="442">
        <v>18100</v>
      </c>
      <c r="AU5" s="1586">
        <v>1171</v>
      </c>
      <c r="AV5" s="1589">
        <v>16024</v>
      </c>
      <c r="AW5" s="1590">
        <v>1040</v>
      </c>
    </row>
    <row r="6" spans="1:49" ht="15" customHeight="1" x14ac:dyDescent="0.25">
      <c r="A6" s="428" t="s">
        <v>12</v>
      </c>
      <c r="B6" s="444" t="s">
        <v>13</v>
      </c>
      <c r="C6" s="190" t="s">
        <v>265</v>
      </c>
      <c r="D6" s="430">
        <f t="shared" si="15"/>
        <v>1.7134675780528359E-2</v>
      </c>
      <c r="E6" s="431">
        <f t="shared" si="16"/>
        <v>2.1573084791998182E-2</v>
      </c>
      <c r="F6" s="432">
        <f t="shared" si="17"/>
        <v>4.8710188788009798E-2</v>
      </c>
      <c r="G6" s="432">
        <f t="shared" si="18"/>
        <v>3.391626921038686E-2</v>
      </c>
      <c r="H6" s="432">
        <f t="shared" si="19"/>
        <v>3.0472824447222102E-2</v>
      </c>
      <c r="I6" s="432">
        <f t="shared" si="20"/>
        <v>2.8059513830678961E-2</v>
      </c>
      <c r="J6" s="432">
        <f t="shared" si="21"/>
        <v>2.4123422159887799E-2</v>
      </c>
      <c r="K6" s="432">
        <f t="shared" si="22"/>
        <v>2.2556390977443608E-2</v>
      </c>
      <c r="L6" s="432">
        <f t="shared" si="23"/>
        <v>2.9824128706672486E-2</v>
      </c>
      <c r="M6" s="432">
        <f t="shared" si="24"/>
        <v>5.3294908741594621E-2</v>
      </c>
      <c r="N6" s="432">
        <f t="shared" si="25"/>
        <v>5.7299975601058539E-2</v>
      </c>
      <c r="O6" s="433">
        <f t="shared" si="26"/>
        <v>5.2466318595056412E-2</v>
      </c>
      <c r="P6" s="434">
        <f t="shared" si="27"/>
        <v>4.8710188788009798E-2</v>
      </c>
      <c r="Q6" s="1577">
        <f t="shared" si="28"/>
        <v>4.5550468559982835E-2</v>
      </c>
      <c r="R6" s="1580">
        <f t="shared" si="14"/>
        <v>4.3976595193126689E-2</v>
      </c>
      <c r="S6" s="219"/>
      <c r="T6" s="435">
        <v>43304</v>
      </c>
      <c r="U6" s="436">
        <v>742</v>
      </c>
      <c r="V6" s="437">
        <v>43990</v>
      </c>
      <c r="W6" s="438">
        <v>949</v>
      </c>
      <c r="X6" s="437">
        <v>44542</v>
      </c>
      <c r="Y6" s="438">
        <v>1391</v>
      </c>
      <c r="Z6" s="437">
        <v>45288</v>
      </c>
      <c r="AA6" s="438">
        <v>1536</v>
      </c>
      <c r="AB6" s="437">
        <v>46402</v>
      </c>
      <c r="AC6" s="438">
        <v>1414</v>
      </c>
      <c r="AD6" s="437">
        <v>47720</v>
      </c>
      <c r="AE6" s="438">
        <v>1339</v>
      </c>
      <c r="AF6" s="437">
        <v>49910</v>
      </c>
      <c r="AG6" s="438">
        <v>1204</v>
      </c>
      <c r="AH6" s="437">
        <v>51072</v>
      </c>
      <c r="AI6" s="438">
        <v>1152</v>
      </c>
      <c r="AJ6" s="437">
        <v>52709</v>
      </c>
      <c r="AK6" s="438">
        <v>1572</v>
      </c>
      <c r="AL6" s="439">
        <v>52050</v>
      </c>
      <c r="AM6" s="438">
        <v>2774</v>
      </c>
      <c r="AN6" s="437">
        <v>53281</v>
      </c>
      <c r="AO6" s="438">
        <v>3053</v>
      </c>
      <c r="AP6" s="440">
        <v>54778</v>
      </c>
      <c r="AQ6" s="441">
        <v>2874</v>
      </c>
      <c r="AR6" s="442">
        <v>55512</v>
      </c>
      <c r="AS6" s="443">
        <v>2704</v>
      </c>
      <c r="AT6" s="442">
        <v>55916</v>
      </c>
      <c r="AU6" s="1586">
        <v>2547</v>
      </c>
      <c r="AV6" s="1589">
        <v>54006</v>
      </c>
      <c r="AW6" s="1590">
        <v>2375</v>
      </c>
    </row>
    <row r="7" spans="1:49" ht="15" customHeight="1" x14ac:dyDescent="0.25">
      <c r="A7" s="428" t="s">
        <v>16</v>
      </c>
      <c r="B7" s="444" t="s">
        <v>17</v>
      </c>
      <c r="C7" s="190" t="s">
        <v>265</v>
      </c>
      <c r="D7" s="430">
        <f t="shared" si="15"/>
        <v>3.2557259133068332E-2</v>
      </c>
      <c r="E7" s="431">
        <f t="shared" si="16"/>
        <v>4.3324326842448524E-2</v>
      </c>
      <c r="F7" s="432">
        <f t="shared" si="17"/>
        <v>8.5031391122370306E-2</v>
      </c>
      <c r="G7" s="432">
        <f t="shared" si="18"/>
        <v>4.8516797712651896E-2</v>
      </c>
      <c r="H7" s="432">
        <f t="shared" si="19"/>
        <v>4.8531655225019073E-2</v>
      </c>
      <c r="I7" s="432">
        <f t="shared" si="20"/>
        <v>4.9295774647887321E-2</v>
      </c>
      <c r="J7" s="432">
        <f t="shared" si="21"/>
        <v>5.4240631163708086E-2</v>
      </c>
      <c r="K7" s="432">
        <f t="shared" si="22"/>
        <v>4.8147763826917093E-2</v>
      </c>
      <c r="L7" s="432">
        <f t="shared" si="23"/>
        <v>5.8110367892976592E-2</v>
      </c>
      <c r="M7" s="432">
        <f t="shared" si="24"/>
        <v>9.7239139261063742E-2</v>
      </c>
      <c r="N7" s="432">
        <f t="shared" si="25"/>
        <v>9.9793601651186795E-2</v>
      </c>
      <c r="O7" s="433">
        <f t="shared" si="26"/>
        <v>8.9150894611645465E-2</v>
      </c>
      <c r="P7" s="434">
        <f t="shared" si="27"/>
        <v>8.5031391122370306E-2</v>
      </c>
      <c r="Q7" s="1577">
        <f t="shared" si="28"/>
        <v>7.8494504274453203E-2</v>
      </c>
      <c r="R7" s="1580">
        <f t="shared" si="14"/>
        <v>6.5392868090323894E-2</v>
      </c>
      <c r="S7" s="219"/>
      <c r="T7" s="445">
        <v>10566</v>
      </c>
      <c r="U7" s="446">
        <v>344</v>
      </c>
      <c r="V7" s="1517">
        <v>10733</v>
      </c>
      <c r="W7" s="1518">
        <v>465</v>
      </c>
      <c r="X7" s="1517">
        <v>11144</v>
      </c>
      <c r="Y7" s="1518">
        <v>617</v>
      </c>
      <c r="Z7" s="1517">
        <v>11192</v>
      </c>
      <c r="AA7" s="1518">
        <v>543</v>
      </c>
      <c r="AB7" s="1517">
        <v>10488</v>
      </c>
      <c r="AC7" s="1518">
        <v>509</v>
      </c>
      <c r="AD7" s="1517">
        <v>10366</v>
      </c>
      <c r="AE7" s="1518">
        <v>511</v>
      </c>
      <c r="AF7" s="1517">
        <v>10140</v>
      </c>
      <c r="AG7" s="1518">
        <v>550</v>
      </c>
      <c r="AH7" s="1517">
        <v>9637</v>
      </c>
      <c r="AI7" s="1518">
        <v>464</v>
      </c>
      <c r="AJ7" s="1517">
        <v>9568</v>
      </c>
      <c r="AK7" s="1518">
        <v>556</v>
      </c>
      <c r="AL7" s="1519">
        <v>9852</v>
      </c>
      <c r="AM7" s="1518">
        <v>958</v>
      </c>
      <c r="AN7" s="1517">
        <v>9690</v>
      </c>
      <c r="AO7" s="1518">
        <v>967</v>
      </c>
      <c r="AP7" s="440">
        <v>9669</v>
      </c>
      <c r="AQ7" s="441">
        <v>862</v>
      </c>
      <c r="AR7" s="442">
        <v>9079</v>
      </c>
      <c r="AS7" s="443">
        <v>772</v>
      </c>
      <c r="AT7" s="442">
        <v>9007</v>
      </c>
      <c r="AU7" s="1586">
        <v>707</v>
      </c>
      <c r="AV7" s="1589">
        <v>9787</v>
      </c>
      <c r="AW7" s="1590">
        <v>640</v>
      </c>
    </row>
    <row r="8" spans="1:49" ht="15" customHeight="1" x14ac:dyDescent="0.25">
      <c r="A8" s="428" t="s">
        <v>18</v>
      </c>
      <c r="B8" s="444" t="s">
        <v>19</v>
      </c>
      <c r="C8" s="190" t="s">
        <v>266</v>
      </c>
      <c r="D8" s="430">
        <f t="shared" si="15"/>
        <v>1.9893671754416052E-2</v>
      </c>
      <c r="E8" s="431">
        <f t="shared" si="16"/>
        <v>2.5436662709852467E-2</v>
      </c>
      <c r="F8" s="432">
        <f t="shared" si="17"/>
        <v>5.9086013232805046E-2</v>
      </c>
      <c r="G8" s="432">
        <f t="shared" si="18"/>
        <v>3.9124668435013263E-2</v>
      </c>
      <c r="H8" s="432">
        <f t="shared" si="19"/>
        <v>3.5229476405946994E-2</v>
      </c>
      <c r="I8" s="432">
        <f t="shared" si="20"/>
        <v>3.4135598552776467E-2</v>
      </c>
      <c r="J8" s="432">
        <f t="shared" si="21"/>
        <v>2.9896748343350286E-2</v>
      </c>
      <c r="K8" s="432">
        <f t="shared" si="22"/>
        <v>2.7713979482468228E-2</v>
      </c>
      <c r="L8" s="432">
        <f t="shared" si="23"/>
        <v>4.4903988183161006E-2</v>
      </c>
      <c r="M8" s="432">
        <f t="shared" si="24"/>
        <v>8.0485611510791366E-2</v>
      </c>
      <c r="N8" s="432">
        <f t="shared" si="25"/>
        <v>7.9832584095489073E-2</v>
      </c>
      <c r="O8" s="433">
        <f t="shared" si="26"/>
        <v>7.094903875495881E-2</v>
      </c>
      <c r="P8" s="434">
        <f t="shared" si="27"/>
        <v>5.9086013232805046E-2</v>
      </c>
      <c r="Q8" s="1577">
        <f t="shared" si="28"/>
        <v>5.4936670227376777E-2</v>
      </c>
      <c r="R8" s="1580">
        <f t="shared" si="14"/>
        <v>5.2547260493431593E-2</v>
      </c>
      <c r="S8" s="219"/>
      <c r="T8" s="435">
        <v>5831</v>
      </c>
      <c r="U8" s="436">
        <v>116</v>
      </c>
      <c r="V8" s="437">
        <v>5897</v>
      </c>
      <c r="W8" s="438">
        <v>150</v>
      </c>
      <c r="X8" s="437">
        <v>6026</v>
      </c>
      <c r="Y8" s="438">
        <v>232</v>
      </c>
      <c r="Z8" s="437">
        <v>6032</v>
      </c>
      <c r="AA8" s="438">
        <v>236</v>
      </c>
      <c r="AB8" s="437">
        <v>6188</v>
      </c>
      <c r="AC8" s="438">
        <v>218</v>
      </c>
      <c r="AD8" s="437">
        <v>6357</v>
      </c>
      <c r="AE8" s="438">
        <v>217</v>
      </c>
      <c r="AF8" s="437">
        <v>6489</v>
      </c>
      <c r="AG8" s="438">
        <v>194</v>
      </c>
      <c r="AH8" s="437">
        <v>6531</v>
      </c>
      <c r="AI8" s="438">
        <v>181</v>
      </c>
      <c r="AJ8" s="437">
        <v>6770</v>
      </c>
      <c r="AK8" s="438">
        <v>304</v>
      </c>
      <c r="AL8" s="439">
        <v>6672</v>
      </c>
      <c r="AM8" s="438">
        <v>537</v>
      </c>
      <c r="AN8" s="437">
        <v>6451</v>
      </c>
      <c r="AO8" s="438">
        <v>515</v>
      </c>
      <c r="AP8" s="440">
        <v>6554</v>
      </c>
      <c r="AQ8" s="441">
        <v>465</v>
      </c>
      <c r="AR8" s="442">
        <v>6499</v>
      </c>
      <c r="AS8" s="443">
        <v>384</v>
      </c>
      <c r="AT8" s="442">
        <v>6553</v>
      </c>
      <c r="AU8" s="1586">
        <v>360</v>
      </c>
      <c r="AV8" s="1589">
        <v>6242</v>
      </c>
      <c r="AW8" s="1590">
        <v>328</v>
      </c>
    </row>
    <row r="9" spans="1:49" ht="15" customHeight="1" x14ac:dyDescent="0.25">
      <c r="A9" s="428" t="s">
        <v>20</v>
      </c>
      <c r="B9" s="444" t="s">
        <v>21</v>
      </c>
      <c r="C9" s="190" t="s">
        <v>265</v>
      </c>
      <c r="D9" s="430">
        <f t="shared" si="15"/>
        <v>2.114882506527415E-2</v>
      </c>
      <c r="E9" s="431">
        <f t="shared" si="16"/>
        <v>3.6382880201098103E-2</v>
      </c>
      <c r="F9" s="432">
        <f t="shared" si="17"/>
        <v>6.9684536221160956E-2</v>
      </c>
      <c r="G9" s="432">
        <f t="shared" si="18"/>
        <v>4.9579777184181377E-2</v>
      </c>
      <c r="H9" s="432">
        <f t="shared" si="19"/>
        <v>4.4838646331085946E-2</v>
      </c>
      <c r="I9" s="432">
        <f t="shared" si="20"/>
        <v>4.0736896730669436E-2</v>
      </c>
      <c r="J9" s="432">
        <f t="shared" si="21"/>
        <v>3.2092095954723773E-2</v>
      </c>
      <c r="K9" s="432">
        <f t="shared" si="22"/>
        <v>3.5009383291270305E-2</v>
      </c>
      <c r="L9" s="432">
        <f t="shared" si="23"/>
        <v>4.132643520538553E-2</v>
      </c>
      <c r="M9" s="432">
        <f t="shared" si="24"/>
        <v>8.0362268001785822E-2</v>
      </c>
      <c r="N9" s="432">
        <f t="shared" si="25"/>
        <v>8.6634797983105236E-2</v>
      </c>
      <c r="O9" s="433">
        <f t="shared" si="26"/>
        <v>7.6019488753921116E-2</v>
      </c>
      <c r="P9" s="434">
        <f t="shared" si="27"/>
        <v>6.9684536221160956E-2</v>
      </c>
      <c r="Q9" s="1577">
        <f t="shared" si="28"/>
        <v>6.3376483279395907E-2</v>
      </c>
      <c r="R9" s="1580">
        <f t="shared" si="14"/>
        <v>5.4191842900302115E-2</v>
      </c>
      <c r="S9" s="219"/>
      <c r="T9" s="435">
        <v>15320</v>
      </c>
      <c r="U9" s="436">
        <v>324</v>
      </c>
      <c r="V9" s="437">
        <v>15117</v>
      </c>
      <c r="W9" s="438">
        <v>550</v>
      </c>
      <c r="X9" s="437">
        <v>15274</v>
      </c>
      <c r="Y9" s="438">
        <v>834</v>
      </c>
      <c r="Z9" s="437">
        <v>15349</v>
      </c>
      <c r="AA9" s="438">
        <v>761</v>
      </c>
      <c r="AB9" s="437">
        <v>15277</v>
      </c>
      <c r="AC9" s="438">
        <v>685</v>
      </c>
      <c r="AD9" s="437">
        <v>15416</v>
      </c>
      <c r="AE9" s="438">
        <v>628</v>
      </c>
      <c r="AF9" s="437">
        <v>15549</v>
      </c>
      <c r="AG9" s="438">
        <v>499</v>
      </c>
      <c r="AH9" s="437">
        <v>15453</v>
      </c>
      <c r="AI9" s="438">
        <v>541</v>
      </c>
      <c r="AJ9" s="437">
        <v>16043</v>
      </c>
      <c r="AK9" s="438">
        <v>663</v>
      </c>
      <c r="AL9" s="439">
        <v>15679</v>
      </c>
      <c r="AM9" s="438">
        <v>1260</v>
      </c>
      <c r="AN9" s="437">
        <v>15271</v>
      </c>
      <c r="AO9" s="438">
        <v>1323</v>
      </c>
      <c r="AP9" s="440">
        <v>14983</v>
      </c>
      <c r="AQ9" s="441">
        <v>1139</v>
      </c>
      <c r="AR9" s="442">
        <v>14867</v>
      </c>
      <c r="AS9" s="443">
        <v>1036</v>
      </c>
      <c r="AT9" s="442">
        <v>14832</v>
      </c>
      <c r="AU9" s="1586">
        <v>940</v>
      </c>
      <c r="AV9" s="1589">
        <v>15888</v>
      </c>
      <c r="AW9" s="1590">
        <v>861</v>
      </c>
    </row>
    <row r="10" spans="1:49" ht="15" customHeight="1" x14ac:dyDescent="0.25">
      <c r="A10" s="428" t="s">
        <v>22</v>
      </c>
      <c r="B10" s="444" t="s">
        <v>23</v>
      </c>
      <c r="C10" s="190" t="s">
        <v>265</v>
      </c>
      <c r="D10" s="430">
        <f t="shared" si="15"/>
        <v>2.4676676081462762E-2</v>
      </c>
      <c r="E10" s="431">
        <f t="shared" si="16"/>
        <v>4.311502312397434E-2</v>
      </c>
      <c r="F10" s="432">
        <f t="shared" si="17"/>
        <v>7.1136203246294993E-2</v>
      </c>
      <c r="G10" s="432">
        <f t="shared" si="18"/>
        <v>5.5621127176158157E-2</v>
      </c>
      <c r="H10" s="432">
        <f t="shared" si="19"/>
        <v>4.4738778513612951E-2</v>
      </c>
      <c r="I10" s="432">
        <f t="shared" si="20"/>
        <v>4.6752111855519952E-2</v>
      </c>
      <c r="J10" s="432">
        <f t="shared" si="21"/>
        <v>3.6303630363036306E-2</v>
      </c>
      <c r="K10" s="432">
        <f t="shared" si="22"/>
        <v>3.9201608271108558E-2</v>
      </c>
      <c r="L10" s="432">
        <f t="shared" si="23"/>
        <v>4.4626967830253252E-2</v>
      </c>
      <c r="M10" s="432">
        <f t="shared" si="24"/>
        <v>8.1797878280290337E-2</v>
      </c>
      <c r="N10" s="432">
        <f t="shared" si="25"/>
        <v>8.7819089900110989E-2</v>
      </c>
      <c r="O10" s="433">
        <f t="shared" si="26"/>
        <v>7.6858462830743379E-2</v>
      </c>
      <c r="P10" s="434">
        <f t="shared" si="27"/>
        <v>7.1136203246294993E-2</v>
      </c>
      <c r="Q10" s="1577">
        <f t="shared" si="28"/>
        <v>6.1745919091554295E-2</v>
      </c>
      <c r="R10" s="1580">
        <f t="shared" si="14"/>
        <v>5.6622148024485251E-2</v>
      </c>
      <c r="S10" s="219"/>
      <c r="T10" s="435">
        <v>6727</v>
      </c>
      <c r="U10" s="436">
        <v>166</v>
      </c>
      <c r="V10" s="437">
        <v>6703</v>
      </c>
      <c r="W10" s="438">
        <v>289</v>
      </c>
      <c r="X10" s="437">
        <v>6739</v>
      </c>
      <c r="Y10" s="438">
        <v>382</v>
      </c>
      <c r="Z10" s="437">
        <v>6778</v>
      </c>
      <c r="AA10" s="438">
        <v>377</v>
      </c>
      <c r="AB10" s="437">
        <v>6795</v>
      </c>
      <c r="AC10" s="438">
        <v>304</v>
      </c>
      <c r="AD10" s="437">
        <v>6866</v>
      </c>
      <c r="AE10" s="438">
        <v>321</v>
      </c>
      <c r="AF10" s="437">
        <v>6969</v>
      </c>
      <c r="AG10" s="438">
        <v>253</v>
      </c>
      <c r="AH10" s="437">
        <v>6964</v>
      </c>
      <c r="AI10" s="438">
        <v>273</v>
      </c>
      <c r="AJ10" s="437">
        <v>7305</v>
      </c>
      <c r="AK10" s="438">
        <v>326</v>
      </c>
      <c r="AL10" s="439">
        <v>7164</v>
      </c>
      <c r="AM10" s="438">
        <v>586</v>
      </c>
      <c r="AN10" s="437">
        <v>7208</v>
      </c>
      <c r="AO10" s="438">
        <v>633</v>
      </c>
      <c r="AP10" s="440">
        <v>7143</v>
      </c>
      <c r="AQ10" s="441">
        <v>549</v>
      </c>
      <c r="AR10" s="442">
        <v>7085</v>
      </c>
      <c r="AS10" s="443">
        <v>504</v>
      </c>
      <c r="AT10" s="442">
        <v>7045</v>
      </c>
      <c r="AU10" s="1586">
        <v>435</v>
      </c>
      <c r="AV10" s="1589">
        <v>7188</v>
      </c>
      <c r="AW10" s="1590">
        <v>407</v>
      </c>
    </row>
    <row r="11" spans="1:49" ht="15" customHeight="1" x14ac:dyDescent="0.25">
      <c r="A11" s="428" t="s">
        <v>24</v>
      </c>
      <c r="B11" s="444" t="s">
        <v>25</v>
      </c>
      <c r="C11" s="190" t="s">
        <v>267</v>
      </c>
      <c r="D11" s="430">
        <f t="shared" si="15"/>
        <v>1.5587853445514171E-2</v>
      </c>
      <c r="E11" s="431">
        <f t="shared" si="16"/>
        <v>2.4040972421112927E-2</v>
      </c>
      <c r="F11" s="432">
        <f t="shared" si="17"/>
        <v>3.6574578365219428E-2</v>
      </c>
      <c r="G11" s="432">
        <f t="shared" si="18"/>
        <v>2.6742175270659006E-2</v>
      </c>
      <c r="H11" s="432">
        <f t="shared" si="19"/>
        <v>2.4003933485406609E-2</v>
      </c>
      <c r="I11" s="432">
        <f t="shared" si="20"/>
        <v>2.2998783601988124E-2</v>
      </c>
      <c r="J11" s="432">
        <f t="shared" si="21"/>
        <v>1.9534497090606815E-2</v>
      </c>
      <c r="K11" s="432">
        <f t="shared" si="22"/>
        <v>1.9385538113161356E-2</v>
      </c>
      <c r="L11" s="432">
        <f t="shared" si="23"/>
        <v>2.4609629028840323E-2</v>
      </c>
      <c r="M11" s="432">
        <f t="shared" si="24"/>
        <v>4.4287636853017134E-2</v>
      </c>
      <c r="N11" s="432">
        <f t="shared" si="25"/>
        <v>4.4648289778722552E-2</v>
      </c>
      <c r="O11" s="433">
        <f t="shared" si="26"/>
        <v>3.991020758938494E-2</v>
      </c>
      <c r="P11" s="434">
        <f t="shared" si="27"/>
        <v>3.6574578365219428E-2</v>
      </c>
      <c r="Q11" s="1577">
        <f t="shared" si="28"/>
        <v>3.6364821979741772E-2</v>
      </c>
      <c r="R11" s="1580">
        <f t="shared" si="14"/>
        <v>3.2063139721297325E-2</v>
      </c>
      <c r="S11" s="219"/>
      <c r="T11" s="435">
        <v>118618</v>
      </c>
      <c r="U11" s="436">
        <v>1849</v>
      </c>
      <c r="V11" s="437">
        <v>118714</v>
      </c>
      <c r="W11" s="438">
        <v>2854</v>
      </c>
      <c r="X11" s="437">
        <v>121721</v>
      </c>
      <c r="Y11" s="438">
        <v>3616</v>
      </c>
      <c r="Z11" s="437">
        <v>122017</v>
      </c>
      <c r="AA11" s="438">
        <v>3263</v>
      </c>
      <c r="AB11" s="437">
        <v>124063</v>
      </c>
      <c r="AC11" s="438">
        <v>2978</v>
      </c>
      <c r="AD11" s="437">
        <v>124137</v>
      </c>
      <c r="AE11" s="438">
        <v>2855</v>
      </c>
      <c r="AF11" s="437">
        <v>127518</v>
      </c>
      <c r="AG11" s="438">
        <v>2491</v>
      </c>
      <c r="AH11" s="437">
        <v>130716</v>
      </c>
      <c r="AI11" s="438">
        <v>2534</v>
      </c>
      <c r="AJ11" s="437">
        <v>136857</v>
      </c>
      <c r="AK11" s="438">
        <v>3368</v>
      </c>
      <c r="AL11" s="439">
        <v>137465</v>
      </c>
      <c r="AM11" s="438">
        <v>6088</v>
      </c>
      <c r="AN11" s="437">
        <v>129837</v>
      </c>
      <c r="AO11" s="438">
        <v>5797</v>
      </c>
      <c r="AP11" s="440">
        <v>134978</v>
      </c>
      <c r="AQ11" s="441">
        <v>5387</v>
      </c>
      <c r="AR11" s="442">
        <v>136789</v>
      </c>
      <c r="AS11" s="443">
        <v>5003</v>
      </c>
      <c r="AT11" s="442">
        <v>138018</v>
      </c>
      <c r="AU11" s="1586">
        <v>5019</v>
      </c>
      <c r="AV11" s="1589">
        <v>145962</v>
      </c>
      <c r="AW11" s="1590">
        <v>4680</v>
      </c>
    </row>
    <row r="12" spans="1:49" x14ac:dyDescent="0.25">
      <c r="A12" s="428" t="s">
        <v>26</v>
      </c>
      <c r="B12" s="1516" t="s">
        <v>686</v>
      </c>
      <c r="C12" s="190" t="s">
        <v>265</v>
      </c>
      <c r="D12" s="430">
        <f t="shared" si="15"/>
        <v>2.0796628948180976E-2</v>
      </c>
      <c r="E12" s="431">
        <f t="shared" si="16"/>
        <v>2.9483809830320586E-2</v>
      </c>
      <c r="F12" s="432">
        <f t="shared" si="17"/>
        <v>5.8930812348364427E-2</v>
      </c>
      <c r="G12" s="432">
        <f t="shared" si="18"/>
        <v>3.691635758605151E-2</v>
      </c>
      <c r="H12" s="432">
        <f t="shared" si="19"/>
        <v>3.2337650894351928E-2</v>
      </c>
      <c r="I12" s="432">
        <f t="shared" si="20"/>
        <v>3.1978507669642081E-2</v>
      </c>
      <c r="J12" s="432">
        <f t="shared" si="21"/>
        <v>2.789840088227185E-2</v>
      </c>
      <c r="K12" s="432">
        <f t="shared" si="22"/>
        <v>2.8824985066985238E-2</v>
      </c>
      <c r="L12" s="432">
        <f t="shared" si="23"/>
        <v>3.9859942583096865E-2</v>
      </c>
      <c r="M12" s="432">
        <f t="shared" si="24"/>
        <v>7.2243097533082834E-2</v>
      </c>
      <c r="N12" s="432">
        <f t="shared" si="25"/>
        <v>7.5877901538984785E-2</v>
      </c>
      <c r="O12" s="433">
        <f t="shared" si="26"/>
        <v>6.6654335726656688E-2</v>
      </c>
      <c r="P12" s="434">
        <f t="shared" si="27"/>
        <v>5.8930812348364427E-2</v>
      </c>
      <c r="Q12" s="1577">
        <f t="shared" si="28"/>
        <v>5.2848318462594371E-2</v>
      </c>
      <c r="R12" s="1580">
        <f t="shared" si="14"/>
        <v>4.8929767017211648E-2</v>
      </c>
      <c r="S12" s="219"/>
      <c r="T12" s="445">
        <v>55057</v>
      </c>
      <c r="U12" s="446">
        <v>1145</v>
      </c>
      <c r="V12" s="1517">
        <v>55929</v>
      </c>
      <c r="W12" s="1518">
        <v>1649</v>
      </c>
      <c r="X12" s="1517">
        <v>57107</v>
      </c>
      <c r="Y12" s="1518">
        <v>2154</v>
      </c>
      <c r="Z12" s="1517">
        <v>57698</v>
      </c>
      <c r="AA12" s="1518">
        <v>2130</v>
      </c>
      <c r="AB12" s="1517">
        <v>56745</v>
      </c>
      <c r="AC12" s="1518">
        <v>1835</v>
      </c>
      <c r="AD12" s="1517">
        <v>57695</v>
      </c>
      <c r="AE12" s="1518">
        <v>1845</v>
      </c>
      <c r="AF12" s="1517">
        <v>58032</v>
      </c>
      <c r="AG12" s="1518">
        <v>1619</v>
      </c>
      <c r="AH12" s="1517">
        <v>58595</v>
      </c>
      <c r="AI12" s="1518">
        <v>1689</v>
      </c>
      <c r="AJ12" s="1517">
        <v>60261</v>
      </c>
      <c r="AK12" s="1518">
        <v>2402</v>
      </c>
      <c r="AL12" s="1519">
        <v>61210</v>
      </c>
      <c r="AM12" s="1518">
        <v>4422</v>
      </c>
      <c r="AN12" s="1517">
        <v>58805</v>
      </c>
      <c r="AO12" s="1518">
        <v>4462</v>
      </c>
      <c r="AP12" s="440">
        <v>59471</v>
      </c>
      <c r="AQ12" s="441">
        <v>3964</v>
      </c>
      <c r="AR12" s="442">
        <v>59765</v>
      </c>
      <c r="AS12" s="443">
        <v>3522</v>
      </c>
      <c r="AT12" s="442">
        <v>59737</v>
      </c>
      <c r="AU12" s="1586">
        <v>3157</v>
      </c>
      <c r="AV12" s="1589">
        <v>59146</v>
      </c>
      <c r="AW12" s="1590">
        <v>2894</v>
      </c>
    </row>
    <row r="13" spans="1:49" ht="15" customHeight="1" x14ac:dyDescent="0.25">
      <c r="A13" s="428" t="s">
        <v>27</v>
      </c>
      <c r="B13" s="444" t="s">
        <v>28</v>
      </c>
      <c r="C13" s="190" t="s">
        <v>265</v>
      </c>
      <c r="D13" s="430">
        <f t="shared" si="15"/>
        <v>2.6460859977949284E-2</v>
      </c>
      <c r="E13" s="431">
        <f t="shared" si="16"/>
        <v>3.6982248520710061E-2</v>
      </c>
      <c r="F13" s="432">
        <f t="shared" si="17"/>
        <v>5.3479853479853477E-2</v>
      </c>
      <c r="G13" s="432">
        <f t="shared" si="18"/>
        <v>4.5735900962861072E-2</v>
      </c>
      <c r="H13" s="432">
        <f t="shared" si="19"/>
        <v>3.5864978902953586E-2</v>
      </c>
      <c r="I13" s="432">
        <f t="shared" si="20"/>
        <v>3.5302104548540394E-2</v>
      </c>
      <c r="J13" s="432">
        <f t="shared" si="21"/>
        <v>3.2447359337245428E-2</v>
      </c>
      <c r="K13" s="432">
        <f t="shared" si="22"/>
        <v>3.1903945111492284E-2</v>
      </c>
      <c r="L13" s="432">
        <f t="shared" si="23"/>
        <v>4.1042112776588154E-2</v>
      </c>
      <c r="M13" s="432">
        <f t="shared" si="24"/>
        <v>6.4492216456634541E-2</v>
      </c>
      <c r="N13" s="432">
        <f t="shared" si="25"/>
        <v>7.0459683496608888E-2</v>
      </c>
      <c r="O13" s="433">
        <f t="shared" si="26"/>
        <v>5.7727438801607599E-2</v>
      </c>
      <c r="P13" s="434">
        <f t="shared" si="27"/>
        <v>5.3479853479853477E-2</v>
      </c>
      <c r="Q13" s="1577">
        <f t="shared" si="28"/>
        <v>5.0018254837531945E-2</v>
      </c>
      <c r="R13" s="1580">
        <f t="shared" si="14"/>
        <v>4.441913439635535E-2</v>
      </c>
      <c r="S13" s="219"/>
      <c r="T13" s="435">
        <v>2721</v>
      </c>
      <c r="U13" s="436">
        <v>72</v>
      </c>
      <c r="V13" s="437">
        <v>2704</v>
      </c>
      <c r="W13" s="438">
        <v>100</v>
      </c>
      <c r="X13" s="437">
        <v>2817</v>
      </c>
      <c r="Y13" s="438">
        <v>124</v>
      </c>
      <c r="Z13" s="437">
        <v>2908</v>
      </c>
      <c r="AA13" s="438">
        <v>133</v>
      </c>
      <c r="AB13" s="437">
        <v>2844</v>
      </c>
      <c r="AC13" s="438">
        <v>102</v>
      </c>
      <c r="AD13" s="437">
        <v>2946</v>
      </c>
      <c r="AE13" s="438">
        <v>104</v>
      </c>
      <c r="AF13" s="437">
        <v>2897</v>
      </c>
      <c r="AG13" s="438">
        <v>94</v>
      </c>
      <c r="AH13" s="437">
        <v>2915</v>
      </c>
      <c r="AI13" s="438">
        <v>93</v>
      </c>
      <c r="AJ13" s="437">
        <v>2802</v>
      </c>
      <c r="AK13" s="438">
        <v>115</v>
      </c>
      <c r="AL13" s="439">
        <v>2698</v>
      </c>
      <c r="AM13" s="438">
        <v>174</v>
      </c>
      <c r="AN13" s="437">
        <v>2654</v>
      </c>
      <c r="AO13" s="438">
        <v>187</v>
      </c>
      <c r="AP13" s="440">
        <v>2737</v>
      </c>
      <c r="AQ13" s="441">
        <v>158</v>
      </c>
      <c r="AR13" s="442">
        <v>2730</v>
      </c>
      <c r="AS13" s="443">
        <v>146</v>
      </c>
      <c r="AT13" s="442">
        <v>2739</v>
      </c>
      <c r="AU13" s="1586">
        <v>137</v>
      </c>
      <c r="AV13" s="1589">
        <v>2634</v>
      </c>
      <c r="AW13" s="1590">
        <v>117</v>
      </c>
    </row>
    <row r="14" spans="1:49" ht="15" customHeight="1" x14ac:dyDescent="0.25">
      <c r="A14" s="428" t="s">
        <v>29</v>
      </c>
      <c r="B14" s="444" t="s">
        <v>941</v>
      </c>
      <c r="C14" s="190" t="s">
        <v>265</v>
      </c>
      <c r="D14" s="430">
        <f t="shared" si="15"/>
        <v>1.9583985167159163E-2</v>
      </c>
      <c r="E14" s="431">
        <f t="shared" si="16"/>
        <v>3.3024944372877389E-2</v>
      </c>
      <c r="F14" s="432">
        <f t="shared" si="17"/>
        <v>6.17806409876277E-2</v>
      </c>
      <c r="G14" s="432">
        <f t="shared" si="18"/>
        <v>4.1594943138527525E-2</v>
      </c>
      <c r="H14" s="432">
        <f t="shared" si="19"/>
        <v>3.7889340836908675E-2</v>
      </c>
      <c r="I14" s="432">
        <f t="shared" si="20"/>
        <v>3.4545702220405941E-2</v>
      </c>
      <c r="J14" s="432">
        <f t="shared" si="21"/>
        <v>2.9520980319346454E-2</v>
      </c>
      <c r="K14" s="432">
        <f t="shared" si="22"/>
        <v>2.9997868712702474E-2</v>
      </c>
      <c r="L14" s="432">
        <f t="shared" si="23"/>
        <v>3.6713151018084915E-2</v>
      </c>
      <c r="M14" s="432">
        <f t="shared" si="24"/>
        <v>7.0708940423619013E-2</v>
      </c>
      <c r="N14" s="432">
        <f t="shared" si="25"/>
        <v>7.3098636557307195E-2</v>
      </c>
      <c r="O14" s="433">
        <f t="shared" si="26"/>
        <v>6.6261203585147241E-2</v>
      </c>
      <c r="P14" s="434">
        <f t="shared" si="27"/>
        <v>6.17806409876277E-2</v>
      </c>
      <c r="Q14" s="1577">
        <f t="shared" si="28"/>
        <v>5.775346305179755E-2</v>
      </c>
      <c r="R14" s="1580">
        <f t="shared" si="14"/>
        <v>5.0913058160376133E-2</v>
      </c>
      <c r="S14" s="219"/>
      <c r="T14" s="445">
        <v>34518</v>
      </c>
      <c r="U14" s="446">
        <v>676</v>
      </c>
      <c r="V14" s="1517">
        <v>34156</v>
      </c>
      <c r="W14" s="1518">
        <v>1128</v>
      </c>
      <c r="X14" s="1517">
        <v>34903</v>
      </c>
      <c r="Y14" s="1518">
        <v>1617</v>
      </c>
      <c r="Z14" s="1517">
        <v>35437</v>
      </c>
      <c r="AA14" s="1518">
        <v>1474</v>
      </c>
      <c r="AB14" s="1517">
        <v>35894</v>
      </c>
      <c r="AC14" s="1518">
        <v>1360</v>
      </c>
      <c r="AD14" s="1517">
        <v>36705</v>
      </c>
      <c r="AE14" s="1518">
        <v>1268</v>
      </c>
      <c r="AF14" s="1517">
        <v>37702</v>
      </c>
      <c r="AG14" s="1518">
        <v>1113</v>
      </c>
      <c r="AH14" s="1517">
        <v>37536</v>
      </c>
      <c r="AI14" s="1518">
        <v>1126</v>
      </c>
      <c r="AJ14" s="1517">
        <v>38651</v>
      </c>
      <c r="AK14" s="1518">
        <v>1419</v>
      </c>
      <c r="AL14" s="1519">
        <v>37817</v>
      </c>
      <c r="AM14" s="1518">
        <v>2674</v>
      </c>
      <c r="AN14" s="1517">
        <v>37552</v>
      </c>
      <c r="AO14" s="1518">
        <v>2745</v>
      </c>
      <c r="AP14" s="440">
        <v>37488</v>
      </c>
      <c r="AQ14" s="441">
        <v>2484</v>
      </c>
      <c r="AR14" s="442">
        <v>37099</v>
      </c>
      <c r="AS14" s="443">
        <v>2292</v>
      </c>
      <c r="AT14" s="442">
        <v>37106</v>
      </c>
      <c r="AU14" s="1586">
        <v>2143</v>
      </c>
      <c r="AV14" s="1589">
        <v>38497</v>
      </c>
      <c r="AW14" s="1590">
        <v>1960</v>
      </c>
    </row>
    <row r="15" spans="1:49" ht="15" customHeight="1" x14ac:dyDescent="0.25">
      <c r="A15" s="428" t="s">
        <v>30</v>
      </c>
      <c r="B15" s="444" t="s">
        <v>31</v>
      </c>
      <c r="C15" s="190" t="s">
        <v>268</v>
      </c>
      <c r="D15" s="430">
        <f t="shared" si="15"/>
        <v>5.1818805765271106E-2</v>
      </c>
      <c r="E15" s="431">
        <f t="shared" si="16"/>
        <v>5.6653491436100128E-2</v>
      </c>
      <c r="F15" s="432">
        <f t="shared" si="17"/>
        <v>6.0134936931651513E-2</v>
      </c>
      <c r="G15" s="432">
        <f t="shared" si="18"/>
        <v>0.05</v>
      </c>
      <c r="H15" s="432">
        <f t="shared" si="19"/>
        <v>4.5015005001667226E-2</v>
      </c>
      <c r="I15" s="432">
        <f t="shared" si="20"/>
        <v>3.9311241065627028E-2</v>
      </c>
      <c r="J15" s="432">
        <f t="shared" si="21"/>
        <v>3.7197768133911964E-2</v>
      </c>
      <c r="K15" s="432">
        <f t="shared" si="22"/>
        <v>3.7993469872365689E-2</v>
      </c>
      <c r="L15" s="432">
        <f t="shared" si="23"/>
        <v>4.7714285714285716E-2</v>
      </c>
      <c r="M15" s="432">
        <f t="shared" si="24"/>
        <v>7.7072359301358473E-2</v>
      </c>
      <c r="N15" s="432">
        <f t="shared" si="25"/>
        <v>7.5116009280742455E-2</v>
      </c>
      <c r="O15" s="433">
        <f t="shared" si="26"/>
        <v>6.3779988297249859E-2</v>
      </c>
      <c r="P15" s="434">
        <f t="shared" si="27"/>
        <v>6.0134936931651513E-2</v>
      </c>
      <c r="Q15" s="1577">
        <f t="shared" si="28"/>
        <v>5.9224163458691144E-2</v>
      </c>
      <c r="R15" s="1580">
        <f t="shared" si="14"/>
        <v>5.9937995177402684E-2</v>
      </c>
      <c r="S15" s="219"/>
      <c r="T15" s="435">
        <v>2914</v>
      </c>
      <c r="U15" s="436">
        <v>151</v>
      </c>
      <c r="V15" s="437">
        <v>3036</v>
      </c>
      <c r="W15" s="438">
        <v>172</v>
      </c>
      <c r="X15" s="437">
        <v>3031</v>
      </c>
      <c r="Y15" s="438">
        <v>160</v>
      </c>
      <c r="Z15" s="437">
        <v>3060</v>
      </c>
      <c r="AA15" s="438">
        <v>153</v>
      </c>
      <c r="AB15" s="437">
        <v>2999</v>
      </c>
      <c r="AC15" s="438">
        <v>135</v>
      </c>
      <c r="AD15" s="437">
        <v>3078</v>
      </c>
      <c r="AE15" s="438">
        <v>121</v>
      </c>
      <c r="AF15" s="437">
        <v>3226</v>
      </c>
      <c r="AG15" s="438">
        <v>120</v>
      </c>
      <c r="AH15" s="437">
        <v>3369</v>
      </c>
      <c r="AI15" s="438">
        <v>128</v>
      </c>
      <c r="AJ15" s="437">
        <v>3500</v>
      </c>
      <c r="AK15" s="438">
        <v>167</v>
      </c>
      <c r="AL15" s="439">
        <v>3607</v>
      </c>
      <c r="AM15" s="438">
        <v>278</v>
      </c>
      <c r="AN15" s="437">
        <v>3448</v>
      </c>
      <c r="AO15" s="438">
        <v>259</v>
      </c>
      <c r="AP15" s="440">
        <v>3418</v>
      </c>
      <c r="AQ15" s="441">
        <v>218</v>
      </c>
      <c r="AR15" s="442">
        <v>3409</v>
      </c>
      <c r="AS15" s="443">
        <v>205</v>
      </c>
      <c r="AT15" s="442">
        <v>3377</v>
      </c>
      <c r="AU15" s="1586">
        <v>200</v>
      </c>
      <c r="AV15" s="1589">
        <v>2903</v>
      </c>
      <c r="AW15" s="1590">
        <v>174</v>
      </c>
    </row>
    <row r="16" spans="1:49" ht="15" customHeight="1" x14ac:dyDescent="0.25">
      <c r="A16" s="428" t="s">
        <v>32</v>
      </c>
      <c r="B16" s="444" t="s">
        <v>33</v>
      </c>
      <c r="C16" s="190" t="s">
        <v>265</v>
      </c>
      <c r="D16" s="430">
        <f t="shared" si="15"/>
        <v>1.7711005252229142E-2</v>
      </c>
      <c r="E16" s="431">
        <f t="shared" si="16"/>
        <v>2.6597665182332409E-2</v>
      </c>
      <c r="F16" s="432">
        <f t="shared" si="17"/>
        <v>5.6118383608423451E-2</v>
      </c>
      <c r="G16" s="432">
        <f t="shared" si="18"/>
        <v>3.5630291627469425E-2</v>
      </c>
      <c r="H16" s="432">
        <f t="shared" si="19"/>
        <v>3.2599066910765959E-2</v>
      </c>
      <c r="I16" s="432">
        <f t="shared" si="20"/>
        <v>2.9896064463389001E-2</v>
      </c>
      <c r="J16" s="432">
        <f t="shared" si="21"/>
        <v>2.5611642697530509E-2</v>
      </c>
      <c r="K16" s="432">
        <f t="shared" si="22"/>
        <v>2.6592062759575451E-2</v>
      </c>
      <c r="L16" s="432">
        <f t="shared" si="23"/>
        <v>3.2679003318521853E-2</v>
      </c>
      <c r="M16" s="432">
        <f t="shared" si="24"/>
        <v>6.5336374002280498E-2</v>
      </c>
      <c r="N16" s="432">
        <f t="shared" si="25"/>
        <v>6.691919191919192E-2</v>
      </c>
      <c r="O16" s="433">
        <f t="shared" si="26"/>
        <v>6.0882974470272432E-2</v>
      </c>
      <c r="P16" s="434">
        <f t="shared" si="27"/>
        <v>5.6118383608423451E-2</v>
      </c>
      <c r="Q16" s="1577">
        <f t="shared" si="28"/>
        <v>5.2125966348340158E-2</v>
      </c>
      <c r="R16" s="1580">
        <f t="shared" si="14"/>
        <v>4.8348196758090753E-2</v>
      </c>
      <c r="S16" s="219"/>
      <c r="T16" s="435">
        <v>16374</v>
      </c>
      <c r="U16" s="436">
        <v>290</v>
      </c>
      <c r="V16" s="437">
        <v>16618</v>
      </c>
      <c r="W16" s="438">
        <v>442</v>
      </c>
      <c r="X16" s="437">
        <v>17202</v>
      </c>
      <c r="Y16" s="438">
        <v>626</v>
      </c>
      <c r="Z16" s="437">
        <v>17008</v>
      </c>
      <c r="AA16" s="438">
        <v>606</v>
      </c>
      <c r="AB16" s="437">
        <v>16933</v>
      </c>
      <c r="AC16" s="438">
        <v>552</v>
      </c>
      <c r="AD16" s="437">
        <v>17126</v>
      </c>
      <c r="AE16" s="438">
        <v>512</v>
      </c>
      <c r="AF16" s="437">
        <v>17453</v>
      </c>
      <c r="AG16" s="438">
        <v>447</v>
      </c>
      <c r="AH16" s="437">
        <v>17336</v>
      </c>
      <c r="AI16" s="438">
        <v>461</v>
      </c>
      <c r="AJ16" s="437">
        <v>17779</v>
      </c>
      <c r="AK16" s="438">
        <v>581</v>
      </c>
      <c r="AL16" s="439">
        <v>17540</v>
      </c>
      <c r="AM16" s="438">
        <v>1146</v>
      </c>
      <c r="AN16" s="437">
        <v>17424</v>
      </c>
      <c r="AO16" s="438">
        <v>1166</v>
      </c>
      <c r="AP16" s="440">
        <v>17509</v>
      </c>
      <c r="AQ16" s="441">
        <v>1066</v>
      </c>
      <c r="AR16" s="442">
        <v>17570</v>
      </c>
      <c r="AS16" s="443">
        <v>986</v>
      </c>
      <c r="AT16" s="442">
        <v>17592</v>
      </c>
      <c r="AU16" s="1586">
        <v>917</v>
      </c>
      <c r="AV16" s="1589">
        <v>17829</v>
      </c>
      <c r="AW16" s="1590">
        <v>862</v>
      </c>
    </row>
    <row r="17" spans="1:49" ht="15" customHeight="1" x14ac:dyDescent="0.25">
      <c r="A17" s="428" t="s">
        <v>36</v>
      </c>
      <c r="B17" s="444" t="s">
        <v>37</v>
      </c>
      <c r="C17" s="190" t="s">
        <v>264</v>
      </c>
      <c r="D17" s="430">
        <f t="shared" si="15"/>
        <v>3.4811985898942424E-2</v>
      </c>
      <c r="E17" s="431">
        <f t="shared" si="16"/>
        <v>5.4026354319180091E-2</v>
      </c>
      <c r="F17" s="432">
        <f t="shared" si="17"/>
        <v>0.10413223140495868</v>
      </c>
      <c r="G17" s="432">
        <f t="shared" si="18"/>
        <v>6.9684420962444663E-2</v>
      </c>
      <c r="H17" s="432">
        <f t="shared" si="19"/>
        <v>6.4218841427735512E-2</v>
      </c>
      <c r="I17" s="432">
        <f t="shared" si="20"/>
        <v>5.101440752719788E-2</v>
      </c>
      <c r="J17" s="432">
        <f t="shared" si="21"/>
        <v>4.7967241883591694E-2</v>
      </c>
      <c r="K17" s="432">
        <f t="shared" si="22"/>
        <v>4.8384739073234907E-2</v>
      </c>
      <c r="L17" s="432">
        <f t="shared" si="23"/>
        <v>6.6222348269994333E-2</v>
      </c>
      <c r="M17" s="432">
        <f t="shared" si="24"/>
        <v>0.11619864434914925</v>
      </c>
      <c r="N17" s="432">
        <f t="shared" si="25"/>
        <v>0.11972348874834535</v>
      </c>
      <c r="O17" s="433">
        <f t="shared" si="26"/>
        <v>0.10966212211025489</v>
      </c>
      <c r="P17" s="434">
        <f t="shared" si="27"/>
        <v>0.10413223140495868</v>
      </c>
      <c r="Q17" s="1577">
        <f t="shared" si="28"/>
        <v>9.965220021170422E-2</v>
      </c>
      <c r="R17" s="1580">
        <f t="shared" si="14"/>
        <v>8.2259054634745241E-2</v>
      </c>
      <c r="S17" s="219"/>
      <c r="T17" s="435">
        <v>6808</v>
      </c>
      <c r="U17" s="436">
        <v>237</v>
      </c>
      <c r="V17" s="437">
        <v>6830</v>
      </c>
      <c r="W17" s="438">
        <v>369</v>
      </c>
      <c r="X17" s="437">
        <v>6859</v>
      </c>
      <c r="Y17" s="438">
        <v>436</v>
      </c>
      <c r="Z17" s="437">
        <v>7003</v>
      </c>
      <c r="AA17" s="438">
        <v>488</v>
      </c>
      <c r="AB17" s="437">
        <v>6836</v>
      </c>
      <c r="AC17" s="438">
        <v>439</v>
      </c>
      <c r="AD17" s="437">
        <v>6802</v>
      </c>
      <c r="AE17" s="438">
        <v>347</v>
      </c>
      <c r="AF17" s="437">
        <v>6838</v>
      </c>
      <c r="AG17" s="438">
        <v>328</v>
      </c>
      <c r="AH17" s="437">
        <v>6841</v>
      </c>
      <c r="AI17" s="438">
        <v>331</v>
      </c>
      <c r="AJ17" s="437">
        <v>7052</v>
      </c>
      <c r="AK17" s="438">
        <v>467</v>
      </c>
      <c r="AL17" s="439">
        <v>7229</v>
      </c>
      <c r="AM17" s="438">
        <v>840</v>
      </c>
      <c r="AN17" s="437">
        <v>6799</v>
      </c>
      <c r="AO17" s="438">
        <v>814</v>
      </c>
      <c r="AP17" s="440">
        <v>6748</v>
      </c>
      <c r="AQ17" s="441">
        <v>740</v>
      </c>
      <c r="AR17" s="442">
        <v>6655</v>
      </c>
      <c r="AS17" s="443">
        <v>693</v>
      </c>
      <c r="AT17" s="442">
        <v>6613</v>
      </c>
      <c r="AU17" s="1586">
        <v>659</v>
      </c>
      <c r="AV17" s="1589">
        <v>6516</v>
      </c>
      <c r="AW17" s="1590">
        <v>536</v>
      </c>
    </row>
    <row r="18" spans="1:49" ht="15" customHeight="1" x14ac:dyDescent="0.25">
      <c r="A18" s="428" t="s">
        <v>38</v>
      </c>
      <c r="B18" s="444" t="s">
        <v>39</v>
      </c>
      <c r="C18" s="190" t="s">
        <v>268</v>
      </c>
      <c r="D18" s="430">
        <f t="shared" si="15"/>
        <v>5.8179723502304145E-2</v>
      </c>
      <c r="E18" s="431">
        <f t="shared" si="16"/>
        <v>6.0146975692481626E-2</v>
      </c>
      <c r="F18" s="432">
        <f t="shared" si="17"/>
        <v>8.142812402129658E-2</v>
      </c>
      <c r="G18" s="432">
        <f t="shared" si="18"/>
        <v>6.9593386952636282E-2</v>
      </c>
      <c r="H18" s="432">
        <f t="shared" si="19"/>
        <v>5.622632575757576E-2</v>
      </c>
      <c r="I18" s="432">
        <f t="shared" si="20"/>
        <v>5.3129807123417347E-2</v>
      </c>
      <c r="J18" s="432">
        <f t="shared" si="21"/>
        <v>4.9252314265369093E-2</v>
      </c>
      <c r="K18" s="432">
        <f t="shared" si="22"/>
        <v>4.9094707520891366E-2</v>
      </c>
      <c r="L18" s="432">
        <f t="shared" si="23"/>
        <v>5.0011163206072781E-2</v>
      </c>
      <c r="M18" s="432">
        <f t="shared" si="24"/>
        <v>8.8565264293419627E-2</v>
      </c>
      <c r="N18" s="432">
        <f t="shared" si="25"/>
        <v>9.2319375135604259E-2</v>
      </c>
      <c r="O18" s="433">
        <f t="shared" si="26"/>
        <v>7.6824720298348428E-2</v>
      </c>
      <c r="P18" s="434">
        <f t="shared" si="27"/>
        <v>8.142812402129658E-2</v>
      </c>
      <c r="Q18" s="1577">
        <f t="shared" si="28"/>
        <v>9.7566323174742384E-2</v>
      </c>
      <c r="R18" s="1580">
        <f t="shared" si="14"/>
        <v>0.10363220726441452</v>
      </c>
      <c r="S18" s="219"/>
      <c r="T18" s="435">
        <v>8680</v>
      </c>
      <c r="U18" s="436">
        <v>505</v>
      </c>
      <c r="V18" s="437">
        <v>8845</v>
      </c>
      <c r="W18" s="438">
        <v>532</v>
      </c>
      <c r="X18" s="437">
        <v>9025</v>
      </c>
      <c r="Y18" s="438">
        <v>638</v>
      </c>
      <c r="Z18" s="437">
        <v>8952</v>
      </c>
      <c r="AA18" s="438">
        <v>623</v>
      </c>
      <c r="AB18" s="437">
        <v>8448</v>
      </c>
      <c r="AC18" s="438">
        <v>475</v>
      </c>
      <c r="AD18" s="437">
        <v>8451</v>
      </c>
      <c r="AE18" s="438">
        <v>449</v>
      </c>
      <c r="AF18" s="437">
        <v>8426</v>
      </c>
      <c r="AG18" s="438">
        <v>415</v>
      </c>
      <c r="AH18" s="437">
        <v>8616</v>
      </c>
      <c r="AI18" s="438">
        <v>423</v>
      </c>
      <c r="AJ18" s="437">
        <v>8958</v>
      </c>
      <c r="AK18" s="438">
        <v>448</v>
      </c>
      <c r="AL18" s="439">
        <v>9270</v>
      </c>
      <c r="AM18" s="438">
        <v>821</v>
      </c>
      <c r="AN18" s="437">
        <v>9218</v>
      </c>
      <c r="AO18" s="438">
        <v>851</v>
      </c>
      <c r="AP18" s="440">
        <v>9385</v>
      </c>
      <c r="AQ18" s="441">
        <v>721</v>
      </c>
      <c r="AR18" s="442">
        <v>9579</v>
      </c>
      <c r="AS18" s="443">
        <v>780</v>
      </c>
      <c r="AT18" s="442">
        <v>9122</v>
      </c>
      <c r="AU18" s="1586">
        <v>890</v>
      </c>
      <c r="AV18" s="1589">
        <v>7874</v>
      </c>
      <c r="AW18" s="1590">
        <v>816</v>
      </c>
    </row>
    <row r="19" spans="1:49" ht="15" customHeight="1" x14ac:dyDescent="0.25">
      <c r="A19" s="428" t="s">
        <v>40</v>
      </c>
      <c r="B19" s="444" t="s">
        <v>41</v>
      </c>
      <c r="C19" s="190" t="s">
        <v>266</v>
      </c>
      <c r="D19" s="430">
        <f t="shared" si="15"/>
        <v>3.1766824954969707E-2</v>
      </c>
      <c r="E19" s="431">
        <f t="shared" si="16"/>
        <v>3.4309758860657062E-2</v>
      </c>
      <c r="F19" s="432">
        <f t="shared" si="17"/>
        <v>7.6725304465493915E-2</v>
      </c>
      <c r="G19" s="432">
        <f t="shared" si="18"/>
        <v>4.3625192012288788E-2</v>
      </c>
      <c r="H19" s="432">
        <f t="shared" si="19"/>
        <v>4.2060212514757972E-2</v>
      </c>
      <c r="I19" s="432">
        <f t="shared" si="20"/>
        <v>4.3070612364488718E-2</v>
      </c>
      <c r="J19" s="432">
        <f t="shared" si="21"/>
        <v>3.5510740903112667E-2</v>
      </c>
      <c r="K19" s="432">
        <f t="shared" si="22"/>
        <v>3.4893739230327396E-2</v>
      </c>
      <c r="L19" s="432">
        <f t="shared" si="23"/>
        <v>4.9202858713578893E-2</v>
      </c>
      <c r="M19" s="432">
        <f t="shared" si="24"/>
        <v>8.4076777507434447E-2</v>
      </c>
      <c r="N19" s="432">
        <f t="shared" si="25"/>
        <v>0.10057236304170074</v>
      </c>
      <c r="O19" s="433">
        <f t="shared" si="26"/>
        <v>8.9039242219215151E-2</v>
      </c>
      <c r="P19" s="434">
        <f t="shared" si="27"/>
        <v>7.6725304465493915E-2</v>
      </c>
      <c r="Q19" s="1577">
        <f t="shared" si="28"/>
        <v>7.1759890859481576E-2</v>
      </c>
      <c r="R19" s="1580">
        <f t="shared" si="14"/>
        <v>6.5837937384898709E-2</v>
      </c>
      <c r="S19" s="219"/>
      <c r="T19" s="435">
        <v>6107</v>
      </c>
      <c r="U19" s="436">
        <v>194</v>
      </c>
      <c r="V19" s="437">
        <v>6179</v>
      </c>
      <c r="W19" s="438">
        <v>212</v>
      </c>
      <c r="X19" s="437">
        <v>6260</v>
      </c>
      <c r="Y19" s="438">
        <v>241</v>
      </c>
      <c r="Z19" s="437">
        <v>6510</v>
      </c>
      <c r="AA19" s="438">
        <v>284</v>
      </c>
      <c r="AB19" s="437">
        <v>6776</v>
      </c>
      <c r="AC19" s="438">
        <v>285</v>
      </c>
      <c r="AD19" s="437">
        <v>6826</v>
      </c>
      <c r="AE19" s="438">
        <v>294</v>
      </c>
      <c r="AF19" s="437">
        <v>6843</v>
      </c>
      <c r="AG19" s="438">
        <v>243</v>
      </c>
      <c r="AH19" s="437">
        <v>6964</v>
      </c>
      <c r="AI19" s="438">
        <v>243</v>
      </c>
      <c r="AJ19" s="437">
        <v>7276</v>
      </c>
      <c r="AK19" s="438">
        <v>358</v>
      </c>
      <c r="AL19" s="439">
        <v>7398</v>
      </c>
      <c r="AM19" s="438">
        <v>622</v>
      </c>
      <c r="AN19" s="437">
        <v>7338</v>
      </c>
      <c r="AO19" s="438">
        <v>738</v>
      </c>
      <c r="AP19" s="440">
        <v>7390</v>
      </c>
      <c r="AQ19" s="441">
        <v>658</v>
      </c>
      <c r="AR19" s="442">
        <v>7390</v>
      </c>
      <c r="AS19" s="443">
        <v>567</v>
      </c>
      <c r="AT19" s="442">
        <v>7330</v>
      </c>
      <c r="AU19" s="1586">
        <v>526</v>
      </c>
      <c r="AV19" s="1589">
        <v>6516</v>
      </c>
      <c r="AW19" s="1590">
        <v>429</v>
      </c>
    </row>
    <row r="20" spans="1:49" ht="15" customHeight="1" x14ac:dyDescent="0.25">
      <c r="A20" s="428" t="s">
        <v>42</v>
      </c>
      <c r="B20" s="444" t="s">
        <v>43</v>
      </c>
      <c r="C20" s="190" t="s">
        <v>265</v>
      </c>
      <c r="D20" s="430">
        <f t="shared" si="15"/>
        <v>2.3074003795066415E-2</v>
      </c>
      <c r="E20" s="431">
        <f t="shared" si="16"/>
        <v>4.2419119342196263E-2</v>
      </c>
      <c r="F20" s="432">
        <f t="shared" si="17"/>
        <v>6.2729805013927581E-2</v>
      </c>
      <c r="G20" s="432">
        <f t="shared" si="18"/>
        <v>4.9788774894387447E-2</v>
      </c>
      <c r="H20" s="432">
        <f t="shared" si="19"/>
        <v>4.304698443948056E-2</v>
      </c>
      <c r="I20" s="432">
        <f t="shared" si="20"/>
        <v>3.9225181598062951E-2</v>
      </c>
      <c r="J20" s="432">
        <f t="shared" si="21"/>
        <v>3.2129990441879273E-2</v>
      </c>
      <c r="K20" s="432">
        <f t="shared" si="22"/>
        <v>3.4512001769846243E-2</v>
      </c>
      <c r="L20" s="432">
        <f t="shared" si="23"/>
        <v>3.9788178044940607E-2</v>
      </c>
      <c r="M20" s="432">
        <f t="shared" si="24"/>
        <v>7.5120302685229401E-2</v>
      </c>
      <c r="N20" s="432">
        <f t="shared" si="25"/>
        <v>7.8146611341632088E-2</v>
      </c>
      <c r="O20" s="433">
        <f t="shared" si="26"/>
        <v>7.1841392932913889E-2</v>
      </c>
      <c r="P20" s="434">
        <f t="shared" si="27"/>
        <v>6.2729805013927581E-2</v>
      </c>
      <c r="Q20" s="1577">
        <f t="shared" si="28"/>
        <v>5.9094283593170011E-2</v>
      </c>
      <c r="R20" s="1580">
        <f t="shared" si="14"/>
        <v>5.2928592505163768E-2</v>
      </c>
      <c r="S20" s="219"/>
      <c r="T20" s="435">
        <v>26350</v>
      </c>
      <c r="U20" s="436">
        <v>608</v>
      </c>
      <c r="V20" s="437">
        <v>26026</v>
      </c>
      <c r="W20" s="438">
        <v>1104</v>
      </c>
      <c r="X20" s="437">
        <v>26518</v>
      </c>
      <c r="Y20" s="438">
        <v>1513</v>
      </c>
      <c r="Z20" s="437">
        <v>26512</v>
      </c>
      <c r="AA20" s="438">
        <v>1320</v>
      </c>
      <c r="AB20" s="437">
        <v>26413</v>
      </c>
      <c r="AC20" s="438">
        <v>1137</v>
      </c>
      <c r="AD20" s="437">
        <v>26845</v>
      </c>
      <c r="AE20" s="438">
        <v>1053</v>
      </c>
      <c r="AF20" s="437">
        <v>27202</v>
      </c>
      <c r="AG20" s="438">
        <v>874</v>
      </c>
      <c r="AH20" s="437">
        <v>27121</v>
      </c>
      <c r="AI20" s="438">
        <v>936</v>
      </c>
      <c r="AJ20" s="437">
        <v>27948</v>
      </c>
      <c r="AK20" s="438">
        <v>1112</v>
      </c>
      <c r="AL20" s="439">
        <v>27223</v>
      </c>
      <c r="AM20" s="438">
        <v>2045</v>
      </c>
      <c r="AN20" s="437">
        <v>27474</v>
      </c>
      <c r="AO20" s="438">
        <v>2147</v>
      </c>
      <c r="AP20" s="440">
        <v>27338</v>
      </c>
      <c r="AQ20" s="441">
        <v>1964</v>
      </c>
      <c r="AR20" s="442">
        <v>26925</v>
      </c>
      <c r="AS20" s="443">
        <v>1689</v>
      </c>
      <c r="AT20" s="442">
        <v>26940</v>
      </c>
      <c r="AU20" s="1586">
        <v>1592</v>
      </c>
      <c r="AV20" s="1589">
        <v>27112</v>
      </c>
      <c r="AW20" s="1590">
        <v>1435</v>
      </c>
    </row>
    <row r="21" spans="1:49" ht="15" customHeight="1" x14ac:dyDescent="0.25">
      <c r="A21" s="428" t="s">
        <v>44</v>
      </c>
      <c r="B21" s="444" t="s">
        <v>45</v>
      </c>
      <c r="C21" s="190" t="s">
        <v>266</v>
      </c>
      <c r="D21" s="430">
        <f t="shared" si="15"/>
        <v>2.1677490167383153E-2</v>
      </c>
      <c r="E21" s="431">
        <f t="shared" si="16"/>
        <v>3.0198603427949579E-2</v>
      </c>
      <c r="F21" s="432">
        <f t="shared" si="17"/>
        <v>7.2523262178434592E-2</v>
      </c>
      <c r="G21" s="432">
        <f t="shared" si="18"/>
        <v>4.252577319587629E-2</v>
      </c>
      <c r="H21" s="432">
        <f t="shared" si="19"/>
        <v>3.9278656126482216E-2</v>
      </c>
      <c r="I21" s="432">
        <f t="shared" si="20"/>
        <v>3.7629423582135682E-2</v>
      </c>
      <c r="J21" s="432">
        <f t="shared" si="21"/>
        <v>3.3736004714201531E-2</v>
      </c>
      <c r="K21" s="432">
        <f t="shared" si="22"/>
        <v>3.7513552584026021E-2</v>
      </c>
      <c r="L21" s="432">
        <f t="shared" si="23"/>
        <v>4.8008957939673878E-2</v>
      </c>
      <c r="M21" s="432">
        <f t="shared" si="24"/>
        <v>8.6913580246913577E-2</v>
      </c>
      <c r="N21" s="432">
        <f t="shared" si="25"/>
        <v>9.4811419045634504E-2</v>
      </c>
      <c r="O21" s="433">
        <f t="shared" si="26"/>
        <v>8.4720121028744322E-2</v>
      </c>
      <c r="P21" s="434">
        <f t="shared" si="27"/>
        <v>7.2523262178434592E-2</v>
      </c>
      <c r="Q21" s="1577">
        <f t="shared" si="28"/>
        <v>6.700645599728168E-2</v>
      </c>
      <c r="R21" s="1580">
        <f t="shared" si="14"/>
        <v>6.1231416740207725E-2</v>
      </c>
      <c r="S21" s="219"/>
      <c r="T21" s="435">
        <v>10933</v>
      </c>
      <c r="U21" s="436">
        <v>237</v>
      </c>
      <c r="V21" s="437">
        <v>11027</v>
      </c>
      <c r="W21" s="438">
        <v>333</v>
      </c>
      <c r="X21" s="437">
        <v>11340</v>
      </c>
      <c r="Y21" s="438">
        <v>484</v>
      </c>
      <c r="Z21" s="437">
        <v>11640</v>
      </c>
      <c r="AA21" s="438">
        <v>495</v>
      </c>
      <c r="AB21" s="437">
        <v>12144</v>
      </c>
      <c r="AC21" s="438">
        <v>477</v>
      </c>
      <c r="AD21" s="437">
        <v>12942</v>
      </c>
      <c r="AE21" s="438">
        <v>487</v>
      </c>
      <c r="AF21" s="437">
        <v>13576</v>
      </c>
      <c r="AG21" s="438">
        <v>458</v>
      </c>
      <c r="AH21" s="437">
        <v>13835</v>
      </c>
      <c r="AI21" s="438">
        <v>519</v>
      </c>
      <c r="AJ21" s="437">
        <v>14289</v>
      </c>
      <c r="AK21" s="438">
        <v>686</v>
      </c>
      <c r="AL21" s="439">
        <v>14175</v>
      </c>
      <c r="AM21" s="438">
        <v>1232</v>
      </c>
      <c r="AN21" s="437">
        <v>14397</v>
      </c>
      <c r="AO21" s="438">
        <v>1365</v>
      </c>
      <c r="AP21" s="440">
        <v>14542</v>
      </c>
      <c r="AQ21" s="441">
        <v>1232</v>
      </c>
      <c r="AR21" s="442">
        <v>14616</v>
      </c>
      <c r="AS21" s="443">
        <v>1060</v>
      </c>
      <c r="AT21" s="442">
        <v>14715</v>
      </c>
      <c r="AU21" s="1586">
        <v>986</v>
      </c>
      <c r="AV21" s="1589">
        <v>14731</v>
      </c>
      <c r="AW21" s="1590">
        <v>902</v>
      </c>
    </row>
    <row r="22" spans="1:49" ht="15" customHeight="1" x14ac:dyDescent="0.25">
      <c r="A22" s="428" t="s">
        <v>46</v>
      </c>
      <c r="B22" s="444" t="s">
        <v>47</v>
      </c>
      <c r="C22" s="190" t="s">
        <v>268</v>
      </c>
      <c r="D22" s="430">
        <f t="shared" si="15"/>
        <v>4.0266177768724112E-2</v>
      </c>
      <c r="E22" s="431">
        <f t="shared" si="16"/>
        <v>6.8937495767589896E-2</v>
      </c>
      <c r="F22" s="432">
        <f t="shared" si="17"/>
        <v>8.5284031608766964E-2</v>
      </c>
      <c r="G22" s="432">
        <f t="shared" si="18"/>
        <v>5.5688463583200426E-2</v>
      </c>
      <c r="H22" s="432">
        <f t="shared" si="19"/>
        <v>4.9054293101102188E-2</v>
      </c>
      <c r="I22" s="432">
        <f t="shared" si="20"/>
        <v>5.5567074434998961E-2</v>
      </c>
      <c r="J22" s="432">
        <f t="shared" si="21"/>
        <v>5.1886110709640124E-2</v>
      </c>
      <c r="K22" s="432">
        <f t="shared" si="22"/>
        <v>5.6880601329864125E-2</v>
      </c>
      <c r="L22" s="432">
        <f t="shared" si="23"/>
        <v>6.6704553527029906E-2</v>
      </c>
      <c r="M22" s="432">
        <f t="shared" si="24"/>
        <v>0.1121398466109307</v>
      </c>
      <c r="N22" s="432">
        <f t="shared" si="25"/>
        <v>0.11297335203366059</v>
      </c>
      <c r="O22" s="433">
        <f t="shared" si="26"/>
        <v>9.5360091090236271E-2</v>
      </c>
      <c r="P22" s="434">
        <f t="shared" si="27"/>
        <v>8.5284031608766964E-2</v>
      </c>
      <c r="Q22" s="1577">
        <f t="shared" si="28"/>
        <v>8.0836547018688823E-2</v>
      </c>
      <c r="R22" s="1580">
        <f t="shared" si="14"/>
        <v>6.7508315693982468E-2</v>
      </c>
      <c r="S22" s="219"/>
      <c r="T22" s="435">
        <v>14727</v>
      </c>
      <c r="U22" s="436">
        <v>593</v>
      </c>
      <c r="V22" s="437">
        <v>14767</v>
      </c>
      <c r="W22" s="438">
        <v>1018</v>
      </c>
      <c r="X22" s="437">
        <v>14853</v>
      </c>
      <c r="Y22" s="438">
        <v>979</v>
      </c>
      <c r="Z22" s="437">
        <v>15048</v>
      </c>
      <c r="AA22" s="438">
        <v>838</v>
      </c>
      <c r="AB22" s="437">
        <v>14698</v>
      </c>
      <c r="AC22" s="438">
        <v>721</v>
      </c>
      <c r="AD22" s="437">
        <v>14469</v>
      </c>
      <c r="AE22" s="438">
        <v>804</v>
      </c>
      <c r="AF22" s="437">
        <v>13838</v>
      </c>
      <c r="AG22" s="438">
        <v>718</v>
      </c>
      <c r="AH22" s="437">
        <v>13836</v>
      </c>
      <c r="AI22" s="438">
        <v>787</v>
      </c>
      <c r="AJ22" s="437">
        <v>14077</v>
      </c>
      <c r="AK22" s="438">
        <v>939</v>
      </c>
      <c r="AL22" s="439">
        <v>14473</v>
      </c>
      <c r="AM22" s="438">
        <v>1623</v>
      </c>
      <c r="AN22" s="437">
        <v>14260</v>
      </c>
      <c r="AO22" s="438">
        <v>1611</v>
      </c>
      <c r="AP22" s="440">
        <v>14052</v>
      </c>
      <c r="AQ22" s="441">
        <v>1340</v>
      </c>
      <c r="AR22" s="442">
        <v>13414</v>
      </c>
      <c r="AS22" s="443">
        <v>1144</v>
      </c>
      <c r="AT22" s="442">
        <v>13484</v>
      </c>
      <c r="AU22" s="1586">
        <v>1090</v>
      </c>
      <c r="AV22" s="1589">
        <v>13228</v>
      </c>
      <c r="AW22" s="1590">
        <v>893</v>
      </c>
    </row>
    <row r="23" spans="1:49" ht="15" customHeight="1" x14ac:dyDescent="0.25">
      <c r="A23" s="428" t="s">
        <v>48</v>
      </c>
      <c r="B23" s="444" t="s">
        <v>269</v>
      </c>
      <c r="C23" s="190" t="s">
        <v>266</v>
      </c>
      <c r="D23" s="430">
        <f t="shared" si="15"/>
        <v>2.4492067909824659E-2</v>
      </c>
      <c r="E23" s="431">
        <f t="shared" si="16"/>
        <v>4.8873201194678251E-2</v>
      </c>
      <c r="F23" s="432">
        <f t="shared" si="17"/>
        <v>7.4920297555791715E-2</v>
      </c>
      <c r="G23" s="432">
        <f t="shared" si="18"/>
        <v>5.0317796610169489E-2</v>
      </c>
      <c r="H23" s="432">
        <f t="shared" si="19"/>
        <v>4.9697607152248226E-2</v>
      </c>
      <c r="I23" s="432">
        <f t="shared" si="20"/>
        <v>4.3374768579740812E-2</v>
      </c>
      <c r="J23" s="432">
        <f t="shared" si="21"/>
        <v>3.9302446642373763E-2</v>
      </c>
      <c r="K23" s="432">
        <f t="shared" si="22"/>
        <v>3.9313984168865439E-2</v>
      </c>
      <c r="L23" s="432">
        <f t="shared" si="23"/>
        <v>5.0115651503469548E-2</v>
      </c>
      <c r="M23" s="432">
        <f t="shared" si="24"/>
        <v>9.3319469716662329E-2</v>
      </c>
      <c r="N23" s="432">
        <f t="shared" si="25"/>
        <v>9.5063025210084029E-2</v>
      </c>
      <c r="O23" s="433">
        <f t="shared" si="26"/>
        <v>8.7467362924281991E-2</v>
      </c>
      <c r="P23" s="434">
        <f t="shared" si="27"/>
        <v>7.4920297555791715E-2</v>
      </c>
      <c r="Q23" s="1577">
        <f t="shared" si="28"/>
        <v>6.0719041278295603E-2</v>
      </c>
      <c r="R23" s="1580">
        <f t="shared" si="14"/>
        <v>5.7868551976957318E-2</v>
      </c>
      <c r="S23" s="219"/>
      <c r="T23" s="435">
        <v>3593</v>
      </c>
      <c r="U23" s="436">
        <v>88</v>
      </c>
      <c r="V23" s="437">
        <v>3683</v>
      </c>
      <c r="W23" s="438">
        <v>180</v>
      </c>
      <c r="X23" s="437">
        <v>3743</v>
      </c>
      <c r="Y23" s="438">
        <v>195</v>
      </c>
      <c r="Z23" s="437">
        <v>3776</v>
      </c>
      <c r="AA23" s="438">
        <v>190</v>
      </c>
      <c r="AB23" s="437">
        <v>3803</v>
      </c>
      <c r="AC23" s="438">
        <v>189</v>
      </c>
      <c r="AD23" s="437">
        <v>3781</v>
      </c>
      <c r="AE23" s="438">
        <v>164</v>
      </c>
      <c r="AF23" s="437">
        <v>3842</v>
      </c>
      <c r="AG23" s="438">
        <v>151</v>
      </c>
      <c r="AH23" s="437">
        <v>3790</v>
      </c>
      <c r="AI23" s="438">
        <v>149</v>
      </c>
      <c r="AJ23" s="437">
        <v>3891</v>
      </c>
      <c r="AK23" s="438">
        <v>195</v>
      </c>
      <c r="AL23" s="439">
        <v>3847</v>
      </c>
      <c r="AM23" s="438">
        <v>359</v>
      </c>
      <c r="AN23" s="437">
        <v>3808</v>
      </c>
      <c r="AO23" s="438">
        <v>362</v>
      </c>
      <c r="AP23" s="440">
        <v>3830</v>
      </c>
      <c r="AQ23" s="441">
        <v>335</v>
      </c>
      <c r="AR23" s="442">
        <v>3764</v>
      </c>
      <c r="AS23" s="443">
        <v>282</v>
      </c>
      <c r="AT23" s="442">
        <v>3755</v>
      </c>
      <c r="AU23" s="1586">
        <v>228</v>
      </c>
      <c r="AV23" s="1589">
        <v>3819</v>
      </c>
      <c r="AW23" s="1590">
        <v>221</v>
      </c>
    </row>
    <row r="24" spans="1:49" ht="15" customHeight="1" x14ac:dyDescent="0.25">
      <c r="A24" s="428" t="s">
        <v>50</v>
      </c>
      <c r="B24" s="444" t="s">
        <v>51</v>
      </c>
      <c r="C24" s="190" t="s">
        <v>265</v>
      </c>
      <c r="D24" s="430">
        <f t="shared" si="15"/>
        <v>3.1358249772105745E-2</v>
      </c>
      <c r="E24" s="431">
        <f t="shared" si="16"/>
        <v>4.2880703683342493E-2</v>
      </c>
      <c r="F24" s="432">
        <f t="shared" si="17"/>
        <v>8.8521400778210121E-2</v>
      </c>
      <c r="G24" s="432">
        <f t="shared" si="18"/>
        <v>6.4985111227885792E-2</v>
      </c>
      <c r="H24" s="432">
        <f t="shared" si="19"/>
        <v>5.9128260092890315E-2</v>
      </c>
      <c r="I24" s="432">
        <f t="shared" si="20"/>
        <v>8.1224789145581219E-2</v>
      </c>
      <c r="J24" s="432">
        <f t="shared" si="21"/>
        <v>6.5969581749049433E-2</v>
      </c>
      <c r="K24" s="432">
        <f t="shared" si="22"/>
        <v>5.34147272033575E-2</v>
      </c>
      <c r="L24" s="432">
        <f t="shared" si="23"/>
        <v>5.9353178978316795E-2</v>
      </c>
      <c r="M24" s="432">
        <f t="shared" si="24"/>
        <v>9.5528820254982938E-2</v>
      </c>
      <c r="N24" s="432">
        <f t="shared" si="25"/>
        <v>0.10061832490163013</v>
      </c>
      <c r="O24" s="433">
        <f t="shared" si="26"/>
        <v>9.7165236851920925E-2</v>
      </c>
      <c r="P24" s="434">
        <f t="shared" si="27"/>
        <v>8.8521400778210121E-2</v>
      </c>
      <c r="Q24" s="1577">
        <f t="shared" si="28"/>
        <v>7.9009433962264147E-2</v>
      </c>
      <c r="R24" s="1580">
        <f t="shared" si="14"/>
        <v>6.7341962108422429E-2</v>
      </c>
      <c r="S24" s="219"/>
      <c r="T24" s="435">
        <v>5485</v>
      </c>
      <c r="U24" s="436">
        <v>172</v>
      </c>
      <c r="V24" s="437">
        <v>5457</v>
      </c>
      <c r="W24" s="438">
        <v>234</v>
      </c>
      <c r="X24" s="437">
        <v>5568</v>
      </c>
      <c r="Y24" s="438">
        <v>414</v>
      </c>
      <c r="Z24" s="437">
        <v>5709</v>
      </c>
      <c r="AA24" s="438">
        <v>371</v>
      </c>
      <c r="AB24" s="437">
        <v>5598</v>
      </c>
      <c r="AC24" s="438">
        <v>331</v>
      </c>
      <c r="AD24" s="437">
        <v>5454</v>
      </c>
      <c r="AE24" s="438">
        <v>443</v>
      </c>
      <c r="AF24" s="437">
        <v>5260</v>
      </c>
      <c r="AG24" s="438">
        <v>347</v>
      </c>
      <c r="AH24" s="437">
        <v>5242</v>
      </c>
      <c r="AI24" s="438">
        <v>280</v>
      </c>
      <c r="AJ24" s="437">
        <v>5442</v>
      </c>
      <c r="AK24" s="438">
        <v>323</v>
      </c>
      <c r="AL24" s="439">
        <v>5569</v>
      </c>
      <c r="AM24" s="438">
        <v>532</v>
      </c>
      <c r="AN24" s="437">
        <v>5337</v>
      </c>
      <c r="AO24" s="438">
        <v>537</v>
      </c>
      <c r="AP24" s="440">
        <v>5362</v>
      </c>
      <c r="AQ24" s="441">
        <v>521</v>
      </c>
      <c r="AR24" s="442">
        <v>5140</v>
      </c>
      <c r="AS24" s="443">
        <v>455</v>
      </c>
      <c r="AT24" s="442">
        <v>5088</v>
      </c>
      <c r="AU24" s="1586">
        <v>402</v>
      </c>
      <c r="AV24" s="1589">
        <v>5331</v>
      </c>
      <c r="AW24" s="1590">
        <v>359</v>
      </c>
    </row>
    <row r="25" spans="1:49" x14ac:dyDescent="0.25">
      <c r="A25" s="428" t="s">
        <v>56</v>
      </c>
      <c r="B25" s="444" t="s">
        <v>57</v>
      </c>
      <c r="C25" s="190" t="s">
        <v>266</v>
      </c>
      <c r="D25" s="430">
        <f t="shared" si="15"/>
        <v>1.8083773262944594E-2</v>
      </c>
      <c r="E25" s="431">
        <f t="shared" si="16"/>
        <v>2.6142125346296587E-2</v>
      </c>
      <c r="F25" s="432">
        <f t="shared" si="17"/>
        <v>5.9556465737921373E-2</v>
      </c>
      <c r="G25" s="432">
        <f t="shared" si="18"/>
        <v>3.5656008270948295E-2</v>
      </c>
      <c r="H25" s="432">
        <f t="shared" si="19"/>
        <v>3.3082360916089674E-2</v>
      </c>
      <c r="I25" s="432">
        <f t="shared" si="20"/>
        <v>3.1828336760514137E-2</v>
      </c>
      <c r="J25" s="432">
        <f t="shared" si="21"/>
        <v>2.7787702414568086E-2</v>
      </c>
      <c r="K25" s="432">
        <f t="shared" si="22"/>
        <v>2.6788330814624981E-2</v>
      </c>
      <c r="L25" s="432">
        <f t="shared" si="23"/>
        <v>3.7053340093942753E-2</v>
      </c>
      <c r="M25" s="432">
        <f t="shared" si="24"/>
        <v>6.9645389269593419E-2</v>
      </c>
      <c r="N25" s="432">
        <f t="shared" si="25"/>
        <v>7.3687374080299198E-2</v>
      </c>
      <c r="O25" s="433">
        <f t="shared" si="26"/>
        <v>6.6593648510211642E-2</v>
      </c>
      <c r="P25" s="434">
        <f t="shared" si="27"/>
        <v>5.9556465737921373E-2</v>
      </c>
      <c r="Q25" s="1577">
        <f t="shared" si="28"/>
        <v>5.5725337664558047E-2</v>
      </c>
      <c r="R25" s="1580">
        <f t="shared" si="14"/>
        <v>5.1289353630555451E-2</v>
      </c>
      <c r="S25" s="219"/>
      <c r="T25" s="445">
        <v>150024</v>
      </c>
      <c r="U25" s="446">
        <v>2713</v>
      </c>
      <c r="V25" s="1517">
        <v>153048</v>
      </c>
      <c r="W25" s="1518">
        <v>4001</v>
      </c>
      <c r="X25" s="1517">
        <v>157039</v>
      </c>
      <c r="Y25" s="1518">
        <v>5423</v>
      </c>
      <c r="Z25" s="1517">
        <v>160562</v>
      </c>
      <c r="AA25" s="1518">
        <v>5725</v>
      </c>
      <c r="AB25" s="1517">
        <v>165224</v>
      </c>
      <c r="AC25" s="1518">
        <v>5466</v>
      </c>
      <c r="AD25" s="1517">
        <v>168749</v>
      </c>
      <c r="AE25" s="1518">
        <v>5371</v>
      </c>
      <c r="AF25" s="1517">
        <v>173530</v>
      </c>
      <c r="AG25" s="1518">
        <v>4822</v>
      </c>
      <c r="AH25" s="1517">
        <v>174031</v>
      </c>
      <c r="AI25" s="1518">
        <v>4662</v>
      </c>
      <c r="AJ25" s="1517">
        <v>179471</v>
      </c>
      <c r="AK25" s="1518">
        <v>6650</v>
      </c>
      <c r="AL25" s="1519">
        <v>177011</v>
      </c>
      <c r="AM25" s="1518">
        <v>12328</v>
      </c>
      <c r="AN25" s="1517">
        <v>179678</v>
      </c>
      <c r="AO25" s="1518">
        <v>13240</v>
      </c>
      <c r="AP25" s="440">
        <v>183516</v>
      </c>
      <c r="AQ25" s="441">
        <v>12221</v>
      </c>
      <c r="AR25" s="442">
        <v>185555</v>
      </c>
      <c r="AS25" s="443">
        <v>11051</v>
      </c>
      <c r="AT25" s="442">
        <v>187168</v>
      </c>
      <c r="AU25" s="1586">
        <v>10430</v>
      </c>
      <c r="AV25" s="1589">
        <v>186101</v>
      </c>
      <c r="AW25" s="1590">
        <v>9545</v>
      </c>
    </row>
    <row r="26" spans="1:49" ht="15" customHeight="1" x14ac:dyDescent="0.25">
      <c r="A26" s="428" t="s">
        <v>58</v>
      </c>
      <c r="B26" s="444" t="s">
        <v>59</v>
      </c>
      <c r="C26" s="190" t="s">
        <v>267</v>
      </c>
      <c r="D26" s="430">
        <f t="shared" si="15"/>
        <v>1.5729682493445966E-2</v>
      </c>
      <c r="E26" s="431">
        <f t="shared" si="16"/>
        <v>2.2301136363636363E-2</v>
      </c>
      <c r="F26" s="432">
        <f t="shared" si="17"/>
        <v>5.0135676443985012E-2</v>
      </c>
      <c r="G26" s="432">
        <f t="shared" si="18"/>
        <v>3.0972222222222224E-2</v>
      </c>
      <c r="H26" s="432">
        <f t="shared" si="19"/>
        <v>2.7955271565495207E-2</v>
      </c>
      <c r="I26" s="432">
        <f t="shared" si="20"/>
        <v>2.5552131484334873E-2</v>
      </c>
      <c r="J26" s="432">
        <f t="shared" si="21"/>
        <v>2.4302541847489152E-2</v>
      </c>
      <c r="K26" s="432">
        <f t="shared" si="22"/>
        <v>2.707445475056405E-2</v>
      </c>
      <c r="L26" s="432">
        <f t="shared" si="23"/>
        <v>3.4247410115783056E-2</v>
      </c>
      <c r="M26" s="432">
        <f t="shared" si="24"/>
        <v>6.5484982767109803E-2</v>
      </c>
      <c r="N26" s="432">
        <f t="shared" si="25"/>
        <v>5.9979182930002602E-2</v>
      </c>
      <c r="O26" s="433">
        <f t="shared" si="26"/>
        <v>5.3084832904884319E-2</v>
      </c>
      <c r="P26" s="434">
        <f t="shared" si="27"/>
        <v>5.0135676443985012E-2</v>
      </c>
      <c r="Q26" s="1577">
        <f t="shared" si="28"/>
        <v>4.5056642636457263E-2</v>
      </c>
      <c r="R26" s="1580">
        <f t="shared" si="14"/>
        <v>4.3182412980895056E-2</v>
      </c>
      <c r="S26" s="219"/>
      <c r="T26" s="435">
        <v>6866</v>
      </c>
      <c r="U26" s="436">
        <v>108</v>
      </c>
      <c r="V26" s="437">
        <v>7040</v>
      </c>
      <c r="W26" s="438">
        <v>157</v>
      </c>
      <c r="X26" s="437">
        <v>7103</v>
      </c>
      <c r="Y26" s="438">
        <v>214</v>
      </c>
      <c r="Z26" s="437">
        <v>7200</v>
      </c>
      <c r="AA26" s="438">
        <v>223</v>
      </c>
      <c r="AB26" s="437">
        <v>7512</v>
      </c>
      <c r="AC26" s="438">
        <v>210</v>
      </c>
      <c r="AD26" s="437">
        <v>7788</v>
      </c>
      <c r="AE26" s="438">
        <v>199</v>
      </c>
      <c r="AF26" s="437">
        <v>8065</v>
      </c>
      <c r="AG26" s="438">
        <v>196</v>
      </c>
      <c r="AH26" s="437">
        <v>7978</v>
      </c>
      <c r="AI26" s="438">
        <v>216</v>
      </c>
      <c r="AJ26" s="437">
        <v>8205</v>
      </c>
      <c r="AK26" s="438">
        <v>281</v>
      </c>
      <c r="AL26" s="439">
        <v>8124</v>
      </c>
      <c r="AM26" s="438">
        <v>532</v>
      </c>
      <c r="AN26" s="437">
        <v>7686</v>
      </c>
      <c r="AO26" s="438">
        <v>461</v>
      </c>
      <c r="AP26" s="440">
        <v>7780</v>
      </c>
      <c r="AQ26" s="441">
        <v>413</v>
      </c>
      <c r="AR26" s="442">
        <v>7739</v>
      </c>
      <c r="AS26" s="443">
        <v>388</v>
      </c>
      <c r="AT26" s="442">
        <v>7768</v>
      </c>
      <c r="AU26" s="1586">
        <v>350</v>
      </c>
      <c r="AV26" s="1589">
        <v>7642</v>
      </c>
      <c r="AW26" s="1590">
        <v>330</v>
      </c>
    </row>
    <row r="27" spans="1:49" ht="15" customHeight="1" x14ac:dyDescent="0.25">
      <c r="A27" s="428" t="s">
        <v>60</v>
      </c>
      <c r="B27" s="444" t="s">
        <v>61</v>
      </c>
      <c r="C27" s="190" t="s">
        <v>265</v>
      </c>
      <c r="D27" s="430">
        <f t="shared" si="15"/>
        <v>2.4115755627009645E-2</v>
      </c>
      <c r="E27" s="431">
        <f t="shared" si="16"/>
        <v>2.9246794871794872E-2</v>
      </c>
      <c r="F27" s="432">
        <f t="shared" si="17"/>
        <v>6.7246835443037972E-2</v>
      </c>
      <c r="G27" s="432">
        <f t="shared" si="18"/>
        <v>4.0873015873015874E-2</v>
      </c>
      <c r="H27" s="432">
        <f t="shared" si="19"/>
        <v>3.8630027877339705E-2</v>
      </c>
      <c r="I27" s="432">
        <f t="shared" si="20"/>
        <v>3.8553259141494434E-2</v>
      </c>
      <c r="J27" s="432">
        <f t="shared" si="21"/>
        <v>3.399765533411489E-2</v>
      </c>
      <c r="K27" s="432">
        <f t="shared" si="22"/>
        <v>3.7676609105180531E-2</v>
      </c>
      <c r="L27" s="432">
        <f t="shared" si="23"/>
        <v>3.9921722113502936E-2</v>
      </c>
      <c r="M27" s="432">
        <f t="shared" si="24"/>
        <v>7.6703386372909022E-2</v>
      </c>
      <c r="N27" s="432">
        <f t="shared" si="25"/>
        <v>7.9968012794882054E-2</v>
      </c>
      <c r="O27" s="433">
        <f t="shared" si="26"/>
        <v>7.6583801122694473E-2</v>
      </c>
      <c r="P27" s="434">
        <f t="shared" si="27"/>
        <v>6.7246835443037972E-2</v>
      </c>
      <c r="Q27" s="1577">
        <f t="shared" si="28"/>
        <v>6.6535433070866137E-2</v>
      </c>
      <c r="R27" s="1580">
        <f t="shared" si="14"/>
        <v>6.2676910634856448E-2</v>
      </c>
      <c r="S27" s="219"/>
      <c r="T27" s="435">
        <v>2488</v>
      </c>
      <c r="U27" s="436">
        <v>60</v>
      </c>
      <c r="V27" s="437">
        <v>2496</v>
      </c>
      <c r="W27" s="438">
        <v>73</v>
      </c>
      <c r="X27" s="437">
        <v>2545</v>
      </c>
      <c r="Y27" s="438">
        <v>102</v>
      </c>
      <c r="Z27" s="437">
        <v>2520</v>
      </c>
      <c r="AA27" s="438">
        <v>103</v>
      </c>
      <c r="AB27" s="437">
        <v>2511</v>
      </c>
      <c r="AC27" s="438">
        <v>97</v>
      </c>
      <c r="AD27" s="437">
        <v>2516</v>
      </c>
      <c r="AE27" s="438">
        <v>97</v>
      </c>
      <c r="AF27" s="437">
        <v>2559</v>
      </c>
      <c r="AG27" s="438">
        <v>87</v>
      </c>
      <c r="AH27" s="437">
        <v>2548</v>
      </c>
      <c r="AI27" s="438">
        <v>96</v>
      </c>
      <c r="AJ27" s="437">
        <v>2555</v>
      </c>
      <c r="AK27" s="438">
        <v>102</v>
      </c>
      <c r="AL27" s="439">
        <v>2451</v>
      </c>
      <c r="AM27" s="438">
        <v>188</v>
      </c>
      <c r="AN27" s="437">
        <v>2501</v>
      </c>
      <c r="AO27" s="438">
        <v>200</v>
      </c>
      <c r="AP27" s="440">
        <v>2494</v>
      </c>
      <c r="AQ27" s="441">
        <v>191</v>
      </c>
      <c r="AR27" s="442">
        <v>2528</v>
      </c>
      <c r="AS27" s="443">
        <v>170</v>
      </c>
      <c r="AT27" s="442">
        <v>2540</v>
      </c>
      <c r="AU27" s="1586">
        <v>169</v>
      </c>
      <c r="AV27" s="1589">
        <v>2473</v>
      </c>
      <c r="AW27" s="1590">
        <v>155</v>
      </c>
    </row>
    <row r="28" spans="1:49" ht="15" customHeight="1" x14ac:dyDescent="0.25">
      <c r="A28" s="428" t="s">
        <v>62</v>
      </c>
      <c r="B28" s="444" t="s">
        <v>63</v>
      </c>
      <c r="C28" s="190" t="s">
        <v>267</v>
      </c>
      <c r="D28" s="430">
        <f t="shared" si="15"/>
        <v>1.9015925837889233E-2</v>
      </c>
      <c r="E28" s="431">
        <f t="shared" si="16"/>
        <v>2.5980789260502256E-2</v>
      </c>
      <c r="F28" s="432">
        <f t="shared" si="17"/>
        <v>6.3088248998229429E-2</v>
      </c>
      <c r="G28" s="432">
        <f t="shared" si="18"/>
        <v>4.0235579040070454E-2</v>
      </c>
      <c r="H28" s="432">
        <f t="shared" si="19"/>
        <v>3.4819323353621756E-2</v>
      </c>
      <c r="I28" s="432">
        <f t="shared" si="20"/>
        <v>3.2595068951107399E-2</v>
      </c>
      <c r="J28" s="432">
        <f t="shared" si="21"/>
        <v>3.2203474192424468E-2</v>
      </c>
      <c r="K28" s="432">
        <f t="shared" si="22"/>
        <v>3.6269687484473595E-2</v>
      </c>
      <c r="L28" s="432">
        <f t="shared" si="23"/>
        <v>4.8125029780340209E-2</v>
      </c>
      <c r="M28" s="432">
        <f t="shared" si="24"/>
        <v>8.2175763528366308E-2</v>
      </c>
      <c r="N28" s="432">
        <f t="shared" si="25"/>
        <v>8.1104359060242118E-2</v>
      </c>
      <c r="O28" s="433">
        <f t="shared" si="26"/>
        <v>7.13878868426049E-2</v>
      </c>
      <c r="P28" s="434">
        <f t="shared" si="27"/>
        <v>6.3088248998229429E-2</v>
      </c>
      <c r="Q28" s="1577">
        <f t="shared" si="28"/>
        <v>5.893254262416605E-2</v>
      </c>
      <c r="R28" s="1580">
        <f t="shared" si="14"/>
        <v>4.9567403997783747E-2</v>
      </c>
      <c r="S28" s="219"/>
      <c r="T28" s="435">
        <v>16828</v>
      </c>
      <c r="U28" s="436">
        <v>320</v>
      </c>
      <c r="V28" s="437">
        <v>17282</v>
      </c>
      <c r="W28" s="438">
        <v>449</v>
      </c>
      <c r="X28" s="437">
        <v>17643</v>
      </c>
      <c r="Y28" s="438">
        <v>665</v>
      </c>
      <c r="Z28" s="437">
        <v>18168</v>
      </c>
      <c r="AA28" s="438">
        <v>731</v>
      </c>
      <c r="AB28" s="437">
        <v>18237</v>
      </c>
      <c r="AC28" s="438">
        <v>635</v>
      </c>
      <c r="AD28" s="437">
        <v>19144</v>
      </c>
      <c r="AE28" s="438">
        <v>624</v>
      </c>
      <c r="AF28" s="437">
        <v>20091</v>
      </c>
      <c r="AG28" s="438">
        <v>647</v>
      </c>
      <c r="AH28" s="437">
        <v>20127</v>
      </c>
      <c r="AI28" s="438">
        <v>730</v>
      </c>
      <c r="AJ28" s="437">
        <v>20987</v>
      </c>
      <c r="AK28" s="438">
        <v>1010</v>
      </c>
      <c r="AL28" s="439">
        <v>21381</v>
      </c>
      <c r="AM28" s="438">
        <v>1757</v>
      </c>
      <c r="AN28" s="437">
        <v>20899</v>
      </c>
      <c r="AO28" s="438">
        <v>1695</v>
      </c>
      <c r="AP28" s="440">
        <v>21068</v>
      </c>
      <c r="AQ28" s="441">
        <v>1504</v>
      </c>
      <c r="AR28" s="442">
        <v>21462</v>
      </c>
      <c r="AS28" s="443">
        <v>1354</v>
      </c>
      <c r="AT28" s="442">
        <v>21584</v>
      </c>
      <c r="AU28" s="1586">
        <v>1272</v>
      </c>
      <c r="AV28" s="1589">
        <v>23463</v>
      </c>
      <c r="AW28" s="1590">
        <v>1163</v>
      </c>
    </row>
    <row r="29" spans="1:49" ht="15" customHeight="1" x14ac:dyDescent="0.25">
      <c r="A29" s="428" t="s">
        <v>64</v>
      </c>
      <c r="B29" s="444" t="s">
        <v>65</v>
      </c>
      <c r="C29" s="190" t="s">
        <v>266</v>
      </c>
      <c r="D29" s="430">
        <f t="shared" si="15"/>
        <v>2.2317188983855651E-2</v>
      </c>
      <c r="E29" s="431">
        <f t="shared" si="16"/>
        <v>2.7877055039313797E-2</v>
      </c>
      <c r="F29" s="432">
        <f t="shared" si="17"/>
        <v>6.8987749838813672E-2</v>
      </c>
      <c r="G29" s="432">
        <f t="shared" si="18"/>
        <v>4.0387722132471729E-2</v>
      </c>
      <c r="H29" s="432">
        <f t="shared" si="19"/>
        <v>3.9041095890410958E-2</v>
      </c>
      <c r="I29" s="432">
        <f t="shared" si="20"/>
        <v>3.861607142857143E-2</v>
      </c>
      <c r="J29" s="432">
        <f t="shared" si="21"/>
        <v>3.422389048355045E-2</v>
      </c>
      <c r="K29" s="432">
        <f t="shared" si="22"/>
        <v>3.2378035440822579E-2</v>
      </c>
      <c r="L29" s="432">
        <f t="shared" si="23"/>
        <v>4.7831632653061222E-2</v>
      </c>
      <c r="M29" s="432">
        <f t="shared" si="24"/>
        <v>7.5672159583694706E-2</v>
      </c>
      <c r="N29" s="432">
        <f t="shared" si="25"/>
        <v>8.2872928176795577E-2</v>
      </c>
      <c r="O29" s="433">
        <f t="shared" si="26"/>
        <v>7.2083599914693958E-2</v>
      </c>
      <c r="P29" s="434">
        <f t="shared" si="27"/>
        <v>6.8987749838813672E-2</v>
      </c>
      <c r="Q29" s="1577">
        <f t="shared" si="28"/>
        <v>6.3193851409052093E-2</v>
      </c>
      <c r="R29" s="1580">
        <f t="shared" si="14"/>
        <v>6.0693003751931138E-2</v>
      </c>
      <c r="S29" s="219"/>
      <c r="T29" s="435">
        <v>4212</v>
      </c>
      <c r="U29" s="436">
        <v>94</v>
      </c>
      <c r="V29" s="437">
        <v>4197</v>
      </c>
      <c r="W29" s="438">
        <v>117</v>
      </c>
      <c r="X29" s="437">
        <v>4258</v>
      </c>
      <c r="Y29" s="438">
        <v>156</v>
      </c>
      <c r="Z29" s="437">
        <v>4333</v>
      </c>
      <c r="AA29" s="438">
        <v>175</v>
      </c>
      <c r="AB29" s="437">
        <v>4380</v>
      </c>
      <c r="AC29" s="438">
        <v>171</v>
      </c>
      <c r="AD29" s="437">
        <v>4480</v>
      </c>
      <c r="AE29" s="438">
        <v>173</v>
      </c>
      <c r="AF29" s="437">
        <v>4529</v>
      </c>
      <c r="AG29" s="438">
        <v>155</v>
      </c>
      <c r="AH29" s="437">
        <v>4571</v>
      </c>
      <c r="AI29" s="438">
        <v>148</v>
      </c>
      <c r="AJ29" s="437">
        <v>4704</v>
      </c>
      <c r="AK29" s="438">
        <v>225</v>
      </c>
      <c r="AL29" s="439">
        <v>4612</v>
      </c>
      <c r="AM29" s="438">
        <v>349</v>
      </c>
      <c r="AN29" s="437">
        <v>4706</v>
      </c>
      <c r="AO29" s="438">
        <v>390</v>
      </c>
      <c r="AP29" s="440">
        <v>4689</v>
      </c>
      <c r="AQ29" s="441">
        <v>338</v>
      </c>
      <c r="AR29" s="442">
        <v>4653</v>
      </c>
      <c r="AS29" s="443">
        <v>321</v>
      </c>
      <c r="AT29" s="442">
        <v>4684</v>
      </c>
      <c r="AU29" s="1586">
        <v>296</v>
      </c>
      <c r="AV29" s="1589">
        <v>4531</v>
      </c>
      <c r="AW29" s="1590">
        <v>275</v>
      </c>
    </row>
    <row r="30" spans="1:49" ht="15" customHeight="1" x14ac:dyDescent="0.25">
      <c r="A30" s="428" t="s">
        <v>68</v>
      </c>
      <c r="B30" s="444" t="s">
        <v>69</v>
      </c>
      <c r="C30" s="190" t="s">
        <v>268</v>
      </c>
      <c r="D30" s="430">
        <f t="shared" si="15"/>
        <v>5.7598499061913694E-2</v>
      </c>
      <c r="E30" s="431">
        <f t="shared" si="16"/>
        <v>6.987378818364734E-2</v>
      </c>
      <c r="F30" s="432">
        <f t="shared" si="17"/>
        <v>8.8809645101035825E-2</v>
      </c>
      <c r="G30" s="432">
        <f t="shared" si="18"/>
        <v>8.4341455103083995E-2</v>
      </c>
      <c r="H30" s="432">
        <f t="shared" si="19"/>
        <v>6.1293179805137286E-2</v>
      </c>
      <c r="I30" s="432">
        <f t="shared" si="20"/>
        <v>6.3456189151599438E-2</v>
      </c>
      <c r="J30" s="432">
        <f t="shared" si="21"/>
        <v>5.0661959399823479E-2</v>
      </c>
      <c r="K30" s="432">
        <f t="shared" si="22"/>
        <v>5.2777777777777778E-2</v>
      </c>
      <c r="L30" s="432">
        <f t="shared" si="23"/>
        <v>5.7227429699062651E-2</v>
      </c>
      <c r="M30" s="432">
        <f t="shared" si="24"/>
        <v>8.9995361063862689E-2</v>
      </c>
      <c r="N30" s="432">
        <f t="shared" si="25"/>
        <v>8.7580874230708539E-2</v>
      </c>
      <c r="O30" s="433">
        <f t="shared" si="26"/>
        <v>8.0728757656667191E-2</v>
      </c>
      <c r="P30" s="434">
        <f t="shared" si="27"/>
        <v>8.8809645101035825E-2</v>
      </c>
      <c r="Q30" s="1577">
        <f t="shared" si="28"/>
        <v>9.9549080818591748E-2</v>
      </c>
      <c r="R30" s="1580">
        <f t="shared" si="14"/>
        <v>9.9064707005153657E-2</v>
      </c>
      <c r="S30" s="219"/>
      <c r="T30" s="435">
        <v>5330</v>
      </c>
      <c r="U30" s="436">
        <v>307</v>
      </c>
      <c r="V30" s="437">
        <v>5467</v>
      </c>
      <c r="W30" s="438">
        <v>382</v>
      </c>
      <c r="X30" s="437">
        <v>5676</v>
      </c>
      <c r="Y30" s="438">
        <v>443</v>
      </c>
      <c r="Z30" s="437">
        <v>5869</v>
      </c>
      <c r="AA30" s="438">
        <v>495</v>
      </c>
      <c r="AB30" s="437">
        <v>5645</v>
      </c>
      <c r="AC30" s="438">
        <v>346</v>
      </c>
      <c r="AD30" s="437">
        <v>5752</v>
      </c>
      <c r="AE30" s="438">
        <v>365</v>
      </c>
      <c r="AF30" s="437">
        <v>5665</v>
      </c>
      <c r="AG30" s="438">
        <v>287</v>
      </c>
      <c r="AH30" s="437">
        <v>5760</v>
      </c>
      <c r="AI30" s="438">
        <v>304</v>
      </c>
      <c r="AJ30" s="437">
        <v>6081</v>
      </c>
      <c r="AK30" s="438">
        <v>348</v>
      </c>
      <c r="AL30" s="439">
        <v>6467</v>
      </c>
      <c r="AM30" s="438">
        <v>582</v>
      </c>
      <c r="AN30" s="437">
        <v>6337</v>
      </c>
      <c r="AO30" s="438">
        <v>555</v>
      </c>
      <c r="AP30" s="440">
        <v>6367</v>
      </c>
      <c r="AQ30" s="441">
        <v>514</v>
      </c>
      <c r="AR30" s="442">
        <v>5889</v>
      </c>
      <c r="AS30" s="443">
        <v>523</v>
      </c>
      <c r="AT30" s="442">
        <v>5766</v>
      </c>
      <c r="AU30" s="1586">
        <v>574</v>
      </c>
      <c r="AV30" s="1589">
        <v>5239</v>
      </c>
      <c r="AW30" s="1590">
        <v>519</v>
      </c>
    </row>
    <row r="31" spans="1:49" ht="15" customHeight="1" x14ac:dyDescent="0.25">
      <c r="A31" s="428" t="s">
        <v>70</v>
      </c>
      <c r="B31" s="444" t="s">
        <v>71</v>
      </c>
      <c r="C31" s="190" t="s">
        <v>264</v>
      </c>
      <c r="D31" s="430">
        <f t="shared" si="15"/>
        <v>2.0810697868783954E-2</v>
      </c>
      <c r="E31" s="431">
        <f t="shared" si="16"/>
        <v>3.0168440459230703E-2</v>
      </c>
      <c r="F31" s="432">
        <f t="shared" si="17"/>
        <v>7.2369842298552603E-2</v>
      </c>
      <c r="G31" s="432">
        <f t="shared" si="18"/>
        <v>4.0508598907816447E-2</v>
      </c>
      <c r="H31" s="432">
        <f t="shared" si="19"/>
        <v>3.8051750380517502E-2</v>
      </c>
      <c r="I31" s="432">
        <f t="shared" si="20"/>
        <v>4.0795391777795315E-2</v>
      </c>
      <c r="J31" s="432">
        <f t="shared" si="21"/>
        <v>3.1440638198029093E-2</v>
      </c>
      <c r="K31" s="432">
        <f t="shared" si="22"/>
        <v>3.4668962278916887E-2</v>
      </c>
      <c r="L31" s="432">
        <f t="shared" si="23"/>
        <v>4.5361605452480122E-2</v>
      </c>
      <c r="M31" s="432">
        <f t="shared" si="24"/>
        <v>8.3333333333333329E-2</v>
      </c>
      <c r="N31" s="432">
        <f t="shared" si="25"/>
        <v>8.4443473829802718E-2</v>
      </c>
      <c r="O31" s="433">
        <f t="shared" si="26"/>
        <v>7.6705780095610604E-2</v>
      </c>
      <c r="P31" s="434">
        <f t="shared" si="27"/>
        <v>7.2369842298552603E-2</v>
      </c>
      <c r="Q31" s="1577">
        <f t="shared" si="28"/>
        <v>6.8537159991432853E-2</v>
      </c>
      <c r="R31" s="1580">
        <f t="shared" si="14"/>
        <v>6.3621055714181127E-2</v>
      </c>
      <c r="S31" s="219"/>
      <c r="T31" s="435">
        <v>11965</v>
      </c>
      <c r="U31" s="436">
        <v>249</v>
      </c>
      <c r="V31" s="437">
        <v>11933</v>
      </c>
      <c r="W31" s="438">
        <v>360</v>
      </c>
      <c r="X31" s="437">
        <v>12134</v>
      </c>
      <c r="Y31" s="438">
        <v>483</v>
      </c>
      <c r="Z31" s="437">
        <v>12269</v>
      </c>
      <c r="AA31" s="438">
        <v>497</v>
      </c>
      <c r="AB31" s="437">
        <v>12483</v>
      </c>
      <c r="AC31" s="438">
        <v>475</v>
      </c>
      <c r="AD31" s="437">
        <v>12673</v>
      </c>
      <c r="AE31" s="438">
        <v>517</v>
      </c>
      <c r="AF31" s="437">
        <v>12786</v>
      </c>
      <c r="AG31" s="438">
        <v>402</v>
      </c>
      <c r="AH31" s="437">
        <v>12778</v>
      </c>
      <c r="AI31" s="438">
        <v>443</v>
      </c>
      <c r="AJ31" s="437">
        <v>13205</v>
      </c>
      <c r="AK31" s="438">
        <v>599</v>
      </c>
      <c r="AL31" s="439">
        <v>13104</v>
      </c>
      <c r="AM31" s="438">
        <v>1092</v>
      </c>
      <c r="AN31" s="437">
        <v>13737</v>
      </c>
      <c r="AO31" s="438">
        <v>1160</v>
      </c>
      <c r="AP31" s="440">
        <v>13806</v>
      </c>
      <c r="AQ31" s="441">
        <v>1059</v>
      </c>
      <c r="AR31" s="442">
        <v>13887</v>
      </c>
      <c r="AS31" s="443">
        <v>1005</v>
      </c>
      <c r="AT31" s="442">
        <v>14007</v>
      </c>
      <c r="AU31" s="1586">
        <v>960</v>
      </c>
      <c r="AV31" s="1589">
        <v>13659</v>
      </c>
      <c r="AW31" s="1590">
        <v>869</v>
      </c>
    </row>
    <row r="32" spans="1:49" ht="15" customHeight="1" x14ac:dyDescent="0.25">
      <c r="A32" s="428" t="s">
        <v>72</v>
      </c>
      <c r="B32" s="444" t="s">
        <v>73</v>
      </c>
      <c r="C32" s="190" t="s">
        <v>266</v>
      </c>
      <c r="D32" s="430">
        <f t="shared" si="15"/>
        <v>2.6562499999999999E-2</v>
      </c>
      <c r="E32" s="431">
        <f t="shared" si="16"/>
        <v>3.2276546982429336E-2</v>
      </c>
      <c r="F32" s="432">
        <f t="shared" si="17"/>
        <v>7.3110285006195791E-2</v>
      </c>
      <c r="G32" s="432">
        <f t="shared" si="18"/>
        <v>5.3873304848597439E-2</v>
      </c>
      <c r="H32" s="432">
        <f t="shared" si="19"/>
        <v>4.200442151805453E-2</v>
      </c>
      <c r="I32" s="432">
        <f t="shared" si="20"/>
        <v>4.6116952591772738E-2</v>
      </c>
      <c r="J32" s="432">
        <f t="shared" si="21"/>
        <v>3.8984920926811328E-2</v>
      </c>
      <c r="K32" s="432">
        <f t="shared" si="22"/>
        <v>3.6962488563586457E-2</v>
      </c>
      <c r="L32" s="432">
        <f t="shared" si="23"/>
        <v>5.197100936892346E-2</v>
      </c>
      <c r="M32" s="432">
        <f t="shared" si="24"/>
        <v>8.3732876712328763E-2</v>
      </c>
      <c r="N32" s="432">
        <f t="shared" si="25"/>
        <v>9.065453272663633E-2</v>
      </c>
      <c r="O32" s="433">
        <f t="shared" si="26"/>
        <v>8.2218309859154931E-2</v>
      </c>
      <c r="P32" s="434">
        <f t="shared" si="27"/>
        <v>7.3110285006195791E-2</v>
      </c>
      <c r="Q32" s="1577">
        <f t="shared" si="28"/>
        <v>6.7917783735478104E-2</v>
      </c>
      <c r="R32" s="1580">
        <f t="shared" si="14"/>
        <v>6.3571799757491776E-2</v>
      </c>
      <c r="S32" s="219"/>
      <c r="T32" s="435">
        <v>5120</v>
      </c>
      <c r="U32" s="436">
        <v>136</v>
      </c>
      <c r="V32" s="437">
        <v>5236</v>
      </c>
      <c r="W32" s="438">
        <v>169</v>
      </c>
      <c r="X32" s="437">
        <v>5360</v>
      </c>
      <c r="Y32" s="438">
        <v>236</v>
      </c>
      <c r="Z32" s="437">
        <v>5383</v>
      </c>
      <c r="AA32" s="438">
        <v>290</v>
      </c>
      <c r="AB32" s="437">
        <v>5428</v>
      </c>
      <c r="AC32" s="438">
        <v>228</v>
      </c>
      <c r="AD32" s="437">
        <v>5421</v>
      </c>
      <c r="AE32" s="438">
        <v>250</v>
      </c>
      <c r="AF32" s="437">
        <v>5438</v>
      </c>
      <c r="AG32" s="438">
        <v>212</v>
      </c>
      <c r="AH32" s="437">
        <v>5465</v>
      </c>
      <c r="AI32" s="438">
        <v>202</v>
      </c>
      <c r="AJ32" s="437">
        <v>5657</v>
      </c>
      <c r="AK32" s="438">
        <v>294</v>
      </c>
      <c r="AL32" s="439">
        <v>5840</v>
      </c>
      <c r="AM32" s="438">
        <v>489</v>
      </c>
      <c r="AN32" s="437">
        <v>5714</v>
      </c>
      <c r="AO32" s="438">
        <v>518</v>
      </c>
      <c r="AP32" s="440">
        <v>5680</v>
      </c>
      <c r="AQ32" s="441">
        <v>467</v>
      </c>
      <c r="AR32" s="442">
        <v>5649</v>
      </c>
      <c r="AS32" s="443">
        <v>413</v>
      </c>
      <c r="AT32" s="442">
        <v>5595</v>
      </c>
      <c r="AU32" s="1586">
        <v>380</v>
      </c>
      <c r="AV32" s="1589">
        <v>5773</v>
      </c>
      <c r="AW32" s="1590">
        <v>367</v>
      </c>
    </row>
    <row r="33" spans="1:49" x14ac:dyDescent="0.25">
      <c r="A33" s="428" t="s">
        <v>74</v>
      </c>
      <c r="B33" s="444" t="s">
        <v>649</v>
      </c>
      <c r="C33" s="190" t="s">
        <v>267</v>
      </c>
      <c r="D33" s="430">
        <f t="shared" si="15"/>
        <v>1.6152713998724321E-2</v>
      </c>
      <c r="E33" s="431">
        <f t="shared" si="16"/>
        <v>2.5071257911724022E-2</v>
      </c>
      <c r="F33" s="432">
        <f t="shared" si="17"/>
        <v>4.3947231679605403E-2</v>
      </c>
      <c r="G33" s="432">
        <f t="shared" si="18"/>
        <v>3.0671264015172645E-2</v>
      </c>
      <c r="H33" s="432">
        <f t="shared" si="19"/>
        <v>2.6978136364962577E-2</v>
      </c>
      <c r="I33" s="432">
        <f t="shared" si="20"/>
        <v>2.5467677006867157E-2</v>
      </c>
      <c r="J33" s="432">
        <f t="shared" si="21"/>
        <v>2.210276389051449E-2</v>
      </c>
      <c r="K33" s="432">
        <f t="shared" si="22"/>
        <v>2.2099567424800199E-2</v>
      </c>
      <c r="L33" s="432">
        <f t="shared" si="23"/>
        <v>2.8680573286215403E-2</v>
      </c>
      <c r="M33" s="432">
        <f t="shared" si="24"/>
        <v>4.9874891102857852E-2</v>
      </c>
      <c r="N33" s="432">
        <f t="shared" si="25"/>
        <v>5.0458416702292161E-2</v>
      </c>
      <c r="O33" s="433">
        <f t="shared" si="26"/>
        <v>4.6651153268518791E-2</v>
      </c>
      <c r="P33" s="434">
        <f t="shared" si="27"/>
        <v>4.3947231679605403E-2</v>
      </c>
      <c r="Q33" s="1577">
        <f t="shared" si="28"/>
        <v>4.2505310470092046E-2</v>
      </c>
      <c r="R33" s="1580">
        <f t="shared" si="14"/>
        <v>4.0753124272595961E-2</v>
      </c>
      <c r="S33" s="219"/>
      <c r="T33" s="445">
        <v>565973</v>
      </c>
      <c r="U33" s="446">
        <v>9142</v>
      </c>
      <c r="V33" s="1517">
        <v>572568</v>
      </c>
      <c r="W33" s="1518">
        <v>14355</v>
      </c>
      <c r="X33" s="1517">
        <v>574214</v>
      </c>
      <c r="Y33" s="1518">
        <v>19212</v>
      </c>
      <c r="Z33" s="1517">
        <v>573664</v>
      </c>
      <c r="AA33" s="1518">
        <v>17595</v>
      </c>
      <c r="AB33" s="1517">
        <v>582657</v>
      </c>
      <c r="AC33" s="1518">
        <v>15719</v>
      </c>
      <c r="AD33" s="1517">
        <v>591220</v>
      </c>
      <c r="AE33" s="1518">
        <v>15057</v>
      </c>
      <c r="AF33" s="1517">
        <v>598070</v>
      </c>
      <c r="AG33" s="1518">
        <v>13219</v>
      </c>
      <c r="AH33" s="1517">
        <v>598971</v>
      </c>
      <c r="AI33" s="1518">
        <v>13237</v>
      </c>
      <c r="AJ33" s="1517">
        <v>614911</v>
      </c>
      <c r="AK33" s="1518">
        <v>17636</v>
      </c>
      <c r="AL33" s="1519">
        <v>610668</v>
      </c>
      <c r="AM33" s="1518">
        <v>30457</v>
      </c>
      <c r="AN33" s="1517">
        <v>629231</v>
      </c>
      <c r="AO33" s="1518">
        <v>31750</v>
      </c>
      <c r="AP33" s="440">
        <v>639877</v>
      </c>
      <c r="AQ33" s="441">
        <v>29851</v>
      </c>
      <c r="AR33" s="442">
        <v>644705</v>
      </c>
      <c r="AS33" s="443">
        <v>28333</v>
      </c>
      <c r="AT33" s="442">
        <v>649660</v>
      </c>
      <c r="AU33" s="1586">
        <v>27614</v>
      </c>
      <c r="AV33" s="1589">
        <v>648711</v>
      </c>
      <c r="AW33" s="1590">
        <v>26437</v>
      </c>
    </row>
    <row r="34" spans="1:49" ht="15" customHeight="1" x14ac:dyDescent="0.25">
      <c r="A34" s="428" t="s">
        <v>76</v>
      </c>
      <c r="B34" s="444" t="s">
        <v>77</v>
      </c>
      <c r="C34" s="190" t="s">
        <v>267</v>
      </c>
      <c r="D34" s="430">
        <f t="shared" si="15"/>
        <v>1.5381030062922395E-2</v>
      </c>
      <c r="E34" s="431">
        <f t="shared" si="16"/>
        <v>2.1385882732999517E-2</v>
      </c>
      <c r="F34" s="432">
        <f t="shared" si="17"/>
        <v>4.8507150623065987E-2</v>
      </c>
      <c r="G34" s="432">
        <f t="shared" si="18"/>
        <v>3.1034693006523992E-2</v>
      </c>
      <c r="H34" s="432">
        <f t="shared" si="19"/>
        <v>2.7431713166052522E-2</v>
      </c>
      <c r="I34" s="432">
        <f t="shared" si="20"/>
        <v>2.6372639789018881E-2</v>
      </c>
      <c r="J34" s="432">
        <f t="shared" si="21"/>
        <v>2.4234310537963443E-2</v>
      </c>
      <c r="K34" s="432">
        <f t="shared" si="22"/>
        <v>2.522586263197997E-2</v>
      </c>
      <c r="L34" s="432">
        <f t="shared" si="23"/>
        <v>3.3481199831009716E-2</v>
      </c>
      <c r="M34" s="432">
        <f t="shared" si="24"/>
        <v>5.6859398335822486E-2</v>
      </c>
      <c r="N34" s="432">
        <f t="shared" si="25"/>
        <v>5.949945349065329E-2</v>
      </c>
      <c r="O34" s="433">
        <f t="shared" si="26"/>
        <v>5.1669029155896495E-2</v>
      </c>
      <c r="P34" s="434">
        <f t="shared" si="27"/>
        <v>4.8507150623065987E-2</v>
      </c>
      <c r="Q34" s="1577">
        <f t="shared" si="28"/>
        <v>4.6214764357312955E-2</v>
      </c>
      <c r="R34" s="1580">
        <f t="shared" si="14"/>
        <v>4.5116330723527123E-2</v>
      </c>
      <c r="S34" s="219"/>
      <c r="T34" s="435">
        <v>30037</v>
      </c>
      <c r="U34" s="436">
        <v>462</v>
      </c>
      <c r="V34" s="437">
        <v>30955</v>
      </c>
      <c r="W34" s="438">
        <v>662</v>
      </c>
      <c r="X34" s="437">
        <v>31987</v>
      </c>
      <c r="Y34" s="438">
        <v>983</v>
      </c>
      <c r="Z34" s="437">
        <v>32802</v>
      </c>
      <c r="AA34" s="438">
        <v>1018</v>
      </c>
      <c r="AB34" s="437">
        <v>34194</v>
      </c>
      <c r="AC34" s="438">
        <v>938</v>
      </c>
      <c r="AD34" s="437">
        <v>35643</v>
      </c>
      <c r="AE34" s="438">
        <v>940</v>
      </c>
      <c r="AF34" s="437">
        <v>36601</v>
      </c>
      <c r="AG34" s="438">
        <v>887</v>
      </c>
      <c r="AH34" s="437">
        <v>36748</v>
      </c>
      <c r="AI34" s="438">
        <v>927</v>
      </c>
      <c r="AJ34" s="437">
        <v>37872</v>
      </c>
      <c r="AK34" s="438">
        <v>1268</v>
      </c>
      <c r="AL34" s="439">
        <v>37496</v>
      </c>
      <c r="AM34" s="438">
        <v>2132</v>
      </c>
      <c r="AN34" s="437">
        <v>35681</v>
      </c>
      <c r="AO34" s="438">
        <v>2123</v>
      </c>
      <c r="AP34" s="440">
        <v>35979</v>
      </c>
      <c r="AQ34" s="441">
        <v>1859</v>
      </c>
      <c r="AR34" s="442">
        <v>35871</v>
      </c>
      <c r="AS34" s="443">
        <v>1740</v>
      </c>
      <c r="AT34" s="442">
        <v>36114</v>
      </c>
      <c r="AU34" s="1586">
        <v>1669</v>
      </c>
      <c r="AV34" s="1589">
        <v>36018</v>
      </c>
      <c r="AW34" s="1590">
        <v>1625</v>
      </c>
    </row>
    <row r="35" spans="1:49" ht="15" customHeight="1" x14ac:dyDescent="0.25">
      <c r="A35" s="428" t="s">
        <v>78</v>
      </c>
      <c r="B35" s="444" t="s">
        <v>79</v>
      </c>
      <c r="C35" s="190" t="s">
        <v>268</v>
      </c>
      <c r="D35" s="430">
        <f t="shared" si="15"/>
        <v>3.6919526968560712E-2</v>
      </c>
      <c r="E35" s="431">
        <f t="shared" si="16"/>
        <v>4.2771349055221911E-2</v>
      </c>
      <c r="F35" s="432">
        <f t="shared" si="17"/>
        <v>6.3496352337206158E-2</v>
      </c>
      <c r="G35" s="432">
        <f t="shared" si="18"/>
        <v>4.0195545898967955E-2</v>
      </c>
      <c r="H35" s="432">
        <f t="shared" si="19"/>
        <v>4.0022870211549454E-2</v>
      </c>
      <c r="I35" s="432">
        <f t="shared" si="20"/>
        <v>3.6564864107593166E-2</v>
      </c>
      <c r="J35" s="432">
        <f t="shared" si="21"/>
        <v>3.2396175253318109E-2</v>
      </c>
      <c r="K35" s="432">
        <f t="shared" si="22"/>
        <v>3.5067873303167421E-2</v>
      </c>
      <c r="L35" s="432">
        <f t="shared" si="23"/>
        <v>4.4211994421199441E-2</v>
      </c>
      <c r="M35" s="432">
        <f t="shared" si="24"/>
        <v>7.9337046596929764E-2</v>
      </c>
      <c r="N35" s="432">
        <f t="shared" si="25"/>
        <v>7.6712328767123292E-2</v>
      </c>
      <c r="O35" s="433">
        <f t="shared" si="26"/>
        <v>7.0659488559892333E-2</v>
      </c>
      <c r="P35" s="434">
        <f t="shared" si="27"/>
        <v>6.3496352337206158E-2</v>
      </c>
      <c r="Q35" s="1577">
        <f t="shared" si="28"/>
        <v>6.1246612466124659E-2</v>
      </c>
      <c r="R35" s="1580">
        <f t="shared" si="14"/>
        <v>4.5891141942369262E-2</v>
      </c>
      <c r="S35" s="219"/>
      <c r="T35" s="435">
        <v>6934</v>
      </c>
      <c r="U35" s="436">
        <v>256</v>
      </c>
      <c r="V35" s="437">
        <v>6827</v>
      </c>
      <c r="W35" s="438">
        <v>292</v>
      </c>
      <c r="X35" s="437">
        <v>6797</v>
      </c>
      <c r="Y35" s="438">
        <v>297</v>
      </c>
      <c r="Z35" s="437">
        <v>7364</v>
      </c>
      <c r="AA35" s="438">
        <v>296</v>
      </c>
      <c r="AB35" s="437">
        <v>6996</v>
      </c>
      <c r="AC35" s="438">
        <v>280</v>
      </c>
      <c r="AD35" s="437">
        <v>7138</v>
      </c>
      <c r="AE35" s="438">
        <v>261</v>
      </c>
      <c r="AF35" s="437">
        <v>7007</v>
      </c>
      <c r="AG35" s="438">
        <v>227</v>
      </c>
      <c r="AH35" s="437">
        <v>7072</v>
      </c>
      <c r="AI35" s="438">
        <v>248</v>
      </c>
      <c r="AJ35" s="437">
        <v>7170</v>
      </c>
      <c r="AK35" s="438">
        <v>317</v>
      </c>
      <c r="AL35" s="439">
        <v>7361</v>
      </c>
      <c r="AM35" s="438">
        <v>584</v>
      </c>
      <c r="AN35" s="437">
        <v>7300</v>
      </c>
      <c r="AO35" s="438">
        <v>560</v>
      </c>
      <c r="AP35" s="440">
        <v>7430</v>
      </c>
      <c r="AQ35" s="441">
        <v>525</v>
      </c>
      <c r="AR35" s="442">
        <v>7402</v>
      </c>
      <c r="AS35" s="443">
        <v>470</v>
      </c>
      <c r="AT35" s="442">
        <v>7380</v>
      </c>
      <c r="AU35" s="1586">
        <v>452</v>
      </c>
      <c r="AV35" s="1589">
        <v>8433</v>
      </c>
      <c r="AW35" s="1590">
        <v>387</v>
      </c>
    </row>
    <row r="36" spans="1:49" ht="15" customHeight="1" x14ac:dyDescent="0.25">
      <c r="A36" s="428" t="s">
        <v>80</v>
      </c>
      <c r="B36" s="444" t="s">
        <v>81</v>
      </c>
      <c r="C36" s="190" t="s">
        <v>266</v>
      </c>
      <c r="D36" s="430">
        <f t="shared" si="15"/>
        <v>1.9673421207948062E-2</v>
      </c>
      <c r="E36" s="431">
        <f t="shared" si="16"/>
        <v>2.481834481457016E-2</v>
      </c>
      <c r="F36" s="432">
        <f t="shared" si="17"/>
        <v>4.7989063961436075E-2</v>
      </c>
      <c r="G36" s="432">
        <f t="shared" si="18"/>
        <v>3.4188034188034191E-2</v>
      </c>
      <c r="H36" s="432">
        <f t="shared" si="19"/>
        <v>3.0305505636333933E-2</v>
      </c>
      <c r="I36" s="432">
        <f t="shared" si="20"/>
        <v>3.021359223300971E-2</v>
      </c>
      <c r="J36" s="432">
        <f t="shared" si="21"/>
        <v>2.3502200999776169E-2</v>
      </c>
      <c r="K36" s="432">
        <f t="shared" si="22"/>
        <v>2.3814725802927681E-2</v>
      </c>
      <c r="L36" s="432">
        <f t="shared" si="23"/>
        <v>3.3077085831158759E-2</v>
      </c>
      <c r="M36" s="432">
        <f t="shared" si="24"/>
        <v>5.9528053040564625E-2</v>
      </c>
      <c r="N36" s="432">
        <f t="shared" si="25"/>
        <v>5.9369744827081961E-2</v>
      </c>
      <c r="O36" s="433">
        <f t="shared" si="26"/>
        <v>5.4138766206012254E-2</v>
      </c>
      <c r="P36" s="434">
        <f t="shared" si="27"/>
        <v>4.7989063961436075E-2</v>
      </c>
      <c r="Q36" s="1577">
        <f t="shared" si="28"/>
        <v>4.3897905197683565E-2</v>
      </c>
      <c r="R36" s="1580">
        <f t="shared" ref="R36:R67" si="29">AW36/AV36</f>
        <v>4.2680196985524547E-2</v>
      </c>
      <c r="S36" s="219"/>
      <c r="T36" s="435">
        <v>10166</v>
      </c>
      <c r="U36" s="436">
        <v>200</v>
      </c>
      <c r="V36" s="437">
        <v>10597</v>
      </c>
      <c r="W36" s="438">
        <v>263</v>
      </c>
      <c r="X36" s="437">
        <v>11290</v>
      </c>
      <c r="Y36" s="438">
        <v>361</v>
      </c>
      <c r="Z36" s="437">
        <v>11817</v>
      </c>
      <c r="AA36" s="438">
        <v>404</v>
      </c>
      <c r="AB36" s="437">
        <v>12242</v>
      </c>
      <c r="AC36" s="438">
        <v>371</v>
      </c>
      <c r="AD36" s="437">
        <v>12875</v>
      </c>
      <c r="AE36" s="438">
        <v>389</v>
      </c>
      <c r="AF36" s="437">
        <v>13403</v>
      </c>
      <c r="AG36" s="438">
        <v>315</v>
      </c>
      <c r="AH36" s="437">
        <v>13731</v>
      </c>
      <c r="AI36" s="438">
        <v>327</v>
      </c>
      <c r="AJ36" s="437">
        <v>14179</v>
      </c>
      <c r="AK36" s="438">
        <v>469</v>
      </c>
      <c r="AL36" s="439">
        <v>14027</v>
      </c>
      <c r="AM36" s="438">
        <v>835</v>
      </c>
      <c r="AN36" s="437">
        <v>13677</v>
      </c>
      <c r="AO36" s="438">
        <v>812</v>
      </c>
      <c r="AP36" s="440">
        <v>14038</v>
      </c>
      <c r="AQ36" s="441">
        <v>760</v>
      </c>
      <c r="AR36" s="442">
        <v>13899</v>
      </c>
      <c r="AS36" s="443">
        <v>667</v>
      </c>
      <c r="AT36" s="442">
        <v>13987</v>
      </c>
      <c r="AU36" s="1586">
        <v>614</v>
      </c>
      <c r="AV36" s="1589">
        <v>13402</v>
      </c>
      <c r="AW36" s="1590">
        <v>572</v>
      </c>
    </row>
    <row r="37" spans="1:49" ht="15" customHeight="1" x14ac:dyDescent="0.25">
      <c r="A37" s="428" t="s">
        <v>84</v>
      </c>
      <c r="B37" s="444" t="s">
        <v>308</v>
      </c>
      <c r="C37" s="190" t="s">
        <v>265</v>
      </c>
      <c r="D37" s="430">
        <f t="shared" ref="D37:D68" si="30">U37/T37</f>
        <v>2.9677632393610435E-2</v>
      </c>
      <c r="E37" s="431">
        <f t="shared" ref="E37:E68" si="31">W37/V37</f>
        <v>4.0230347938144333E-2</v>
      </c>
      <c r="F37" s="432">
        <f t="shared" ref="F37:F68" si="32">AS37/AR37</f>
        <v>6.0171919770773637E-2</v>
      </c>
      <c r="G37" s="432">
        <f t="shared" ref="G37:G68" si="33">AA37/Z37</f>
        <v>4.438880941026864E-2</v>
      </c>
      <c r="H37" s="432">
        <f t="shared" ref="H37:H68" si="34">AC37/AB37</f>
        <v>3.8464604591836732E-2</v>
      </c>
      <c r="I37" s="432">
        <f t="shared" ref="I37:I68" si="35">AE37/AD37</f>
        <v>3.6002823750882422E-2</v>
      </c>
      <c r="J37" s="432">
        <f t="shared" ref="J37:J68" si="36">AG37/AF37</f>
        <v>3.1560760222691497E-2</v>
      </c>
      <c r="K37" s="432">
        <f t="shared" ref="K37:K68" si="37">AI37/AH37</f>
        <v>3.3549124143183548E-2</v>
      </c>
      <c r="L37" s="432">
        <f t="shared" ref="L37:L68" si="38">AK37/AJ37</f>
        <v>4.7812142883474032E-2</v>
      </c>
      <c r="M37" s="432">
        <f t="shared" ref="M37:M68" si="39">AM37/AL37</f>
        <v>8.5049438703442129E-2</v>
      </c>
      <c r="N37" s="432">
        <f t="shared" ref="N37:N68" si="40">AO37/AN37</f>
        <v>8.0061012379837537E-2</v>
      </c>
      <c r="O37" s="433">
        <f t="shared" ref="O37:O68" si="41">AQ37/AP37</f>
        <v>6.8013349727735817E-2</v>
      </c>
      <c r="P37" s="434">
        <f t="shared" ref="P37:P68" si="42">AS37/AR37</f>
        <v>6.0171919770773637E-2</v>
      </c>
      <c r="Q37" s="1577">
        <f t="shared" ref="Q37:Q68" si="43">AU37/AT37</f>
        <v>5.4773193687637112E-2</v>
      </c>
      <c r="R37" s="1580">
        <f t="shared" si="29"/>
        <v>5.297675435400423E-2</v>
      </c>
      <c r="S37" s="219"/>
      <c r="T37" s="435">
        <v>24227</v>
      </c>
      <c r="U37" s="436">
        <v>719</v>
      </c>
      <c r="V37" s="437">
        <v>24832</v>
      </c>
      <c r="W37" s="438">
        <v>999</v>
      </c>
      <c r="X37" s="437">
        <v>25624</v>
      </c>
      <c r="Y37" s="438">
        <v>1329</v>
      </c>
      <c r="Z37" s="437">
        <v>25164</v>
      </c>
      <c r="AA37" s="438">
        <v>1117</v>
      </c>
      <c r="AB37" s="437">
        <v>25088</v>
      </c>
      <c r="AC37" s="438">
        <v>965</v>
      </c>
      <c r="AD37" s="437">
        <v>25498</v>
      </c>
      <c r="AE37" s="438">
        <v>918</v>
      </c>
      <c r="AF37" s="437">
        <v>26045</v>
      </c>
      <c r="AG37" s="438">
        <v>822</v>
      </c>
      <c r="AH37" s="437">
        <v>26260</v>
      </c>
      <c r="AI37" s="438">
        <v>881</v>
      </c>
      <c r="AJ37" s="437">
        <v>27127</v>
      </c>
      <c r="AK37" s="438">
        <v>1297</v>
      </c>
      <c r="AL37" s="439">
        <v>26902</v>
      </c>
      <c r="AM37" s="438">
        <v>2288</v>
      </c>
      <c r="AN37" s="437">
        <v>28191</v>
      </c>
      <c r="AO37" s="438">
        <v>2257</v>
      </c>
      <c r="AP37" s="440">
        <v>28465</v>
      </c>
      <c r="AQ37" s="441">
        <v>1936</v>
      </c>
      <c r="AR37" s="442">
        <v>28269</v>
      </c>
      <c r="AS37" s="443">
        <v>1701</v>
      </c>
      <c r="AT37" s="442">
        <v>28262</v>
      </c>
      <c r="AU37" s="1586">
        <v>1548</v>
      </c>
      <c r="AV37" s="1589">
        <v>27446</v>
      </c>
      <c r="AW37" s="1590">
        <v>1454</v>
      </c>
    </row>
    <row r="38" spans="1:49" ht="15" customHeight="1" x14ac:dyDescent="0.25">
      <c r="A38" s="428" t="s">
        <v>86</v>
      </c>
      <c r="B38" s="444" t="s">
        <v>87</v>
      </c>
      <c r="C38" s="190" t="s">
        <v>267</v>
      </c>
      <c r="D38" s="430">
        <f t="shared" si="30"/>
        <v>2.0230418971365707E-2</v>
      </c>
      <c r="E38" s="431">
        <f t="shared" si="31"/>
        <v>2.7932126426480252E-2</v>
      </c>
      <c r="F38" s="432">
        <f t="shared" si="32"/>
        <v>5.5965024720747117E-2</v>
      </c>
      <c r="G38" s="432">
        <f t="shared" si="33"/>
        <v>3.6193764041865306E-2</v>
      </c>
      <c r="H38" s="432">
        <f t="shared" si="34"/>
        <v>2.9792332268370608E-2</v>
      </c>
      <c r="I38" s="432">
        <f t="shared" si="35"/>
        <v>2.787293677981937E-2</v>
      </c>
      <c r="J38" s="432">
        <f t="shared" si="36"/>
        <v>2.6269788512199327E-2</v>
      </c>
      <c r="K38" s="432">
        <f t="shared" si="37"/>
        <v>2.9813543168544267E-2</v>
      </c>
      <c r="L38" s="432">
        <f t="shared" si="38"/>
        <v>4.1969835686406783E-2</v>
      </c>
      <c r="M38" s="432">
        <f t="shared" si="39"/>
        <v>7.8297104980992294E-2</v>
      </c>
      <c r="N38" s="432">
        <f t="shared" si="40"/>
        <v>7.2260960932276241E-2</v>
      </c>
      <c r="O38" s="433">
        <f t="shared" si="41"/>
        <v>6.3382556529764655E-2</v>
      </c>
      <c r="P38" s="434">
        <f t="shared" si="42"/>
        <v>5.5965024720747117E-2</v>
      </c>
      <c r="Q38" s="1577">
        <f t="shared" si="43"/>
        <v>5.0163306678680034E-2</v>
      </c>
      <c r="R38" s="1580">
        <f t="shared" si="29"/>
        <v>4.6521515361722124E-2</v>
      </c>
      <c r="S38" s="219"/>
      <c r="T38" s="435">
        <v>32723</v>
      </c>
      <c r="U38" s="436">
        <v>662</v>
      </c>
      <c r="V38" s="437">
        <v>33474</v>
      </c>
      <c r="W38" s="438">
        <v>935</v>
      </c>
      <c r="X38" s="437">
        <v>34743</v>
      </c>
      <c r="Y38" s="438">
        <v>1199</v>
      </c>
      <c r="Z38" s="437">
        <v>36498</v>
      </c>
      <c r="AA38" s="438">
        <v>1321</v>
      </c>
      <c r="AB38" s="437">
        <v>37560</v>
      </c>
      <c r="AC38" s="438">
        <v>1119</v>
      </c>
      <c r="AD38" s="437">
        <v>38532</v>
      </c>
      <c r="AE38" s="438">
        <v>1074</v>
      </c>
      <c r="AF38" s="437">
        <v>40617</v>
      </c>
      <c r="AG38" s="438">
        <v>1067</v>
      </c>
      <c r="AH38" s="437">
        <v>40921</v>
      </c>
      <c r="AI38" s="438">
        <v>1220</v>
      </c>
      <c r="AJ38" s="437">
        <v>41506</v>
      </c>
      <c r="AK38" s="438">
        <v>1742</v>
      </c>
      <c r="AL38" s="439">
        <v>41036</v>
      </c>
      <c r="AM38" s="438">
        <v>3213</v>
      </c>
      <c r="AN38" s="437">
        <v>41876</v>
      </c>
      <c r="AO38" s="438">
        <v>3026</v>
      </c>
      <c r="AP38" s="440">
        <v>43340</v>
      </c>
      <c r="AQ38" s="441">
        <v>2747</v>
      </c>
      <c r="AR38" s="442">
        <v>43688</v>
      </c>
      <c r="AS38" s="443">
        <v>2445</v>
      </c>
      <c r="AT38" s="442">
        <v>44395</v>
      </c>
      <c r="AU38" s="1586">
        <v>2227</v>
      </c>
      <c r="AV38" s="1589">
        <v>44689</v>
      </c>
      <c r="AW38" s="1590">
        <v>2079</v>
      </c>
    </row>
    <row r="39" spans="1:49" ht="15" customHeight="1" x14ac:dyDescent="0.25">
      <c r="A39" s="428" t="s">
        <v>92</v>
      </c>
      <c r="B39" s="444" t="s">
        <v>93</v>
      </c>
      <c r="C39" s="190" t="s">
        <v>268</v>
      </c>
      <c r="D39" s="430">
        <f t="shared" si="30"/>
        <v>4.206451612903226E-2</v>
      </c>
      <c r="E39" s="431">
        <f t="shared" si="31"/>
        <v>5.6577445135100851E-2</v>
      </c>
      <c r="F39" s="432">
        <f t="shared" si="32"/>
        <v>7.052709725315516E-2</v>
      </c>
      <c r="G39" s="432">
        <f t="shared" si="33"/>
        <v>5.3773812394502046E-2</v>
      </c>
      <c r="H39" s="432">
        <f t="shared" si="34"/>
        <v>4.9849124924562463E-2</v>
      </c>
      <c r="I39" s="432">
        <f t="shared" si="35"/>
        <v>5.0702213758628899E-2</v>
      </c>
      <c r="J39" s="432">
        <f t="shared" si="36"/>
        <v>3.6984687868080096E-2</v>
      </c>
      <c r="K39" s="432">
        <f t="shared" si="37"/>
        <v>4.5280690931523752E-2</v>
      </c>
      <c r="L39" s="432">
        <f t="shared" si="38"/>
        <v>5.3912213740458015E-2</v>
      </c>
      <c r="M39" s="432">
        <f t="shared" si="39"/>
        <v>9.4788429356920875E-2</v>
      </c>
      <c r="N39" s="432">
        <f t="shared" si="40"/>
        <v>9.7684158659768414E-2</v>
      </c>
      <c r="O39" s="433">
        <f t="shared" si="41"/>
        <v>7.7622205846229433E-2</v>
      </c>
      <c r="P39" s="434">
        <f t="shared" si="42"/>
        <v>7.052709725315516E-2</v>
      </c>
      <c r="Q39" s="1577">
        <f t="shared" si="43"/>
        <v>6.6845245342749299E-2</v>
      </c>
      <c r="R39" s="1580">
        <f t="shared" si="29"/>
        <v>6.0316692856279462E-2</v>
      </c>
      <c r="S39" s="219"/>
      <c r="T39" s="435">
        <v>7750</v>
      </c>
      <c r="U39" s="436">
        <v>326</v>
      </c>
      <c r="V39" s="437">
        <v>7883</v>
      </c>
      <c r="W39" s="438">
        <v>446</v>
      </c>
      <c r="X39" s="437">
        <v>8053</v>
      </c>
      <c r="Y39" s="438">
        <v>483</v>
      </c>
      <c r="Z39" s="437">
        <v>8294</v>
      </c>
      <c r="AA39" s="438">
        <v>446</v>
      </c>
      <c r="AB39" s="437">
        <v>8285</v>
      </c>
      <c r="AC39" s="438">
        <v>413</v>
      </c>
      <c r="AD39" s="437">
        <v>8402</v>
      </c>
      <c r="AE39" s="438">
        <v>426</v>
      </c>
      <c r="AF39" s="437">
        <v>8490</v>
      </c>
      <c r="AG39" s="438">
        <v>314</v>
      </c>
      <c r="AH39" s="437">
        <v>8105</v>
      </c>
      <c r="AI39" s="438">
        <v>367</v>
      </c>
      <c r="AJ39" s="437">
        <v>8384</v>
      </c>
      <c r="AK39" s="438">
        <v>452</v>
      </c>
      <c r="AL39" s="439">
        <v>8366</v>
      </c>
      <c r="AM39" s="438">
        <v>793</v>
      </c>
      <c r="AN39" s="437">
        <v>8118</v>
      </c>
      <c r="AO39" s="438">
        <v>793</v>
      </c>
      <c r="AP39" s="440">
        <v>8142</v>
      </c>
      <c r="AQ39" s="441">
        <v>632</v>
      </c>
      <c r="AR39" s="442">
        <v>8082</v>
      </c>
      <c r="AS39" s="443">
        <v>570</v>
      </c>
      <c r="AT39" s="442">
        <v>8213</v>
      </c>
      <c r="AU39" s="1586">
        <v>549</v>
      </c>
      <c r="AV39" s="1589">
        <v>8273</v>
      </c>
      <c r="AW39" s="1590">
        <v>499</v>
      </c>
    </row>
    <row r="40" spans="1:49" ht="15" customHeight="1" x14ac:dyDescent="0.25">
      <c r="A40" s="428" t="s">
        <v>94</v>
      </c>
      <c r="B40" s="444" t="s">
        <v>95</v>
      </c>
      <c r="C40" s="190" t="s">
        <v>264</v>
      </c>
      <c r="D40" s="430">
        <f t="shared" si="30"/>
        <v>1.9212076162159072E-2</v>
      </c>
      <c r="E40" s="431">
        <f t="shared" si="31"/>
        <v>2.4434840425531915E-2</v>
      </c>
      <c r="F40" s="432">
        <f t="shared" si="32"/>
        <v>5.5116504359353488E-2</v>
      </c>
      <c r="G40" s="432">
        <f t="shared" si="33"/>
        <v>3.1682027649769587E-2</v>
      </c>
      <c r="H40" s="432">
        <f t="shared" si="34"/>
        <v>3.0356130495284236E-2</v>
      </c>
      <c r="I40" s="432">
        <f t="shared" si="35"/>
        <v>3.0563083408611864E-2</v>
      </c>
      <c r="J40" s="432">
        <f t="shared" si="36"/>
        <v>2.6159509202453989E-2</v>
      </c>
      <c r="K40" s="432">
        <f t="shared" si="37"/>
        <v>2.4990219092331768E-2</v>
      </c>
      <c r="L40" s="432">
        <f t="shared" si="38"/>
        <v>3.4801574131145985E-2</v>
      </c>
      <c r="M40" s="432">
        <f t="shared" si="39"/>
        <v>6.2437155853483362E-2</v>
      </c>
      <c r="N40" s="432">
        <f t="shared" si="40"/>
        <v>6.8224441177961379E-2</v>
      </c>
      <c r="O40" s="433">
        <f t="shared" si="41"/>
        <v>6.0557043926603653E-2</v>
      </c>
      <c r="P40" s="434">
        <f t="shared" si="42"/>
        <v>5.5116504359353488E-2</v>
      </c>
      <c r="Q40" s="1577">
        <f t="shared" si="43"/>
        <v>5.1436679673643133E-2</v>
      </c>
      <c r="R40" s="1580">
        <f t="shared" si="29"/>
        <v>4.847359735973597E-2</v>
      </c>
      <c r="S40" s="219"/>
      <c r="T40" s="435">
        <v>17489</v>
      </c>
      <c r="U40" s="436">
        <v>336</v>
      </c>
      <c r="V40" s="437">
        <v>18048</v>
      </c>
      <c r="W40" s="438">
        <v>441</v>
      </c>
      <c r="X40" s="437">
        <v>18682</v>
      </c>
      <c r="Y40" s="438">
        <v>589</v>
      </c>
      <c r="Z40" s="437">
        <v>19096</v>
      </c>
      <c r="AA40" s="438">
        <v>605</v>
      </c>
      <c r="AB40" s="437">
        <v>19403</v>
      </c>
      <c r="AC40" s="438">
        <v>589</v>
      </c>
      <c r="AD40" s="437">
        <v>19926</v>
      </c>
      <c r="AE40" s="438">
        <v>609</v>
      </c>
      <c r="AF40" s="437">
        <v>20375</v>
      </c>
      <c r="AG40" s="438">
        <v>533</v>
      </c>
      <c r="AH40" s="437">
        <v>20448</v>
      </c>
      <c r="AI40" s="438">
        <v>511</v>
      </c>
      <c r="AJ40" s="437">
        <v>21091</v>
      </c>
      <c r="AK40" s="438">
        <v>734</v>
      </c>
      <c r="AL40" s="439">
        <v>20885</v>
      </c>
      <c r="AM40" s="438">
        <v>1304</v>
      </c>
      <c r="AN40" s="437">
        <v>19729</v>
      </c>
      <c r="AO40" s="438">
        <v>1346</v>
      </c>
      <c r="AP40" s="440">
        <v>19783</v>
      </c>
      <c r="AQ40" s="441">
        <v>1198</v>
      </c>
      <c r="AR40" s="442">
        <v>19613</v>
      </c>
      <c r="AS40" s="443">
        <v>1081</v>
      </c>
      <c r="AT40" s="442">
        <v>19733</v>
      </c>
      <c r="AU40" s="1586">
        <v>1015</v>
      </c>
      <c r="AV40" s="1589">
        <v>19392</v>
      </c>
      <c r="AW40" s="1590">
        <v>940</v>
      </c>
    </row>
    <row r="41" spans="1:49" ht="15" customHeight="1" x14ac:dyDescent="0.25">
      <c r="A41" s="428" t="s">
        <v>96</v>
      </c>
      <c r="B41" s="444" t="s">
        <v>97</v>
      </c>
      <c r="C41" s="190" t="s">
        <v>266</v>
      </c>
      <c r="D41" s="430">
        <f t="shared" si="30"/>
        <v>1.7375606453796683E-2</v>
      </c>
      <c r="E41" s="431">
        <f t="shared" si="31"/>
        <v>2.4967003959524857E-2</v>
      </c>
      <c r="F41" s="432">
        <f t="shared" si="32"/>
        <v>4.9663597733711047E-2</v>
      </c>
      <c r="G41" s="432">
        <f t="shared" si="33"/>
        <v>3.33782523064165E-2</v>
      </c>
      <c r="H41" s="432">
        <f t="shared" si="34"/>
        <v>3.2762397928699463E-2</v>
      </c>
      <c r="I41" s="432">
        <f t="shared" si="35"/>
        <v>2.9586935638808837E-2</v>
      </c>
      <c r="J41" s="432">
        <f t="shared" si="36"/>
        <v>2.4365482233502538E-2</v>
      </c>
      <c r="K41" s="432">
        <f t="shared" si="37"/>
        <v>2.4028906955736225E-2</v>
      </c>
      <c r="L41" s="432">
        <f t="shared" si="38"/>
        <v>3.3225778320397664E-2</v>
      </c>
      <c r="M41" s="432">
        <f t="shared" si="39"/>
        <v>6.7530875010948579E-2</v>
      </c>
      <c r="N41" s="432">
        <f t="shared" si="40"/>
        <v>6.4931650893796003E-2</v>
      </c>
      <c r="O41" s="433">
        <f t="shared" si="41"/>
        <v>5.7241379310344828E-2</v>
      </c>
      <c r="P41" s="434">
        <f t="shared" si="42"/>
        <v>4.9663597733711047E-2</v>
      </c>
      <c r="Q41" s="1577">
        <f t="shared" si="43"/>
        <v>4.6483073145062268E-2</v>
      </c>
      <c r="R41" s="1580">
        <f t="shared" si="29"/>
        <v>4.7469856641032947E-2</v>
      </c>
      <c r="S41" s="219"/>
      <c r="T41" s="435">
        <v>8863</v>
      </c>
      <c r="U41" s="436">
        <v>154</v>
      </c>
      <c r="V41" s="437">
        <v>9092</v>
      </c>
      <c r="W41" s="438">
        <v>227</v>
      </c>
      <c r="X41" s="437">
        <v>9379</v>
      </c>
      <c r="Y41" s="438">
        <v>314</v>
      </c>
      <c r="Z41" s="437">
        <v>9647</v>
      </c>
      <c r="AA41" s="438">
        <v>322</v>
      </c>
      <c r="AB41" s="437">
        <v>10042</v>
      </c>
      <c r="AC41" s="438">
        <v>329</v>
      </c>
      <c r="AD41" s="437">
        <v>10410</v>
      </c>
      <c r="AE41" s="438">
        <v>308</v>
      </c>
      <c r="AF41" s="437">
        <v>10835</v>
      </c>
      <c r="AG41" s="438">
        <v>264</v>
      </c>
      <c r="AH41" s="437">
        <v>11070</v>
      </c>
      <c r="AI41" s="438">
        <v>266</v>
      </c>
      <c r="AJ41" s="437">
        <v>11467</v>
      </c>
      <c r="AK41" s="438">
        <v>381</v>
      </c>
      <c r="AL41" s="439">
        <v>11417</v>
      </c>
      <c r="AM41" s="438">
        <v>771</v>
      </c>
      <c r="AN41" s="437">
        <v>11412</v>
      </c>
      <c r="AO41" s="438">
        <v>741</v>
      </c>
      <c r="AP41" s="440">
        <v>11600</v>
      </c>
      <c r="AQ41" s="441">
        <v>664</v>
      </c>
      <c r="AR41" s="442">
        <v>11296</v>
      </c>
      <c r="AS41" s="443">
        <v>561</v>
      </c>
      <c r="AT41" s="442">
        <v>11402</v>
      </c>
      <c r="AU41" s="1586">
        <v>530</v>
      </c>
      <c r="AV41" s="1589">
        <v>10533</v>
      </c>
      <c r="AW41" s="1590">
        <v>500</v>
      </c>
    </row>
    <row r="42" spans="1:49" ht="15" customHeight="1" x14ac:dyDescent="0.25">
      <c r="A42" s="428" t="s">
        <v>98</v>
      </c>
      <c r="B42" s="444" t="s">
        <v>99</v>
      </c>
      <c r="C42" s="190" t="s">
        <v>268</v>
      </c>
      <c r="D42" s="430">
        <f t="shared" si="30"/>
        <v>5.0851672261593935E-2</v>
      </c>
      <c r="E42" s="431">
        <f t="shared" si="31"/>
        <v>7.5638755375664057E-2</v>
      </c>
      <c r="F42" s="432">
        <f t="shared" si="32"/>
        <v>9.6603303209722657E-2</v>
      </c>
      <c r="G42" s="432">
        <f t="shared" si="33"/>
        <v>6.2772993884936984E-2</v>
      </c>
      <c r="H42" s="432">
        <f t="shared" si="34"/>
        <v>4.7662575084878561E-2</v>
      </c>
      <c r="I42" s="432">
        <f t="shared" si="35"/>
        <v>4.6333601933924252E-2</v>
      </c>
      <c r="J42" s="432">
        <f t="shared" si="36"/>
        <v>5.4438036292024192E-2</v>
      </c>
      <c r="K42" s="432">
        <f t="shared" si="37"/>
        <v>5.1495485327313767E-2</v>
      </c>
      <c r="L42" s="432">
        <f t="shared" si="38"/>
        <v>6.4772252402841624E-2</v>
      </c>
      <c r="M42" s="432">
        <f t="shared" si="39"/>
        <v>0.11080786026200873</v>
      </c>
      <c r="N42" s="432">
        <f t="shared" si="40"/>
        <v>0.1251616611582124</v>
      </c>
      <c r="O42" s="433">
        <f t="shared" si="41"/>
        <v>0.10685781850428613</v>
      </c>
      <c r="P42" s="434">
        <f t="shared" si="42"/>
        <v>9.6603303209722657E-2</v>
      </c>
      <c r="Q42" s="1577">
        <f t="shared" si="43"/>
        <v>9.7256473489519116E-2</v>
      </c>
      <c r="R42" s="1580">
        <f t="shared" si="29"/>
        <v>7.7387640449438203E-2</v>
      </c>
      <c r="S42" s="219"/>
      <c r="T42" s="435">
        <v>8043</v>
      </c>
      <c r="U42" s="436">
        <v>409</v>
      </c>
      <c r="V42" s="437">
        <v>7906</v>
      </c>
      <c r="W42" s="438">
        <v>598</v>
      </c>
      <c r="X42" s="437">
        <v>8042</v>
      </c>
      <c r="Y42" s="438">
        <v>640</v>
      </c>
      <c r="Z42" s="437">
        <v>8013</v>
      </c>
      <c r="AA42" s="438">
        <v>503</v>
      </c>
      <c r="AB42" s="437">
        <v>7658</v>
      </c>
      <c r="AC42" s="438">
        <v>365</v>
      </c>
      <c r="AD42" s="437">
        <v>7446</v>
      </c>
      <c r="AE42" s="438">
        <v>345</v>
      </c>
      <c r="AF42" s="437">
        <v>7109</v>
      </c>
      <c r="AG42" s="438">
        <v>387</v>
      </c>
      <c r="AH42" s="437">
        <v>7088</v>
      </c>
      <c r="AI42" s="438">
        <v>365</v>
      </c>
      <c r="AJ42" s="437">
        <v>7179</v>
      </c>
      <c r="AK42" s="438">
        <v>465</v>
      </c>
      <c r="AL42" s="439">
        <v>7328</v>
      </c>
      <c r="AM42" s="438">
        <v>812</v>
      </c>
      <c r="AN42" s="437">
        <v>6959</v>
      </c>
      <c r="AO42" s="438">
        <v>871</v>
      </c>
      <c r="AP42" s="440">
        <v>6766</v>
      </c>
      <c r="AQ42" s="441">
        <v>723</v>
      </c>
      <c r="AR42" s="442">
        <v>6418</v>
      </c>
      <c r="AS42" s="443">
        <v>620</v>
      </c>
      <c r="AT42" s="442">
        <v>6488</v>
      </c>
      <c r="AU42" s="1586">
        <v>631</v>
      </c>
      <c r="AV42" s="1589">
        <v>7120</v>
      </c>
      <c r="AW42" s="1590">
        <v>551</v>
      </c>
    </row>
    <row r="43" spans="1:49" ht="15" customHeight="1" x14ac:dyDescent="0.25">
      <c r="A43" s="428" t="s">
        <v>100</v>
      </c>
      <c r="B43" s="444" t="s">
        <v>101</v>
      </c>
      <c r="C43" s="190" t="s">
        <v>267</v>
      </c>
      <c r="D43" s="430">
        <f t="shared" si="30"/>
        <v>1.8323353293413173E-2</v>
      </c>
      <c r="E43" s="431">
        <f t="shared" si="31"/>
        <v>2.2833178005591797E-2</v>
      </c>
      <c r="F43" s="432">
        <f t="shared" si="32"/>
        <v>4.9291207263967386E-2</v>
      </c>
      <c r="G43" s="432">
        <f t="shared" si="33"/>
        <v>4.0628385698808236E-2</v>
      </c>
      <c r="H43" s="432">
        <f t="shared" si="34"/>
        <v>3.0635038825656845E-2</v>
      </c>
      <c r="I43" s="432">
        <f t="shared" si="35"/>
        <v>2.8909465020576133E-2</v>
      </c>
      <c r="J43" s="432">
        <f t="shared" si="36"/>
        <v>2.301563883151372E-2</v>
      </c>
      <c r="K43" s="432">
        <f t="shared" si="37"/>
        <v>2.1506413347478059E-2</v>
      </c>
      <c r="L43" s="432">
        <f t="shared" si="38"/>
        <v>3.2809871003925968E-2</v>
      </c>
      <c r="M43" s="432">
        <f t="shared" si="39"/>
        <v>6.0100166944908183E-2</v>
      </c>
      <c r="N43" s="432">
        <f t="shared" si="40"/>
        <v>6.1052031902772502E-2</v>
      </c>
      <c r="O43" s="433">
        <f t="shared" si="41"/>
        <v>5.4081632653061228E-2</v>
      </c>
      <c r="P43" s="434">
        <f t="shared" si="42"/>
        <v>4.9291207263967386E-2</v>
      </c>
      <c r="Q43" s="1577">
        <f t="shared" si="43"/>
        <v>4.1235207100591718E-2</v>
      </c>
      <c r="R43" s="1580">
        <f t="shared" si="29"/>
        <v>4.3500100462125782E-2</v>
      </c>
      <c r="S43" s="219"/>
      <c r="T43" s="435">
        <v>8350</v>
      </c>
      <c r="U43" s="436">
        <v>153</v>
      </c>
      <c r="V43" s="437">
        <v>8584</v>
      </c>
      <c r="W43" s="438">
        <v>196</v>
      </c>
      <c r="X43" s="437">
        <v>8941</v>
      </c>
      <c r="Y43" s="438">
        <v>315</v>
      </c>
      <c r="Z43" s="437">
        <v>9230</v>
      </c>
      <c r="AA43" s="438">
        <v>375</v>
      </c>
      <c r="AB43" s="437">
        <v>9401</v>
      </c>
      <c r="AC43" s="438">
        <v>288</v>
      </c>
      <c r="AD43" s="437">
        <v>9720</v>
      </c>
      <c r="AE43" s="438">
        <v>281</v>
      </c>
      <c r="AF43" s="437">
        <v>10167</v>
      </c>
      <c r="AG43" s="438">
        <v>234</v>
      </c>
      <c r="AH43" s="437">
        <v>10369</v>
      </c>
      <c r="AI43" s="438">
        <v>223</v>
      </c>
      <c r="AJ43" s="437">
        <v>10698</v>
      </c>
      <c r="AK43" s="438">
        <v>351</v>
      </c>
      <c r="AL43" s="439">
        <v>10782</v>
      </c>
      <c r="AM43" s="438">
        <v>648</v>
      </c>
      <c r="AN43" s="437">
        <v>10532</v>
      </c>
      <c r="AO43" s="438">
        <v>643</v>
      </c>
      <c r="AP43" s="440">
        <v>10780</v>
      </c>
      <c r="AQ43" s="441">
        <v>583</v>
      </c>
      <c r="AR43" s="442">
        <v>10793</v>
      </c>
      <c r="AS43" s="443">
        <v>532</v>
      </c>
      <c r="AT43" s="442">
        <v>10816</v>
      </c>
      <c r="AU43" s="1586">
        <v>446</v>
      </c>
      <c r="AV43" s="1589">
        <v>9954</v>
      </c>
      <c r="AW43" s="1590">
        <v>433</v>
      </c>
    </row>
    <row r="44" spans="1:49" ht="15" customHeight="1" x14ac:dyDescent="0.25">
      <c r="A44" s="428" t="s">
        <v>102</v>
      </c>
      <c r="B44" s="444" t="s">
        <v>103</v>
      </c>
      <c r="C44" s="190" t="s">
        <v>264</v>
      </c>
      <c r="D44" s="430">
        <f t="shared" si="30"/>
        <v>3.2649842271293375E-2</v>
      </c>
      <c r="E44" s="431">
        <f t="shared" si="31"/>
        <v>4.4612534732942265E-2</v>
      </c>
      <c r="F44" s="432">
        <f t="shared" si="32"/>
        <v>9.8780487804878053E-2</v>
      </c>
      <c r="G44" s="432">
        <f t="shared" si="33"/>
        <v>5.8686809994189425E-2</v>
      </c>
      <c r="H44" s="432">
        <f t="shared" si="34"/>
        <v>6.6204772902232492E-2</v>
      </c>
      <c r="I44" s="432">
        <f t="shared" si="35"/>
        <v>5.451421430802874E-2</v>
      </c>
      <c r="J44" s="432">
        <f t="shared" si="36"/>
        <v>4.7027782089088935E-2</v>
      </c>
      <c r="K44" s="432">
        <f t="shared" si="37"/>
        <v>5.15417845970505E-2</v>
      </c>
      <c r="L44" s="432">
        <f t="shared" si="38"/>
        <v>6.2165678762469277E-2</v>
      </c>
      <c r="M44" s="432">
        <f t="shared" si="39"/>
        <v>0.1046812176909822</v>
      </c>
      <c r="N44" s="432">
        <f t="shared" si="40"/>
        <v>0.1126946811636791</v>
      </c>
      <c r="O44" s="433">
        <f t="shared" si="41"/>
        <v>0.10076157000585823</v>
      </c>
      <c r="P44" s="434">
        <f t="shared" si="42"/>
        <v>9.8780487804878053E-2</v>
      </c>
      <c r="Q44" s="1577">
        <f t="shared" si="43"/>
        <v>9.4935704080012701E-2</v>
      </c>
      <c r="R44" s="1580">
        <f t="shared" si="29"/>
        <v>7.2433086345077877E-2</v>
      </c>
      <c r="S44" s="219"/>
      <c r="T44" s="445">
        <v>6340</v>
      </c>
      <c r="U44" s="446">
        <v>207</v>
      </c>
      <c r="V44" s="1517">
        <v>6478</v>
      </c>
      <c r="W44" s="1518">
        <v>289</v>
      </c>
      <c r="X44" s="1517">
        <v>6445</v>
      </c>
      <c r="Y44" s="1518">
        <v>309</v>
      </c>
      <c r="Z44" s="1517">
        <v>6884</v>
      </c>
      <c r="AA44" s="1518">
        <v>404</v>
      </c>
      <c r="AB44" s="1517">
        <v>6495</v>
      </c>
      <c r="AC44" s="1518">
        <v>430</v>
      </c>
      <c r="AD44" s="1517">
        <v>6402</v>
      </c>
      <c r="AE44" s="1518">
        <v>349</v>
      </c>
      <c r="AF44" s="1517">
        <v>6443</v>
      </c>
      <c r="AG44" s="1518">
        <v>303</v>
      </c>
      <c r="AH44" s="1517">
        <v>6713</v>
      </c>
      <c r="AI44" s="1518">
        <v>346</v>
      </c>
      <c r="AJ44" s="1517">
        <v>6917</v>
      </c>
      <c r="AK44" s="1518">
        <v>430</v>
      </c>
      <c r="AL44" s="1519">
        <v>6964</v>
      </c>
      <c r="AM44" s="1518">
        <v>729</v>
      </c>
      <c r="AN44" s="1517">
        <v>6806</v>
      </c>
      <c r="AO44" s="1518">
        <v>767</v>
      </c>
      <c r="AP44" s="440">
        <v>6828</v>
      </c>
      <c r="AQ44" s="441">
        <v>688</v>
      </c>
      <c r="AR44" s="442">
        <v>6560</v>
      </c>
      <c r="AS44" s="443">
        <v>648</v>
      </c>
      <c r="AT44" s="442">
        <v>6299</v>
      </c>
      <c r="AU44" s="1586">
        <v>598</v>
      </c>
      <c r="AV44" s="1589">
        <v>6613</v>
      </c>
      <c r="AW44" s="1590">
        <v>479</v>
      </c>
    </row>
    <row r="45" spans="1:49" ht="15" customHeight="1" x14ac:dyDescent="0.25">
      <c r="A45" s="428" t="s">
        <v>104</v>
      </c>
      <c r="B45" s="444" t="s">
        <v>650</v>
      </c>
      <c r="C45" s="190" t="s">
        <v>265</v>
      </c>
      <c r="D45" s="430">
        <f t="shared" si="30"/>
        <v>4.9624246941183781E-2</v>
      </c>
      <c r="E45" s="431">
        <f t="shared" si="31"/>
        <v>7.2848477568914785E-2</v>
      </c>
      <c r="F45" s="432">
        <f t="shared" si="32"/>
        <v>9.4667770911639165E-2</v>
      </c>
      <c r="G45" s="432">
        <f t="shared" si="33"/>
        <v>0.10154444849811504</v>
      </c>
      <c r="H45" s="432">
        <f t="shared" si="34"/>
        <v>7.5813421453990851E-2</v>
      </c>
      <c r="I45" s="432">
        <f t="shared" si="35"/>
        <v>6.0686181932640859E-2</v>
      </c>
      <c r="J45" s="432">
        <f t="shared" si="36"/>
        <v>5.8118899733806566E-2</v>
      </c>
      <c r="K45" s="432">
        <f t="shared" si="37"/>
        <v>6.4114270806157059E-2</v>
      </c>
      <c r="L45" s="432">
        <f t="shared" si="38"/>
        <v>6.8633047890897553E-2</v>
      </c>
      <c r="M45" s="432">
        <f t="shared" si="39"/>
        <v>0.11679711017459361</v>
      </c>
      <c r="N45" s="432">
        <f t="shared" si="40"/>
        <v>0.12400684512895734</v>
      </c>
      <c r="O45" s="433">
        <f t="shared" si="41"/>
        <v>0.11027397260273973</v>
      </c>
      <c r="P45" s="434">
        <f t="shared" si="42"/>
        <v>9.4667770911639165E-2</v>
      </c>
      <c r="Q45" s="1577">
        <f t="shared" si="43"/>
        <v>9.2465972266598501E-2</v>
      </c>
      <c r="R45" s="1580">
        <f t="shared" si="29"/>
        <v>7.808612440191387E-2</v>
      </c>
      <c r="S45" s="219"/>
      <c r="T45" s="435">
        <v>16101</v>
      </c>
      <c r="U45" s="436">
        <v>799</v>
      </c>
      <c r="V45" s="437">
        <v>16651</v>
      </c>
      <c r="W45" s="438">
        <v>1213</v>
      </c>
      <c r="X45" s="437">
        <v>16832</v>
      </c>
      <c r="Y45" s="438">
        <v>1719</v>
      </c>
      <c r="Z45" s="437">
        <v>16446</v>
      </c>
      <c r="AA45" s="438">
        <v>1670</v>
      </c>
      <c r="AB45" s="437">
        <v>15736</v>
      </c>
      <c r="AC45" s="438">
        <v>1193</v>
      </c>
      <c r="AD45" s="437">
        <v>15885</v>
      </c>
      <c r="AE45" s="438">
        <v>964</v>
      </c>
      <c r="AF45" s="437">
        <v>15778</v>
      </c>
      <c r="AG45" s="438">
        <v>917</v>
      </c>
      <c r="AH45" s="437">
        <v>15332</v>
      </c>
      <c r="AI45" s="438">
        <v>983</v>
      </c>
      <c r="AJ45" s="437">
        <v>15765</v>
      </c>
      <c r="AK45" s="438">
        <v>1082</v>
      </c>
      <c r="AL45" s="439">
        <v>16610</v>
      </c>
      <c r="AM45" s="438">
        <v>1940</v>
      </c>
      <c r="AN45" s="437">
        <v>16362</v>
      </c>
      <c r="AO45" s="438">
        <v>2029</v>
      </c>
      <c r="AP45" s="440">
        <v>16060</v>
      </c>
      <c r="AQ45" s="441">
        <v>1771</v>
      </c>
      <c r="AR45" s="442">
        <v>15697</v>
      </c>
      <c r="AS45" s="443">
        <v>1486</v>
      </c>
      <c r="AT45" s="442">
        <v>15649</v>
      </c>
      <c r="AU45" s="1586">
        <v>1447</v>
      </c>
      <c r="AV45" s="1589">
        <v>15675</v>
      </c>
      <c r="AW45" s="1590">
        <v>1224</v>
      </c>
    </row>
    <row r="46" spans="1:49" ht="15" customHeight="1" x14ac:dyDescent="0.25">
      <c r="A46" s="428" t="s">
        <v>108</v>
      </c>
      <c r="B46" s="444" t="s">
        <v>109</v>
      </c>
      <c r="C46" s="190" t="s">
        <v>266</v>
      </c>
      <c r="D46" s="430">
        <f t="shared" si="30"/>
        <v>1.6439981356722172E-2</v>
      </c>
      <c r="E46" s="431">
        <f t="shared" si="31"/>
        <v>2.5038155343810584E-2</v>
      </c>
      <c r="F46" s="432">
        <f t="shared" si="32"/>
        <v>5.6196990424076609E-2</v>
      </c>
      <c r="G46" s="432">
        <f t="shared" si="33"/>
        <v>3.2354424486945726E-2</v>
      </c>
      <c r="H46" s="432">
        <f t="shared" si="34"/>
        <v>3.0360674263113289E-2</v>
      </c>
      <c r="I46" s="432">
        <f t="shared" si="35"/>
        <v>2.9299812466346064E-2</v>
      </c>
      <c r="J46" s="432">
        <f t="shared" si="36"/>
        <v>2.507888449121783E-2</v>
      </c>
      <c r="K46" s="432">
        <f t="shared" si="37"/>
        <v>2.4858632591613423E-2</v>
      </c>
      <c r="L46" s="432">
        <f t="shared" si="38"/>
        <v>3.441922037961323E-2</v>
      </c>
      <c r="M46" s="432">
        <f t="shared" si="39"/>
        <v>6.7749538652683128E-2</v>
      </c>
      <c r="N46" s="432">
        <f t="shared" si="40"/>
        <v>6.6994468346650279E-2</v>
      </c>
      <c r="O46" s="433">
        <f t="shared" si="41"/>
        <v>6.0957483898196232E-2</v>
      </c>
      <c r="P46" s="434">
        <f t="shared" si="42"/>
        <v>5.6196990424076609E-2</v>
      </c>
      <c r="Q46" s="1577">
        <f t="shared" si="43"/>
        <v>5.0495533853930755E-2</v>
      </c>
      <c r="R46" s="1580">
        <f t="shared" si="29"/>
        <v>4.5303415536155613E-2</v>
      </c>
      <c r="S46" s="219"/>
      <c r="T46" s="435">
        <v>47202</v>
      </c>
      <c r="U46" s="436">
        <v>776</v>
      </c>
      <c r="V46" s="437">
        <v>48486</v>
      </c>
      <c r="W46" s="438">
        <v>1214</v>
      </c>
      <c r="X46" s="437">
        <v>50347</v>
      </c>
      <c r="Y46" s="438">
        <v>1647</v>
      </c>
      <c r="Z46" s="437">
        <v>51554</v>
      </c>
      <c r="AA46" s="438">
        <v>1668</v>
      </c>
      <c r="AB46" s="437">
        <v>53095</v>
      </c>
      <c r="AC46" s="438">
        <v>1612</v>
      </c>
      <c r="AD46" s="437">
        <v>53857</v>
      </c>
      <c r="AE46" s="438">
        <v>1578</v>
      </c>
      <c r="AF46" s="437">
        <v>54827</v>
      </c>
      <c r="AG46" s="438">
        <v>1375</v>
      </c>
      <c r="AH46" s="437">
        <v>54468</v>
      </c>
      <c r="AI46" s="438">
        <v>1354</v>
      </c>
      <c r="AJ46" s="437">
        <v>55899</v>
      </c>
      <c r="AK46" s="438">
        <v>1924</v>
      </c>
      <c r="AL46" s="439">
        <v>54731</v>
      </c>
      <c r="AM46" s="438">
        <v>3708</v>
      </c>
      <c r="AN46" s="437">
        <v>53691</v>
      </c>
      <c r="AO46" s="438">
        <v>3597</v>
      </c>
      <c r="AP46" s="440">
        <v>54497</v>
      </c>
      <c r="AQ46" s="441">
        <v>3322</v>
      </c>
      <c r="AR46" s="442">
        <v>54825</v>
      </c>
      <c r="AS46" s="443">
        <v>3081</v>
      </c>
      <c r="AT46" s="442">
        <v>55193</v>
      </c>
      <c r="AU46" s="1586">
        <v>2787</v>
      </c>
      <c r="AV46" s="1589">
        <v>56243</v>
      </c>
      <c r="AW46" s="1590">
        <v>2548</v>
      </c>
    </row>
    <row r="47" spans="1:49" ht="15" customHeight="1" x14ac:dyDescent="0.25">
      <c r="A47" s="428" t="s">
        <v>110</v>
      </c>
      <c r="B47" s="444" t="s">
        <v>111</v>
      </c>
      <c r="C47" s="190" t="s">
        <v>266</v>
      </c>
      <c r="D47" s="430">
        <f t="shared" si="30"/>
        <v>1.8059299191374664E-2</v>
      </c>
      <c r="E47" s="431">
        <f t="shared" si="31"/>
        <v>2.9352983562873032E-2</v>
      </c>
      <c r="F47" s="432">
        <f t="shared" si="32"/>
        <v>5.9157970906292531E-2</v>
      </c>
      <c r="G47" s="432">
        <f t="shared" si="33"/>
        <v>3.7052470054434454E-2</v>
      </c>
      <c r="H47" s="432">
        <f t="shared" si="34"/>
        <v>3.4427774621701185E-2</v>
      </c>
      <c r="I47" s="432">
        <f t="shared" si="35"/>
        <v>3.3550484462900175E-2</v>
      </c>
      <c r="J47" s="432">
        <f t="shared" si="36"/>
        <v>2.8531741562488267E-2</v>
      </c>
      <c r="K47" s="432">
        <f t="shared" si="37"/>
        <v>2.7845066244809175E-2</v>
      </c>
      <c r="L47" s="432">
        <f t="shared" si="38"/>
        <v>3.6416689227807358E-2</v>
      </c>
      <c r="M47" s="432">
        <f t="shared" si="39"/>
        <v>7.1342765616657769E-2</v>
      </c>
      <c r="N47" s="432">
        <f t="shared" si="40"/>
        <v>7.3396023291639162E-2</v>
      </c>
      <c r="O47" s="433">
        <f t="shared" si="41"/>
        <v>6.6215940550779548E-2</v>
      </c>
      <c r="P47" s="434">
        <f t="shared" si="42"/>
        <v>5.9157970906292531E-2</v>
      </c>
      <c r="Q47" s="1577">
        <f t="shared" si="43"/>
        <v>5.4472823423485028E-2</v>
      </c>
      <c r="R47" s="1580">
        <f t="shared" si="29"/>
        <v>5.0677719785346326E-2</v>
      </c>
      <c r="S47" s="219"/>
      <c r="T47" s="435">
        <v>144690</v>
      </c>
      <c r="U47" s="436">
        <v>2613</v>
      </c>
      <c r="V47" s="437">
        <v>147106</v>
      </c>
      <c r="W47" s="438">
        <v>4318</v>
      </c>
      <c r="X47" s="437">
        <v>149054</v>
      </c>
      <c r="Y47" s="438">
        <v>5460</v>
      </c>
      <c r="Z47" s="437">
        <v>151191</v>
      </c>
      <c r="AA47" s="438">
        <v>5602</v>
      </c>
      <c r="AB47" s="437">
        <v>154904</v>
      </c>
      <c r="AC47" s="438">
        <v>5333</v>
      </c>
      <c r="AD47" s="437">
        <v>157494</v>
      </c>
      <c r="AE47" s="438">
        <v>5284</v>
      </c>
      <c r="AF47" s="437">
        <v>159822</v>
      </c>
      <c r="AG47" s="438">
        <v>4560</v>
      </c>
      <c r="AH47" s="437">
        <v>161824</v>
      </c>
      <c r="AI47" s="438">
        <v>4506</v>
      </c>
      <c r="AJ47" s="437">
        <v>166215</v>
      </c>
      <c r="AK47" s="438">
        <v>6053</v>
      </c>
      <c r="AL47" s="439">
        <v>164824</v>
      </c>
      <c r="AM47" s="438">
        <v>11759</v>
      </c>
      <c r="AN47" s="437">
        <v>168129</v>
      </c>
      <c r="AO47" s="438">
        <v>12340</v>
      </c>
      <c r="AP47" s="440">
        <v>171575</v>
      </c>
      <c r="AQ47" s="441">
        <v>11361</v>
      </c>
      <c r="AR47" s="442">
        <v>174127</v>
      </c>
      <c r="AS47" s="443">
        <v>10301</v>
      </c>
      <c r="AT47" s="442">
        <v>175482</v>
      </c>
      <c r="AU47" s="1586">
        <v>9559</v>
      </c>
      <c r="AV47" s="1589">
        <v>176843</v>
      </c>
      <c r="AW47" s="1590">
        <v>8962</v>
      </c>
    </row>
    <row r="48" spans="1:49" ht="15" customHeight="1" x14ac:dyDescent="0.25">
      <c r="A48" s="428" t="s">
        <v>112</v>
      </c>
      <c r="B48" s="444" t="s">
        <v>113</v>
      </c>
      <c r="C48" s="190" t="s">
        <v>265</v>
      </c>
      <c r="D48" s="430">
        <f t="shared" si="30"/>
        <v>5.4047942107643597E-2</v>
      </c>
      <c r="E48" s="431">
        <f t="shared" si="31"/>
        <v>6.2667809197372179E-2</v>
      </c>
      <c r="F48" s="432">
        <f t="shared" si="32"/>
        <v>0.1077602969771964</v>
      </c>
      <c r="G48" s="432">
        <f t="shared" si="33"/>
        <v>0.10082872928176796</v>
      </c>
      <c r="H48" s="432">
        <f t="shared" si="34"/>
        <v>9.7198381559588029E-2</v>
      </c>
      <c r="I48" s="432">
        <f t="shared" si="35"/>
        <v>7.2034434738574502E-2</v>
      </c>
      <c r="J48" s="432">
        <f t="shared" si="36"/>
        <v>5.1916185064410938E-2</v>
      </c>
      <c r="K48" s="432">
        <f t="shared" si="37"/>
        <v>6.0584914039205733E-2</v>
      </c>
      <c r="L48" s="432">
        <f t="shared" si="38"/>
        <v>8.7894921414225141E-2</v>
      </c>
      <c r="M48" s="432">
        <f t="shared" si="39"/>
        <v>0.15290147182900535</v>
      </c>
      <c r="N48" s="432">
        <f t="shared" si="40"/>
        <v>0.14967170059093893</v>
      </c>
      <c r="O48" s="433">
        <f t="shared" si="41"/>
        <v>0.12581699346405228</v>
      </c>
      <c r="P48" s="434">
        <f t="shared" si="42"/>
        <v>0.1077602969771964</v>
      </c>
      <c r="Q48" s="1577">
        <f t="shared" si="43"/>
        <v>9.6939486893474619E-2</v>
      </c>
      <c r="R48" s="1580">
        <f t="shared" si="29"/>
        <v>8.1516587677725114E-2</v>
      </c>
      <c r="S48" s="219"/>
      <c r="T48" s="445">
        <v>35376</v>
      </c>
      <c r="U48" s="446">
        <v>1912</v>
      </c>
      <c r="V48" s="1517">
        <v>35010</v>
      </c>
      <c r="W48" s="1518">
        <v>2194</v>
      </c>
      <c r="X48" s="1517">
        <v>34905</v>
      </c>
      <c r="Y48" s="1518">
        <v>3675</v>
      </c>
      <c r="Z48" s="1517">
        <v>34752</v>
      </c>
      <c r="AA48" s="1518">
        <v>3504</v>
      </c>
      <c r="AB48" s="1517">
        <v>32624</v>
      </c>
      <c r="AC48" s="1518">
        <v>3171</v>
      </c>
      <c r="AD48" s="1517">
        <v>31596</v>
      </c>
      <c r="AE48" s="1518">
        <v>2276</v>
      </c>
      <c r="AF48" s="1517">
        <v>30973</v>
      </c>
      <c r="AG48" s="1518">
        <v>1608</v>
      </c>
      <c r="AH48" s="1517">
        <v>31526</v>
      </c>
      <c r="AI48" s="1518">
        <v>1910</v>
      </c>
      <c r="AJ48" s="1517">
        <v>31367</v>
      </c>
      <c r="AK48" s="1518">
        <v>2757</v>
      </c>
      <c r="AL48" s="1519">
        <v>32001</v>
      </c>
      <c r="AM48" s="1518">
        <v>4893</v>
      </c>
      <c r="AN48" s="1517">
        <v>30460</v>
      </c>
      <c r="AO48" s="1518">
        <v>4559</v>
      </c>
      <c r="AP48" s="440">
        <v>29376</v>
      </c>
      <c r="AQ48" s="441">
        <v>3696</v>
      </c>
      <c r="AR48" s="442">
        <v>28285</v>
      </c>
      <c r="AS48" s="443">
        <v>3048</v>
      </c>
      <c r="AT48" s="442">
        <v>28688</v>
      </c>
      <c r="AU48" s="1586">
        <v>2781</v>
      </c>
      <c r="AV48" s="1589">
        <v>28485</v>
      </c>
      <c r="AW48" s="1590">
        <v>2322</v>
      </c>
    </row>
    <row r="49" spans="1:49" ht="15" customHeight="1" x14ac:dyDescent="0.25">
      <c r="A49" s="428" t="s">
        <v>114</v>
      </c>
      <c r="B49" s="444" t="s">
        <v>115</v>
      </c>
      <c r="C49" s="190" t="s">
        <v>265</v>
      </c>
      <c r="D49" s="430">
        <f t="shared" si="30"/>
        <v>2.8350515463917526E-2</v>
      </c>
      <c r="E49" s="431">
        <f t="shared" si="31"/>
        <v>3.1774051191526917E-2</v>
      </c>
      <c r="F49" s="432">
        <f t="shared" si="32"/>
        <v>6.2444246208742192E-2</v>
      </c>
      <c r="G49" s="432">
        <f t="shared" si="33"/>
        <v>4.1771094402673348E-2</v>
      </c>
      <c r="H49" s="432">
        <f t="shared" si="34"/>
        <v>3.3940397350993377E-2</v>
      </c>
      <c r="I49" s="432">
        <f t="shared" si="35"/>
        <v>3.4424853064651553E-2</v>
      </c>
      <c r="J49" s="432">
        <f t="shared" si="36"/>
        <v>3.1802120141342753E-2</v>
      </c>
      <c r="K49" s="432">
        <f t="shared" si="37"/>
        <v>3.3898305084745763E-2</v>
      </c>
      <c r="L49" s="432">
        <f t="shared" si="38"/>
        <v>5.0699300699300696E-2</v>
      </c>
      <c r="M49" s="432">
        <f t="shared" si="39"/>
        <v>7.8111587982832617E-2</v>
      </c>
      <c r="N49" s="432">
        <f t="shared" si="40"/>
        <v>7.9252003561887802E-2</v>
      </c>
      <c r="O49" s="433">
        <f t="shared" si="41"/>
        <v>7.1808510638297879E-2</v>
      </c>
      <c r="P49" s="434">
        <f t="shared" si="42"/>
        <v>6.2444246208742192E-2</v>
      </c>
      <c r="Q49" s="1577">
        <f t="shared" si="43"/>
        <v>5.6066176470588237E-2</v>
      </c>
      <c r="R49" s="1580">
        <f t="shared" si="29"/>
        <v>3.8354253835425386E-2</v>
      </c>
      <c r="S49" s="219"/>
      <c r="T49" s="435">
        <v>1164</v>
      </c>
      <c r="U49" s="436">
        <v>33</v>
      </c>
      <c r="V49" s="437">
        <v>1133</v>
      </c>
      <c r="W49" s="438">
        <v>36</v>
      </c>
      <c r="X49" s="437">
        <v>1128</v>
      </c>
      <c r="Y49" s="438">
        <v>44</v>
      </c>
      <c r="Z49" s="437">
        <v>1197</v>
      </c>
      <c r="AA49" s="438">
        <v>50</v>
      </c>
      <c r="AB49" s="437">
        <v>1208</v>
      </c>
      <c r="AC49" s="438">
        <v>41</v>
      </c>
      <c r="AD49" s="437">
        <v>1191</v>
      </c>
      <c r="AE49" s="438">
        <v>41</v>
      </c>
      <c r="AF49" s="437">
        <v>1132</v>
      </c>
      <c r="AG49" s="438">
        <v>36</v>
      </c>
      <c r="AH49" s="437">
        <v>1121</v>
      </c>
      <c r="AI49" s="438">
        <v>38</v>
      </c>
      <c r="AJ49" s="437">
        <v>1144</v>
      </c>
      <c r="AK49" s="438">
        <v>58</v>
      </c>
      <c r="AL49" s="439">
        <v>1165</v>
      </c>
      <c r="AM49" s="438">
        <v>91</v>
      </c>
      <c r="AN49" s="437">
        <v>1123</v>
      </c>
      <c r="AO49" s="438">
        <v>89</v>
      </c>
      <c r="AP49" s="440">
        <v>1128</v>
      </c>
      <c r="AQ49" s="441">
        <v>81</v>
      </c>
      <c r="AR49" s="442">
        <v>1121</v>
      </c>
      <c r="AS49" s="443">
        <v>70</v>
      </c>
      <c r="AT49" s="442">
        <v>1088</v>
      </c>
      <c r="AU49" s="1586">
        <v>61</v>
      </c>
      <c r="AV49" s="1589">
        <v>1434</v>
      </c>
      <c r="AW49" s="1590">
        <v>55</v>
      </c>
    </row>
    <row r="50" spans="1:49" ht="15" customHeight="1" x14ac:dyDescent="0.25">
      <c r="A50" s="428" t="s">
        <v>118</v>
      </c>
      <c r="B50" s="444" t="s">
        <v>119</v>
      </c>
      <c r="C50" s="190" t="s">
        <v>264</v>
      </c>
      <c r="D50" s="430">
        <f t="shared" si="30"/>
        <v>2.1593899723328161E-2</v>
      </c>
      <c r="E50" s="431">
        <f t="shared" si="31"/>
        <v>2.6667536023994264E-2</v>
      </c>
      <c r="F50" s="432">
        <f t="shared" si="32"/>
        <v>6.0338365992076239E-2</v>
      </c>
      <c r="G50" s="432">
        <f t="shared" si="33"/>
        <v>3.565571281054486E-2</v>
      </c>
      <c r="H50" s="432">
        <f t="shared" si="34"/>
        <v>3.3994669825288718E-2</v>
      </c>
      <c r="I50" s="432">
        <f t="shared" si="35"/>
        <v>3.6443732478974769E-2</v>
      </c>
      <c r="J50" s="432">
        <f t="shared" si="36"/>
        <v>3.0549786861952127E-2</v>
      </c>
      <c r="K50" s="432">
        <f t="shared" si="37"/>
        <v>2.886642521217363E-2</v>
      </c>
      <c r="L50" s="432">
        <f t="shared" si="38"/>
        <v>3.6818158046127293E-2</v>
      </c>
      <c r="M50" s="432">
        <f t="shared" si="39"/>
        <v>6.442562202223398E-2</v>
      </c>
      <c r="N50" s="432">
        <f t="shared" si="40"/>
        <v>7.4087902709622358E-2</v>
      </c>
      <c r="O50" s="433">
        <f t="shared" si="41"/>
        <v>6.8190253990137339E-2</v>
      </c>
      <c r="P50" s="434">
        <f t="shared" si="42"/>
        <v>6.0338365992076239E-2</v>
      </c>
      <c r="Q50" s="1577">
        <f t="shared" si="43"/>
        <v>5.6271294718909709E-2</v>
      </c>
      <c r="R50" s="1580">
        <f t="shared" si="29"/>
        <v>5.2690049198539916E-2</v>
      </c>
      <c r="S50" s="219"/>
      <c r="T50" s="435">
        <v>14819</v>
      </c>
      <c r="U50" s="436">
        <v>320</v>
      </c>
      <c r="V50" s="437">
        <v>15337</v>
      </c>
      <c r="W50" s="438">
        <v>409</v>
      </c>
      <c r="X50" s="437">
        <v>15925</v>
      </c>
      <c r="Y50" s="438">
        <v>553</v>
      </c>
      <c r="Z50" s="437">
        <v>16463</v>
      </c>
      <c r="AA50" s="438">
        <v>587</v>
      </c>
      <c r="AB50" s="437">
        <v>16885</v>
      </c>
      <c r="AC50" s="438">
        <v>574</v>
      </c>
      <c r="AD50" s="437">
        <v>17479</v>
      </c>
      <c r="AE50" s="438">
        <v>637</v>
      </c>
      <c r="AF50" s="437">
        <v>18298</v>
      </c>
      <c r="AG50" s="438">
        <v>559</v>
      </c>
      <c r="AH50" s="437">
        <v>18499</v>
      </c>
      <c r="AI50" s="438">
        <v>534</v>
      </c>
      <c r="AJ50" s="437">
        <v>19121</v>
      </c>
      <c r="AK50" s="438">
        <v>704</v>
      </c>
      <c r="AL50" s="439">
        <v>18890</v>
      </c>
      <c r="AM50" s="438">
        <v>1217</v>
      </c>
      <c r="AN50" s="437">
        <v>18748</v>
      </c>
      <c r="AO50" s="438">
        <v>1389</v>
      </c>
      <c r="AP50" s="440">
        <v>18859</v>
      </c>
      <c r="AQ50" s="441">
        <v>1286</v>
      </c>
      <c r="AR50" s="442">
        <v>18678</v>
      </c>
      <c r="AS50" s="443">
        <v>1127</v>
      </c>
      <c r="AT50" s="442">
        <v>18784</v>
      </c>
      <c r="AU50" s="1586">
        <v>1057</v>
      </c>
      <c r="AV50" s="1589">
        <v>18903</v>
      </c>
      <c r="AW50" s="1590">
        <v>996</v>
      </c>
    </row>
    <row r="51" spans="1:49" ht="15" customHeight="1" x14ac:dyDescent="0.25">
      <c r="A51" s="428" t="s">
        <v>120</v>
      </c>
      <c r="B51" s="444" t="s">
        <v>121</v>
      </c>
      <c r="C51" s="190" t="s">
        <v>264</v>
      </c>
      <c r="D51" s="430">
        <f t="shared" si="30"/>
        <v>1.9565499071394637E-2</v>
      </c>
      <c r="E51" s="431">
        <f t="shared" si="31"/>
        <v>2.5278225973273758E-2</v>
      </c>
      <c r="F51" s="432">
        <f t="shared" si="32"/>
        <v>5.5816068434364964E-2</v>
      </c>
      <c r="G51" s="432">
        <f t="shared" si="33"/>
        <v>3.3176248821866164E-2</v>
      </c>
      <c r="H51" s="432">
        <f t="shared" si="34"/>
        <v>3.3103994812866973E-2</v>
      </c>
      <c r="I51" s="432">
        <f t="shared" si="35"/>
        <v>3.1131359149582385E-2</v>
      </c>
      <c r="J51" s="432">
        <f t="shared" si="36"/>
        <v>2.6343519494204427E-2</v>
      </c>
      <c r="K51" s="432">
        <f t="shared" si="37"/>
        <v>2.4816441694187053E-2</v>
      </c>
      <c r="L51" s="432">
        <f t="shared" si="38"/>
        <v>3.1770977781886534E-2</v>
      </c>
      <c r="M51" s="432">
        <f t="shared" si="39"/>
        <v>5.5722658066916807E-2</v>
      </c>
      <c r="N51" s="432">
        <f t="shared" si="40"/>
        <v>6.2990052662375659E-2</v>
      </c>
      <c r="O51" s="433">
        <f t="shared" si="41"/>
        <v>6.0007422421422249E-2</v>
      </c>
      <c r="P51" s="434">
        <f t="shared" si="42"/>
        <v>5.5816068434364964E-2</v>
      </c>
      <c r="Q51" s="1577">
        <f t="shared" si="43"/>
        <v>5.2170719995480612E-2</v>
      </c>
      <c r="R51" s="1580">
        <f t="shared" si="29"/>
        <v>4.9621704693226153E-2</v>
      </c>
      <c r="S51" s="219"/>
      <c r="T51" s="435">
        <v>23153</v>
      </c>
      <c r="U51" s="436">
        <v>453</v>
      </c>
      <c r="V51" s="437">
        <v>24171</v>
      </c>
      <c r="W51" s="438">
        <v>611</v>
      </c>
      <c r="X51" s="437">
        <v>25510</v>
      </c>
      <c r="Y51" s="438">
        <v>837</v>
      </c>
      <c r="Z51" s="437">
        <v>26525</v>
      </c>
      <c r="AA51" s="438">
        <v>880</v>
      </c>
      <c r="AB51" s="437">
        <v>27761</v>
      </c>
      <c r="AC51" s="438">
        <v>919</v>
      </c>
      <c r="AD51" s="437">
        <v>28974</v>
      </c>
      <c r="AE51" s="438">
        <v>902</v>
      </c>
      <c r="AF51" s="437">
        <v>30368</v>
      </c>
      <c r="AG51" s="438">
        <v>800</v>
      </c>
      <c r="AH51" s="437">
        <v>31189</v>
      </c>
      <c r="AI51" s="438">
        <v>774</v>
      </c>
      <c r="AJ51" s="437">
        <v>32451</v>
      </c>
      <c r="AK51" s="438">
        <v>1031</v>
      </c>
      <c r="AL51" s="439">
        <v>32249</v>
      </c>
      <c r="AM51" s="438">
        <v>1797</v>
      </c>
      <c r="AN51" s="437">
        <v>34180</v>
      </c>
      <c r="AO51" s="438">
        <v>2153</v>
      </c>
      <c r="AP51" s="440">
        <v>35029</v>
      </c>
      <c r="AQ51" s="441">
        <v>2102</v>
      </c>
      <c r="AR51" s="442">
        <v>35187</v>
      </c>
      <c r="AS51" s="443">
        <v>1964</v>
      </c>
      <c r="AT51" s="442">
        <v>35403</v>
      </c>
      <c r="AU51" s="1586">
        <v>1847</v>
      </c>
      <c r="AV51" s="1589">
        <v>33836</v>
      </c>
      <c r="AW51" s="1590">
        <v>1679</v>
      </c>
    </row>
    <row r="52" spans="1:49" ht="15" customHeight="1" x14ac:dyDescent="0.25">
      <c r="A52" s="428" t="s">
        <v>122</v>
      </c>
      <c r="B52" s="444" t="s">
        <v>271</v>
      </c>
      <c r="C52" s="190" t="s">
        <v>266</v>
      </c>
      <c r="D52" s="430">
        <f t="shared" si="30"/>
        <v>2.5461489497135583E-2</v>
      </c>
      <c r="E52" s="431">
        <f t="shared" si="31"/>
        <v>3.2760814249363869E-2</v>
      </c>
      <c r="F52" s="432">
        <f t="shared" si="32"/>
        <v>7.0581257413997622E-2</v>
      </c>
      <c r="G52" s="432">
        <f t="shared" si="33"/>
        <v>4.5167403663929247E-2</v>
      </c>
      <c r="H52" s="432">
        <f t="shared" si="34"/>
        <v>3.7434795949677815E-2</v>
      </c>
      <c r="I52" s="432">
        <f t="shared" si="35"/>
        <v>3.8976857490864797E-2</v>
      </c>
      <c r="J52" s="432">
        <f t="shared" si="36"/>
        <v>3.3263410248726401E-2</v>
      </c>
      <c r="K52" s="432">
        <f t="shared" si="37"/>
        <v>3.5294117647058823E-2</v>
      </c>
      <c r="L52" s="432">
        <f t="shared" si="38"/>
        <v>4.5915324985092425E-2</v>
      </c>
      <c r="M52" s="432">
        <f t="shared" si="39"/>
        <v>8.3078802687843623E-2</v>
      </c>
      <c r="N52" s="432">
        <f t="shared" si="40"/>
        <v>8.6086692937253712E-2</v>
      </c>
      <c r="O52" s="433">
        <f t="shared" si="41"/>
        <v>7.8208955223880591E-2</v>
      </c>
      <c r="P52" s="434">
        <f t="shared" si="42"/>
        <v>7.0581257413997622E-2</v>
      </c>
      <c r="Q52" s="1577">
        <f t="shared" si="43"/>
        <v>6.3164108618654069E-2</v>
      </c>
      <c r="R52" s="1580">
        <f t="shared" si="29"/>
        <v>5.7760744593484806E-2</v>
      </c>
      <c r="S52" s="219"/>
      <c r="T52" s="435">
        <v>3142</v>
      </c>
      <c r="U52" s="436">
        <v>80</v>
      </c>
      <c r="V52" s="437">
        <v>3144</v>
      </c>
      <c r="W52" s="438">
        <v>103</v>
      </c>
      <c r="X52" s="437">
        <v>3158</v>
      </c>
      <c r="Y52" s="438">
        <v>138</v>
      </c>
      <c r="Z52" s="437">
        <v>3166</v>
      </c>
      <c r="AA52" s="438">
        <v>143</v>
      </c>
      <c r="AB52" s="437">
        <v>3259</v>
      </c>
      <c r="AC52" s="438">
        <v>122</v>
      </c>
      <c r="AD52" s="437">
        <v>3284</v>
      </c>
      <c r="AE52" s="438">
        <v>128</v>
      </c>
      <c r="AF52" s="437">
        <v>3337</v>
      </c>
      <c r="AG52" s="438">
        <v>111</v>
      </c>
      <c r="AH52" s="437">
        <v>3315</v>
      </c>
      <c r="AI52" s="438">
        <v>117</v>
      </c>
      <c r="AJ52" s="437">
        <v>3354</v>
      </c>
      <c r="AK52" s="438">
        <v>154</v>
      </c>
      <c r="AL52" s="439">
        <v>3274</v>
      </c>
      <c r="AM52" s="438">
        <v>272</v>
      </c>
      <c r="AN52" s="437">
        <v>3299</v>
      </c>
      <c r="AO52" s="438">
        <v>284</v>
      </c>
      <c r="AP52" s="440">
        <v>3350</v>
      </c>
      <c r="AQ52" s="441">
        <v>262</v>
      </c>
      <c r="AR52" s="442">
        <v>3372</v>
      </c>
      <c r="AS52" s="443">
        <v>238</v>
      </c>
      <c r="AT52" s="442">
        <v>3388</v>
      </c>
      <c r="AU52" s="1586">
        <v>214</v>
      </c>
      <c r="AV52" s="1589">
        <v>3653</v>
      </c>
      <c r="AW52" s="1590">
        <v>211</v>
      </c>
    </row>
    <row r="53" spans="1:49" ht="15" customHeight="1" x14ac:dyDescent="0.25">
      <c r="A53" s="428" t="s">
        <v>124</v>
      </c>
      <c r="B53" s="444" t="s">
        <v>125</v>
      </c>
      <c r="C53" s="190" t="s">
        <v>267</v>
      </c>
      <c r="D53" s="430">
        <f t="shared" si="30"/>
        <v>1.9267592149353759E-2</v>
      </c>
      <c r="E53" s="431">
        <f t="shared" si="31"/>
        <v>2.4404282260849546E-2</v>
      </c>
      <c r="F53" s="432">
        <f t="shared" si="32"/>
        <v>7.1326676176890161E-2</v>
      </c>
      <c r="G53" s="432">
        <f t="shared" si="33"/>
        <v>3.22969126341143E-2</v>
      </c>
      <c r="H53" s="432">
        <f t="shared" si="34"/>
        <v>3.0739466895958727E-2</v>
      </c>
      <c r="I53" s="432">
        <f t="shared" si="35"/>
        <v>3.3298319327731092E-2</v>
      </c>
      <c r="J53" s="432">
        <f t="shared" si="36"/>
        <v>3.3385992627698792E-2</v>
      </c>
      <c r="K53" s="432">
        <f t="shared" si="37"/>
        <v>3.5457182765660254E-2</v>
      </c>
      <c r="L53" s="432">
        <f t="shared" si="38"/>
        <v>5.0921134340716205E-2</v>
      </c>
      <c r="M53" s="432">
        <f t="shared" si="39"/>
        <v>7.8471411901983659E-2</v>
      </c>
      <c r="N53" s="432">
        <f t="shared" si="40"/>
        <v>8.1770222743259083E-2</v>
      </c>
      <c r="O53" s="433">
        <f t="shared" si="41"/>
        <v>7.6378398791540791E-2</v>
      </c>
      <c r="P53" s="434">
        <f t="shared" si="42"/>
        <v>7.1326676176890161E-2</v>
      </c>
      <c r="Q53" s="1577">
        <f t="shared" si="43"/>
        <v>6.2604651162790695E-2</v>
      </c>
      <c r="R53" s="1580">
        <f t="shared" si="29"/>
        <v>5.260998030203546E-2</v>
      </c>
      <c r="S53" s="219"/>
      <c r="T53" s="435">
        <v>8356</v>
      </c>
      <c r="U53" s="436">
        <v>161</v>
      </c>
      <c r="V53" s="437">
        <v>8687</v>
      </c>
      <c r="W53" s="438">
        <v>212</v>
      </c>
      <c r="X53" s="437">
        <v>8856</v>
      </c>
      <c r="Y53" s="438">
        <v>276</v>
      </c>
      <c r="Z53" s="437">
        <v>9134</v>
      </c>
      <c r="AA53" s="438">
        <v>295</v>
      </c>
      <c r="AB53" s="437">
        <v>9304</v>
      </c>
      <c r="AC53" s="438">
        <v>286</v>
      </c>
      <c r="AD53" s="437">
        <v>9520</v>
      </c>
      <c r="AE53" s="438">
        <v>317</v>
      </c>
      <c r="AF53" s="437">
        <v>9495</v>
      </c>
      <c r="AG53" s="438">
        <v>317</v>
      </c>
      <c r="AH53" s="437">
        <v>9307</v>
      </c>
      <c r="AI53" s="438">
        <v>330</v>
      </c>
      <c r="AJ53" s="437">
        <v>9662</v>
      </c>
      <c r="AK53" s="438">
        <v>492</v>
      </c>
      <c r="AL53" s="439">
        <v>10284</v>
      </c>
      <c r="AM53" s="438">
        <v>807</v>
      </c>
      <c r="AN53" s="437">
        <v>10236</v>
      </c>
      <c r="AO53" s="438">
        <v>837</v>
      </c>
      <c r="AP53" s="440">
        <v>10592</v>
      </c>
      <c r="AQ53" s="441">
        <v>809</v>
      </c>
      <c r="AR53" s="442">
        <v>10515</v>
      </c>
      <c r="AS53" s="443">
        <v>750</v>
      </c>
      <c r="AT53" s="442">
        <v>10750</v>
      </c>
      <c r="AU53" s="1586">
        <v>673</v>
      </c>
      <c r="AV53" s="1589">
        <v>12184</v>
      </c>
      <c r="AW53" s="1590">
        <v>641</v>
      </c>
    </row>
    <row r="54" spans="1:49" ht="15" customHeight="1" x14ac:dyDescent="0.25">
      <c r="A54" s="428" t="s">
        <v>126</v>
      </c>
      <c r="B54" s="444" t="s">
        <v>127</v>
      </c>
      <c r="C54" s="190" t="s">
        <v>266</v>
      </c>
      <c r="D54" s="430">
        <f t="shared" si="30"/>
        <v>1.8749105481608703E-2</v>
      </c>
      <c r="E54" s="431">
        <f t="shared" si="31"/>
        <v>2.9227557411273485E-2</v>
      </c>
      <c r="F54" s="432">
        <f t="shared" si="32"/>
        <v>6.3877168307548055E-2</v>
      </c>
      <c r="G54" s="432">
        <f t="shared" si="33"/>
        <v>3.6243386243386244E-2</v>
      </c>
      <c r="H54" s="432">
        <f t="shared" si="34"/>
        <v>3.350148751778554E-2</v>
      </c>
      <c r="I54" s="432">
        <f t="shared" si="35"/>
        <v>3.453906053755338E-2</v>
      </c>
      <c r="J54" s="432">
        <f t="shared" si="36"/>
        <v>2.7105168052041922E-2</v>
      </c>
      <c r="K54" s="432">
        <f t="shared" si="37"/>
        <v>2.7315914489311165E-2</v>
      </c>
      <c r="L54" s="432">
        <f t="shared" si="38"/>
        <v>3.7505699954400368E-2</v>
      </c>
      <c r="M54" s="432">
        <f t="shared" si="39"/>
        <v>7.2744014732965004E-2</v>
      </c>
      <c r="N54" s="432">
        <f t="shared" si="40"/>
        <v>7.5633250089190154E-2</v>
      </c>
      <c r="O54" s="433">
        <f t="shared" si="41"/>
        <v>7.1035048646114166E-2</v>
      </c>
      <c r="P54" s="434">
        <f t="shared" si="42"/>
        <v>6.3877168307548055E-2</v>
      </c>
      <c r="Q54" s="1577">
        <f t="shared" si="43"/>
        <v>5.6676384839650144E-2</v>
      </c>
      <c r="R54" s="1580">
        <f t="shared" si="29"/>
        <v>5.1767104666968738E-2</v>
      </c>
      <c r="S54" s="190"/>
      <c r="T54" s="445">
        <v>6987</v>
      </c>
      <c r="U54" s="446">
        <v>131</v>
      </c>
      <c r="V54" s="437">
        <v>7185</v>
      </c>
      <c r="W54" s="438">
        <v>210</v>
      </c>
      <c r="X54" s="437">
        <v>7379</v>
      </c>
      <c r="Y54" s="438">
        <v>267</v>
      </c>
      <c r="Z54" s="437">
        <v>7560</v>
      </c>
      <c r="AA54" s="438">
        <v>274</v>
      </c>
      <c r="AB54" s="464">
        <v>7731</v>
      </c>
      <c r="AC54" s="441">
        <v>259</v>
      </c>
      <c r="AD54" s="464">
        <v>7962</v>
      </c>
      <c r="AE54" s="441">
        <v>275</v>
      </c>
      <c r="AF54" s="464">
        <v>8301</v>
      </c>
      <c r="AG54" s="441">
        <v>225</v>
      </c>
      <c r="AH54" s="464">
        <v>8420</v>
      </c>
      <c r="AI54" s="441">
        <v>230</v>
      </c>
      <c r="AJ54" s="464">
        <v>8772</v>
      </c>
      <c r="AK54" s="441">
        <v>329</v>
      </c>
      <c r="AL54" s="447">
        <v>8688</v>
      </c>
      <c r="AM54" s="441">
        <v>632</v>
      </c>
      <c r="AN54" s="437">
        <v>8409</v>
      </c>
      <c r="AO54" s="438">
        <v>636</v>
      </c>
      <c r="AP54" s="440">
        <v>8531</v>
      </c>
      <c r="AQ54" s="441">
        <v>606</v>
      </c>
      <c r="AR54" s="442">
        <v>8532</v>
      </c>
      <c r="AS54" s="443">
        <v>545</v>
      </c>
      <c r="AT54" s="442">
        <v>8575</v>
      </c>
      <c r="AU54" s="1586">
        <v>486</v>
      </c>
      <c r="AV54" s="1589">
        <v>8828</v>
      </c>
      <c r="AW54" s="1590">
        <v>457</v>
      </c>
    </row>
    <row r="55" spans="1:49" ht="15" customHeight="1" x14ac:dyDescent="0.25">
      <c r="A55" s="428" t="s">
        <v>128</v>
      </c>
      <c r="B55" s="444" t="s">
        <v>129</v>
      </c>
      <c r="C55" s="190" t="s">
        <v>266</v>
      </c>
      <c r="D55" s="430">
        <f t="shared" si="30"/>
        <v>5.73208722741433E-2</v>
      </c>
      <c r="E55" s="431">
        <f t="shared" si="31"/>
        <v>6.1216188732967254E-2</v>
      </c>
      <c r="F55" s="432">
        <f t="shared" si="32"/>
        <v>8.0141976461797118E-2</v>
      </c>
      <c r="G55" s="432">
        <f t="shared" si="33"/>
        <v>5.5094339622641507E-2</v>
      </c>
      <c r="H55" s="432">
        <f t="shared" si="34"/>
        <v>5.5384021613276727E-2</v>
      </c>
      <c r="I55" s="432">
        <f t="shared" si="35"/>
        <v>5.5703929797787106E-2</v>
      </c>
      <c r="J55" s="432">
        <f t="shared" si="36"/>
        <v>4.3553671227596839E-2</v>
      </c>
      <c r="K55" s="432">
        <f t="shared" si="37"/>
        <v>4.383975812547241E-2</v>
      </c>
      <c r="L55" s="432">
        <f t="shared" si="38"/>
        <v>5.7137707281903385E-2</v>
      </c>
      <c r="M55" s="432">
        <f t="shared" si="39"/>
        <v>9.6177558569667074E-2</v>
      </c>
      <c r="N55" s="432">
        <f t="shared" si="40"/>
        <v>9.9064391854705558E-2</v>
      </c>
      <c r="O55" s="433">
        <f t="shared" si="41"/>
        <v>9.3406593406593408E-2</v>
      </c>
      <c r="P55" s="434">
        <f t="shared" si="42"/>
        <v>8.0141976461797118E-2</v>
      </c>
      <c r="Q55" s="1577">
        <f t="shared" si="43"/>
        <v>7.668886774500476E-2</v>
      </c>
      <c r="R55" s="1580">
        <f t="shared" si="29"/>
        <v>7.5701624815361884E-2</v>
      </c>
      <c r="S55" s="219"/>
      <c r="T55" s="435">
        <v>4815</v>
      </c>
      <c r="U55" s="436">
        <v>276</v>
      </c>
      <c r="V55" s="437">
        <v>4917</v>
      </c>
      <c r="W55" s="438">
        <v>301</v>
      </c>
      <c r="X55" s="437">
        <v>5192</v>
      </c>
      <c r="Y55" s="438">
        <v>331</v>
      </c>
      <c r="Z55" s="437">
        <v>5300</v>
      </c>
      <c r="AA55" s="438">
        <v>292</v>
      </c>
      <c r="AB55" s="437">
        <v>5182</v>
      </c>
      <c r="AC55" s="438">
        <v>287</v>
      </c>
      <c r="AD55" s="437">
        <v>5242</v>
      </c>
      <c r="AE55" s="438">
        <v>292</v>
      </c>
      <c r="AF55" s="437">
        <v>5189</v>
      </c>
      <c r="AG55" s="438">
        <v>226</v>
      </c>
      <c r="AH55" s="437">
        <v>5292</v>
      </c>
      <c r="AI55" s="438">
        <v>232</v>
      </c>
      <c r="AJ55" s="437">
        <v>5548</v>
      </c>
      <c r="AK55" s="438">
        <v>317</v>
      </c>
      <c r="AL55" s="439">
        <v>5677</v>
      </c>
      <c r="AM55" s="438">
        <v>546</v>
      </c>
      <c r="AN55" s="437">
        <v>5451</v>
      </c>
      <c r="AO55" s="438">
        <v>540</v>
      </c>
      <c r="AP55" s="440">
        <v>5460</v>
      </c>
      <c r="AQ55" s="441">
        <v>510</v>
      </c>
      <c r="AR55" s="442">
        <v>5353</v>
      </c>
      <c r="AS55" s="443">
        <v>429</v>
      </c>
      <c r="AT55" s="442">
        <v>5255</v>
      </c>
      <c r="AU55" s="1586">
        <v>403</v>
      </c>
      <c r="AV55" s="1589">
        <v>5416</v>
      </c>
      <c r="AW55" s="1590">
        <v>410</v>
      </c>
    </row>
    <row r="56" spans="1:49" ht="15" customHeight="1" x14ac:dyDescent="0.25">
      <c r="A56" s="428" t="s">
        <v>130</v>
      </c>
      <c r="B56" s="444" t="s">
        <v>131</v>
      </c>
      <c r="C56" s="190" t="s">
        <v>268</v>
      </c>
      <c r="D56" s="430">
        <f t="shared" si="30"/>
        <v>4.1828128561659447E-2</v>
      </c>
      <c r="E56" s="431">
        <f t="shared" si="31"/>
        <v>4.9562035702406033E-2</v>
      </c>
      <c r="F56" s="432">
        <f t="shared" si="32"/>
        <v>8.5312040344610207E-2</v>
      </c>
      <c r="G56" s="432">
        <f t="shared" si="33"/>
        <v>5.9788739616449593E-2</v>
      </c>
      <c r="H56" s="432">
        <f t="shared" si="34"/>
        <v>5.4732161761592207E-2</v>
      </c>
      <c r="I56" s="432">
        <f t="shared" si="35"/>
        <v>4.9757673667205168E-2</v>
      </c>
      <c r="J56" s="432">
        <f t="shared" si="36"/>
        <v>4.2855604608592654E-2</v>
      </c>
      <c r="K56" s="432">
        <f t="shared" si="37"/>
        <v>4.1937513105472848E-2</v>
      </c>
      <c r="L56" s="432">
        <f t="shared" si="38"/>
        <v>5.316869068272273E-2</v>
      </c>
      <c r="M56" s="432">
        <f t="shared" si="39"/>
        <v>7.4832611264277274E-2</v>
      </c>
      <c r="N56" s="432">
        <f t="shared" si="40"/>
        <v>8.3998787021126051E-2</v>
      </c>
      <c r="O56" s="433">
        <f t="shared" si="41"/>
        <v>7.887352174784526E-2</v>
      </c>
      <c r="P56" s="434">
        <f t="shared" si="42"/>
        <v>8.5312040344610207E-2</v>
      </c>
      <c r="Q56" s="1577">
        <f t="shared" si="43"/>
        <v>9.0948603716179507E-2</v>
      </c>
      <c r="R56" s="1580">
        <f t="shared" si="29"/>
        <v>8.1891709728150977E-2</v>
      </c>
      <c r="S56" s="219"/>
      <c r="T56" s="435">
        <v>8774</v>
      </c>
      <c r="U56" s="436">
        <v>367</v>
      </c>
      <c r="V56" s="437">
        <v>9019</v>
      </c>
      <c r="W56" s="438">
        <v>447</v>
      </c>
      <c r="X56" s="437">
        <v>9549</v>
      </c>
      <c r="Y56" s="438">
        <v>545</v>
      </c>
      <c r="Z56" s="437">
        <v>9751</v>
      </c>
      <c r="AA56" s="438">
        <v>583</v>
      </c>
      <c r="AB56" s="437">
        <v>9446</v>
      </c>
      <c r="AC56" s="438">
        <v>517</v>
      </c>
      <c r="AD56" s="437">
        <v>9285</v>
      </c>
      <c r="AE56" s="438">
        <v>462</v>
      </c>
      <c r="AF56" s="437">
        <v>9287</v>
      </c>
      <c r="AG56" s="438">
        <v>398</v>
      </c>
      <c r="AH56" s="437">
        <v>9538</v>
      </c>
      <c r="AI56" s="438">
        <v>400</v>
      </c>
      <c r="AJ56" s="437">
        <v>9799</v>
      </c>
      <c r="AK56" s="438">
        <v>521</v>
      </c>
      <c r="AL56" s="439">
        <v>10156</v>
      </c>
      <c r="AM56" s="438">
        <v>760</v>
      </c>
      <c r="AN56" s="437">
        <v>9893</v>
      </c>
      <c r="AO56" s="438">
        <v>831</v>
      </c>
      <c r="AP56" s="440">
        <v>9978</v>
      </c>
      <c r="AQ56" s="441">
        <v>787</v>
      </c>
      <c r="AR56" s="442">
        <v>9518</v>
      </c>
      <c r="AS56" s="443">
        <v>812</v>
      </c>
      <c r="AT56" s="442">
        <v>9203</v>
      </c>
      <c r="AU56" s="1586">
        <v>837</v>
      </c>
      <c r="AV56" s="1589">
        <v>8902</v>
      </c>
      <c r="AW56" s="1590">
        <v>729</v>
      </c>
    </row>
    <row r="57" spans="1:49" ht="15" customHeight="1" x14ac:dyDescent="0.25">
      <c r="A57" s="428" t="s">
        <v>132</v>
      </c>
      <c r="B57" s="444" t="s">
        <v>133</v>
      </c>
      <c r="C57" s="190" t="s">
        <v>267</v>
      </c>
      <c r="D57" s="430">
        <f t="shared" si="30"/>
        <v>1.4113957135389441E-2</v>
      </c>
      <c r="E57" s="431">
        <f t="shared" si="31"/>
        <v>2.4879548478869362E-2</v>
      </c>
      <c r="F57" s="432">
        <f t="shared" si="32"/>
        <v>4.2400797690456425E-2</v>
      </c>
      <c r="G57" s="432">
        <f t="shared" si="33"/>
        <v>3.160730034880857E-2</v>
      </c>
      <c r="H57" s="432">
        <f t="shared" si="34"/>
        <v>2.6035261844297782E-2</v>
      </c>
      <c r="I57" s="432">
        <f t="shared" si="35"/>
        <v>2.4054936456112896E-2</v>
      </c>
      <c r="J57" s="432">
        <f t="shared" si="36"/>
        <v>2.1251017708121312E-2</v>
      </c>
      <c r="K57" s="432">
        <f t="shared" si="37"/>
        <v>2.1132630546702624E-2</v>
      </c>
      <c r="L57" s="432">
        <f t="shared" si="38"/>
        <v>2.8066066308605579E-2</v>
      </c>
      <c r="M57" s="432">
        <f t="shared" si="39"/>
        <v>4.8770153902528396E-2</v>
      </c>
      <c r="N57" s="432">
        <f t="shared" si="40"/>
        <v>4.8989603367059674E-2</v>
      </c>
      <c r="O57" s="433">
        <f t="shared" si="41"/>
        <v>4.4019831167090982E-2</v>
      </c>
      <c r="P57" s="434">
        <f t="shared" si="42"/>
        <v>4.2400797690456425E-2</v>
      </c>
      <c r="Q57" s="1577">
        <f t="shared" si="43"/>
        <v>4.1688020582586596E-2</v>
      </c>
      <c r="R57" s="1580">
        <f t="shared" si="29"/>
        <v>4.2016937785610678E-2</v>
      </c>
      <c r="S57" s="219"/>
      <c r="T57" s="435">
        <v>99476</v>
      </c>
      <c r="U57" s="436">
        <v>1404</v>
      </c>
      <c r="V57" s="437">
        <v>108965</v>
      </c>
      <c r="W57" s="438">
        <v>2711</v>
      </c>
      <c r="X57" s="437">
        <v>116962</v>
      </c>
      <c r="Y57" s="438">
        <v>4351</v>
      </c>
      <c r="Z57" s="437">
        <v>125857</v>
      </c>
      <c r="AA57" s="438">
        <v>3978</v>
      </c>
      <c r="AB57" s="437">
        <v>137429</v>
      </c>
      <c r="AC57" s="438">
        <v>3578</v>
      </c>
      <c r="AD57" s="437">
        <v>148244</v>
      </c>
      <c r="AE57" s="438">
        <v>3566</v>
      </c>
      <c r="AF57" s="437">
        <v>157216</v>
      </c>
      <c r="AG57" s="438">
        <v>3341</v>
      </c>
      <c r="AH57" s="437">
        <v>163160</v>
      </c>
      <c r="AI57" s="438">
        <v>3448</v>
      </c>
      <c r="AJ57" s="437">
        <v>173341</v>
      </c>
      <c r="AK57" s="438">
        <v>4865</v>
      </c>
      <c r="AL57" s="439">
        <v>174656</v>
      </c>
      <c r="AM57" s="438">
        <v>8518</v>
      </c>
      <c r="AN57" s="437">
        <v>179385</v>
      </c>
      <c r="AO57" s="438">
        <v>8788</v>
      </c>
      <c r="AP57" s="440">
        <v>186575</v>
      </c>
      <c r="AQ57" s="441">
        <v>8213</v>
      </c>
      <c r="AR57" s="442">
        <v>191553</v>
      </c>
      <c r="AS57" s="443">
        <v>8122</v>
      </c>
      <c r="AT57" s="442">
        <v>193173</v>
      </c>
      <c r="AU57" s="1586">
        <v>8053</v>
      </c>
      <c r="AV57" s="1589">
        <v>192351</v>
      </c>
      <c r="AW57" s="1590">
        <v>8082</v>
      </c>
    </row>
    <row r="58" spans="1:49" ht="15" customHeight="1" x14ac:dyDescent="0.25">
      <c r="A58" s="428" t="s">
        <v>134</v>
      </c>
      <c r="B58" s="444" t="s">
        <v>135</v>
      </c>
      <c r="C58" s="190" t="s">
        <v>267</v>
      </c>
      <c r="D58" s="430">
        <f t="shared" si="30"/>
        <v>2.3731459797033568E-2</v>
      </c>
      <c r="E58" s="431">
        <f t="shared" si="31"/>
        <v>3.1004799268682867E-2</v>
      </c>
      <c r="F58" s="432">
        <f t="shared" si="32"/>
        <v>6.5985296754527523E-2</v>
      </c>
      <c r="G58" s="432">
        <f t="shared" si="33"/>
        <v>4.228943826592052E-2</v>
      </c>
      <c r="H58" s="432">
        <f t="shared" si="34"/>
        <v>3.7364596188125598E-2</v>
      </c>
      <c r="I58" s="432">
        <f t="shared" si="35"/>
        <v>3.5993946173586894E-2</v>
      </c>
      <c r="J58" s="432">
        <f t="shared" si="36"/>
        <v>3.065739570164349E-2</v>
      </c>
      <c r="K58" s="432">
        <f t="shared" si="37"/>
        <v>2.9241585267218317E-2</v>
      </c>
      <c r="L58" s="432">
        <f t="shared" si="38"/>
        <v>4.2110271813477665E-2</v>
      </c>
      <c r="M58" s="432">
        <f t="shared" si="39"/>
        <v>8.1334848394234799E-2</v>
      </c>
      <c r="N58" s="432">
        <f t="shared" si="40"/>
        <v>8.0770633280661239E-2</v>
      </c>
      <c r="O58" s="433">
        <f t="shared" si="41"/>
        <v>7.2232870148538575E-2</v>
      </c>
      <c r="P58" s="434">
        <f t="shared" si="42"/>
        <v>6.5985296754527523E-2</v>
      </c>
      <c r="Q58" s="1577">
        <f t="shared" si="43"/>
        <v>5.8924961350933523E-2</v>
      </c>
      <c r="R58" s="1580">
        <f t="shared" si="29"/>
        <v>5.0607615446934914E-2</v>
      </c>
      <c r="S58" s="219"/>
      <c r="T58" s="435">
        <v>12810</v>
      </c>
      <c r="U58" s="436">
        <v>304</v>
      </c>
      <c r="V58" s="437">
        <v>13127</v>
      </c>
      <c r="W58" s="438">
        <v>407</v>
      </c>
      <c r="X58" s="437">
        <v>13669</v>
      </c>
      <c r="Y58" s="438">
        <v>595</v>
      </c>
      <c r="Z58" s="437">
        <v>14117</v>
      </c>
      <c r="AA58" s="438">
        <v>597</v>
      </c>
      <c r="AB58" s="437">
        <v>14586</v>
      </c>
      <c r="AC58" s="438">
        <v>545</v>
      </c>
      <c r="AD58" s="437">
        <v>15197</v>
      </c>
      <c r="AE58" s="438">
        <v>547</v>
      </c>
      <c r="AF58" s="437">
        <v>15820</v>
      </c>
      <c r="AG58" s="438">
        <v>485</v>
      </c>
      <c r="AH58" s="437">
        <v>16073</v>
      </c>
      <c r="AI58" s="438">
        <v>470</v>
      </c>
      <c r="AJ58" s="437">
        <v>16813</v>
      </c>
      <c r="AK58" s="438">
        <v>708</v>
      </c>
      <c r="AL58" s="439">
        <v>16721</v>
      </c>
      <c r="AM58" s="438">
        <v>1360</v>
      </c>
      <c r="AN58" s="437">
        <v>16454</v>
      </c>
      <c r="AO58" s="438">
        <v>1329</v>
      </c>
      <c r="AP58" s="440">
        <v>16696</v>
      </c>
      <c r="AQ58" s="441">
        <v>1206</v>
      </c>
      <c r="AR58" s="442">
        <v>16731</v>
      </c>
      <c r="AS58" s="443">
        <v>1104</v>
      </c>
      <c r="AT58" s="442">
        <v>16818</v>
      </c>
      <c r="AU58" s="1586">
        <v>991</v>
      </c>
      <c r="AV58" s="1589">
        <v>18515</v>
      </c>
      <c r="AW58" s="1590">
        <v>937</v>
      </c>
    </row>
    <row r="59" spans="1:49" ht="15" customHeight="1" x14ac:dyDescent="0.25">
      <c r="A59" s="428" t="s">
        <v>136</v>
      </c>
      <c r="B59" s="444" t="s">
        <v>137</v>
      </c>
      <c r="C59" s="190" t="s">
        <v>266</v>
      </c>
      <c r="D59" s="430">
        <f t="shared" si="30"/>
        <v>3.4450477438681897E-2</v>
      </c>
      <c r="E59" s="431">
        <f t="shared" si="31"/>
        <v>4.5006509205876885E-2</v>
      </c>
      <c r="F59" s="432">
        <f t="shared" si="32"/>
        <v>8.2660893524896667E-2</v>
      </c>
      <c r="G59" s="432">
        <f t="shared" si="33"/>
        <v>5.58205264087617E-2</v>
      </c>
      <c r="H59" s="432">
        <f t="shared" si="34"/>
        <v>4.8492553577915001E-2</v>
      </c>
      <c r="I59" s="432">
        <f t="shared" si="35"/>
        <v>5.2049910873440283E-2</v>
      </c>
      <c r="J59" s="432">
        <f t="shared" si="36"/>
        <v>4.3914680050188205E-2</v>
      </c>
      <c r="K59" s="432">
        <f t="shared" si="37"/>
        <v>4.561211457763182E-2</v>
      </c>
      <c r="L59" s="432">
        <f t="shared" si="38"/>
        <v>5.9538936286077329E-2</v>
      </c>
      <c r="M59" s="432">
        <f t="shared" si="39"/>
        <v>9.6150434628348408E-2</v>
      </c>
      <c r="N59" s="432">
        <f t="shared" si="40"/>
        <v>0.10185012147262194</v>
      </c>
      <c r="O59" s="433">
        <f t="shared" si="41"/>
        <v>9.1803899299640362E-2</v>
      </c>
      <c r="P59" s="434">
        <f t="shared" si="42"/>
        <v>8.2660893524896667E-2</v>
      </c>
      <c r="Q59" s="1577">
        <f t="shared" si="43"/>
        <v>8.0739104237798759E-2</v>
      </c>
      <c r="R59" s="1580">
        <f t="shared" si="29"/>
        <v>5.9501673484566753E-2</v>
      </c>
      <c r="S59" s="219"/>
      <c r="T59" s="435">
        <v>5341</v>
      </c>
      <c r="U59" s="436">
        <v>184</v>
      </c>
      <c r="V59" s="437">
        <v>5377</v>
      </c>
      <c r="W59" s="438">
        <v>242</v>
      </c>
      <c r="X59" s="437">
        <v>5492</v>
      </c>
      <c r="Y59" s="438">
        <v>306</v>
      </c>
      <c r="Z59" s="437">
        <v>5661</v>
      </c>
      <c r="AA59" s="438">
        <v>316</v>
      </c>
      <c r="AB59" s="437">
        <v>5506</v>
      </c>
      <c r="AC59" s="438">
        <v>267</v>
      </c>
      <c r="AD59" s="437">
        <v>5610</v>
      </c>
      <c r="AE59" s="438">
        <v>292</v>
      </c>
      <c r="AF59" s="437">
        <v>5579</v>
      </c>
      <c r="AG59" s="438">
        <v>245</v>
      </c>
      <c r="AH59" s="437">
        <v>5481</v>
      </c>
      <c r="AI59" s="438">
        <v>250</v>
      </c>
      <c r="AJ59" s="437">
        <v>5509</v>
      </c>
      <c r="AK59" s="438">
        <v>328</v>
      </c>
      <c r="AL59" s="439">
        <v>5637</v>
      </c>
      <c r="AM59" s="438">
        <v>542</v>
      </c>
      <c r="AN59" s="437">
        <v>5351</v>
      </c>
      <c r="AO59" s="438">
        <v>545</v>
      </c>
      <c r="AP59" s="440">
        <v>5283</v>
      </c>
      <c r="AQ59" s="441">
        <v>485</v>
      </c>
      <c r="AR59" s="442">
        <v>5081</v>
      </c>
      <c r="AS59" s="443">
        <v>420</v>
      </c>
      <c r="AT59" s="442">
        <v>4979</v>
      </c>
      <c r="AU59" s="1586">
        <v>402</v>
      </c>
      <c r="AV59" s="1589">
        <v>5378</v>
      </c>
      <c r="AW59" s="1590">
        <v>320</v>
      </c>
    </row>
    <row r="60" spans="1:49" ht="15" customHeight="1" x14ac:dyDescent="0.25">
      <c r="A60" s="428" t="s">
        <v>140</v>
      </c>
      <c r="B60" s="444" t="s">
        <v>141</v>
      </c>
      <c r="C60" s="190" t="s">
        <v>267</v>
      </c>
      <c r="D60" s="430">
        <f t="shared" si="30"/>
        <v>1.763803680981595E-2</v>
      </c>
      <c r="E60" s="431">
        <f t="shared" si="31"/>
        <v>2.2172949002217297E-2</v>
      </c>
      <c r="F60" s="432">
        <f t="shared" si="32"/>
        <v>4.5466631215102367E-2</v>
      </c>
      <c r="G60" s="432">
        <f t="shared" si="33"/>
        <v>3.8482834994462901E-2</v>
      </c>
      <c r="H60" s="432">
        <f t="shared" si="34"/>
        <v>2.962650940746981E-2</v>
      </c>
      <c r="I60" s="432">
        <f t="shared" si="35"/>
        <v>3.0479357162648935E-2</v>
      </c>
      <c r="J60" s="432">
        <f t="shared" si="36"/>
        <v>2.622545654263353E-2</v>
      </c>
      <c r="K60" s="432">
        <f t="shared" si="37"/>
        <v>2.6923602569359027E-2</v>
      </c>
      <c r="L60" s="432">
        <f t="shared" si="38"/>
        <v>3.7506745817593092E-2</v>
      </c>
      <c r="M60" s="432">
        <f t="shared" si="39"/>
        <v>6.3766948583702507E-2</v>
      </c>
      <c r="N60" s="432">
        <f t="shared" si="40"/>
        <v>6.3250488690309969E-2</v>
      </c>
      <c r="O60" s="433">
        <f t="shared" si="41"/>
        <v>5.20586182833217E-2</v>
      </c>
      <c r="P60" s="434">
        <f t="shared" si="42"/>
        <v>4.5466631215102367E-2</v>
      </c>
      <c r="Q60" s="1577">
        <f t="shared" si="43"/>
        <v>4.265213925059793E-2</v>
      </c>
      <c r="R60" s="1580">
        <f t="shared" si="29"/>
        <v>4.0224380900259954E-2</v>
      </c>
      <c r="S60" s="219"/>
      <c r="T60" s="435">
        <v>6520</v>
      </c>
      <c r="U60" s="436">
        <v>115</v>
      </c>
      <c r="V60" s="437">
        <v>6765</v>
      </c>
      <c r="W60" s="438">
        <v>150</v>
      </c>
      <c r="X60" s="437">
        <v>7021</v>
      </c>
      <c r="Y60" s="438">
        <v>301</v>
      </c>
      <c r="Z60" s="437">
        <v>7224</v>
      </c>
      <c r="AA60" s="438">
        <v>278</v>
      </c>
      <c r="AB60" s="437">
        <v>7122</v>
      </c>
      <c r="AC60" s="438">
        <v>211</v>
      </c>
      <c r="AD60" s="437">
        <v>7218</v>
      </c>
      <c r="AE60" s="438">
        <v>220</v>
      </c>
      <c r="AF60" s="437">
        <v>7283</v>
      </c>
      <c r="AG60" s="438">
        <v>191</v>
      </c>
      <c r="AH60" s="437">
        <v>7317</v>
      </c>
      <c r="AI60" s="438">
        <v>197</v>
      </c>
      <c r="AJ60" s="437">
        <v>7412</v>
      </c>
      <c r="AK60" s="438">
        <v>278</v>
      </c>
      <c r="AL60" s="439">
        <v>7449</v>
      </c>
      <c r="AM60" s="438">
        <v>475</v>
      </c>
      <c r="AN60" s="437">
        <v>7162</v>
      </c>
      <c r="AO60" s="438">
        <v>453</v>
      </c>
      <c r="AP60" s="440">
        <v>7165</v>
      </c>
      <c r="AQ60" s="441">
        <v>373</v>
      </c>
      <c r="AR60" s="442">
        <v>7522</v>
      </c>
      <c r="AS60" s="443">
        <v>342</v>
      </c>
      <c r="AT60" s="442">
        <v>7526</v>
      </c>
      <c r="AU60" s="1586">
        <v>321</v>
      </c>
      <c r="AV60" s="1589">
        <v>7309</v>
      </c>
      <c r="AW60" s="1590">
        <v>294</v>
      </c>
    </row>
    <row r="61" spans="1:49" ht="15" customHeight="1" x14ac:dyDescent="0.25">
      <c r="A61" s="428" t="s">
        <v>146</v>
      </c>
      <c r="B61" s="444" t="s">
        <v>147</v>
      </c>
      <c r="C61" s="190" t="s">
        <v>264</v>
      </c>
      <c r="D61" s="430">
        <f t="shared" si="30"/>
        <v>2.1733994802740374E-2</v>
      </c>
      <c r="E61" s="431">
        <f t="shared" si="31"/>
        <v>2.9737206085753802E-2</v>
      </c>
      <c r="F61" s="432">
        <f t="shared" si="32"/>
        <v>5.340143951706524E-2</v>
      </c>
      <c r="G61" s="432">
        <f t="shared" si="33"/>
        <v>3.1839890834659997E-2</v>
      </c>
      <c r="H61" s="432">
        <f t="shared" si="34"/>
        <v>2.9741477922672156E-2</v>
      </c>
      <c r="I61" s="432">
        <f t="shared" si="35"/>
        <v>2.9830508474576273E-2</v>
      </c>
      <c r="J61" s="432">
        <f t="shared" si="36"/>
        <v>2.600313830979601E-2</v>
      </c>
      <c r="K61" s="432">
        <f t="shared" si="37"/>
        <v>2.5652667423382521E-2</v>
      </c>
      <c r="L61" s="432">
        <f t="shared" si="38"/>
        <v>3.5523978685612786E-2</v>
      </c>
      <c r="M61" s="432">
        <f t="shared" si="39"/>
        <v>5.72940635066728E-2</v>
      </c>
      <c r="N61" s="432">
        <f t="shared" si="40"/>
        <v>6.1697247706422022E-2</v>
      </c>
      <c r="O61" s="433">
        <f t="shared" si="41"/>
        <v>6.3593004769475353E-2</v>
      </c>
      <c r="P61" s="434">
        <f t="shared" si="42"/>
        <v>5.340143951706524E-2</v>
      </c>
      <c r="Q61" s="1577">
        <f t="shared" si="43"/>
        <v>4.8081368469717986E-2</v>
      </c>
      <c r="R61" s="1580">
        <f t="shared" si="29"/>
        <v>4.6444816854201577E-2</v>
      </c>
      <c r="S61" s="219"/>
      <c r="T61" s="435">
        <v>4233</v>
      </c>
      <c r="U61" s="436">
        <v>92</v>
      </c>
      <c r="V61" s="437">
        <v>4338</v>
      </c>
      <c r="W61" s="438">
        <v>129</v>
      </c>
      <c r="X61" s="437">
        <v>4445</v>
      </c>
      <c r="Y61" s="438">
        <v>176</v>
      </c>
      <c r="Z61" s="437">
        <v>4397</v>
      </c>
      <c r="AA61" s="438">
        <v>140</v>
      </c>
      <c r="AB61" s="437">
        <v>4371</v>
      </c>
      <c r="AC61" s="438">
        <v>130</v>
      </c>
      <c r="AD61" s="437">
        <v>4425</v>
      </c>
      <c r="AE61" s="438">
        <v>132</v>
      </c>
      <c r="AF61" s="437">
        <v>4461</v>
      </c>
      <c r="AG61" s="438">
        <v>116</v>
      </c>
      <c r="AH61" s="437">
        <v>4405</v>
      </c>
      <c r="AI61" s="438">
        <v>113</v>
      </c>
      <c r="AJ61" s="437">
        <v>4504</v>
      </c>
      <c r="AK61" s="438">
        <v>160</v>
      </c>
      <c r="AL61" s="439">
        <v>4346</v>
      </c>
      <c r="AM61" s="438">
        <v>249</v>
      </c>
      <c r="AN61" s="437">
        <v>4360</v>
      </c>
      <c r="AO61" s="438">
        <v>269</v>
      </c>
      <c r="AP61" s="440">
        <v>4403</v>
      </c>
      <c r="AQ61" s="441">
        <v>280</v>
      </c>
      <c r="AR61" s="442">
        <v>4307</v>
      </c>
      <c r="AS61" s="443">
        <v>230</v>
      </c>
      <c r="AT61" s="442">
        <v>4326</v>
      </c>
      <c r="AU61" s="1586">
        <v>208</v>
      </c>
      <c r="AV61" s="1589">
        <v>4177</v>
      </c>
      <c r="AW61" s="1590">
        <v>194</v>
      </c>
    </row>
    <row r="62" spans="1:49" ht="15" customHeight="1" x14ac:dyDescent="0.25">
      <c r="A62" s="428" t="s">
        <v>148</v>
      </c>
      <c r="B62" s="444" t="s">
        <v>149</v>
      </c>
      <c r="C62" s="190" t="s">
        <v>265</v>
      </c>
      <c r="D62" s="430">
        <f t="shared" si="30"/>
        <v>3.340631400522636E-2</v>
      </c>
      <c r="E62" s="431">
        <f t="shared" si="31"/>
        <v>5.8173315382980234E-2</v>
      </c>
      <c r="F62" s="432">
        <f t="shared" si="32"/>
        <v>9.8811465858774178E-2</v>
      </c>
      <c r="G62" s="432">
        <f t="shared" si="33"/>
        <v>9.3296575739988397E-2</v>
      </c>
      <c r="H62" s="432">
        <f t="shared" si="34"/>
        <v>6.651029055690072E-2</v>
      </c>
      <c r="I62" s="432">
        <f t="shared" si="35"/>
        <v>6.0959987943636502E-2</v>
      </c>
      <c r="J62" s="432">
        <f t="shared" si="36"/>
        <v>5.2238805970149252E-2</v>
      </c>
      <c r="K62" s="432">
        <f t="shared" si="37"/>
        <v>5.0879731891233147E-2</v>
      </c>
      <c r="L62" s="432">
        <f t="shared" si="38"/>
        <v>6.5568906690402023E-2</v>
      </c>
      <c r="M62" s="432">
        <f t="shared" si="39"/>
        <v>0.11300594395697708</v>
      </c>
      <c r="N62" s="432">
        <f t="shared" si="40"/>
        <v>0.11956761526582838</v>
      </c>
      <c r="O62" s="433">
        <f t="shared" si="41"/>
        <v>0.10824017176278966</v>
      </c>
      <c r="P62" s="434">
        <f t="shared" si="42"/>
        <v>9.8811465858774178E-2</v>
      </c>
      <c r="Q62" s="1577">
        <f t="shared" si="43"/>
        <v>9.8816809465524277E-2</v>
      </c>
      <c r="R62" s="1580">
        <f t="shared" si="29"/>
        <v>7.7450903068065305E-2</v>
      </c>
      <c r="S62" s="219"/>
      <c r="T62" s="435">
        <v>14159</v>
      </c>
      <c r="U62" s="436">
        <v>473</v>
      </c>
      <c r="V62" s="437">
        <v>14113</v>
      </c>
      <c r="W62" s="438">
        <v>821</v>
      </c>
      <c r="X62" s="437">
        <v>14150</v>
      </c>
      <c r="Y62" s="438">
        <v>1438</v>
      </c>
      <c r="Z62" s="437">
        <v>13784</v>
      </c>
      <c r="AA62" s="438">
        <v>1286</v>
      </c>
      <c r="AB62" s="437">
        <v>13216</v>
      </c>
      <c r="AC62" s="438">
        <v>879</v>
      </c>
      <c r="AD62" s="437">
        <v>13271</v>
      </c>
      <c r="AE62" s="438">
        <v>809</v>
      </c>
      <c r="AF62" s="437">
        <v>13132</v>
      </c>
      <c r="AG62" s="438">
        <v>686</v>
      </c>
      <c r="AH62" s="437">
        <v>13129</v>
      </c>
      <c r="AI62" s="438">
        <v>668</v>
      </c>
      <c r="AJ62" s="437">
        <v>13482</v>
      </c>
      <c r="AK62" s="438">
        <v>884</v>
      </c>
      <c r="AL62" s="439">
        <v>14132</v>
      </c>
      <c r="AM62" s="438">
        <v>1597</v>
      </c>
      <c r="AN62" s="437">
        <v>13599</v>
      </c>
      <c r="AO62" s="438">
        <v>1626</v>
      </c>
      <c r="AP62" s="440">
        <v>13507</v>
      </c>
      <c r="AQ62" s="441">
        <v>1462</v>
      </c>
      <c r="AR62" s="442">
        <v>12873</v>
      </c>
      <c r="AS62" s="443">
        <v>1272</v>
      </c>
      <c r="AT62" s="442">
        <v>12255</v>
      </c>
      <c r="AU62" s="1586">
        <v>1211</v>
      </c>
      <c r="AV62" s="1589">
        <v>12679</v>
      </c>
      <c r="AW62" s="1590">
        <v>982</v>
      </c>
    </row>
    <row r="63" spans="1:49" ht="15" customHeight="1" x14ac:dyDescent="0.25">
      <c r="A63" s="428" t="s">
        <v>150</v>
      </c>
      <c r="B63" s="444" t="s">
        <v>151</v>
      </c>
      <c r="C63" s="190" t="s">
        <v>266</v>
      </c>
      <c r="D63" s="430">
        <f t="shared" si="30"/>
        <v>2.0810272304626964E-2</v>
      </c>
      <c r="E63" s="431">
        <f t="shared" si="31"/>
        <v>2.6446997615434641E-2</v>
      </c>
      <c r="F63" s="432">
        <f t="shared" si="32"/>
        <v>6.1987602479504099E-2</v>
      </c>
      <c r="G63" s="432">
        <f t="shared" si="33"/>
        <v>3.4897959183673471E-2</v>
      </c>
      <c r="H63" s="432">
        <f t="shared" si="34"/>
        <v>3.3400809716599193E-2</v>
      </c>
      <c r="I63" s="432">
        <f t="shared" si="35"/>
        <v>3.4959510171834879E-2</v>
      </c>
      <c r="J63" s="432">
        <f t="shared" si="36"/>
        <v>3.1583103039873668E-2</v>
      </c>
      <c r="K63" s="432">
        <f t="shared" si="37"/>
        <v>3.0296990233207095E-2</v>
      </c>
      <c r="L63" s="432">
        <f t="shared" si="38"/>
        <v>3.834176722460101E-2</v>
      </c>
      <c r="M63" s="432">
        <f t="shared" si="39"/>
        <v>6.9038461538461535E-2</v>
      </c>
      <c r="N63" s="432">
        <f t="shared" si="40"/>
        <v>7.4390001983733384E-2</v>
      </c>
      <c r="O63" s="433">
        <f t="shared" si="41"/>
        <v>6.6772655007949128E-2</v>
      </c>
      <c r="P63" s="434">
        <f t="shared" si="42"/>
        <v>6.1987602479504099E-2</v>
      </c>
      <c r="Q63" s="1577">
        <f t="shared" si="43"/>
        <v>5.7927440368811388E-2</v>
      </c>
      <c r="R63" s="1580">
        <f t="shared" si="29"/>
        <v>5.0730359257797078E-2</v>
      </c>
      <c r="S63" s="219"/>
      <c r="T63" s="435">
        <v>4517</v>
      </c>
      <c r="U63" s="436">
        <v>94</v>
      </c>
      <c r="V63" s="437">
        <v>4613</v>
      </c>
      <c r="W63" s="438">
        <v>122</v>
      </c>
      <c r="X63" s="437">
        <v>4762</v>
      </c>
      <c r="Y63" s="438">
        <v>157</v>
      </c>
      <c r="Z63" s="437">
        <v>4900</v>
      </c>
      <c r="AA63" s="438">
        <v>171</v>
      </c>
      <c r="AB63" s="437">
        <v>4940</v>
      </c>
      <c r="AC63" s="438">
        <v>165</v>
      </c>
      <c r="AD63" s="437">
        <v>5063</v>
      </c>
      <c r="AE63" s="438">
        <v>177</v>
      </c>
      <c r="AF63" s="437">
        <v>5066</v>
      </c>
      <c r="AG63" s="438">
        <v>160</v>
      </c>
      <c r="AH63" s="437">
        <v>5017</v>
      </c>
      <c r="AI63" s="438">
        <v>152</v>
      </c>
      <c r="AJ63" s="437">
        <v>5138</v>
      </c>
      <c r="AK63" s="438">
        <v>197</v>
      </c>
      <c r="AL63" s="439">
        <v>5200</v>
      </c>
      <c r="AM63" s="438">
        <v>359</v>
      </c>
      <c r="AN63" s="437">
        <v>5041</v>
      </c>
      <c r="AO63" s="438">
        <v>375</v>
      </c>
      <c r="AP63" s="440">
        <v>5032</v>
      </c>
      <c r="AQ63" s="441">
        <v>336</v>
      </c>
      <c r="AR63" s="442">
        <v>5001</v>
      </c>
      <c r="AS63" s="443">
        <v>310</v>
      </c>
      <c r="AT63" s="442">
        <v>4989</v>
      </c>
      <c r="AU63" s="1586">
        <v>289</v>
      </c>
      <c r="AV63" s="1589">
        <v>5066</v>
      </c>
      <c r="AW63" s="1590">
        <v>257</v>
      </c>
    </row>
    <row r="64" spans="1:49" ht="15" customHeight="1" x14ac:dyDescent="0.25">
      <c r="A64" s="428" t="s">
        <v>152</v>
      </c>
      <c r="B64" s="444" t="s">
        <v>153</v>
      </c>
      <c r="C64" s="190" t="s">
        <v>268</v>
      </c>
      <c r="D64" s="430">
        <f t="shared" si="30"/>
        <v>2.5115224410322136E-2</v>
      </c>
      <c r="E64" s="431">
        <f t="shared" si="31"/>
        <v>3.2999901931940766E-2</v>
      </c>
      <c r="F64" s="432">
        <f t="shared" si="32"/>
        <v>6.0118189980997723E-2</v>
      </c>
      <c r="G64" s="432">
        <f t="shared" si="33"/>
        <v>3.7969689233411472E-2</v>
      </c>
      <c r="H64" s="432">
        <f t="shared" si="34"/>
        <v>3.6267025547021832E-2</v>
      </c>
      <c r="I64" s="432">
        <f t="shared" si="35"/>
        <v>3.544187118331605E-2</v>
      </c>
      <c r="J64" s="432">
        <f t="shared" si="36"/>
        <v>3.0656699990828214E-2</v>
      </c>
      <c r="K64" s="432">
        <f t="shared" si="37"/>
        <v>3.2284411371009826E-2</v>
      </c>
      <c r="L64" s="432">
        <f t="shared" si="38"/>
        <v>4.0866536033093835E-2</v>
      </c>
      <c r="M64" s="432">
        <f t="shared" si="39"/>
        <v>7.2259026894221909E-2</v>
      </c>
      <c r="N64" s="432">
        <f t="shared" si="40"/>
        <v>7.4622651753719182E-2</v>
      </c>
      <c r="O64" s="433">
        <f t="shared" si="41"/>
        <v>6.6477477286685446E-2</v>
      </c>
      <c r="P64" s="434">
        <f t="shared" si="42"/>
        <v>6.0118189980997723E-2</v>
      </c>
      <c r="Q64" s="1577">
        <f t="shared" si="43"/>
        <v>5.5163474002592541E-2</v>
      </c>
      <c r="R64" s="1580">
        <f t="shared" si="29"/>
        <v>5.0468666043105334E-2</v>
      </c>
      <c r="S64" s="219"/>
      <c r="T64" s="435">
        <v>40573</v>
      </c>
      <c r="U64" s="436">
        <v>1019</v>
      </c>
      <c r="V64" s="437">
        <v>40788</v>
      </c>
      <c r="W64" s="438">
        <v>1346</v>
      </c>
      <c r="X64" s="437">
        <v>41554</v>
      </c>
      <c r="Y64" s="438">
        <v>1654</v>
      </c>
      <c r="Z64" s="437">
        <v>43087</v>
      </c>
      <c r="AA64" s="438">
        <v>1636</v>
      </c>
      <c r="AB64" s="437">
        <v>43097</v>
      </c>
      <c r="AC64" s="438">
        <v>1563</v>
      </c>
      <c r="AD64" s="437">
        <v>43395</v>
      </c>
      <c r="AE64" s="438">
        <v>1538</v>
      </c>
      <c r="AF64" s="437">
        <v>43612</v>
      </c>
      <c r="AG64" s="438">
        <v>1337</v>
      </c>
      <c r="AH64" s="437">
        <v>44077</v>
      </c>
      <c r="AI64" s="438">
        <v>1423</v>
      </c>
      <c r="AJ64" s="437">
        <v>45930</v>
      </c>
      <c r="AK64" s="438">
        <v>1877</v>
      </c>
      <c r="AL64" s="439">
        <v>45586</v>
      </c>
      <c r="AM64" s="438">
        <v>3294</v>
      </c>
      <c r="AN64" s="437">
        <v>46045</v>
      </c>
      <c r="AO64" s="438">
        <v>3436</v>
      </c>
      <c r="AP64" s="440">
        <v>47219</v>
      </c>
      <c r="AQ64" s="441">
        <v>3139</v>
      </c>
      <c r="AR64" s="442">
        <v>47889</v>
      </c>
      <c r="AS64" s="443">
        <v>2879</v>
      </c>
      <c r="AT64" s="442">
        <v>48601</v>
      </c>
      <c r="AU64" s="1586">
        <v>2681</v>
      </c>
      <c r="AV64" s="1589">
        <v>50249</v>
      </c>
      <c r="AW64" s="1590">
        <v>2536</v>
      </c>
    </row>
    <row r="65" spans="1:49" ht="15" customHeight="1" x14ac:dyDescent="0.25">
      <c r="A65" s="428" t="s">
        <v>154</v>
      </c>
      <c r="B65" s="444" t="s">
        <v>155</v>
      </c>
      <c r="C65" s="190" t="s">
        <v>265</v>
      </c>
      <c r="D65" s="430">
        <f t="shared" si="30"/>
        <v>2.3172650550708052E-2</v>
      </c>
      <c r="E65" s="431">
        <f t="shared" si="31"/>
        <v>3.2717529262445352E-2</v>
      </c>
      <c r="F65" s="432">
        <f t="shared" si="32"/>
        <v>5.4675118858954042E-2</v>
      </c>
      <c r="G65" s="432">
        <f t="shared" si="33"/>
        <v>3.6341025286721014E-2</v>
      </c>
      <c r="H65" s="432">
        <f t="shared" si="34"/>
        <v>3.5563428259980927E-2</v>
      </c>
      <c r="I65" s="432">
        <f t="shared" si="35"/>
        <v>3.1990362735912194E-2</v>
      </c>
      <c r="J65" s="432">
        <f t="shared" si="36"/>
        <v>2.7439813616360342E-2</v>
      </c>
      <c r="K65" s="432">
        <f t="shared" si="37"/>
        <v>2.707856598016781E-2</v>
      </c>
      <c r="L65" s="432">
        <f t="shared" si="38"/>
        <v>3.5979228486646884E-2</v>
      </c>
      <c r="M65" s="432">
        <f t="shared" si="39"/>
        <v>6.6352474265161845E-2</v>
      </c>
      <c r="N65" s="432">
        <f t="shared" si="40"/>
        <v>6.859158609877189E-2</v>
      </c>
      <c r="O65" s="433">
        <f t="shared" si="41"/>
        <v>5.8162078324932143E-2</v>
      </c>
      <c r="P65" s="434">
        <f t="shared" si="42"/>
        <v>5.4675118858954042E-2</v>
      </c>
      <c r="Q65" s="1577">
        <f t="shared" si="43"/>
        <v>5.1527468205060968E-2</v>
      </c>
      <c r="R65" s="1580">
        <f t="shared" si="29"/>
        <v>4.8410692911291395E-2</v>
      </c>
      <c r="S65" s="219"/>
      <c r="T65" s="435">
        <v>6991</v>
      </c>
      <c r="U65" s="436">
        <v>162</v>
      </c>
      <c r="V65" s="437">
        <v>7091</v>
      </c>
      <c r="W65" s="438">
        <v>232</v>
      </c>
      <c r="X65" s="437">
        <v>7137</v>
      </c>
      <c r="Y65" s="438">
        <v>259</v>
      </c>
      <c r="Z65" s="437">
        <v>7237</v>
      </c>
      <c r="AA65" s="438">
        <v>263</v>
      </c>
      <c r="AB65" s="437">
        <v>7339</v>
      </c>
      <c r="AC65" s="438">
        <v>261</v>
      </c>
      <c r="AD65" s="437">
        <v>7471</v>
      </c>
      <c r="AE65" s="438">
        <v>239</v>
      </c>
      <c r="AF65" s="437">
        <v>7726</v>
      </c>
      <c r="AG65" s="438">
        <v>212</v>
      </c>
      <c r="AH65" s="437">
        <v>7866</v>
      </c>
      <c r="AI65" s="438">
        <v>213</v>
      </c>
      <c r="AJ65" s="437">
        <v>8088</v>
      </c>
      <c r="AK65" s="438">
        <v>291</v>
      </c>
      <c r="AL65" s="439">
        <v>8063</v>
      </c>
      <c r="AM65" s="438">
        <v>535</v>
      </c>
      <c r="AN65" s="437">
        <v>7654</v>
      </c>
      <c r="AO65" s="438">
        <v>525</v>
      </c>
      <c r="AP65" s="440">
        <v>7737</v>
      </c>
      <c r="AQ65" s="441">
        <v>450</v>
      </c>
      <c r="AR65" s="442">
        <v>7572</v>
      </c>
      <c r="AS65" s="443">
        <v>414</v>
      </c>
      <c r="AT65" s="442">
        <v>7627</v>
      </c>
      <c r="AU65" s="1586">
        <v>393</v>
      </c>
      <c r="AV65" s="1589">
        <v>7519</v>
      </c>
      <c r="AW65" s="1590">
        <v>364</v>
      </c>
    </row>
    <row r="66" spans="1:49" ht="15" customHeight="1" x14ac:dyDescent="0.25">
      <c r="A66" s="428" t="s">
        <v>156</v>
      </c>
      <c r="B66" s="444" t="s">
        <v>157</v>
      </c>
      <c r="C66" s="190" t="s">
        <v>266</v>
      </c>
      <c r="D66" s="430">
        <f t="shared" si="30"/>
        <v>1.8191841234840134E-2</v>
      </c>
      <c r="E66" s="431">
        <f t="shared" si="31"/>
        <v>2.9976019184652279E-2</v>
      </c>
      <c r="F66" s="432">
        <f t="shared" si="32"/>
        <v>5.6865197729240834E-2</v>
      </c>
      <c r="G66" s="432">
        <f t="shared" si="33"/>
        <v>3.6813592711154891E-2</v>
      </c>
      <c r="H66" s="432">
        <f t="shared" si="34"/>
        <v>3.3721066854658678E-2</v>
      </c>
      <c r="I66" s="432">
        <f t="shared" si="35"/>
        <v>3.1991860728012661E-2</v>
      </c>
      <c r="J66" s="432">
        <f t="shared" si="36"/>
        <v>2.7370689655172413E-2</v>
      </c>
      <c r="K66" s="432">
        <f t="shared" si="37"/>
        <v>2.7327070879590094E-2</v>
      </c>
      <c r="L66" s="432">
        <f t="shared" si="38"/>
        <v>3.5919106549954727E-2</v>
      </c>
      <c r="M66" s="432">
        <f t="shared" si="39"/>
        <v>7.2193053311793209E-2</v>
      </c>
      <c r="N66" s="432">
        <f t="shared" si="40"/>
        <v>7.7038971474487752E-2</v>
      </c>
      <c r="O66" s="433">
        <f t="shared" si="41"/>
        <v>6.6497164091531391E-2</v>
      </c>
      <c r="P66" s="434">
        <f t="shared" si="42"/>
        <v>5.6865197729240834E-2</v>
      </c>
      <c r="Q66" s="1577">
        <f t="shared" si="43"/>
        <v>5.2762141017078525E-2</v>
      </c>
      <c r="R66" s="1580">
        <f t="shared" si="29"/>
        <v>4.5138888888888888E-2</v>
      </c>
      <c r="S66" s="219"/>
      <c r="T66" s="435">
        <v>7256</v>
      </c>
      <c r="U66" s="436">
        <v>132</v>
      </c>
      <c r="V66" s="437">
        <v>7506</v>
      </c>
      <c r="W66" s="438">
        <v>225</v>
      </c>
      <c r="X66" s="437">
        <v>7755</v>
      </c>
      <c r="Y66" s="438">
        <v>280</v>
      </c>
      <c r="Z66" s="437">
        <v>8122</v>
      </c>
      <c r="AA66" s="438">
        <v>299</v>
      </c>
      <c r="AB66" s="437">
        <v>8511</v>
      </c>
      <c r="AC66" s="438">
        <v>287</v>
      </c>
      <c r="AD66" s="437">
        <v>8846</v>
      </c>
      <c r="AE66" s="438">
        <v>283</v>
      </c>
      <c r="AF66" s="437">
        <v>9280</v>
      </c>
      <c r="AG66" s="438">
        <v>254</v>
      </c>
      <c r="AH66" s="437">
        <v>9368</v>
      </c>
      <c r="AI66" s="438">
        <v>256</v>
      </c>
      <c r="AJ66" s="437">
        <v>9939</v>
      </c>
      <c r="AK66" s="438">
        <v>357</v>
      </c>
      <c r="AL66" s="439">
        <v>9904</v>
      </c>
      <c r="AM66" s="438">
        <v>715</v>
      </c>
      <c r="AN66" s="437">
        <v>9956</v>
      </c>
      <c r="AO66" s="438">
        <v>767</v>
      </c>
      <c r="AP66" s="440">
        <v>10226</v>
      </c>
      <c r="AQ66" s="441">
        <v>680</v>
      </c>
      <c r="AR66" s="442">
        <v>10393</v>
      </c>
      <c r="AS66" s="443">
        <v>591</v>
      </c>
      <c r="AT66" s="442">
        <v>10481</v>
      </c>
      <c r="AU66" s="1586">
        <v>553</v>
      </c>
      <c r="AV66" s="1589">
        <v>10944</v>
      </c>
      <c r="AW66" s="1590">
        <v>494</v>
      </c>
    </row>
    <row r="67" spans="1:49" ht="15" customHeight="1" x14ac:dyDescent="0.25">
      <c r="A67" s="428" t="s">
        <v>162</v>
      </c>
      <c r="B67" s="444" t="s">
        <v>163</v>
      </c>
      <c r="C67" s="190" t="s">
        <v>264</v>
      </c>
      <c r="D67" s="430">
        <f t="shared" si="30"/>
        <v>2.6400862068965518E-2</v>
      </c>
      <c r="E67" s="431">
        <f t="shared" si="31"/>
        <v>3.6663124335812966E-2</v>
      </c>
      <c r="F67" s="432">
        <f t="shared" si="32"/>
        <v>8.7836760720548385E-2</v>
      </c>
      <c r="G67" s="432">
        <f t="shared" si="33"/>
        <v>4.8395143854980872E-2</v>
      </c>
      <c r="H67" s="432">
        <f t="shared" si="34"/>
        <v>4.6182060686895635E-2</v>
      </c>
      <c r="I67" s="432">
        <f t="shared" si="35"/>
        <v>5.0764834425953941E-2</v>
      </c>
      <c r="J67" s="432">
        <f t="shared" si="36"/>
        <v>4.3767029972752045E-2</v>
      </c>
      <c r="K67" s="432">
        <f t="shared" si="37"/>
        <v>4.0809443507588535E-2</v>
      </c>
      <c r="L67" s="432">
        <f t="shared" si="38"/>
        <v>5.4411764705882354E-2</v>
      </c>
      <c r="M67" s="432">
        <f t="shared" si="39"/>
        <v>7.9493987193503049E-2</v>
      </c>
      <c r="N67" s="432">
        <f t="shared" si="40"/>
        <v>7.9508825786646198E-2</v>
      </c>
      <c r="O67" s="433">
        <f t="shared" si="41"/>
        <v>8.4870271959987489E-2</v>
      </c>
      <c r="P67" s="434">
        <f t="shared" si="42"/>
        <v>8.7836760720548385E-2</v>
      </c>
      <c r="Q67" s="1577">
        <f t="shared" si="43"/>
        <v>7.6622106292794256E-2</v>
      </c>
      <c r="R67" s="1580">
        <f t="shared" si="29"/>
        <v>7.434210526315789E-2</v>
      </c>
      <c r="S67" s="219"/>
      <c r="T67" s="435">
        <v>5568</v>
      </c>
      <c r="U67" s="436">
        <v>147</v>
      </c>
      <c r="V67" s="437">
        <v>5646</v>
      </c>
      <c r="W67" s="438">
        <v>207</v>
      </c>
      <c r="X67" s="437">
        <v>5904</v>
      </c>
      <c r="Y67" s="438">
        <v>299</v>
      </c>
      <c r="Z67" s="437">
        <v>6013</v>
      </c>
      <c r="AA67" s="438">
        <v>291</v>
      </c>
      <c r="AB67" s="437">
        <v>5998</v>
      </c>
      <c r="AC67" s="438">
        <v>277</v>
      </c>
      <c r="AD67" s="437">
        <v>5949</v>
      </c>
      <c r="AE67" s="438">
        <v>302</v>
      </c>
      <c r="AF67" s="437">
        <v>5872</v>
      </c>
      <c r="AG67" s="438">
        <v>257</v>
      </c>
      <c r="AH67" s="437">
        <v>5930</v>
      </c>
      <c r="AI67" s="438">
        <v>242</v>
      </c>
      <c r="AJ67" s="437">
        <v>6120</v>
      </c>
      <c r="AK67" s="438">
        <v>333</v>
      </c>
      <c r="AL67" s="439">
        <v>6403</v>
      </c>
      <c r="AM67" s="438">
        <v>509</v>
      </c>
      <c r="AN67" s="437">
        <v>6515</v>
      </c>
      <c r="AO67" s="438">
        <v>518</v>
      </c>
      <c r="AP67" s="440">
        <v>6398</v>
      </c>
      <c r="AQ67" s="441">
        <v>543</v>
      </c>
      <c r="AR67" s="442">
        <v>6273</v>
      </c>
      <c r="AS67" s="443">
        <v>551</v>
      </c>
      <c r="AT67" s="442">
        <v>6134</v>
      </c>
      <c r="AU67" s="1586">
        <v>470</v>
      </c>
      <c r="AV67" s="1589">
        <v>6080</v>
      </c>
      <c r="AW67" s="1590">
        <v>452</v>
      </c>
    </row>
    <row r="68" spans="1:49" ht="15" customHeight="1" x14ac:dyDescent="0.25">
      <c r="A68" s="428" t="s">
        <v>164</v>
      </c>
      <c r="B68" s="444" t="s">
        <v>165</v>
      </c>
      <c r="C68" s="190" t="s">
        <v>266</v>
      </c>
      <c r="D68" s="430">
        <f t="shared" si="30"/>
        <v>4.4781643227239085E-2</v>
      </c>
      <c r="E68" s="431">
        <f t="shared" si="31"/>
        <v>5.0200803212851405E-2</v>
      </c>
      <c r="F68" s="432">
        <f t="shared" si="32"/>
        <v>8.409703504043127E-2</v>
      </c>
      <c r="G68" s="432">
        <f t="shared" si="33"/>
        <v>5.576012624934245E-2</v>
      </c>
      <c r="H68" s="432">
        <f t="shared" si="34"/>
        <v>4.9319163068747923E-2</v>
      </c>
      <c r="I68" s="432">
        <f t="shared" si="35"/>
        <v>4.7909120842937108E-2</v>
      </c>
      <c r="J68" s="432">
        <f t="shared" si="36"/>
        <v>4.1492387485360549E-2</v>
      </c>
      <c r="K68" s="432">
        <f t="shared" si="37"/>
        <v>4.3595809395065903E-2</v>
      </c>
      <c r="L68" s="432">
        <f t="shared" si="38"/>
        <v>5.695453777251986E-2</v>
      </c>
      <c r="M68" s="432">
        <f t="shared" si="39"/>
        <v>9.0257412838057993E-2</v>
      </c>
      <c r="N68" s="432">
        <f t="shared" si="40"/>
        <v>8.7867522811760732E-2</v>
      </c>
      <c r="O68" s="433">
        <f t="shared" si="41"/>
        <v>9.1049382716049385E-2</v>
      </c>
      <c r="P68" s="434">
        <f t="shared" si="42"/>
        <v>8.409703504043127E-2</v>
      </c>
      <c r="Q68" s="1577">
        <f t="shared" si="43"/>
        <v>7.8127913481260483E-2</v>
      </c>
      <c r="R68" s="1580">
        <f t="shared" ref="R68:R99" si="44">AW68/AV68</f>
        <v>7.0534297302063134E-2</v>
      </c>
      <c r="S68" s="219"/>
      <c r="T68" s="435">
        <v>5404</v>
      </c>
      <c r="U68" s="436">
        <v>242</v>
      </c>
      <c r="V68" s="437">
        <v>5478</v>
      </c>
      <c r="W68" s="438">
        <v>275</v>
      </c>
      <c r="X68" s="437">
        <v>5603</v>
      </c>
      <c r="Y68" s="438">
        <v>333</v>
      </c>
      <c r="Z68" s="437">
        <v>5703</v>
      </c>
      <c r="AA68" s="438">
        <v>318</v>
      </c>
      <c r="AB68" s="437">
        <v>6022</v>
      </c>
      <c r="AC68" s="438">
        <v>297</v>
      </c>
      <c r="AD68" s="437">
        <v>6074</v>
      </c>
      <c r="AE68" s="438">
        <v>291</v>
      </c>
      <c r="AF68" s="437">
        <v>5977</v>
      </c>
      <c r="AG68" s="438">
        <v>248</v>
      </c>
      <c r="AH68" s="437">
        <v>5918</v>
      </c>
      <c r="AI68" s="438">
        <v>258</v>
      </c>
      <c r="AJ68" s="437">
        <v>5917</v>
      </c>
      <c r="AK68" s="438">
        <v>337</v>
      </c>
      <c r="AL68" s="439">
        <v>6138</v>
      </c>
      <c r="AM68" s="438">
        <v>554</v>
      </c>
      <c r="AN68" s="437">
        <v>5918</v>
      </c>
      <c r="AO68" s="438">
        <v>520</v>
      </c>
      <c r="AP68" s="440">
        <v>5832</v>
      </c>
      <c r="AQ68" s="441">
        <v>531</v>
      </c>
      <c r="AR68" s="442">
        <v>5565</v>
      </c>
      <c r="AS68" s="443">
        <v>468</v>
      </c>
      <c r="AT68" s="442">
        <v>5363</v>
      </c>
      <c r="AU68" s="1586">
        <v>419</v>
      </c>
      <c r="AV68" s="1589">
        <v>5671</v>
      </c>
      <c r="AW68" s="1590">
        <v>400</v>
      </c>
    </row>
    <row r="69" spans="1:49" ht="15" customHeight="1" x14ac:dyDescent="0.25">
      <c r="A69" s="428" t="s">
        <v>168</v>
      </c>
      <c r="B69" s="444" t="s">
        <v>169</v>
      </c>
      <c r="C69" s="190" t="s">
        <v>266</v>
      </c>
      <c r="D69" s="430">
        <f t="shared" ref="D69:D100" si="45">U69/T69</f>
        <v>2.9176854115729421E-2</v>
      </c>
      <c r="E69" s="431">
        <f t="shared" ref="E69:E100" si="46">W69/V69</f>
        <v>3.9743589743589741E-2</v>
      </c>
      <c r="F69" s="432">
        <f t="shared" ref="F69:F100" si="47">AS69/AR69</f>
        <v>7.2156862745098041E-2</v>
      </c>
      <c r="G69" s="432">
        <f t="shared" ref="G69:G100" si="48">AA69/Z69</f>
        <v>4.4307692307692305E-2</v>
      </c>
      <c r="H69" s="432">
        <f t="shared" ref="H69:H100" si="49">AC69/AB69</f>
        <v>4.3662635464111824E-2</v>
      </c>
      <c r="I69" s="432">
        <f t="shared" ref="I69:I100" si="50">AE69/AD69</f>
        <v>4.5269423558897244E-2</v>
      </c>
      <c r="J69" s="432">
        <f t="shared" ref="J69:J100" si="51">AG69/AF69</f>
        <v>4.087659309916071E-2</v>
      </c>
      <c r="K69" s="432">
        <f t="shared" ref="K69:K100" si="52">AI69/AH69</f>
        <v>3.9107852123434157E-2</v>
      </c>
      <c r="L69" s="432">
        <f t="shared" ref="L69:L100" si="53">AK69/AJ69</f>
        <v>5.4873427315446414E-2</v>
      </c>
      <c r="M69" s="432">
        <f t="shared" ref="M69:M100" si="54">AM69/AL69</f>
        <v>8.3158210747523262E-2</v>
      </c>
      <c r="N69" s="432">
        <f t="shared" ref="N69:N100" si="55">AO69/AN69</f>
        <v>8.5674375291013502E-2</v>
      </c>
      <c r="O69" s="433">
        <f t="shared" ref="O69:O100" si="56">AQ69/AP69</f>
        <v>7.9480439152620999E-2</v>
      </c>
      <c r="P69" s="434">
        <f t="shared" ref="P69:P100" si="57">AS69/AR69</f>
        <v>7.2156862745098041E-2</v>
      </c>
      <c r="Q69" s="1577">
        <f t="shared" ref="Q69:Q100" si="58">AU69/AT69</f>
        <v>6.7989097516656577E-2</v>
      </c>
      <c r="R69" s="1580">
        <f t="shared" si="44"/>
        <v>5.4225352112676053E-2</v>
      </c>
      <c r="S69" s="219"/>
      <c r="T69" s="435">
        <v>6135</v>
      </c>
      <c r="U69" s="436">
        <v>179</v>
      </c>
      <c r="V69" s="437">
        <v>6240</v>
      </c>
      <c r="W69" s="438">
        <v>248</v>
      </c>
      <c r="X69" s="437">
        <v>6383</v>
      </c>
      <c r="Y69" s="438">
        <v>280</v>
      </c>
      <c r="Z69" s="437">
        <v>6500</v>
      </c>
      <c r="AA69" s="438">
        <v>288</v>
      </c>
      <c r="AB69" s="437">
        <v>6367</v>
      </c>
      <c r="AC69" s="438">
        <v>278</v>
      </c>
      <c r="AD69" s="437">
        <v>6384</v>
      </c>
      <c r="AE69" s="438">
        <v>289</v>
      </c>
      <c r="AF69" s="437">
        <v>6434</v>
      </c>
      <c r="AG69" s="438">
        <v>263</v>
      </c>
      <c r="AH69" s="437">
        <v>6546</v>
      </c>
      <c r="AI69" s="438">
        <v>256</v>
      </c>
      <c r="AJ69" s="437">
        <v>6597</v>
      </c>
      <c r="AK69" s="438">
        <v>362</v>
      </c>
      <c r="AL69" s="439">
        <v>6662</v>
      </c>
      <c r="AM69" s="438">
        <v>554</v>
      </c>
      <c r="AN69" s="437">
        <v>6443</v>
      </c>
      <c r="AO69" s="438">
        <v>552</v>
      </c>
      <c r="AP69" s="440">
        <v>6467</v>
      </c>
      <c r="AQ69" s="441">
        <v>514</v>
      </c>
      <c r="AR69" s="442">
        <v>6375</v>
      </c>
      <c r="AS69" s="443">
        <v>460</v>
      </c>
      <c r="AT69" s="442">
        <v>6604</v>
      </c>
      <c r="AU69" s="1586">
        <v>449</v>
      </c>
      <c r="AV69" s="1589">
        <v>7100</v>
      </c>
      <c r="AW69" s="1590">
        <v>385</v>
      </c>
    </row>
    <row r="70" spans="1:49" ht="15" customHeight="1" x14ac:dyDescent="0.25">
      <c r="A70" s="428" t="s">
        <v>170</v>
      </c>
      <c r="B70" s="444" t="s">
        <v>171</v>
      </c>
      <c r="C70" s="190" t="s">
        <v>267</v>
      </c>
      <c r="D70" s="430">
        <f t="shared" si="45"/>
        <v>2.0456520022115156E-2</v>
      </c>
      <c r="E70" s="431">
        <f t="shared" si="46"/>
        <v>2.6861268535051625E-2</v>
      </c>
      <c r="F70" s="432">
        <f t="shared" si="47"/>
        <v>6.8258940224484463E-2</v>
      </c>
      <c r="G70" s="432">
        <f t="shared" si="48"/>
        <v>3.9910829857615418E-2</v>
      </c>
      <c r="H70" s="432">
        <f t="shared" si="49"/>
        <v>3.3084386124101348E-2</v>
      </c>
      <c r="I70" s="432">
        <f t="shared" si="50"/>
        <v>3.1671753136656496E-2</v>
      </c>
      <c r="J70" s="432">
        <f t="shared" si="51"/>
        <v>3.014207940512548E-2</v>
      </c>
      <c r="K70" s="432">
        <f t="shared" si="52"/>
        <v>3.2243326153645321E-2</v>
      </c>
      <c r="L70" s="432">
        <f t="shared" si="53"/>
        <v>4.5871559633027525E-2</v>
      </c>
      <c r="M70" s="432">
        <f t="shared" si="54"/>
        <v>8.0060422960725075E-2</v>
      </c>
      <c r="N70" s="432">
        <f t="shared" si="55"/>
        <v>8.1804818815108329E-2</v>
      </c>
      <c r="O70" s="433">
        <f t="shared" si="56"/>
        <v>7.6596023024594451E-2</v>
      </c>
      <c r="P70" s="434">
        <f t="shared" si="57"/>
        <v>6.8258940224484463E-2</v>
      </c>
      <c r="Q70" s="1577">
        <f t="shared" si="58"/>
        <v>5.9647335922082885E-2</v>
      </c>
      <c r="R70" s="1580">
        <f t="shared" si="44"/>
        <v>5.2236047800911664E-2</v>
      </c>
      <c r="S70" s="219"/>
      <c r="T70" s="435">
        <v>12661</v>
      </c>
      <c r="U70" s="436">
        <v>259</v>
      </c>
      <c r="V70" s="437">
        <v>12881</v>
      </c>
      <c r="W70" s="438">
        <v>346</v>
      </c>
      <c r="X70" s="437">
        <v>13352</v>
      </c>
      <c r="Y70" s="438">
        <v>598</v>
      </c>
      <c r="Z70" s="437">
        <v>13906</v>
      </c>
      <c r="AA70" s="438">
        <v>555</v>
      </c>
      <c r="AB70" s="437">
        <v>14327</v>
      </c>
      <c r="AC70" s="438">
        <v>474</v>
      </c>
      <c r="AD70" s="437">
        <v>14745</v>
      </c>
      <c r="AE70" s="438">
        <v>467</v>
      </c>
      <c r="AF70" s="437">
        <v>15062</v>
      </c>
      <c r="AG70" s="438">
        <v>454</v>
      </c>
      <c r="AH70" s="437">
        <v>15321</v>
      </c>
      <c r="AI70" s="438">
        <v>494</v>
      </c>
      <c r="AJ70" s="437">
        <v>15696</v>
      </c>
      <c r="AK70" s="438">
        <v>720</v>
      </c>
      <c r="AL70" s="439">
        <v>15888</v>
      </c>
      <c r="AM70" s="438">
        <v>1272</v>
      </c>
      <c r="AN70" s="437">
        <v>15647</v>
      </c>
      <c r="AO70" s="438">
        <v>1280</v>
      </c>
      <c r="AP70" s="440">
        <v>15288</v>
      </c>
      <c r="AQ70" s="441">
        <v>1171</v>
      </c>
      <c r="AR70" s="442">
        <v>15324</v>
      </c>
      <c r="AS70" s="443">
        <v>1046</v>
      </c>
      <c r="AT70" s="442">
        <v>15709</v>
      </c>
      <c r="AU70" s="1586">
        <v>937</v>
      </c>
      <c r="AV70" s="1589">
        <v>16234</v>
      </c>
      <c r="AW70" s="1590">
        <v>848</v>
      </c>
    </row>
    <row r="71" spans="1:49" ht="15" customHeight="1" x14ac:dyDescent="0.25">
      <c r="A71" s="428" t="s">
        <v>172</v>
      </c>
      <c r="B71" s="444" t="s">
        <v>173</v>
      </c>
      <c r="C71" s="190" t="s">
        <v>267</v>
      </c>
      <c r="D71" s="430">
        <f t="shared" si="45"/>
        <v>2.5956284153005466E-2</v>
      </c>
      <c r="E71" s="431">
        <f t="shared" si="46"/>
        <v>3.3432392273402674E-2</v>
      </c>
      <c r="F71" s="432">
        <f t="shared" si="47"/>
        <v>0.1048835592631213</v>
      </c>
      <c r="G71" s="432">
        <f t="shared" si="48"/>
        <v>6.9630245118404654E-2</v>
      </c>
      <c r="H71" s="432">
        <f t="shared" si="49"/>
        <v>5.4213727193744572E-2</v>
      </c>
      <c r="I71" s="432">
        <f t="shared" si="50"/>
        <v>5.0856298356950359E-2</v>
      </c>
      <c r="J71" s="432">
        <f t="shared" si="51"/>
        <v>4.6474215747609258E-2</v>
      </c>
      <c r="K71" s="432">
        <f t="shared" si="52"/>
        <v>5.0913606528295192E-2</v>
      </c>
      <c r="L71" s="432">
        <f t="shared" si="53"/>
        <v>6.9012293344637557E-2</v>
      </c>
      <c r="M71" s="432">
        <f t="shared" si="54"/>
        <v>0.12177426003792563</v>
      </c>
      <c r="N71" s="432">
        <f t="shared" si="55"/>
        <v>0.11980749746707194</v>
      </c>
      <c r="O71" s="433">
        <f t="shared" si="56"/>
        <v>0.11279195411852713</v>
      </c>
      <c r="P71" s="434">
        <f t="shared" si="57"/>
        <v>0.1048835592631213</v>
      </c>
      <c r="Q71" s="1577">
        <f t="shared" si="58"/>
        <v>9.4080056803053161E-2</v>
      </c>
      <c r="R71" s="1580">
        <f t="shared" si="44"/>
        <v>8.0775037745344738E-2</v>
      </c>
      <c r="S71" s="190"/>
      <c r="T71" s="445">
        <v>11712</v>
      </c>
      <c r="U71" s="446">
        <v>304</v>
      </c>
      <c r="V71" s="437">
        <v>12114</v>
      </c>
      <c r="W71" s="438">
        <v>405</v>
      </c>
      <c r="X71" s="437">
        <v>12351</v>
      </c>
      <c r="Y71" s="438">
        <v>756</v>
      </c>
      <c r="Z71" s="437">
        <v>12035</v>
      </c>
      <c r="AA71" s="438">
        <v>838</v>
      </c>
      <c r="AB71" s="464">
        <v>11510</v>
      </c>
      <c r="AC71" s="441">
        <v>624</v>
      </c>
      <c r="AD71" s="464">
        <v>11503</v>
      </c>
      <c r="AE71" s="441">
        <v>585</v>
      </c>
      <c r="AF71" s="464">
        <v>11189</v>
      </c>
      <c r="AG71" s="441">
        <v>520</v>
      </c>
      <c r="AH71" s="464">
        <v>11274</v>
      </c>
      <c r="AI71" s="441">
        <v>574</v>
      </c>
      <c r="AJ71" s="464">
        <v>11795</v>
      </c>
      <c r="AK71" s="441">
        <v>814</v>
      </c>
      <c r="AL71" s="447">
        <v>12129</v>
      </c>
      <c r="AM71" s="441">
        <v>1477</v>
      </c>
      <c r="AN71" s="437">
        <v>11844</v>
      </c>
      <c r="AO71" s="438">
        <v>1419</v>
      </c>
      <c r="AP71" s="440">
        <v>12031</v>
      </c>
      <c r="AQ71" s="441">
        <v>1357</v>
      </c>
      <c r="AR71" s="442">
        <v>11508</v>
      </c>
      <c r="AS71" s="443">
        <v>1207</v>
      </c>
      <c r="AT71" s="442">
        <v>11267</v>
      </c>
      <c r="AU71" s="1586">
        <v>1060</v>
      </c>
      <c r="AV71" s="1589">
        <v>11922</v>
      </c>
      <c r="AW71" s="1590">
        <v>963</v>
      </c>
    </row>
    <row r="72" spans="1:49" ht="15" customHeight="1" x14ac:dyDescent="0.25">
      <c r="A72" s="428" t="s">
        <v>174</v>
      </c>
      <c r="B72" s="444" t="s">
        <v>175</v>
      </c>
      <c r="C72" s="190" t="s">
        <v>268</v>
      </c>
      <c r="D72" s="430">
        <f t="shared" si="45"/>
        <v>3.2804232804232801E-2</v>
      </c>
      <c r="E72" s="431">
        <f t="shared" si="46"/>
        <v>5.2559941367396085E-2</v>
      </c>
      <c r="F72" s="432">
        <f t="shared" si="47"/>
        <v>8.0185938407902377E-2</v>
      </c>
      <c r="G72" s="432">
        <f t="shared" si="48"/>
        <v>7.6378351036924627E-2</v>
      </c>
      <c r="H72" s="432">
        <f t="shared" si="49"/>
        <v>7.5663282017687516E-2</v>
      </c>
      <c r="I72" s="432">
        <f t="shared" si="50"/>
        <v>6.5458663646659115E-2</v>
      </c>
      <c r="J72" s="432">
        <f t="shared" si="51"/>
        <v>4.5933991153453556E-2</v>
      </c>
      <c r="K72" s="432">
        <f t="shared" si="52"/>
        <v>4.0861647790361978E-2</v>
      </c>
      <c r="L72" s="432">
        <f t="shared" si="53"/>
        <v>6.4896755162241887E-2</v>
      </c>
      <c r="M72" s="432">
        <f t="shared" si="54"/>
        <v>0.11533082302313072</v>
      </c>
      <c r="N72" s="432">
        <f t="shared" si="55"/>
        <v>0.11521596141197106</v>
      </c>
      <c r="O72" s="433">
        <f t="shared" si="56"/>
        <v>9.6082194874110877E-2</v>
      </c>
      <c r="P72" s="434">
        <f t="shared" si="57"/>
        <v>8.0185938407902377E-2</v>
      </c>
      <c r="Q72" s="1577">
        <f t="shared" si="58"/>
        <v>7.430488974113135E-2</v>
      </c>
      <c r="R72" s="1580">
        <f t="shared" si="44"/>
        <v>6.5043791859866043E-2</v>
      </c>
      <c r="S72" s="219"/>
      <c r="T72" s="435">
        <v>9450</v>
      </c>
      <c r="U72" s="436">
        <v>310</v>
      </c>
      <c r="V72" s="437">
        <v>9551</v>
      </c>
      <c r="W72" s="438">
        <v>502</v>
      </c>
      <c r="X72" s="437">
        <v>9645</v>
      </c>
      <c r="Y72" s="438">
        <v>809</v>
      </c>
      <c r="Z72" s="437">
        <v>9885</v>
      </c>
      <c r="AA72" s="438">
        <v>755</v>
      </c>
      <c r="AB72" s="437">
        <v>9159</v>
      </c>
      <c r="AC72" s="438">
        <v>693</v>
      </c>
      <c r="AD72" s="437">
        <v>8830</v>
      </c>
      <c r="AE72" s="438">
        <v>578</v>
      </c>
      <c r="AF72" s="437">
        <v>8817</v>
      </c>
      <c r="AG72" s="438">
        <v>405</v>
      </c>
      <c r="AH72" s="437">
        <v>9006</v>
      </c>
      <c r="AI72" s="438">
        <v>368</v>
      </c>
      <c r="AJ72" s="437">
        <v>9153</v>
      </c>
      <c r="AK72" s="438">
        <v>594</v>
      </c>
      <c r="AL72" s="439">
        <v>9295</v>
      </c>
      <c r="AM72" s="438">
        <v>1072</v>
      </c>
      <c r="AN72" s="437">
        <v>9122</v>
      </c>
      <c r="AO72" s="438">
        <v>1051</v>
      </c>
      <c r="AP72" s="440">
        <v>8857</v>
      </c>
      <c r="AQ72" s="441">
        <v>851</v>
      </c>
      <c r="AR72" s="442">
        <v>8605</v>
      </c>
      <c r="AS72" s="443">
        <v>690</v>
      </c>
      <c r="AT72" s="442">
        <v>8344</v>
      </c>
      <c r="AU72" s="1586">
        <v>620</v>
      </c>
      <c r="AV72" s="1589">
        <v>7764</v>
      </c>
      <c r="AW72" s="1590">
        <v>505</v>
      </c>
    </row>
    <row r="73" spans="1:49" ht="15" customHeight="1" x14ac:dyDescent="0.25">
      <c r="A73" s="428" t="s">
        <v>178</v>
      </c>
      <c r="B73" s="444" t="s">
        <v>179</v>
      </c>
      <c r="C73" s="190" t="s">
        <v>265</v>
      </c>
      <c r="D73" s="430">
        <f t="shared" si="45"/>
        <v>3.2901986713264698E-2</v>
      </c>
      <c r="E73" s="431">
        <f t="shared" si="46"/>
        <v>5.8485494485123739E-2</v>
      </c>
      <c r="F73" s="432">
        <f t="shared" si="47"/>
        <v>7.4528715475668569E-2</v>
      </c>
      <c r="G73" s="432">
        <f t="shared" si="48"/>
        <v>6.5173301044346904E-2</v>
      </c>
      <c r="H73" s="432">
        <f t="shared" si="49"/>
        <v>6.1639997509495052E-2</v>
      </c>
      <c r="I73" s="432">
        <f t="shared" si="50"/>
        <v>6.298473855391544E-2</v>
      </c>
      <c r="J73" s="432">
        <f t="shared" si="51"/>
        <v>5.423063306620321E-2</v>
      </c>
      <c r="K73" s="432">
        <f t="shared" si="52"/>
        <v>5.7580577104092957E-2</v>
      </c>
      <c r="L73" s="432">
        <f t="shared" si="53"/>
        <v>6.6670865744968985E-2</v>
      </c>
      <c r="M73" s="432">
        <f t="shared" si="54"/>
        <v>0.1097893122123783</v>
      </c>
      <c r="N73" s="432">
        <f t="shared" si="55"/>
        <v>0.10673005219985086</v>
      </c>
      <c r="O73" s="433">
        <f t="shared" si="56"/>
        <v>8.6870802784794532E-2</v>
      </c>
      <c r="P73" s="434">
        <f t="shared" si="57"/>
        <v>7.4528715475668569E-2</v>
      </c>
      <c r="Q73" s="1577">
        <f t="shared" si="58"/>
        <v>6.8663972723828764E-2</v>
      </c>
      <c r="R73" s="1580">
        <f t="shared" si="44"/>
        <v>6.2989019659412185E-2</v>
      </c>
      <c r="S73" s="219"/>
      <c r="T73" s="435">
        <v>31761</v>
      </c>
      <c r="U73" s="436">
        <v>1045</v>
      </c>
      <c r="V73" s="437">
        <v>32367</v>
      </c>
      <c r="W73" s="438">
        <v>1893</v>
      </c>
      <c r="X73" s="437">
        <v>32993</v>
      </c>
      <c r="Y73" s="438">
        <v>2310</v>
      </c>
      <c r="Z73" s="437">
        <v>33035</v>
      </c>
      <c r="AA73" s="438">
        <v>2153</v>
      </c>
      <c r="AB73" s="437">
        <v>32122</v>
      </c>
      <c r="AC73" s="438">
        <v>1980</v>
      </c>
      <c r="AD73" s="437">
        <v>31976</v>
      </c>
      <c r="AE73" s="438">
        <v>2014</v>
      </c>
      <c r="AF73" s="437">
        <v>31071</v>
      </c>
      <c r="AG73" s="438">
        <v>1685</v>
      </c>
      <c r="AH73" s="437">
        <v>30809</v>
      </c>
      <c r="AI73" s="438">
        <v>1774</v>
      </c>
      <c r="AJ73" s="437">
        <v>31753</v>
      </c>
      <c r="AK73" s="438">
        <v>2117</v>
      </c>
      <c r="AL73" s="439">
        <v>31943</v>
      </c>
      <c r="AM73" s="438">
        <v>3507</v>
      </c>
      <c r="AN73" s="437">
        <v>32184</v>
      </c>
      <c r="AO73" s="438">
        <v>3435</v>
      </c>
      <c r="AP73" s="440">
        <v>32462</v>
      </c>
      <c r="AQ73" s="441">
        <v>2820</v>
      </c>
      <c r="AR73" s="442">
        <v>31934</v>
      </c>
      <c r="AS73" s="443">
        <v>2380</v>
      </c>
      <c r="AT73" s="442">
        <v>31676</v>
      </c>
      <c r="AU73" s="1586">
        <v>2175</v>
      </c>
      <c r="AV73" s="1589">
        <v>30418</v>
      </c>
      <c r="AW73" s="1590">
        <v>1916</v>
      </c>
    </row>
    <row r="74" spans="1:49" ht="15" customHeight="1" x14ac:dyDescent="0.25">
      <c r="A74" s="428" t="s">
        <v>182</v>
      </c>
      <c r="B74" s="444" t="s">
        <v>183</v>
      </c>
      <c r="C74" s="190" t="s">
        <v>266</v>
      </c>
      <c r="D74" s="430">
        <f t="shared" si="45"/>
        <v>1.8063131538943039E-2</v>
      </c>
      <c r="E74" s="431">
        <f t="shared" si="46"/>
        <v>2.5097698653929659E-2</v>
      </c>
      <c r="F74" s="432">
        <f t="shared" si="47"/>
        <v>5.4825332114992617E-2</v>
      </c>
      <c r="G74" s="432">
        <f t="shared" si="48"/>
        <v>3.150977753147019E-2</v>
      </c>
      <c r="H74" s="432">
        <f t="shared" si="49"/>
        <v>2.8658304827061953E-2</v>
      </c>
      <c r="I74" s="432">
        <f t="shared" si="50"/>
        <v>2.8247756363101367E-2</v>
      </c>
      <c r="J74" s="432">
        <f t="shared" si="51"/>
        <v>2.5709468951952797E-2</v>
      </c>
      <c r="K74" s="432">
        <f t="shared" si="52"/>
        <v>2.3774354645846523E-2</v>
      </c>
      <c r="L74" s="432">
        <f t="shared" si="53"/>
        <v>3.3653187114461962E-2</v>
      </c>
      <c r="M74" s="432">
        <f t="shared" si="54"/>
        <v>6.5338308807998305E-2</v>
      </c>
      <c r="N74" s="432">
        <f t="shared" si="55"/>
        <v>7.0073200198990826E-2</v>
      </c>
      <c r="O74" s="433">
        <f t="shared" si="56"/>
        <v>6.1175642379443861E-2</v>
      </c>
      <c r="P74" s="434">
        <f t="shared" si="57"/>
        <v>5.4825332114992617E-2</v>
      </c>
      <c r="Q74" s="1577">
        <f t="shared" si="58"/>
        <v>4.9085323278871669E-2</v>
      </c>
      <c r="R74" s="1580">
        <f t="shared" si="44"/>
        <v>4.5272872611002109E-2</v>
      </c>
      <c r="S74" s="219"/>
      <c r="T74" s="435">
        <v>11183</v>
      </c>
      <c r="U74" s="436">
        <v>202</v>
      </c>
      <c r="V74" s="437">
        <v>11515</v>
      </c>
      <c r="W74" s="438">
        <v>289</v>
      </c>
      <c r="X74" s="437">
        <v>12174</v>
      </c>
      <c r="Y74" s="438">
        <v>381</v>
      </c>
      <c r="Z74" s="437">
        <v>12631</v>
      </c>
      <c r="AA74" s="438">
        <v>398</v>
      </c>
      <c r="AB74" s="437">
        <v>13155</v>
      </c>
      <c r="AC74" s="438">
        <v>377</v>
      </c>
      <c r="AD74" s="437">
        <v>13594</v>
      </c>
      <c r="AE74" s="438">
        <v>384</v>
      </c>
      <c r="AF74" s="437">
        <v>14236</v>
      </c>
      <c r="AG74" s="438">
        <v>366</v>
      </c>
      <c r="AH74" s="437">
        <v>14217</v>
      </c>
      <c r="AI74" s="438">
        <v>338</v>
      </c>
      <c r="AJ74" s="437">
        <v>14590</v>
      </c>
      <c r="AK74" s="438">
        <v>491</v>
      </c>
      <c r="AL74" s="439">
        <v>14203</v>
      </c>
      <c r="AM74" s="438">
        <v>928</v>
      </c>
      <c r="AN74" s="437">
        <v>14071</v>
      </c>
      <c r="AO74" s="438">
        <v>986</v>
      </c>
      <c r="AP74" s="440">
        <v>14205</v>
      </c>
      <c r="AQ74" s="441">
        <v>869</v>
      </c>
      <c r="AR74" s="442">
        <v>14227</v>
      </c>
      <c r="AS74" s="443">
        <v>780</v>
      </c>
      <c r="AT74" s="442">
        <v>14322</v>
      </c>
      <c r="AU74" s="1586">
        <v>703</v>
      </c>
      <c r="AV74" s="1589">
        <v>13761</v>
      </c>
      <c r="AW74" s="1590">
        <v>623</v>
      </c>
    </row>
    <row r="75" spans="1:49" ht="15" customHeight="1" x14ac:dyDescent="0.25">
      <c r="A75" s="428" t="s">
        <v>184</v>
      </c>
      <c r="B75" s="444" t="s">
        <v>185</v>
      </c>
      <c r="C75" s="190" t="s">
        <v>266</v>
      </c>
      <c r="D75" s="430">
        <f t="shared" si="45"/>
        <v>3.3399307273626916E-2</v>
      </c>
      <c r="E75" s="431">
        <f t="shared" si="46"/>
        <v>4.1839473042205415E-2</v>
      </c>
      <c r="F75" s="432">
        <f t="shared" si="47"/>
        <v>9.0537994557253504E-2</v>
      </c>
      <c r="G75" s="432">
        <f t="shared" si="48"/>
        <v>5.6962764094782306E-2</v>
      </c>
      <c r="H75" s="432">
        <f t="shared" si="49"/>
        <v>5.5450011873664211E-2</v>
      </c>
      <c r="I75" s="432">
        <f t="shared" si="50"/>
        <v>5.673345759552656E-2</v>
      </c>
      <c r="J75" s="432">
        <f t="shared" si="51"/>
        <v>4.752808988764045E-2</v>
      </c>
      <c r="K75" s="432">
        <f t="shared" si="52"/>
        <v>4.6281908990011097E-2</v>
      </c>
      <c r="L75" s="432">
        <f t="shared" si="53"/>
        <v>5.5187409401532411E-2</v>
      </c>
      <c r="M75" s="432">
        <f t="shared" si="54"/>
        <v>9.2214136177848668E-2</v>
      </c>
      <c r="N75" s="432">
        <f t="shared" si="55"/>
        <v>0.10266856793644327</v>
      </c>
      <c r="O75" s="433">
        <f t="shared" si="56"/>
        <v>9.3684104829802189E-2</v>
      </c>
      <c r="P75" s="434">
        <f t="shared" si="57"/>
        <v>9.0537994557253504E-2</v>
      </c>
      <c r="Q75" s="1577">
        <f t="shared" si="58"/>
        <v>8.9957264957264957E-2</v>
      </c>
      <c r="R75" s="1580">
        <f t="shared" si="44"/>
        <v>7.8425389075373816E-2</v>
      </c>
      <c r="S75" s="219"/>
      <c r="T75" s="435">
        <v>8084</v>
      </c>
      <c r="U75" s="436">
        <v>270</v>
      </c>
      <c r="V75" s="437">
        <v>8198</v>
      </c>
      <c r="W75" s="438">
        <v>343</v>
      </c>
      <c r="X75" s="437">
        <v>8304</v>
      </c>
      <c r="Y75" s="438">
        <v>485</v>
      </c>
      <c r="Z75" s="437">
        <v>8567</v>
      </c>
      <c r="AA75" s="438">
        <v>488</v>
      </c>
      <c r="AB75" s="437">
        <v>8422</v>
      </c>
      <c r="AC75" s="438">
        <v>467</v>
      </c>
      <c r="AD75" s="437">
        <v>8584</v>
      </c>
      <c r="AE75" s="438">
        <v>487</v>
      </c>
      <c r="AF75" s="437">
        <v>8900</v>
      </c>
      <c r="AG75" s="438">
        <v>423</v>
      </c>
      <c r="AH75" s="437">
        <v>9010</v>
      </c>
      <c r="AI75" s="438">
        <v>417</v>
      </c>
      <c r="AJ75" s="437">
        <v>9658</v>
      </c>
      <c r="AK75" s="438">
        <v>533</v>
      </c>
      <c r="AL75" s="439">
        <v>10031</v>
      </c>
      <c r="AM75" s="438">
        <v>925</v>
      </c>
      <c r="AN75" s="437">
        <v>9818</v>
      </c>
      <c r="AO75" s="438">
        <v>1008</v>
      </c>
      <c r="AP75" s="440">
        <v>9959</v>
      </c>
      <c r="AQ75" s="441">
        <v>933</v>
      </c>
      <c r="AR75" s="442">
        <v>9554</v>
      </c>
      <c r="AS75" s="443">
        <v>865</v>
      </c>
      <c r="AT75" s="442">
        <v>9360</v>
      </c>
      <c r="AU75" s="1586">
        <v>842</v>
      </c>
      <c r="AV75" s="1589">
        <v>9831</v>
      </c>
      <c r="AW75" s="1590">
        <v>771</v>
      </c>
    </row>
    <row r="76" spans="1:49" ht="15" customHeight="1" x14ac:dyDescent="0.25">
      <c r="A76" s="428" t="s">
        <v>186</v>
      </c>
      <c r="B76" s="444" t="s">
        <v>187</v>
      </c>
      <c r="C76" s="190" t="s">
        <v>264</v>
      </c>
      <c r="D76" s="430">
        <f t="shared" si="45"/>
        <v>2.5486914181375532E-2</v>
      </c>
      <c r="E76" s="431">
        <f t="shared" si="46"/>
        <v>3.4864824937213768E-2</v>
      </c>
      <c r="F76" s="432">
        <f t="shared" si="47"/>
        <v>6.7486702127659573E-2</v>
      </c>
      <c r="G76" s="432">
        <f t="shared" si="48"/>
        <v>4.1530944625407164E-2</v>
      </c>
      <c r="H76" s="432">
        <f t="shared" si="49"/>
        <v>3.6058335563286061E-2</v>
      </c>
      <c r="I76" s="432">
        <f t="shared" si="50"/>
        <v>3.8224985120031744E-2</v>
      </c>
      <c r="J76" s="432">
        <f t="shared" si="51"/>
        <v>3.3418504572350724E-2</v>
      </c>
      <c r="K76" s="432">
        <f t="shared" si="52"/>
        <v>3.2487517953628343E-2</v>
      </c>
      <c r="L76" s="432">
        <f t="shared" si="53"/>
        <v>4.2663822411839213E-2</v>
      </c>
      <c r="M76" s="432">
        <f t="shared" si="54"/>
        <v>7.1934821487712797E-2</v>
      </c>
      <c r="N76" s="432">
        <f t="shared" si="55"/>
        <v>7.7079677079677084E-2</v>
      </c>
      <c r="O76" s="433">
        <f t="shared" si="56"/>
        <v>7.4306116949609272E-2</v>
      </c>
      <c r="P76" s="434">
        <f t="shared" si="57"/>
        <v>6.7486702127659573E-2</v>
      </c>
      <c r="Q76" s="1577">
        <f t="shared" si="58"/>
        <v>6.1699035539701415E-2</v>
      </c>
      <c r="R76" s="1580">
        <f t="shared" si="44"/>
        <v>6.2110552763819098E-2</v>
      </c>
      <c r="S76" s="219"/>
      <c r="T76" s="435">
        <v>13144</v>
      </c>
      <c r="U76" s="436">
        <v>335</v>
      </c>
      <c r="V76" s="437">
        <v>13538</v>
      </c>
      <c r="W76" s="438">
        <v>472</v>
      </c>
      <c r="X76" s="437">
        <v>14184</v>
      </c>
      <c r="Y76" s="438">
        <v>545</v>
      </c>
      <c r="Z76" s="437">
        <v>14736</v>
      </c>
      <c r="AA76" s="438">
        <v>612</v>
      </c>
      <c r="AB76" s="437">
        <v>14948</v>
      </c>
      <c r="AC76" s="438">
        <v>539</v>
      </c>
      <c r="AD76" s="437">
        <v>15121</v>
      </c>
      <c r="AE76" s="438">
        <v>578</v>
      </c>
      <c r="AF76" s="437">
        <v>14872</v>
      </c>
      <c r="AG76" s="438">
        <v>497</v>
      </c>
      <c r="AH76" s="437">
        <v>14621</v>
      </c>
      <c r="AI76" s="438">
        <v>475</v>
      </c>
      <c r="AJ76" s="437">
        <v>15001</v>
      </c>
      <c r="AK76" s="438">
        <v>640</v>
      </c>
      <c r="AL76" s="439">
        <v>15097</v>
      </c>
      <c r="AM76" s="438">
        <v>1086</v>
      </c>
      <c r="AN76" s="437">
        <v>14245</v>
      </c>
      <c r="AO76" s="438">
        <v>1098</v>
      </c>
      <c r="AP76" s="440">
        <v>14844</v>
      </c>
      <c r="AQ76" s="441">
        <v>1103</v>
      </c>
      <c r="AR76" s="442">
        <v>15040</v>
      </c>
      <c r="AS76" s="443">
        <v>1015</v>
      </c>
      <c r="AT76" s="442">
        <v>15138</v>
      </c>
      <c r="AU76" s="1586">
        <v>934</v>
      </c>
      <c r="AV76" s="1589">
        <v>14925</v>
      </c>
      <c r="AW76" s="1590">
        <v>927</v>
      </c>
    </row>
    <row r="77" spans="1:49" ht="15" customHeight="1" x14ac:dyDescent="0.25">
      <c r="A77" s="428" t="s">
        <v>188</v>
      </c>
      <c r="B77" s="444" t="s">
        <v>189</v>
      </c>
      <c r="C77" s="190" t="s">
        <v>267</v>
      </c>
      <c r="D77" s="430">
        <f t="shared" si="45"/>
        <v>1.7590621827826714E-2</v>
      </c>
      <c r="E77" s="431">
        <f t="shared" si="46"/>
        <v>2.4553752725591509E-2</v>
      </c>
      <c r="F77" s="432">
        <f t="shared" si="47"/>
        <v>4.9925292390128294E-2</v>
      </c>
      <c r="G77" s="432">
        <f t="shared" si="48"/>
        <v>3.3842542267039803E-2</v>
      </c>
      <c r="H77" s="432">
        <f t="shared" si="49"/>
        <v>2.8726171270536331E-2</v>
      </c>
      <c r="I77" s="432">
        <f t="shared" si="50"/>
        <v>2.6975062866722549E-2</v>
      </c>
      <c r="J77" s="432">
        <f t="shared" si="51"/>
        <v>2.3885527822535696E-2</v>
      </c>
      <c r="K77" s="432">
        <f t="shared" si="52"/>
        <v>2.4858774068611221E-2</v>
      </c>
      <c r="L77" s="432">
        <f t="shared" si="53"/>
        <v>3.3007139429718058E-2</v>
      </c>
      <c r="M77" s="432">
        <f t="shared" si="54"/>
        <v>5.659772249692456E-2</v>
      </c>
      <c r="N77" s="432">
        <f t="shared" si="55"/>
        <v>5.918444273886999E-2</v>
      </c>
      <c r="O77" s="433">
        <f t="shared" si="56"/>
        <v>5.3830209674252179E-2</v>
      </c>
      <c r="P77" s="434">
        <f t="shared" si="57"/>
        <v>4.9925292390128294E-2</v>
      </c>
      <c r="Q77" s="1577">
        <f t="shared" si="58"/>
        <v>4.8885197725675587E-2</v>
      </c>
      <c r="R77" s="1580">
        <f t="shared" si="44"/>
        <v>4.8033598966185656E-2</v>
      </c>
      <c r="S77" s="219"/>
      <c r="T77" s="435">
        <v>152695</v>
      </c>
      <c r="U77" s="436">
        <v>2686</v>
      </c>
      <c r="V77" s="437">
        <v>160057</v>
      </c>
      <c r="W77" s="438">
        <v>3930</v>
      </c>
      <c r="X77" s="437">
        <v>166966</v>
      </c>
      <c r="Y77" s="438">
        <v>5677</v>
      </c>
      <c r="Z77" s="437">
        <v>172948</v>
      </c>
      <c r="AA77" s="438">
        <v>5853</v>
      </c>
      <c r="AB77" s="437">
        <v>182238</v>
      </c>
      <c r="AC77" s="438">
        <v>5235</v>
      </c>
      <c r="AD77" s="437">
        <v>190880</v>
      </c>
      <c r="AE77" s="438">
        <v>5149</v>
      </c>
      <c r="AF77" s="437">
        <v>197358</v>
      </c>
      <c r="AG77" s="438">
        <v>4714</v>
      </c>
      <c r="AH77" s="437">
        <v>199326</v>
      </c>
      <c r="AI77" s="438">
        <v>4955</v>
      </c>
      <c r="AJ77" s="437">
        <v>206319</v>
      </c>
      <c r="AK77" s="438">
        <v>6810</v>
      </c>
      <c r="AL77" s="439">
        <v>208913</v>
      </c>
      <c r="AM77" s="438">
        <v>11824</v>
      </c>
      <c r="AN77" s="437">
        <v>220193</v>
      </c>
      <c r="AO77" s="438">
        <v>13032</v>
      </c>
      <c r="AP77" s="440">
        <v>229165</v>
      </c>
      <c r="AQ77" s="441">
        <v>12336</v>
      </c>
      <c r="AR77" s="442">
        <v>232908</v>
      </c>
      <c r="AS77" s="443">
        <v>11628</v>
      </c>
      <c r="AT77" s="442">
        <v>234795</v>
      </c>
      <c r="AU77" s="1586">
        <v>11478</v>
      </c>
      <c r="AV77" s="1589">
        <v>232150</v>
      </c>
      <c r="AW77" s="1590">
        <v>11151</v>
      </c>
    </row>
    <row r="78" spans="1:49" ht="15" customHeight="1" x14ac:dyDescent="0.25">
      <c r="A78" s="428" t="s">
        <v>190</v>
      </c>
      <c r="B78" s="444" t="s">
        <v>191</v>
      </c>
      <c r="C78" s="190" t="s">
        <v>268</v>
      </c>
      <c r="D78" s="430">
        <f t="shared" si="45"/>
        <v>4.4944470152707083E-2</v>
      </c>
      <c r="E78" s="431">
        <f t="shared" si="46"/>
        <v>7.0724801812004537E-2</v>
      </c>
      <c r="F78" s="432">
        <f t="shared" si="47"/>
        <v>6.6468026587210641E-2</v>
      </c>
      <c r="G78" s="432">
        <f t="shared" si="48"/>
        <v>6.0844823812650474E-2</v>
      </c>
      <c r="H78" s="432">
        <f t="shared" si="49"/>
        <v>5.8065924470639602E-2</v>
      </c>
      <c r="I78" s="432">
        <f t="shared" si="50"/>
        <v>4.4623626221903134E-2</v>
      </c>
      <c r="J78" s="432">
        <f t="shared" si="51"/>
        <v>3.8603854862760259E-2</v>
      </c>
      <c r="K78" s="432">
        <f t="shared" si="52"/>
        <v>5.5498808307797069E-2</v>
      </c>
      <c r="L78" s="432">
        <f t="shared" si="53"/>
        <v>6.4013650374284456E-2</v>
      </c>
      <c r="M78" s="432">
        <f t="shared" si="54"/>
        <v>0.11312465678198792</v>
      </c>
      <c r="N78" s="432">
        <f t="shared" si="55"/>
        <v>9.9417565307652389E-2</v>
      </c>
      <c r="O78" s="433">
        <f t="shared" si="56"/>
        <v>7.4552798615118293E-2</v>
      </c>
      <c r="P78" s="434">
        <f t="shared" si="57"/>
        <v>6.6468026587210641E-2</v>
      </c>
      <c r="Q78" s="1577">
        <f t="shared" si="58"/>
        <v>7.1296865396435163E-2</v>
      </c>
      <c r="R78" s="1580">
        <f t="shared" si="44"/>
        <v>5.9806769011913938E-2</v>
      </c>
      <c r="S78" s="219"/>
      <c r="T78" s="435">
        <v>17288</v>
      </c>
      <c r="U78" s="436">
        <v>777</v>
      </c>
      <c r="V78" s="437">
        <v>17660</v>
      </c>
      <c r="W78" s="438">
        <v>1249</v>
      </c>
      <c r="X78" s="437">
        <v>17648</v>
      </c>
      <c r="Y78" s="438">
        <v>1111</v>
      </c>
      <c r="Z78" s="437">
        <v>18276</v>
      </c>
      <c r="AA78" s="438">
        <v>1112</v>
      </c>
      <c r="AB78" s="437">
        <v>18324</v>
      </c>
      <c r="AC78" s="438">
        <v>1064</v>
      </c>
      <c r="AD78" s="437">
        <v>18107</v>
      </c>
      <c r="AE78" s="438">
        <v>808</v>
      </c>
      <c r="AF78" s="437">
        <v>18107</v>
      </c>
      <c r="AG78" s="438">
        <v>699</v>
      </c>
      <c r="AH78" s="437">
        <v>17622</v>
      </c>
      <c r="AI78" s="438">
        <v>978</v>
      </c>
      <c r="AJ78" s="437">
        <v>18168</v>
      </c>
      <c r="AK78" s="438">
        <v>1163</v>
      </c>
      <c r="AL78" s="439">
        <v>18210</v>
      </c>
      <c r="AM78" s="438">
        <v>2060</v>
      </c>
      <c r="AN78" s="437">
        <v>17341</v>
      </c>
      <c r="AO78" s="438">
        <v>1724</v>
      </c>
      <c r="AP78" s="440">
        <v>17330</v>
      </c>
      <c r="AQ78" s="441">
        <v>1292</v>
      </c>
      <c r="AR78" s="442">
        <v>17452</v>
      </c>
      <c r="AS78" s="443">
        <v>1160</v>
      </c>
      <c r="AT78" s="442">
        <v>17897</v>
      </c>
      <c r="AU78" s="1586">
        <v>1276</v>
      </c>
      <c r="AV78" s="1589">
        <v>16871</v>
      </c>
      <c r="AW78" s="1590">
        <v>1009</v>
      </c>
    </row>
    <row r="79" spans="1:49" ht="15" customHeight="1" x14ac:dyDescent="0.25">
      <c r="A79" s="428" t="s">
        <v>194</v>
      </c>
      <c r="B79" s="444" t="s">
        <v>195</v>
      </c>
      <c r="C79" s="190" t="s">
        <v>267</v>
      </c>
      <c r="D79" s="430">
        <f t="shared" si="45"/>
        <v>1.8493701420530688E-2</v>
      </c>
      <c r="E79" s="431">
        <f t="shared" si="46"/>
        <v>2.3624161073825502E-2</v>
      </c>
      <c r="F79" s="432">
        <f t="shared" si="47"/>
        <v>4.778156996587031E-2</v>
      </c>
      <c r="G79" s="432">
        <f t="shared" si="48"/>
        <v>3.0272704528396296E-2</v>
      </c>
      <c r="H79" s="432">
        <f t="shared" si="49"/>
        <v>2.5740650801359885E-2</v>
      </c>
      <c r="I79" s="432">
        <f t="shared" si="50"/>
        <v>2.5851654989127809E-2</v>
      </c>
      <c r="J79" s="432">
        <f t="shared" si="51"/>
        <v>2.3179583235776166E-2</v>
      </c>
      <c r="K79" s="432">
        <f t="shared" si="52"/>
        <v>2.5384257102934328E-2</v>
      </c>
      <c r="L79" s="432">
        <f t="shared" si="53"/>
        <v>3.4997666822211851E-2</v>
      </c>
      <c r="M79" s="432">
        <f t="shared" si="54"/>
        <v>6.0391601792875678E-2</v>
      </c>
      <c r="N79" s="432">
        <f t="shared" si="55"/>
        <v>6.0278578290105668E-2</v>
      </c>
      <c r="O79" s="433">
        <f t="shared" si="56"/>
        <v>5.2469135802469133E-2</v>
      </c>
      <c r="P79" s="434">
        <f t="shared" si="57"/>
        <v>4.778156996587031E-2</v>
      </c>
      <c r="Q79" s="1577">
        <f t="shared" si="58"/>
        <v>4.5296972498266697E-2</v>
      </c>
      <c r="R79" s="1580">
        <f t="shared" si="44"/>
        <v>4.6624203821656052E-2</v>
      </c>
      <c r="S79" s="219"/>
      <c r="T79" s="435">
        <v>3731</v>
      </c>
      <c r="U79" s="436">
        <v>69</v>
      </c>
      <c r="V79" s="437">
        <v>3725</v>
      </c>
      <c r="W79" s="438">
        <v>88</v>
      </c>
      <c r="X79" s="437">
        <v>3747</v>
      </c>
      <c r="Y79" s="438">
        <v>127</v>
      </c>
      <c r="Z79" s="437">
        <v>3997</v>
      </c>
      <c r="AA79" s="438">
        <v>121</v>
      </c>
      <c r="AB79" s="437">
        <v>4118</v>
      </c>
      <c r="AC79" s="438">
        <v>106</v>
      </c>
      <c r="AD79" s="437">
        <v>4139</v>
      </c>
      <c r="AE79" s="438">
        <v>107</v>
      </c>
      <c r="AF79" s="437">
        <v>4271</v>
      </c>
      <c r="AG79" s="438">
        <v>99</v>
      </c>
      <c r="AH79" s="437">
        <v>4294</v>
      </c>
      <c r="AI79" s="438">
        <v>109</v>
      </c>
      <c r="AJ79" s="437">
        <v>4286</v>
      </c>
      <c r="AK79" s="438">
        <v>150</v>
      </c>
      <c r="AL79" s="439">
        <v>4239</v>
      </c>
      <c r="AM79" s="438">
        <v>256</v>
      </c>
      <c r="AN79" s="437">
        <v>4164</v>
      </c>
      <c r="AO79" s="438">
        <v>251</v>
      </c>
      <c r="AP79" s="440">
        <v>4212</v>
      </c>
      <c r="AQ79" s="441">
        <v>221</v>
      </c>
      <c r="AR79" s="442">
        <v>4395</v>
      </c>
      <c r="AS79" s="443">
        <v>210</v>
      </c>
      <c r="AT79" s="442">
        <v>4327</v>
      </c>
      <c r="AU79" s="1586">
        <v>196</v>
      </c>
      <c r="AV79" s="1589">
        <v>3925</v>
      </c>
      <c r="AW79" s="1590">
        <v>183</v>
      </c>
    </row>
    <row r="80" spans="1:49" ht="15" customHeight="1" x14ac:dyDescent="0.25">
      <c r="A80" s="428" t="s">
        <v>198</v>
      </c>
      <c r="B80" s="444" t="s">
        <v>199</v>
      </c>
      <c r="C80" s="190" t="s">
        <v>266</v>
      </c>
      <c r="D80" s="430">
        <f t="shared" si="45"/>
        <v>4.2890716803760283E-2</v>
      </c>
      <c r="E80" s="431">
        <f t="shared" si="46"/>
        <v>4.1143857601400644E-2</v>
      </c>
      <c r="F80" s="432">
        <f t="shared" si="47"/>
        <v>8.2072176949941789E-2</v>
      </c>
      <c r="G80" s="432">
        <f t="shared" si="48"/>
        <v>6.2309609526446964E-2</v>
      </c>
      <c r="H80" s="432">
        <f t="shared" si="49"/>
        <v>5.1719238420005684E-2</v>
      </c>
      <c r="I80" s="432">
        <f t="shared" si="50"/>
        <v>4.6531544390522407E-2</v>
      </c>
      <c r="J80" s="432">
        <f t="shared" si="51"/>
        <v>4.7727922263503857E-2</v>
      </c>
      <c r="K80" s="432">
        <f t="shared" si="52"/>
        <v>4.3640539764570774E-2</v>
      </c>
      <c r="L80" s="432">
        <f t="shared" si="53"/>
        <v>5.0450450450450449E-2</v>
      </c>
      <c r="M80" s="432">
        <f t="shared" si="54"/>
        <v>7.9980492562789565E-2</v>
      </c>
      <c r="N80" s="432">
        <f t="shared" si="55"/>
        <v>8.4265473527218498E-2</v>
      </c>
      <c r="O80" s="433">
        <f t="shared" si="56"/>
        <v>7.9759217456734394E-2</v>
      </c>
      <c r="P80" s="434">
        <f t="shared" si="57"/>
        <v>8.2072176949941789E-2</v>
      </c>
      <c r="Q80" s="1577">
        <f t="shared" si="58"/>
        <v>8.5269038518082915E-2</v>
      </c>
      <c r="R80" s="1580">
        <f t="shared" si="44"/>
        <v>5.5486439412789253E-2</v>
      </c>
      <c r="S80" s="219"/>
      <c r="T80" s="435">
        <v>3404</v>
      </c>
      <c r="U80" s="436">
        <v>146</v>
      </c>
      <c r="V80" s="437">
        <v>3427</v>
      </c>
      <c r="W80" s="438">
        <v>141</v>
      </c>
      <c r="X80" s="437">
        <v>3524</v>
      </c>
      <c r="Y80" s="438">
        <v>199</v>
      </c>
      <c r="Z80" s="437">
        <v>3611</v>
      </c>
      <c r="AA80" s="438">
        <v>225</v>
      </c>
      <c r="AB80" s="437">
        <v>3519</v>
      </c>
      <c r="AC80" s="438">
        <v>182</v>
      </c>
      <c r="AD80" s="437">
        <v>3503</v>
      </c>
      <c r="AE80" s="438">
        <v>163</v>
      </c>
      <c r="AF80" s="437">
        <v>3499</v>
      </c>
      <c r="AG80" s="438">
        <v>167</v>
      </c>
      <c r="AH80" s="437">
        <v>3483</v>
      </c>
      <c r="AI80" s="438">
        <v>152</v>
      </c>
      <c r="AJ80" s="437">
        <v>3885</v>
      </c>
      <c r="AK80" s="438">
        <v>196</v>
      </c>
      <c r="AL80" s="439">
        <v>4101</v>
      </c>
      <c r="AM80" s="438">
        <v>328</v>
      </c>
      <c r="AN80" s="437">
        <v>4023</v>
      </c>
      <c r="AO80" s="438">
        <v>339</v>
      </c>
      <c r="AP80" s="440">
        <v>3987</v>
      </c>
      <c r="AQ80" s="441">
        <v>318</v>
      </c>
      <c r="AR80" s="442">
        <v>3436</v>
      </c>
      <c r="AS80" s="443">
        <v>282</v>
      </c>
      <c r="AT80" s="442">
        <v>3401</v>
      </c>
      <c r="AU80" s="1586">
        <v>290</v>
      </c>
      <c r="AV80" s="1589">
        <v>4019</v>
      </c>
      <c r="AW80" s="1590">
        <v>223</v>
      </c>
    </row>
    <row r="81" spans="1:49" ht="15" customHeight="1" x14ac:dyDescent="0.25">
      <c r="A81" s="428" t="s">
        <v>202</v>
      </c>
      <c r="B81" s="444" t="s">
        <v>203</v>
      </c>
      <c r="C81" s="190" t="s">
        <v>265</v>
      </c>
      <c r="D81" s="430">
        <f t="shared" si="45"/>
        <v>1.7720396363822419E-2</v>
      </c>
      <c r="E81" s="431">
        <f t="shared" si="46"/>
        <v>2.5326921454484098E-2</v>
      </c>
      <c r="F81" s="432">
        <f t="shared" si="47"/>
        <v>5.4506013954316611E-2</v>
      </c>
      <c r="G81" s="432">
        <f t="shared" si="48"/>
        <v>3.466009984253024E-2</v>
      </c>
      <c r="H81" s="432">
        <f t="shared" si="49"/>
        <v>3.2426583712319733E-2</v>
      </c>
      <c r="I81" s="432">
        <f t="shared" si="50"/>
        <v>2.9996652159357214E-2</v>
      </c>
      <c r="J81" s="432">
        <f t="shared" si="51"/>
        <v>2.6474769012082445E-2</v>
      </c>
      <c r="K81" s="432">
        <f t="shared" si="52"/>
        <v>2.6336997517810514E-2</v>
      </c>
      <c r="L81" s="432">
        <f t="shared" si="53"/>
        <v>3.2906130931763075E-2</v>
      </c>
      <c r="M81" s="432">
        <f t="shared" si="54"/>
        <v>6.2158017916229519E-2</v>
      </c>
      <c r="N81" s="432">
        <f t="shared" si="55"/>
        <v>6.7505364718987007E-2</v>
      </c>
      <c r="O81" s="433">
        <f t="shared" si="56"/>
        <v>5.9671845224637449E-2</v>
      </c>
      <c r="P81" s="434">
        <f t="shared" si="57"/>
        <v>5.4506013954316611E-2</v>
      </c>
      <c r="Q81" s="1577">
        <f t="shared" si="58"/>
        <v>5.301857585139319E-2</v>
      </c>
      <c r="R81" s="1580">
        <f t="shared" si="44"/>
        <v>4.6509432477933196E-2</v>
      </c>
      <c r="S81" s="219"/>
      <c r="T81" s="445">
        <v>58633</v>
      </c>
      <c r="U81" s="446">
        <v>1039</v>
      </c>
      <c r="V81" s="1517">
        <v>59265</v>
      </c>
      <c r="W81" s="1518">
        <v>1501</v>
      </c>
      <c r="X81" s="1517">
        <v>60657</v>
      </c>
      <c r="Y81" s="1518">
        <v>2044</v>
      </c>
      <c r="Z81" s="1517">
        <v>59694</v>
      </c>
      <c r="AA81" s="1518">
        <v>2069</v>
      </c>
      <c r="AB81" s="1517">
        <v>59149</v>
      </c>
      <c r="AC81" s="1518">
        <v>1918</v>
      </c>
      <c r="AD81" s="1517">
        <v>59740</v>
      </c>
      <c r="AE81" s="1518">
        <v>1792</v>
      </c>
      <c r="AF81" s="1517">
        <v>61908</v>
      </c>
      <c r="AG81" s="1518">
        <v>1639</v>
      </c>
      <c r="AH81" s="1517">
        <v>62042</v>
      </c>
      <c r="AI81" s="1518">
        <v>1634</v>
      </c>
      <c r="AJ81" s="1517">
        <v>63514</v>
      </c>
      <c r="AK81" s="1518">
        <v>2090</v>
      </c>
      <c r="AL81" s="1519">
        <v>61955</v>
      </c>
      <c r="AM81" s="1518">
        <v>3851</v>
      </c>
      <c r="AN81" s="1517">
        <v>61047</v>
      </c>
      <c r="AO81" s="1518">
        <v>4121</v>
      </c>
      <c r="AP81" s="440">
        <v>61922</v>
      </c>
      <c r="AQ81" s="441">
        <v>3695</v>
      </c>
      <c r="AR81" s="442">
        <v>61773</v>
      </c>
      <c r="AS81" s="443">
        <v>3367</v>
      </c>
      <c r="AT81" s="442">
        <v>62016</v>
      </c>
      <c r="AU81" s="1586">
        <v>3288</v>
      </c>
      <c r="AV81" s="1589">
        <v>63557</v>
      </c>
      <c r="AW81" s="1590">
        <v>2956</v>
      </c>
    </row>
    <row r="82" spans="1:49" x14ac:dyDescent="0.25">
      <c r="A82" s="428" t="s">
        <v>204</v>
      </c>
      <c r="B82" s="448" t="s">
        <v>205</v>
      </c>
      <c r="C82" s="190" t="s">
        <v>265</v>
      </c>
      <c r="D82" s="430">
        <f t="shared" si="45"/>
        <v>2.3680438711285598E-2</v>
      </c>
      <c r="E82" s="431">
        <f t="shared" si="46"/>
        <v>3.1662911770078551E-2</v>
      </c>
      <c r="F82" s="432">
        <f t="shared" si="47"/>
        <v>6.4341517857142858E-2</v>
      </c>
      <c r="G82" s="432">
        <f t="shared" si="48"/>
        <v>4.1165479388064932E-2</v>
      </c>
      <c r="H82" s="432">
        <f t="shared" si="49"/>
        <v>3.6937742031575814E-2</v>
      </c>
      <c r="I82" s="432">
        <f t="shared" si="50"/>
        <v>3.484484073444008E-2</v>
      </c>
      <c r="J82" s="432">
        <f t="shared" si="51"/>
        <v>3.1052600507704115E-2</v>
      </c>
      <c r="K82" s="432">
        <f t="shared" si="52"/>
        <v>3.3134134074906813E-2</v>
      </c>
      <c r="L82" s="432">
        <f t="shared" si="53"/>
        <v>4.6557075525922517E-2</v>
      </c>
      <c r="M82" s="432">
        <f t="shared" si="54"/>
        <v>7.5846833578792336E-2</v>
      </c>
      <c r="N82" s="432">
        <f t="shared" si="55"/>
        <v>8.5301837270341213E-2</v>
      </c>
      <c r="O82" s="433">
        <f t="shared" si="56"/>
        <v>7.6588389557754197E-2</v>
      </c>
      <c r="P82" s="434">
        <f t="shared" si="57"/>
        <v>6.4341517857142858E-2</v>
      </c>
      <c r="Q82" s="1577">
        <f t="shared" si="58"/>
        <v>6.0816232947380491E-2</v>
      </c>
      <c r="R82" s="1580">
        <f t="shared" si="44"/>
        <v>5.8171218553957293E-2</v>
      </c>
      <c r="S82" s="219"/>
      <c r="T82" s="445">
        <v>16047</v>
      </c>
      <c r="U82" s="446">
        <v>380</v>
      </c>
      <c r="V82" s="1517">
        <v>16423</v>
      </c>
      <c r="W82" s="1518">
        <v>520</v>
      </c>
      <c r="X82" s="1517">
        <v>16806</v>
      </c>
      <c r="Y82" s="1518">
        <v>668</v>
      </c>
      <c r="Z82" s="1517">
        <v>17126</v>
      </c>
      <c r="AA82" s="1518">
        <v>705</v>
      </c>
      <c r="AB82" s="1517">
        <v>16785</v>
      </c>
      <c r="AC82" s="1518">
        <v>620</v>
      </c>
      <c r="AD82" s="1517">
        <v>17047</v>
      </c>
      <c r="AE82" s="1518">
        <v>594</v>
      </c>
      <c r="AF82" s="1517">
        <v>16939</v>
      </c>
      <c r="AG82" s="1518">
        <v>526</v>
      </c>
      <c r="AH82" s="1517">
        <v>16901</v>
      </c>
      <c r="AI82" s="1518">
        <v>560</v>
      </c>
      <c r="AJ82" s="1517">
        <v>17398</v>
      </c>
      <c r="AK82" s="1518">
        <v>810</v>
      </c>
      <c r="AL82" s="1519">
        <v>17654</v>
      </c>
      <c r="AM82" s="1518">
        <v>1339</v>
      </c>
      <c r="AN82" s="1517">
        <v>16764</v>
      </c>
      <c r="AO82" s="1518">
        <v>1430</v>
      </c>
      <c r="AP82" s="440">
        <v>16778</v>
      </c>
      <c r="AQ82" s="441">
        <v>1285</v>
      </c>
      <c r="AR82" s="442">
        <v>17920</v>
      </c>
      <c r="AS82" s="443">
        <v>1153</v>
      </c>
      <c r="AT82" s="442">
        <v>17446</v>
      </c>
      <c r="AU82" s="1586">
        <v>1061</v>
      </c>
      <c r="AV82" s="1589">
        <v>15781</v>
      </c>
      <c r="AW82" s="1590">
        <v>918</v>
      </c>
    </row>
    <row r="83" spans="1:49" x14ac:dyDescent="0.25">
      <c r="A83" s="428" t="s">
        <v>206</v>
      </c>
      <c r="B83" s="444" t="s">
        <v>207</v>
      </c>
      <c r="C83" s="190" t="s">
        <v>267</v>
      </c>
      <c r="D83" s="430">
        <f t="shared" si="45"/>
        <v>1.8901273310969233E-2</v>
      </c>
      <c r="E83" s="431">
        <f t="shared" si="46"/>
        <v>2.5413409102941955E-2</v>
      </c>
      <c r="F83" s="432">
        <f t="shared" si="47"/>
        <v>5.908467910136464E-2</v>
      </c>
      <c r="G83" s="432">
        <f t="shared" si="48"/>
        <v>3.4176214934808373E-2</v>
      </c>
      <c r="H83" s="432">
        <f t="shared" si="49"/>
        <v>3.2957066740084535E-2</v>
      </c>
      <c r="I83" s="432">
        <f t="shared" si="50"/>
        <v>3.2440331222601072E-2</v>
      </c>
      <c r="J83" s="432">
        <f t="shared" si="51"/>
        <v>2.5767389467755562E-2</v>
      </c>
      <c r="K83" s="432">
        <f t="shared" si="52"/>
        <v>2.657204933022805E-2</v>
      </c>
      <c r="L83" s="432">
        <f t="shared" si="53"/>
        <v>3.6388408370711695E-2</v>
      </c>
      <c r="M83" s="432">
        <f t="shared" si="54"/>
        <v>6.4100787013507063E-2</v>
      </c>
      <c r="N83" s="432">
        <f t="shared" si="55"/>
        <v>7.0191722458916611E-2</v>
      </c>
      <c r="O83" s="433">
        <f t="shared" si="56"/>
        <v>6.3634207092871542E-2</v>
      </c>
      <c r="P83" s="434">
        <f t="shared" si="57"/>
        <v>5.908467910136464E-2</v>
      </c>
      <c r="Q83" s="1577">
        <f t="shared" si="58"/>
        <v>5.369569446730818E-2</v>
      </c>
      <c r="R83" s="1580">
        <f t="shared" si="44"/>
        <v>5.150875679672217E-2</v>
      </c>
      <c r="S83" s="219"/>
      <c r="T83" s="445">
        <v>55446</v>
      </c>
      <c r="U83" s="446">
        <v>1048</v>
      </c>
      <c r="V83" s="1517">
        <v>56663</v>
      </c>
      <c r="W83" s="1518">
        <v>1440</v>
      </c>
      <c r="X83" s="1517">
        <v>58325</v>
      </c>
      <c r="Y83" s="1518">
        <v>2068</v>
      </c>
      <c r="Z83" s="1517">
        <v>60744</v>
      </c>
      <c r="AA83" s="1518">
        <v>2076</v>
      </c>
      <c r="AB83" s="1517">
        <v>61747</v>
      </c>
      <c r="AC83" s="1518">
        <v>2035</v>
      </c>
      <c r="AD83" s="1517">
        <v>61590</v>
      </c>
      <c r="AE83" s="1518">
        <v>1998</v>
      </c>
      <c r="AF83" s="1517">
        <v>63918</v>
      </c>
      <c r="AG83" s="1518">
        <v>1647</v>
      </c>
      <c r="AH83" s="1517">
        <v>63977</v>
      </c>
      <c r="AI83" s="1518">
        <v>1700</v>
      </c>
      <c r="AJ83" s="1517">
        <v>65323</v>
      </c>
      <c r="AK83" s="1518">
        <v>2377</v>
      </c>
      <c r="AL83" s="1519">
        <v>64929</v>
      </c>
      <c r="AM83" s="1518">
        <v>4162</v>
      </c>
      <c r="AN83" s="1517">
        <v>65720</v>
      </c>
      <c r="AO83" s="1518">
        <v>4613</v>
      </c>
      <c r="AP83" s="440">
        <v>67448</v>
      </c>
      <c r="AQ83" s="441">
        <v>4292</v>
      </c>
      <c r="AR83" s="442">
        <v>67124</v>
      </c>
      <c r="AS83" s="443">
        <v>3966</v>
      </c>
      <c r="AT83" s="442">
        <v>66821</v>
      </c>
      <c r="AU83" s="1586">
        <v>3588</v>
      </c>
      <c r="AV83" s="1589">
        <v>64921</v>
      </c>
      <c r="AW83" s="1590">
        <v>3344</v>
      </c>
    </row>
    <row r="84" spans="1:49" ht="15" customHeight="1" x14ac:dyDescent="0.25">
      <c r="A84" s="428" t="s">
        <v>208</v>
      </c>
      <c r="B84" s="444" t="s">
        <v>209</v>
      </c>
      <c r="C84" s="190" t="s">
        <v>268</v>
      </c>
      <c r="D84" s="430">
        <f t="shared" si="45"/>
        <v>5.1403851047586734E-2</v>
      </c>
      <c r="E84" s="431">
        <f t="shared" si="46"/>
        <v>6.3865688011473895E-2</v>
      </c>
      <c r="F84" s="432">
        <f t="shared" si="47"/>
        <v>8.8095656761033939E-2</v>
      </c>
      <c r="G84" s="432">
        <f t="shared" si="48"/>
        <v>6.1736334405144692E-2</v>
      </c>
      <c r="H84" s="432">
        <f t="shared" si="49"/>
        <v>5.7250277706570964E-2</v>
      </c>
      <c r="I84" s="432">
        <f t="shared" si="50"/>
        <v>5.6788891660430697E-2</v>
      </c>
      <c r="J84" s="432">
        <f t="shared" si="51"/>
        <v>5.9470433973437105E-2</v>
      </c>
      <c r="K84" s="432">
        <f t="shared" si="52"/>
        <v>5.1894844656879484E-2</v>
      </c>
      <c r="L84" s="432">
        <f t="shared" si="53"/>
        <v>5.7532172596517793E-2</v>
      </c>
      <c r="M84" s="432">
        <f t="shared" si="54"/>
        <v>0.10896972617040071</v>
      </c>
      <c r="N84" s="432">
        <f t="shared" si="55"/>
        <v>0.10420352118608374</v>
      </c>
      <c r="O84" s="433">
        <f t="shared" si="56"/>
        <v>9.5234042553191484E-2</v>
      </c>
      <c r="P84" s="434">
        <f t="shared" si="57"/>
        <v>8.8095656761033939E-2</v>
      </c>
      <c r="Q84" s="1577">
        <f t="shared" si="58"/>
        <v>8.7357954545454544E-2</v>
      </c>
      <c r="R84" s="1580">
        <f t="shared" si="44"/>
        <v>7.9685150791545062E-2</v>
      </c>
      <c r="S84" s="219"/>
      <c r="T84" s="435">
        <v>11789</v>
      </c>
      <c r="U84" s="436">
        <v>606</v>
      </c>
      <c r="V84" s="437">
        <v>11853</v>
      </c>
      <c r="W84" s="438">
        <v>757</v>
      </c>
      <c r="X84" s="437">
        <v>12198</v>
      </c>
      <c r="Y84" s="438">
        <v>770</v>
      </c>
      <c r="Z84" s="437">
        <v>12440</v>
      </c>
      <c r="AA84" s="438">
        <v>768</v>
      </c>
      <c r="AB84" s="437">
        <v>11703</v>
      </c>
      <c r="AC84" s="438">
        <v>670</v>
      </c>
      <c r="AD84" s="437">
        <v>12027</v>
      </c>
      <c r="AE84" s="438">
        <v>683</v>
      </c>
      <c r="AF84" s="437">
        <v>11821</v>
      </c>
      <c r="AG84" s="438">
        <v>703</v>
      </c>
      <c r="AH84" s="437">
        <v>11716</v>
      </c>
      <c r="AI84" s="438">
        <v>608</v>
      </c>
      <c r="AJ84" s="437">
        <v>11889</v>
      </c>
      <c r="AK84" s="438">
        <v>684</v>
      </c>
      <c r="AL84" s="439">
        <v>12453</v>
      </c>
      <c r="AM84" s="438">
        <v>1357</v>
      </c>
      <c r="AN84" s="437">
        <v>11871</v>
      </c>
      <c r="AO84" s="438">
        <v>1237</v>
      </c>
      <c r="AP84" s="440">
        <v>11750</v>
      </c>
      <c r="AQ84" s="441">
        <v>1119</v>
      </c>
      <c r="AR84" s="442">
        <v>11374</v>
      </c>
      <c r="AS84" s="443">
        <v>1002</v>
      </c>
      <c r="AT84" s="442">
        <v>11264</v>
      </c>
      <c r="AU84" s="1586">
        <v>984</v>
      </c>
      <c r="AV84" s="1589">
        <v>11307</v>
      </c>
      <c r="AW84" s="1590">
        <v>901</v>
      </c>
    </row>
    <row r="85" spans="1:49" ht="15" customHeight="1" x14ac:dyDescent="0.25">
      <c r="A85" s="428" t="s">
        <v>210</v>
      </c>
      <c r="B85" s="444" t="s">
        <v>211</v>
      </c>
      <c r="C85" s="190" t="s">
        <v>268</v>
      </c>
      <c r="D85" s="430">
        <f t="shared" si="45"/>
        <v>3.8105046343975282E-2</v>
      </c>
      <c r="E85" s="431">
        <f t="shared" si="46"/>
        <v>4.6062101583384744E-2</v>
      </c>
      <c r="F85" s="432">
        <f t="shared" si="47"/>
        <v>8.5585133098945249E-2</v>
      </c>
      <c r="G85" s="432">
        <f t="shared" si="48"/>
        <v>5.4459905896486131E-2</v>
      </c>
      <c r="H85" s="432">
        <f t="shared" si="49"/>
        <v>5.5223426892288985E-2</v>
      </c>
      <c r="I85" s="432">
        <f t="shared" si="50"/>
        <v>5.1694311590515928E-2</v>
      </c>
      <c r="J85" s="432">
        <f t="shared" si="51"/>
        <v>4.8620897926313668E-2</v>
      </c>
      <c r="K85" s="432">
        <f t="shared" si="52"/>
        <v>4.66331864302552E-2</v>
      </c>
      <c r="L85" s="432">
        <f t="shared" si="53"/>
        <v>5.4281194384022145E-2</v>
      </c>
      <c r="M85" s="432">
        <f t="shared" si="54"/>
        <v>9.8888888888888887E-2</v>
      </c>
      <c r="N85" s="432">
        <f t="shared" si="55"/>
        <v>9.7534081796311151E-2</v>
      </c>
      <c r="O85" s="433">
        <f t="shared" si="56"/>
        <v>8.2663491118388416E-2</v>
      </c>
      <c r="P85" s="434">
        <f t="shared" si="57"/>
        <v>8.5585133098945249E-2</v>
      </c>
      <c r="Q85" s="1577">
        <f t="shared" si="58"/>
        <v>7.3705583756345172E-2</v>
      </c>
      <c r="R85" s="1580">
        <f t="shared" si="44"/>
        <v>5.8511702340468097E-2</v>
      </c>
      <c r="S85" s="219"/>
      <c r="T85" s="435">
        <v>9710</v>
      </c>
      <c r="U85" s="436">
        <v>370</v>
      </c>
      <c r="V85" s="437">
        <v>9726</v>
      </c>
      <c r="W85" s="438">
        <v>448</v>
      </c>
      <c r="X85" s="437">
        <v>9862</v>
      </c>
      <c r="Y85" s="438">
        <v>522</v>
      </c>
      <c r="Z85" s="437">
        <v>9989</v>
      </c>
      <c r="AA85" s="438">
        <v>544</v>
      </c>
      <c r="AB85" s="437">
        <v>9869</v>
      </c>
      <c r="AC85" s="438">
        <v>545</v>
      </c>
      <c r="AD85" s="437">
        <v>9827</v>
      </c>
      <c r="AE85" s="438">
        <v>508</v>
      </c>
      <c r="AF85" s="437">
        <v>9934</v>
      </c>
      <c r="AG85" s="438">
        <v>483</v>
      </c>
      <c r="AH85" s="437">
        <v>9757</v>
      </c>
      <c r="AI85" s="438">
        <v>455</v>
      </c>
      <c r="AJ85" s="437">
        <v>10114</v>
      </c>
      <c r="AK85" s="438">
        <v>549</v>
      </c>
      <c r="AL85" s="439">
        <v>9900</v>
      </c>
      <c r="AM85" s="438">
        <v>979</v>
      </c>
      <c r="AN85" s="437">
        <v>9976</v>
      </c>
      <c r="AO85" s="438">
        <v>973</v>
      </c>
      <c r="AP85" s="440">
        <v>10077</v>
      </c>
      <c r="AQ85" s="441">
        <v>833</v>
      </c>
      <c r="AR85" s="442">
        <v>9955</v>
      </c>
      <c r="AS85" s="443">
        <v>852</v>
      </c>
      <c r="AT85" s="442">
        <v>9850</v>
      </c>
      <c r="AU85" s="1586">
        <v>726</v>
      </c>
      <c r="AV85" s="1589">
        <v>9998</v>
      </c>
      <c r="AW85" s="1590">
        <v>585</v>
      </c>
    </row>
    <row r="86" spans="1:49" ht="15" customHeight="1" x14ac:dyDescent="0.25">
      <c r="A86" s="428" t="s">
        <v>212</v>
      </c>
      <c r="B86" s="444" t="s">
        <v>213</v>
      </c>
      <c r="C86" s="190" t="s">
        <v>267</v>
      </c>
      <c r="D86" s="430">
        <f t="shared" si="45"/>
        <v>1.7770773327536547E-2</v>
      </c>
      <c r="E86" s="431">
        <f t="shared" si="46"/>
        <v>2.4315946985891408E-2</v>
      </c>
      <c r="F86" s="432">
        <f t="shared" si="47"/>
        <v>6.5834680679062244E-2</v>
      </c>
      <c r="G86" s="432">
        <f t="shared" si="48"/>
        <v>3.8794882377218322E-2</v>
      </c>
      <c r="H86" s="432">
        <f t="shared" si="49"/>
        <v>3.2581712867190735E-2</v>
      </c>
      <c r="I86" s="432">
        <f t="shared" si="50"/>
        <v>3.0235162374020158E-2</v>
      </c>
      <c r="J86" s="432">
        <f t="shared" si="51"/>
        <v>2.9779931354734505E-2</v>
      </c>
      <c r="K86" s="432">
        <f t="shared" si="52"/>
        <v>3.2089589715261387E-2</v>
      </c>
      <c r="L86" s="432">
        <f t="shared" si="53"/>
        <v>4.6618095894457028E-2</v>
      </c>
      <c r="M86" s="432">
        <f t="shared" si="54"/>
        <v>8.495862884160757E-2</v>
      </c>
      <c r="N86" s="432">
        <f t="shared" si="55"/>
        <v>8.5925330385407769E-2</v>
      </c>
      <c r="O86" s="433">
        <f t="shared" si="56"/>
        <v>7.2882534008539376E-2</v>
      </c>
      <c r="P86" s="434">
        <f t="shared" si="57"/>
        <v>6.5834680679062244E-2</v>
      </c>
      <c r="Q86" s="1577">
        <f t="shared" si="58"/>
        <v>5.9222858300825777E-2</v>
      </c>
      <c r="R86" s="1580">
        <f t="shared" si="44"/>
        <v>4.9906103286384979E-2</v>
      </c>
      <c r="S86" s="219"/>
      <c r="T86" s="435">
        <v>18401</v>
      </c>
      <c r="U86" s="436">
        <v>327</v>
      </c>
      <c r="V86" s="437">
        <v>18712</v>
      </c>
      <c r="W86" s="438">
        <v>455</v>
      </c>
      <c r="X86" s="437">
        <v>19152</v>
      </c>
      <c r="Y86" s="438">
        <v>596</v>
      </c>
      <c r="Z86" s="437">
        <v>19384</v>
      </c>
      <c r="AA86" s="438">
        <v>752</v>
      </c>
      <c r="AB86" s="437">
        <v>19336</v>
      </c>
      <c r="AC86" s="438">
        <v>630</v>
      </c>
      <c r="AD86" s="437">
        <v>19646</v>
      </c>
      <c r="AE86" s="438">
        <v>594</v>
      </c>
      <c r="AF86" s="437">
        <v>19812</v>
      </c>
      <c r="AG86" s="438">
        <v>590</v>
      </c>
      <c r="AH86" s="437">
        <v>19913</v>
      </c>
      <c r="AI86" s="438">
        <v>639</v>
      </c>
      <c r="AJ86" s="437">
        <v>20314</v>
      </c>
      <c r="AK86" s="438">
        <v>947</v>
      </c>
      <c r="AL86" s="439">
        <v>20304</v>
      </c>
      <c r="AM86" s="438">
        <v>1725</v>
      </c>
      <c r="AN86" s="437">
        <v>19901</v>
      </c>
      <c r="AO86" s="438">
        <v>1710</v>
      </c>
      <c r="AP86" s="440">
        <v>20142</v>
      </c>
      <c r="AQ86" s="441">
        <v>1468</v>
      </c>
      <c r="AR86" s="442">
        <v>19792</v>
      </c>
      <c r="AS86" s="443">
        <v>1303</v>
      </c>
      <c r="AT86" s="442">
        <v>19739</v>
      </c>
      <c r="AU86" s="1586">
        <v>1169</v>
      </c>
      <c r="AV86" s="1589">
        <v>21300</v>
      </c>
      <c r="AW86" s="1590">
        <v>1063</v>
      </c>
    </row>
    <row r="87" spans="1:49" ht="15" customHeight="1" x14ac:dyDescent="0.25">
      <c r="A87" s="428" t="s">
        <v>214</v>
      </c>
      <c r="B87" s="444" t="s">
        <v>215</v>
      </c>
      <c r="C87" s="190" t="s">
        <v>268</v>
      </c>
      <c r="D87" s="430">
        <f t="shared" si="45"/>
        <v>4.3136259832529812E-2</v>
      </c>
      <c r="E87" s="431">
        <f t="shared" si="46"/>
        <v>6.3496160547202682E-2</v>
      </c>
      <c r="F87" s="432">
        <f t="shared" si="47"/>
        <v>8.82891770011274E-2</v>
      </c>
      <c r="G87" s="432">
        <f t="shared" si="48"/>
        <v>7.5430359937402186E-2</v>
      </c>
      <c r="H87" s="432">
        <f t="shared" si="49"/>
        <v>5.1024327784891167E-2</v>
      </c>
      <c r="I87" s="432">
        <f t="shared" si="50"/>
        <v>4.590080326405712E-2</v>
      </c>
      <c r="J87" s="432">
        <f t="shared" si="51"/>
        <v>4.6235998958061998E-2</v>
      </c>
      <c r="K87" s="432">
        <f t="shared" si="52"/>
        <v>5.4888622115512875E-2</v>
      </c>
      <c r="L87" s="432">
        <f t="shared" si="53"/>
        <v>6.094420600858369E-2</v>
      </c>
      <c r="M87" s="432">
        <f t="shared" si="54"/>
        <v>0.11512444999014908</v>
      </c>
      <c r="N87" s="432">
        <f t="shared" si="55"/>
        <v>0.11354935739677331</v>
      </c>
      <c r="O87" s="433">
        <f t="shared" si="56"/>
        <v>0.10046903677520223</v>
      </c>
      <c r="P87" s="434">
        <f t="shared" si="57"/>
        <v>8.82891770011274E-2</v>
      </c>
      <c r="Q87" s="1577">
        <f t="shared" si="58"/>
        <v>8.3687340696686485E-2</v>
      </c>
      <c r="R87" s="1580">
        <f t="shared" si="44"/>
        <v>7.7559231113097898E-2</v>
      </c>
      <c r="S87" s="219"/>
      <c r="T87" s="435">
        <v>15764</v>
      </c>
      <c r="U87" s="436">
        <v>680</v>
      </c>
      <c r="V87" s="437">
        <v>15497</v>
      </c>
      <c r="W87" s="438">
        <v>984</v>
      </c>
      <c r="X87" s="437">
        <v>15545</v>
      </c>
      <c r="Y87" s="438">
        <v>1248</v>
      </c>
      <c r="Z87" s="437">
        <v>15975</v>
      </c>
      <c r="AA87" s="438">
        <v>1205</v>
      </c>
      <c r="AB87" s="437">
        <v>15620</v>
      </c>
      <c r="AC87" s="438">
        <v>797</v>
      </c>
      <c r="AD87" s="437">
        <v>15686</v>
      </c>
      <c r="AE87" s="438">
        <v>720</v>
      </c>
      <c r="AF87" s="437">
        <v>15356</v>
      </c>
      <c r="AG87" s="438">
        <v>710</v>
      </c>
      <c r="AH87" s="437">
        <v>14994</v>
      </c>
      <c r="AI87" s="438">
        <v>823</v>
      </c>
      <c r="AJ87" s="437">
        <v>15145</v>
      </c>
      <c r="AK87" s="438">
        <v>923</v>
      </c>
      <c r="AL87" s="439">
        <v>15227</v>
      </c>
      <c r="AM87" s="438">
        <v>1753</v>
      </c>
      <c r="AN87" s="437">
        <v>14628</v>
      </c>
      <c r="AO87" s="438">
        <v>1661</v>
      </c>
      <c r="AP87" s="440">
        <v>14711</v>
      </c>
      <c r="AQ87" s="441">
        <v>1478</v>
      </c>
      <c r="AR87" s="442">
        <v>14192</v>
      </c>
      <c r="AS87" s="443">
        <v>1253</v>
      </c>
      <c r="AT87" s="442">
        <v>14124</v>
      </c>
      <c r="AU87" s="1586">
        <v>1182</v>
      </c>
      <c r="AV87" s="1589">
        <v>13422</v>
      </c>
      <c r="AW87" s="1590">
        <v>1041</v>
      </c>
    </row>
    <row r="88" spans="1:49" ht="15" customHeight="1" x14ac:dyDescent="0.25">
      <c r="A88" s="428" t="s">
        <v>216</v>
      </c>
      <c r="B88" s="444" t="s">
        <v>217</v>
      </c>
      <c r="C88" s="190" t="s">
        <v>264</v>
      </c>
      <c r="D88" s="430">
        <f t="shared" si="45"/>
        <v>2.7408303103587262E-2</v>
      </c>
      <c r="E88" s="431">
        <f t="shared" si="46"/>
        <v>3.2240585207260905E-2</v>
      </c>
      <c r="F88" s="432">
        <f t="shared" si="47"/>
        <v>7.4524048096192383E-2</v>
      </c>
      <c r="G88" s="432">
        <f t="shared" si="48"/>
        <v>4.3705153294194388E-2</v>
      </c>
      <c r="H88" s="432">
        <f t="shared" si="49"/>
        <v>4.1904256729876674E-2</v>
      </c>
      <c r="I88" s="432">
        <f t="shared" si="50"/>
        <v>4.1347424042272124E-2</v>
      </c>
      <c r="J88" s="432">
        <f t="shared" si="51"/>
        <v>3.6203264876250661E-2</v>
      </c>
      <c r="K88" s="432">
        <f t="shared" si="52"/>
        <v>3.6149312377210217E-2</v>
      </c>
      <c r="L88" s="432">
        <f t="shared" si="53"/>
        <v>4.8146779953207736E-2</v>
      </c>
      <c r="M88" s="432">
        <f t="shared" si="54"/>
        <v>8.2615119428712136E-2</v>
      </c>
      <c r="N88" s="432">
        <f t="shared" si="55"/>
        <v>0.10273466371027347</v>
      </c>
      <c r="O88" s="433">
        <f t="shared" si="56"/>
        <v>9.1101168282376341E-2</v>
      </c>
      <c r="P88" s="434">
        <f t="shared" si="57"/>
        <v>7.4524048096192383E-2</v>
      </c>
      <c r="Q88" s="1577">
        <f t="shared" si="58"/>
        <v>7.0066975785677485E-2</v>
      </c>
      <c r="R88" s="1580">
        <f t="shared" si="44"/>
        <v>5.0125586982636236E-2</v>
      </c>
      <c r="S88" s="219"/>
      <c r="T88" s="435">
        <v>7443</v>
      </c>
      <c r="U88" s="436">
        <v>204</v>
      </c>
      <c r="V88" s="437">
        <v>7382</v>
      </c>
      <c r="W88" s="438">
        <v>238</v>
      </c>
      <c r="X88" s="437">
        <v>7473</v>
      </c>
      <c r="Y88" s="438">
        <v>312</v>
      </c>
      <c r="Z88" s="437">
        <v>7665</v>
      </c>
      <c r="AA88" s="438">
        <v>335</v>
      </c>
      <c r="AB88" s="437">
        <v>7541</v>
      </c>
      <c r="AC88" s="438">
        <v>316</v>
      </c>
      <c r="AD88" s="437">
        <v>7570</v>
      </c>
      <c r="AE88" s="438">
        <v>313</v>
      </c>
      <c r="AF88" s="437">
        <v>7596</v>
      </c>
      <c r="AG88" s="438">
        <v>275</v>
      </c>
      <c r="AH88" s="437">
        <v>7635</v>
      </c>
      <c r="AI88" s="438">
        <v>276</v>
      </c>
      <c r="AJ88" s="437">
        <v>8121</v>
      </c>
      <c r="AK88" s="438">
        <v>391</v>
      </c>
      <c r="AL88" s="439">
        <v>8122</v>
      </c>
      <c r="AM88" s="438">
        <v>671</v>
      </c>
      <c r="AN88" s="437">
        <v>8118</v>
      </c>
      <c r="AO88" s="438">
        <v>834</v>
      </c>
      <c r="AP88" s="440">
        <v>8046</v>
      </c>
      <c r="AQ88" s="441">
        <v>733</v>
      </c>
      <c r="AR88" s="442">
        <v>7984</v>
      </c>
      <c r="AS88" s="443">
        <v>595</v>
      </c>
      <c r="AT88" s="442">
        <v>7764</v>
      </c>
      <c r="AU88" s="1586">
        <v>544</v>
      </c>
      <c r="AV88" s="1589">
        <v>9157</v>
      </c>
      <c r="AW88" s="1590">
        <v>459</v>
      </c>
    </row>
    <row r="89" spans="1:49" ht="15" customHeight="1" x14ac:dyDescent="0.25">
      <c r="A89" s="428" t="s">
        <v>218</v>
      </c>
      <c r="B89" s="444" t="s">
        <v>219</v>
      </c>
      <c r="C89" s="190" t="s">
        <v>267</v>
      </c>
      <c r="D89" s="430">
        <f t="shared" si="45"/>
        <v>1.6980427931663628E-2</v>
      </c>
      <c r="E89" s="431">
        <f t="shared" si="46"/>
        <v>2.0994322662040689E-2</v>
      </c>
      <c r="F89" s="432">
        <f t="shared" si="47"/>
        <v>5.3909979369644763E-2</v>
      </c>
      <c r="G89" s="432">
        <f t="shared" si="48"/>
        <v>3.0428129114915121E-2</v>
      </c>
      <c r="H89" s="432">
        <f t="shared" si="49"/>
        <v>2.8156144774023249E-2</v>
      </c>
      <c r="I89" s="432">
        <f t="shared" si="50"/>
        <v>2.6717618535347858E-2</v>
      </c>
      <c r="J89" s="432">
        <f t="shared" si="51"/>
        <v>2.4145212881587528E-2</v>
      </c>
      <c r="K89" s="432">
        <f t="shared" si="52"/>
        <v>2.553184876691893E-2</v>
      </c>
      <c r="L89" s="432">
        <f t="shared" si="53"/>
        <v>3.4221163127413128E-2</v>
      </c>
      <c r="M89" s="432">
        <f t="shared" si="54"/>
        <v>5.8377896613190733E-2</v>
      </c>
      <c r="N89" s="432">
        <f t="shared" si="55"/>
        <v>6.5334896539123291E-2</v>
      </c>
      <c r="O89" s="433">
        <f t="shared" si="56"/>
        <v>6.1160794670187861E-2</v>
      </c>
      <c r="P89" s="434">
        <f t="shared" si="57"/>
        <v>5.3909979369644763E-2</v>
      </c>
      <c r="Q89" s="1577">
        <f t="shared" si="58"/>
        <v>5.1802778567049006E-2</v>
      </c>
      <c r="R89" s="1580">
        <f t="shared" si="44"/>
        <v>5.3159758901385697E-2</v>
      </c>
      <c r="S89" s="219"/>
      <c r="T89" s="435">
        <v>48232</v>
      </c>
      <c r="U89" s="436">
        <v>819</v>
      </c>
      <c r="V89" s="437">
        <v>50728</v>
      </c>
      <c r="W89" s="438">
        <v>1065</v>
      </c>
      <c r="X89" s="437">
        <v>53586</v>
      </c>
      <c r="Y89" s="438">
        <v>1541</v>
      </c>
      <c r="Z89" s="437">
        <v>56198</v>
      </c>
      <c r="AA89" s="438">
        <v>1710</v>
      </c>
      <c r="AB89" s="437">
        <v>59099</v>
      </c>
      <c r="AC89" s="438">
        <v>1664</v>
      </c>
      <c r="AD89" s="437">
        <v>62281</v>
      </c>
      <c r="AE89" s="438">
        <v>1664</v>
      </c>
      <c r="AF89" s="437">
        <v>64402</v>
      </c>
      <c r="AG89" s="438">
        <v>1555</v>
      </c>
      <c r="AH89" s="437">
        <v>64351</v>
      </c>
      <c r="AI89" s="438">
        <v>1643</v>
      </c>
      <c r="AJ89" s="437">
        <v>66304</v>
      </c>
      <c r="AK89" s="438">
        <v>2269</v>
      </c>
      <c r="AL89" s="439">
        <v>65076</v>
      </c>
      <c r="AM89" s="438">
        <v>3799</v>
      </c>
      <c r="AN89" s="437">
        <v>65677</v>
      </c>
      <c r="AO89" s="438">
        <v>4291</v>
      </c>
      <c r="AP89" s="440">
        <v>66644</v>
      </c>
      <c r="AQ89" s="441">
        <v>4076</v>
      </c>
      <c r="AR89" s="442">
        <v>66407</v>
      </c>
      <c r="AS89" s="443">
        <v>3580</v>
      </c>
      <c r="AT89" s="442">
        <v>66869</v>
      </c>
      <c r="AU89" s="1586">
        <v>3464</v>
      </c>
      <c r="AV89" s="1589">
        <v>64372</v>
      </c>
      <c r="AW89" s="1590">
        <v>3422</v>
      </c>
    </row>
    <row r="90" spans="1:49" ht="15" customHeight="1" x14ac:dyDescent="0.25">
      <c r="A90" s="428" t="s">
        <v>220</v>
      </c>
      <c r="B90" s="444" t="s">
        <v>221</v>
      </c>
      <c r="C90" s="190" t="s">
        <v>267</v>
      </c>
      <c r="D90" s="430">
        <f t="shared" si="45"/>
        <v>1.6807246437029959E-2</v>
      </c>
      <c r="E90" s="431">
        <f t="shared" si="46"/>
        <v>2.2063042919049411E-2</v>
      </c>
      <c r="F90" s="432">
        <f t="shared" si="47"/>
        <v>5.1501101857416791E-2</v>
      </c>
      <c r="G90" s="432">
        <f t="shared" si="48"/>
        <v>3.0942911665566869E-2</v>
      </c>
      <c r="H90" s="432">
        <f t="shared" si="49"/>
        <v>2.7699759498141577E-2</v>
      </c>
      <c r="I90" s="432">
        <f t="shared" si="50"/>
        <v>2.6954177897574125E-2</v>
      </c>
      <c r="J90" s="432">
        <f t="shared" si="51"/>
        <v>2.4496649561382859E-2</v>
      </c>
      <c r="K90" s="432">
        <f t="shared" si="52"/>
        <v>2.63448984996962E-2</v>
      </c>
      <c r="L90" s="432">
        <f t="shared" si="53"/>
        <v>3.4499947132305184E-2</v>
      </c>
      <c r="M90" s="432">
        <f t="shared" si="54"/>
        <v>5.6831333373941646E-2</v>
      </c>
      <c r="N90" s="432">
        <f t="shared" si="55"/>
        <v>5.9401413125248922E-2</v>
      </c>
      <c r="O90" s="433">
        <f t="shared" si="56"/>
        <v>5.5870585187530582E-2</v>
      </c>
      <c r="P90" s="434">
        <f t="shared" si="57"/>
        <v>5.1501101857416791E-2</v>
      </c>
      <c r="Q90" s="1577">
        <f t="shared" si="58"/>
        <v>5.0866937200261073E-2</v>
      </c>
      <c r="R90" s="1580">
        <f t="shared" si="44"/>
        <v>5.2472204646117689E-2</v>
      </c>
      <c r="S90" s="219"/>
      <c r="T90" s="435">
        <v>48134</v>
      </c>
      <c r="U90" s="436">
        <v>809</v>
      </c>
      <c r="V90" s="437">
        <v>50537</v>
      </c>
      <c r="W90" s="438">
        <v>1115</v>
      </c>
      <c r="X90" s="437">
        <v>53466</v>
      </c>
      <c r="Y90" s="438">
        <v>1606</v>
      </c>
      <c r="Z90" s="437">
        <v>56071</v>
      </c>
      <c r="AA90" s="438">
        <v>1735</v>
      </c>
      <c r="AB90" s="437">
        <v>59459</v>
      </c>
      <c r="AC90" s="438">
        <v>1647</v>
      </c>
      <c r="AD90" s="437">
        <v>61957</v>
      </c>
      <c r="AE90" s="438">
        <v>1670</v>
      </c>
      <c r="AF90" s="437">
        <v>63723</v>
      </c>
      <c r="AG90" s="438">
        <v>1561</v>
      </c>
      <c r="AH90" s="437">
        <v>64187</v>
      </c>
      <c r="AI90" s="438">
        <v>1691</v>
      </c>
      <c r="AJ90" s="437">
        <v>66203</v>
      </c>
      <c r="AK90" s="438">
        <v>2284</v>
      </c>
      <c r="AL90" s="439">
        <v>65668</v>
      </c>
      <c r="AM90" s="438">
        <v>3732</v>
      </c>
      <c r="AN90" s="437">
        <v>67793</v>
      </c>
      <c r="AO90" s="438">
        <v>4027</v>
      </c>
      <c r="AP90" s="440">
        <v>69482</v>
      </c>
      <c r="AQ90" s="441">
        <v>3882</v>
      </c>
      <c r="AR90" s="442">
        <v>69882</v>
      </c>
      <c r="AS90" s="443">
        <v>3599</v>
      </c>
      <c r="AT90" s="442">
        <v>70478</v>
      </c>
      <c r="AU90" s="1586">
        <v>3585</v>
      </c>
      <c r="AV90" s="1589">
        <v>66378</v>
      </c>
      <c r="AW90" s="1590">
        <v>3483</v>
      </c>
    </row>
    <row r="91" spans="1:49" ht="15" customHeight="1" x14ac:dyDescent="0.25">
      <c r="A91" s="428" t="s">
        <v>224</v>
      </c>
      <c r="B91" s="444" t="s">
        <v>225</v>
      </c>
      <c r="C91" s="190" t="s">
        <v>264</v>
      </c>
      <c r="D91" s="430">
        <f t="shared" si="45"/>
        <v>2.874074074074074E-2</v>
      </c>
      <c r="E91" s="431">
        <f t="shared" si="46"/>
        <v>3.3101045296167246E-2</v>
      </c>
      <c r="F91" s="432">
        <f t="shared" si="47"/>
        <v>7.6200993926007737E-2</v>
      </c>
      <c r="G91" s="432">
        <f t="shared" si="48"/>
        <v>4.5618915159944366E-2</v>
      </c>
      <c r="H91" s="432">
        <f t="shared" si="49"/>
        <v>4.1179744017807454E-2</v>
      </c>
      <c r="I91" s="432">
        <f t="shared" si="50"/>
        <v>4.7540983606557376E-2</v>
      </c>
      <c r="J91" s="432">
        <f t="shared" si="51"/>
        <v>3.3683643222850987E-2</v>
      </c>
      <c r="K91" s="432">
        <f t="shared" si="52"/>
        <v>3.4222581514416602E-2</v>
      </c>
      <c r="L91" s="432">
        <f t="shared" si="53"/>
        <v>4.476439790575916E-2</v>
      </c>
      <c r="M91" s="432">
        <f t="shared" si="54"/>
        <v>7.7706323687031079E-2</v>
      </c>
      <c r="N91" s="432">
        <f t="shared" si="55"/>
        <v>8.8368379025818469E-2</v>
      </c>
      <c r="O91" s="433">
        <f t="shared" si="56"/>
        <v>8.2387898433279302E-2</v>
      </c>
      <c r="P91" s="434">
        <f t="shared" si="57"/>
        <v>7.6200993926007737E-2</v>
      </c>
      <c r="Q91" s="1577">
        <f t="shared" si="58"/>
        <v>7.0170610897083111E-2</v>
      </c>
      <c r="R91" s="1580">
        <f t="shared" si="44"/>
        <v>6.0803474484256242E-2</v>
      </c>
      <c r="S91" s="219"/>
      <c r="T91" s="435">
        <v>3375</v>
      </c>
      <c r="U91" s="436">
        <v>97</v>
      </c>
      <c r="V91" s="437">
        <v>3444</v>
      </c>
      <c r="W91" s="438">
        <v>114</v>
      </c>
      <c r="X91" s="437">
        <v>3576</v>
      </c>
      <c r="Y91" s="438">
        <v>161</v>
      </c>
      <c r="Z91" s="437">
        <v>3595</v>
      </c>
      <c r="AA91" s="438">
        <v>164</v>
      </c>
      <c r="AB91" s="437">
        <v>3594</v>
      </c>
      <c r="AC91" s="438">
        <v>148</v>
      </c>
      <c r="AD91" s="437">
        <v>3660</v>
      </c>
      <c r="AE91" s="438">
        <v>174</v>
      </c>
      <c r="AF91" s="437">
        <v>3711</v>
      </c>
      <c r="AG91" s="438">
        <v>125</v>
      </c>
      <c r="AH91" s="437">
        <v>3711</v>
      </c>
      <c r="AI91" s="438">
        <v>127</v>
      </c>
      <c r="AJ91" s="437">
        <v>3820</v>
      </c>
      <c r="AK91" s="438">
        <v>171</v>
      </c>
      <c r="AL91" s="439">
        <v>3732</v>
      </c>
      <c r="AM91" s="438">
        <v>290</v>
      </c>
      <c r="AN91" s="437">
        <v>3757</v>
      </c>
      <c r="AO91" s="438">
        <v>332</v>
      </c>
      <c r="AP91" s="440">
        <v>3702</v>
      </c>
      <c r="AQ91" s="441">
        <v>305</v>
      </c>
      <c r="AR91" s="442">
        <v>3622</v>
      </c>
      <c r="AS91" s="443">
        <v>276</v>
      </c>
      <c r="AT91" s="442">
        <v>3634</v>
      </c>
      <c r="AU91" s="1586">
        <v>255</v>
      </c>
      <c r="AV91" s="1589">
        <v>3684</v>
      </c>
      <c r="AW91" s="1590">
        <v>224</v>
      </c>
    </row>
    <row r="92" spans="1:49" ht="15" customHeight="1" x14ac:dyDescent="0.25">
      <c r="A92" s="428" t="s">
        <v>226</v>
      </c>
      <c r="B92" s="444" t="s">
        <v>227</v>
      </c>
      <c r="C92" s="190" t="s">
        <v>264</v>
      </c>
      <c r="D92" s="430">
        <f t="shared" si="45"/>
        <v>3.6634103019538192E-2</v>
      </c>
      <c r="E92" s="431">
        <f t="shared" si="46"/>
        <v>4.7159218504379069E-2</v>
      </c>
      <c r="F92" s="432">
        <f t="shared" si="47"/>
        <v>8.612329716000923E-2</v>
      </c>
      <c r="G92" s="432">
        <f t="shared" si="48"/>
        <v>6.9079673361288896E-2</v>
      </c>
      <c r="H92" s="432">
        <f t="shared" si="49"/>
        <v>5.8521331248603974E-2</v>
      </c>
      <c r="I92" s="432">
        <f t="shared" si="50"/>
        <v>5.7961208840775824E-2</v>
      </c>
      <c r="J92" s="432">
        <f t="shared" si="51"/>
        <v>4.4642857142857144E-2</v>
      </c>
      <c r="K92" s="432">
        <f t="shared" si="52"/>
        <v>4.5024763619990998E-2</v>
      </c>
      <c r="L92" s="432">
        <f t="shared" si="53"/>
        <v>5.8327788866711021E-2</v>
      </c>
      <c r="M92" s="432">
        <f t="shared" si="54"/>
        <v>0.10515695067264574</v>
      </c>
      <c r="N92" s="432">
        <f t="shared" si="55"/>
        <v>0.10669408270504913</v>
      </c>
      <c r="O92" s="433">
        <f t="shared" si="56"/>
        <v>9.4739239353222496E-2</v>
      </c>
      <c r="P92" s="434">
        <f t="shared" si="57"/>
        <v>8.612329716000923E-2</v>
      </c>
      <c r="Q92" s="1577">
        <f t="shared" si="58"/>
        <v>7.862068965517241E-2</v>
      </c>
      <c r="R92" s="1580">
        <f t="shared" si="44"/>
        <v>7.4260994953136261E-2</v>
      </c>
      <c r="S92" s="219"/>
      <c r="T92" s="435">
        <v>4504</v>
      </c>
      <c r="U92" s="436">
        <v>165</v>
      </c>
      <c r="V92" s="437">
        <v>4453</v>
      </c>
      <c r="W92" s="438">
        <v>210</v>
      </c>
      <c r="X92" s="437">
        <v>4406</v>
      </c>
      <c r="Y92" s="438">
        <v>254</v>
      </c>
      <c r="Z92" s="437">
        <v>4531</v>
      </c>
      <c r="AA92" s="438">
        <v>313</v>
      </c>
      <c r="AB92" s="437">
        <v>4477</v>
      </c>
      <c r="AC92" s="438">
        <v>262</v>
      </c>
      <c r="AD92" s="437">
        <v>4434</v>
      </c>
      <c r="AE92" s="438">
        <v>257</v>
      </c>
      <c r="AF92" s="437">
        <v>4480</v>
      </c>
      <c r="AG92" s="438">
        <v>200</v>
      </c>
      <c r="AH92" s="437">
        <v>4442</v>
      </c>
      <c r="AI92" s="438">
        <v>200</v>
      </c>
      <c r="AJ92" s="437">
        <v>4509</v>
      </c>
      <c r="AK92" s="438">
        <v>263</v>
      </c>
      <c r="AL92" s="439">
        <v>4460</v>
      </c>
      <c r="AM92" s="438">
        <v>469</v>
      </c>
      <c r="AN92" s="437">
        <v>4377</v>
      </c>
      <c r="AO92" s="438">
        <v>467</v>
      </c>
      <c r="AP92" s="440">
        <v>4391</v>
      </c>
      <c r="AQ92" s="441">
        <v>416</v>
      </c>
      <c r="AR92" s="442">
        <v>4331</v>
      </c>
      <c r="AS92" s="443">
        <v>373</v>
      </c>
      <c r="AT92" s="442">
        <v>4350</v>
      </c>
      <c r="AU92" s="1586">
        <v>342</v>
      </c>
      <c r="AV92" s="1589">
        <v>4161</v>
      </c>
      <c r="AW92" s="1590">
        <v>309</v>
      </c>
    </row>
    <row r="93" spans="1:49" ht="15" customHeight="1" x14ac:dyDescent="0.25">
      <c r="A93" s="428" t="s">
        <v>228</v>
      </c>
      <c r="B93" s="444" t="s">
        <v>229</v>
      </c>
      <c r="C93" s="190" t="s">
        <v>268</v>
      </c>
      <c r="D93" s="430">
        <f t="shared" si="45"/>
        <v>5.0802563966732002E-2</v>
      </c>
      <c r="E93" s="431">
        <f t="shared" si="46"/>
        <v>4.9108992954828012E-2</v>
      </c>
      <c r="F93" s="432">
        <f t="shared" si="47"/>
        <v>7.1064497157420109E-2</v>
      </c>
      <c r="G93" s="432">
        <f t="shared" si="48"/>
        <v>5.3863703997619285E-2</v>
      </c>
      <c r="H93" s="432">
        <f t="shared" si="49"/>
        <v>4.6371482559624123E-2</v>
      </c>
      <c r="I93" s="432">
        <f t="shared" si="50"/>
        <v>4.4977052524222336E-2</v>
      </c>
      <c r="J93" s="432">
        <f t="shared" si="51"/>
        <v>3.9336232318688456E-2</v>
      </c>
      <c r="K93" s="432">
        <f t="shared" si="52"/>
        <v>4.5391545391545392E-2</v>
      </c>
      <c r="L93" s="432">
        <f t="shared" si="53"/>
        <v>4.3951282915322777E-2</v>
      </c>
      <c r="M93" s="432">
        <f t="shared" si="54"/>
        <v>7.8268534842720602E-2</v>
      </c>
      <c r="N93" s="432">
        <f t="shared" si="55"/>
        <v>7.1626927128219858E-2</v>
      </c>
      <c r="O93" s="433">
        <f t="shared" si="56"/>
        <v>6.7583157085175927E-2</v>
      </c>
      <c r="P93" s="434">
        <f t="shared" si="57"/>
        <v>7.1064497157420109E-2</v>
      </c>
      <c r="Q93" s="1577">
        <f t="shared" si="58"/>
        <v>7.0360773370540169E-2</v>
      </c>
      <c r="R93" s="1580">
        <f t="shared" si="44"/>
        <v>8.033289025024562E-2</v>
      </c>
      <c r="S93" s="219"/>
      <c r="T93" s="435">
        <v>18877</v>
      </c>
      <c r="U93" s="436">
        <v>959</v>
      </c>
      <c r="V93" s="437">
        <v>19304</v>
      </c>
      <c r="W93" s="438">
        <v>948</v>
      </c>
      <c r="X93" s="437">
        <v>20196</v>
      </c>
      <c r="Y93" s="438">
        <v>1162</v>
      </c>
      <c r="Z93" s="437">
        <v>20162</v>
      </c>
      <c r="AA93" s="438">
        <v>1086</v>
      </c>
      <c r="AB93" s="437">
        <v>19581</v>
      </c>
      <c r="AC93" s="438">
        <v>908</v>
      </c>
      <c r="AD93" s="437">
        <v>19610</v>
      </c>
      <c r="AE93" s="438">
        <v>882</v>
      </c>
      <c r="AF93" s="437">
        <v>20007</v>
      </c>
      <c r="AG93" s="438">
        <v>787</v>
      </c>
      <c r="AH93" s="437">
        <v>20202</v>
      </c>
      <c r="AI93" s="438">
        <v>917</v>
      </c>
      <c r="AJ93" s="437">
        <v>20773</v>
      </c>
      <c r="AK93" s="438">
        <v>913</v>
      </c>
      <c r="AL93" s="439">
        <v>21554</v>
      </c>
      <c r="AM93" s="438">
        <v>1687</v>
      </c>
      <c r="AN93" s="437">
        <v>20886</v>
      </c>
      <c r="AO93" s="438">
        <v>1496</v>
      </c>
      <c r="AP93" s="440">
        <v>20804</v>
      </c>
      <c r="AQ93" s="441">
        <v>1406</v>
      </c>
      <c r="AR93" s="442">
        <v>20404</v>
      </c>
      <c r="AS93" s="443">
        <v>1450</v>
      </c>
      <c r="AT93" s="442">
        <v>20068</v>
      </c>
      <c r="AU93" s="1586">
        <v>1412</v>
      </c>
      <c r="AV93" s="1589">
        <v>17303</v>
      </c>
      <c r="AW93" s="1590">
        <v>1390</v>
      </c>
    </row>
    <row r="94" spans="1:49" ht="15" customHeight="1" x14ac:dyDescent="0.25">
      <c r="A94" s="428" t="s">
        <v>232</v>
      </c>
      <c r="B94" s="444" t="s">
        <v>233</v>
      </c>
      <c r="C94" s="190" t="s">
        <v>267</v>
      </c>
      <c r="D94" s="430">
        <f t="shared" si="45"/>
        <v>2.0141964448219377E-2</v>
      </c>
      <c r="E94" s="431">
        <f t="shared" si="46"/>
        <v>2.7968684635152095E-2</v>
      </c>
      <c r="F94" s="432">
        <f t="shared" si="47"/>
        <v>6.0107640460741414E-2</v>
      </c>
      <c r="G94" s="432">
        <f t="shared" si="48"/>
        <v>3.9977188480182495E-2</v>
      </c>
      <c r="H94" s="432">
        <f t="shared" si="49"/>
        <v>3.3168509361631203E-2</v>
      </c>
      <c r="I94" s="432">
        <f t="shared" si="50"/>
        <v>3.012176885280923E-2</v>
      </c>
      <c r="J94" s="432">
        <f t="shared" si="51"/>
        <v>2.7903823084545976E-2</v>
      </c>
      <c r="K94" s="432">
        <f t="shared" si="52"/>
        <v>3.0657085250478208E-2</v>
      </c>
      <c r="L94" s="432">
        <f t="shared" si="53"/>
        <v>4.4142530108490098E-2</v>
      </c>
      <c r="M94" s="432">
        <f t="shared" si="54"/>
        <v>7.8289838978345364E-2</v>
      </c>
      <c r="N94" s="432">
        <f t="shared" si="55"/>
        <v>7.4005504128096075E-2</v>
      </c>
      <c r="O94" s="433">
        <f t="shared" si="56"/>
        <v>6.7536492701459713E-2</v>
      </c>
      <c r="P94" s="434">
        <f t="shared" si="57"/>
        <v>6.0107640460741414E-2</v>
      </c>
      <c r="Q94" s="1577">
        <f t="shared" si="58"/>
        <v>5.6250625563006709E-2</v>
      </c>
      <c r="R94" s="1580">
        <f t="shared" si="44"/>
        <v>5.5296104928457872E-2</v>
      </c>
      <c r="S94" s="219"/>
      <c r="T94" s="435">
        <v>16483</v>
      </c>
      <c r="U94" s="436">
        <v>332</v>
      </c>
      <c r="V94" s="437">
        <v>16733</v>
      </c>
      <c r="W94" s="438">
        <v>468</v>
      </c>
      <c r="X94" s="437">
        <v>17166</v>
      </c>
      <c r="Y94" s="438">
        <v>681</v>
      </c>
      <c r="Z94" s="437">
        <v>17535</v>
      </c>
      <c r="AA94" s="438">
        <v>701</v>
      </c>
      <c r="AB94" s="437">
        <v>17999</v>
      </c>
      <c r="AC94" s="438">
        <v>597</v>
      </c>
      <c r="AD94" s="437">
        <v>18724</v>
      </c>
      <c r="AE94" s="438">
        <v>564</v>
      </c>
      <c r="AF94" s="437">
        <v>19173</v>
      </c>
      <c r="AG94" s="438">
        <v>535</v>
      </c>
      <c r="AH94" s="437">
        <v>19343</v>
      </c>
      <c r="AI94" s="438">
        <v>593</v>
      </c>
      <c r="AJ94" s="437">
        <v>20094</v>
      </c>
      <c r="AK94" s="438">
        <v>887</v>
      </c>
      <c r="AL94" s="439">
        <v>19811</v>
      </c>
      <c r="AM94" s="438">
        <v>1551</v>
      </c>
      <c r="AN94" s="437">
        <v>19985</v>
      </c>
      <c r="AO94" s="438">
        <v>1479</v>
      </c>
      <c r="AP94" s="440">
        <v>20004</v>
      </c>
      <c r="AQ94" s="441">
        <v>1351</v>
      </c>
      <c r="AR94" s="442">
        <v>19881</v>
      </c>
      <c r="AS94" s="443">
        <v>1195</v>
      </c>
      <c r="AT94" s="442">
        <v>19982</v>
      </c>
      <c r="AU94" s="1586">
        <v>1124</v>
      </c>
      <c r="AV94" s="1589">
        <v>20128</v>
      </c>
      <c r="AW94" s="1590">
        <v>1113</v>
      </c>
    </row>
    <row r="95" spans="1:49" ht="15" customHeight="1" x14ac:dyDescent="0.25">
      <c r="A95" s="428" t="s">
        <v>234</v>
      </c>
      <c r="B95" s="444" t="s">
        <v>235</v>
      </c>
      <c r="C95" s="190" t="s">
        <v>268</v>
      </c>
      <c r="D95" s="430">
        <f t="shared" si="45"/>
        <v>3.5575653287446475E-2</v>
      </c>
      <c r="E95" s="431">
        <f t="shared" si="46"/>
        <v>5.0377536573855596E-2</v>
      </c>
      <c r="F95" s="432">
        <f t="shared" si="47"/>
        <v>7.06378115848868E-2</v>
      </c>
      <c r="G95" s="432">
        <f t="shared" si="48"/>
        <v>5.3925666945352287E-2</v>
      </c>
      <c r="H95" s="432">
        <f t="shared" si="49"/>
        <v>4.7437673130193904E-2</v>
      </c>
      <c r="I95" s="432">
        <f t="shared" si="50"/>
        <v>4.4569632865792901E-2</v>
      </c>
      <c r="J95" s="432">
        <f t="shared" si="51"/>
        <v>4.1013406044080894E-2</v>
      </c>
      <c r="K95" s="432">
        <f t="shared" si="52"/>
        <v>4.5732967569801962E-2</v>
      </c>
      <c r="L95" s="432">
        <f t="shared" si="53"/>
        <v>4.9266627940749347E-2</v>
      </c>
      <c r="M95" s="432">
        <f t="shared" si="54"/>
        <v>8.8177758092496214E-2</v>
      </c>
      <c r="N95" s="432">
        <f t="shared" si="55"/>
        <v>8.7819210679048174E-2</v>
      </c>
      <c r="O95" s="433">
        <f t="shared" si="56"/>
        <v>7.9765082754938599E-2</v>
      </c>
      <c r="P95" s="434">
        <f t="shared" si="57"/>
        <v>7.06378115848868E-2</v>
      </c>
      <c r="Q95" s="1577">
        <f t="shared" si="58"/>
        <v>6.9060280523930193E-2</v>
      </c>
      <c r="R95" s="1580">
        <f t="shared" si="44"/>
        <v>5.7284780045027336E-2</v>
      </c>
      <c r="S95" s="219"/>
      <c r="T95" s="435">
        <v>24989</v>
      </c>
      <c r="U95" s="436">
        <v>889</v>
      </c>
      <c r="V95" s="437">
        <v>25428</v>
      </c>
      <c r="W95" s="438">
        <v>1281</v>
      </c>
      <c r="X95" s="437">
        <v>26054</v>
      </c>
      <c r="Y95" s="438">
        <v>1576</v>
      </c>
      <c r="Z95" s="437">
        <v>26314</v>
      </c>
      <c r="AA95" s="438">
        <v>1419</v>
      </c>
      <c r="AB95" s="437">
        <v>25992</v>
      </c>
      <c r="AC95" s="438">
        <v>1233</v>
      </c>
      <c r="AD95" s="437">
        <v>26094</v>
      </c>
      <c r="AE95" s="438">
        <v>1163</v>
      </c>
      <c r="AF95" s="437">
        <v>26406</v>
      </c>
      <c r="AG95" s="438">
        <v>1083</v>
      </c>
      <c r="AH95" s="437">
        <v>26611</v>
      </c>
      <c r="AI95" s="438">
        <v>1217</v>
      </c>
      <c r="AJ95" s="437">
        <v>27544</v>
      </c>
      <c r="AK95" s="438">
        <v>1357</v>
      </c>
      <c r="AL95" s="439">
        <v>27093</v>
      </c>
      <c r="AM95" s="438">
        <v>2389</v>
      </c>
      <c r="AN95" s="437">
        <v>27568</v>
      </c>
      <c r="AO95" s="438">
        <v>2421</v>
      </c>
      <c r="AP95" s="440">
        <v>28095</v>
      </c>
      <c r="AQ95" s="441">
        <v>2241</v>
      </c>
      <c r="AR95" s="442">
        <v>28002</v>
      </c>
      <c r="AS95" s="443">
        <v>1978</v>
      </c>
      <c r="AT95" s="442">
        <v>28019</v>
      </c>
      <c r="AU95" s="1586">
        <v>1935</v>
      </c>
      <c r="AV95" s="1589">
        <v>27983</v>
      </c>
      <c r="AW95" s="1590">
        <v>1603</v>
      </c>
    </row>
    <row r="96" spans="1:49" ht="15" customHeight="1" x14ac:dyDescent="0.25">
      <c r="A96" s="428" t="s">
        <v>236</v>
      </c>
      <c r="B96" s="444" t="s">
        <v>237</v>
      </c>
      <c r="C96" s="190" t="s">
        <v>266</v>
      </c>
      <c r="D96" s="430">
        <f t="shared" si="45"/>
        <v>3.52232552049234E-2</v>
      </c>
      <c r="E96" s="431">
        <f t="shared" si="46"/>
        <v>4.0816326530612242E-2</v>
      </c>
      <c r="F96" s="432">
        <f t="shared" si="47"/>
        <v>7.4484030900495796E-2</v>
      </c>
      <c r="G96" s="432">
        <f t="shared" si="48"/>
        <v>4.8003918687239772E-2</v>
      </c>
      <c r="H96" s="432">
        <f t="shared" si="49"/>
        <v>4.5836996106994848E-2</v>
      </c>
      <c r="I96" s="432">
        <f t="shared" si="50"/>
        <v>4.5075943165115137E-2</v>
      </c>
      <c r="J96" s="432">
        <f t="shared" si="51"/>
        <v>3.8819687991292783E-2</v>
      </c>
      <c r="K96" s="432">
        <f t="shared" si="52"/>
        <v>4.2306297594584791E-2</v>
      </c>
      <c r="L96" s="432">
        <f t="shared" si="53"/>
        <v>5.0528921899617378E-2</v>
      </c>
      <c r="M96" s="432">
        <f t="shared" si="54"/>
        <v>7.8912901113294034E-2</v>
      </c>
      <c r="N96" s="432">
        <f t="shared" si="55"/>
        <v>8.2327971403038422E-2</v>
      </c>
      <c r="O96" s="433">
        <f t="shared" si="56"/>
        <v>7.5953529153879873E-2</v>
      </c>
      <c r="P96" s="434">
        <f t="shared" si="57"/>
        <v>7.4484030900495796E-2</v>
      </c>
      <c r="Q96" s="1577">
        <f t="shared" si="58"/>
        <v>7.0226014760147601E-2</v>
      </c>
      <c r="R96" s="1580">
        <f t="shared" si="44"/>
        <v>6.3264631323707701E-2</v>
      </c>
      <c r="S96" s="219"/>
      <c r="T96" s="435">
        <v>7637</v>
      </c>
      <c r="U96" s="436">
        <v>269</v>
      </c>
      <c r="V96" s="437">
        <v>7644</v>
      </c>
      <c r="W96" s="438">
        <v>312</v>
      </c>
      <c r="X96" s="437">
        <v>7913</v>
      </c>
      <c r="Y96" s="438">
        <v>374</v>
      </c>
      <c r="Z96" s="437">
        <v>8166</v>
      </c>
      <c r="AA96" s="438">
        <v>392</v>
      </c>
      <c r="AB96" s="437">
        <v>7963</v>
      </c>
      <c r="AC96" s="438">
        <v>365</v>
      </c>
      <c r="AD96" s="437">
        <v>8164</v>
      </c>
      <c r="AE96" s="438">
        <v>368</v>
      </c>
      <c r="AF96" s="437">
        <v>8269</v>
      </c>
      <c r="AG96" s="438">
        <v>321</v>
      </c>
      <c r="AH96" s="437">
        <v>8273</v>
      </c>
      <c r="AI96" s="438">
        <v>350</v>
      </c>
      <c r="AJ96" s="437">
        <v>8886</v>
      </c>
      <c r="AK96" s="438">
        <v>449</v>
      </c>
      <c r="AL96" s="439">
        <v>9162</v>
      </c>
      <c r="AM96" s="438">
        <v>723</v>
      </c>
      <c r="AN96" s="437">
        <v>8952</v>
      </c>
      <c r="AO96" s="438">
        <v>737</v>
      </c>
      <c r="AP96" s="440">
        <v>9124</v>
      </c>
      <c r="AQ96" s="441">
        <v>693</v>
      </c>
      <c r="AR96" s="442">
        <v>8673</v>
      </c>
      <c r="AS96" s="443">
        <v>646</v>
      </c>
      <c r="AT96" s="442">
        <v>8672</v>
      </c>
      <c r="AU96" s="1586">
        <v>609</v>
      </c>
      <c r="AV96" s="1589">
        <v>9073</v>
      </c>
      <c r="AW96" s="1590">
        <v>574</v>
      </c>
    </row>
    <row r="97" spans="1:49" ht="15" customHeight="1" x14ac:dyDescent="0.25">
      <c r="A97" s="428" t="s">
        <v>242</v>
      </c>
      <c r="B97" s="444" t="s">
        <v>243</v>
      </c>
      <c r="C97" s="190" t="s">
        <v>268</v>
      </c>
      <c r="D97" s="430">
        <f t="shared" si="45"/>
        <v>4.1928851784935516E-2</v>
      </c>
      <c r="E97" s="431">
        <f t="shared" si="46"/>
        <v>4.6936274509803921E-2</v>
      </c>
      <c r="F97" s="432">
        <f t="shared" si="47"/>
        <v>7.8970718722271516E-2</v>
      </c>
      <c r="G97" s="432">
        <f t="shared" si="48"/>
        <v>5.7373298249628189E-2</v>
      </c>
      <c r="H97" s="432">
        <f t="shared" si="49"/>
        <v>5.1327019759148836E-2</v>
      </c>
      <c r="I97" s="432">
        <f t="shared" si="50"/>
        <v>4.710562730627306E-2</v>
      </c>
      <c r="J97" s="432">
        <f t="shared" si="51"/>
        <v>4.4518963922294173E-2</v>
      </c>
      <c r="K97" s="432">
        <f t="shared" si="52"/>
        <v>3.9661524291964081E-2</v>
      </c>
      <c r="L97" s="432">
        <f t="shared" si="53"/>
        <v>4.6119048932531582E-2</v>
      </c>
      <c r="M97" s="432">
        <f t="shared" si="54"/>
        <v>6.8625436613930557E-2</v>
      </c>
      <c r="N97" s="432">
        <f t="shared" si="55"/>
        <v>7.5056900475894889E-2</v>
      </c>
      <c r="O97" s="433">
        <f t="shared" si="56"/>
        <v>6.7557950386335913E-2</v>
      </c>
      <c r="P97" s="434">
        <f t="shared" si="57"/>
        <v>7.8970718722271516E-2</v>
      </c>
      <c r="Q97" s="1577">
        <f t="shared" si="58"/>
        <v>8.7724278900749492E-2</v>
      </c>
      <c r="R97" s="1580">
        <f t="shared" si="44"/>
        <v>9.372181755116199E-2</v>
      </c>
      <c r="S97" s="219"/>
      <c r="T97" s="435">
        <v>16051</v>
      </c>
      <c r="U97" s="436">
        <v>673</v>
      </c>
      <c r="V97" s="437">
        <v>16320</v>
      </c>
      <c r="W97" s="438">
        <v>766</v>
      </c>
      <c r="X97" s="437">
        <v>16998</v>
      </c>
      <c r="Y97" s="438">
        <v>1000</v>
      </c>
      <c r="Z97" s="437">
        <v>17482</v>
      </c>
      <c r="AA97" s="438">
        <v>1003</v>
      </c>
      <c r="AB97" s="437">
        <v>17106</v>
      </c>
      <c r="AC97" s="438">
        <v>878</v>
      </c>
      <c r="AD97" s="437">
        <v>17344</v>
      </c>
      <c r="AE97" s="438">
        <v>817</v>
      </c>
      <c r="AF97" s="437">
        <v>17296</v>
      </c>
      <c r="AG97" s="438">
        <v>770</v>
      </c>
      <c r="AH97" s="437">
        <v>17372</v>
      </c>
      <c r="AI97" s="438">
        <v>689</v>
      </c>
      <c r="AJ97" s="437">
        <v>18127</v>
      </c>
      <c r="AK97" s="438">
        <v>836</v>
      </c>
      <c r="AL97" s="439">
        <v>19468</v>
      </c>
      <c r="AM97" s="438">
        <v>1336</v>
      </c>
      <c r="AN97" s="437">
        <v>19332</v>
      </c>
      <c r="AO97" s="438">
        <v>1451</v>
      </c>
      <c r="AP97" s="440">
        <v>19672</v>
      </c>
      <c r="AQ97" s="441">
        <v>1329</v>
      </c>
      <c r="AR97" s="442">
        <v>18032</v>
      </c>
      <c r="AS97" s="443">
        <v>1424</v>
      </c>
      <c r="AT97" s="442">
        <v>17612</v>
      </c>
      <c r="AU97" s="1586">
        <v>1545</v>
      </c>
      <c r="AV97" s="1589">
        <v>14415</v>
      </c>
      <c r="AW97" s="1590">
        <v>1351</v>
      </c>
    </row>
    <row r="98" spans="1:49" ht="15" customHeight="1" x14ac:dyDescent="0.25">
      <c r="A98" s="428" t="s">
        <v>244</v>
      </c>
      <c r="B98" s="444" t="s">
        <v>245</v>
      </c>
      <c r="C98" s="190" t="s">
        <v>268</v>
      </c>
      <c r="D98" s="430">
        <f t="shared" si="45"/>
        <v>4.3058121358533465E-2</v>
      </c>
      <c r="E98" s="431">
        <f t="shared" si="46"/>
        <v>6.7896471908536163E-2</v>
      </c>
      <c r="F98" s="432">
        <f t="shared" si="47"/>
        <v>6.9371035940803377E-2</v>
      </c>
      <c r="G98" s="432">
        <f t="shared" si="48"/>
        <v>5.2613941018766756E-2</v>
      </c>
      <c r="H98" s="432">
        <f t="shared" si="49"/>
        <v>4.7149942251511652E-2</v>
      </c>
      <c r="I98" s="432">
        <f t="shared" si="50"/>
        <v>4.2900783636605128E-2</v>
      </c>
      <c r="J98" s="432">
        <f t="shared" si="51"/>
        <v>4.0599999999999997E-2</v>
      </c>
      <c r="K98" s="432">
        <f t="shared" si="52"/>
        <v>4.4997078111810924E-2</v>
      </c>
      <c r="L98" s="432">
        <f t="shared" si="53"/>
        <v>5.359347987157323E-2</v>
      </c>
      <c r="M98" s="432">
        <f t="shared" si="54"/>
        <v>0.10856102003642987</v>
      </c>
      <c r="N98" s="432">
        <f t="shared" si="55"/>
        <v>0.10053380782918149</v>
      </c>
      <c r="O98" s="433">
        <f t="shared" si="56"/>
        <v>8.143569040560146E-2</v>
      </c>
      <c r="P98" s="434">
        <f t="shared" si="57"/>
        <v>6.9371035940803377E-2</v>
      </c>
      <c r="Q98" s="1577">
        <f t="shared" si="58"/>
        <v>7.0217276099629036E-2</v>
      </c>
      <c r="R98" s="1580">
        <f t="shared" si="44"/>
        <v>6.3857421170358614E-2</v>
      </c>
      <c r="S98" s="219"/>
      <c r="T98" s="435">
        <v>14074</v>
      </c>
      <c r="U98" s="436">
        <v>606</v>
      </c>
      <c r="V98" s="437">
        <v>14257</v>
      </c>
      <c r="W98" s="438">
        <v>968</v>
      </c>
      <c r="X98" s="437">
        <v>14401</v>
      </c>
      <c r="Y98" s="438">
        <v>899</v>
      </c>
      <c r="Z98" s="437">
        <v>14920</v>
      </c>
      <c r="AA98" s="438">
        <v>785</v>
      </c>
      <c r="AB98" s="437">
        <v>14719</v>
      </c>
      <c r="AC98" s="438">
        <v>694</v>
      </c>
      <c r="AD98" s="437">
        <v>15058</v>
      </c>
      <c r="AE98" s="438">
        <v>646</v>
      </c>
      <c r="AF98" s="437">
        <v>15000</v>
      </c>
      <c r="AG98" s="438">
        <v>609</v>
      </c>
      <c r="AH98" s="437">
        <v>15401</v>
      </c>
      <c r="AI98" s="438">
        <v>693</v>
      </c>
      <c r="AJ98" s="437">
        <v>16196</v>
      </c>
      <c r="AK98" s="438">
        <v>868</v>
      </c>
      <c r="AL98" s="439">
        <v>16470</v>
      </c>
      <c r="AM98" s="438">
        <v>1788</v>
      </c>
      <c r="AN98" s="437">
        <v>15736</v>
      </c>
      <c r="AO98" s="438">
        <v>1582</v>
      </c>
      <c r="AP98" s="440">
        <v>15853</v>
      </c>
      <c r="AQ98" s="441">
        <v>1291</v>
      </c>
      <c r="AR98" s="442">
        <v>15136</v>
      </c>
      <c r="AS98" s="443">
        <v>1050</v>
      </c>
      <c r="AT98" s="442">
        <v>15096</v>
      </c>
      <c r="AU98" s="1586">
        <v>1060</v>
      </c>
      <c r="AV98" s="1589">
        <v>13859</v>
      </c>
      <c r="AW98" s="1590">
        <v>885</v>
      </c>
    </row>
    <row r="99" spans="1:49" ht="15" customHeight="1" x14ac:dyDescent="0.25">
      <c r="A99" s="428" t="s">
        <v>246</v>
      </c>
      <c r="B99" s="444" t="s">
        <v>247</v>
      </c>
      <c r="C99" s="190" t="s">
        <v>264</v>
      </c>
      <c r="D99" s="430">
        <f t="shared" si="45"/>
        <v>1.9172770357604479E-2</v>
      </c>
      <c r="E99" s="431">
        <f t="shared" si="46"/>
        <v>2.455807331830585E-2</v>
      </c>
      <c r="F99" s="432">
        <f t="shared" si="47"/>
        <v>5.4214443773888552E-2</v>
      </c>
      <c r="G99" s="432">
        <f t="shared" si="48"/>
        <v>3.1530520646319567E-2</v>
      </c>
      <c r="H99" s="432">
        <f t="shared" si="49"/>
        <v>2.9931821961088633E-2</v>
      </c>
      <c r="I99" s="432">
        <f t="shared" si="50"/>
        <v>2.9768348127300281E-2</v>
      </c>
      <c r="J99" s="432">
        <f t="shared" si="51"/>
        <v>2.600213789417424E-2</v>
      </c>
      <c r="K99" s="432">
        <f t="shared" si="52"/>
        <v>2.4632531093522855E-2</v>
      </c>
      <c r="L99" s="432">
        <f t="shared" si="53"/>
        <v>3.2568115021050122E-2</v>
      </c>
      <c r="M99" s="432">
        <f t="shared" si="54"/>
        <v>5.4853469876892907E-2</v>
      </c>
      <c r="N99" s="432">
        <f t="shared" si="55"/>
        <v>5.9112048590815522E-2</v>
      </c>
      <c r="O99" s="433">
        <f t="shared" si="56"/>
        <v>5.9293870717873114E-2</v>
      </c>
      <c r="P99" s="463">
        <f t="shared" si="57"/>
        <v>5.4214443773888552E-2</v>
      </c>
      <c r="Q99" s="1577">
        <f t="shared" si="58"/>
        <v>5.058482455263421E-2</v>
      </c>
      <c r="R99" s="1580">
        <f t="shared" si="44"/>
        <v>4.9320570668474999E-2</v>
      </c>
      <c r="S99" s="219"/>
      <c r="T99" s="445">
        <v>32494</v>
      </c>
      <c r="U99" s="446">
        <v>623</v>
      </c>
      <c r="V99" s="1517">
        <v>33716</v>
      </c>
      <c r="W99" s="1518">
        <v>828</v>
      </c>
      <c r="X99" s="1517">
        <v>35072</v>
      </c>
      <c r="Y99" s="1518">
        <v>1056</v>
      </c>
      <c r="Z99" s="1517">
        <v>35648</v>
      </c>
      <c r="AA99" s="1518">
        <v>1124</v>
      </c>
      <c r="AB99" s="1517">
        <v>36082</v>
      </c>
      <c r="AC99" s="1518">
        <v>1080</v>
      </c>
      <c r="AD99" s="1517">
        <v>36952</v>
      </c>
      <c r="AE99" s="1518">
        <v>1100</v>
      </c>
      <c r="AF99" s="1517">
        <v>37420</v>
      </c>
      <c r="AG99" s="1518">
        <v>973</v>
      </c>
      <c r="AH99" s="1517">
        <v>37146</v>
      </c>
      <c r="AI99" s="1518">
        <v>915</v>
      </c>
      <c r="AJ99" s="1517">
        <v>37767</v>
      </c>
      <c r="AK99" s="1518">
        <v>1230</v>
      </c>
      <c r="AL99" s="1519">
        <v>36716</v>
      </c>
      <c r="AM99" s="1518">
        <v>2014</v>
      </c>
      <c r="AN99" s="1517">
        <v>39349</v>
      </c>
      <c r="AO99" s="1518">
        <v>2326</v>
      </c>
      <c r="AP99" s="440">
        <v>40021</v>
      </c>
      <c r="AQ99" s="441">
        <v>2373</v>
      </c>
      <c r="AR99" s="442">
        <v>39768</v>
      </c>
      <c r="AS99" s="443">
        <v>2156</v>
      </c>
      <c r="AT99" s="442">
        <v>40012</v>
      </c>
      <c r="AU99" s="1586">
        <v>2024</v>
      </c>
      <c r="AV99" s="1589">
        <v>38341</v>
      </c>
      <c r="AW99" s="1590">
        <v>1891</v>
      </c>
    </row>
    <row r="100" spans="1:49" ht="15" customHeight="1" x14ac:dyDescent="0.25">
      <c r="A100" s="428" t="s">
        <v>14</v>
      </c>
      <c r="B100" s="444" t="s">
        <v>15</v>
      </c>
      <c r="C100" s="190" t="s">
        <v>267</v>
      </c>
      <c r="D100" s="430">
        <f t="shared" si="45"/>
        <v>1.7673817395411271E-2</v>
      </c>
      <c r="E100" s="431">
        <f t="shared" si="46"/>
        <v>2.697317442160806E-2</v>
      </c>
      <c r="F100" s="432">
        <f t="shared" si="47"/>
        <v>4.2135702889558591E-2</v>
      </c>
      <c r="G100" s="432">
        <f t="shared" si="48"/>
        <v>2.986396104284569E-2</v>
      </c>
      <c r="H100" s="432">
        <f t="shared" si="49"/>
        <v>2.6632393159383545E-2</v>
      </c>
      <c r="I100" s="432">
        <f t="shared" si="50"/>
        <v>2.5650945497602551E-2</v>
      </c>
      <c r="J100" s="432">
        <f t="shared" si="51"/>
        <v>2.1999884997987464E-2</v>
      </c>
      <c r="K100" s="432">
        <f t="shared" si="52"/>
        <v>2.244061324198349E-2</v>
      </c>
      <c r="L100" s="432">
        <f t="shared" si="53"/>
        <v>2.7634610233056522E-2</v>
      </c>
      <c r="M100" s="432">
        <f t="shared" si="54"/>
        <v>4.9902245706737118E-2</v>
      </c>
      <c r="N100" s="432">
        <f t="shared" si="55"/>
        <v>5.1356855207761301E-2</v>
      </c>
      <c r="O100" s="433">
        <f t="shared" si="56"/>
        <v>4.6206160821442861E-2</v>
      </c>
      <c r="P100" s="434">
        <f t="shared" si="57"/>
        <v>4.2135702889558591E-2</v>
      </c>
      <c r="Q100" s="1577">
        <f t="shared" si="58"/>
        <v>4.1020004396570678E-2</v>
      </c>
      <c r="R100" s="1580">
        <f t="shared" ref="R100:R124" si="59">AW100/AV100</f>
        <v>3.7448651402732222E-2</v>
      </c>
      <c r="S100" s="219"/>
      <c r="T100" s="435">
        <v>80458</v>
      </c>
      <c r="U100" s="436">
        <v>1422</v>
      </c>
      <c r="V100" s="437">
        <v>81303</v>
      </c>
      <c r="W100" s="438">
        <v>2193</v>
      </c>
      <c r="X100" s="437">
        <v>83557</v>
      </c>
      <c r="Y100" s="438">
        <v>2858</v>
      </c>
      <c r="Z100" s="437">
        <v>83579</v>
      </c>
      <c r="AA100" s="438">
        <v>2496</v>
      </c>
      <c r="AB100" s="437">
        <v>85197</v>
      </c>
      <c r="AC100" s="438">
        <v>2269</v>
      </c>
      <c r="AD100" s="437">
        <v>85299</v>
      </c>
      <c r="AE100" s="438">
        <v>2188</v>
      </c>
      <c r="AF100" s="437">
        <v>86955</v>
      </c>
      <c r="AG100" s="438">
        <v>1913</v>
      </c>
      <c r="AH100" s="437">
        <v>89035</v>
      </c>
      <c r="AI100" s="438">
        <v>1998</v>
      </c>
      <c r="AJ100" s="437">
        <v>93325</v>
      </c>
      <c r="AK100" s="438">
        <v>2579</v>
      </c>
      <c r="AL100" s="439">
        <v>94625</v>
      </c>
      <c r="AM100" s="438">
        <v>4722</v>
      </c>
      <c r="AN100" s="437">
        <v>87408</v>
      </c>
      <c r="AO100" s="438">
        <v>4489</v>
      </c>
      <c r="AP100" s="440">
        <v>89988</v>
      </c>
      <c r="AQ100" s="441">
        <v>4158</v>
      </c>
      <c r="AR100" s="442">
        <v>90256</v>
      </c>
      <c r="AS100" s="443">
        <v>3803</v>
      </c>
      <c r="AT100" s="442">
        <v>90980</v>
      </c>
      <c r="AU100" s="1586">
        <v>3732</v>
      </c>
      <c r="AV100" s="1589">
        <v>94209</v>
      </c>
      <c r="AW100" s="1590">
        <v>3528</v>
      </c>
    </row>
    <row r="101" spans="1:49" ht="15" customHeight="1" x14ac:dyDescent="0.25">
      <c r="A101" s="428" t="s">
        <v>34</v>
      </c>
      <c r="B101" s="444" t="s">
        <v>35</v>
      </c>
      <c r="C101" s="190" t="s">
        <v>268</v>
      </c>
      <c r="D101" s="430">
        <f t="shared" ref="D101:D124" si="60">U101/T101</f>
        <v>3.1735404392072841E-2</v>
      </c>
      <c r="E101" s="431">
        <f t="shared" ref="E101:E124" si="61">W101/V101</f>
        <v>4.1694242223692918E-2</v>
      </c>
      <c r="F101" s="432">
        <f t="shared" ref="F101:F124" si="62">AS101/AR101</f>
        <v>7.7998252839136403E-2</v>
      </c>
      <c r="G101" s="432">
        <f t="shared" ref="G101:G124" si="63">AA101/Z101</f>
        <v>6.1846580173825418E-2</v>
      </c>
      <c r="H101" s="432">
        <f t="shared" ref="H101:H124" si="64">AC101/AB101</f>
        <v>6.0633137605310188E-2</v>
      </c>
      <c r="I101" s="432">
        <f t="shared" ref="I101:I124" si="65">AE101/AD101</f>
        <v>5.4085303186022608E-2</v>
      </c>
      <c r="J101" s="432">
        <f t="shared" ref="J101:J124" si="66">AG101/AF101</f>
        <v>4.7960725075528704E-2</v>
      </c>
      <c r="K101" s="432">
        <f t="shared" ref="K101:K124" si="67">AI101/AH101</f>
        <v>5.1715438950554998E-2</v>
      </c>
      <c r="L101" s="432">
        <f t="shared" ref="L101:L124" si="68">AK101/AJ101</f>
        <v>5.777064559930873E-2</v>
      </c>
      <c r="M101" s="432">
        <f t="shared" ref="M101:M124" si="69">AM101/AL101</f>
        <v>0.1033214854761613</v>
      </c>
      <c r="N101" s="432">
        <f t="shared" ref="N101:N124" si="70">AO101/AN101</f>
        <v>9.9006211180124218E-2</v>
      </c>
      <c r="O101" s="433">
        <f t="shared" ref="O101:O124" si="71">AQ101/AP101</f>
        <v>9.6801653897604284E-2</v>
      </c>
      <c r="P101" s="434">
        <f t="shared" ref="P101:P124" si="72">AS101/AR101</f>
        <v>7.7998252839136403E-2</v>
      </c>
      <c r="Q101" s="1577">
        <f t="shared" ref="Q101:Q124" si="73">AU101/AT101</f>
        <v>7.8177517739325283E-2</v>
      </c>
      <c r="R101" s="1580">
        <f t="shared" si="59"/>
        <v>6.3786531130876747E-2</v>
      </c>
      <c r="S101" s="219"/>
      <c r="T101" s="435">
        <v>7468</v>
      </c>
      <c r="U101" s="436">
        <v>237</v>
      </c>
      <c r="V101" s="437">
        <v>7555</v>
      </c>
      <c r="W101" s="438">
        <v>315</v>
      </c>
      <c r="X101" s="437">
        <v>7609</v>
      </c>
      <c r="Y101" s="438">
        <v>377</v>
      </c>
      <c r="Z101" s="437">
        <v>7939</v>
      </c>
      <c r="AA101" s="438">
        <v>491</v>
      </c>
      <c r="AB101" s="437">
        <v>7834</v>
      </c>
      <c r="AC101" s="438">
        <v>475</v>
      </c>
      <c r="AD101" s="437">
        <v>7784</v>
      </c>
      <c r="AE101" s="438">
        <v>421</v>
      </c>
      <c r="AF101" s="437">
        <v>7944</v>
      </c>
      <c r="AG101" s="438">
        <v>381</v>
      </c>
      <c r="AH101" s="437">
        <v>7928</v>
      </c>
      <c r="AI101" s="438">
        <v>410</v>
      </c>
      <c r="AJ101" s="437">
        <v>8101</v>
      </c>
      <c r="AK101" s="438">
        <v>468</v>
      </c>
      <c r="AL101" s="439">
        <v>8159</v>
      </c>
      <c r="AM101" s="438">
        <v>843</v>
      </c>
      <c r="AN101" s="437">
        <v>8050</v>
      </c>
      <c r="AO101" s="438">
        <v>797</v>
      </c>
      <c r="AP101" s="440">
        <v>8223</v>
      </c>
      <c r="AQ101" s="441">
        <v>796</v>
      </c>
      <c r="AR101" s="442">
        <v>8013</v>
      </c>
      <c r="AS101" s="443">
        <v>625</v>
      </c>
      <c r="AT101" s="442">
        <v>8033</v>
      </c>
      <c r="AU101" s="1586">
        <v>628</v>
      </c>
      <c r="AV101" s="1589">
        <v>7870</v>
      </c>
      <c r="AW101" s="1590">
        <v>502</v>
      </c>
    </row>
    <row r="102" spans="1:49" ht="15" customHeight="1" x14ac:dyDescent="0.25">
      <c r="A102" s="428" t="s">
        <v>52</v>
      </c>
      <c r="B102" s="444" t="s">
        <v>53</v>
      </c>
      <c r="C102" s="190" t="s">
        <v>265</v>
      </c>
      <c r="D102" s="430">
        <f t="shared" si="60"/>
        <v>2.9387331256490134E-2</v>
      </c>
      <c r="E102" s="431">
        <f t="shared" si="61"/>
        <v>3.5909568874868562E-2</v>
      </c>
      <c r="F102" s="432">
        <f t="shared" si="62"/>
        <v>5.2534354584365846E-2</v>
      </c>
      <c r="G102" s="432">
        <f t="shared" si="63"/>
        <v>4.1420720537349888E-2</v>
      </c>
      <c r="H102" s="432">
        <f t="shared" si="64"/>
        <v>4.0241145440844006E-2</v>
      </c>
      <c r="I102" s="432">
        <f t="shared" si="65"/>
        <v>3.764682260817187E-2</v>
      </c>
      <c r="J102" s="432">
        <f t="shared" si="66"/>
        <v>3.195967110415035E-2</v>
      </c>
      <c r="K102" s="432">
        <f t="shared" si="67"/>
        <v>3.0791788856304986E-2</v>
      </c>
      <c r="L102" s="432">
        <f t="shared" si="68"/>
        <v>3.8981336765652297E-2</v>
      </c>
      <c r="M102" s="432">
        <f t="shared" si="69"/>
        <v>6.7033976124885222E-2</v>
      </c>
      <c r="N102" s="432">
        <f t="shared" si="70"/>
        <v>6.4296174263225328E-2</v>
      </c>
      <c r="O102" s="433">
        <f t="shared" si="71"/>
        <v>6.0120149961606216E-2</v>
      </c>
      <c r="P102" s="434">
        <f t="shared" si="72"/>
        <v>5.2534354584365846E-2</v>
      </c>
      <c r="Q102" s="1577">
        <f t="shared" si="73"/>
        <v>4.8701880035810205E-2</v>
      </c>
      <c r="R102" s="1580">
        <f t="shared" si="59"/>
        <v>4.2769434995436818E-2</v>
      </c>
      <c r="S102" s="219"/>
      <c r="T102" s="435">
        <v>19260</v>
      </c>
      <c r="U102" s="436">
        <v>566</v>
      </c>
      <c r="V102" s="437">
        <v>19020</v>
      </c>
      <c r="W102" s="438">
        <v>683</v>
      </c>
      <c r="X102" s="437">
        <v>19740</v>
      </c>
      <c r="Y102" s="438">
        <v>763</v>
      </c>
      <c r="Z102" s="437">
        <v>19652</v>
      </c>
      <c r="AA102" s="438">
        <v>814</v>
      </c>
      <c r="AB102" s="437">
        <v>19905</v>
      </c>
      <c r="AC102" s="438">
        <v>801</v>
      </c>
      <c r="AD102" s="437">
        <v>19922</v>
      </c>
      <c r="AE102" s="438">
        <v>750</v>
      </c>
      <c r="AF102" s="437">
        <v>20432</v>
      </c>
      <c r="AG102" s="438">
        <v>653</v>
      </c>
      <c r="AH102" s="437">
        <v>21142</v>
      </c>
      <c r="AI102" s="438">
        <v>651</v>
      </c>
      <c r="AJ102" s="437">
        <v>21754</v>
      </c>
      <c r="AK102" s="438">
        <v>848</v>
      </c>
      <c r="AL102" s="439">
        <v>21780</v>
      </c>
      <c r="AM102" s="438">
        <v>1460</v>
      </c>
      <c r="AN102" s="437">
        <v>21852</v>
      </c>
      <c r="AO102" s="438">
        <v>1405</v>
      </c>
      <c r="AP102" s="440">
        <v>22139</v>
      </c>
      <c r="AQ102" s="441">
        <v>1331</v>
      </c>
      <c r="AR102" s="442">
        <v>22195</v>
      </c>
      <c r="AS102" s="443">
        <v>1166</v>
      </c>
      <c r="AT102" s="442">
        <v>22340</v>
      </c>
      <c r="AU102" s="1586">
        <v>1088</v>
      </c>
      <c r="AV102" s="1589">
        <v>24106</v>
      </c>
      <c r="AW102" s="1590">
        <v>1031</v>
      </c>
    </row>
    <row r="103" spans="1:49" ht="15" customHeight="1" x14ac:dyDescent="0.25">
      <c r="A103" s="428" t="s">
        <v>54</v>
      </c>
      <c r="B103" s="444" t="s">
        <v>55</v>
      </c>
      <c r="C103" s="190" t="s">
        <v>264</v>
      </c>
      <c r="D103" s="430">
        <f t="shared" si="60"/>
        <v>2.2726805923552487E-2</v>
      </c>
      <c r="E103" s="431">
        <f t="shared" si="61"/>
        <v>2.9324465180920235E-2</v>
      </c>
      <c r="F103" s="432">
        <f t="shared" si="62"/>
        <v>6.0685793317478788E-2</v>
      </c>
      <c r="G103" s="432">
        <f t="shared" si="63"/>
        <v>3.8424699983097638E-2</v>
      </c>
      <c r="H103" s="432">
        <f t="shared" si="64"/>
        <v>3.6383087670531437E-2</v>
      </c>
      <c r="I103" s="432">
        <f t="shared" si="65"/>
        <v>3.5573825921378109E-2</v>
      </c>
      <c r="J103" s="432">
        <f t="shared" si="66"/>
        <v>3.2200232625254704E-2</v>
      </c>
      <c r="K103" s="432">
        <f t="shared" si="67"/>
        <v>3.0347506635495947E-2</v>
      </c>
      <c r="L103" s="432">
        <f t="shared" si="68"/>
        <v>3.8573913341501655E-2</v>
      </c>
      <c r="M103" s="432">
        <f t="shared" si="69"/>
        <v>6.6089959393329401E-2</v>
      </c>
      <c r="N103" s="432">
        <f t="shared" si="70"/>
        <v>7.0252260828177052E-2</v>
      </c>
      <c r="O103" s="433">
        <f t="shared" si="71"/>
        <v>6.6218190466483196E-2</v>
      </c>
      <c r="P103" s="434">
        <f t="shared" si="72"/>
        <v>6.0685793317478788E-2</v>
      </c>
      <c r="Q103" s="1577">
        <f t="shared" si="73"/>
        <v>5.6573077052094863E-2</v>
      </c>
      <c r="R103" s="1580">
        <f t="shared" si="59"/>
        <v>5.2654168383463811E-2</v>
      </c>
      <c r="S103" s="219"/>
      <c r="T103" s="435">
        <v>97374</v>
      </c>
      <c r="U103" s="436">
        <v>2213</v>
      </c>
      <c r="V103" s="437">
        <v>100735</v>
      </c>
      <c r="W103" s="438">
        <v>2954</v>
      </c>
      <c r="X103" s="437">
        <v>103859</v>
      </c>
      <c r="Y103" s="438">
        <v>3817</v>
      </c>
      <c r="Z103" s="437">
        <v>106494</v>
      </c>
      <c r="AA103" s="438">
        <v>4092</v>
      </c>
      <c r="AB103" s="437">
        <v>109364</v>
      </c>
      <c r="AC103" s="438">
        <v>3979</v>
      </c>
      <c r="AD103" s="437">
        <v>112386</v>
      </c>
      <c r="AE103" s="438">
        <v>3998</v>
      </c>
      <c r="AF103" s="437">
        <v>114347</v>
      </c>
      <c r="AG103" s="438">
        <v>3682</v>
      </c>
      <c r="AH103" s="437">
        <v>113782</v>
      </c>
      <c r="AI103" s="438">
        <v>3453</v>
      </c>
      <c r="AJ103" s="437">
        <v>116711</v>
      </c>
      <c r="AK103" s="438">
        <v>4502</v>
      </c>
      <c r="AL103" s="439">
        <v>115252</v>
      </c>
      <c r="AM103" s="438">
        <v>7617</v>
      </c>
      <c r="AN103" s="437">
        <v>115555</v>
      </c>
      <c r="AO103" s="438">
        <v>8118</v>
      </c>
      <c r="AP103" s="440">
        <v>117732</v>
      </c>
      <c r="AQ103" s="441">
        <v>7796</v>
      </c>
      <c r="AR103" s="442">
        <v>118578</v>
      </c>
      <c r="AS103" s="443">
        <v>7196</v>
      </c>
      <c r="AT103" s="442">
        <v>119244</v>
      </c>
      <c r="AU103" s="1586">
        <v>6746</v>
      </c>
      <c r="AV103" s="1589">
        <v>116496</v>
      </c>
      <c r="AW103" s="1590">
        <v>6134</v>
      </c>
    </row>
    <row r="104" spans="1:49" ht="15" customHeight="1" x14ac:dyDescent="0.25">
      <c r="A104" s="428" t="s">
        <v>66</v>
      </c>
      <c r="B104" s="444" t="s">
        <v>67</v>
      </c>
      <c r="C104" s="190" t="s">
        <v>265</v>
      </c>
      <c r="D104" s="430">
        <f t="shared" si="60"/>
        <v>4.3566219713008704E-2</v>
      </c>
      <c r="E104" s="431">
        <f t="shared" si="61"/>
        <v>6.9532237673830599E-2</v>
      </c>
      <c r="F104" s="432">
        <f t="shared" si="62"/>
        <v>0.10283855396400651</v>
      </c>
      <c r="G104" s="432">
        <f t="shared" si="63"/>
        <v>9.4343049123762832E-2</v>
      </c>
      <c r="H104" s="432">
        <f t="shared" si="64"/>
        <v>9.1992621671475192E-2</v>
      </c>
      <c r="I104" s="432">
        <f t="shared" si="65"/>
        <v>0.10009986209520186</v>
      </c>
      <c r="J104" s="432">
        <f t="shared" si="66"/>
        <v>8.6327370038158477E-2</v>
      </c>
      <c r="K104" s="432">
        <f t="shared" si="67"/>
        <v>7.447621960544426E-2</v>
      </c>
      <c r="L104" s="432">
        <f t="shared" si="68"/>
        <v>9.2485262792886505E-2</v>
      </c>
      <c r="M104" s="432">
        <f t="shared" si="69"/>
        <v>0.13978335064549635</v>
      </c>
      <c r="N104" s="432">
        <f t="shared" si="70"/>
        <v>0.13678528379015775</v>
      </c>
      <c r="O104" s="433">
        <f t="shared" si="71"/>
        <v>0.11826957823550668</v>
      </c>
      <c r="P104" s="434">
        <f t="shared" si="72"/>
        <v>0.10283855396400651</v>
      </c>
      <c r="Q104" s="1577">
        <f t="shared" si="73"/>
        <v>9.5351672231939369E-2</v>
      </c>
      <c r="R104" s="1580">
        <f t="shared" si="59"/>
        <v>8.6740387541848429E-2</v>
      </c>
      <c r="S104" s="219"/>
      <c r="T104" s="435">
        <v>21255</v>
      </c>
      <c r="U104" s="436">
        <v>926</v>
      </c>
      <c r="V104" s="437">
        <v>21357</v>
      </c>
      <c r="W104" s="438">
        <v>1485</v>
      </c>
      <c r="X104" s="437">
        <v>21787</v>
      </c>
      <c r="Y104" s="438">
        <v>1873</v>
      </c>
      <c r="Z104" s="437">
        <v>22026</v>
      </c>
      <c r="AA104" s="438">
        <v>2078</v>
      </c>
      <c r="AB104" s="437">
        <v>21143</v>
      </c>
      <c r="AC104" s="438">
        <v>1945</v>
      </c>
      <c r="AD104" s="437">
        <v>21029</v>
      </c>
      <c r="AE104" s="438">
        <v>2105</v>
      </c>
      <c r="AF104" s="437">
        <v>20179</v>
      </c>
      <c r="AG104" s="438">
        <v>1742</v>
      </c>
      <c r="AH104" s="437">
        <v>19617</v>
      </c>
      <c r="AI104" s="438">
        <v>1461</v>
      </c>
      <c r="AJ104" s="437">
        <v>20187</v>
      </c>
      <c r="AK104" s="438">
        <v>1867</v>
      </c>
      <c r="AL104" s="439">
        <v>20217</v>
      </c>
      <c r="AM104" s="438">
        <v>2826</v>
      </c>
      <c r="AN104" s="437">
        <v>19081</v>
      </c>
      <c r="AO104" s="438">
        <v>2610</v>
      </c>
      <c r="AP104" s="440">
        <v>19371</v>
      </c>
      <c r="AQ104" s="441">
        <v>2291</v>
      </c>
      <c r="AR104" s="442">
        <v>19059</v>
      </c>
      <c r="AS104" s="443">
        <v>1960</v>
      </c>
      <c r="AT104" s="442">
        <v>18867</v>
      </c>
      <c r="AU104" s="1586">
        <v>1799</v>
      </c>
      <c r="AV104" s="1589">
        <v>19714</v>
      </c>
      <c r="AW104" s="1590">
        <v>1710</v>
      </c>
    </row>
    <row r="105" spans="1:49" ht="15" customHeight="1" x14ac:dyDescent="0.25">
      <c r="A105" s="428" t="s">
        <v>82</v>
      </c>
      <c r="B105" s="444" t="s">
        <v>311</v>
      </c>
      <c r="C105" s="190" t="s">
        <v>264</v>
      </c>
      <c r="D105" s="430">
        <f t="shared" si="60"/>
        <v>3.1567080045095827E-2</v>
      </c>
      <c r="E105" s="431">
        <f t="shared" si="61"/>
        <v>4.3576683644595361E-2</v>
      </c>
      <c r="F105" s="432">
        <f t="shared" si="62"/>
        <v>9.5124536301006896E-2</v>
      </c>
      <c r="G105" s="432">
        <f t="shared" si="63"/>
        <v>4.8734518039849219E-2</v>
      </c>
      <c r="H105" s="432">
        <f t="shared" si="64"/>
        <v>4.9175898405836263E-2</v>
      </c>
      <c r="I105" s="432">
        <f t="shared" si="65"/>
        <v>5.1240992794235385E-2</v>
      </c>
      <c r="J105" s="432">
        <f t="shared" si="66"/>
        <v>4.6829781636411473E-2</v>
      </c>
      <c r="K105" s="432">
        <f t="shared" si="67"/>
        <v>4.6350832266325227E-2</v>
      </c>
      <c r="L105" s="432">
        <f t="shared" si="68"/>
        <v>6.2689585439838214E-2</v>
      </c>
      <c r="M105" s="432">
        <f t="shared" si="69"/>
        <v>0.10474507824331146</v>
      </c>
      <c r="N105" s="432">
        <f t="shared" si="70"/>
        <v>0.11448166710630441</v>
      </c>
      <c r="O105" s="433">
        <f t="shared" si="71"/>
        <v>0.10585763068032572</v>
      </c>
      <c r="P105" s="434">
        <f t="shared" si="72"/>
        <v>9.5124536301006896E-2</v>
      </c>
      <c r="Q105" s="1577">
        <f t="shared" si="73"/>
        <v>8.6254107338444685E-2</v>
      </c>
      <c r="R105" s="1580">
        <f t="shared" si="59"/>
        <v>7.9005524861878451E-2</v>
      </c>
      <c r="S105" s="219"/>
      <c r="T105" s="435">
        <v>3548</v>
      </c>
      <c r="U105" s="436">
        <v>112</v>
      </c>
      <c r="V105" s="437">
        <v>3534</v>
      </c>
      <c r="W105" s="438">
        <v>154</v>
      </c>
      <c r="X105" s="437">
        <v>3551</v>
      </c>
      <c r="Y105" s="438">
        <v>170</v>
      </c>
      <c r="Z105" s="437">
        <v>3714</v>
      </c>
      <c r="AA105" s="438">
        <v>181</v>
      </c>
      <c r="AB105" s="437">
        <v>3701</v>
      </c>
      <c r="AC105" s="438">
        <v>182</v>
      </c>
      <c r="AD105" s="437">
        <v>3747</v>
      </c>
      <c r="AE105" s="438">
        <v>192</v>
      </c>
      <c r="AF105" s="437">
        <v>3801</v>
      </c>
      <c r="AG105" s="438">
        <v>178</v>
      </c>
      <c r="AH105" s="437">
        <v>3905</v>
      </c>
      <c r="AI105" s="438">
        <v>181</v>
      </c>
      <c r="AJ105" s="437">
        <v>3956</v>
      </c>
      <c r="AK105" s="438">
        <v>248</v>
      </c>
      <c r="AL105" s="439">
        <v>3962</v>
      </c>
      <c r="AM105" s="438">
        <v>415</v>
      </c>
      <c r="AN105" s="437">
        <v>3791</v>
      </c>
      <c r="AO105" s="438">
        <v>434</v>
      </c>
      <c r="AP105" s="440">
        <v>3807</v>
      </c>
      <c r="AQ105" s="441">
        <v>403</v>
      </c>
      <c r="AR105" s="442">
        <v>3774</v>
      </c>
      <c r="AS105" s="443">
        <v>359</v>
      </c>
      <c r="AT105" s="442">
        <v>3652</v>
      </c>
      <c r="AU105" s="1586">
        <v>315</v>
      </c>
      <c r="AV105" s="1589">
        <v>3620</v>
      </c>
      <c r="AW105" s="1590">
        <v>286</v>
      </c>
    </row>
    <row r="106" spans="1:49" ht="15" customHeight="1" x14ac:dyDescent="0.25">
      <c r="A106" s="428" t="s">
        <v>88</v>
      </c>
      <c r="B106" s="444" t="s">
        <v>89</v>
      </c>
      <c r="C106" s="190" t="s">
        <v>267</v>
      </c>
      <c r="D106" s="430">
        <f t="shared" si="60"/>
        <v>2.2900019489378289E-2</v>
      </c>
      <c r="E106" s="431">
        <f t="shared" si="61"/>
        <v>3.5592255125284737E-2</v>
      </c>
      <c r="F106" s="432">
        <f t="shared" si="62"/>
        <v>5.8394662631542749E-2</v>
      </c>
      <c r="G106" s="432">
        <f t="shared" si="63"/>
        <v>5.225409836065574E-2</v>
      </c>
      <c r="H106" s="432">
        <f t="shared" si="64"/>
        <v>4.7491757996970509E-2</v>
      </c>
      <c r="I106" s="432">
        <f t="shared" si="65"/>
        <v>4.409420931468036E-2</v>
      </c>
      <c r="J106" s="432">
        <f t="shared" si="66"/>
        <v>3.9286326985760851E-2</v>
      </c>
      <c r="K106" s="432">
        <f t="shared" si="67"/>
        <v>4.5189975747776882E-2</v>
      </c>
      <c r="L106" s="432">
        <f t="shared" si="68"/>
        <v>6.0472998998536323E-2</v>
      </c>
      <c r="M106" s="432">
        <f t="shared" si="69"/>
        <v>9.7046413502109699E-2</v>
      </c>
      <c r="N106" s="432">
        <f t="shared" si="70"/>
        <v>7.2269929325936622E-2</v>
      </c>
      <c r="O106" s="433">
        <f t="shared" si="71"/>
        <v>6.5869126549437884E-2</v>
      </c>
      <c r="P106" s="434">
        <f t="shared" si="72"/>
        <v>5.8394662631542749E-2</v>
      </c>
      <c r="Q106" s="1577">
        <f t="shared" si="73"/>
        <v>5.5574543714539612E-2</v>
      </c>
      <c r="R106" s="1580">
        <f t="shared" si="59"/>
        <v>5.9866801795280151E-2</v>
      </c>
      <c r="S106" s="219"/>
      <c r="T106" s="435">
        <v>10262</v>
      </c>
      <c r="U106" s="436">
        <v>235</v>
      </c>
      <c r="V106" s="437">
        <v>10536</v>
      </c>
      <c r="W106" s="438">
        <v>375</v>
      </c>
      <c r="X106" s="437">
        <v>10762</v>
      </c>
      <c r="Y106" s="438">
        <v>583</v>
      </c>
      <c r="Z106" s="437">
        <v>10736</v>
      </c>
      <c r="AA106" s="438">
        <v>561</v>
      </c>
      <c r="AB106" s="437">
        <v>11223</v>
      </c>
      <c r="AC106" s="438">
        <v>533</v>
      </c>
      <c r="AD106" s="437">
        <v>11294</v>
      </c>
      <c r="AE106" s="438">
        <v>498</v>
      </c>
      <c r="AF106" s="437">
        <v>11658</v>
      </c>
      <c r="AG106" s="438">
        <v>458</v>
      </c>
      <c r="AH106" s="437">
        <v>12370</v>
      </c>
      <c r="AI106" s="438">
        <v>559</v>
      </c>
      <c r="AJ106" s="437">
        <v>12981</v>
      </c>
      <c r="AK106" s="438">
        <v>785</v>
      </c>
      <c r="AL106" s="439">
        <v>13035</v>
      </c>
      <c r="AM106" s="438">
        <v>1265</v>
      </c>
      <c r="AN106" s="437">
        <v>13159</v>
      </c>
      <c r="AO106" s="438">
        <v>951</v>
      </c>
      <c r="AP106" s="440">
        <v>13876</v>
      </c>
      <c r="AQ106" s="441">
        <v>914</v>
      </c>
      <c r="AR106" s="442">
        <v>14539</v>
      </c>
      <c r="AS106" s="443">
        <v>849</v>
      </c>
      <c r="AT106" s="442">
        <v>14629</v>
      </c>
      <c r="AU106" s="1586">
        <v>813</v>
      </c>
      <c r="AV106" s="1589">
        <v>13814</v>
      </c>
      <c r="AW106" s="1590">
        <v>827</v>
      </c>
    </row>
    <row r="107" spans="1:49" ht="15" customHeight="1" x14ac:dyDescent="0.25">
      <c r="A107" s="428" t="s">
        <v>90</v>
      </c>
      <c r="B107" s="444" t="s">
        <v>91</v>
      </c>
      <c r="C107" s="190" t="s">
        <v>268</v>
      </c>
      <c r="D107" s="430">
        <f t="shared" si="60"/>
        <v>3.4703196347031964E-2</v>
      </c>
      <c r="E107" s="431">
        <f t="shared" si="61"/>
        <v>6.019539867633155E-2</v>
      </c>
      <c r="F107" s="432">
        <f t="shared" si="62"/>
        <v>8.7131367292225204E-2</v>
      </c>
      <c r="G107" s="432">
        <f t="shared" si="63"/>
        <v>6.3804052010886E-2</v>
      </c>
      <c r="H107" s="432">
        <f t="shared" si="64"/>
        <v>5.520702634880803E-2</v>
      </c>
      <c r="I107" s="432">
        <f t="shared" si="65"/>
        <v>5.0814956855225309E-2</v>
      </c>
      <c r="J107" s="432">
        <f t="shared" si="66"/>
        <v>6.025683240039513E-2</v>
      </c>
      <c r="K107" s="432">
        <f t="shared" si="67"/>
        <v>5.6913183279742763E-2</v>
      </c>
      <c r="L107" s="432">
        <f t="shared" si="68"/>
        <v>6.1263560944479899E-2</v>
      </c>
      <c r="M107" s="432">
        <f t="shared" si="69"/>
        <v>0.10040036957191253</v>
      </c>
      <c r="N107" s="432">
        <f t="shared" si="70"/>
        <v>0.11121524523586379</v>
      </c>
      <c r="O107" s="433">
        <f t="shared" si="71"/>
        <v>0.10094936708860759</v>
      </c>
      <c r="P107" s="434">
        <f t="shared" si="72"/>
        <v>8.7131367292225204E-2</v>
      </c>
      <c r="Q107" s="1577">
        <f t="shared" si="73"/>
        <v>8.5438829787234036E-2</v>
      </c>
      <c r="R107" s="1580">
        <f t="shared" si="59"/>
        <v>7.2048032021347561E-2</v>
      </c>
      <c r="S107" s="219"/>
      <c r="T107" s="435">
        <v>3285</v>
      </c>
      <c r="U107" s="436">
        <v>114</v>
      </c>
      <c r="V107" s="437">
        <v>3173</v>
      </c>
      <c r="W107" s="438">
        <v>191</v>
      </c>
      <c r="X107" s="437">
        <v>3284</v>
      </c>
      <c r="Y107" s="438">
        <v>263</v>
      </c>
      <c r="Z107" s="437">
        <v>3307</v>
      </c>
      <c r="AA107" s="438">
        <v>211</v>
      </c>
      <c r="AB107" s="437">
        <v>3188</v>
      </c>
      <c r="AC107" s="438">
        <v>176</v>
      </c>
      <c r="AD107" s="437">
        <v>3129</v>
      </c>
      <c r="AE107" s="438">
        <v>159</v>
      </c>
      <c r="AF107" s="437">
        <v>3037</v>
      </c>
      <c r="AG107" s="438">
        <v>183</v>
      </c>
      <c r="AH107" s="437">
        <v>3110</v>
      </c>
      <c r="AI107" s="438">
        <v>177</v>
      </c>
      <c r="AJ107" s="437">
        <v>3134</v>
      </c>
      <c r="AK107" s="438">
        <v>192</v>
      </c>
      <c r="AL107" s="439">
        <v>3247</v>
      </c>
      <c r="AM107" s="438">
        <v>326</v>
      </c>
      <c r="AN107" s="437">
        <v>3201</v>
      </c>
      <c r="AO107" s="438">
        <v>356</v>
      </c>
      <c r="AP107" s="440">
        <v>3160</v>
      </c>
      <c r="AQ107" s="441">
        <v>319</v>
      </c>
      <c r="AR107" s="442">
        <v>2984</v>
      </c>
      <c r="AS107" s="443">
        <v>260</v>
      </c>
      <c r="AT107" s="442">
        <v>3008</v>
      </c>
      <c r="AU107" s="1586">
        <v>257</v>
      </c>
      <c r="AV107" s="1589">
        <v>2998</v>
      </c>
      <c r="AW107" s="1590">
        <v>216</v>
      </c>
    </row>
    <row r="108" spans="1:49" ht="15" customHeight="1" x14ac:dyDescent="0.25">
      <c r="A108" s="428" t="s">
        <v>106</v>
      </c>
      <c r="B108" s="444" t="s">
        <v>107</v>
      </c>
      <c r="C108" s="190" t="s">
        <v>264</v>
      </c>
      <c r="D108" s="430">
        <f t="shared" si="60"/>
        <v>2.6882897535343425E-2</v>
      </c>
      <c r="E108" s="431">
        <f t="shared" si="61"/>
        <v>3.4860542378119447E-2</v>
      </c>
      <c r="F108" s="432">
        <f t="shared" si="62"/>
        <v>7.730294099203612E-2</v>
      </c>
      <c r="G108" s="432">
        <f t="shared" si="63"/>
        <v>4.8798437969360169E-2</v>
      </c>
      <c r="H108" s="432">
        <f t="shared" si="64"/>
        <v>4.6526670477451189E-2</v>
      </c>
      <c r="I108" s="432">
        <f t="shared" si="65"/>
        <v>4.445039895200667E-2</v>
      </c>
      <c r="J108" s="432">
        <f t="shared" si="66"/>
        <v>3.666627000654489E-2</v>
      </c>
      <c r="K108" s="432">
        <f t="shared" si="67"/>
        <v>3.5885097268272645E-2</v>
      </c>
      <c r="L108" s="432">
        <f t="shared" si="68"/>
        <v>4.750299237125593E-2</v>
      </c>
      <c r="M108" s="432">
        <f t="shared" si="69"/>
        <v>8.1161523425931414E-2</v>
      </c>
      <c r="N108" s="432">
        <f t="shared" si="70"/>
        <v>8.8086844434781264E-2</v>
      </c>
      <c r="O108" s="433">
        <f t="shared" si="71"/>
        <v>8.5893767881577307E-2</v>
      </c>
      <c r="P108" s="434">
        <f t="shared" si="72"/>
        <v>7.730294099203612E-2</v>
      </c>
      <c r="Q108" s="1577">
        <f t="shared" si="73"/>
        <v>6.9600738735072706E-2</v>
      </c>
      <c r="R108" s="1580">
        <f t="shared" si="59"/>
        <v>6.6941156808824204E-2</v>
      </c>
      <c r="S108" s="219"/>
      <c r="T108" s="435">
        <v>63944</v>
      </c>
      <c r="U108" s="436">
        <v>1719</v>
      </c>
      <c r="V108" s="437">
        <v>64715</v>
      </c>
      <c r="W108" s="438">
        <v>2256</v>
      </c>
      <c r="X108" s="437">
        <v>66173</v>
      </c>
      <c r="Y108" s="438">
        <v>3200</v>
      </c>
      <c r="Z108" s="437">
        <v>66580</v>
      </c>
      <c r="AA108" s="438">
        <v>3249</v>
      </c>
      <c r="AB108" s="437">
        <v>66478</v>
      </c>
      <c r="AC108" s="438">
        <v>3093</v>
      </c>
      <c r="AD108" s="437">
        <v>67176</v>
      </c>
      <c r="AE108" s="438">
        <v>2986</v>
      </c>
      <c r="AF108" s="437">
        <v>67228</v>
      </c>
      <c r="AG108" s="438">
        <v>2465</v>
      </c>
      <c r="AH108" s="437">
        <v>68162</v>
      </c>
      <c r="AI108" s="438">
        <v>2446</v>
      </c>
      <c r="AJ108" s="437">
        <v>69343</v>
      </c>
      <c r="AK108" s="438">
        <v>3294</v>
      </c>
      <c r="AL108" s="439">
        <v>67532</v>
      </c>
      <c r="AM108" s="438">
        <v>5481</v>
      </c>
      <c r="AN108" s="437">
        <v>64391</v>
      </c>
      <c r="AO108" s="438">
        <v>5672</v>
      </c>
      <c r="AP108" s="440">
        <v>64312</v>
      </c>
      <c r="AQ108" s="441">
        <v>5524</v>
      </c>
      <c r="AR108" s="442">
        <v>63788</v>
      </c>
      <c r="AS108" s="443">
        <v>4931</v>
      </c>
      <c r="AT108" s="442">
        <v>63893</v>
      </c>
      <c r="AU108" s="1586">
        <v>4447</v>
      </c>
      <c r="AV108" s="1589">
        <v>65819</v>
      </c>
      <c r="AW108" s="1590">
        <v>4406</v>
      </c>
    </row>
    <row r="109" spans="1:49" ht="15" customHeight="1" x14ac:dyDescent="0.25">
      <c r="A109" s="428" t="s">
        <v>116</v>
      </c>
      <c r="B109" s="444" t="s">
        <v>117</v>
      </c>
      <c r="C109" s="190" t="s">
        <v>266</v>
      </c>
      <c r="D109" s="430">
        <f t="shared" si="60"/>
        <v>2.8329766636094975E-2</v>
      </c>
      <c r="E109" s="431">
        <f t="shared" si="61"/>
        <v>4.6310278868418403E-2</v>
      </c>
      <c r="F109" s="432">
        <f t="shared" si="62"/>
        <v>8.3732057416267949E-2</v>
      </c>
      <c r="G109" s="432">
        <f t="shared" si="63"/>
        <v>6.3152709359605916E-2</v>
      </c>
      <c r="H109" s="432">
        <f t="shared" si="64"/>
        <v>5.4840294840294838E-2</v>
      </c>
      <c r="I109" s="432">
        <f t="shared" si="65"/>
        <v>5.6780808667053588E-2</v>
      </c>
      <c r="J109" s="432">
        <f t="shared" si="66"/>
        <v>4.619565217391304E-2</v>
      </c>
      <c r="K109" s="432">
        <f t="shared" si="67"/>
        <v>4.6981804178299801E-2</v>
      </c>
      <c r="L109" s="432">
        <f t="shared" si="68"/>
        <v>5.9793814432989693E-2</v>
      </c>
      <c r="M109" s="432">
        <f t="shared" si="69"/>
        <v>0.10801886792452831</v>
      </c>
      <c r="N109" s="432">
        <f t="shared" si="70"/>
        <v>0.10805230557467309</v>
      </c>
      <c r="O109" s="433">
        <f t="shared" si="71"/>
        <v>0.10347174948944861</v>
      </c>
      <c r="P109" s="434">
        <f t="shared" si="72"/>
        <v>8.3732057416267949E-2</v>
      </c>
      <c r="Q109" s="1577">
        <f t="shared" si="73"/>
        <v>8.5102201257861637E-2</v>
      </c>
      <c r="R109" s="1580">
        <f t="shared" si="59"/>
        <v>8.661740558292283E-2</v>
      </c>
      <c r="S109" s="219"/>
      <c r="T109" s="435">
        <v>9813</v>
      </c>
      <c r="U109" s="436">
        <v>278</v>
      </c>
      <c r="V109" s="437">
        <v>9933</v>
      </c>
      <c r="W109" s="438">
        <v>460</v>
      </c>
      <c r="X109" s="437">
        <v>10155</v>
      </c>
      <c r="Y109" s="438">
        <v>625</v>
      </c>
      <c r="Z109" s="437">
        <v>10150</v>
      </c>
      <c r="AA109" s="438">
        <v>641</v>
      </c>
      <c r="AB109" s="437">
        <v>10175</v>
      </c>
      <c r="AC109" s="438">
        <v>558</v>
      </c>
      <c r="AD109" s="437">
        <v>10338</v>
      </c>
      <c r="AE109" s="438">
        <v>587</v>
      </c>
      <c r="AF109" s="437">
        <v>10304</v>
      </c>
      <c r="AG109" s="438">
        <v>476</v>
      </c>
      <c r="AH109" s="437">
        <v>10387</v>
      </c>
      <c r="AI109" s="438">
        <v>488</v>
      </c>
      <c r="AJ109" s="437">
        <v>10670</v>
      </c>
      <c r="AK109" s="438">
        <v>638</v>
      </c>
      <c r="AL109" s="439">
        <v>10600</v>
      </c>
      <c r="AM109" s="438">
        <v>1145</v>
      </c>
      <c r="AN109" s="437">
        <v>10171</v>
      </c>
      <c r="AO109" s="438">
        <v>1099</v>
      </c>
      <c r="AP109" s="440">
        <v>10283</v>
      </c>
      <c r="AQ109" s="441">
        <v>1064</v>
      </c>
      <c r="AR109" s="442">
        <v>10032</v>
      </c>
      <c r="AS109" s="443">
        <v>840</v>
      </c>
      <c r="AT109" s="442">
        <v>10176</v>
      </c>
      <c r="AU109" s="1586">
        <v>866</v>
      </c>
      <c r="AV109" s="1589">
        <v>9744</v>
      </c>
      <c r="AW109" s="1590">
        <v>844</v>
      </c>
    </row>
    <row r="110" spans="1:49" ht="15" customHeight="1" x14ac:dyDescent="0.25">
      <c r="A110" s="428" t="s">
        <v>138</v>
      </c>
      <c r="B110" s="444" t="s">
        <v>139</v>
      </c>
      <c r="C110" s="190" t="s">
        <v>265</v>
      </c>
      <c r="D110" s="430">
        <f t="shared" si="60"/>
        <v>2.4182216267442241E-2</v>
      </c>
      <c r="E110" s="431">
        <f t="shared" si="61"/>
        <v>4.1346089516290895E-2</v>
      </c>
      <c r="F110" s="432">
        <f t="shared" si="62"/>
        <v>7.4948989855447304E-2</v>
      </c>
      <c r="G110" s="432">
        <f t="shared" si="63"/>
        <v>5.5768179332968834E-2</v>
      </c>
      <c r="H110" s="432">
        <f t="shared" si="64"/>
        <v>5.013676588897828E-2</v>
      </c>
      <c r="I110" s="432">
        <f t="shared" si="65"/>
        <v>4.5067107690350487E-2</v>
      </c>
      <c r="J110" s="432">
        <f t="shared" si="66"/>
        <v>3.6199236593454726E-2</v>
      </c>
      <c r="K110" s="432">
        <f t="shared" si="67"/>
        <v>3.7760105237981345E-2</v>
      </c>
      <c r="L110" s="432">
        <f t="shared" si="68"/>
        <v>4.7854644715516509E-2</v>
      </c>
      <c r="M110" s="432">
        <f t="shared" si="69"/>
        <v>8.356689355373792E-2</v>
      </c>
      <c r="N110" s="432">
        <f t="shared" si="70"/>
        <v>8.5977658444131758E-2</v>
      </c>
      <c r="O110" s="433">
        <f t="shared" si="71"/>
        <v>8.1041720209029389E-2</v>
      </c>
      <c r="P110" s="434">
        <f t="shared" si="72"/>
        <v>7.4948989855447304E-2</v>
      </c>
      <c r="Q110" s="1577">
        <f t="shared" si="73"/>
        <v>7.1050968223869443E-2</v>
      </c>
      <c r="R110" s="1580">
        <f t="shared" si="59"/>
        <v>6.3496036712557366E-2</v>
      </c>
      <c r="S110" s="219"/>
      <c r="T110" s="435">
        <v>30601</v>
      </c>
      <c r="U110" s="436">
        <v>740</v>
      </c>
      <c r="V110" s="437">
        <v>29894</v>
      </c>
      <c r="W110" s="438">
        <v>1236</v>
      </c>
      <c r="X110" s="437">
        <v>30473</v>
      </c>
      <c r="Y110" s="438">
        <v>1785</v>
      </c>
      <c r="Z110" s="437">
        <v>31093</v>
      </c>
      <c r="AA110" s="438">
        <v>1734</v>
      </c>
      <c r="AB110" s="437">
        <v>31075</v>
      </c>
      <c r="AC110" s="438">
        <v>1558</v>
      </c>
      <c r="AD110" s="437">
        <v>31442</v>
      </c>
      <c r="AE110" s="438">
        <v>1417</v>
      </c>
      <c r="AF110" s="437">
        <v>31962</v>
      </c>
      <c r="AG110" s="438">
        <v>1157</v>
      </c>
      <c r="AH110" s="437">
        <v>33448</v>
      </c>
      <c r="AI110" s="438">
        <v>1263</v>
      </c>
      <c r="AJ110" s="437">
        <v>35169</v>
      </c>
      <c r="AK110" s="438">
        <v>1683</v>
      </c>
      <c r="AL110" s="439">
        <v>34966</v>
      </c>
      <c r="AM110" s="438">
        <v>2922</v>
      </c>
      <c r="AN110" s="437">
        <v>34823</v>
      </c>
      <c r="AO110" s="438">
        <v>2994</v>
      </c>
      <c r="AP110" s="440">
        <v>35019</v>
      </c>
      <c r="AQ110" s="441">
        <v>2838</v>
      </c>
      <c r="AR110" s="442">
        <v>34797</v>
      </c>
      <c r="AS110" s="443">
        <v>2608</v>
      </c>
      <c r="AT110" s="442">
        <v>34806</v>
      </c>
      <c r="AU110" s="1586">
        <v>2473</v>
      </c>
      <c r="AV110" s="1589">
        <v>35955</v>
      </c>
      <c r="AW110" s="1590">
        <v>2283</v>
      </c>
    </row>
    <row r="111" spans="1:49" ht="15" customHeight="1" x14ac:dyDescent="0.25">
      <c r="A111" s="428" t="s">
        <v>142</v>
      </c>
      <c r="B111" s="444" t="s">
        <v>143</v>
      </c>
      <c r="C111" s="190" t="s">
        <v>267</v>
      </c>
      <c r="D111" s="430">
        <f t="shared" si="60"/>
        <v>1.6701461377870562E-2</v>
      </c>
      <c r="E111" s="431">
        <f t="shared" si="61"/>
        <v>3.1484794275491952E-2</v>
      </c>
      <c r="F111" s="432">
        <f t="shared" si="62"/>
        <v>5.1706120223544913E-2</v>
      </c>
      <c r="G111" s="432">
        <f t="shared" si="63"/>
        <v>3.4189743077076874E-2</v>
      </c>
      <c r="H111" s="432">
        <f t="shared" si="64"/>
        <v>3.0415466484401698E-2</v>
      </c>
      <c r="I111" s="432">
        <f t="shared" si="65"/>
        <v>2.8420644911397307E-2</v>
      </c>
      <c r="J111" s="432">
        <f t="shared" si="66"/>
        <v>2.5968266482704248E-2</v>
      </c>
      <c r="K111" s="432">
        <f t="shared" si="67"/>
        <v>2.9320595558717414E-2</v>
      </c>
      <c r="L111" s="432">
        <f t="shared" si="68"/>
        <v>4.2238805970149257E-2</v>
      </c>
      <c r="M111" s="432">
        <f t="shared" si="69"/>
        <v>7.5832846288720043E-2</v>
      </c>
      <c r="N111" s="432">
        <f t="shared" si="70"/>
        <v>6.3923868114966836E-2</v>
      </c>
      <c r="O111" s="433">
        <f t="shared" si="71"/>
        <v>5.5534901013105306E-2</v>
      </c>
      <c r="P111" s="434">
        <f t="shared" si="72"/>
        <v>5.1706120223544913E-2</v>
      </c>
      <c r="Q111" s="1577">
        <f t="shared" si="73"/>
        <v>5.0660296570063552E-2</v>
      </c>
      <c r="R111" s="1580">
        <f t="shared" si="59"/>
        <v>4.9395432154052843E-2</v>
      </c>
      <c r="S111" s="219"/>
      <c r="T111" s="435">
        <v>19160</v>
      </c>
      <c r="U111" s="436">
        <v>320</v>
      </c>
      <c r="V111" s="437">
        <v>19565</v>
      </c>
      <c r="W111" s="438">
        <v>616</v>
      </c>
      <c r="X111" s="437">
        <v>19960</v>
      </c>
      <c r="Y111" s="438">
        <v>859</v>
      </c>
      <c r="Z111" s="437">
        <v>20006</v>
      </c>
      <c r="AA111" s="438">
        <v>684</v>
      </c>
      <c r="AB111" s="437">
        <v>20483</v>
      </c>
      <c r="AC111" s="438">
        <v>623</v>
      </c>
      <c r="AD111" s="437">
        <v>20654</v>
      </c>
      <c r="AE111" s="438">
        <v>587</v>
      </c>
      <c r="AF111" s="437">
        <v>20294</v>
      </c>
      <c r="AG111" s="438">
        <v>527</v>
      </c>
      <c r="AH111" s="437">
        <v>19679</v>
      </c>
      <c r="AI111" s="438">
        <v>577</v>
      </c>
      <c r="AJ111" s="437">
        <v>20100</v>
      </c>
      <c r="AK111" s="438">
        <v>849</v>
      </c>
      <c r="AL111" s="439">
        <v>20532</v>
      </c>
      <c r="AM111" s="438">
        <v>1557</v>
      </c>
      <c r="AN111" s="437">
        <v>20806</v>
      </c>
      <c r="AO111" s="438">
        <v>1330</v>
      </c>
      <c r="AP111" s="440">
        <v>21518</v>
      </c>
      <c r="AQ111" s="441">
        <v>1195</v>
      </c>
      <c r="AR111" s="442">
        <v>22009</v>
      </c>
      <c r="AS111" s="443">
        <v>1138</v>
      </c>
      <c r="AT111" s="442">
        <v>22187</v>
      </c>
      <c r="AU111" s="1586">
        <v>1124</v>
      </c>
      <c r="AV111" s="1589">
        <v>22330</v>
      </c>
      <c r="AW111" s="1590">
        <v>1103</v>
      </c>
    </row>
    <row r="112" spans="1:49" ht="15" customHeight="1" x14ac:dyDescent="0.25">
      <c r="A112" s="428" t="s">
        <v>144</v>
      </c>
      <c r="B112" s="444" t="s">
        <v>145</v>
      </c>
      <c r="C112" s="190" t="s">
        <v>267</v>
      </c>
      <c r="D112" s="430">
        <f t="shared" si="60"/>
        <v>1.3898540653231411E-2</v>
      </c>
      <c r="E112" s="431">
        <f t="shared" si="61"/>
        <v>1.8087422542287724E-2</v>
      </c>
      <c r="F112" s="432">
        <f t="shared" si="62"/>
        <v>5.031803725579282E-2</v>
      </c>
      <c r="G112" s="432">
        <f t="shared" si="63"/>
        <v>2.6459401356044319E-2</v>
      </c>
      <c r="H112" s="432">
        <f t="shared" si="64"/>
        <v>2.6980661260137241E-2</v>
      </c>
      <c r="I112" s="432">
        <f t="shared" si="65"/>
        <v>2.4839987808594942E-2</v>
      </c>
      <c r="J112" s="432">
        <f t="shared" si="66"/>
        <v>2.2922636103151862E-2</v>
      </c>
      <c r="K112" s="432">
        <f t="shared" si="67"/>
        <v>2.5578189615561343E-2</v>
      </c>
      <c r="L112" s="432">
        <f t="shared" si="68"/>
        <v>3.7505648441030277E-2</v>
      </c>
      <c r="M112" s="432">
        <f t="shared" si="69"/>
        <v>6.2717770034843204E-2</v>
      </c>
      <c r="N112" s="432">
        <f t="shared" si="70"/>
        <v>6.1075322101090186E-2</v>
      </c>
      <c r="O112" s="433">
        <f t="shared" si="71"/>
        <v>5.451388888888889E-2</v>
      </c>
      <c r="P112" s="434">
        <f t="shared" si="72"/>
        <v>5.031803725579282E-2</v>
      </c>
      <c r="Q112" s="1577">
        <f t="shared" si="73"/>
        <v>4.7092038396386225E-2</v>
      </c>
      <c r="R112" s="1580">
        <f t="shared" si="59"/>
        <v>4.5294983580568451E-2</v>
      </c>
      <c r="S112" s="219"/>
      <c r="T112" s="435">
        <v>5756</v>
      </c>
      <c r="U112" s="436">
        <v>80</v>
      </c>
      <c r="V112" s="437">
        <v>5971</v>
      </c>
      <c r="W112" s="438">
        <v>108</v>
      </c>
      <c r="X112" s="437">
        <v>6046</v>
      </c>
      <c r="Y112" s="438">
        <v>167</v>
      </c>
      <c r="Z112" s="437">
        <v>6047</v>
      </c>
      <c r="AA112" s="438">
        <v>160</v>
      </c>
      <c r="AB112" s="437">
        <v>6412</v>
      </c>
      <c r="AC112" s="438">
        <v>173</v>
      </c>
      <c r="AD112" s="437">
        <v>6562</v>
      </c>
      <c r="AE112" s="438">
        <v>163</v>
      </c>
      <c r="AF112" s="437">
        <v>6631</v>
      </c>
      <c r="AG112" s="438">
        <v>152</v>
      </c>
      <c r="AH112" s="437">
        <v>6529</v>
      </c>
      <c r="AI112" s="438">
        <v>167</v>
      </c>
      <c r="AJ112" s="437">
        <v>6639</v>
      </c>
      <c r="AK112" s="438">
        <v>249</v>
      </c>
      <c r="AL112" s="439">
        <v>6888</v>
      </c>
      <c r="AM112" s="438">
        <v>432</v>
      </c>
      <c r="AN112" s="437">
        <v>8072</v>
      </c>
      <c r="AO112" s="438">
        <v>493</v>
      </c>
      <c r="AP112" s="440">
        <v>8640</v>
      </c>
      <c r="AQ112" s="441">
        <v>471</v>
      </c>
      <c r="AR112" s="442">
        <v>8804</v>
      </c>
      <c r="AS112" s="443">
        <v>443</v>
      </c>
      <c r="AT112" s="442">
        <v>8855</v>
      </c>
      <c r="AU112" s="1586">
        <v>417</v>
      </c>
      <c r="AV112" s="1589">
        <v>8831</v>
      </c>
      <c r="AW112" s="1590">
        <v>400</v>
      </c>
    </row>
    <row r="113" spans="1:49" ht="15" customHeight="1" x14ac:dyDescent="0.25">
      <c r="A113" s="428" t="s">
        <v>158</v>
      </c>
      <c r="B113" s="444" t="s">
        <v>159</v>
      </c>
      <c r="C113" s="190" t="s">
        <v>264</v>
      </c>
      <c r="D113" s="430">
        <f t="shared" si="60"/>
        <v>2.5916484583636806E-2</v>
      </c>
      <c r="E113" s="431">
        <f t="shared" si="61"/>
        <v>3.5431802727175117E-2</v>
      </c>
      <c r="F113" s="432">
        <f t="shared" si="62"/>
        <v>7.1901640457833774E-2</v>
      </c>
      <c r="G113" s="432">
        <f t="shared" si="63"/>
        <v>4.7292310530928548E-2</v>
      </c>
      <c r="H113" s="432">
        <f t="shared" si="64"/>
        <v>4.4352386307563434E-2</v>
      </c>
      <c r="I113" s="432">
        <f t="shared" si="65"/>
        <v>4.4458265666931576E-2</v>
      </c>
      <c r="J113" s="432">
        <f t="shared" si="66"/>
        <v>3.5483422534232291E-2</v>
      </c>
      <c r="K113" s="432">
        <f t="shared" si="67"/>
        <v>3.594546205756783E-2</v>
      </c>
      <c r="L113" s="432">
        <f t="shared" si="68"/>
        <v>4.6416710463048898E-2</v>
      </c>
      <c r="M113" s="432">
        <f t="shared" si="69"/>
        <v>7.6946626129549875E-2</v>
      </c>
      <c r="N113" s="432">
        <f t="shared" si="70"/>
        <v>8.2847772430659647E-2</v>
      </c>
      <c r="O113" s="433">
        <f t="shared" si="71"/>
        <v>8.0012621709340065E-2</v>
      </c>
      <c r="P113" s="434">
        <f t="shared" si="72"/>
        <v>7.1901640457833774E-2</v>
      </c>
      <c r="Q113" s="1577">
        <f t="shared" si="73"/>
        <v>6.5863399444933329E-2</v>
      </c>
      <c r="R113" s="1580">
        <f t="shared" si="59"/>
        <v>6.2243637807083314E-2</v>
      </c>
      <c r="S113" s="219"/>
      <c r="T113" s="435">
        <v>82380</v>
      </c>
      <c r="U113" s="436">
        <v>2135</v>
      </c>
      <c r="V113" s="437">
        <v>83823</v>
      </c>
      <c r="W113" s="438">
        <v>2970</v>
      </c>
      <c r="X113" s="437">
        <v>85660</v>
      </c>
      <c r="Y113" s="438">
        <v>3903</v>
      </c>
      <c r="Z113" s="437">
        <v>86716</v>
      </c>
      <c r="AA113" s="438">
        <v>4101</v>
      </c>
      <c r="AB113" s="437">
        <v>87143</v>
      </c>
      <c r="AC113" s="438">
        <v>3865</v>
      </c>
      <c r="AD113" s="437">
        <v>86823</v>
      </c>
      <c r="AE113" s="438">
        <v>3860</v>
      </c>
      <c r="AF113" s="437">
        <v>86322</v>
      </c>
      <c r="AG113" s="438">
        <v>3063</v>
      </c>
      <c r="AH113" s="437">
        <v>87132</v>
      </c>
      <c r="AI113" s="438">
        <v>3132</v>
      </c>
      <c r="AJ113" s="437">
        <v>89429</v>
      </c>
      <c r="AK113" s="438">
        <v>4151</v>
      </c>
      <c r="AL113" s="439">
        <v>94728</v>
      </c>
      <c r="AM113" s="438">
        <v>7289</v>
      </c>
      <c r="AN113" s="437">
        <v>88729</v>
      </c>
      <c r="AO113" s="438">
        <v>7351</v>
      </c>
      <c r="AP113" s="440">
        <v>88736</v>
      </c>
      <c r="AQ113" s="441">
        <v>7100</v>
      </c>
      <c r="AR113" s="442">
        <v>88329</v>
      </c>
      <c r="AS113" s="443">
        <v>6351</v>
      </c>
      <c r="AT113" s="442">
        <v>88638</v>
      </c>
      <c r="AU113" s="1586">
        <v>5838</v>
      </c>
      <c r="AV113" s="1589">
        <v>90692</v>
      </c>
      <c r="AW113" s="1590">
        <v>5645</v>
      </c>
    </row>
    <row r="114" spans="1:49" ht="15" customHeight="1" x14ac:dyDescent="0.25">
      <c r="A114" s="428" t="s">
        <v>160</v>
      </c>
      <c r="B114" s="444" t="s">
        <v>161</v>
      </c>
      <c r="C114" s="190" t="s">
        <v>264</v>
      </c>
      <c r="D114" s="430">
        <f t="shared" si="60"/>
        <v>3.2619985285844116E-2</v>
      </c>
      <c r="E114" s="431">
        <f t="shared" si="61"/>
        <v>4.2973053131090587E-2</v>
      </c>
      <c r="F114" s="432">
        <f t="shared" si="62"/>
        <v>7.660364360073485E-2</v>
      </c>
      <c r="G114" s="432">
        <f t="shared" si="63"/>
        <v>5.2688226633497488E-2</v>
      </c>
      <c r="H114" s="432">
        <f t="shared" si="64"/>
        <v>5.0721549047068139E-2</v>
      </c>
      <c r="I114" s="432">
        <f t="shared" si="65"/>
        <v>5.0125650226997734E-2</v>
      </c>
      <c r="J114" s="432">
        <f t="shared" si="66"/>
        <v>4.2270279296956537E-2</v>
      </c>
      <c r="K114" s="432">
        <f t="shared" si="67"/>
        <v>4.1273359190046842E-2</v>
      </c>
      <c r="L114" s="432">
        <f t="shared" si="68"/>
        <v>5.2790570989947008E-2</v>
      </c>
      <c r="M114" s="432">
        <f t="shared" si="69"/>
        <v>8.856825749167592E-2</v>
      </c>
      <c r="N114" s="432">
        <f t="shared" si="70"/>
        <v>9.0795361593610166E-2</v>
      </c>
      <c r="O114" s="433">
        <f t="shared" si="71"/>
        <v>8.3368591099657677E-2</v>
      </c>
      <c r="P114" s="434">
        <f t="shared" si="72"/>
        <v>7.660364360073485E-2</v>
      </c>
      <c r="Q114" s="1577">
        <f t="shared" si="73"/>
        <v>6.9851993930892337E-2</v>
      </c>
      <c r="R114" s="1580">
        <f t="shared" si="59"/>
        <v>6.3573837533526301E-2</v>
      </c>
      <c r="S114" s="219"/>
      <c r="T114" s="435">
        <v>92428</v>
      </c>
      <c r="U114" s="436">
        <v>3015</v>
      </c>
      <c r="V114" s="437">
        <v>94408</v>
      </c>
      <c r="W114" s="438">
        <v>4057</v>
      </c>
      <c r="X114" s="437">
        <v>98547</v>
      </c>
      <c r="Y114" s="438">
        <v>5054</v>
      </c>
      <c r="Z114" s="437">
        <v>98485</v>
      </c>
      <c r="AA114" s="438">
        <v>5189</v>
      </c>
      <c r="AB114" s="437">
        <v>98538</v>
      </c>
      <c r="AC114" s="438">
        <v>4998</v>
      </c>
      <c r="AD114" s="437">
        <v>96697</v>
      </c>
      <c r="AE114" s="438">
        <v>4847</v>
      </c>
      <c r="AF114" s="437">
        <v>95812</v>
      </c>
      <c r="AG114" s="438">
        <v>4050</v>
      </c>
      <c r="AH114" s="437">
        <v>99265</v>
      </c>
      <c r="AI114" s="438">
        <v>4097</v>
      </c>
      <c r="AJ114" s="437">
        <v>100965</v>
      </c>
      <c r="AK114" s="438">
        <v>5330</v>
      </c>
      <c r="AL114" s="439">
        <v>99110</v>
      </c>
      <c r="AM114" s="438">
        <v>8778</v>
      </c>
      <c r="AN114" s="437">
        <v>103915</v>
      </c>
      <c r="AO114" s="438">
        <v>9435</v>
      </c>
      <c r="AP114" s="440">
        <v>103996</v>
      </c>
      <c r="AQ114" s="441">
        <v>8670</v>
      </c>
      <c r="AR114" s="442">
        <v>104512</v>
      </c>
      <c r="AS114" s="443">
        <v>8006</v>
      </c>
      <c r="AT114" s="442">
        <v>104793</v>
      </c>
      <c r="AU114" s="1586">
        <v>7320</v>
      </c>
      <c r="AV114" s="1589">
        <v>112971</v>
      </c>
      <c r="AW114" s="1590">
        <v>7182</v>
      </c>
    </row>
    <row r="115" spans="1:49" ht="15" customHeight="1" x14ac:dyDescent="0.25">
      <c r="A115" s="428" t="s">
        <v>166</v>
      </c>
      <c r="B115" s="444" t="s">
        <v>167</v>
      </c>
      <c r="C115" s="190" t="s">
        <v>268</v>
      </c>
      <c r="D115" s="430">
        <f t="shared" si="60"/>
        <v>4.1244083840432724E-2</v>
      </c>
      <c r="E115" s="431">
        <f t="shared" si="61"/>
        <v>4.5454545454545456E-2</v>
      </c>
      <c r="F115" s="432">
        <f t="shared" si="62"/>
        <v>8.0510827318156578E-2</v>
      </c>
      <c r="G115" s="432">
        <f t="shared" si="63"/>
        <v>5.3954629061925198E-2</v>
      </c>
      <c r="H115" s="432">
        <f t="shared" si="64"/>
        <v>5.3846153846153849E-2</v>
      </c>
      <c r="I115" s="432">
        <f t="shared" si="65"/>
        <v>5.4794520547945202E-2</v>
      </c>
      <c r="J115" s="432">
        <f t="shared" si="66"/>
        <v>5.1451187335092345E-2</v>
      </c>
      <c r="K115" s="432">
        <f t="shared" si="67"/>
        <v>4.1104688503532431E-2</v>
      </c>
      <c r="L115" s="432">
        <f t="shared" si="68"/>
        <v>5.2372150338878619E-2</v>
      </c>
      <c r="M115" s="432">
        <f t="shared" si="69"/>
        <v>6.5934065934065936E-2</v>
      </c>
      <c r="N115" s="432">
        <f t="shared" si="70"/>
        <v>8.5515766969535015E-2</v>
      </c>
      <c r="O115" s="433">
        <f t="shared" si="71"/>
        <v>7.5695159629248193E-2</v>
      </c>
      <c r="P115" s="434">
        <f t="shared" si="72"/>
        <v>8.0510827318156578E-2</v>
      </c>
      <c r="Q115" s="1577">
        <f t="shared" si="73"/>
        <v>8.7179487179487175E-2</v>
      </c>
      <c r="R115" s="1580">
        <f t="shared" si="59"/>
        <v>7.8366445916114788E-2</v>
      </c>
      <c r="S115" s="219"/>
      <c r="T115" s="435">
        <v>1479</v>
      </c>
      <c r="U115" s="436">
        <v>61</v>
      </c>
      <c r="V115" s="437">
        <v>1518</v>
      </c>
      <c r="W115" s="438">
        <v>69</v>
      </c>
      <c r="X115" s="437">
        <v>1589</v>
      </c>
      <c r="Y115" s="438">
        <v>78</v>
      </c>
      <c r="Z115" s="437">
        <v>1631</v>
      </c>
      <c r="AA115" s="438">
        <v>88</v>
      </c>
      <c r="AB115" s="437">
        <v>1560</v>
      </c>
      <c r="AC115" s="438">
        <v>84</v>
      </c>
      <c r="AD115" s="437">
        <v>1533</v>
      </c>
      <c r="AE115" s="438">
        <v>84</v>
      </c>
      <c r="AF115" s="437">
        <v>1516</v>
      </c>
      <c r="AG115" s="438">
        <v>78</v>
      </c>
      <c r="AH115" s="437">
        <v>1557</v>
      </c>
      <c r="AI115" s="438">
        <v>64</v>
      </c>
      <c r="AJ115" s="437">
        <v>1623</v>
      </c>
      <c r="AK115" s="438">
        <v>85</v>
      </c>
      <c r="AL115" s="439">
        <v>1729</v>
      </c>
      <c r="AM115" s="438">
        <v>114</v>
      </c>
      <c r="AN115" s="437">
        <v>1871</v>
      </c>
      <c r="AO115" s="438">
        <v>160</v>
      </c>
      <c r="AP115" s="440">
        <v>1942</v>
      </c>
      <c r="AQ115" s="441">
        <v>147</v>
      </c>
      <c r="AR115" s="442">
        <v>1801</v>
      </c>
      <c r="AS115" s="443">
        <v>145</v>
      </c>
      <c r="AT115" s="442">
        <v>1755</v>
      </c>
      <c r="AU115" s="1586">
        <v>153</v>
      </c>
      <c r="AV115" s="1589">
        <v>1812</v>
      </c>
      <c r="AW115" s="1590">
        <v>142</v>
      </c>
    </row>
    <row r="116" spans="1:49" ht="15" customHeight="1" x14ac:dyDescent="0.25">
      <c r="A116" s="428" t="s">
        <v>176</v>
      </c>
      <c r="B116" s="444" t="s">
        <v>177</v>
      </c>
      <c r="C116" s="190" t="s">
        <v>266</v>
      </c>
      <c r="D116" s="430">
        <f t="shared" si="60"/>
        <v>3.3979178716020825E-2</v>
      </c>
      <c r="E116" s="431">
        <f t="shared" si="61"/>
        <v>5.5018267784225229E-2</v>
      </c>
      <c r="F116" s="432">
        <f t="shared" si="62"/>
        <v>0.10411320478040913</v>
      </c>
      <c r="G116" s="432">
        <f t="shared" si="63"/>
        <v>8.612975391498881E-2</v>
      </c>
      <c r="H116" s="432">
        <f t="shared" si="64"/>
        <v>7.6287349014621739E-2</v>
      </c>
      <c r="I116" s="432">
        <f t="shared" si="65"/>
        <v>7.2913699800626605E-2</v>
      </c>
      <c r="J116" s="432">
        <f t="shared" si="66"/>
        <v>6.2095265505828175E-2</v>
      </c>
      <c r="K116" s="432">
        <f t="shared" si="67"/>
        <v>6.2976963126738464E-2</v>
      </c>
      <c r="L116" s="432">
        <f t="shared" si="68"/>
        <v>7.311617503145533E-2</v>
      </c>
      <c r="M116" s="432">
        <f t="shared" si="69"/>
        <v>0.13796423658872076</v>
      </c>
      <c r="N116" s="432">
        <f t="shared" si="70"/>
        <v>0.12453867863087054</v>
      </c>
      <c r="O116" s="433">
        <f t="shared" si="71"/>
        <v>0.11324848134220422</v>
      </c>
      <c r="P116" s="434">
        <f t="shared" si="72"/>
        <v>0.10411320478040913</v>
      </c>
      <c r="Q116" s="1577">
        <f t="shared" si="73"/>
        <v>0.1001890359168242</v>
      </c>
      <c r="R116" s="1580">
        <f t="shared" si="59"/>
        <v>0.10647782011647135</v>
      </c>
      <c r="S116" s="219"/>
      <c r="T116" s="435">
        <v>13832</v>
      </c>
      <c r="U116" s="436">
        <v>470</v>
      </c>
      <c r="V116" s="437">
        <v>13959</v>
      </c>
      <c r="W116" s="438">
        <v>768</v>
      </c>
      <c r="X116" s="437">
        <v>14141</v>
      </c>
      <c r="Y116" s="438">
        <v>1052</v>
      </c>
      <c r="Z116" s="437">
        <v>14304</v>
      </c>
      <c r="AA116" s="438">
        <v>1232</v>
      </c>
      <c r="AB116" s="437">
        <v>14157</v>
      </c>
      <c r="AC116" s="438">
        <v>1080</v>
      </c>
      <c r="AD116" s="437">
        <v>14044</v>
      </c>
      <c r="AE116" s="438">
        <v>1024</v>
      </c>
      <c r="AF116" s="437">
        <v>13898</v>
      </c>
      <c r="AG116" s="438">
        <v>863</v>
      </c>
      <c r="AH116" s="437">
        <v>14021</v>
      </c>
      <c r="AI116" s="438">
        <v>883</v>
      </c>
      <c r="AJ116" s="437">
        <v>14306</v>
      </c>
      <c r="AK116" s="438">
        <v>1046</v>
      </c>
      <c r="AL116" s="439">
        <v>14540</v>
      </c>
      <c r="AM116" s="438">
        <v>2006</v>
      </c>
      <c r="AN116" s="437">
        <v>13819</v>
      </c>
      <c r="AO116" s="438">
        <v>1721</v>
      </c>
      <c r="AP116" s="440">
        <v>13828</v>
      </c>
      <c r="AQ116" s="441">
        <v>1566</v>
      </c>
      <c r="AR116" s="442">
        <v>13639</v>
      </c>
      <c r="AS116" s="443">
        <v>1420</v>
      </c>
      <c r="AT116" s="442">
        <v>13754</v>
      </c>
      <c r="AU116" s="1586">
        <v>1378</v>
      </c>
      <c r="AV116" s="1589">
        <v>13909</v>
      </c>
      <c r="AW116" s="1590">
        <v>1481</v>
      </c>
    </row>
    <row r="117" spans="1:49" ht="15" customHeight="1" x14ac:dyDescent="0.25">
      <c r="A117" s="428" t="s">
        <v>180</v>
      </c>
      <c r="B117" s="444" t="s">
        <v>181</v>
      </c>
      <c r="C117" s="190" t="s">
        <v>264</v>
      </c>
      <c r="D117" s="430">
        <f t="shared" si="60"/>
        <v>3.3869721031550837E-2</v>
      </c>
      <c r="E117" s="431">
        <f t="shared" si="61"/>
        <v>4.3849329919498074E-2</v>
      </c>
      <c r="F117" s="432">
        <f t="shared" si="62"/>
        <v>8.17794777223778E-2</v>
      </c>
      <c r="G117" s="432">
        <f t="shared" si="63"/>
        <v>5.3983002832861192E-2</v>
      </c>
      <c r="H117" s="432">
        <f t="shared" si="64"/>
        <v>5.3727106845982295E-2</v>
      </c>
      <c r="I117" s="432">
        <f t="shared" si="65"/>
        <v>5.3070457519238876E-2</v>
      </c>
      <c r="J117" s="432">
        <f t="shared" si="66"/>
        <v>4.3771411115232715E-2</v>
      </c>
      <c r="K117" s="432">
        <f t="shared" si="67"/>
        <v>4.2223039799164627E-2</v>
      </c>
      <c r="L117" s="432">
        <f t="shared" si="68"/>
        <v>5.1592671349098951E-2</v>
      </c>
      <c r="M117" s="432">
        <f t="shared" si="69"/>
        <v>8.8199607315405146E-2</v>
      </c>
      <c r="N117" s="432">
        <f t="shared" si="70"/>
        <v>9.4393527300985075E-2</v>
      </c>
      <c r="O117" s="433">
        <f t="shared" si="71"/>
        <v>8.8535625753337427E-2</v>
      </c>
      <c r="P117" s="434">
        <f t="shared" si="72"/>
        <v>8.17794777223778E-2</v>
      </c>
      <c r="Q117" s="1577">
        <f t="shared" si="73"/>
        <v>7.4709249500272579E-2</v>
      </c>
      <c r="R117" s="1580">
        <f t="shared" si="59"/>
        <v>7.1334097522264356E-2</v>
      </c>
      <c r="S117" s="219"/>
      <c r="T117" s="435">
        <v>42693</v>
      </c>
      <c r="U117" s="436">
        <v>1446</v>
      </c>
      <c r="V117" s="437">
        <v>43353</v>
      </c>
      <c r="W117" s="438">
        <v>1901</v>
      </c>
      <c r="X117" s="437">
        <v>44094</v>
      </c>
      <c r="Y117" s="438">
        <v>2326</v>
      </c>
      <c r="Z117" s="437">
        <v>44125</v>
      </c>
      <c r="AA117" s="438">
        <v>2382</v>
      </c>
      <c r="AB117" s="437">
        <v>44391</v>
      </c>
      <c r="AC117" s="438">
        <v>2385</v>
      </c>
      <c r="AD117" s="437">
        <v>45091</v>
      </c>
      <c r="AE117" s="438">
        <v>2393</v>
      </c>
      <c r="AF117" s="437">
        <v>45829</v>
      </c>
      <c r="AG117" s="438">
        <v>2006</v>
      </c>
      <c r="AH117" s="437">
        <v>46207</v>
      </c>
      <c r="AI117" s="438">
        <v>1951</v>
      </c>
      <c r="AJ117" s="437">
        <v>46557</v>
      </c>
      <c r="AK117" s="438">
        <v>2402</v>
      </c>
      <c r="AL117" s="439">
        <v>45329</v>
      </c>
      <c r="AM117" s="438">
        <v>3998</v>
      </c>
      <c r="AN117" s="437">
        <v>43753</v>
      </c>
      <c r="AO117" s="438">
        <v>4130</v>
      </c>
      <c r="AP117" s="440">
        <v>43971</v>
      </c>
      <c r="AQ117" s="441">
        <v>3893</v>
      </c>
      <c r="AR117" s="442">
        <v>43923</v>
      </c>
      <c r="AS117" s="443">
        <v>3592</v>
      </c>
      <c r="AT117" s="442">
        <v>44024</v>
      </c>
      <c r="AU117" s="1586">
        <v>3289</v>
      </c>
      <c r="AV117" s="1589">
        <v>45364</v>
      </c>
      <c r="AW117" s="1590">
        <v>3236</v>
      </c>
    </row>
    <row r="118" spans="1:49" ht="15" customHeight="1" x14ac:dyDescent="0.25">
      <c r="A118" s="428" t="s">
        <v>192</v>
      </c>
      <c r="B118" s="444" t="s">
        <v>193</v>
      </c>
      <c r="C118" s="190" t="s">
        <v>268</v>
      </c>
      <c r="D118" s="430">
        <f t="shared" si="60"/>
        <v>3.206250841977637E-2</v>
      </c>
      <c r="E118" s="431">
        <f t="shared" si="61"/>
        <v>4.1301120259144286E-2</v>
      </c>
      <c r="F118" s="432">
        <f t="shared" si="62"/>
        <v>7.4363992172211346E-2</v>
      </c>
      <c r="G118" s="432">
        <f t="shared" si="63"/>
        <v>5.2177430227854926E-2</v>
      </c>
      <c r="H118" s="432">
        <f t="shared" si="64"/>
        <v>5.1564625850340134E-2</v>
      </c>
      <c r="I118" s="432">
        <f t="shared" si="65"/>
        <v>4.4691969196919694E-2</v>
      </c>
      <c r="J118" s="432">
        <f t="shared" si="66"/>
        <v>3.7808748447633503E-2</v>
      </c>
      <c r="K118" s="432">
        <f t="shared" si="67"/>
        <v>4.0678844409897656E-2</v>
      </c>
      <c r="L118" s="432">
        <f t="shared" si="68"/>
        <v>5.3105085592902661E-2</v>
      </c>
      <c r="M118" s="432">
        <f t="shared" si="69"/>
        <v>9.2555331991951706E-2</v>
      </c>
      <c r="N118" s="432">
        <f t="shared" si="70"/>
        <v>9.1884984025559099E-2</v>
      </c>
      <c r="O118" s="433">
        <f t="shared" si="71"/>
        <v>8.0824484697064339E-2</v>
      </c>
      <c r="P118" s="434">
        <f t="shared" si="72"/>
        <v>7.4363992172211346E-2</v>
      </c>
      <c r="Q118" s="1577">
        <f t="shared" si="73"/>
        <v>7.1428571428571425E-2</v>
      </c>
      <c r="R118" s="1580">
        <f t="shared" si="59"/>
        <v>6.6341695398882419E-2</v>
      </c>
      <c r="S118" s="219"/>
      <c r="T118" s="435">
        <v>7423</v>
      </c>
      <c r="U118" s="436">
        <v>238</v>
      </c>
      <c r="V118" s="437">
        <v>7409</v>
      </c>
      <c r="W118" s="438">
        <v>306</v>
      </c>
      <c r="X118" s="437">
        <v>7393</v>
      </c>
      <c r="Y118" s="438">
        <v>385</v>
      </c>
      <c r="Z118" s="437">
        <v>7417</v>
      </c>
      <c r="AA118" s="438">
        <v>387</v>
      </c>
      <c r="AB118" s="437">
        <v>7350</v>
      </c>
      <c r="AC118" s="438">
        <v>379</v>
      </c>
      <c r="AD118" s="437">
        <v>7272</v>
      </c>
      <c r="AE118" s="438">
        <v>325</v>
      </c>
      <c r="AF118" s="437">
        <v>7247</v>
      </c>
      <c r="AG118" s="438">
        <v>274</v>
      </c>
      <c r="AH118" s="437">
        <v>7719</v>
      </c>
      <c r="AI118" s="438">
        <v>314</v>
      </c>
      <c r="AJ118" s="437">
        <v>8003</v>
      </c>
      <c r="AK118" s="438">
        <v>425</v>
      </c>
      <c r="AL118" s="439">
        <v>7952</v>
      </c>
      <c r="AM118" s="438">
        <v>736</v>
      </c>
      <c r="AN118" s="437">
        <v>7825</v>
      </c>
      <c r="AO118" s="438">
        <v>719</v>
      </c>
      <c r="AP118" s="440">
        <v>8005</v>
      </c>
      <c r="AQ118" s="441">
        <v>647</v>
      </c>
      <c r="AR118" s="442">
        <v>8176</v>
      </c>
      <c r="AS118" s="443">
        <v>608</v>
      </c>
      <c r="AT118" s="442">
        <v>8316</v>
      </c>
      <c r="AU118" s="1586">
        <v>594</v>
      </c>
      <c r="AV118" s="1589">
        <v>8411</v>
      </c>
      <c r="AW118" s="1590">
        <v>558</v>
      </c>
    </row>
    <row r="119" spans="1:49" ht="15" customHeight="1" x14ac:dyDescent="0.25">
      <c r="A119" s="428" t="s">
        <v>196</v>
      </c>
      <c r="B119" s="444" t="s">
        <v>312</v>
      </c>
      <c r="C119" s="190" t="s">
        <v>266</v>
      </c>
      <c r="D119" s="430">
        <f t="shared" si="60"/>
        <v>2.6336598171831014E-2</v>
      </c>
      <c r="E119" s="431">
        <f t="shared" si="61"/>
        <v>4.1526679326391355E-2</v>
      </c>
      <c r="F119" s="432">
        <f t="shared" si="62"/>
        <v>7.4512677707753189E-2</v>
      </c>
      <c r="G119" s="432">
        <f t="shared" si="63"/>
        <v>5.7610005401587235E-2</v>
      </c>
      <c r="H119" s="432">
        <f t="shared" si="64"/>
        <v>5.5918015952867474E-2</v>
      </c>
      <c r="I119" s="432">
        <f t="shared" si="65"/>
        <v>5.2757020045377905E-2</v>
      </c>
      <c r="J119" s="432">
        <f t="shared" si="66"/>
        <v>4.590507090899576E-2</v>
      </c>
      <c r="K119" s="432">
        <f t="shared" si="67"/>
        <v>4.4093736026990772E-2</v>
      </c>
      <c r="L119" s="432">
        <f t="shared" si="68"/>
        <v>5.7819280309366602E-2</v>
      </c>
      <c r="M119" s="432">
        <f t="shared" si="69"/>
        <v>9.9282815147574574E-2</v>
      </c>
      <c r="N119" s="432">
        <f t="shared" si="70"/>
        <v>9.5871499541501662E-2</v>
      </c>
      <c r="O119" s="433">
        <f t="shared" si="71"/>
        <v>8.3600323382339733E-2</v>
      </c>
      <c r="P119" s="434">
        <f t="shared" si="72"/>
        <v>7.4512677707753189E-2</v>
      </c>
      <c r="Q119" s="1577">
        <f t="shared" si="73"/>
        <v>6.9001659533583726E-2</v>
      </c>
      <c r="R119" s="1580">
        <f t="shared" si="59"/>
        <v>6.1236516894063862E-2</v>
      </c>
      <c r="S119" s="219"/>
      <c r="T119" s="435">
        <v>94849</v>
      </c>
      <c r="U119" s="436">
        <v>2498</v>
      </c>
      <c r="V119" s="437">
        <v>95842</v>
      </c>
      <c r="W119" s="438">
        <v>3980</v>
      </c>
      <c r="X119" s="437">
        <v>96755</v>
      </c>
      <c r="Y119" s="438">
        <v>5525</v>
      </c>
      <c r="Z119" s="437">
        <v>96268</v>
      </c>
      <c r="AA119" s="438">
        <v>5546</v>
      </c>
      <c r="AB119" s="437">
        <v>96409</v>
      </c>
      <c r="AC119" s="438">
        <v>5391</v>
      </c>
      <c r="AD119" s="437">
        <v>96082</v>
      </c>
      <c r="AE119" s="438">
        <v>5069</v>
      </c>
      <c r="AF119" s="437">
        <v>95545</v>
      </c>
      <c r="AG119" s="438">
        <v>4386</v>
      </c>
      <c r="AH119" s="437">
        <v>98404</v>
      </c>
      <c r="AI119" s="438">
        <v>4339</v>
      </c>
      <c r="AJ119" s="437">
        <v>101627</v>
      </c>
      <c r="AK119" s="438">
        <v>5876</v>
      </c>
      <c r="AL119" s="439">
        <v>101508</v>
      </c>
      <c r="AM119" s="438">
        <v>10078</v>
      </c>
      <c r="AN119" s="437">
        <v>99237</v>
      </c>
      <c r="AO119" s="438">
        <v>9514</v>
      </c>
      <c r="AP119" s="440">
        <v>100191</v>
      </c>
      <c r="AQ119" s="441">
        <v>8376</v>
      </c>
      <c r="AR119" s="442">
        <v>102345</v>
      </c>
      <c r="AS119" s="443">
        <v>7626</v>
      </c>
      <c r="AT119" s="442">
        <v>103041</v>
      </c>
      <c r="AU119" s="1586">
        <v>7110</v>
      </c>
      <c r="AV119" s="1589">
        <v>111992</v>
      </c>
      <c r="AW119" s="1590">
        <v>6858</v>
      </c>
    </row>
    <row r="120" spans="1:49" ht="15" customHeight="1" x14ac:dyDescent="0.25">
      <c r="A120" s="428" t="s">
        <v>200</v>
      </c>
      <c r="B120" s="444" t="s">
        <v>313</v>
      </c>
      <c r="C120" s="190" t="s">
        <v>265</v>
      </c>
      <c r="D120" s="430">
        <f t="shared" si="60"/>
        <v>2.4406005643754173E-2</v>
      </c>
      <c r="E120" s="431">
        <f t="shared" si="61"/>
        <v>3.5177806660558669E-2</v>
      </c>
      <c r="F120" s="432">
        <f t="shared" si="62"/>
        <v>7.0823015906324754E-2</v>
      </c>
      <c r="G120" s="432">
        <f t="shared" si="63"/>
        <v>5.1631610837012031E-2</v>
      </c>
      <c r="H120" s="432">
        <f t="shared" si="64"/>
        <v>4.4974011100343582E-2</v>
      </c>
      <c r="I120" s="432">
        <f t="shared" si="65"/>
        <v>4.1597081831765845E-2</v>
      </c>
      <c r="J120" s="432">
        <f t="shared" si="66"/>
        <v>3.7224930820925026E-2</v>
      </c>
      <c r="K120" s="432">
        <f t="shared" si="67"/>
        <v>3.7902963204168021E-2</v>
      </c>
      <c r="L120" s="432">
        <f t="shared" si="68"/>
        <v>4.5452616390103125E-2</v>
      </c>
      <c r="M120" s="432">
        <f t="shared" si="69"/>
        <v>8.9335778578806466E-2</v>
      </c>
      <c r="N120" s="432">
        <f t="shared" si="70"/>
        <v>8.7592627778833365E-2</v>
      </c>
      <c r="O120" s="433">
        <f t="shared" si="71"/>
        <v>8.0580244843199728E-2</v>
      </c>
      <c r="P120" s="434">
        <f t="shared" si="72"/>
        <v>7.0823015906324754E-2</v>
      </c>
      <c r="Q120" s="1577">
        <f t="shared" si="73"/>
        <v>6.7190446260213699E-2</v>
      </c>
      <c r="R120" s="1580">
        <f t="shared" si="59"/>
        <v>5.8694569008470351E-2</v>
      </c>
      <c r="S120" s="219"/>
      <c r="T120" s="435">
        <v>46423</v>
      </c>
      <c r="U120" s="436">
        <v>1133</v>
      </c>
      <c r="V120" s="437">
        <v>46933</v>
      </c>
      <c r="W120" s="438">
        <v>1651</v>
      </c>
      <c r="X120" s="437">
        <v>47343</v>
      </c>
      <c r="Y120" s="438">
        <v>2341</v>
      </c>
      <c r="Z120" s="437">
        <v>46212</v>
      </c>
      <c r="AA120" s="438">
        <v>2386</v>
      </c>
      <c r="AB120" s="437">
        <v>45404</v>
      </c>
      <c r="AC120" s="438">
        <v>2042</v>
      </c>
      <c r="AD120" s="437">
        <v>45508</v>
      </c>
      <c r="AE120" s="438">
        <v>1893</v>
      </c>
      <c r="AF120" s="437">
        <v>45534</v>
      </c>
      <c r="AG120" s="438">
        <v>1695</v>
      </c>
      <c r="AH120" s="437">
        <v>46065</v>
      </c>
      <c r="AI120" s="438">
        <v>1746</v>
      </c>
      <c r="AJ120" s="437">
        <v>47126</v>
      </c>
      <c r="AK120" s="438">
        <v>2142</v>
      </c>
      <c r="AL120" s="439">
        <v>47439</v>
      </c>
      <c r="AM120" s="438">
        <v>4238</v>
      </c>
      <c r="AN120" s="437">
        <v>47367</v>
      </c>
      <c r="AO120" s="438">
        <v>4149</v>
      </c>
      <c r="AP120" s="440">
        <v>47704</v>
      </c>
      <c r="AQ120" s="441">
        <v>3844</v>
      </c>
      <c r="AR120" s="442">
        <v>47654</v>
      </c>
      <c r="AS120" s="443">
        <v>3375</v>
      </c>
      <c r="AT120" s="442">
        <v>47730</v>
      </c>
      <c r="AU120" s="1586">
        <v>3207</v>
      </c>
      <c r="AV120" s="1589">
        <v>50175</v>
      </c>
      <c r="AW120" s="1590">
        <v>2945</v>
      </c>
    </row>
    <row r="121" spans="1:49" ht="15" customHeight="1" x14ac:dyDescent="0.25">
      <c r="A121" s="428" t="s">
        <v>222</v>
      </c>
      <c r="B121" s="444" t="s">
        <v>223</v>
      </c>
      <c r="C121" s="190" t="s">
        <v>264</v>
      </c>
      <c r="D121" s="430">
        <f t="shared" si="60"/>
        <v>2.4975127791690966E-2</v>
      </c>
      <c r="E121" s="431">
        <f t="shared" si="61"/>
        <v>3.1067961165048542E-2</v>
      </c>
      <c r="F121" s="432">
        <f t="shared" si="62"/>
        <v>6.7942285069502797E-2</v>
      </c>
      <c r="G121" s="432">
        <f t="shared" si="63"/>
        <v>4.2953902432053957E-2</v>
      </c>
      <c r="H121" s="432">
        <f t="shared" si="64"/>
        <v>4.0826929913314554E-2</v>
      </c>
      <c r="I121" s="432">
        <f t="shared" si="65"/>
        <v>3.9233216755633855E-2</v>
      </c>
      <c r="J121" s="432">
        <f t="shared" si="66"/>
        <v>3.4628957323110512E-2</v>
      </c>
      <c r="K121" s="432">
        <f t="shared" si="67"/>
        <v>3.3079972727961413E-2</v>
      </c>
      <c r="L121" s="432">
        <f t="shared" si="68"/>
        <v>4.0936530048635039E-2</v>
      </c>
      <c r="M121" s="432">
        <f t="shared" si="69"/>
        <v>6.9641716223521902E-2</v>
      </c>
      <c r="N121" s="432">
        <f t="shared" si="70"/>
        <v>7.8086977472593661E-2</v>
      </c>
      <c r="O121" s="433">
        <f t="shared" si="71"/>
        <v>7.3254036495652999E-2</v>
      </c>
      <c r="P121" s="1000">
        <f t="shared" si="72"/>
        <v>6.7942285069502797E-2</v>
      </c>
      <c r="Q121" s="1577">
        <f t="shared" si="73"/>
        <v>6.1285071339653358E-2</v>
      </c>
      <c r="R121" s="1580">
        <f t="shared" si="59"/>
        <v>5.7705105048008368E-2</v>
      </c>
      <c r="S121" s="219"/>
      <c r="T121" s="435">
        <v>29149</v>
      </c>
      <c r="U121" s="436">
        <v>728</v>
      </c>
      <c r="V121" s="437">
        <v>30900</v>
      </c>
      <c r="W121" s="438">
        <v>960</v>
      </c>
      <c r="X121" s="437">
        <v>33162</v>
      </c>
      <c r="Y121" s="438">
        <v>1424</v>
      </c>
      <c r="Z121" s="437">
        <v>34991</v>
      </c>
      <c r="AA121" s="438">
        <v>1503</v>
      </c>
      <c r="AB121" s="437">
        <v>36569</v>
      </c>
      <c r="AC121" s="438">
        <v>1493</v>
      </c>
      <c r="AD121" s="437">
        <v>38029</v>
      </c>
      <c r="AE121" s="438">
        <v>1492</v>
      </c>
      <c r="AF121" s="437">
        <v>39389</v>
      </c>
      <c r="AG121" s="438">
        <v>1364</v>
      </c>
      <c r="AH121" s="437">
        <v>39601</v>
      </c>
      <c r="AI121" s="438">
        <v>1310</v>
      </c>
      <c r="AJ121" s="437">
        <v>40917</v>
      </c>
      <c r="AK121" s="438">
        <v>1675</v>
      </c>
      <c r="AL121" s="439">
        <v>40694</v>
      </c>
      <c r="AM121" s="438">
        <v>2834</v>
      </c>
      <c r="AN121" s="437">
        <v>41505</v>
      </c>
      <c r="AO121" s="438">
        <v>3241</v>
      </c>
      <c r="AP121" s="440">
        <v>41868</v>
      </c>
      <c r="AQ121" s="441">
        <v>3067</v>
      </c>
      <c r="AR121" s="442">
        <v>41653</v>
      </c>
      <c r="AS121" s="443">
        <v>2830</v>
      </c>
      <c r="AT121" s="442">
        <v>41772</v>
      </c>
      <c r="AU121" s="1586">
        <v>2560</v>
      </c>
      <c r="AV121" s="1589">
        <v>42076</v>
      </c>
      <c r="AW121" s="1590">
        <v>2428</v>
      </c>
    </row>
    <row r="122" spans="1:49" ht="15" customHeight="1" x14ac:dyDescent="0.25">
      <c r="A122" s="428" t="s">
        <v>230</v>
      </c>
      <c r="B122" s="444" t="s">
        <v>231</v>
      </c>
      <c r="C122" s="190" t="s">
        <v>264</v>
      </c>
      <c r="D122" s="430">
        <f t="shared" si="60"/>
        <v>2.2129169069001572E-2</v>
      </c>
      <c r="E122" s="431">
        <f t="shared" si="61"/>
        <v>2.8993111870098648E-2</v>
      </c>
      <c r="F122" s="432">
        <f t="shared" si="62"/>
        <v>5.6694924178601516E-2</v>
      </c>
      <c r="G122" s="432">
        <f t="shared" si="63"/>
        <v>3.6399811124405754E-2</v>
      </c>
      <c r="H122" s="432">
        <f t="shared" si="64"/>
        <v>3.4220118106840849E-2</v>
      </c>
      <c r="I122" s="432">
        <f t="shared" si="65"/>
        <v>3.307046782833347E-2</v>
      </c>
      <c r="J122" s="432">
        <f t="shared" si="66"/>
        <v>2.9016730367058485E-2</v>
      </c>
      <c r="K122" s="432">
        <f t="shared" si="67"/>
        <v>2.7671493404359839E-2</v>
      </c>
      <c r="L122" s="432">
        <f t="shared" si="68"/>
        <v>3.6363153891060908E-2</v>
      </c>
      <c r="M122" s="432">
        <f t="shared" si="69"/>
        <v>6.2157868458081793E-2</v>
      </c>
      <c r="N122" s="432">
        <f t="shared" si="70"/>
        <v>6.483418521621101E-2</v>
      </c>
      <c r="O122" s="433">
        <f t="shared" si="71"/>
        <v>6.1095824069386045E-2</v>
      </c>
      <c r="P122" s="434">
        <f t="shared" si="72"/>
        <v>5.6694924178601516E-2</v>
      </c>
      <c r="Q122" s="1577">
        <f t="shared" si="73"/>
        <v>5.3369953788473277E-2</v>
      </c>
      <c r="R122" s="1580">
        <f t="shared" si="59"/>
        <v>4.9364925965554134E-2</v>
      </c>
      <c r="S122" s="219"/>
      <c r="T122" s="435">
        <v>204662</v>
      </c>
      <c r="U122" s="436">
        <v>4529</v>
      </c>
      <c r="V122" s="437">
        <v>209636</v>
      </c>
      <c r="W122" s="438">
        <v>6078</v>
      </c>
      <c r="X122" s="437">
        <v>214898</v>
      </c>
      <c r="Y122" s="438">
        <v>7622</v>
      </c>
      <c r="Z122" s="437">
        <v>218133</v>
      </c>
      <c r="AA122" s="438">
        <v>7940</v>
      </c>
      <c r="AB122" s="437">
        <v>220309</v>
      </c>
      <c r="AC122" s="438">
        <v>7539</v>
      </c>
      <c r="AD122" s="437">
        <v>221406</v>
      </c>
      <c r="AE122" s="438">
        <v>7322</v>
      </c>
      <c r="AF122" s="437">
        <v>221872</v>
      </c>
      <c r="AG122" s="438">
        <v>6438</v>
      </c>
      <c r="AH122" s="437">
        <v>221889</v>
      </c>
      <c r="AI122" s="438">
        <v>6140</v>
      </c>
      <c r="AJ122" s="437">
        <v>226108</v>
      </c>
      <c r="AK122" s="438">
        <v>8222</v>
      </c>
      <c r="AL122" s="439">
        <v>220310</v>
      </c>
      <c r="AM122" s="438">
        <v>13694</v>
      </c>
      <c r="AN122" s="437">
        <v>223231</v>
      </c>
      <c r="AO122" s="438">
        <v>14473</v>
      </c>
      <c r="AP122" s="440">
        <v>227135</v>
      </c>
      <c r="AQ122" s="441">
        <v>13877</v>
      </c>
      <c r="AR122" s="442">
        <v>227904</v>
      </c>
      <c r="AS122" s="443">
        <v>12921</v>
      </c>
      <c r="AT122" s="442">
        <v>229380</v>
      </c>
      <c r="AU122" s="1586">
        <v>12242</v>
      </c>
      <c r="AV122" s="1589">
        <v>231784</v>
      </c>
      <c r="AW122" s="1590">
        <v>11442</v>
      </c>
    </row>
    <row r="123" spans="1:49" ht="15" customHeight="1" x14ac:dyDescent="0.25">
      <c r="A123" s="428" t="s">
        <v>238</v>
      </c>
      <c r="B123" s="444" t="s">
        <v>239</v>
      </c>
      <c r="C123" s="190" t="s">
        <v>264</v>
      </c>
      <c r="D123" s="430">
        <f t="shared" si="60"/>
        <v>4.3259777146602577E-2</v>
      </c>
      <c r="E123" s="431">
        <f t="shared" si="61"/>
        <v>5.6737588652482268E-2</v>
      </c>
      <c r="F123" s="432">
        <f t="shared" si="62"/>
        <v>8.8910287273310865E-2</v>
      </c>
      <c r="G123" s="432">
        <f t="shared" si="63"/>
        <v>7.9836453625995271E-2</v>
      </c>
      <c r="H123" s="432">
        <f t="shared" si="64"/>
        <v>7.4962518740629688E-2</v>
      </c>
      <c r="I123" s="432">
        <f t="shared" si="65"/>
        <v>7.1458333333333332E-2</v>
      </c>
      <c r="J123" s="432">
        <f t="shared" si="66"/>
        <v>5.8566978193146414E-2</v>
      </c>
      <c r="K123" s="432">
        <f t="shared" si="67"/>
        <v>5.6418321210929823E-2</v>
      </c>
      <c r="L123" s="432">
        <f t="shared" si="68"/>
        <v>8.598726114649681E-2</v>
      </c>
      <c r="M123" s="432">
        <f t="shared" si="69"/>
        <v>0.15346002151308713</v>
      </c>
      <c r="N123" s="432">
        <f t="shared" si="70"/>
        <v>0.10226882090065315</v>
      </c>
      <c r="O123" s="433">
        <f t="shared" si="71"/>
        <v>9.8084929225645295E-2</v>
      </c>
      <c r="P123" s="434">
        <f t="shared" si="72"/>
        <v>8.8910287273310865E-2</v>
      </c>
      <c r="Q123" s="1577">
        <f t="shared" si="73"/>
        <v>8.2866741321388576E-2</v>
      </c>
      <c r="R123" s="1580">
        <f t="shared" si="59"/>
        <v>7.0817007691191411E-2</v>
      </c>
      <c r="S123" s="219"/>
      <c r="T123" s="435">
        <v>4577</v>
      </c>
      <c r="U123" s="436">
        <v>198</v>
      </c>
      <c r="V123" s="437">
        <v>4653</v>
      </c>
      <c r="W123" s="438">
        <v>264</v>
      </c>
      <c r="X123" s="437">
        <v>4656</v>
      </c>
      <c r="Y123" s="438">
        <v>336</v>
      </c>
      <c r="Z123" s="437">
        <v>4647</v>
      </c>
      <c r="AA123" s="438">
        <v>371</v>
      </c>
      <c r="AB123" s="437">
        <v>4669</v>
      </c>
      <c r="AC123" s="438">
        <v>350</v>
      </c>
      <c r="AD123" s="437">
        <v>4800</v>
      </c>
      <c r="AE123" s="438">
        <v>343</v>
      </c>
      <c r="AF123" s="437">
        <v>4815</v>
      </c>
      <c r="AG123" s="438">
        <v>282</v>
      </c>
      <c r="AH123" s="437">
        <v>5087</v>
      </c>
      <c r="AI123" s="438">
        <v>287</v>
      </c>
      <c r="AJ123" s="437">
        <v>5338</v>
      </c>
      <c r="AK123" s="438">
        <v>459</v>
      </c>
      <c r="AL123" s="439">
        <v>5578</v>
      </c>
      <c r="AM123" s="438">
        <v>856</v>
      </c>
      <c r="AN123" s="437">
        <v>5818</v>
      </c>
      <c r="AO123" s="438">
        <v>595</v>
      </c>
      <c r="AP123" s="440">
        <v>6005</v>
      </c>
      <c r="AQ123" s="441">
        <v>589</v>
      </c>
      <c r="AR123" s="442">
        <v>6231</v>
      </c>
      <c r="AS123" s="443">
        <v>554</v>
      </c>
      <c r="AT123" s="442">
        <v>6251</v>
      </c>
      <c r="AU123" s="1586">
        <v>518</v>
      </c>
      <c r="AV123" s="1589">
        <v>6891</v>
      </c>
      <c r="AW123" s="1590">
        <v>488</v>
      </c>
    </row>
    <row r="124" spans="1:49" ht="15" customHeight="1" x14ac:dyDescent="0.25">
      <c r="A124" s="449" t="s">
        <v>240</v>
      </c>
      <c r="B124" s="450" t="s">
        <v>241</v>
      </c>
      <c r="C124" s="451" t="s">
        <v>267</v>
      </c>
      <c r="D124" s="452">
        <f t="shared" si="60"/>
        <v>2.2126996493961822E-2</v>
      </c>
      <c r="E124" s="453">
        <f t="shared" si="61"/>
        <v>3.1923873839306269E-2</v>
      </c>
      <c r="F124" s="454">
        <f t="shared" si="62"/>
        <v>6.2098501070663809E-2</v>
      </c>
      <c r="G124" s="454">
        <f t="shared" si="63"/>
        <v>3.6653091447611995E-2</v>
      </c>
      <c r="H124" s="454">
        <f t="shared" si="64"/>
        <v>3.2050354507307192E-2</v>
      </c>
      <c r="I124" s="454">
        <f t="shared" si="65"/>
        <v>3.0664641643161929E-2</v>
      </c>
      <c r="J124" s="454">
        <f t="shared" si="66"/>
        <v>2.9091420139132879E-2</v>
      </c>
      <c r="K124" s="454">
        <f t="shared" si="67"/>
        <v>3.2332725487445646E-2</v>
      </c>
      <c r="L124" s="454">
        <f t="shared" si="68"/>
        <v>4.564748451743094E-2</v>
      </c>
      <c r="M124" s="454">
        <f t="shared" si="69"/>
        <v>8.4034202410989634E-2</v>
      </c>
      <c r="N124" s="454">
        <f t="shared" si="70"/>
        <v>7.6411960132890366E-2</v>
      </c>
      <c r="O124" s="455">
        <f t="shared" si="71"/>
        <v>7.2586818846127082E-2</v>
      </c>
      <c r="P124" s="456">
        <f t="shared" si="72"/>
        <v>6.2098501070663809E-2</v>
      </c>
      <c r="Q124" s="1581">
        <f t="shared" si="73"/>
        <v>5.3840387105568051E-2</v>
      </c>
      <c r="R124" s="455">
        <f t="shared" si="59"/>
        <v>5.0065512723260465E-2</v>
      </c>
      <c r="S124" s="219"/>
      <c r="T124" s="435">
        <v>12835</v>
      </c>
      <c r="U124" s="436">
        <v>284</v>
      </c>
      <c r="V124" s="437">
        <v>13031</v>
      </c>
      <c r="W124" s="438">
        <v>416</v>
      </c>
      <c r="X124" s="437">
        <v>13313</v>
      </c>
      <c r="Y124" s="438">
        <v>525</v>
      </c>
      <c r="Z124" s="437">
        <v>13505</v>
      </c>
      <c r="AA124" s="438">
        <v>495</v>
      </c>
      <c r="AB124" s="437">
        <v>13822</v>
      </c>
      <c r="AC124" s="438">
        <v>443</v>
      </c>
      <c r="AD124" s="437">
        <v>13827</v>
      </c>
      <c r="AE124" s="438">
        <v>424</v>
      </c>
      <c r="AF124" s="437">
        <v>14231</v>
      </c>
      <c r="AG124" s="438">
        <v>414</v>
      </c>
      <c r="AH124" s="437">
        <v>14258</v>
      </c>
      <c r="AI124" s="438">
        <v>461</v>
      </c>
      <c r="AJ124" s="437">
        <v>14371</v>
      </c>
      <c r="AK124" s="438">
        <v>656</v>
      </c>
      <c r="AL124" s="439">
        <v>14268</v>
      </c>
      <c r="AM124" s="438">
        <v>1199</v>
      </c>
      <c r="AN124" s="437">
        <v>13846</v>
      </c>
      <c r="AO124" s="438">
        <v>1058</v>
      </c>
      <c r="AP124" s="440">
        <v>14369</v>
      </c>
      <c r="AQ124" s="441">
        <v>1043</v>
      </c>
      <c r="AR124" s="442">
        <v>14477</v>
      </c>
      <c r="AS124" s="443">
        <v>899</v>
      </c>
      <c r="AT124" s="442">
        <v>14673</v>
      </c>
      <c r="AU124" s="1586">
        <v>790</v>
      </c>
      <c r="AV124" s="1589">
        <v>14501</v>
      </c>
      <c r="AW124" s="1590">
        <v>726</v>
      </c>
    </row>
    <row r="125" spans="1:49" ht="15" customHeight="1" x14ac:dyDescent="0.25">
      <c r="A125" s="428"/>
      <c r="B125" s="457"/>
      <c r="C125" s="190"/>
      <c r="D125" s="190"/>
      <c r="E125" s="458"/>
      <c r="F125" s="458"/>
      <c r="G125" s="458"/>
      <c r="H125" s="458"/>
      <c r="I125" s="458"/>
      <c r="J125" s="458"/>
      <c r="K125" s="458"/>
      <c r="L125" s="458"/>
      <c r="M125" s="458"/>
      <c r="N125" s="458"/>
      <c r="O125" s="187"/>
      <c r="P125" s="187"/>
      <c r="Q125" s="187"/>
      <c r="R125" s="187"/>
      <c r="S125" s="190"/>
      <c r="T125" s="190"/>
      <c r="U125" s="190"/>
      <c r="V125" s="459"/>
      <c r="W125" s="459"/>
      <c r="X125" s="459"/>
      <c r="Y125" s="459"/>
      <c r="Z125" s="459"/>
      <c r="AA125" s="459"/>
      <c r="AB125" s="459"/>
      <c r="AC125" s="459"/>
      <c r="AD125" s="459"/>
      <c r="AE125" s="459"/>
      <c r="AF125" s="459"/>
      <c r="AG125" s="459"/>
      <c r="AH125" s="459"/>
      <c r="AI125" s="459"/>
      <c r="AJ125" s="459"/>
      <c r="AK125" s="459"/>
      <c r="AL125" s="459"/>
      <c r="AM125" s="459"/>
      <c r="AN125" s="459"/>
      <c r="AO125" s="459"/>
      <c r="AP125" s="460"/>
      <c r="AQ125" s="460"/>
    </row>
    <row r="126" spans="1:49" ht="15" customHeight="1" x14ac:dyDescent="0.25">
      <c r="A126" s="631" t="s">
        <v>266</v>
      </c>
      <c r="B126" s="457"/>
      <c r="C126" s="190"/>
      <c r="D126" s="462">
        <f t="shared" ref="D126:D130" si="74">U126/T126</f>
        <v>2.1679057609396746E-2</v>
      </c>
      <c r="E126" s="432">
        <f t="shared" ref="E126:E130" si="75">W126/V126</f>
        <v>3.2030303940112692E-2</v>
      </c>
      <c r="F126" s="432">
        <f t="shared" ref="F126:F130" si="76">AS126/AR126</f>
        <v>6.4290460055545062E-2</v>
      </c>
      <c r="G126" s="432">
        <f t="shared" ref="G126:G130" si="77">AA126/Z126</f>
        <v>4.2394399201353336E-2</v>
      </c>
      <c r="H126" s="432">
        <f t="shared" ref="H126:H130" si="78">AC126/AB126</f>
        <v>3.9432360308648967E-2</v>
      </c>
      <c r="I126" s="432">
        <f t="shared" ref="I126:I130" si="79">AE126/AD126</f>
        <v>3.8119653356368605E-2</v>
      </c>
      <c r="J126" s="432">
        <f t="shared" ref="J126:J130" si="80">AG126/AF126</f>
        <v>3.2701218361270601E-2</v>
      </c>
      <c r="K126" s="432">
        <f t="shared" ref="K126:K130" si="81">AI126/AH126</f>
        <v>3.2068094393999685E-2</v>
      </c>
      <c r="L126" s="432">
        <f t="shared" ref="L126:L130" si="82">AK126/AJ126</f>
        <v>4.2602168327453109E-2</v>
      </c>
      <c r="M126" s="432">
        <f t="shared" ref="M126:M130" si="83">AM126/AL126</f>
        <v>7.8390419471700112E-2</v>
      </c>
      <c r="N126" s="432">
        <f t="shared" ref="N126:N130" si="84">AO126/AN126</f>
        <v>7.9888358666195355E-2</v>
      </c>
      <c r="O126" s="1582">
        <f t="shared" ref="O126:O130" si="85">AQ126/AP126</f>
        <v>7.1869259021356616E-2</v>
      </c>
      <c r="P126" s="1583">
        <f t="shared" ref="P126:P130" si="86">AS126/AR126</f>
        <v>6.4290460055545062E-2</v>
      </c>
      <c r="Q126" s="1583">
        <f t="shared" ref="Q126:Q130" si="87">AU126/AT126</f>
        <v>5.9735844084419898E-2</v>
      </c>
      <c r="R126" s="1580">
        <f>AW126/AV126</f>
        <v>5.4937182616739924E-2</v>
      </c>
      <c r="S126" s="190"/>
      <c r="T126" s="464">
        <v>589140</v>
      </c>
      <c r="U126" s="441">
        <v>12772</v>
      </c>
      <c r="V126" s="464">
        <v>599526</v>
      </c>
      <c r="W126" s="441">
        <v>19203</v>
      </c>
      <c r="X126" s="464">
        <v>612786</v>
      </c>
      <c r="Y126" s="441">
        <v>25482</v>
      </c>
      <c r="Z126" s="464">
        <v>623054</v>
      </c>
      <c r="AA126" s="441">
        <v>26414</v>
      </c>
      <c r="AB126" s="464">
        <v>635544</v>
      </c>
      <c r="AC126" s="441">
        <v>25061</v>
      </c>
      <c r="AD126" s="464">
        <v>645966</v>
      </c>
      <c r="AE126" s="441">
        <v>24624</v>
      </c>
      <c r="AF126" s="464">
        <v>656948</v>
      </c>
      <c r="AG126" s="441">
        <v>21483</v>
      </c>
      <c r="AH126" s="464">
        <v>663432</v>
      </c>
      <c r="AI126" s="441">
        <v>21275</v>
      </c>
      <c r="AJ126" s="464">
        <v>684214</v>
      </c>
      <c r="AK126" s="441">
        <v>29149</v>
      </c>
      <c r="AL126" s="464">
        <v>679879</v>
      </c>
      <c r="AM126" s="441">
        <v>53296</v>
      </c>
      <c r="AN126" s="464">
        <v>678960</v>
      </c>
      <c r="AO126" s="441">
        <v>54241</v>
      </c>
      <c r="AP126" s="464">
        <v>689669</v>
      </c>
      <c r="AQ126" s="441">
        <v>49566</v>
      </c>
      <c r="AR126" s="464">
        <v>693851</v>
      </c>
      <c r="AS126" s="441">
        <v>44608</v>
      </c>
      <c r="AT126" s="464">
        <v>698224</v>
      </c>
      <c r="AU126" s="1591">
        <v>41709</v>
      </c>
      <c r="AV126" s="1857">
        <v>709119</v>
      </c>
      <c r="AW126" s="1858">
        <v>38957</v>
      </c>
    </row>
    <row r="127" spans="1:49" ht="15" customHeight="1" x14ac:dyDescent="0.25">
      <c r="A127" s="631" t="s">
        <v>264</v>
      </c>
      <c r="B127" s="457"/>
      <c r="C127" s="190"/>
      <c r="D127" s="462">
        <f t="shared" si="74"/>
        <v>2.5429563703006187E-2</v>
      </c>
      <c r="E127" s="432">
        <f t="shared" si="75"/>
        <v>3.321706618825393E-2</v>
      </c>
      <c r="F127" s="432">
        <f t="shared" si="76"/>
        <v>6.6414075961871114E-2</v>
      </c>
      <c r="G127" s="432">
        <f t="shared" si="77"/>
        <v>4.2791271264473518E-2</v>
      </c>
      <c r="H127" s="432">
        <f t="shared" si="78"/>
        <v>4.0761272067991045E-2</v>
      </c>
      <c r="I127" s="432">
        <f t="shared" si="79"/>
        <v>3.9893832142007021E-2</v>
      </c>
      <c r="J127" s="432">
        <f t="shared" si="80"/>
        <v>3.4054139645035592E-2</v>
      </c>
      <c r="K127" s="432">
        <f t="shared" si="81"/>
        <v>3.3091630916195276E-2</v>
      </c>
      <c r="L127" s="432">
        <f t="shared" si="82"/>
        <v>4.2744274872914149E-2</v>
      </c>
      <c r="M127" s="432">
        <f t="shared" si="83"/>
        <v>7.2502585768335376E-2</v>
      </c>
      <c r="N127" s="432">
        <f t="shared" si="84"/>
        <v>7.6663536748089484E-2</v>
      </c>
      <c r="O127" s="1582">
        <f t="shared" si="85"/>
        <v>7.2411265556543009E-2</v>
      </c>
      <c r="P127" s="1583">
        <f t="shared" si="86"/>
        <v>6.6414075961871114E-2</v>
      </c>
      <c r="Q127" s="1583">
        <f t="shared" si="87"/>
        <v>6.1377424762512969E-2</v>
      </c>
      <c r="R127" s="1580">
        <f t="shared" ref="R127:R130" si="88">AW127/AV127</f>
        <v>5.7334382521145637E-2</v>
      </c>
      <c r="S127" s="190"/>
      <c r="T127" s="464">
        <v>790104</v>
      </c>
      <c r="U127" s="441">
        <v>20092</v>
      </c>
      <c r="V127" s="464">
        <v>809343</v>
      </c>
      <c r="W127" s="441">
        <v>26884</v>
      </c>
      <c r="X127" s="464">
        <v>834322</v>
      </c>
      <c r="Y127" s="441">
        <v>34653</v>
      </c>
      <c r="Z127" s="464">
        <v>848187</v>
      </c>
      <c r="AA127" s="441">
        <v>36295</v>
      </c>
      <c r="AB127" s="464">
        <v>857407</v>
      </c>
      <c r="AC127" s="441">
        <v>34949</v>
      </c>
      <c r="AD127" s="464">
        <v>865422</v>
      </c>
      <c r="AE127" s="441">
        <v>34525</v>
      </c>
      <c r="AF127" s="464">
        <v>871524</v>
      </c>
      <c r="AG127" s="441">
        <v>29679</v>
      </c>
      <c r="AH127" s="464">
        <v>878077</v>
      </c>
      <c r="AI127" s="441">
        <v>29057</v>
      </c>
      <c r="AJ127" s="464">
        <v>898015</v>
      </c>
      <c r="AK127" s="441">
        <v>38385</v>
      </c>
      <c r="AL127" s="464">
        <v>890451</v>
      </c>
      <c r="AM127" s="441">
        <v>64560</v>
      </c>
      <c r="AN127" s="464">
        <v>890332</v>
      </c>
      <c r="AO127" s="441">
        <v>68256</v>
      </c>
      <c r="AP127" s="464">
        <v>899059</v>
      </c>
      <c r="AQ127" s="441">
        <v>65102</v>
      </c>
      <c r="AR127" s="464">
        <v>898951</v>
      </c>
      <c r="AS127" s="441">
        <v>59703</v>
      </c>
      <c r="AT127" s="464">
        <v>901944</v>
      </c>
      <c r="AU127" s="1591">
        <v>55359</v>
      </c>
      <c r="AV127" s="1857">
        <v>911181</v>
      </c>
      <c r="AW127" s="1858">
        <v>52242</v>
      </c>
    </row>
    <row r="128" spans="1:49" ht="15" customHeight="1" x14ac:dyDescent="0.25">
      <c r="A128" s="631" t="s">
        <v>267</v>
      </c>
      <c r="B128" s="457"/>
      <c r="C128" s="190"/>
      <c r="D128" s="462">
        <f t="shared" si="74"/>
        <v>1.6879580584418224E-2</v>
      </c>
      <c r="E128" s="432">
        <f t="shared" si="75"/>
        <v>2.5097361051548011E-2</v>
      </c>
      <c r="F128" s="432">
        <f t="shared" si="76"/>
        <v>4.7615979164822256E-2</v>
      </c>
      <c r="G128" s="432">
        <f t="shared" si="77"/>
        <v>3.2218112314505103E-2</v>
      </c>
      <c r="H128" s="432">
        <f t="shared" si="78"/>
        <v>2.8120733230688783E-2</v>
      </c>
      <c r="I128" s="432">
        <f t="shared" si="79"/>
        <v>2.6636652355762697E-2</v>
      </c>
      <c r="J128" s="432">
        <f t="shared" si="80"/>
        <v>2.3449638566046073E-2</v>
      </c>
      <c r="K128" s="432">
        <f t="shared" si="81"/>
        <v>2.4120898620760063E-2</v>
      </c>
      <c r="L128" s="432">
        <f t="shared" si="82"/>
        <v>3.1947445790692676E-2</v>
      </c>
      <c r="M128" s="432">
        <f t="shared" si="83"/>
        <v>5.5781156472135565E-2</v>
      </c>
      <c r="N128" s="432">
        <f t="shared" si="84"/>
        <v>5.647942135360267E-2</v>
      </c>
      <c r="O128" s="1582">
        <f t="shared" si="85"/>
        <v>5.1413270937415316E-2</v>
      </c>
      <c r="P128" s="1583">
        <f t="shared" si="86"/>
        <v>4.7615979164822256E-2</v>
      </c>
      <c r="Q128" s="1583">
        <f t="shared" si="87"/>
        <v>4.5670222416519413E-2</v>
      </c>
      <c r="R128" s="1580">
        <f t="shared" si="88"/>
        <v>4.3764253005167571E-2</v>
      </c>
      <c r="S128" s="190"/>
      <c r="T128" s="464">
        <v>1402523</v>
      </c>
      <c r="U128" s="441">
        <v>23674</v>
      </c>
      <c r="V128" s="464">
        <v>1438717</v>
      </c>
      <c r="W128" s="441">
        <v>36108</v>
      </c>
      <c r="X128" s="464">
        <v>1474609</v>
      </c>
      <c r="Y128" s="441">
        <v>50369</v>
      </c>
      <c r="Z128" s="464">
        <v>1502602</v>
      </c>
      <c r="AA128" s="441">
        <v>48411</v>
      </c>
      <c r="AB128" s="464">
        <v>1549035</v>
      </c>
      <c r="AC128" s="441">
        <v>43560</v>
      </c>
      <c r="AD128" s="464">
        <v>1589464</v>
      </c>
      <c r="AE128" s="441">
        <v>42338</v>
      </c>
      <c r="AF128" s="464">
        <v>1629620</v>
      </c>
      <c r="AG128" s="441">
        <v>38214</v>
      </c>
      <c r="AH128" s="464">
        <v>1645544</v>
      </c>
      <c r="AI128" s="441">
        <v>39692</v>
      </c>
      <c r="AJ128" s="464">
        <v>1702014</v>
      </c>
      <c r="AK128" s="441">
        <v>54375</v>
      </c>
      <c r="AL128" s="464">
        <v>1702367</v>
      </c>
      <c r="AM128" s="441">
        <v>94960</v>
      </c>
      <c r="AN128" s="464">
        <v>1723194</v>
      </c>
      <c r="AO128" s="441">
        <v>97325</v>
      </c>
      <c r="AP128" s="464">
        <v>1767637</v>
      </c>
      <c r="AQ128" s="441">
        <v>90880</v>
      </c>
      <c r="AR128" s="464">
        <v>1784674</v>
      </c>
      <c r="AS128" s="441">
        <v>84979</v>
      </c>
      <c r="AT128" s="464">
        <v>1797933</v>
      </c>
      <c r="AU128" s="1591">
        <v>82112</v>
      </c>
      <c r="AV128" s="1857">
        <v>1801813</v>
      </c>
      <c r="AW128" s="1858">
        <v>78855</v>
      </c>
    </row>
    <row r="129" spans="1:49" ht="15" customHeight="1" x14ac:dyDescent="0.25">
      <c r="A129" s="631" t="s">
        <v>265</v>
      </c>
      <c r="B129" s="457"/>
      <c r="C129" s="190"/>
      <c r="D129" s="462">
        <f t="shared" si="74"/>
        <v>2.6854844076996457E-2</v>
      </c>
      <c r="E129" s="432">
        <f t="shared" si="75"/>
        <v>3.9423327904591389E-2</v>
      </c>
      <c r="F129" s="432">
        <f t="shared" si="76"/>
        <v>6.7452757868989105E-2</v>
      </c>
      <c r="G129" s="432">
        <f t="shared" si="77"/>
        <v>5.2694301547261999E-2</v>
      </c>
      <c r="H129" s="432">
        <f t="shared" si="78"/>
        <v>4.7009844629719737E-2</v>
      </c>
      <c r="I129" s="432">
        <f t="shared" si="79"/>
        <v>4.3417369487565104E-2</v>
      </c>
      <c r="J129" s="432">
        <f t="shared" si="80"/>
        <v>3.6775540716354825E-2</v>
      </c>
      <c r="K129" s="432">
        <f t="shared" si="81"/>
        <v>3.7330460247607104E-2</v>
      </c>
      <c r="L129" s="432">
        <f t="shared" si="82"/>
        <v>4.7130381241770838E-2</v>
      </c>
      <c r="M129" s="432">
        <f t="shared" si="83"/>
        <v>8.4040551839464878E-2</v>
      </c>
      <c r="N129" s="432">
        <f t="shared" si="84"/>
        <v>8.5694305483139097E-2</v>
      </c>
      <c r="O129" s="1582">
        <f t="shared" si="85"/>
        <v>7.5830646291882797E-2</v>
      </c>
      <c r="P129" s="1583">
        <f t="shared" si="86"/>
        <v>6.7452757868989105E-2</v>
      </c>
      <c r="Q129" s="1583">
        <f t="shared" si="87"/>
        <v>6.2925050088890142E-2</v>
      </c>
      <c r="R129" s="1580">
        <f t="shared" si="88"/>
        <v>5.6255291663393471E-2</v>
      </c>
      <c r="S129" s="190"/>
      <c r="T129" s="464">
        <v>540908</v>
      </c>
      <c r="U129" s="441">
        <v>14526</v>
      </c>
      <c r="V129" s="464">
        <v>544018</v>
      </c>
      <c r="W129" s="441">
        <v>21447</v>
      </c>
      <c r="X129" s="464">
        <v>553934</v>
      </c>
      <c r="Y129" s="441">
        <v>30022</v>
      </c>
      <c r="Z129" s="464">
        <v>553817</v>
      </c>
      <c r="AA129" s="441">
        <v>29183</v>
      </c>
      <c r="AB129" s="464">
        <v>546694</v>
      </c>
      <c r="AC129" s="441">
        <v>25700</v>
      </c>
      <c r="AD129" s="464">
        <v>551231</v>
      </c>
      <c r="AE129" s="441">
        <v>23933</v>
      </c>
      <c r="AF129" s="464">
        <v>556484</v>
      </c>
      <c r="AG129" s="441">
        <v>20465</v>
      </c>
      <c r="AH129" s="464">
        <v>559677</v>
      </c>
      <c r="AI129" s="441">
        <v>20893</v>
      </c>
      <c r="AJ129" s="464">
        <v>574937</v>
      </c>
      <c r="AK129" s="441">
        <v>27097</v>
      </c>
      <c r="AL129" s="464">
        <v>574080</v>
      </c>
      <c r="AM129" s="441">
        <v>48246</v>
      </c>
      <c r="AN129" s="464">
        <v>567704</v>
      </c>
      <c r="AO129" s="441">
        <v>48649</v>
      </c>
      <c r="AP129" s="464">
        <v>570640</v>
      </c>
      <c r="AQ129" s="441">
        <v>43272</v>
      </c>
      <c r="AR129" s="464">
        <v>567449</v>
      </c>
      <c r="AS129" s="441">
        <v>38276</v>
      </c>
      <c r="AT129" s="464">
        <v>566992</v>
      </c>
      <c r="AU129" s="1591">
        <v>35678</v>
      </c>
      <c r="AV129" s="1857">
        <v>572835</v>
      </c>
      <c r="AW129" s="1858">
        <v>32225</v>
      </c>
    </row>
    <row r="130" spans="1:49" ht="15" customHeight="1" x14ac:dyDescent="0.25">
      <c r="A130" s="631" t="s">
        <v>268</v>
      </c>
      <c r="B130" s="457"/>
      <c r="C130" s="190"/>
      <c r="D130" s="462">
        <f t="shared" si="74"/>
        <v>3.9992807186691764E-2</v>
      </c>
      <c r="E130" s="432">
        <f t="shared" si="75"/>
        <v>5.3137166447425783E-2</v>
      </c>
      <c r="F130" s="432">
        <f t="shared" si="76"/>
        <v>7.4349172729448798E-2</v>
      </c>
      <c r="G130" s="432">
        <f t="shared" si="77"/>
        <v>5.6062505678204776E-2</v>
      </c>
      <c r="H130" s="432">
        <f t="shared" si="78"/>
        <v>4.9803733701727221E-2</v>
      </c>
      <c r="I130" s="432">
        <f t="shared" si="79"/>
        <v>4.6585865926137393E-2</v>
      </c>
      <c r="J130" s="432">
        <f t="shared" si="80"/>
        <v>4.2236984855915705E-2</v>
      </c>
      <c r="K130" s="432">
        <f t="shared" si="81"/>
        <v>4.4953707811991601E-2</v>
      </c>
      <c r="L130" s="432">
        <f t="shared" si="82"/>
        <v>5.2288495169289871E-2</v>
      </c>
      <c r="M130" s="432">
        <f t="shared" si="83"/>
        <v>9.1706631941871258E-2</v>
      </c>
      <c r="N130" s="432">
        <f t="shared" si="84"/>
        <v>9.1026399268777897E-2</v>
      </c>
      <c r="O130" s="1582">
        <f t="shared" si="85"/>
        <v>7.946351107255116E-2</v>
      </c>
      <c r="P130" s="1583">
        <f t="shared" si="86"/>
        <v>7.4349172729448798E-2</v>
      </c>
      <c r="Q130" s="1583">
        <f t="shared" si="87"/>
        <v>7.3725547232928512E-2</v>
      </c>
      <c r="R130" s="1580">
        <f t="shared" si="88"/>
        <v>6.6828429126257347E-2</v>
      </c>
      <c r="S130" s="190"/>
      <c r="T130" s="464">
        <v>261372</v>
      </c>
      <c r="U130" s="441">
        <v>10453</v>
      </c>
      <c r="V130" s="464">
        <v>263789</v>
      </c>
      <c r="W130" s="441">
        <v>14017</v>
      </c>
      <c r="X130" s="464">
        <v>269002</v>
      </c>
      <c r="Y130" s="441">
        <v>16039</v>
      </c>
      <c r="Z130" s="464">
        <v>275175</v>
      </c>
      <c r="AA130" s="441">
        <v>15427</v>
      </c>
      <c r="AB130" s="464">
        <v>269277</v>
      </c>
      <c r="AC130" s="441">
        <v>13411</v>
      </c>
      <c r="AD130" s="464">
        <v>269717</v>
      </c>
      <c r="AE130" s="441">
        <v>12565</v>
      </c>
      <c r="AF130" s="464">
        <v>269148</v>
      </c>
      <c r="AG130" s="441">
        <v>11368</v>
      </c>
      <c r="AH130" s="464">
        <v>270456</v>
      </c>
      <c r="AI130" s="441">
        <v>12158</v>
      </c>
      <c r="AJ130" s="464">
        <v>279048</v>
      </c>
      <c r="AK130" s="441">
        <v>14591</v>
      </c>
      <c r="AL130" s="464">
        <v>283371</v>
      </c>
      <c r="AM130" s="441">
        <v>25987</v>
      </c>
      <c r="AN130" s="464">
        <v>278985</v>
      </c>
      <c r="AO130" s="441">
        <v>25395</v>
      </c>
      <c r="AP130" s="464">
        <v>281236</v>
      </c>
      <c r="AQ130" s="441">
        <v>22348</v>
      </c>
      <c r="AR130" s="464">
        <v>275726</v>
      </c>
      <c r="AS130" s="441">
        <v>20500</v>
      </c>
      <c r="AT130" s="464">
        <v>275020</v>
      </c>
      <c r="AU130" s="1591">
        <v>20276</v>
      </c>
      <c r="AV130" s="1857">
        <v>266234</v>
      </c>
      <c r="AW130" s="1858">
        <v>17792</v>
      </c>
    </row>
    <row r="131" spans="1:49" ht="15" customHeight="1" x14ac:dyDescent="0.25">
      <c r="A131" s="461"/>
      <c r="B131" s="457"/>
      <c r="C131" s="190"/>
      <c r="D131" s="190"/>
      <c r="E131" s="458"/>
      <c r="F131" s="458"/>
      <c r="G131" s="458"/>
      <c r="H131" s="458"/>
      <c r="I131" s="458"/>
      <c r="J131" s="458"/>
      <c r="K131" s="458"/>
      <c r="L131" s="458"/>
      <c r="M131" s="458"/>
      <c r="N131" s="458"/>
      <c r="O131" s="187"/>
      <c r="P131" s="187"/>
      <c r="Q131" s="187"/>
      <c r="R131" s="187"/>
      <c r="S131" s="190"/>
      <c r="T131" s="190"/>
      <c r="U131" s="190"/>
      <c r="V131" s="459"/>
      <c r="W131" s="459"/>
      <c r="X131" s="459"/>
      <c r="Y131" s="459"/>
      <c r="Z131" s="459"/>
      <c r="AA131" s="459"/>
      <c r="AB131" s="459"/>
      <c r="AC131" s="459"/>
      <c r="AD131" s="459"/>
      <c r="AE131" s="459"/>
      <c r="AF131" s="459"/>
      <c r="AG131" s="459"/>
      <c r="AH131" s="459"/>
      <c r="AI131" s="459"/>
      <c r="AJ131" s="459"/>
      <c r="AK131" s="459"/>
      <c r="AL131" s="459"/>
      <c r="AM131" s="459"/>
      <c r="AN131" s="459"/>
      <c r="AO131" s="459"/>
      <c r="AP131" s="460"/>
      <c r="AQ131" s="460"/>
    </row>
    <row r="132" spans="1:49" ht="16.5" customHeight="1" x14ac:dyDescent="0.25">
      <c r="A132" s="2085" t="s">
        <v>851</v>
      </c>
      <c r="B132" s="2086"/>
      <c r="C132" s="2086"/>
      <c r="D132" s="2086"/>
      <c r="E132" s="2086"/>
      <c r="F132" s="2086"/>
      <c r="G132" s="2086"/>
      <c r="H132" s="2086"/>
      <c r="I132" s="2086"/>
      <c r="J132" s="2086"/>
      <c r="K132" s="2086"/>
      <c r="L132" s="2086"/>
      <c r="M132" s="2086"/>
      <c r="N132" s="2086"/>
      <c r="O132" s="2086"/>
      <c r="P132" s="608"/>
      <c r="Q132" s="608"/>
      <c r="R132" s="608"/>
    </row>
    <row r="133" spans="1:49" ht="16.5" customHeight="1" x14ac:dyDescent="0.25">
      <c r="A133" s="2086"/>
      <c r="B133" s="2086"/>
      <c r="C133" s="2086"/>
      <c r="D133" s="2086"/>
      <c r="E133" s="2086"/>
      <c r="F133" s="2086"/>
      <c r="G133" s="2086"/>
      <c r="H133" s="2086"/>
      <c r="I133" s="2086"/>
      <c r="J133" s="2086"/>
      <c r="K133" s="2086"/>
      <c r="L133" s="2086"/>
      <c r="M133" s="2086"/>
      <c r="N133" s="2086"/>
      <c r="O133" s="2086"/>
      <c r="P133" s="510"/>
      <c r="Q133" s="510"/>
      <c r="R133" s="510"/>
    </row>
    <row r="134" spans="1:49" ht="16.5" customHeight="1" x14ac:dyDescent="0.25">
      <c r="A134" s="509"/>
      <c r="B134" s="509"/>
      <c r="C134" s="509"/>
      <c r="D134" s="509"/>
      <c r="E134" s="509"/>
      <c r="F134" s="509"/>
      <c r="G134" s="509"/>
      <c r="H134" s="509"/>
      <c r="I134" s="509"/>
      <c r="J134" s="509"/>
      <c r="K134" s="509"/>
      <c r="L134" s="509"/>
      <c r="M134" s="509"/>
      <c r="N134" s="509"/>
      <c r="O134" s="509"/>
      <c r="P134" s="510"/>
      <c r="Q134" s="510"/>
      <c r="R134" s="510"/>
    </row>
    <row r="135" spans="1:49" x14ac:dyDescent="0.25">
      <c r="A135" s="414" t="s">
        <v>248</v>
      </c>
    </row>
    <row r="136" spans="1:49" x14ac:dyDescent="0.25">
      <c r="A136" s="415" t="s">
        <v>249</v>
      </c>
      <c r="B136" s="416" t="s">
        <v>250</v>
      </c>
    </row>
    <row r="137" spans="1:49" x14ac:dyDescent="0.25">
      <c r="V137" s="465"/>
      <c r="W137" s="465"/>
      <c r="X137" s="465"/>
      <c r="Y137" s="465"/>
      <c r="Z137" s="465"/>
      <c r="AA137" s="465"/>
      <c r="AB137" s="465"/>
      <c r="AC137" s="465"/>
      <c r="AD137" s="465"/>
      <c r="AE137" s="465"/>
      <c r="AF137" s="465"/>
      <c r="AG137" s="465"/>
      <c r="AH137" s="465"/>
      <c r="AI137" s="465"/>
      <c r="AJ137" s="465"/>
      <c r="AK137" s="465"/>
      <c r="AL137" s="465"/>
      <c r="AM137" s="465"/>
      <c r="AN137" s="465"/>
      <c r="AO137" s="465"/>
    </row>
  </sheetData>
  <autoFilter ref="A3:C124"/>
  <sortState ref="A5:AW124">
    <sortCondition ref="A5:A124"/>
  </sortState>
  <mergeCells count="1">
    <mergeCell ref="A132:O133"/>
  </mergeCells>
  <hyperlinks>
    <hyperlink ref="B136" r:id="rId1"/>
  </hyperlinks>
  <pageMargins left="0.7" right="0.7" top="0.75" bottom="0.75" header="0.3" footer="0.3"/>
  <pageSetup orientation="portrait" r:id="rId2"/>
  <headerFooter>
    <oddHeader>&amp;C&amp;"Courier New,Bold"&amp;12Unemployment Rate 2004-2010</oddHeader>
    <oddFooter>&amp;C&amp;"Courier New,Regular"&amp;P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ySplit="6" topLeftCell="A113" activePane="bottomLeft" state="frozen"/>
      <selection pane="bottomLeft" activeCell="D128" sqref="D128:D132"/>
    </sheetView>
  </sheetViews>
  <sheetFormatPr defaultRowHeight="15.75" x14ac:dyDescent="0.25"/>
  <cols>
    <col min="1" max="1" width="7.75" style="134" customWidth="1"/>
    <col min="2" max="2" width="28.625" style="158" customWidth="1"/>
    <col min="3" max="3" width="10" style="158" customWidth="1"/>
    <col min="4" max="4" width="8.375" style="158" customWidth="1"/>
    <col min="5" max="7" width="8.375" style="157" customWidth="1"/>
    <col min="8" max="11" width="6.875" style="134" customWidth="1"/>
    <col min="12" max="15" width="6.875" style="135" customWidth="1"/>
    <col min="16" max="16384" width="9" style="134"/>
  </cols>
  <sheetData>
    <row r="1" spans="1:15" x14ac:dyDescent="0.25">
      <c r="A1" s="313" t="s">
        <v>1139</v>
      </c>
      <c r="B1" s="313"/>
      <c r="C1" s="313"/>
      <c r="D1" s="313"/>
      <c r="E1" s="313"/>
      <c r="F1" s="313"/>
      <c r="G1" s="313"/>
      <c r="H1" s="313"/>
      <c r="I1" s="314"/>
      <c r="J1" s="314"/>
      <c r="K1" s="314"/>
      <c r="L1" s="314"/>
      <c r="M1" s="314"/>
      <c r="N1" s="314"/>
      <c r="O1" s="314"/>
    </row>
    <row r="2" spans="1:15" x14ac:dyDescent="0.25">
      <c r="A2" s="96"/>
      <c r="B2" s="136"/>
      <c r="C2" s="136"/>
      <c r="D2" s="136"/>
      <c r="E2" s="2091"/>
      <c r="F2" s="2091"/>
      <c r="G2" s="2091"/>
    </row>
    <row r="3" spans="1:15" s="142" customFormat="1" ht="15.75" customHeight="1" x14ac:dyDescent="0.2">
      <c r="A3" s="137"/>
      <c r="B3" s="138"/>
      <c r="C3" s="138"/>
      <c r="D3" s="139" t="s">
        <v>630</v>
      </c>
      <c r="E3" s="140"/>
      <c r="F3" s="140"/>
      <c r="G3" s="141"/>
      <c r="H3" s="2088" t="s">
        <v>631</v>
      </c>
      <c r="I3" s="2089"/>
      <c r="J3" s="2089"/>
      <c r="K3" s="2089"/>
      <c r="L3" s="2089"/>
      <c r="M3" s="2089"/>
      <c r="N3" s="2089"/>
      <c r="O3" s="2089"/>
    </row>
    <row r="4" spans="1:15" s="142" customFormat="1" ht="24.75" customHeight="1" x14ac:dyDescent="0.2">
      <c r="A4" s="2092" t="s">
        <v>4</v>
      </c>
      <c r="B4" s="2094" t="s">
        <v>5</v>
      </c>
      <c r="C4" s="2094" t="s">
        <v>251</v>
      </c>
      <c r="D4" s="2088" t="s">
        <v>632</v>
      </c>
      <c r="E4" s="2089"/>
      <c r="F4" s="2089"/>
      <c r="G4" s="2090"/>
      <c r="H4" s="2088" t="s">
        <v>633</v>
      </c>
      <c r="I4" s="2089"/>
      <c r="J4" s="2089"/>
      <c r="K4" s="2090"/>
      <c r="L4" s="2088" t="s">
        <v>634</v>
      </c>
      <c r="M4" s="2089"/>
      <c r="N4" s="2089"/>
      <c r="O4" s="2090"/>
    </row>
    <row r="5" spans="1:15" s="142" customFormat="1" ht="15" customHeight="1" x14ac:dyDescent="0.2">
      <c r="A5" s="2093"/>
      <c r="B5" s="2095"/>
      <c r="C5" s="2095"/>
      <c r="D5" s="143" t="s">
        <v>635</v>
      </c>
      <c r="E5" s="144" t="s">
        <v>563</v>
      </c>
      <c r="F5" s="144" t="s">
        <v>564</v>
      </c>
      <c r="G5" s="297" t="s">
        <v>636</v>
      </c>
      <c r="H5" s="143" t="s">
        <v>635</v>
      </c>
      <c r="I5" s="144" t="s">
        <v>563</v>
      </c>
      <c r="J5" s="144" t="s">
        <v>564</v>
      </c>
      <c r="K5" s="297" t="s">
        <v>636</v>
      </c>
      <c r="L5" s="143" t="s">
        <v>635</v>
      </c>
      <c r="M5" s="144" t="s">
        <v>563</v>
      </c>
      <c r="N5" s="144" t="s">
        <v>564</v>
      </c>
      <c r="O5" s="145" t="s">
        <v>636</v>
      </c>
    </row>
    <row r="6" spans="1:15" s="142" customFormat="1" ht="15.75" customHeight="1" x14ac:dyDescent="0.2">
      <c r="A6" s="146" t="s">
        <v>8</v>
      </c>
      <c r="B6" s="147" t="s">
        <v>9</v>
      </c>
      <c r="C6" s="148"/>
      <c r="D6" s="298">
        <v>101977</v>
      </c>
      <c r="E6" s="299">
        <v>65008</v>
      </c>
      <c r="F6" s="299">
        <v>21623</v>
      </c>
      <c r="G6" s="300">
        <v>15346</v>
      </c>
      <c r="H6" s="298">
        <v>35289</v>
      </c>
      <c r="I6" s="299">
        <v>16640</v>
      </c>
      <c r="J6" s="299">
        <v>14168</v>
      </c>
      <c r="K6" s="300">
        <v>4481</v>
      </c>
      <c r="L6" s="287">
        <f>(H6/D6)</f>
        <v>0.34604861880620141</v>
      </c>
      <c r="M6" s="287">
        <f>(I6/E6)</f>
        <v>0.25596849618508494</v>
      </c>
      <c r="N6" s="287">
        <f>(J6/F6)</f>
        <v>0.65522822920038848</v>
      </c>
      <c r="O6" s="287">
        <f>(K6/G6)</f>
        <v>0.29199791476606279</v>
      </c>
    </row>
    <row r="7" spans="1:15" s="142" customFormat="1" ht="15.75" customHeight="1" x14ac:dyDescent="0.2">
      <c r="A7" s="149" t="s">
        <v>10</v>
      </c>
      <c r="B7" s="188" t="s">
        <v>11</v>
      </c>
      <c r="C7" s="150" t="s">
        <v>264</v>
      </c>
      <c r="D7" s="1239">
        <v>367</v>
      </c>
      <c r="E7" s="1240">
        <v>213</v>
      </c>
      <c r="F7" s="1241">
        <v>141</v>
      </c>
      <c r="G7" s="1238">
        <v>13</v>
      </c>
      <c r="H7" s="1239">
        <v>223</v>
      </c>
      <c r="I7" s="1240">
        <v>113</v>
      </c>
      <c r="J7" s="1241">
        <v>108</v>
      </c>
      <c r="K7" s="1238">
        <v>2</v>
      </c>
      <c r="L7" s="288">
        <f t="shared" ref="L7:L38" si="0">IF(D7=0,"NA",(H7/D7))</f>
        <v>0.60762942779291551</v>
      </c>
      <c r="M7" s="289">
        <f t="shared" ref="M7:M38" si="1">IF(E7=0,"NA",(I7/E7))</f>
        <v>0.53051643192488263</v>
      </c>
      <c r="N7" s="289">
        <f t="shared" ref="N7:N38" si="2">IF(F7=0,"NA",(J7/F7))</f>
        <v>0.76595744680851063</v>
      </c>
      <c r="O7" s="290">
        <f t="shared" ref="O7:O38" si="3">IF(G7=0,"NA",(K7/G7))</f>
        <v>0.15384615384615385</v>
      </c>
    </row>
    <row r="8" spans="1:15" s="142" customFormat="1" ht="15.75" customHeight="1" x14ac:dyDescent="0.2">
      <c r="A8" s="149" t="s">
        <v>12</v>
      </c>
      <c r="B8" s="189" t="s">
        <v>13</v>
      </c>
      <c r="C8" s="150" t="s">
        <v>265</v>
      </c>
      <c r="D8" s="1239">
        <v>1064</v>
      </c>
      <c r="E8" s="1240">
        <v>837</v>
      </c>
      <c r="F8" s="1241">
        <v>99</v>
      </c>
      <c r="G8" s="1238">
        <v>128</v>
      </c>
      <c r="H8" s="1239">
        <v>296</v>
      </c>
      <c r="I8" s="1240">
        <v>180</v>
      </c>
      <c r="J8" s="1241">
        <v>71</v>
      </c>
      <c r="K8" s="1238">
        <v>45</v>
      </c>
      <c r="L8" s="288">
        <f t="shared" si="0"/>
        <v>0.2781954887218045</v>
      </c>
      <c r="M8" s="289">
        <f t="shared" si="1"/>
        <v>0.21505376344086022</v>
      </c>
      <c r="N8" s="289">
        <f t="shared" si="2"/>
        <v>0.71717171717171713</v>
      </c>
      <c r="O8" s="290">
        <f t="shared" si="3"/>
        <v>0.3515625</v>
      </c>
    </row>
    <row r="9" spans="1:15" s="142" customFormat="1" ht="15.75" customHeight="1" x14ac:dyDescent="0.2">
      <c r="A9" s="149" t="s">
        <v>16</v>
      </c>
      <c r="B9" s="189" t="s">
        <v>297</v>
      </c>
      <c r="C9" s="150" t="s">
        <v>265</v>
      </c>
      <c r="D9" s="1239">
        <v>203</v>
      </c>
      <c r="E9" s="1240">
        <v>190</v>
      </c>
      <c r="F9" s="1241">
        <v>9</v>
      </c>
      <c r="G9" s="1238">
        <v>4</v>
      </c>
      <c r="H9" s="1239">
        <v>98</v>
      </c>
      <c r="I9" s="1240">
        <v>90</v>
      </c>
      <c r="J9" s="1241">
        <v>6</v>
      </c>
      <c r="K9" s="1238">
        <v>2</v>
      </c>
      <c r="L9" s="288">
        <f t="shared" si="0"/>
        <v>0.48275862068965519</v>
      </c>
      <c r="M9" s="289">
        <f t="shared" si="1"/>
        <v>0.47368421052631576</v>
      </c>
      <c r="N9" s="289">
        <f t="shared" si="2"/>
        <v>0.66666666666666663</v>
      </c>
      <c r="O9" s="290">
        <f t="shared" si="3"/>
        <v>0.5</v>
      </c>
    </row>
    <row r="10" spans="1:15" s="142" customFormat="1" ht="15.75" customHeight="1" x14ac:dyDescent="0.2">
      <c r="A10" s="149" t="s">
        <v>18</v>
      </c>
      <c r="B10" s="189" t="s">
        <v>19</v>
      </c>
      <c r="C10" s="150" t="s">
        <v>266</v>
      </c>
      <c r="D10" s="1239">
        <v>123</v>
      </c>
      <c r="E10" s="1240">
        <v>103</v>
      </c>
      <c r="F10" s="1241">
        <v>19</v>
      </c>
      <c r="G10" s="1238">
        <v>1</v>
      </c>
      <c r="H10" s="1239">
        <v>51</v>
      </c>
      <c r="I10" s="1240">
        <v>37</v>
      </c>
      <c r="J10" s="1241">
        <v>14</v>
      </c>
      <c r="K10" s="1238">
        <v>0</v>
      </c>
      <c r="L10" s="288">
        <f t="shared" si="0"/>
        <v>0.41463414634146339</v>
      </c>
      <c r="M10" s="289">
        <f t="shared" si="1"/>
        <v>0.35922330097087379</v>
      </c>
      <c r="N10" s="289">
        <f t="shared" si="2"/>
        <v>0.73684210526315785</v>
      </c>
      <c r="O10" s="290">
        <f t="shared" si="3"/>
        <v>0</v>
      </c>
    </row>
    <row r="11" spans="1:15" s="142" customFormat="1" ht="15.75" customHeight="1" x14ac:dyDescent="0.2">
      <c r="A11" s="149" t="s">
        <v>20</v>
      </c>
      <c r="B11" s="189" t="s">
        <v>21</v>
      </c>
      <c r="C11" s="150" t="s">
        <v>265</v>
      </c>
      <c r="D11" s="1239">
        <v>311</v>
      </c>
      <c r="E11" s="1240">
        <v>260</v>
      </c>
      <c r="F11" s="1241">
        <v>47</v>
      </c>
      <c r="G11" s="1238">
        <v>4</v>
      </c>
      <c r="H11" s="1239">
        <v>140</v>
      </c>
      <c r="I11" s="1240">
        <v>98</v>
      </c>
      <c r="J11" s="1241">
        <v>39</v>
      </c>
      <c r="K11" s="1238">
        <v>3</v>
      </c>
      <c r="L11" s="288">
        <f t="shared" si="0"/>
        <v>0.45016077170418006</v>
      </c>
      <c r="M11" s="289">
        <f t="shared" si="1"/>
        <v>0.37692307692307692</v>
      </c>
      <c r="N11" s="289">
        <f t="shared" si="2"/>
        <v>0.82978723404255317</v>
      </c>
      <c r="O11" s="290">
        <f t="shared" si="3"/>
        <v>0.75</v>
      </c>
    </row>
    <row r="12" spans="1:15" s="142" customFormat="1" ht="15.75" customHeight="1" x14ac:dyDescent="0.2">
      <c r="A12" s="149" t="s">
        <v>22</v>
      </c>
      <c r="B12" s="189" t="s">
        <v>23</v>
      </c>
      <c r="C12" s="150" t="s">
        <v>265</v>
      </c>
      <c r="D12" s="1239">
        <v>181</v>
      </c>
      <c r="E12" s="1240">
        <v>146</v>
      </c>
      <c r="F12" s="1241">
        <v>33</v>
      </c>
      <c r="G12" s="1238">
        <v>2</v>
      </c>
      <c r="H12" s="1239">
        <v>55</v>
      </c>
      <c r="I12" s="1240">
        <v>33</v>
      </c>
      <c r="J12" s="1241">
        <v>21</v>
      </c>
      <c r="K12" s="1238">
        <v>1</v>
      </c>
      <c r="L12" s="288">
        <f t="shared" si="0"/>
        <v>0.30386740331491713</v>
      </c>
      <c r="M12" s="289">
        <f t="shared" si="1"/>
        <v>0.22602739726027396</v>
      </c>
      <c r="N12" s="289">
        <f t="shared" si="2"/>
        <v>0.63636363636363635</v>
      </c>
      <c r="O12" s="290">
        <f t="shared" si="3"/>
        <v>0.5</v>
      </c>
    </row>
    <row r="13" spans="1:15" s="142" customFormat="1" ht="15.75" customHeight="1" x14ac:dyDescent="0.2">
      <c r="A13" s="149" t="s">
        <v>24</v>
      </c>
      <c r="B13" s="189" t="s">
        <v>25</v>
      </c>
      <c r="C13" s="150" t="s">
        <v>267</v>
      </c>
      <c r="D13" s="1239">
        <v>3195</v>
      </c>
      <c r="E13" s="1240">
        <v>2277</v>
      </c>
      <c r="F13" s="1241">
        <v>233</v>
      </c>
      <c r="G13" s="1238">
        <v>685</v>
      </c>
      <c r="H13" s="1239">
        <v>512</v>
      </c>
      <c r="I13" s="1240">
        <v>255</v>
      </c>
      <c r="J13" s="1241">
        <v>103</v>
      </c>
      <c r="K13" s="1238">
        <v>154</v>
      </c>
      <c r="L13" s="288">
        <f t="shared" si="0"/>
        <v>0.16025039123630672</v>
      </c>
      <c r="M13" s="289">
        <f t="shared" si="1"/>
        <v>0.11198945981554677</v>
      </c>
      <c r="N13" s="289">
        <f t="shared" si="2"/>
        <v>0.44206008583690987</v>
      </c>
      <c r="O13" s="290">
        <f t="shared" si="3"/>
        <v>0.22481751824817517</v>
      </c>
    </row>
    <row r="14" spans="1:15" s="142" customFormat="1" ht="15.75" customHeight="1" x14ac:dyDescent="0.2">
      <c r="A14" s="149" t="s">
        <v>26</v>
      </c>
      <c r="B14" s="189" t="s">
        <v>298</v>
      </c>
      <c r="C14" s="150" t="s">
        <v>265</v>
      </c>
      <c r="D14" s="1239">
        <v>1213</v>
      </c>
      <c r="E14" s="1240">
        <v>1085</v>
      </c>
      <c r="F14" s="1241">
        <v>88</v>
      </c>
      <c r="G14" s="1238">
        <v>40</v>
      </c>
      <c r="H14" s="1239">
        <v>498</v>
      </c>
      <c r="I14" s="1240">
        <v>403</v>
      </c>
      <c r="J14" s="1241">
        <v>70</v>
      </c>
      <c r="K14" s="1238">
        <v>25</v>
      </c>
      <c r="L14" s="288">
        <f t="shared" si="0"/>
        <v>0.41055234954657871</v>
      </c>
      <c r="M14" s="289">
        <f t="shared" si="1"/>
        <v>0.37142857142857144</v>
      </c>
      <c r="N14" s="289">
        <f t="shared" si="2"/>
        <v>0.79545454545454541</v>
      </c>
      <c r="O14" s="290">
        <f t="shared" si="3"/>
        <v>0.625</v>
      </c>
    </row>
    <row r="15" spans="1:15" s="142" customFormat="1" ht="15.75" customHeight="1" x14ac:dyDescent="0.2">
      <c r="A15" s="149" t="s">
        <v>27</v>
      </c>
      <c r="B15" s="189" t="s">
        <v>28</v>
      </c>
      <c r="C15" s="150" t="s">
        <v>265</v>
      </c>
      <c r="D15" s="1239">
        <v>40</v>
      </c>
      <c r="E15" s="1240">
        <v>38</v>
      </c>
      <c r="F15" s="1241">
        <v>0</v>
      </c>
      <c r="G15" s="1238">
        <v>2</v>
      </c>
      <c r="H15" s="1239">
        <v>20</v>
      </c>
      <c r="I15" s="1240">
        <v>19</v>
      </c>
      <c r="J15" s="1241">
        <v>0</v>
      </c>
      <c r="K15" s="1238">
        <v>1</v>
      </c>
      <c r="L15" s="288">
        <f t="shared" si="0"/>
        <v>0.5</v>
      </c>
      <c r="M15" s="289">
        <f t="shared" si="1"/>
        <v>0.5</v>
      </c>
      <c r="N15" s="289" t="str">
        <f t="shared" si="2"/>
        <v>NA</v>
      </c>
      <c r="O15" s="290">
        <f t="shared" si="3"/>
        <v>0.5</v>
      </c>
    </row>
    <row r="16" spans="1:15" s="142" customFormat="1" ht="15.75" customHeight="1" x14ac:dyDescent="0.2">
      <c r="A16" s="149" t="s">
        <v>29</v>
      </c>
      <c r="B16" s="189" t="s">
        <v>941</v>
      </c>
      <c r="C16" s="150" t="s">
        <v>265</v>
      </c>
      <c r="D16" s="1239">
        <v>672</v>
      </c>
      <c r="E16" s="1240">
        <v>605</v>
      </c>
      <c r="F16" s="1241">
        <v>55</v>
      </c>
      <c r="G16" s="1238">
        <v>12</v>
      </c>
      <c r="H16" s="1239">
        <v>242</v>
      </c>
      <c r="I16" s="1240">
        <v>198</v>
      </c>
      <c r="J16" s="1241">
        <v>43</v>
      </c>
      <c r="K16" s="1238">
        <v>1</v>
      </c>
      <c r="L16" s="288">
        <f t="shared" si="0"/>
        <v>0.36011904761904762</v>
      </c>
      <c r="M16" s="289">
        <f t="shared" si="1"/>
        <v>0.32727272727272727</v>
      </c>
      <c r="N16" s="289">
        <f t="shared" si="2"/>
        <v>0.78181818181818186</v>
      </c>
      <c r="O16" s="290">
        <f t="shared" si="3"/>
        <v>8.3333333333333329E-2</v>
      </c>
    </row>
    <row r="17" spans="1:15" s="142" customFormat="1" ht="15.75" customHeight="1" x14ac:dyDescent="0.2">
      <c r="A17" s="149" t="s">
        <v>30</v>
      </c>
      <c r="B17" s="189" t="s">
        <v>31</v>
      </c>
      <c r="C17" s="150" t="s">
        <v>268</v>
      </c>
      <c r="D17" s="1239">
        <v>39</v>
      </c>
      <c r="E17" s="1240">
        <v>38</v>
      </c>
      <c r="F17" s="1241">
        <v>0</v>
      </c>
      <c r="G17" s="1238">
        <v>1</v>
      </c>
      <c r="H17" s="1239">
        <v>14</v>
      </c>
      <c r="I17" s="1240">
        <v>14</v>
      </c>
      <c r="J17" s="1241">
        <v>0</v>
      </c>
      <c r="K17" s="1238">
        <v>0</v>
      </c>
      <c r="L17" s="288">
        <f t="shared" si="0"/>
        <v>0.35897435897435898</v>
      </c>
      <c r="M17" s="289">
        <f t="shared" si="1"/>
        <v>0.36842105263157893</v>
      </c>
      <c r="N17" s="289" t="str">
        <f t="shared" si="2"/>
        <v>NA</v>
      </c>
      <c r="O17" s="290">
        <f t="shared" si="3"/>
        <v>0</v>
      </c>
    </row>
    <row r="18" spans="1:15" s="142" customFormat="1" ht="15.75" customHeight="1" x14ac:dyDescent="0.2">
      <c r="A18" s="149" t="s">
        <v>32</v>
      </c>
      <c r="B18" s="189" t="s">
        <v>33</v>
      </c>
      <c r="C18" s="150" t="s">
        <v>265</v>
      </c>
      <c r="D18" s="1239">
        <v>220</v>
      </c>
      <c r="E18" s="1240">
        <v>207</v>
      </c>
      <c r="F18" s="1241">
        <v>6</v>
      </c>
      <c r="G18" s="1238">
        <v>7</v>
      </c>
      <c r="H18" s="1239">
        <v>65</v>
      </c>
      <c r="I18" s="1240">
        <v>61</v>
      </c>
      <c r="J18" s="1241">
        <v>4</v>
      </c>
      <c r="K18" s="1238">
        <v>0</v>
      </c>
      <c r="L18" s="288">
        <f t="shared" si="0"/>
        <v>0.29545454545454547</v>
      </c>
      <c r="M18" s="289">
        <f t="shared" si="1"/>
        <v>0.29468599033816423</v>
      </c>
      <c r="N18" s="289">
        <f t="shared" si="2"/>
        <v>0.66666666666666663</v>
      </c>
      <c r="O18" s="290">
        <f t="shared" si="3"/>
        <v>0</v>
      </c>
    </row>
    <row r="19" spans="1:15" s="142" customFormat="1" ht="15.75" customHeight="1" x14ac:dyDescent="0.2">
      <c r="A19" s="149" t="s">
        <v>36</v>
      </c>
      <c r="B19" s="189" t="s">
        <v>37</v>
      </c>
      <c r="C19" s="150" t="s">
        <v>264</v>
      </c>
      <c r="D19" s="1239">
        <v>131</v>
      </c>
      <c r="E19" s="1240">
        <v>51</v>
      </c>
      <c r="F19" s="1241">
        <v>78</v>
      </c>
      <c r="G19" s="1238">
        <v>2</v>
      </c>
      <c r="H19" s="1239">
        <v>85</v>
      </c>
      <c r="I19" s="1240">
        <v>22</v>
      </c>
      <c r="J19" s="1241">
        <v>61</v>
      </c>
      <c r="K19" s="1238">
        <v>2</v>
      </c>
      <c r="L19" s="288">
        <f t="shared" si="0"/>
        <v>0.64885496183206104</v>
      </c>
      <c r="M19" s="289">
        <f t="shared" si="1"/>
        <v>0.43137254901960786</v>
      </c>
      <c r="N19" s="289">
        <f t="shared" si="2"/>
        <v>0.78205128205128205</v>
      </c>
      <c r="O19" s="290">
        <f t="shared" si="3"/>
        <v>1</v>
      </c>
    </row>
    <row r="20" spans="1:15" s="142" customFormat="1" ht="15.75" customHeight="1" x14ac:dyDescent="0.2">
      <c r="A20" s="149" t="s">
        <v>38</v>
      </c>
      <c r="B20" s="189" t="s">
        <v>39</v>
      </c>
      <c r="C20" s="150" t="s">
        <v>268</v>
      </c>
      <c r="D20" s="1239">
        <v>190</v>
      </c>
      <c r="E20" s="1240">
        <v>188</v>
      </c>
      <c r="F20" s="1241">
        <v>0</v>
      </c>
      <c r="G20" s="1238">
        <v>2</v>
      </c>
      <c r="H20" s="1239">
        <v>76</v>
      </c>
      <c r="I20" s="1240">
        <v>76</v>
      </c>
      <c r="J20" s="1241">
        <v>0</v>
      </c>
      <c r="K20" s="1238">
        <v>0</v>
      </c>
      <c r="L20" s="288">
        <f t="shared" si="0"/>
        <v>0.4</v>
      </c>
      <c r="M20" s="289">
        <f t="shared" si="1"/>
        <v>0.40425531914893614</v>
      </c>
      <c r="N20" s="289" t="str">
        <f t="shared" si="2"/>
        <v>NA</v>
      </c>
      <c r="O20" s="290">
        <f t="shared" si="3"/>
        <v>0</v>
      </c>
    </row>
    <row r="21" spans="1:15" s="142" customFormat="1" ht="15.75" customHeight="1" x14ac:dyDescent="0.2">
      <c r="A21" s="149" t="s">
        <v>40</v>
      </c>
      <c r="B21" s="189" t="s">
        <v>41</v>
      </c>
      <c r="C21" s="150" t="s">
        <v>266</v>
      </c>
      <c r="D21" s="1239">
        <v>166</v>
      </c>
      <c r="E21" s="1240">
        <v>113</v>
      </c>
      <c r="F21" s="1241">
        <v>52</v>
      </c>
      <c r="G21" s="1238">
        <v>1</v>
      </c>
      <c r="H21" s="1239">
        <v>98</v>
      </c>
      <c r="I21" s="1240">
        <v>49</v>
      </c>
      <c r="J21" s="1241">
        <v>49</v>
      </c>
      <c r="K21" s="1238">
        <v>0</v>
      </c>
      <c r="L21" s="288">
        <f t="shared" si="0"/>
        <v>0.59036144578313254</v>
      </c>
      <c r="M21" s="289">
        <f t="shared" si="1"/>
        <v>0.4336283185840708</v>
      </c>
      <c r="N21" s="289">
        <f t="shared" si="2"/>
        <v>0.94230769230769229</v>
      </c>
      <c r="O21" s="290">
        <f t="shared" si="3"/>
        <v>0</v>
      </c>
    </row>
    <row r="22" spans="1:15" s="142" customFormat="1" ht="15.75" customHeight="1" x14ac:dyDescent="0.2">
      <c r="A22" s="149" t="s">
        <v>42</v>
      </c>
      <c r="B22" s="189" t="s">
        <v>43</v>
      </c>
      <c r="C22" s="150" t="s">
        <v>265</v>
      </c>
      <c r="D22" s="1239">
        <v>475</v>
      </c>
      <c r="E22" s="1240">
        <v>400</v>
      </c>
      <c r="F22" s="1241">
        <v>67</v>
      </c>
      <c r="G22" s="1238">
        <v>8</v>
      </c>
      <c r="H22" s="1239">
        <v>182</v>
      </c>
      <c r="I22" s="1240">
        <v>134</v>
      </c>
      <c r="J22" s="1241">
        <v>46</v>
      </c>
      <c r="K22" s="1238">
        <v>2</v>
      </c>
      <c r="L22" s="288">
        <f t="shared" si="0"/>
        <v>0.38315789473684209</v>
      </c>
      <c r="M22" s="289">
        <f t="shared" si="1"/>
        <v>0.33500000000000002</v>
      </c>
      <c r="N22" s="289">
        <f t="shared" si="2"/>
        <v>0.68656716417910446</v>
      </c>
      <c r="O22" s="290">
        <f t="shared" si="3"/>
        <v>0.25</v>
      </c>
    </row>
    <row r="23" spans="1:15" s="142" customFormat="1" ht="15.75" customHeight="1" x14ac:dyDescent="0.2">
      <c r="A23" s="149" t="s">
        <v>44</v>
      </c>
      <c r="B23" s="189" t="s">
        <v>45</v>
      </c>
      <c r="C23" s="150" t="s">
        <v>266</v>
      </c>
      <c r="D23" s="1239">
        <v>412</v>
      </c>
      <c r="E23" s="1240">
        <v>313</v>
      </c>
      <c r="F23" s="1241">
        <v>83</v>
      </c>
      <c r="G23" s="1238">
        <v>16</v>
      </c>
      <c r="H23" s="1239">
        <v>167</v>
      </c>
      <c r="I23" s="1240">
        <v>107</v>
      </c>
      <c r="J23" s="1241">
        <v>55</v>
      </c>
      <c r="K23" s="1238">
        <v>5</v>
      </c>
      <c r="L23" s="288">
        <f t="shared" si="0"/>
        <v>0.4053398058252427</v>
      </c>
      <c r="M23" s="289">
        <f t="shared" si="1"/>
        <v>0.34185303514376997</v>
      </c>
      <c r="N23" s="289">
        <f t="shared" si="2"/>
        <v>0.66265060240963858</v>
      </c>
      <c r="O23" s="290">
        <f t="shared" si="3"/>
        <v>0.3125</v>
      </c>
    </row>
    <row r="24" spans="1:15" s="142" customFormat="1" ht="15.75" customHeight="1" x14ac:dyDescent="0.2">
      <c r="A24" s="149" t="s">
        <v>46</v>
      </c>
      <c r="B24" s="189" t="s">
        <v>47</v>
      </c>
      <c r="C24" s="150" t="s">
        <v>268</v>
      </c>
      <c r="D24" s="1239">
        <v>234</v>
      </c>
      <c r="E24" s="1240">
        <v>224</v>
      </c>
      <c r="F24" s="1241">
        <v>0</v>
      </c>
      <c r="G24" s="1238">
        <v>10</v>
      </c>
      <c r="H24" s="1239">
        <v>94</v>
      </c>
      <c r="I24" s="1240">
        <v>88</v>
      </c>
      <c r="J24" s="1241">
        <v>0</v>
      </c>
      <c r="K24" s="1238">
        <v>6</v>
      </c>
      <c r="L24" s="288">
        <f t="shared" si="0"/>
        <v>0.40170940170940173</v>
      </c>
      <c r="M24" s="289">
        <f t="shared" si="1"/>
        <v>0.39285714285714285</v>
      </c>
      <c r="N24" s="289" t="str">
        <f t="shared" si="2"/>
        <v>NA</v>
      </c>
      <c r="O24" s="290">
        <f t="shared" si="3"/>
        <v>0.6</v>
      </c>
    </row>
    <row r="25" spans="1:15" s="142" customFormat="1" ht="15.75" customHeight="1" x14ac:dyDescent="0.2">
      <c r="A25" s="149" t="s">
        <v>48</v>
      </c>
      <c r="B25" s="189" t="s">
        <v>269</v>
      </c>
      <c r="C25" s="150" t="s">
        <v>266</v>
      </c>
      <c r="D25" s="1239">
        <v>47</v>
      </c>
      <c r="E25" s="1240">
        <v>25</v>
      </c>
      <c r="F25" s="1241">
        <v>15</v>
      </c>
      <c r="G25" s="1238">
        <v>7</v>
      </c>
      <c r="H25" s="1239">
        <v>25</v>
      </c>
      <c r="I25" s="1240">
        <v>10</v>
      </c>
      <c r="J25" s="1241">
        <v>11</v>
      </c>
      <c r="K25" s="1238">
        <v>4</v>
      </c>
      <c r="L25" s="288">
        <f t="shared" si="0"/>
        <v>0.53191489361702127</v>
      </c>
      <c r="M25" s="289">
        <f t="shared" si="1"/>
        <v>0.4</v>
      </c>
      <c r="N25" s="289">
        <f t="shared" si="2"/>
        <v>0.73333333333333328</v>
      </c>
      <c r="O25" s="290">
        <f t="shared" si="3"/>
        <v>0.5714285714285714</v>
      </c>
    </row>
    <row r="26" spans="1:15" s="142" customFormat="1" ht="15.75" customHeight="1" x14ac:dyDescent="0.2">
      <c r="A26" s="149" t="s">
        <v>50</v>
      </c>
      <c r="B26" s="189" t="s">
        <v>51</v>
      </c>
      <c r="C26" s="150" t="s">
        <v>265</v>
      </c>
      <c r="D26" s="1239">
        <v>145</v>
      </c>
      <c r="E26" s="1240">
        <v>104</v>
      </c>
      <c r="F26" s="1241">
        <v>40</v>
      </c>
      <c r="G26" s="1238">
        <v>1</v>
      </c>
      <c r="H26" s="1239">
        <v>65</v>
      </c>
      <c r="I26" s="1240">
        <v>37</v>
      </c>
      <c r="J26" s="1241">
        <v>28</v>
      </c>
      <c r="K26" s="1238">
        <v>0</v>
      </c>
      <c r="L26" s="288">
        <f t="shared" si="0"/>
        <v>0.44827586206896552</v>
      </c>
      <c r="M26" s="289">
        <f t="shared" si="1"/>
        <v>0.35576923076923078</v>
      </c>
      <c r="N26" s="289">
        <f t="shared" si="2"/>
        <v>0.7</v>
      </c>
      <c r="O26" s="290">
        <f t="shared" si="3"/>
        <v>0</v>
      </c>
    </row>
    <row r="27" spans="1:15" s="142" customFormat="1" ht="15.75" customHeight="1" x14ac:dyDescent="0.2">
      <c r="A27" s="149" t="s">
        <v>56</v>
      </c>
      <c r="B27" s="189" t="s">
        <v>295</v>
      </c>
      <c r="C27" s="150" t="s">
        <v>266</v>
      </c>
      <c r="D27" s="1239">
        <v>4074</v>
      </c>
      <c r="E27" s="1240">
        <v>2705</v>
      </c>
      <c r="F27" s="1241">
        <v>950</v>
      </c>
      <c r="G27" s="1238">
        <v>419</v>
      </c>
      <c r="H27" s="1239">
        <v>1462</v>
      </c>
      <c r="I27" s="1240">
        <v>673</v>
      </c>
      <c r="J27" s="1241">
        <v>585</v>
      </c>
      <c r="K27" s="1238">
        <v>204</v>
      </c>
      <c r="L27" s="288">
        <f t="shared" si="0"/>
        <v>0.35886107020127639</v>
      </c>
      <c r="M27" s="289">
        <f t="shared" si="1"/>
        <v>0.24879852125693161</v>
      </c>
      <c r="N27" s="289">
        <f t="shared" si="2"/>
        <v>0.61578947368421055</v>
      </c>
      <c r="O27" s="290">
        <f t="shared" si="3"/>
        <v>0.48687350835322196</v>
      </c>
    </row>
    <row r="28" spans="1:15" s="142" customFormat="1" ht="15.75" customHeight="1" x14ac:dyDescent="0.2">
      <c r="A28" s="149" t="s">
        <v>58</v>
      </c>
      <c r="B28" s="189" t="s">
        <v>59</v>
      </c>
      <c r="C28" s="150" t="s">
        <v>267</v>
      </c>
      <c r="D28" s="1239">
        <v>158</v>
      </c>
      <c r="E28" s="1240">
        <v>150</v>
      </c>
      <c r="F28" s="1241">
        <v>2</v>
      </c>
      <c r="G28" s="1238">
        <v>6</v>
      </c>
      <c r="H28" s="1239">
        <v>51</v>
      </c>
      <c r="I28" s="1240">
        <v>49</v>
      </c>
      <c r="J28" s="1241">
        <v>1</v>
      </c>
      <c r="K28" s="1238">
        <v>1</v>
      </c>
      <c r="L28" s="288">
        <f t="shared" si="0"/>
        <v>0.32278481012658228</v>
      </c>
      <c r="M28" s="289">
        <f t="shared" si="1"/>
        <v>0.32666666666666666</v>
      </c>
      <c r="N28" s="289">
        <f t="shared" si="2"/>
        <v>0.5</v>
      </c>
      <c r="O28" s="290">
        <f t="shared" si="3"/>
        <v>0.16666666666666666</v>
      </c>
    </row>
    <row r="29" spans="1:15" s="142" customFormat="1" ht="15.75" customHeight="1" x14ac:dyDescent="0.2">
      <c r="A29" s="149" t="s">
        <v>60</v>
      </c>
      <c r="B29" s="189" t="s">
        <v>61</v>
      </c>
      <c r="C29" s="150" t="s">
        <v>265</v>
      </c>
      <c r="D29" s="1239">
        <v>55</v>
      </c>
      <c r="E29" s="1240">
        <v>55</v>
      </c>
      <c r="F29" s="1241">
        <v>0</v>
      </c>
      <c r="G29" s="1238">
        <v>0</v>
      </c>
      <c r="H29" s="1239">
        <v>26</v>
      </c>
      <c r="I29" s="1240">
        <v>26</v>
      </c>
      <c r="J29" s="1241">
        <v>0</v>
      </c>
      <c r="K29" s="1238">
        <v>0</v>
      </c>
      <c r="L29" s="288">
        <f t="shared" si="0"/>
        <v>0.47272727272727272</v>
      </c>
      <c r="M29" s="289">
        <f t="shared" si="1"/>
        <v>0.47272727272727272</v>
      </c>
      <c r="N29" s="289" t="str">
        <f t="shared" si="2"/>
        <v>NA</v>
      </c>
      <c r="O29" s="290" t="str">
        <f t="shared" si="3"/>
        <v>NA</v>
      </c>
    </row>
    <row r="30" spans="1:15" s="142" customFormat="1" ht="15.75" customHeight="1" x14ac:dyDescent="0.2">
      <c r="A30" s="149" t="s">
        <v>62</v>
      </c>
      <c r="B30" s="189" t="s">
        <v>63</v>
      </c>
      <c r="C30" s="150" t="s">
        <v>267</v>
      </c>
      <c r="D30" s="1239">
        <v>625</v>
      </c>
      <c r="E30" s="1240">
        <v>502</v>
      </c>
      <c r="F30" s="1241">
        <v>70</v>
      </c>
      <c r="G30" s="1238">
        <v>53</v>
      </c>
      <c r="H30" s="1239">
        <v>253</v>
      </c>
      <c r="I30" s="1240">
        <v>166</v>
      </c>
      <c r="J30" s="1241">
        <v>57</v>
      </c>
      <c r="K30" s="1238">
        <v>30</v>
      </c>
      <c r="L30" s="288">
        <f t="shared" si="0"/>
        <v>0.40479999999999999</v>
      </c>
      <c r="M30" s="289">
        <f t="shared" si="1"/>
        <v>0.33067729083665337</v>
      </c>
      <c r="N30" s="289">
        <f t="shared" si="2"/>
        <v>0.81428571428571428</v>
      </c>
      <c r="O30" s="290">
        <f t="shared" si="3"/>
        <v>0.56603773584905659</v>
      </c>
    </row>
    <row r="31" spans="1:15" s="142" customFormat="1" ht="15.75" customHeight="1" x14ac:dyDescent="0.2">
      <c r="A31" s="149" t="s">
        <v>64</v>
      </c>
      <c r="B31" s="189" t="s">
        <v>65</v>
      </c>
      <c r="C31" s="150" t="s">
        <v>266</v>
      </c>
      <c r="D31" s="1239">
        <v>103</v>
      </c>
      <c r="E31" s="1240">
        <v>68</v>
      </c>
      <c r="F31" s="1241">
        <v>33</v>
      </c>
      <c r="G31" s="1238">
        <v>2</v>
      </c>
      <c r="H31" s="1239">
        <v>47</v>
      </c>
      <c r="I31" s="1240">
        <v>25</v>
      </c>
      <c r="J31" s="1241">
        <v>22</v>
      </c>
      <c r="K31" s="1238">
        <v>0</v>
      </c>
      <c r="L31" s="288">
        <f t="shared" si="0"/>
        <v>0.4563106796116505</v>
      </c>
      <c r="M31" s="289">
        <f t="shared" si="1"/>
        <v>0.36764705882352944</v>
      </c>
      <c r="N31" s="289">
        <f t="shared" si="2"/>
        <v>0.66666666666666663</v>
      </c>
      <c r="O31" s="290">
        <f t="shared" si="3"/>
        <v>0</v>
      </c>
    </row>
    <row r="32" spans="1:15" s="142" customFormat="1" ht="15.75" customHeight="1" x14ac:dyDescent="0.2">
      <c r="A32" s="149" t="s">
        <v>68</v>
      </c>
      <c r="B32" s="189" t="s">
        <v>69</v>
      </c>
      <c r="C32" s="150" t="s">
        <v>268</v>
      </c>
      <c r="D32" s="1239">
        <v>157</v>
      </c>
      <c r="E32" s="1240">
        <v>157</v>
      </c>
      <c r="F32" s="1241">
        <v>0</v>
      </c>
      <c r="G32" s="1238">
        <v>0</v>
      </c>
      <c r="H32" s="1239">
        <v>51</v>
      </c>
      <c r="I32" s="1240">
        <v>51</v>
      </c>
      <c r="J32" s="1241">
        <v>0</v>
      </c>
      <c r="K32" s="1238">
        <v>0</v>
      </c>
      <c r="L32" s="288">
        <f t="shared" si="0"/>
        <v>0.32484076433121017</v>
      </c>
      <c r="M32" s="289">
        <f t="shared" si="1"/>
        <v>0.32484076433121017</v>
      </c>
      <c r="N32" s="289" t="str">
        <f t="shared" si="2"/>
        <v>NA</v>
      </c>
      <c r="O32" s="290" t="str">
        <f t="shared" si="3"/>
        <v>NA</v>
      </c>
    </row>
    <row r="33" spans="1:15" s="142" customFormat="1" ht="15.75" customHeight="1" x14ac:dyDescent="0.2">
      <c r="A33" s="149" t="s">
        <v>70</v>
      </c>
      <c r="B33" s="189" t="s">
        <v>71</v>
      </c>
      <c r="C33" s="150" t="s">
        <v>264</v>
      </c>
      <c r="D33" s="1239">
        <v>210</v>
      </c>
      <c r="E33" s="1240">
        <v>165</v>
      </c>
      <c r="F33" s="1241">
        <v>44</v>
      </c>
      <c r="G33" s="1238">
        <v>1</v>
      </c>
      <c r="H33" s="1239">
        <v>94</v>
      </c>
      <c r="I33" s="1240">
        <v>62</v>
      </c>
      <c r="J33" s="1241">
        <v>32</v>
      </c>
      <c r="K33" s="1238">
        <v>0</v>
      </c>
      <c r="L33" s="288">
        <f t="shared" si="0"/>
        <v>0.44761904761904764</v>
      </c>
      <c r="M33" s="289">
        <f t="shared" si="1"/>
        <v>0.37575757575757573</v>
      </c>
      <c r="N33" s="289">
        <f t="shared" si="2"/>
        <v>0.72727272727272729</v>
      </c>
      <c r="O33" s="290">
        <f t="shared" si="3"/>
        <v>0</v>
      </c>
    </row>
    <row r="34" spans="1:15" s="142" customFormat="1" ht="15.75" customHeight="1" x14ac:dyDescent="0.2">
      <c r="A34" s="149" t="s">
        <v>72</v>
      </c>
      <c r="B34" s="189" t="s">
        <v>73</v>
      </c>
      <c r="C34" s="150" t="s">
        <v>266</v>
      </c>
      <c r="D34" s="1239">
        <v>124</v>
      </c>
      <c r="E34" s="1240">
        <v>62</v>
      </c>
      <c r="F34" s="1241">
        <v>60</v>
      </c>
      <c r="G34" s="1238">
        <v>2</v>
      </c>
      <c r="H34" s="1239">
        <v>76</v>
      </c>
      <c r="I34" s="1240">
        <v>21</v>
      </c>
      <c r="J34" s="1241">
        <v>53</v>
      </c>
      <c r="K34" s="1238">
        <v>2</v>
      </c>
      <c r="L34" s="288">
        <f t="shared" si="0"/>
        <v>0.61290322580645162</v>
      </c>
      <c r="M34" s="289">
        <f t="shared" si="1"/>
        <v>0.33870967741935482</v>
      </c>
      <c r="N34" s="289">
        <f t="shared" si="2"/>
        <v>0.8833333333333333</v>
      </c>
      <c r="O34" s="290">
        <f t="shared" si="3"/>
        <v>1</v>
      </c>
    </row>
    <row r="35" spans="1:15" s="142" customFormat="1" ht="15.75" customHeight="1" x14ac:dyDescent="0.2">
      <c r="A35" s="149" t="s">
        <v>74</v>
      </c>
      <c r="B35" s="189" t="s">
        <v>609</v>
      </c>
      <c r="C35" s="150" t="s">
        <v>267</v>
      </c>
      <c r="D35" s="1239">
        <v>15558</v>
      </c>
      <c r="E35" s="1240">
        <v>8411</v>
      </c>
      <c r="F35" s="1241">
        <v>1612</v>
      </c>
      <c r="G35" s="1238">
        <v>5535</v>
      </c>
      <c r="H35" s="1239">
        <v>3230</v>
      </c>
      <c r="I35" s="1240">
        <v>1094</v>
      </c>
      <c r="J35" s="1241">
        <v>618</v>
      </c>
      <c r="K35" s="1238">
        <v>1518</v>
      </c>
      <c r="L35" s="288">
        <f t="shared" si="0"/>
        <v>0.20761023267772208</v>
      </c>
      <c r="M35" s="289">
        <f t="shared" si="1"/>
        <v>0.13006776839852574</v>
      </c>
      <c r="N35" s="289">
        <f t="shared" si="2"/>
        <v>0.38337468982630274</v>
      </c>
      <c r="O35" s="290">
        <f t="shared" si="3"/>
        <v>0.27425474254742549</v>
      </c>
    </row>
    <row r="36" spans="1:15" s="142" customFormat="1" ht="15.75" customHeight="1" x14ac:dyDescent="0.2">
      <c r="A36" s="149" t="s">
        <v>76</v>
      </c>
      <c r="B36" s="189" t="s">
        <v>77</v>
      </c>
      <c r="C36" s="150" t="s">
        <v>267</v>
      </c>
      <c r="D36" s="1239">
        <v>764</v>
      </c>
      <c r="E36" s="1240">
        <v>656</v>
      </c>
      <c r="F36" s="1241">
        <v>49</v>
      </c>
      <c r="G36" s="1238">
        <v>59</v>
      </c>
      <c r="H36" s="1239">
        <v>228</v>
      </c>
      <c r="I36" s="1240">
        <v>175</v>
      </c>
      <c r="J36" s="1241">
        <v>32</v>
      </c>
      <c r="K36" s="1238">
        <v>21</v>
      </c>
      <c r="L36" s="288">
        <f t="shared" si="0"/>
        <v>0.29842931937172773</v>
      </c>
      <c r="M36" s="289">
        <f t="shared" si="1"/>
        <v>0.26676829268292684</v>
      </c>
      <c r="N36" s="289">
        <f t="shared" si="2"/>
        <v>0.65306122448979587</v>
      </c>
      <c r="O36" s="290">
        <f t="shared" si="3"/>
        <v>0.3559322033898305</v>
      </c>
    </row>
    <row r="37" spans="1:15" s="142" customFormat="1" ht="15.75" customHeight="1" x14ac:dyDescent="0.2">
      <c r="A37" s="149" t="s">
        <v>78</v>
      </c>
      <c r="B37" s="189" t="s">
        <v>79</v>
      </c>
      <c r="C37" s="150" t="s">
        <v>268</v>
      </c>
      <c r="D37" s="1239">
        <v>148</v>
      </c>
      <c r="E37" s="1240">
        <v>144</v>
      </c>
      <c r="F37" s="1241">
        <v>1</v>
      </c>
      <c r="G37" s="1238">
        <v>3</v>
      </c>
      <c r="H37" s="1239">
        <v>41</v>
      </c>
      <c r="I37" s="1240">
        <v>38</v>
      </c>
      <c r="J37" s="1241">
        <v>1</v>
      </c>
      <c r="K37" s="1238">
        <v>2</v>
      </c>
      <c r="L37" s="288">
        <f t="shared" si="0"/>
        <v>0.27702702702702703</v>
      </c>
      <c r="M37" s="289">
        <f t="shared" si="1"/>
        <v>0.2638888888888889</v>
      </c>
      <c r="N37" s="289">
        <f t="shared" si="2"/>
        <v>1</v>
      </c>
      <c r="O37" s="290">
        <f t="shared" si="3"/>
        <v>0.66666666666666663</v>
      </c>
    </row>
    <row r="38" spans="1:15" s="142" customFormat="1" ht="15.75" customHeight="1" x14ac:dyDescent="0.2">
      <c r="A38" s="149" t="s">
        <v>80</v>
      </c>
      <c r="B38" s="189" t="s">
        <v>81</v>
      </c>
      <c r="C38" s="150" t="s">
        <v>266</v>
      </c>
      <c r="D38" s="1239">
        <v>250</v>
      </c>
      <c r="E38" s="1240">
        <v>203</v>
      </c>
      <c r="F38" s="1241">
        <v>36</v>
      </c>
      <c r="G38" s="1238">
        <v>11</v>
      </c>
      <c r="H38" s="1239">
        <v>96</v>
      </c>
      <c r="I38" s="1240">
        <v>60</v>
      </c>
      <c r="J38" s="1241">
        <v>31</v>
      </c>
      <c r="K38" s="1238">
        <v>5</v>
      </c>
      <c r="L38" s="288">
        <f t="shared" si="0"/>
        <v>0.38400000000000001</v>
      </c>
      <c r="M38" s="289">
        <f t="shared" si="1"/>
        <v>0.29556650246305421</v>
      </c>
      <c r="N38" s="289">
        <f t="shared" si="2"/>
        <v>0.86111111111111116</v>
      </c>
      <c r="O38" s="290">
        <f t="shared" si="3"/>
        <v>0.45454545454545453</v>
      </c>
    </row>
    <row r="39" spans="1:15" s="142" customFormat="1" ht="15.75" customHeight="1" x14ac:dyDescent="0.2">
      <c r="A39" s="149" t="s">
        <v>84</v>
      </c>
      <c r="B39" s="189" t="s">
        <v>85</v>
      </c>
      <c r="C39" s="150" t="s">
        <v>265</v>
      </c>
      <c r="D39" s="1239">
        <v>475</v>
      </c>
      <c r="E39" s="1240">
        <v>419</v>
      </c>
      <c r="F39" s="1241">
        <v>48</v>
      </c>
      <c r="G39" s="1238">
        <v>8</v>
      </c>
      <c r="H39" s="1239">
        <v>212</v>
      </c>
      <c r="I39" s="1240">
        <v>167</v>
      </c>
      <c r="J39" s="1241">
        <v>42</v>
      </c>
      <c r="K39" s="1238">
        <v>3</v>
      </c>
      <c r="L39" s="288">
        <f t="shared" ref="L39:L70" si="4">IF(D39=0,"NA",(H39/D39))</f>
        <v>0.44631578947368422</v>
      </c>
      <c r="M39" s="289">
        <f t="shared" ref="M39:M70" si="5">IF(E39=0,"NA",(I39/E39))</f>
        <v>0.39856801909307876</v>
      </c>
      <c r="N39" s="289">
        <f t="shared" ref="N39:N70" si="6">IF(F39=0,"NA",(J39/F39))</f>
        <v>0.875</v>
      </c>
      <c r="O39" s="290">
        <f t="shared" ref="O39:O70" si="7">IF(G39=0,"NA",(K39/G39))</f>
        <v>0.375</v>
      </c>
    </row>
    <row r="40" spans="1:15" s="142" customFormat="1" ht="15.75" customHeight="1" x14ac:dyDescent="0.2">
      <c r="A40" s="149" t="s">
        <v>86</v>
      </c>
      <c r="B40" s="189" t="s">
        <v>87</v>
      </c>
      <c r="C40" s="150" t="s">
        <v>267</v>
      </c>
      <c r="D40" s="1239">
        <v>935</v>
      </c>
      <c r="E40" s="1240">
        <v>842</v>
      </c>
      <c r="F40" s="1241">
        <v>30</v>
      </c>
      <c r="G40" s="1238">
        <v>63</v>
      </c>
      <c r="H40" s="1239">
        <v>323</v>
      </c>
      <c r="I40" s="1240">
        <v>279</v>
      </c>
      <c r="J40" s="1241">
        <v>21</v>
      </c>
      <c r="K40" s="1238">
        <v>23</v>
      </c>
      <c r="L40" s="288">
        <f t="shared" si="4"/>
        <v>0.34545454545454546</v>
      </c>
      <c r="M40" s="289">
        <f t="shared" si="5"/>
        <v>0.33135391923990498</v>
      </c>
      <c r="N40" s="289">
        <f t="shared" si="6"/>
        <v>0.7</v>
      </c>
      <c r="O40" s="290">
        <f t="shared" si="7"/>
        <v>0.36507936507936506</v>
      </c>
    </row>
    <row r="41" spans="1:15" s="142" customFormat="1" ht="15.75" customHeight="1" x14ac:dyDescent="0.2">
      <c r="A41" s="149" t="s">
        <v>92</v>
      </c>
      <c r="B41" s="189" t="s">
        <v>93</v>
      </c>
      <c r="C41" s="150" t="s">
        <v>268</v>
      </c>
      <c r="D41" s="1239">
        <v>149</v>
      </c>
      <c r="E41" s="1240">
        <v>148</v>
      </c>
      <c r="F41" s="1241">
        <v>1</v>
      </c>
      <c r="G41" s="1238">
        <v>0</v>
      </c>
      <c r="H41" s="1239">
        <v>65</v>
      </c>
      <c r="I41" s="1240">
        <v>64</v>
      </c>
      <c r="J41" s="1241">
        <v>1</v>
      </c>
      <c r="K41" s="1238">
        <v>0</v>
      </c>
      <c r="L41" s="288">
        <f t="shared" si="4"/>
        <v>0.43624161073825501</v>
      </c>
      <c r="M41" s="289">
        <f t="shared" si="5"/>
        <v>0.43243243243243246</v>
      </c>
      <c r="N41" s="289">
        <f t="shared" si="6"/>
        <v>1</v>
      </c>
      <c r="O41" s="290" t="str">
        <f t="shared" si="7"/>
        <v>NA</v>
      </c>
    </row>
    <row r="42" spans="1:15" s="142" customFormat="1" ht="15.75" customHeight="1" x14ac:dyDescent="0.2">
      <c r="A42" s="149" t="s">
        <v>94</v>
      </c>
      <c r="B42" s="189" t="s">
        <v>95</v>
      </c>
      <c r="C42" s="150" t="s">
        <v>264</v>
      </c>
      <c r="D42" s="1239">
        <v>356</v>
      </c>
      <c r="E42" s="1240">
        <v>317</v>
      </c>
      <c r="F42" s="1241">
        <v>24</v>
      </c>
      <c r="G42" s="1238">
        <v>15</v>
      </c>
      <c r="H42" s="1239">
        <v>157</v>
      </c>
      <c r="I42" s="1240">
        <v>137</v>
      </c>
      <c r="J42" s="1241">
        <v>14</v>
      </c>
      <c r="K42" s="1238">
        <v>6</v>
      </c>
      <c r="L42" s="288">
        <f t="shared" si="4"/>
        <v>0.4410112359550562</v>
      </c>
      <c r="M42" s="289">
        <f t="shared" si="5"/>
        <v>0.43217665615141954</v>
      </c>
      <c r="N42" s="289">
        <f t="shared" si="6"/>
        <v>0.58333333333333337</v>
      </c>
      <c r="O42" s="290">
        <f t="shared" si="7"/>
        <v>0.4</v>
      </c>
    </row>
    <row r="43" spans="1:15" s="142" customFormat="1" ht="15.75" customHeight="1" x14ac:dyDescent="0.2">
      <c r="A43" s="149" t="s">
        <v>96</v>
      </c>
      <c r="B43" s="189" t="s">
        <v>97</v>
      </c>
      <c r="C43" s="150" t="s">
        <v>266</v>
      </c>
      <c r="D43" s="1239">
        <v>157</v>
      </c>
      <c r="E43" s="1240">
        <v>127</v>
      </c>
      <c r="F43" s="1241">
        <v>25</v>
      </c>
      <c r="G43" s="1238">
        <v>5</v>
      </c>
      <c r="H43" s="1239">
        <v>37</v>
      </c>
      <c r="I43" s="1240">
        <v>20</v>
      </c>
      <c r="J43" s="1241">
        <v>16</v>
      </c>
      <c r="K43" s="1238">
        <v>1</v>
      </c>
      <c r="L43" s="288">
        <f t="shared" si="4"/>
        <v>0.2356687898089172</v>
      </c>
      <c r="M43" s="289">
        <f t="shared" si="5"/>
        <v>0.15748031496062992</v>
      </c>
      <c r="N43" s="289">
        <f t="shared" si="6"/>
        <v>0.64</v>
      </c>
      <c r="O43" s="290">
        <f t="shared" si="7"/>
        <v>0.2</v>
      </c>
    </row>
    <row r="44" spans="1:15" s="142" customFormat="1" ht="15.75" customHeight="1" x14ac:dyDescent="0.2">
      <c r="A44" s="149" t="s">
        <v>98</v>
      </c>
      <c r="B44" s="189" t="s">
        <v>99</v>
      </c>
      <c r="C44" s="150" t="s">
        <v>268</v>
      </c>
      <c r="D44" s="1239">
        <v>166</v>
      </c>
      <c r="E44" s="1240">
        <v>155</v>
      </c>
      <c r="F44" s="1241">
        <v>4</v>
      </c>
      <c r="G44" s="1238">
        <v>7</v>
      </c>
      <c r="H44" s="1239">
        <v>64</v>
      </c>
      <c r="I44" s="1240">
        <v>59</v>
      </c>
      <c r="J44" s="1241">
        <v>1</v>
      </c>
      <c r="K44" s="1238">
        <v>4</v>
      </c>
      <c r="L44" s="288">
        <f t="shared" si="4"/>
        <v>0.38554216867469882</v>
      </c>
      <c r="M44" s="289">
        <f t="shared" si="5"/>
        <v>0.38064516129032255</v>
      </c>
      <c r="N44" s="289">
        <f t="shared" si="6"/>
        <v>0.25</v>
      </c>
      <c r="O44" s="290">
        <f t="shared" si="7"/>
        <v>0.5714285714285714</v>
      </c>
    </row>
    <row r="45" spans="1:15" s="142" customFormat="1" ht="15.75" customHeight="1" x14ac:dyDescent="0.2">
      <c r="A45" s="149" t="s">
        <v>100</v>
      </c>
      <c r="B45" s="189" t="s">
        <v>101</v>
      </c>
      <c r="C45" s="150" t="s">
        <v>267</v>
      </c>
      <c r="D45" s="1239">
        <v>184</v>
      </c>
      <c r="E45" s="1240">
        <v>162</v>
      </c>
      <c r="F45" s="1241">
        <v>12</v>
      </c>
      <c r="G45" s="1238">
        <v>10</v>
      </c>
      <c r="H45" s="1239">
        <v>61</v>
      </c>
      <c r="I45" s="1240">
        <v>51</v>
      </c>
      <c r="J45" s="1241">
        <v>7</v>
      </c>
      <c r="K45" s="1238">
        <v>3</v>
      </c>
      <c r="L45" s="288">
        <f t="shared" si="4"/>
        <v>0.33152173913043476</v>
      </c>
      <c r="M45" s="289">
        <f t="shared" si="5"/>
        <v>0.31481481481481483</v>
      </c>
      <c r="N45" s="289">
        <f t="shared" si="6"/>
        <v>0.58333333333333337</v>
      </c>
      <c r="O45" s="290">
        <f t="shared" si="7"/>
        <v>0.3</v>
      </c>
    </row>
    <row r="46" spans="1:15" s="142" customFormat="1" ht="15.75" customHeight="1" x14ac:dyDescent="0.2">
      <c r="A46" s="149" t="s">
        <v>102</v>
      </c>
      <c r="B46" s="189" t="s">
        <v>282</v>
      </c>
      <c r="C46" s="150" t="s">
        <v>264</v>
      </c>
      <c r="D46" s="1239">
        <v>178</v>
      </c>
      <c r="E46" s="1240">
        <v>44</v>
      </c>
      <c r="F46" s="1241">
        <v>127</v>
      </c>
      <c r="G46" s="1238">
        <v>7</v>
      </c>
      <c r="H46" s="1239">
        <v>127</v>
      </c>
      <c r="I46" s="1240">
        <v>21</v>
      </c>
      <c r="J46" s="1241">
        <v>102</v>
      </c>
      <c r="K46" s="1238">
        <v>4</v>
      </c>
      <c r="L46" s="288">
        <f t="shared" si="4"/>
        <v>0.7134831460674157</v>
      </c>
      <c r="M46" s="289">
        <f t="shared" si="5"/>
        <v>0.47727272727272729</v>
      </c>
      <c r="N46" s="289">
        <f t="shared" si="6"/>
        <v>0.80314960629921262</v>
      </c>
      <c r="O46" s="290">
        <f t="shared" si="7"/>
        <v>0.5714285714285714</v>
      </c>
    </row>
    <row r="47" spans="1:15" s="142" customFormat="1" ht="15.75" customHeight="1" x14ac:dyDescent="0.2">
      <c r="A47" s="149" t="s">
        <v>104</v>
      </c>
      <c r="B47" s="189" t="s">
        <v>105</v>
      </c>
      <c r="C47" s="150" t="s">
        <v>265</v>
      </c>
      <c r="D47" s="1239">
        <v>369</v>
      </c>
      <c r="E47" s="1240">
        <v>212</v>
      </c>
      <c r="F47" s="1241">
        <v>152</v>
      </c>
      <c r="G47" s="1238">
        <v>5</v>
      </c>
      <c r="H47" s="1239">
        <v>197</v>
      </c>
      <c r="I47" s="1240">
        <v>80</v>
      </c>
      <c r="J47" s="1241">
        <v>115</v>
      </c>
      <c r="K47" s="1238">
        <v>2</v>
      </c>
      <c r="L47" s="288">
        <f t="shared" si="4"/>
        <v>0.53387533875338755</v>
      </c>
      <c r="M47" s="289">
        <f t="shared" si="5"/>
        <v>0.37735849056603776</v>
      </c>
      <c r="N47" s="289">
        <f t="shared" si="6"/>
        <v>0.75657894736842102</v>
      </c>
      <c r="O47" s="290">
        <f t="shared" si="7"/>
        <v>0.4</v>
      </c>
    </row>
    <row r="48" spans="1:15" s="142" customFormat="1" ht="15.75" customHeight="1" x14ac:dyDescent="0.2">
      <c r="A48" s="149" t="s">
        <v>108</v>
      </c>
      <c r="B48" s="189" t="s">
        <v>109</v>
      </c>
      <c r="C48" s="150" t="s">
        <v>266</v>
      </c>
      <c r="D48" s="1239">
        <v>875</v>
      </c>
      <c r="E48" s="1240">
        <v>747</v>
      </c>
      <c r="F48" s="1241">
        <v>91</v>
      </c>
      <c r="G48" s="1238">
        <v>37</v>
      </c>
      <c r="H48" s="1239">
        <v>241</v>
      </c>
      <c r="I48" s="1240">
        <v>174</v>
      </c>
      <c r="J48" s="1241">
        <v>57</v>
      </c>
      <c r="K48" s="1238">
        <v>10</v>
      </c>
      <c r="L48" s="288">
        <f t="shared" si="4"/>
        <v>0.27542857142857141</v>
      </c>
      <c r="M48" s="289">
        <f t="shared" si="5"/>
        <v>0.23293172690763053</v>
      </c>
      <c r="N48" s="289">
        <f t="shared" si="6"/>
        <v>0.62637362637362637</v>
      </c>
      <c r="O48" s="290">
        <f t="shared" si="7"/>
        <v>0.27027027027027029</v>
      </c>
    </row>
    <row r="49" spans="1:15" s="142" customFormat="1" ht="15.75" customHeight="1" x14ac:dyDescent="0.2">
      <c r="A49" s="149" t="s">
        <v>110</v>
      </c>
      <c r="B49" s="189" t="s">
        <v>111</v>
      </c>
      <c r="C49" s="150" t="s">
        <v>266</v>
      </c>
      <c r="D49" s="1239">
        <v>3900</v>
      </c>
      <c r="E49" s="1240">
        <v>2187</v>
      </c>
      <c r="F49" s="1241">
        <v>1095</v>
      </c>
      <c r="G49" s="1238">
        <v>618</v>
      </c>
      <c r="H49" s="1239">
        <v>1320</v>
      </c>
      <c r="I49" s="1240">
        <v>488</v>
      </c>
      <c r="J49" s="1241">
        <v>727</v>
      </c>
      <c r="K49" s="1238">
        <v>105</v>
      </c>
      <c r="L49" s="288">
        <f t="shared" si="4"/>
        <v>0.33846153846153848</v>
      </c>
      <c r="M49" s="289">
        <f t="shared" si="5"/>
        <v>0.22313671696387746</v>
      </c>
      <c r="N49" s="289">
        <f t="shared" si="6"/>
        <v>0.66392694063926938</v>
      </c>
      <c r="O49" s="290">
        <f t="shared" si="7"/>
        <v>0.16990291262135923</v>
      </c>
    </row>
    <row r="50" spans="1:15" s="142" customFormat="1" ht="15.75" customHeight="1" x14ac:dyDescent="0.2">
      <c r="A50" s="149" t="s">
        <v>112</v>
      </c>
      <c r="B50" s="189" t="s">
        <v>300</v>
      </c>
      <c r="C50" s="150" t="s">
        <v>265</v>
      </c>
      <c r="D50" s="1239">
        <v>704</v>
      </c>
      <c r="E50" s="1240">
        <v>473</v>
      </c>
      <c r="F50" s="1241">
        <v>199</v>
      </c>
      <c r="G50" s="1238">
        <v>32</v>
      </c>
      <c r="H50" s="1239">
        <v>400</v>
      </c>
      <c r="I50" s="1240">
        <v>219</v>
      </c>
      <c r="J50" s="1241">
        <v>165</v>
      </c>
      <c r="K50" s="1238">
        <v>16</v>
      </c>
      <c r="L50" s="288">
        <f t="shared" si="4"/>
        <v>0.56818181818181823</v>
      </c>
      <c r="M50" s="289">
        <f t="shared" si="5"/>
        <v>0.46300211416490489</v>
      </c>
      <c r="N50" s="289">
        <f t="shared" si="6"/>
        <v>0.82914572864321612</v>
      </c>
      <c r="O50" s="290">
        <f t="shared" si="7"/>
        <v>0.5</v>
      </c>
    </row>
    <row r="51" spans="1:15" s="142" customFormat="1" ht="15.75" customHeight="1" x14ac:dyDescent="0.2">
      <c r="A51" s="149" t="s">
        <v>114</v>
      </c>
      <c r="B51" s="189" t="s">
        <v>115</v>
      </c>
      <c r="C51" s="150" t="s">
        <v>265</v>
      </c>
      <c r="D51" s="1239">
        <v>17</v>
      </c>
      <c r="E51" s="1240">
        <v>17</v>
      </c>
      <c r="F51" s="1241">
        <v>0</v>
      </c>
      <c r="G51" s="1238">
        <v>0</v>
      </c>
      <c r="H51" s="1239">
        <v>4</v>
      </c>
      <c r="I51" s="1240">
        <v>4</v>
      </c>
      <c r="J51" s="1241">
        <v>0</v>
      </c>
      <c r="K51" s="1238">
        <v>0</v>
      </c>
      <c r="L51" s="288">
        <f t="shared" si="4"/>
        <v>0.23529411764705882</v>
      </c>
      <c r="M51" s="289">
        <f t="shared" si="5"/>
        <v>0.23529411764705882</v>
      </c>
      <c r="N51" s="289" t="str">
        <f t="shared" si="6"/>
        <v>NA</v>
      </c>
      <c r="O51" s="290" t="str">
        <f t="shared" si="7"/>
        <v>NA</v>
      </c>
    </row>
    <row r="52" spans="1:15" s="142" customFormat="1" ht="15.75" customHeight="1" x14ac:dyDescent="0.2">
      <c r="A52" s="149" t="s">
        <v>118</v>
      </c>
      <c r="B52" s="189" t="s">
        <v>270</v>
      </c>
      <c r="C52" s="150" t="s">
        <v>264</v>
      </c>
      <c r="D52" s="1239">
        <v>314</v>
      </c>
      <c r="E52" s="1240">
        <v>227</v>
      </c>
      <c r="F52" s="1241">
        <v>74</v>
      </c>
      <c r="G52" s="1238">
        <v>13</v>
      </c>
      <c r="H52" s="1239">
        <v>116</v>
      </c>
      <c r="I52" s="1240">
        <v>59</v>
      </c>
      <c r="J52" s="1241">
        <v>55</v>
      </c>
      <c r="K52" s="1238">
        <v>2</v>
      </c>
      <c r="L52" s="288">
        <f t="shared" si="4"/>
        <v>0.36942675159235666</v>
      </c>
      <c r="M52" s="289">
        <f t="shared" si="5"/>
        <v>0.25991189427312777</v>
      </c>
      <c r="N52" s="289">
        <f t="shared" si="6"/>
        <v>0.7432432432432432</v>
      </c>
      <c r="O52" s="290">
        <f t="shared" si="7"/>
        <v>0.15384615384615385</v>
      </c>
    </row>
    <row r="53" spans="1:15" s="142" customFormat="1" ht="15.75" customHeight="1" x14ac:dyDescent="0.2">
      <c r="A53" s="149" t="s">
        <v>120</v>
      </c>
      <c r="B53" s="189" t="s">
        <v>121</v>
      </c>
      <c r="C53" s="150" t="s">
        <v>264</v>
      </c>
      <c r="D53" s="1239">
        <v>718</v>
      </c>
      <c r="E53" s="1240">
        <v>519</v>
      </c>
      <c r="F53" s="1241">
        <v>116</v>
      </c>
      <c r="G53" s="1238">
        <v>83</v>
      </c>
      <c r="H53" s="1239">
        <v>216</v>
      </c>
      <c r="I53" s="1240">
        <v>112</v>
      </c>
      <c r="J53" s="1241">
        <v>69</v>
      </c>
      <c r="K53" s="1238">
        <v>35</v>
      </c>
      <c r="L53" s="288">
        <f t="shared" si="4"/>
        <v>0.30083565459610029</v>
      </c>
      <c r="M53" s="289">
        <f t="shared" si="5"/>
        <v>0.21579961464354527</v>
      </c>
      <c r="N53" s="289">
        <f t="shared" si="6"/>
        <v>0.59482758620689657</v>
      </c>
      <c r="O53" s="290">
        <f t="shared" si="7"/>
        <v>0.42168674698795183</v>
      </c>
    </row>
    <row r="54" spans="1:15" s="142" customFormat="1" ht="15.75" customHeight="1" x14ac:dyDescent="0.2">
      <c r="A54" s="149" t="s">
        <v>122</v>
      </c>
      <c r="B54" s="189" t="s">
        <v>271</v>
      </c>
      <c r="C54" s="150" t="s">
        <v>266</v>
      </c>
      <c r="D54" s="1239">
        <v>52</v>
      </c>
      <c r="E54" s="1240">
        <v>33</v>
      </c>
      <c r="F54" s="1241">
        <v>12</v>
      </c>
      <c r="G54" s="1238">
        <v>7</v>
      </c>
      <c r="H54" s="1239">
        <v>29</v>
      </c>
      <c r="I54" s="1240">
        <v>15</v>
      </c>
      <c r="J54" s="1241">
        <v>10</v>
      </c>
      <c r="K54" s="1238">
        <v>4</v>
      </c>
      <c r="L54" s="288">
        <f t="shared" si="4"/>
        <v>0.55769230769230771</v>
      </c>
      <c r="M54" s="289">
        <f t="shared" si="5"/>
        <v>0.45454545454545453</v>
      </c>
      <c r="N54" s="289">
        <f t="shared" si="6"/>
        <v>0.83333333333333337</v>
      </c>
      <c r="O54" s="290">
        <f t="shared" si="7"/>
        <v>0.5714285714285714</v>
      </c>
    </row>
    <row r="55" spans="1:15" s="142" customFormat="1" ht="15.75" customHeight="1" x14ac:dyDescent="0.2">
      <c r="A55" s="149" t="s">
        <v>124</v>
      </c>
      <c r="B55" s="189" t="s">
        <v>125</v>
      </c>
      <c r="C55" s="150" t="s">
        <v>267</v>
      </c>
      <c r="D55" s="1239">
        <v>304</v>
      </c>
      <c r="E55" s="1240">
        <v>250</v>
      </c>
      <c r="F55" s="1241">
        <v>47</v>
      </c>
      <c r="G55" s="1238">
        <v>7</v>
      </c>
      <c r="H55" s="1239">
        <v>97</v>
      </c>
      <c r="I55" s="1240">
        <v>64</v>
      </c>
      <c r="J55" s="1241">
        <v>31</v>
      </c>
      <c r="K55" s="1238">
        <v>2</v>
      </c>
      <c r="L55" s="288">
        <f t="shared" si="4"/>
        <v>0.31907894736842107</v>
      </c>
      <c r="M55" s="289">
        <f t="shared" si="5"/>
        <v>0.25600000000000001</v>
      </c>
      <c r="N55" s="289">
        <f t="shared" si="6"/>
        <v>0.65957446808510634</v>
      </c>
      <c r="O55" s="290">
        <f t="shared" si="7"/>
        <v>0.2857142857142857</v>
      </c>
    </row>
    <row r="56" spans="1:15" s="142" customFormat="1" ht="15.75" customHeight="1" x14ac:dyDescent="0.2">
      <c r="A56" s="149" t="s">
        <v>126</v>
      </c>
      <c r="B56" s="189" t="s">
        <v>127</v>
      </c>
      <c r="C56" s="150" t="s">
        <v>266</v>
      </c>
      <c r="D56" s="1239">
        <v>187</v>
      </c>
      <c r="E56" s="1240">
        <v>156</v>
      </c>
      <c r="F56" s="1241">
        <v>23</v>
      </c>
      <c r="G56" s="1238">
        <v>8</v>
      </c>
      <c r="H56" s="1239">
        <v>51</v>
      </c>
      <c r="I56" s="1240">
        <v>31</v>
      </c>
      <c r="J56" s="1241">
        <v>16</v>
      </c>
      <c r="K56" s="1238">
        <v>4</v>
      </c>
      <c r="L56" s="288">
        <f t="shared" si="4"/>
        <v>0.27272727272727271</v>
      </c>
      <c r="M56" s="289">
        <f t="shared" si="5"/>
        <v>0.19871794871794871</v>
      </c>
      <c r="N56" s="289">
        <f t="shared" si="6"/>
        <v>0.69565217391304346</v>
      </c>
      <c r="O56" s="290">
        <f t="shared" si="7"/>
        <v>0.5</v>
      </c>
    </row>
    <row r="57" spans="1:15" s="142" customFormat="1" ht="15.75" customHeight="1" x14ac:dyDescent="0.2">
      <c r="A57" s="149" t="s">
        <v>128</v>
      </c>
      <c r="B57" s="189" t="s">
        <v>129</v>
      </c>
      <c r="C57" s="150" t="s">
        <v>266</v>
      </c>
      <c r="D57" s="1239">
        <v>77</v>
      </c>
      <c r="E57" s="1240">
        <v>32</v>
      </c>
      <c r="F57" s="1241">
        <v>44</v>
      </c>
      <c r="G57" s="1238">
        <v>1</v>
      </c>
      <c r="H57" s="1239">
        <v>56</v>
      </c>
      <c r="I57" s="1240">
        <v>16</v>
      </c>
      <c r="J57" s="1241">
        <v>40</v>
      </c>
      <c r="K57" s="1238">
        <v>0</v>
      </c>
      <c r="L57" s="288">
        <f t="shared" si="4"/>
        <v>0.72727272727272729</v>
      </c>
      <c r="M57" s="289">
        <f t="shared" si="5"/>
        <v>0.5</v>
      </c>
      <c r="N57" s="289">
        <f t="shared" si="6"/>
        <v>0.90909090909090906</v>
      </c>
      <c r="O57" s="290">
        <f t="shared" si="7"/>
        <v>0</v>
      </c>
    </row>
    <row r="58" spans="1:15" s="142" customFormat="1" ht="15.75" customHeight="1" x14ac:dyDescent="0.2">
      <c r="A58" s="149" t="s">
        <v>130</v>
      </c>
      <c r="B58" s="189" t="s">
        <v>131</v>
      </c>
      <c r="C58" s="150" t="s">
        <v>268</v>
      </c>
      <c r="D58" s="1239">
        <v>222</v>
      </c>
      <c r="E58" s="1240">
        <v>221</v>
      </c>
      <c r="F58" s="1241">
        <v>0</v>
      </c>
      <c r="G58" s="1238">
        <v>1</v>
      </c>
      <c r="H58" s="1239">
        <v>86</v>
      </c>
      <c r="I58" s="1240">
        <v>86</v>
      </c>
      <c r="J58" s="1241">
        <v>0</v>
      </c>
      <c r="K58" s="1238">
        <v>0</v>
      </c>
      <c r="L58" s="288">
        <f t="shared" si="4"/>
        <v>0.38738738738738737</v>
      </c>
      <c r="M58" s="289">
        <f t="shared" si="5"/>
        <v>0.38914027149321267</v>
      </c>
      <c r="N58" s="289" t="str">
        <f t="shared" si="6"/>
        <v>NA</v>
      </c>
      <c r="O58" s="290">
        <f t="shared" si="7"/>
        <v>0</v>
      </c>
    </row>
    <row r="59" spans="1:15" s="142" customFormat="1" ht="15.75" customHeight="1" x14ac:dyDescent="0.2">
      <c r="A59" s="149" t="s">
        <v>132</v>
      </c>
      <c r="B59" s="189" t="s">
        <v>133</v>
      </c>
      <c r="C59" s="150" t="s">
        <v>267</v>
      </c>
      <c r="D59" s="1239">
        <v>5005</v>
      </c>
      <c r="E59" s="1240">
        <v>3206</v>
      </c>
      <c r="F59" s="1241">
        <v>333</v>
      </c>
      <c r="G59" s="1238">
        <v>1466</v>
      </c>
      <c r="H59" s="1239">
        <v>788</v>
      </c>
      <c r="I59" s="1240">
        <v>402</v>
      </c>
      <c r="J59" s="1241">
        <v>111</v>
      </c>
      <c r="K59" s="1238">
        <v>275</v>
      </c>
      <c r="L59" s="288">
        <f t="shared" si="4"/>
        <v>0.15744255744255745</v>
      </c>
      <c r="M59" s="289">
        <f t="shared" si="5"/>
        <v>0.12538989394884592</v>
      </c>
      <c r="N59" s="289">
        <f t="shared" si="6"/>
        <v>0.33333333333333331</v>
      </c>
      <c r="O59" s="290">
        <f t="shared" si="7"/>
        <v>0.18758526603001363</v>
      </c>
    </row>
    <row r="60" spans="1:15" s="142" customFormat="1" ht="15.75" customHeight="1" x14ac:dyDescent="0.2">
      <c r="A60" s="149" t="s">
        <v>134</v>
      </c>
      <c r="B60" s="189" t="s">
        <v>135</v>
      </c>
      <c r="C60" s="150" t="s">
        <v>267</v>
      </c>
      <c r="D60" s="1239">
        <v>368</v>
      </c>
      <c r="E60" s="1240">
        <v>296</v>
      </c>
      <c r="F60" s="1241">
        <v>58</v>
      </c>
      <c r="G60" s="1238">
        <v>14</v>
      </c>
      <c r="H60" s="1239">
        <v>155</v>
      </c>
      <c r="I60" s="1240">
        <v>105</v>
      </c>
      <c r="J60" s="1241">
        <v>43</v>
      </c>
      <c r="K60" s="1238">
        <v>7</v>
      </c>
      <c r="L60" s="288">
        <f t="shared" si="4"/>
        <v>0.42119565217391303</v>
      </c>
      <c r="M60" s="289">
        <f t="shared" si="5"/>
        <v>0.35472972972972971</v>
      </c>
      <c r="N60" s="289">
        <f t="shared" si="6"/>
        <v>0.74137931034482762</v>
      </c>
      <c r="O60" s="290">
        <f t="shared" si="7"/>
        <v>0.5</v>
      </c>
    </row>
    <row r="61" spans="1:15" s="142" customFormat="1" ht="15.75" customHeight="1" x14ac:dyDescent="0.2">
      <c r="A61" s="149" t="s">
        <v>136</v>
      </c>
      <c r="B61" s="189" t="s">
        <v>137</v>
      </c>
      <c r="C61" s="150" t="s">
        <v>266</v>
      </c>
      <c r="D61" s="1239">
        <v>99</v>
      </c>
      <c r="E61" s="1240">
        <v>68</v>
      </c>
      <c r="F61" s="1241">
        <v>29</v>
      </c>
      <c r="G61" s="1238">
        <v>2</v>
      </c>
      <c r="H61" s="1239">
        <v>57</v>
      </c>
      <c r="I61" s="1240">
        <v>34</v>
      </c>
      <c r="J61" s="1241">
        <v>22</v>
      </c>
      <c r="K61" s="1238">
        <v>1</v>
      </c>
      <c r="L61" s="288">
        <f t="shared" si="4"/>
        <v>0.5757575757575758</v>
      </c>
      <c r="M61" s="289">
        <f t="shared" si="5"/>
        <v>0.5</v>
      </c>
      <c r="N61" s="289">
        <f t="shared" si="6"/>
        <v>0.75862068965517238</v>
      </c>
      <c r="O61" s="290">
        <f t="shared" si="7"/>
        <v>0.5</v>
      </c>
    </row>
    <row r="62" spans="1:15" s="142" customFormat="1" ht="15.75" customHeight="1" x14ac:dyDescent="0.2">
      <c r="A62" s="149" t="s">
        <v>140</v>
      </c>
      <c r="B62" s="189" t="s">
        <v>141</v>
      </c>
      <c r="C62" s="150" t="s">
        <v>267</v>
      </c>
      <c r="D62" s="1239">
        <v>128</v>
      </c>
      <c r="E62" s="1240">
        <v>117</v>
      </c>
      <c r="F62" s="1241">
        <v>7</v>
      </c>
      <c r="G62" s="1238">
        <v>4</v>
      </c>
      <c r="H62" s="1239">
        <v>40</v>
      </c>
      <c r="I62" s="1240">
        <v>32</v>
      </c>
      <c r="J62" s="1241">
        <v>6</v>
      </c>
      <c r="K62" s="1238">
        <v>2</v>
      </c>
      <c r="L62" s="288">
        <f t="shared" si="4"/>
        <v>0.3125</v>
      </c>
      <c r="M62" s="289">
        <f t="shared" si="5"/>
        <v>0.27350427350427353</v>
      </c>
      <c r="N62" s="289">
        <f t="shared" si="6"/>
        <v>0.8571428571428571</v>
      </c>
      <c r="O62" s="290">
        <f t="shared" si="7"/>
        <v>0.5</v>
      </c>
    </row>
    <row r="63" spans="1:15" s="142" customFormat="1" ht="15.75" customHeight="1" x14ac:dyDescent="0.2">
      <c r="A63" s="149" t="s">
        <v>146</v>
      </c>
      <c r="B63" s="189" t="s">
        <v>147</v>
      </c>
      <c r="C63" s="150" t="s">
        <v>264</v>
      </c>
      <c r="D63" s="1239">
        <v>53</v>
      </c>
      <c r="E63" s="1240">
        <v>42</v>
      </c>
      <c r="F63" s="1241">
        <v>8</v>
      </c>
      <c r="G63" s="1238">
        <v>3</v>
      </c>
      <c r="H63" s="1239">
        <v>27</v>
      </c>
      <c r="I63" s="1240">
        <v>17</v>
      </c>
      <c r="J63" s="1241">
        <v>7</v>
      </c>
      <c r="K63" s="1238">
        <v>3</v>
      </c>
      <c r="L63" s="288">
        <f t="shared" si="4"/>
        <v>0.50943396226415094</v>
      </c>
      <c r="M63" s="289">
        <f t="shared" si="5"/>
        <v>0.40476190476190477</v>
      </c>
      <c r="N63" s="289">
        <f t="shared" si="6"/>
        <v>0.875</v>
      </c>
      <c r="O63" s="290">
        <f t="shared" si="7"/>
        <v>1</v>
      </c>
    </row>
    <row r="64" spans="1:15" s="142" customFormat="1" ht="15.75" customHeight="1" x14ac:dyDescent="0.2">
      <c r="A64" s="149" t="s">
        <v>148</v>
      </c>
      <c r="B64" s="189" t="s">
        <v>149</v>
      </c>
      <c r="C64" s="150" t="s">
        <v>265</v>
      </c>
      <c r="D64" s="1239">
        <v>282</v>
      </c>
      <c r="E64" s="1240">
        <v>168</v>
      </c>
      <c r="F64" s="1241">
        <v>108</v>
      </c>
      <c r="G64" s="1238">
        <v>6</v>
      </c>
      <c r="H64" s="1239">
        <v>140</v>
      </c>
      <c r="I64" s="1240">
        <v>51</v>
      </c>
      <c r="J64" s="1241">
        <v>87</v>
      </c>
      <c r="K64" s="1238">
        <v>2</v>
      </c>
      <c r="L64" s="288">
        <f t="shared" si="4"/>
        <v>0.49645390070921985</v>
      </c>
      <c r="M64" s="289">
        <f t="shared" si="5"/>
        <v>0.30357142857142855</v>
      </c>
      <c r="N64" s="289">
        <f t="shared" si="6"/>
        <v>0.80555555555555558</v>
      </c>
      <c r="O64" s="290">
        <f t="shared" si="7"/>
        <v>0.33333333333333331</v>
      </c>
    </row>
    <row r="65" spans="1:15" s="142" customFormat="1" ht="15.75" customHeight="1" x14ac:dyDescent="0.2">
      <c r="A65" s="149" t="s">
        <v>150</v>
      </c>
      <c r="B65" s="189" t="s">
        <v>151</v>
      </c>
      <c r="C65" s="150" t="s">
        <v>266</v>
      </c>
      <c r="D65" s="1239">
        <v>79</v>
      </c>
      <c r="E65" s="1240">
        <v>60</v>
      </c>
      <c r="F65" s="1241">
        <v>16</v>
      </c>
      <c r="G65" s="1238">
        <v>3</v>
      </c>
      <c r="H65" s="1239">
        <v>40</v>
      </c>
      <c r="I65" s="1240">
        <v>24</v>
      </c>
      <c r="J65" s="1241">
        <v>14</v>
      </c>
      <c r="K65" s="1238">
        <v>2</v>
      </c>
      <c r="L65" s="288">
        <f t="shared" si="4"/>
        <v>0.50632911392405067</v>
      </c>
      <c r="M65" s="289">
        <f t="shared" si="5"/>
        <v>0.4</v>
      </c>
      <c r="N65" s="289">
        <f t="shared" si="6"/>
        <v>0.875</v>
      </c>
      <c r="O65" s="290">
        <f t="shared" si="7"/>
        <v>0.66666666666666663</v>
      </c>
    </row>
    <row r="66" spans="1:15" s="142" customFormat="1" ht="15.75" customHeight="1" x14ac:dyDescent="0.2">
      <c r="A66" s="149" t="s">
        <v>152</v>
      </c>
      <c r="B66" s="189" t="s">
        <v>153</v>
      </c>
      <c r="C66" s="150" t="s">
        <v>268</v>
      </c>
      <c r="D66" s="1239">
        <v>867</v>
      </c>
      <c r="E66" s="1240">
        <v>766</v>
      </c>
      <c r="F66" s="1241">
        <v>30</v>
      </c>
      <c r="G66" s="1238">
        <v>71</v>
      </c>
      <c r="H66" s="1239">
        <v>245</v>
      </c>
      <c r="I66" s="1240">
        <v>225</v>
      </c>
      <c r="J66" s="1241">
        <v>16</v>
      </c>
      <c r="K66" s="1238">
        <v>4</v>
      </c>
      <c r="L66" s="288">
        <f t="shared" si="4"/>
        <v>0.28258362168396772</v>
      </c>
      <c r="M66" s="289">
        <f t="shared" si="5"/>
        <v>0.29373368146214102</v>
      </c>
      <c r="N66" s="289">
        <f t="shared" si="6"/>
        <v>0.53333333333333333</v>
      </c>
      <c r="O66" s="290">
        <f t="shared" si="7"/>
        <v>5.6338028169014086E-2</v>
      </c>
    </row>
    <row r="67" spans="1:15" s="142" customFormat="1" ht="15.75" customHeight="1" x14ac:dyDescent="0.2">
      <c r="A67" s="149" t="s">
        <v>154</v>
      </c>
      <c r="B67" s="189" t="s">
        <v>155</v>
      </c>
      <c r="C67" s="150" t="s">
        <v>265</v>
      </c>
      <c r="D67" s="1239">
        <v>125</v>
      </c>
      <c r="E67" s="1240">
        <v>109</v>
      </c>
      <c r="F67" s="1241">
        <v>9</v>
      </c>
      <c r="G67" s="1238">
        <v>7</v>
      </c>
      <c r="H67" s="1239">
        <v>52</v>
      </c>
      <c r="I67" s="1240">
        <v>42</v>
      </c>
      <c r="J67" s="1241">
        <v>8</v>
      </c>
      <c r="K67" s="1238">
        <v>2</v>
      </c>
      <c r="L67" s="288">
        <f t="shared" si="4"/>
        <v>0.41599999999999998</v>
      </c>
      <c r="M67" s="289">
        <f t="shared" si="5"/>
        <v>0.38532110091743121</v>
      </c>
      <c r="N67" s="289">
        <f t="shared" si="6"/>
        <v>0.88888888888888884</v>
      </c>
      <c r="O67" s="290">
        <f t="shared" si="7"/>
        <v>0.2857142857142857</v>
      </c>
    </row>
    <row r="68" spans="1:15" s="142" customFormat="1" ht="15.75" customHeight="1" x14ac:dyDescent="0.2">
      <c r="A68" s="149" t="s">
        <v>156</v>
      </c>
      <c r="B68" s="189" t="s">
        <v>157</v>
      </c>
      <c r="C68" s="150" t="s">
        <v>266</v>
      </c>
      <c r="D68" s="1239">
        <v>164</v>
      </c>
      <c r="E68" s="1240">
        <v>143</v>
      </c>
      <c r="F68" s="1241">
        <v>11</v>
      </c>
      <c r="G68" s="1238">
        <v>10</v>
      </c>
      <c r="H68" s="1239">
        <v>46</v>
      </c>
      <c r="I68" s="1240">
        <v>33</v>
      </c>
      <c r="J68" s="1241">
        <v>8</v>
      </c>
      <c r="K68" s="1238">
        <v>5</v>
      </c>
      <c r="L68" s="288">
        <f t="shared" si="4"/>
        <v>0.28048780487804881</v>
      </c>
      <c r="M68" s="289">
        <f t="shared" si="5"/>
        <v>0.23076923076923078</v>
      </c>
      <c r="N68" s="289">
        <f t="shared" si="6"/>
        <v>0.72727272727272729</v>
      </c>
      <c r="O68" s="290">
        <f t="shared" si="7"/>
        <v>0.5</v>
      </c>
    </row>
    <row r="69" spans="1:15" s="142" customFormat="1" ht="15.75" customHeight="1" x14ac:dyDescent="0.2">
      <c r="A69" s="149" t="s">
        <v>162</v>
      </c>
      <c r="B69" s="189" t="s">
        <v>163</v>
      </c>
      <c r="C69" s="150" t="s">
        <v>264</v>
      </c>
      <c r="D69" s="1239">
        <v>145</v>
      </c>
      <c r="E69" s="1240">
        <v>88</v>
      </c>
      <c r="F69" s="1241">
        <v>52</v>
      </c>
      <c r="G69" s="1238">
        <v>5</v>
      </c>
      <c r="H69" s="1239">
        <v>84</v>
      </c>
      <c r="I69" s="1240">
        <v>40</v>
      </c>
      <c r="J69" s="1241">
        <v>42</v>
      </c>
      <c r="K69" s="1238">
        <v>2</v>
      </c>
      <c r="L69" s="288">
        <f t="shared" si="4"/>
        <v>0.57931034482758625</v>
      </c>
      <c r="M69" s="289">
        <f t="shared" si="5"/>
        <v>0.45454545454545453</v>
      </c>
      <c r="N69" s="289">
        <f t="shared" si="6"/>
        <v>0.80769230769230771</v>
      </c>
      <c r="O69" s="290">
        <f t="shared" si="7"/>
        <v>0.4</v>
      </c>
    </row>
    <row r="70" spans="1:15" s="142" customFormat="1" ht="15.75" customHeight="1" x14ac:dyDescent="0.2">
      <c r="A70" s="149" t="s">
        <v>164</v>
      </c>
      <c r="B70" s="189" t="s">
        <v>165</v>
      </c>
      <c r="C70" s="150" t="s">
        <v>266</v>
      </c>
      <c r="D70" s="1239">
        <v>85</v>
      </c>
      <c r="E70" s="1240">
        <v>44</v>
      </c>
      <c r="F70" s="1241">
        <v>37</v>
      </c>
      <c r="G70" s="1238">
        <v>4</v>
      </c>
      <c r="H70" s="1239">
        <v>47</v>
      </c>
      <c r="I70" s="1240">
        <v>16</v>
      </c>
      <c r="J70" s="1241">
        <v>27</v>
      </c>
      <c r="K70" s="1238">
        <v>4</v>
      </c>
      <c r="L70" s="288">
        <f t="shared" si="4"/>
        <v>0.55294117647058827</v>
      </c>
      <c r="M70" s="289">
        <f t="shared" si="5"/>
        <v>0.36363636363636365</v>
      </c>
      <c r="N70" s="289">
        <f t="shared" si="6"/>
        <v>0.72972972972972971</v>
      </c>
      <c r="O70" s="290">
        <f t="shared" si="7"/>
        <v>1</v>
      </c>
    </row>
    <row r="71" spans="1:15" s="142" customFormat="1" ht="15.75" customHeight="1" x14ac:dyDescent="0.2">
      <c r="A71" s="149" t="s">
        <v>168</v>
      </c>
      <c r="B71" s="189" t="s">
        <v>169</v>
      </c>
      <c r="C71" s="150" t="s">
        <v>266</v>
      </c>
      <c r="D71" s="1239">
        <v>183</v>
      </c>
      <c r="E71" s="1240">
        <v>113</v>
      </c>
      <c r="F71" s="1241">
        <v>67</v>
      </c>
      <c r="G71" s="1238">
        <v>3</v>
      </c>
      <c r="H71" s="1239">
        <v>102</v>
      </c>
      <c r="I71" s="1240">
        <v>50</v>
      </c>
      <c r="J71" s="1241">
        <v>49</v>
      </c>
      <c r="K71" s="1238">
        <v>3</v>
      </c>
      <c r="L71" s="288">
        <f t="shared" ref="L71:L102" si="8">IF(D71=0,"NA",(H71/D71))</f>
        <v>0.55737704918032782</v>
      </c>
      <c r="M71" s="289">
        <f t="shared" ref="M71:M102" si="9">IF(E71=0,"NA",(I71/E71))</f>
        <v>0.44247787610619471</v>
      </c>
      <c r="N71" s="289">
        <f t="shared" ref="N71:N102" si="10">IF(F71=0,"NA",(J71/F71))</f>
        <v>0.73134328358208955</v>
      </c>
      <c r="O71" s="290">
        <f t="shared" ref="O71:O102" si="11">IF(G71=0,"NA",(K71/G71))</f>
        <v>1</v>
      </c>
    </row>
    <row r="72" spans="1:15" s="142" customFormat="1" ht="15.75" customHeight="1" x14ac:dyDescent="0.2">
      <c r="A72" s="149" t="s">
        <v>170</v>
      </c>
      <c r="B72" s="189" t="s">
        <v>171</v>
      </c>
      <c r="C72" s="150" t="s">
        <v>267</v>
      </c>
      <c r="D72" s="1239">
        <v>378</v>
      </c>
      <c r="E72" s="1240">
        <v>311</v>
      </c>
      <c r="F72" s="1241">
        <v>54</v>
      </c>
      <c r="G72" s="1238">
        <v>13</v>
      </c>
      <c r="H72" s="1239">
        <v>156</v>
      </c>
      <c r="I72" s="1240">
        <v>113</v>
      </c>
      <c r="J72" s="1241">
        <v>36</v>
      </c>
      <c r="K72" s="1238">
        <v>7</v>
      </c>
      <c r="L72" s="288">
        <f t="shared" si="8"/>
        <v>0.41269841269841268</v>
      </c>
      <c r="M72" s="289">
        <f t="shared" si="9"/>
        <v>0.36334405144694532</v>
      </c>
      <c r="N72" s="289">
        <f t="shared" si="10"/>
        <v>0.66666666666666663</v>
      </c>
      <c r="O72" s="290">
        <f t="shared" si="11"/>
        <v>0.53846153846153844</v>
      </c>
    </row>
    <row r="73" spans="1:15" s="142" customFormat="1" ht="15.75" customHeight="1" x14ac:dyDescent="0.2">
      <c r="A73" s="149" t="s">
        <v>172</v>
      </c>
      <c r="B73" s="189" t="s">
        <v>173</v>
      </c>
      <c r="C73" s="150" t="s">
        <v>267</v>
      </c>
      <c r="D73" s="1239">
        <v>236</v>
      </c>
      <c r="E73" s="1240">
        <v>229</v>
      </c>
      <c r="F73" s="1241">
        <v>3</v>
      </c>
      <c r="G73" s="1238">
        <v>4</v>
      </c>
      <c r="H73" s="1239">
        <v>117</v>
      </c>
      <c r="I73" s="1240">
        <v>112</v>
      </c>
      <c r="J73" s="1241">
        <v>3</v>
      </c>
      <c r="K73" s="1238">
        <v>2</v>
      </c>
      <c r="L73" s="288">
        <f t="shared" si="8"/>
        <v>0.49576271186440679</v>
      </c>
      <c r="M73" s="289">
        <f t="shared" si="9"/>
        <v>0.48908296943231439</v>
      </c>
      <c r="N73" s="289">
        <f t="shared" si="10"/>
        <v>1</v>
      </c>
      <c r="O73" s="290">
        <f t="shared" si="11"/>
        <v>0.5</v>
      </c>
    </row>
    <row r="74" spans="1:15" s="142" customFormat="1" ht="15.75" customHeight="1" x14ac:dyDescent="0.2">
      <c r="A74" s="149" t="s">
        <v>174</v>
      </c>
      <c r="B74" s="189" t="s">
        <v>175</v>
      </c>
      <c r="C74" s="150" t="s">
        <v>268</v>
      </c>
      <c r="D74" s="1239">
        <v>130</v>
      </c>
      <c r="E74" s="1240">
        <v>118</v>
      </c>
      <c r="F74" s="1241">
        <v>8</v>
      </c>
      <c r="G74" s="1238">
        <v>4</v>
      </c>
      <c r="H74" s="1239">
        <v>52</v>
      </c>
      <c r="I74" s="1240">
        <v>45</v>
      </c>
      <c r="J74" s="1241">
        <v>4</v>
      </c>
      <c r="K74" s="1238">
        <v>3</v>
      </c>
      <c r="L74" s="288">
        <f t="shared" si="8"/>
        <v>0.4</v>
      </c>
      <c r="M74" s="289">
        <f t="shared" si="9"/>
        <v>0.38135593220338981</v>
      </c>
      <c r="N74" s="289">
        <f t="shared" si="10"/>
        <v>0.5</v>
      </c>
      <c r="O74" s="290">
        <f t="shared" si="11"/>
        <v>0.75</v>
      </c>
    </row>
    <row r="75" spans="1:15" s="142" customFormat="1" ht="15.75" customHeight="1" x14ac:dyDescent="0.2">
      <c r="A75" s="149" t="s">
        <v>178</v>
      </c>
      <c r="B75" s="189" t="s">
        <v>179</v>
      </c>
      <c r="C75" s="150" t="s">
        <v>265</v>
      </c>
      <c r="D75" s="1239">
        <v>477</v>
      </c>
      <c r="E75" s="1240">
        <v>366</v>
      </c>
      <c r="F75" s="1241">
        <v>97</v>
      </c>
      <c r="G75" s="1238">
        <v>14</v>
      </c>
      <c r="H75" s="1239">
        <v>188</v>
      </c>
      <c r="I75" s="1240">
        <v>105</v>
      </c>
      <c r="J75" s="1241">
        <v>74</v>
      </c>
      <c r="K75" s="1238">
        <v>9</v>
      </c>
      <c r="L75" s="288">
        <f t="shared" si="8"/>
        <v>0.3941299790356394</v>
      </c>
      <c r="M75" s="289">
        <f t="shared" si="9"/>
        <v>0.28688524590163933</v>
      </c>
      <c r="N75" s="289">
        <f t="shared" si="10"/>
        <v>0.76288659793814428</v>
      </c>
      <c r="O75" s="290">
        <f t="shared" si="11"/>
        <v>0.6428571428571429</v>
      </c>
    </row>
    <row r="76" spans="1:15" s="142" customFormat="1" ht="15.75" customHeight="1" x14ac:dyDescent="0.2">
      <c r="A76" s="149" t="s">
        <v>182</v>
      </c>
      <c r="B76" s="189" t="s">
        <v>183</v>
      </c>
      <c r="C76" s="150" t="s">
        <v>266</v>
      </c>
      <c r="D76" s="1239">
        <v>215</v>
      </c>
      <c r="E76" s="1240">
        <v>201</v>
      </c>
      <c r="F76" s="1241">
        <v>9</v>
      </c>
      <c r="G76" s="1238">
        <v>5</v>
      </c>
      <c r="H76" s="1239">
        <v>55</v>
      </c>
      <c r="I76" s="1240">
        <v>47</v>
      </c>
      <c r="J76" s="1241">
        <v>6</v>
      </c>
      <c r="K76" s="1238">
        <v>2</v>
      </c>
      <c r="L76" s="288">
        <f t="shared" si="8"/>
        <v>0.2558139534883721</v>
      </c>
      <c r="M76" s="289">
        <f t="shared" si="9"/>
        <v>0.23383084577114427</v>
      </c>
      <c r="N76" s="289">
        <f t="shared" si="10"/>
        <v>0.66666666666666663</v>
      </c>
      <c r="O76" s="290">
        <f t="shared" si="11"/>
        <v>0.4</v>
      </c>
    </row>
    <row r="77" spans="1:15" s="142" customFormat="1" ht="15.75" customHeight="1" x14ac:dyDescent="0.2">
      <c r="A77" s="149" t="s">
        <v>184</v>
      </c>
      <c r="B77" s="189" t="s">
        <v>185</v>
      </c>
      <c r="C77" s="150" t="s">
        <v>266</v>
      </c>
      <c r="D77" s="1239">
        <v>205</v>
      </c>
      <c r="E77" s="1240">
        <v>126</v>
      </c>
      <c r="F77" s="1241">
        <v>74</v>
      </c>
      <c r="G77" s="1238">
        <v>5</v>
      </c>
      <c r="H77" s="1239">
        <v>97</v>
      </c>
      <c r="I77" s="1240">
        <v>41</v>
      </c>
      <c r="J77" s="1241">
        <v>55</v>
      </c>
      <c r="K77" s="1238">
        <v>1</v>
      </c>
      <c r="L77" s="288">
        <f t="shared" si="8"/>
        <v>0.47317073170731705</v>
      </c>
      <c r="M77" s="289">
        <f t="shared" si="9"/>
        <v>0.32539682539682541</v>
      </c>
      <c r="N77" s="289">
        <f t="shared" si="10"/>
        <v>0.7432432432432432</v>
      </c>
      <c r="O77" s="290">
        <f t="shared" si="11"/>
        <v>0.2</v>
      </c>
    </row>
    <row r="78" spans="1:15" s="142" customFormat="1" ht="15.75" customHeight="1" x14ac:dyDescent="0.2">
      <c r="A78" s="149" t="s">
        <v>186</v>
      </c>
      <c r="B78" s="189" t="s">
        <v>187</v>
      </c>
      <c r="C78" s="150" t="s">
        <v>264</v>
      </c>
      <c r="D78" s="1239">
        <v>310</v>
      </c>
      <c r="E78" s="1240">
        <v>192</v>
      </c>
      <c r="F78" s="1241">
        <v>86</v>
      </c>
      <c r="G78" s="1238">
        <v>32</v>
      </c>
      <c r="H78" s="1239">
        <v>92</v>
      </c>
      <c r="I78" s="1240">
        <v>39</v>
      </c>
      <c r="J78" s="1241">
        <v>44</v>
      </c>
      <c r="K78" s="1238">
        <v>9</v>
      </c>
      <c r="L78" s="288">
        <f t="shared" si="8"/>
        <v>0.29677419354838708</v>
      </c>
      <c r="M78" s="289">
        <f t="shared" si="9"/>
        <v>0.203125</v>
      </c>
      <c r="N78" s="289">
        <f t="shared" si="10"/>
        <v>0.51162790697674421</v>
      </c>
      <c r="O78" s="290">
        <f t="shared" si="11"/>
        <v>0.28125</v>
      </c>
    </row>
    <row r="79" spans="1:15" s="142" customFormat="1" ht="15.75" customHeight="1" x14ac:dyDescent="0.2">
      <c r="A79" s="149" t="s">
        <v>188</v>
      </c>
      <c r="B79" s="189" t="s">
        <v>189</v>
      </c>
      <c r="C79" s="150" t="s">
        <v>267</v>
      </c>
      <c r="D79" s="1239">
        <v>6791</v>
      </c>
      <c r="E79" s="1240">
        <v>4014</v>
      </c>
      <c r="F79" s="1241">
        <v>1460</v>
      </c>
      <c r="G79" s="1238">
        <v>1317</v>
      </c>
      <c r="H79" s="1239">
        <v>1947</v>
      </c>
      <c r="I79" s="1240">
        <v>983</v>
      </c>
      <c r="J79" s="1241">
        <v>644</v>
      </c>
      <c r="K79" s="1238">
        <v>320</v>
      </c>
      <c r="L79" s="288">
        <f t="shared" si="8"/>
        <v>0.2867029892504786</v>
      </c>
      <c r="M79" s="289">
        <f t="shared" si="9"/>
        <v>0.244892874937718</v>
      </c>
      <c r="N79" s="289">
        <f t="shared" si="10"/>
        <v>0.44109589041095892</v>
      </c>
      <c r="O79" s="290">
        <f t="shared" si="11"/>
        <v>0.24297646165527714</v>
      </c>
    </row>
    <row r="80" spans="1:15" s="142" customFormat="1" ht="15.75" customHeight="1" x14ac:dyDescent="0.2">
      <c r="A80" s="149" t="s">
        <v>190</v>
      </c>
      <c r="B80" s="189" t="s">
        <v>191</v>
      </c>
      <c r="C80" s="150" t="s">
        <v>268</v>
      </c>
      <c r="D80" s="1239">
        <v>316</v>
      </c>
      <c r="E80" s="1240">
        <v>298</v>
      </c>
      <c r="F80" s="1241">
        <v>15</v>
      </c>
      <c r="G80" s="1238">
        <v>3</v>
      </c>
      <c r="H80" s="1239">
        <v>157</v>
      </c>
      <c r="I80" s="1240">
        <v>144</v>
      </c>
      <c r="J80" s="1241">
        <v>11</v>
      </c>
      <c r="K80" s="1238">
        <v>2</v>
      </c>
      <c r="L80" s="288">
        <f t="shared" si="8"/>
        <v>0.49683544303797467</v>
      </c>
      <c r="M80" s="289">
        <f t="shared" si="9"/>
        <v>0.48322147651006714</v>
      </c>
      <c r="N80" s="289">
        <f t="shared" si="10"/>
        <v>0.73333333333333328</v>
      </c>
      <c r="O80" s="290">
        <f t="shared" si="11"/>
        <v>0.66666666666666663</v>
      </c>
    </row>
    <row r="81" spans="1:15" s="142" customFormat="1" ht="15.75" customHeight="1" x14ac:dyDescent="0.2">
      <c r="A81" s="149" t="s">
        <v>194</v>
      </c>
      <c r="B81" s="189" t="s">
        <v>195</v>
      </c>
      <c r="C81" s="150" t="s">
        <v>267</v>
      </c>
      <c r="D81" s="1239">
        <v>47</v>
      </c>
      <c r="E81" s="1240">
        <v>44</v>
      </c>
      <c r="F81" s="1241">
        <v>2</v>
      </c>
      <c r="G81" s="1238">
        <v>1</v>
      </c>
      <c r="H81" s="1239">
        <v>17</v>
      </c>
      <c r="I81" s="1240">
        <v>14</v>
      </c>
      <c r="J81" s="1241">
        <v>2</v>
      </c>
      <c r="K81" s="1238">
        <v>1</v>
      </c>
      <c r="L81" s="288">
        <f t="shared" si="8"/>
        <v>0.36170212765957449</v>
      </c>
      <c r="M81" s="289">
        <f t="shared" si="9"/>
        <v>0.31818181818181818</v>
      </c>
      <c r="N81" s="289">
        <f t="shared" si="10"/>
        <v>1</v>
      </c>
      <c r="O81" s="290">
        <f t="shared" si="11"/>
        <v>1</v>
      </c>
    </row>
    <row r="82" spans="1:15" s="142" customFormat="1" ht="15.75" customHeight="1" x14ac:dyDescent="0.2">
      <c r="A82" s="149" t="s">
        <v>198</v>
      </c>
      <c r="B82" s="189" t="s">
        <v>272</v>
      </c>
      <c r="C82" s="150" t="s">
        <v>266</v>
      </c>
      <c r="D82" s="1239">
        <v>72</v>
      </c>
      <c r="E82" s="1240">
        <v>47</v>
      </c>
      <c r="F82" s="1241">
        <v>21</v>
      </c>
      <c r="G82" s="1238">
        <v>4</v>
      </c>
      <c r="H82" s="1239">
        <v>33</v>
      </c>
      <c r="I82" s="1240">
        <v>13</v>
      </c>
      <c r="J82" s="1241">
        <v>16</v>
      </c>
      <c r="K82" s="1238">
        <v>4</v>
      </c>
      <c r="L82" s="288">
        <f t="shared" si="8"/>
        <v>0.45833333333333331</v>
      </c>
      <c r="M82" s="289">
        <f t="shared" si="9"/>
        <v>0.27659574468085107</v>
      </c>
      <c r="N82" s="289">
        <f t="shared" si="10"/>
        <v>0.76190476190476186</v>
      </c>
      <c r="O82" s="290">
        <f t="shared" si="11"/>
        <v>1</v>
      </c>
    </row>
    <row r="83" spans="1:15" s="142" customFormat="1" ht="15.75" customHeight="1" x14ac:dyDescent="0.2">
      <c r="A83" s="149" t="s">
        <v>202</v>
      </c>
      <c r="B83" s="189" t="s">
        <v>301</v>
      </c>
      <c r="C83" s="150" t="s">
        <v>265</v>
      </c>
      <c r="D83" s="1239">
        <v>1108</v>
      </c>
      <c r="E83" s="1240">
        <v>947</v>
      </c>
      <c r="F83" s="1241">
        <v>80</v>
      </c>
      <c r="G83" s="1238">
        <v>81</v>
      </c>
      <c r="H83" s="1239">
        <v>368</v>
      </c>
      <c r="I83" s="1240">
        <v>294</v>
      </c>
      <c r="J83" s="1241">
        <v>55</v>
      </c>
      <c r="K83" s="1238">
        <v>19</v>
      </c>
      <c r="L83" s="288">
        <f t="shared" si="8"/>
        <v>0.33212996389891697</v>
      </c>
      <c r="M83" s="289">
        <f t="shared" si="9"/>
        <v>0.31045406546990495</v>
      </c>
      <c r="N83" s="289">
        <f t="shared" si="10"/>
        <v>0.6875</v>
      </c>
      <c r="O83" s="290">
        <f t="shared" si="11"/>
        <v>0.23456790123456789</v>
      </c>
    </row>
    <row r="84" spans="1:15" s="142" customFormat="1" ht="15.75" customHeight="1" x14ac:dyDescent="0.2">
      <c r="A84" s="149" t="s">
        <v>204</v>
      </c>
      <c r="B84" s="189" t="s">
        <v>293</v>
      </c>
      <c r="C84" s="150" t="s">
        <v>265</v>
      </c>
      <c r="D84" s="1239">
        <v>320</v>
      </c>
      <c r="E84" s="1240">
        <v>303</v>
      </c>
      <c r="F84" s="1241">
        <v>12</v>
      </c>
      <c r="G84" s="1238">
        <v>5</v>
      </c>
      <c r="H84" s="1239">
        <v>125</v>
      </c>
      <c r="I84" s="1240">
        <v>115</v>
      </c>
      <c r="J84" s="1241">
        <v>9</v>
      </c>
      <c r="K84" s="1238">
        <v>1</v>
      </c>
      <c r="L84" s="288">
        <f t="shared" si="8"/>
        <v>0.390625</v>
      </c>
      <c r="M84" s="289">
        <f t="shared" si="9"/>
        <v>0.37953795379537952</v>
      </c>
      <c r="N84" s="289">
        <f t="shared" si="10"/>
        <v>0.75</v>
      </c>
      <c r="O84" s="290">
        <f t="shared" si="11"/>
        <v>0.2</v>
      </c>
    </row>
    <row r="85" spans="1:15" s="142" customFormat="1" ht="15.75" customHeight="1" x14ac:dyDescent="0.2">
      <c r="A85" s="149" t="s">
        <v>206</v>
      </c>
      <c r="B85" s="189" t="s">
        <v>294</v>
      </c>
      <c r="C85" s="150" t="s">
        <v>267</v>
      </c>
      <c r="D85" s="1239">
        <v>1363</v>
      </c>
      <c r="E85" s="1240">
        <v>1033</v>
      </c>
      <c r="F85" s="1241">
        <v>66</v>
      </c>
      <c r="G85" s="1238">
        <v>264</v>
      </c>
      <c r="H85" s="1239">
        <v>442</v>
      </c>
      <c r="I85" s="1240">
        <v>268</v>
      </c>
      <c r="J85" s="1241">
        <v>37</v>
      </c>
      <c r="K85" s="1238">
        <v>137</v>
      </c>
      <c r="L85" s="288">
        <f t="shared" si="8"/>
        <v>0.32428466617754953</v>
      </c>
      <c r="M85" s="289">
        <f t="shared" si="9"/>
        <v>0.25943852855759925</v>
      </c>
      <c r="N85" s="289">
        <f t="shared" si="10"/>
        <v>0.56060606060606055</v>
      </c>
      <c r="O85" s="290">
        <f t="shared" si="11"/>
        <v>0.51893939393939392</v>
      </c>
    </row>
    <row r="86" spans="1:15" s="142" customFormat="1" ht="15.75" customHeight="1" x14ac:dyDescent="0.2">
      <c r="A86" s="149" t="s">
        <v>208</v>
      </c>
      <c r="B86" s="189" t="s">
        <v>209</v>
      </c>
      <c r="C86" s="150" t="s">
        <v>268</v>
      </c>
      <c r="D86" s="1239">
        <v>297</v>
      </c>
      <c r="E86" s="1240">
        <v>293</v>
      </c>
      <c r="F86" s="1241">
        <v>0</v>
      </c>
      <c r="G86" s="1238">
        <v>4</v>
      </c>
      <c r="H86" s="1239">
        <v>107</v>
      </c>
      <c r="I86" s="1240">
        <v>107</v>
      </c>
      <c r="J86" s="1241">
        <v>0</v>
      </c>
      <c r="K86" s="1238">
        <v>0</v>
      </c>
      <c r="L86" s="288">
        <f t="shared" si="8"/>
        <v>0.36026936026936029</v>
      </c>
      <c r="M86" s="289">
        <f t="shared" si="9"/>
        <v>0.3651877133105802</v>
      </c>
      <c r="N86" s="289" t="str">
        <f t="shared" si="10"/>
        <v>NA</v>
      </c>
      <c r="O86" s="290">
        <f t="shared" si="11"/>
        <v>0</v>
      </c>
    </row>
    <row r="87" spans="1:15" s="142" customFormat="1" ht="15.75" customHeight="1" x14ac:dyDescent="0.2">
      <c r="A87" s="149" t="s">
        <v>210</v>
      </c>
      <c r="B87" s="189" t="s">
        <v>211</v>
      </c>
      <c r="C87" s="150" t="s">
        <v>268</v>
      </c>
      <c r="D87" s="1239">
        <v>194</v>
      </c>
      <c r="E87" s="1240">
        <v>193</v>
      </c>
      <c r="F87" s="1241">
        <v>0</v>
      </c>
      <c r="G87" s="1238">
        <v>1</v>
      </c>
      <c r="H87" s="1239">
        <v>77</v>
      </c>
      <c r="I87" s="1240">
        <v>77</v>
      </c>
      <c r="J87" s="1241">
        <v>0</v>
      </c>
      <c r="K87" s="1238">
        <v>0</v>
      </c>
      <c r="L87" s="288">
        <f t="shared" si="8"/>
        <v>0.39690721649484534</v>
      </c>
      <c r="M87" s="289">
        <f t="shared" si="9"/>
        <v>0.39896373056994816</v>
      </c>
      <c r="N87" s="289" t="str">
        <f t="shared" si="10"/>
        <v>NA</v>
      </c>
      <c r="O87" s="290">
        <f t="shared" si="11"/>
        <v>0</v>
      </c>
    </row>
    <row r="88" spans="1:15" s="142" customFormat="1" ht="15.75" customHeight="1" x14ac:dyDescent="0.2">
      <c r="A88" s="149" t="s">
        <v>212</v>
      </c>
      <c r="B88" s="189" t="s">
        <v>213</v>
      </c>
      <c r="C88" s="150" t="s">
        <v>267</v>
      </c>
      <c r="D88" s="1239">
        <v>456</v>
      </c>
      <c r="E88" s="1240">
        <v>437</v>
      </c>
      <c r="F88" s="1241">
        <v>5</v>
      </c>
      <c r="G88" s="1238">
        <v>14</v>
      </c>
      <c r="H88" s="1239">
        <v>187</v>
      </c>
      <c r="I88" s="1240">
        <v>176</v>
      </c>
      <c r="J88" s="1241">
        <v>5</v>
      </c>
      <c r="K88" s="1238">
        <v>6</v>
      </c>
      <c r="L88" s="288">
        <f t="shared" si="8"/>
        <v>0.41008771929824561</v>
      </c>
      <c r="M88" s="289">
        <f t="shared" si="9"/>
        <v>0.40274599542334094</v>
      </c>
      <c r="N88" s="289">
        <f t="shared" si="10"/>
        <v>1</v>
      </c>
      <c r="O88" s="290">
        <f t="shared" si="11"/>
        <v>0.42857142857142855</v>
      </c>
    </row>
    <row r="89" spans="1:15" s="142" customFormat="1" ht="15.75" customHeight="1" x14ac:dyDescent="0.2">
      <c r="A89" s="149" t="s">
        <v>214</v>
      </c>
      <c r="B89" s="189" t="s">
        <v>215</v>
      </c>
      <c r="C89" s="150" t="s">
        <v>268</v>
      </c>
      <c r="D89" s="1239">
        <v>324</v>
      </c>
      <c r="E89" s="1240">
        <v>316</v>
      </c>
      <c r="F89" s="1241">
        <v>7</v>
      </c>
      <c r="G89" s="1238">
        <v>1</v>
      </c>
      <c r="H89" s="1239">
        <v>125</v>
      </c>
      <c r="I89" s="1240">
        <v>121</v>
      </c>
      <c r="J89" s="1241">
        <v>4</v>
      </c>
      <c r="K89" s="1238">
        <v>0</v>
      </c>
      <c r="L89" s="288">
        <f t="shared" si="8"/>
        <v>0.38580246913580246</v>
      </c>
      <c r="M89" s="289">
        <f t="shared" si="9"/>
        <v>0.38291139240506328</v>
      </c>
      <c r="N89" s="289">
        <f t="shared" si="10"/>
        <v>0.5714285714285714</v>
      </c>
      <c r="O89" s="290">
        <f t="shared" si="11"/>
        <v>0</v>
      </c>
    </row>
    <row r="90" spans="1:15" s="142" customFormat="1" ht="15.75" customHeight="1" x14ac:dyDescent="0.2">
      <c r="A90" s="149" t="s">
        <v>216</v>
      </c>
      <c r="B90" s="189" t="s">
        <v>217</v>
      </c>
      <c r="C90" s="150" t="s">
        <v>264</v>
      </c>
      <c r="D90" s="1239">
        <v>136</v>
      </c>
      <c r="E90" s="1240">
        <v>79</v>
      </c>
      <c r="F90" s="1241">
        <v>56</v>
      </c>
      <c r="G90" s="1238">
        <v>1</v>
      </c>
      <c r="H90" s="1239">
        <v>73</v>
      </c>
      <c r="I90" s="1240">
        <v>26</v>
      </c>
      <c r="J90" s="1241">
        <v>46</v>
      </c>
      <c r="K90" s="1238">
        <v>1</v>
      </c>
      <c r="L90" s="288">
        <f t="shared" si="8"/>
        <v>0.53676470588235292</v>
      </c>
      <c r="M90" s="289">
        <f t="shared" si="9"/>
        <v>0.32911392405063289</v>
      </c>
      <c r="N90" s="289">
        <f t="shared" si="10"/>
        <v>0.8214285714285714</v>
      </c>
      <c r="O90" s="290">
        <f t="shared" si="11"/>
        <v>1</v>
      </c>
    </row>
    <row r="91" spans="1:15" s="142" customFormat="1" ht="15.75" customHeight="1" x14ac:dyDescent="0.2">
      <c r="A91" s="149" t="s">
        <v>218</v>
      </c>
      <c r="B91" s="189" t="s">
        <v>219</v>
      </c>
      <c r="C91" s="150" t="s">
        <v>267</v>
      </c>
      <c r="D91" s="1239">
        <v>1512</v>
      </c>
      <c r="E91" s="1240">
        <v>1147</v>
      </c>
      <c r="F91" s="1241">
        <v>231</v>
      </c>
      <c r="G91" s="1238">
        <v>134</v>
      </c>
      <c r="H91" s="1239">
        <v>537</v>
      </c>
      <c r="I91" s="1240">
        <v>355</v>
      </c>
      <c r="J91" s="1241">
        <v>131</v>
      </c>
      <c r="K91" s="1238">
        <v>51</v>
      </c>
      <c r="L91" s="288">
        <f t="shared" si="8"/>
        <v>0.35515873015873017</v>
      </c>
      <c r="M91" s="289">
        <f t="shared" si="9"/>
        <v>0.30950305143853529</v>
      </c>
      <c r="N91" s="289">
        <f t="shared" si="10"/>
        <v>0.5670995670995671</v>
      </c>
      <c r="O91" s="290">
        <f t="shared" si="11"/>
        <v>0.38059701492537312</v>
      </c>
    </row>
    <row r="92" spans="1:15" s="142" customFormat="1" ht="15.75" customHeight="1" x14ac:dyDescent="0.2">
      <c r="A92" s="149" t="s">
        <v>220</v>
      </c>
      <c r="B92" s="189" t="s">
        <v>221</v>
      </c>
      <c r="C92" s="150" t="s">
        <v>267</v>
      </c>
      <c r="D92" s="1239">
        <v>1713</v>
      </c>
      <c r="E92" s="1240">
        <v>1251</v>
      </c>
      <c r="F92" s="1241">
        <v>292</v>
      </c>
      <c r="G92" s="1238">
        <v>170</v>
      </c>
      <c r="H92" s="1239">
        <v>483</v>
      </c>
      <c r="I92" s="1240">
        <v>309</v>
      </c>
      <c r="J92" s="1241">
        <v>127</v>
      </c>
      <c r="K92" s="1238">
        <v>47</v>
      </c>
      <c r="L92" s="288">
        <f t="shared" si="8"/>
        <v>0.28196147110332748</v>
      </c>
      <c r="M92" s="289">
        <f t="shared" si="9"/>
        <v>0.24700239808153476</v>
      </c>
      <c r="N92" s="289">
        <f t="shared" si="10"/>
        <v>0.43493150684931509</v>
      </c>
      <c r="O92" s="290">
        <f t="shared" si="11"/>
        <v>0.27647058823529413</v>
      </c>
    </row>
    <row r="93" spans="1:15" s="142" customFormat="1" ht="15.75" customHeight="1" x14ac:dyDescent="0.2">
      <c r="A93" s="149" t="s">
        <v>224</v>
      </c>
      <c r="B93" s="189" t="s">
        <v>225</v>
      </c>
      <c r="C93" s="150" t="s">
        <v>264</v>
      </c>
      <c r="D93" s="1239">
        <v>60</v>
      </c>
      <c r="E93" s="1240">
        <v>35</v>
      </c>
      <c r="F93" s="1241">
        <v>25</v>
      </c>
      <c r="G93" s="1238">
        <v>0</v>
      </c>
      <c r="H93" s="1239">
        <v>31</v>
      </c>
      <c r="I93" s="1240">
        <v>12</v>
      </c>
      <c r="J93" s="1241">
        <v>19</v>
      </c>
      <c r="K93" s="1238">
        <v>0</v>
      </c>
      <c r="L93" s="288">
        <f t="shared" si="8"/>
        <v>0.51666666666666672</v>
      </c>
      <c r="M93" s="289">
        <f t="shared" si="9"/>
        <v>0.34285714285714286</v>
      </c>
      <c r="N93" s="289">
        <f t="shared" si="10"/>
        <v>0.76</v>
      </c>
      <c r="O93" s="290" t="str">
        <f t="shared" si="11"/>
        <v>NA</v>
      </c>
    </row>
    <row r="94" spans="1:15" s="142" customFormat="1" ht="15.75" customHeight="1" x14ac:dyDescent="0.2">
      <c r="A94" s="149" t="s">
        <v>226</v>
      </c>
      <c r="B94" s="189" t="s">
        <v>227</v>
      </c>
      <c r="C94" s="150" t="s">
        <v>264</v>
      </c>
      <c r="D94" s="1239">
        <v>97</v>
      </c>
      <c r="E94" s="1240">
        <v>42</v>
      </c>
      <c r="F94" s="1241">
        <v>53</v>
      </c>
      <c r="G94" s="1238">
        <v>2</v>
      </c>
      <c r="H94" s="1239">
        <v>63</v>
      </c>
      <c r="I94" s="1240">
        <v>16</v>
      </c>
      <c r="J94" s="1241">
        <v>46</v>
      </c>
      <c r="K94" s="1238">
        <v>1</v>
      </c>
      <c r="L94" s="288">
        <f t="shared" si="8"/>
        <v>0.64948453608247425</v>
      </c>
      <c r="M94" s="289">
        <f t="shared" si="9"/>
        <v>0.38095238095238093</v>
      </c>
      <c r="N94" s="289">
        <f t="shared" si="10"/>
        <v>0.86792452830188682</v>
      </c>
      <c r="O94" s="290">
        <f t="shared" si="11"/>
        <v>0.5</v>
      </c>
    </row>
    <row r="95" spans="1:15" s="142" customFormat="1" ht="15.75" customHeight="1" x14ac:dyDescent="0.2">
      <c r="A95" s="149" t="s">
        <v>228</v>
      </c>
      <c r="B95" s="189" t="s">
        <v>229</v>
      </c>
      <c r="C95" s="150" t="s">
        <v>268</v>
      </c>
      <c r="D95" s="1239">
        <v>447</v>
      </c>
      <c r="E95" s="1240">
        <v>431</v>
      </c>
      <c r="F95" s="1241">
        <v>8</v>
      </c>
      <c r="G95" s="1238">
        <v>8</v>
      </c>
      <c r="H95" s="1239">
        <v>170</v>
      </c>
      <c r="I95" s="1240">
        <v>163</v>
      </c>
      <c r="J95" s="1241">
        <v>5</v>
      </c>
      <c r="K95" s="1238">
        <v>2</v>
      </c>
      <c r="L95" s="288">
        <f t="shared" si="8"/>
        <v>0.38031319910514544</v>
      </c>
      <c r="M95" s="289">
        <f t="shared" si="9"/>
        <v>0.37819025522041766</v>
      </c>
      <c r="N95" s="289">
        <f t="shared" si="10"/>
        <v>0.625</v>
      </c>
      <c r="O95" s="290">
        <f t="shared" si="11"/>
        <v>0.25</v>
      </c>
    </row>
    <row r="96" spans="1:15" s="142" customFormat="1" ht="15.75" customHeight="1" x14ac:dyDescent="0.2">
      <c r="A96" s="149" t="s">
        <v>232</v>
      </c>
      <c r="B96" s="189" t="s">
        <v>233</v>
      </c>
      <c r="C96" s="150" t="s">
        <v>267</v>
      </c>
      <c r="D96" s="1239">
        <v>476</v>
      </c>
      <c r="E96" s="1240">
        <v>435</v>
      </c>
      <c r="F96" s="1241">
        <v>21</v>
      </c>
      <c r="G96" s="1238">
        <v>20</v>
      </c>
      <c r="H96" s="1239">
        <v>187</v>
      </c>
      <c r="I96" s="1240">
        <v>166</v>
      </c>
      <c r="J96" s="1241">
        <v>14</v>
      </c>
      <c r="K96" s="1238">
        <v>7</v>
      </c>
      <c r="L96" s="288">
        <f t="shared" si="8"/>
        <v>0.39285714285714285</v>
      </c>
      <c r="M96" s="289">
        <f t="shared" si="9"/>
        <v>0.38160919540229887</v>
      </c>
      <c r="N96" s="289">
        <f t="shared" si="10"/>
        <v>0.66666666666666663</v>
      </c>
      <c r="O96" s="290">
        <f t="shared" si="11"/>
        <v>0.35</v>
      </c>
    </row>
    <row r="97" spans="1:15" s="142" customFormat="1" ht="15.75" customHeight="1" x14ac:dyDescent="0.2">
      <c r="A97" s="149" t="s">
        <v>234</v>
      </c>
      <c r="B97" s="189" t="s">
        <v>235</v>
      </c>
      <c r="C97" s="150" t="s">
        <v>268</v>
      </c>
      <c r="D97" s="1239">
        <v>488</v>
      </c>
      <c r="E97" s="1240">
        <v>478</v>
      </c>
      <c r="F97" s="1241">
        <v>3</v>
      </c>
      <c r="G97" s="1238">
        <v>7</v>
      </c>
      <c r="H97" s="1239">
        <v>173</v>
      </c>
      <c r="I97" s="1240">
        <v>168</v>
      </c>
      <c r="J97" s="1241">
        <v>2</v>
      </c>
      <c r="K97" s="1238">
        <v>3</v>
      </c>
      <c r="L97" s="288">
        <f t="shared" si="8"/>
        <v>0.35450819672131145</v>
      </c>
      <c r="M97" s="289">
        <f t="shared" si="9"/>
        <v>0.35146443514644349</v>
      </c>
      <c r="N97" s="289">
        <f t="shared" si="10"/>
        <v>0.66666666666666663</v>
      </c>
      <c r="O97" s="290">
        <f t="shared" si="11"/>
        <v>0.42857142857142855</v>
      </c>
    </row>
    <row r="98" spans="1:15" s="142" customFormat="1" ht="15.75" customHeight="1" x14ac:dyDescent="0.2">
      <c r="A98" s="149" t="s">
        <v>236</v>
      </c>
      <c r="B98" s="189" t="s">
        <v>237</v>
      </c>
      <c r="C98" s="150" t="s">
        <v>266</v>
      </c>
      <c r="D98" s="1239">
        <v>186</v>
      </c>
      <c r="E98" s="1240">
        <v>112</v>
      </c>
      <c r="F98" s="1241">
        <v>68</v>
      </c>
      <c r="G98" s="1238">
        <v>6</v>
      </c>
      <c r="H98" s="1239">
        <v>109</v>
      </c>
      <c r="I98" s="1240">
        <v>51</v>
      </c>
      <c r="J98" s="1241">
        <v>53</v>
      </c>
      <c r="K98" s="1238">
        <v>5</v>
      </c>
      <c r="L98" s="288">
        <f t="shared" si="8"/>
        <v>0.58602150537634412</v>
      </c>
      <c r="M98" s="289">
        <f t="shared" si="9"/>
        <v>0.45535714285714285</v>
      </c>
      <c r="N98" s="289">
        <f t="shared" si="10"/>
        <v>0.77941176470588236</v>
      </c>
      <c r="O98" s="290">
        <f t="shared" si="11"/>
        <v>0.83333333333333337</v>
      </c>
    </row>
    <row r="99" spans="1:15" s="142" customFormat="1" ht="15.75" customHeight="1" x14ac:dyDescent="0.2">
      <c r="A99" s="149" t="s">
        <v>242</v>
      </c>
      <c r="B99" s="189" t="s">
        <v>243</v>
      </c>
      <c r="C99" s="150" t="s">
        <v>268</v>
      </c>
      <c r="D99" s="1239">
        <v>450</v>
      </c>
      <c r="E99" s="1240">
        <v>443</v>
      </c>
      <c r="F99" s="1241">
        <v>3</v>
      </c>
      <c r="G99" s="1238">
        <v>4</v>
      </c>
      <c r="H99" s="1239">
        <v>196</v>
      </c>
      <c r="I99" s="1240">
        <v>192</v>
      </c>
      <c r="J99" s="1241">
        <v>3</v>
      </c>
      <c r="K99" s="1238">
        <v>1</v>
      </c>
      <c r="L99" s="288">
        <f t="shared" si="8"/>
        <v>0.43555555555555553</v>
      </c>
      <c r="M99" s="289">
        <f t="shared" si="9"/>
        <v>0.43340857787810383</v>
      </c>
      <c r="N99" s="289">
        <f t="shared" si="10"/>
        <v>1</v>
      </c>
      <c r="O99" s="290">
        <f t="shared" si="11"/>
        <v>0.25</v>
      </c>
    </row>
    <row r="100" spans="1:15" s="142" customFormat="1" ht="15.75" customHeight="1" x14ac:dyDescent="0.2">
      <c r="A100" s="149" t="s">
        <v>244</v>
      </c>
      <c r="B100" s="189" t="s">
        <v>245</v>
      </c>
      <c r="C100" s="150" t="s">
        <v>268</v>
      </c>
      <c r="D100" s="1239">
        <v>271</v>
      </c>
      <c r="E100" s="1240">
        <v>259</v>
      </c>
      <c r="F100" s="1241">
        <v>6</v>
      </c>
      <c r="G100" s="1238">
        <v>6</v>
      </c>
      <c r="H100" s="1239">
        <v>111</v>
      </c>
      <c r="I100" s="1240">
        <v>105</v>
      </c>
      <c r="J100" s="1241">
        <v>4</v>
      </c>
      <c r="K100" s="1238">
        <v>2</v>
      </c>
      <c r="L100" s="288">
        <f t="shared" si="8"/>
        <v>0.40959409594095941</v>
      </c>
      <c r="M100" s="289">
        <f t="shared" si="9"/>
        <v>0.40540540540540543</v>
      </c>
      <c r="N100" s="289">
        <f t="shared" si="10"/>
        <v>0.66666666666666663</v>
      </c>
      <c r="O100" s="290">
        <f t="shared" si="11"/>
        <v>0.33333333333333331</v>
      </c>
    </row>
    <row r="101" spans="1:15" s="142" customFormat="1" ht="15.75" customHeight="1" x14ac:dyDescent="0.2">
      <c r="A101" s="149" t="s">
        <v>246</v>
      </c>
      <c r="B101" s="189" t="s">
        <v>247</v>
      </c>
      <c r="C101" s="150" t="s">
        <v>264</v>
      </c>
      <c r="D101" s="1239">
        <v>701</v>
      </c>
      <c r="E101" s="1240">
        <v>509</v>
      </c>
      <c r="F101" s="1241">
        <v>101</v>
      </c>
      <c r="G101" s="1238">
        <v>91</v>
      </c>
      <c r="H101" s="1239">
        <v>157</v>
      </c>
      <c r="I101" s="1240">
        <v>96</v>
      </c>
      <c r="J101" s="1241">
        <v>53</v>
      </c>
      <c r="K101" s="1238">
        <v>8</v>
      </c>
      <c r="L101" s="288">
        <f t="shared" si="8"/>
        <v>0.2239657631954351</v>
      </c>
      <c r="M101" s="289">
        <f t="shared" si="9"/>
        <v>0.18860510805500982</v>
      </c>
      <c r="N101" s="289">
        <f t="shared" si="10"/>
        <v>0.52475247524752477</v>
      </c>
      <c r="O101" s="290">
        <f t="shared" si="11"/>
        <v>8.7912087912087919E-2</v>
      </c>
    </row>
    <row r="102" spans="1:15" s="142" customFormat="1" ht="15.75" customHeight="1" x14ac:dyDescent="0.2">
      <c r="A102" s="149" t="s">
        <v>14</v>
      </c>
      <c r="B102" s="189" t="s">
        <v>15</v>
      </c>
      <c r="C102" s="150" t="s">
        <v>267</v>
      </c>
      <c r="D102" s="1239">
        <v>2727</v>
      </c>
      <c r="E102" s="1240">
        <v>1697</v>
      </c>
      <c r="F102" s="1241">
        <v>541</v>
      </c>
      <c r="G102" s="1238">
        <v>489</v>
      </c>
      <c r="H102" s="1239">
        <v>626</v>
      </c>
      <c r="I102" s="1240">
        <v>230</v>
      </c>
      <c r="J102" s="1241">
        <v>245</v>
      </c>
      <c r="K102" s="1238">
        <v>151</v>
      </c>
      <c r="L102" s="288">
        <f t="shared" si="8"/>
        <v>0.22955628896222954</v>
      </c>
      <c r="M102" s="289">
        <f t="shared" si="9"/>
        <v>0.13553329404832057</v>
      </c>
      <c r="N102" s="289">
        <f t="shared" si="10"/>
        <v>0.45286506469500926</v>
      </c>
      <c r="O102" s="290">
        <f t="shared" si="11"/>
        <v>0.30879345603271985</v>
      </c>
    </row>
    <row r="103" spans="1:15" s="142" customFormat="1" ht="15.75" customHeight="1" x14ac:dyDescent="0.2">
      <c r="A103" s="149" t="s">
        <v>34</v>
      </c>
      <c r="B103" s="189" t="s">
        <v>35</v>
      </c>
      <c r="C103" s="150" t="s">
        <v>268</v>
      </c>
      <c r="D103" s="1239">
        <v>200</v>
      </c>
      <c r="E103" s="1240">
        <v>189</v>
      </c>
      <c r="F103" s="1241">
        <v>9</v>
      </c>
      <c r="G103" s="1238">
        <v>2</v>
      </c>
      <c r="H103" s="1239">
        <v>102</v>
      </c>
      <c r="I103" s="1240">
        <v>94</v>
      </c>
      <c r="J103" s="1241">
        <v>7</v>
      </c>
      <c r="K103" s="1238">
        <v>1</v>
      </c>
      <c r="L103" s="288">
        <f t="shared" ref="L103:L126" si="12">IF(D103=0,"NA",(H103/D103))</f>
        <v>0.51</v>
      </c>
      <c r="M103" s="289">
        <f t="shared" ref="M103:M126" si="13">IF(E103=0,"NA",(I103/E103))</f>
        <v>0.49735449735449733</v>
      </c>
      <c r="N103" s="289">
        <f t="shared" ref="N103:N126" si="14">IF(F103=0,"NA",(J103/F103))</f>
        <v>0.77777777777777779</v>
      </c>
      <c r="O103" s="290">
        <f t="shared" ref="O103:O126" si="15">IF(G103=0,"NA",(K103/G103))</f>
        <v>0.5</v>
      </c>
    </row>
    <row r="104" spans="1:15" s="142" customFormat="1" ht="15.75" customHeight="1" x14ac:dyDescent="0.2">
      <c r="A104" s="149" t="s">
        <v>52</v>
      </c>
      <c r="B104" s="189" t="s">
        <v>53</v>
      </c>
      <c r="C104" s="150" t="s">
        <v>265</v>
      </c>
      <c r="D104" s="1239">
        <v>612</v>
      </c>
      <c r="E104" s="1240">
        <v>398</v>
      </c>
      <c r="F104" s="1241">
        <v>148</v>
      </c>
      <c r="G104" s="1238">
        <v>66</v>
      </c>
      <c r="H104" s="1239">
        <v>206</v>
      </c>
      <c r="I104" s="1240">
        <v>66</v>
      </c>
      <c r="J104" s="1241">
        <v>122</v>
      </c>
      <c r="K104" s="1238">
        <v>18</v>
      </c>
      <c r="L104" s="288">
        <f t="shared" si="12"/>
        <v>0.33660130718954251</v>
      </c>
      <c r="M104" s="289">
        <f t="shared" si="13"/>
        <v>0.16582914572864321</v>
      </c>
      <c r="N104" s="289">
        <f t="shared" si="14"/>
        <v>0.82432432432432434</v>
      </c>
      <c r="O104" s="290">
        <f t="shared" si="15"/>
        <v>0.27272727272727271</v>
      </c>
    </row>
    <row r="105" spans="1:15" s="142" customFormat="1" ht="15.75" customHeight="1" x14ac:dyDescent="0.2">
      <c r="A105" s="149" t="s">
        <v>54</v>
      </c>
      <c r="B105" s="189" t="s">
        <v>55</v>
      </c>
      <c r="C105" s="150" t="s">
        <v>264</v>
      </c>
      <c r="D105" s="1239">
        <v>2785</v>
      </c>
      <c r="E105" s="1240">
        <v>1667</v>
      </c>
      <c r="F105" s="1241">
        <v>881</v>
      </c>
      <c r="G105" s="1238">
        <v>237</v>
      </c>
      <c r="H105" s="1239">
        <v>992</v>
      </c>
      <c r="I105" s="1240">
        <v>358</v>
      </c>
      <c r="J105" s="1241">
        <v>570</v>
      </c>
      <c r="K105" s="1238">
        <v>64</v>
      </c>
      <c r="L105" s="288">
        <f t="shared" si="12"/>
        <v>0.35619389587073608</v>
      </c>
      <c r="M105" s="289">
        <f t="shared" si="13"/>
        <v>0.21475704859028194</v>
      </c>
      <c r="N105" s="289">
        <f t="shared" si="14"/>
        <v>0.64699205448354147</v>
      </c>
      <c r="O105" s="290">
        <f t="shared" si="15"/>
        <v>0.27004219409282698</v>
      </c>
    </row>
    <row r="106" spans="1:15" s="142" customFormat="1" ht="15.75" customHeight="1" x14ac:dyDescent="0.2">
      <c r="A106" s="149" t="s">
        <v>66</v>
      </c>
      <c r="B106" s="189" t="s">
        <v>67</v>
      </c>
      <c r="C106" s="150" t="s">
        <v>265</v>
      </c>
      <c r="D106" s="1239">
        <v>587</v>
      </c>
      <c r="E106" s="1240">
        <v>209</v>
      </c>
      <c r="F106" s="1241">
        <v>331</v>
      </c>
      <c r="G106" s="1238">
        <v>47</v>
      </c>
      <c r="H106" s="1239">
        <v>374</v>
      </c>
      <c r="I106" s="1240">
        <v>88</v>
      </c>
      <c r="J106" s="1241">
        <v>263</v>
      </c>
      <c r="K106" s="1238">
        <v>23</v>
      </c>
      <c r="L106" s="288">
        <f t="shared" si="12"/>
        <v>0.63713798977853497</v>
      </c>
      <c r="M106" s="289">
        <f t="shared" si="13"/>
        <v>0.42105263157894735</v>
      </c>
      <c r="N106" s="289">
        <f t="shared" si="14"/>
        <v>0.79456193353474325</v>
      </c>
      <c r="O106" s="290">
        <f t="shared" si="15"/>
        <v>0.48936170212765956</v>
      </c>
    </row>
    <row r="107" spans="1:15" s="142" customFormat="1" ht="15.75" customHeight="1" x14ac:dyDescent="0.2">
      <c r="A107" s="149" t="s">
        <v>82</v>
      </c>
      <c r="B107" s="189" t="s">
        <v>83</v>
      </c>
      <c r="C107" s="150" t="s">
        <v>264</v>
      </c>
      <c r="D107" s="1239">
        <v>167</v>
      </c>
      <c r="E107" s="1240">
        <v>69</v>
      </c>
      <c r="F107" s="1241">
        <v>94</v>
      </c>
      <c r="G107" s="1238">
        <v>4</v>
      </c>
      <c r="H107" s="1239">
        <v>101</v>
      </c>
      <c r="I107" s="1240">
        <v>20</v>
      </c>
      <c r="J107" s="1241">
        <v>81</v>
      </c>
      <c r="K107" s="1238">
        <v>0</v>
      </c>
      <c r="L107" s="288">
        <f t="shared" si="12"/>
        <v>0.60479041916167664</v>
      </c>
      <c r="M107" s="289">
        <f t="shared" si="13"/>
        <v>0.28985507246376813</v>
      </c>
      <c r="N107" s="289">
        <f t="shared" si="14"/>
        <v>0.86170212765957444</v>
      </c>
      <c r="O107" s="290">
        <f t="shared" si="15"/>
        <v>0</v>
      </c>
    </row>
    <row r="108" spans="1:15" s="142" customFormat="1" ht="15.75" customHeight="1" x14ac:dyDescent="0.2">
      <c r="A108" s="149" t="s">
        <v>88</v>
      </c>
      <c r="B108" s="189" t="s">
        <v>89</v>
      </c>
      <c r="C108" s="150" t="s">
        <v>267</v>
      </c>
      <c r="D108" s="1239">
        <v>417</v>
      </c>
      <c r="E108" s="1240">
        <v>250</v>
      </c>
      <c r="F108" s="1241">
        <v>102</v>
      </c>
      <c r="G108" s="1238">
        <v>65</v>
      </c>
      <c r="H108" s="1239">
        <v>206</v>
      </c>
      <c r="I108" s="1240">
        <v>90</v>
      </c>
      <c r="J108" s="1241">
        <v>79</v>
      </c>
      <c r="K108" s="1238">
        <v>37</v>
      </c>
      <c r="L108" s="288">
        <f t="shared" si="12"/>
        <v>0.49400479616306953</v>
      </c>
      <c r="M108" s="289">
        <f t="shared" si="13"/>
        <v>0.36</v>
      </c>
      <c r="N108" s="289">
        <f t="shared" si="14"/>
        <v>0.77450980392156865</v>
      </c>
      <c r="O108" s="290">
        <f t="shared" si="15"/>
        <v>0.56923076923076921</v>
      </c>
    </row>
    <row r="109" spans="1:15" s="142" customFormat="1" ht="15.75" customHeight="1" x14ac:dyDescent="0.2">
      <c r="A109" s="149" t="s">
        <v>90</v>
      </c>
      <c r="B109" s="189" t="s">
        <v>91</v>
      </c>
      <c r="C109" s="150" t="s">
        <v>268</v>
      </c>
      <c r="D109" s="1239">
        <v>100</v>
      </c>
      <c r="E109" s="1240">
        <v>81</v>
      </c>
      <c r="F109" s="1241">
        <v>3</v>
      </c>
      <c r="G109" s="1238">
        <v>16</v>
      </c>
      <c r="H109" s="1239">
        <v>49</v>
      </c>
      <c r="I109" s="1240">
        <v>39</v>
      </c>
      <c r="J109" s="1241">
        <v>2</v>
      </c>
      <c r="K109" s="1238">
        <v>8</v>
      </c>
      <c r="L109" s="288">
        <f t="shared" si="12"/>
        <v>0.49</v>
      </c>
      <c r="M109" s="289">
        <f t="shared" si="13"/>
        <v>0.48148148148148145</v>
      </c>
      <c r="N109" s="289">
        <f t="shared" si="14"/>
        <v>0.66666666666666663</v>
      </c>
      <c r="O109" s="290">
        <f t="shared" si="15"/>
        <v>0.5</v>
      </c>
    </row>
    <row r="110" spans="1:15" s="142" customFormat="1" ht="15.75" customHeight="1" x14ac:dyDescent="0.2">
      <c r="A110" s="149" t="s">
        <v>106</v>
      </c>
      <c r="B110" s="189" t="s">
        <v>107</v>
      </c>
      <c r="C110" s="150" t="s">
        <v>264</v>
      </c>
      <c r="D110" s="1239">
        <v>1817</v>
      </c>
      <c r="E110" s="1240">
        <v>749</v>
      </c>
      <c r="F110" s="1241">
        <v>904</v>
      </c>
      <c r="G110" s="1238">
        <v>164</v>
      </c>
      <c r="H110" s="1239">
        <v>856</v>
      </c>
      <c r="I110" s="1240">
        <v>203</v>
      </c>
      <c r="J110" s="1241">
        <v>599</v>
      </c>
      <c r="K110" s="1238">
        <v>54</v>
      </c>
      <c r="L110" s="288">
        <f t="shared" si="12"/>
        <v>0.47110621904237754</v>
      </c>
      <c r="M110" s="289">
        <f t="shared" si="13"/>
        <v>0.27102803738317754</v>
      </c>
      <c r="N110" s="289">
        <f t="shared" si="14"/>
        <v>0.66261061946902655</v>
      </c>
      <c r="O110" s="290">
        <f t="shared" si="15"/>
        <v>0.32926829268292684</v>
      </c>
    </row>
    <row r="111" spans="1:15" s="142" customFormat="1" ht="15.75" customHeight="1" x14ac:dyDescent="0.2">
      <c r="A111" s="149" t="s">
        <v>116</v>
      </c>
      <c r="B111" s="189" t="s">
        <v>117</v>
      </c>
      <c r="C111" s="150" t="s">
        <v>266</v>
      </c>
      <c r="D111" s="1239">
        <v>383</v>
      </c>
      <c r="E111" s="1240">
        <v>188</v>
      </c>
      <c r="F111" s="1241">
        <v>177</v>
      </c>
      <c r="G111" s="1238">
        <v>18</v>
      </c>
      <c r="H111" s="1239">
        <v>252</v>
      </c>
      <c r="I111" s="1240">
        <v>95</v>
      </c>
      <c r="J111" s="1241">
        <v>146</v>
      </c>
      <c r="K111" s="1238">
        <v>11</v>
      </c>
      <c r="L111" s="288">
        <f t="shared" si="12"/>
        <v>0.65796344647519578</v>
      </c>
      <c r="M111" s="289">
        <f t="shared" si="13"/>
        <v>0.50531914893617025</v>
      </c>
      <c r="N111" s="289">
        <f t="shared" si="14"/>
        <v>0.82485875706214684</v>
      </c>
      <c r="O111" s="290">
        <f t="shared" si="15"/>
        <v>0.61111111111111116</v>
      </c>
    </row>
    <row r="112" spans="1:15" s="142" customFormat="1" ht="15.75" customHeight="1" x14ac:dyDescent="0.2">
      <c r="A112" s="149" t="s">
        <v>138</v>
      </c>
      <c r="B112" s="189" t="s">
        <v>139</v>
      </c>
      <c r="C112" s="150" t="s">
        <v>265</v>
      </c>
      <c r="D112" s="1239">
        <v>1147</v>
      </c>
      <c r="E112" s="1240">
        <v>728</v>
      </c>
      <c r="F112" s="1241">
        <v>352</v>
      </c>
      <c r="G112" s="1238">
        <v>67</v>
      </c>
      <c r="H112" s="1239">
        <v>467</v>
      </c>
      <c r="I112" s="1241">
        <v>182</v>
      </c>
      <c r="J112" s="1241">
        <v>273</v>
      </c>
      <c r="K112" s="1238">
        <v>12</v>
      </c>
      <c r="L112" s="288">
        <f t="shared" si="12"/>
        <v>0.4071490845684394</v>
      </c>
      <c r="M112" s="289">
        <f t="shared" si="13"/>
        <v>0.25</v>
      </c>
      <c r="N112" s="289">
        <f t="shared" si="14"/>
        <v>0.77556818181818177</v>
      </c>
      <c r="O112" s="290">
        <f t="shared" si="15"/>
        <v>0.17910447761194029</v>
      </c>
    </row>
    <row r="113" spans="1:15" s="142" customFormat="1" ht="15.75" customHeight="1" x14ac:dyDescent="0.2">
      <c r="A113" s="149" t="s">
        <v>142</v>
      </c>
      <c r="B113" s="189" t="s">
        <v>273</v>
      </c>
      <c r="C113" s="150" t="s">
        <v>267</v>
      </c>
      <c r="D113" s="1239">
        <v>759</v>
      </c>
      <c r="E113" s="1240">
        <v>519</v>
      </c>
      <c r="F113" s="1241">
        <v>105</v>
      </c>
      <c r="G113" s="1238">
        <v>135</v>
      </c>
      <c r="H113" s="1239">
        <v>298</v>
      </c>
      <c r="I113" s="1240">
        <v>186</v>
      </c>
      <c r="J113" s="1241">
        <v>57</v>
      </c>
      <c r="K113" s="1238">
        <v>55</v>
      </c>
      <c r="L113" s="288">
        <f t="shared" si="12"/>
        <v>0.39262187088274042</v>
      </c>
      <c r="M113" s="289">
        <f t="shared" si="13"/>
        <v>0.3583815028901734</v>
      </c>
      <c r="N113" s="289">
        <f t="shared" si="14"/>
        <v>0.54285714285714282</v>
      </c>
      <c r="O113" s="290">
        <f t="shared" si="15"/>
        <v>0.40740740740740738</v>
      </c>
    </row>
    <row r="114" spans="1:15" s="142" customFormat="1" ht="15.75" customHeight="1" x14ac:dyDescent="0.2">
      <c r="A114" s="149" t="s">
        <v>144</v>
      </c>
      <c r="B114" s="189" t="s">
        <v>145</v>
      </c>
      <c r="C114" s="150" t="s">
        <v>267</v>
      </c>
      <c r="D114" s="1239">
        <v>19</v>
      </c>
      <c r="E114" s="1240">
        <v>13</v>
      </c>
      <c r="F114" s="1241">
        <v>4</v>
      </c>
      <c r="G114" s="1238">
        <v>2</v>
      </c>
      <c r="H114" s="1239">
        <v>4</v>
      </c>
      <c r="I114" s="1240">
        <v>3</v>
      </c>
      <c r="J114" s="1241">
        <v>0</v>
      </c>
      <c r="K114" s="1238">
        <v>1</v>
      </c>
      <c r="L114" s="288">
        <f t="shared" si="12"/>
        <v>0.21052631578947367</v>
      </c>
      <c r="M114" s="289">
        <f t="shared" si="13"/>
        <v>0.23076923076923078</v>
      </c>
      <c r="N114" s="289">
        <f t="shared" si="14"/>
        <v>0</v>
      </c>
      <c r="O114" s="290">
        <f t="shared" si="15"/>
        <v>0.5</v>
      </c>
    </row>
    <row r="115" spans="1:15" s="142" customFormat="1" ht="15.75" customHeight="1" x14ac:dyDescent="0.2">
      <c r="A115" s="149" t="s">
        <v>158</v>
      </c>
      <c r="B115" s="189" t="s">
        <v>159</v>
      </c>
      <c r="C115" s="150" t="s">
        <v>264</v>
      </c>
      <c r="D115" s="1239">
        <v>2856</v>
      </c>
      <c r="E115" s="1240">
        <v>1181</v>
      </c>
      <c r="F115" s="1241">
        <v>1303</v>
      </c>
      <c r="G115" s="1238">
        <v>372</v>
      </c>
      <c r="H115" s="1239">
        <v>1406</v>
      </c>
      <c r="I115" s="1240">
        <v>316</v>
      </c>
      <c r="J115" s="1241">
        <v>940</v>
      </c>
      <c r="K115" s="1238">
        <v>150</v>
      </c>
      <c r="L115" s="288">
        <f t="shared" si="12"/>
        <v>0.49229691876750703</v>
      </c>
      <c r="M115" s="289">
        <f t="shared" si="13"/>
        <v>0.26756985605419137</v>
      </c>
      <c r="N115" s="289">
        <f t="shared" si="14"/>
        <v>0.72141212586339221</v>
      </c>
      <c r="O115" s="290">
        <f t="shared" si="15"/>
        <v>0.40322580645161288</v>
      </c>
    </row>
    <row r="116" spans="1:15" s="142" customFormat="1" ht="15.75" customHeight="1" x14ac:dyDescent="0.2">
      <c r="A116" s="149" t="s">
        <v>160</v>
      </c>
      <c r="B116" s="189" t="s">
        <v>161</v>
      </c>
      <c r="C116" s="150" t="s">
        <v>264</v>
      </c>
      <c r="D116" s="1239">
        <v>3705</v>
      </c>
      <c r="E116" s="1240">
        <v>1560</v>
      </c>
      <c r="F116" s="1241">
        <v>1747</v>
      </c>
      <c r="G116" s="1238">
        <v>398</v>
      </c>
      <c r="H116" s="1239">
        <v>1782</v>
      </c>
      <c r="I116" s="1240">
        <v>353</v>
      </c>
      <c r="J116" s="1241">
        <v>1296</v>
      </c>
      <c r="K116" s="1238">
        <v>133</v>
      </c>
      <c r="L116" s="288">
        <f t="shared" si="12"/>
        <v>0.48097165991902835</v>
      </c>
      <c r="M116" s="289">
        <f t="shared" si="13"/>
        <v>0.22628205128205128</v>
      </c>
      <c r="N116" s="289">
        <f t="shared" si="14"/>
        <v>0.74184315970234693</v>
      </c>
      <c r="O116" s="290">
        <f t="shared" si="15"/>
        <v>0.33417085427135679</v>
      </c>
    </row>
    <row r="117" spans="1:15" s="142" customFormat="1" ht="15.75" customHeight="1" x14ac:dyDescent="0.2">
      <c r="A117" s="149" t="s">
        <v>166</v>
      </c>
      <c r="B117" s="189" t="s">
        <v>167</v>
      </c>
      <c r="C117" s="150" t="s">
        <v>268</v>
      </c>
      <c r="D117" s="1239">
        <v>59</v>
      </c>
      <c r="E117" s="1240">
        <v>55</v>
      </c>
      <c r="F117" s="1241">
        <v>2</v>
      </c>
      <c r="G117" s="1238">
        <v>2</v>
      </c>
      <c r="H117" s="1239">
        <v>27</v>
      </c>
      <c r="I117" s="1240">
        <v>26</v>
      </c>
      <c r="J117" s="1241">
        <v>1</v>
      </c>
      <c r="K117" s="1238">
        <v>0</v>
      </c>
      <c r="L117" s="288">
        <f t="shared" si="12"/>
        <v>0.4576271186440678</v>
      </c>
      <c r="M117" s="289">
        <f t="shared" si="13"/>
        <v>0.47272727272727272</v>
      </c>
      <c r="N117" s="289">
        <f t="shared" si="14"/>
        <v>0.5</v>
      </c>
      <c r="O117" s="290">
        <f t="shared" si="15"/>
        <v>0</v>
      </c>
    </row>
    <row r="118" spans="1:15" s="142" customFormat="1" ht="15.75" customHeight="1" x14ac:dyDescent="0.2">
      <c r="A118" s="149" t="s">
        <v>176</v>
      </c>
      <c r="B118" s="189" t="s">
        <v>177</v>
      </c>
      <c r="C118" s="150" t="s">
        <v>266</v>
      </c>
      <c r="D118" s="1239">
        <v>721</v>
      </c>
      <c r="E118" s="1240">
        <v>189</v>
      </c>
      <c r="F118" s="1241">
        <v>483</v>
      </c>
      <c r="G118" s="1238">
        <v>49</v>
      </c>
      <c r="H118" s="1239">
        <v>510</v>
      </c>
      <c r="I118" s="1240">
        <v>84</v>
      </c>
      <c r="J118" s="1241">
        <v>401</v>
      </c>
      <c r="K118" s="1238">
        <v>25</v>
      </c>
      <c r="L118" s="288">
        <f t="shared" si="12"/>
        <v>0.70735090152565883</v>
      </c>
      <c r="M118" s="289">
        <f t="shared" si="13"/>
        <v>0.44444444444444442</v>
      </c>
      <c r="N118" s="289">
        <f t="shared" si="14"/>
        <v>0.83022774327122151</v>
      </c>
      <c r="O118" s="290">
        <f t="shared" si="15"/>
        <v>0.51020408163265307</v>
      </c>
    </row>
    <row r="119" spans="1:15" s="142" customFormat="1" ht="15.75" customHeight="1" x14ac:dyDescent="0.2">
      <c r="A119" s="149" t="s">
        <v>180</v>
      </c>
      <c r="B119" s="189" t="s">
        <v>181</v>
      </c>
      <c r="C119" s="150" t="s">
        <v>264</v>
      </c>
      <c r="D119" s="1239">
        <v>1551</v>
      </c>
      <c r="E119" s="1240">
        <v>582</v>
      </c>
      <c r="F119" s="1241">
        <v>887</v>
      </c>
      <c r="G119" s="1238">
        <v>82</v>
      </c>
      <c r="H119" s="1239">
        <v>850</v>
      </c>
      <c r="I119" s="1240">
        <v>159</v>
      </c>
      <c r="J119" s="1241">
        <v>663</v>
      </c>
      <c r="K119" s="1238">
        <v>28</v>
      </c>
      <c r="L119" s="288">
        <f t="shared" si="12"/>
        <v>0.54803352675693107</v>
      </c>
      <c r="M119" s="289">
        <f t="shared" si="13"/>
        <v>0.27319587628865977</v>
      </c>
      <c r="N119" s="289">
        <f t="shared" si="14"/>
        <v>0.74746335963923338</v>
      </c>
      <c r="O119" s="290">
        <f t="shared" si="15"/>
        <v>0.34146341463414637</v>
      </c>
    </row>
    <row r="120" spans="1:15" s="142" customFormat="1" ht="15.75" customHeight="1" x14ac:dyDescent="0.2">
      <c r="A120" s="149" t="s">
        <v>192</v>
      </c>
      <c r="B120" s="189" t="s">
        <v>193</v>
      </c>
      <c r="C120" s="150" t="s">
        <v>268</v>
      </c>
      <c r="D120" s="1239">
        <v>160</v>
      </c>
      <c r="E120" s="1240">
        <v>138</v>
      </c>
      <c r="F120" s="1241">
        <v>13</v>
      </c>
      <c r="G120" s="1238">
        <v>9</v>
      </c>
      <c r="H120" s="1239">
        <v>65</v>
      </c>
      <c r="I120" s="1240">
        <v>53</v>
      </c>
      <c r="J120" s="1241">
        <v>11</v>
      </c>
      <c r="K120" s="1238">
        <v>1</v>
      </c>
      <c r="L120" s="288">
        <f t="shared" si="12"/>
        <v>0.40625</v>
      </c>
      <c r="M120" s="289">
        <f t="shared" si="13"/>
        <v>0.38405797101449274</v>
      </c>
      <c r="N120" s="289">
        <f t="shared" si="14"/>
        <v>0.84615384615384615</v>
      </c>
      <c r="O120" s="290">
        <f t="shared" si="15"/>
        <v>0.1111111111111111</v>
      </c>
    </row>
    <row r="121" spans="1:15" s="142" customFormat="1" ht="15.75" customHeight="1" x14ac:dyDescent="0.2">
      <c r="A121" s="149" t="s">
        <v>196</v>
      </c>
      <c r="B121" s="189" t="s">
        <v>197</v>
      </c>
      <c r="C121" s="150" t="s">
        <v>266</v>
      </c>
      <c r="D121" s="1239">
        <v>2837</v>
      </c>
      <c r="E121" s="1240">
        <v>965</v>
      </c>
      <c r="F121" s="1241">
        <v>1644</v>
      </c>
      <c r="G121" s="1238">
        <v>228</v>
      </c>
      <c r="H121" s="1239">
        <v>1828</v>
      </c>
      <c r="I121" s="1240">
        <v>285</v>
      </c>
      <c r="J121" s="1241">
        <v>1408</v>
      </c>
      <c r="K121" s="1238">
        <v>135</v>
      </c>
      <c r="L121" s="288">
        <f t="shared" si="12"/>
        <v>0.64434261543884386</v>
      </c>
      <c r="M121" s="289">
        <f t="shared" si="13"/>
        <v>0.29533678756476683</v>
      </c>
      <c r="N121" s="289">
        <f t="shared" si="14"/>
        <v>0.85644768856447684</v>
      </c>
      <c r="O121" s="290">
        <f t="shared" si="15"/>
        <v>0.59210526315789469</v>
      </c>
    </row>
    <row r="122" spans="1:15" s="142" customFormat="1" ht="15.75" customHeight="1" x14ac:dyDescent="0.2">
      <c r="A122" s="149" t="s">
        <v>200</v>
      </c>
      <c r="B122" s="189" t="s">
        <v>201</v>
      </c>
      <c r="C122" s="150" t="s">
        <v>265</v>
      </c>
      <c r="D122" s="1239">
        <v>1495</v>
      </c>
      <c r="E122" s="1240">
        <v>960</v>
      </c>
      <c r="F122" s="1241">
        <v>456</v>
      </c>
      <c r="G122" s="1238">
        <v>79</v>
      </c>
      <c r="H122" s="1239">
        <v>836</v>
      </c>
      <c r="I122" s="1240">
        <v>439</v>
      </c>
      <c r="J122" s="1241">
        <v>361</v>
      </c>
      <c r="K122" s="1238">
        <v>36</v>
      </c>
      <c r="L122" s="288">
        <f t="shared" si="12"/>
        <v>0.5591973244147157</v>
      </c>
      <c r="M122" s="289">
        <f t="shared" si="13"/>
        <v>0.45729166666666665</v>
      </c>
      <c r="N122" s="289">
        <f t="shared" si="14"/>
        <v>0.79166666666666663</v>
      </c>
      <c r="O122" s="290">
        <f t="shared" si="15"/>
        <v>0.45569620253164556</v>
      </c>
    </row>
    <row r="123" spans="1:15" s="142" customFormat="1" ht="15.75" customHeight="1" x14ac:dyDescent="0.2">
      <c r="A123" s="149" t="s">
        <v>222</v>
      </c>
      <c r="B123" s="189" t="s">
        <v>223</v>
      </c>
      <c r="C123" s="150" t="s">
        <v>264</v>
      </c>
      <c r="D123" s="1239">
        <v>1091</v>
      </c>
      <c r="E123" s="1240">
        <v>560</v>
      </c>
      <c r="F123" s="1241">
        <v>483</v>
      </c>
      <c r="G123" s="1238">
        <v>48</v>
      </c>
      <c r="H123" s="1239">
        <v>413</v>
      </c>
      <c r="I123" s="1240">
        <v>96</v>
      </c>
      <c r="J123" s="1241">
        <v>305</v>
      </c>
      <c r="K123" s="1238">
        <v>12</v>
      </c>
      <c r="L123" s="288">
        <f t="shared" si="12"/>
        <v>0.3785517873510541</v>
      </c>
      <c r="M123" s="289">
        <f t="shared" si="13"/>
        <v>0.17142857142857143</v>
      </c>
      <c r="N123" s="289">
        <f t="shared" si="14"/>
        <v>0.6314699792960663</v>
      </c>
      <c r="O123" s="290">
        <f t="shared" si="15"/>
        <v>0.25</v>
      </c>
    </row>
    <row r="124" spans="1:15" s="142" customFormat="1" ht="15.75" customHeight="1" x14ac:dyDescent="0.2">
      <c r="A124" s="149" t="s">
        <v>230</v>
      </c>
      <c r="B124" s="189" t="s">
        <v>231</v>
      </c>
      <c r="C124" s="150" t="s">
        <v>264</v>
      </c>
      <c r="D124" s="1239">
        <v>6003</v>
      </c>
      <c r="E124" s="1240">
        <v>3854</v>
      </c>
      <c r="F124" s="1241">
        <v>1226</v>
      </c>
      <c r="G124" s="1238">
        <v>923</v>
      </c>
      <c r="H124" s="1239">
        <v>1852</v>
      </c>
      <c r="I124" s="1240">
        <v>867</v>
      </c>
      <c r="J124" s="1241">
        <v>701</v>
      </c>
      <c r="K124" s="1238">
        <v>284</v>
      </c>
      <c r="L124" s="288">
        <f t="shared" si="12"/>
        <v>0.30851241046143596</v>
      </c>
      <c r="M124" s="289">
        <f t="shared" si="13"/>
        <v>0.22496107939802804</v>
      </c>
      <c r="N124" s="289">
        <f t="shared" si="14"/>
        <v>0.57177814029363783</v>
      </c>
      <c r="O124" s="290">
        <f t="shared" si="15"/>
        <v>0.30769230769230771</v>
      </c>
    </row>
    <row r="125" spans="1:15" s="142" customFormat="1" ht="15.75" customHeight="1" x14ac:dyDescent="0.2">
      <c r="A125" s="149" t="s">
        <v>238</v>
      </c>
      <c r="B125" s="189" t="s">
        <v>239</v>
      </c>
      <c r="C125" s="150" t="s">
        <v>264</v>
      </c>
      <c r="D125" s="1239">
        <v>79</v>
      </c>
      <c r="E125" s="1240">
        <v>43</v>
      </c>
      <c r="F125" s="1241">
        <v>21</v>
      </c>
      <c r="G125" s="1238">
        <v>15</v>
      </c>
      <c r="H125" s="1239">
        <v>31</v>
      </c>
      <c r="I125" s="1240">
        <v>12</v>
      </c>
      <c r="J125" s="1241">
        <v>15</v>
      </c>
      <c r="K125" s="1238">
        <v>4</v>
      </c>
      <c r="L125" s="288">
        <f t="shared" si="12"/>
        <v>0.39240506329113922</v>
      </c>
      <c r="M125" s="289">
        <f t="shared" si="13"/>
        <v>0.27906976744186046</v>
      </c>
      <c r="N125" s="289">
        <f t="shared" si="14"/>
        <v>0.7142857142857143</v>
      </c>
      <c r="O125" s="290">
        <f t="shared" si="15"/>
        <v>0.26666666666666666</v>
      </c>
    </row>
    <row r="126" spans="1:15" s="142" customFormat="1" ht="15.75" customHeight="1" x14ac:dyDescent="0.2">
      <c r="A126" s="155" t="s">
        <v>240</v>
      </c>
      <c r="B126" s="191" t="s">
        <v>241</v>
      </c>
      <c r="C126" s="156" t="s">
        <v>267</v>
      </c>
      <c r="D126" s="1242">
        <v>347</v>
      </c>
      <c r="E126" s="1243">
        <v>271</v>
      </c>
      <c r="F126" s="1244">
        <v>30</v>
      </c>
      <c r="G126" s="1245">
        <v>46</v>
      </c>
      <c r="H126" s="1242">
        <v>180</v>
      </c>
      <c r="I126" s="1243">
        <v>141</v>
      </c>
      <c r="J126" s="1244">
        <v>24</v>
      </c>
      <c r="K126" s="1245">
        <v>15</v>
      </c>
      <c r="L126" s="291">
        <f t="shared" si="12"/>
        <v>0.51873198847262247</v>
      </c>
      <c r="M126" s="292">
        <f t="shared" si="13"/>
        <v>0.52029520295202947</v>
      </c>
      <c r="N126" s="292">
        <f t="shared" si="14"/>
        <v>0.8</v>
      </c>
      <c r="O126" s="293">
        <f t="shared" si="15"/>
        <v>0.32608695652173914</v>
      </c>
    </row>
    <row r="127" spans="1:15" s="142" customFormat="1" ht="15.75" customHeight="1" x14ac:dyDescent="0.2">
      <c r="A127" s="283"/>
      <c r="B127" s="236"/>
      <c r="C127" s="284"/>
      <c r="D127" s="152"/>
      <c r="E127" s="151"/>
      <c r="F127" s="152"/>
      <c r="G127" s="285"/>
      <c r="H127" s="152"/>
      <c r="I127" s="151"/>
      <c r="J127" s="152"/>
      <c r="K127" s="151"/>
      <c r="L127" s="286"/>
      <c r="M127" s="286"/>
      <c r="N127" s="286"/>
      <c r="O127" s="286"/>
    </row>
    <row r="128" spans="1:15" s="142" customFormat="1" ht="15.75" customHeight="1" x14ac:dyDescent="0.2">
      <c r="A128" s="283" t="s">
        <v>266</v>
      </c>
      <c r="B128" s="236"/>
      <c r="C128" s="284"/>
      <c r="D128" s="294">
        <v>15776</v>
      </c>
      <c r="E128" s="154">
        <v>9130</v>
      </c>
      <c r="F128" s="153">
        <v>5174</v>
      </c>
      <c r="G128" s="295">
        <v>1472</v>
      </c>
      <c r="H128" s="294">
        <v>6932</v>
      </c>
      <c r="I128" s="154">
        <v>2499</v>
      </c>
      <c r="J128" s="153">
        <v>3891</v>
      </c>
      <c r="K128" s="296">
        <v>542</v>
      </c>
      <c r="L128" s="288">
        <f t="shared" ref="L128:O132" si="16">H128/D128</f>
        <v>0.43940162271805272</v>
      </c>
      <c r="M128" s="289">
        <f t="shared" si="16"/>
        <v>0.27371303395399782</v>
      </c>
      <c r="N128" s="289">
        <f t="shared" si="16"/>
        <v>0.75202937765751832</v>
      </c>
      <c r="O128" s="290">
        <f t="shared" si="16"/>
        <v>0.36820652173913043</v>
      </c>
    </row>
    <row r="129" spans="1:15" s="142" customFormat="1" ht="15.75" customHeight="1" x14ac:dyDescent="0.2">
      <c r="A129" s="283" t="s">
        <v>264</v>
      </c>
      <c r="B129" s="236"/>
      <c r="C129" s="284"/>
      <c r="D129" s="294">
        <v>23830</v>
      </c>
      <c r="E129" s="154">
        <v>12788</v>
      </c>
      <c r="F129" s="153">
        <v>8531</v>
      </c>
      <c r="G129" s="295">
        <v>2511</v>
      </c>
      <c r="H129" s="294">
        <v>9828</v>
      </c>
      <c r="I129" s="154">
        <v>3156</v>
      </c>
      <c r="J129" s="153">
        <v>5868</v>
      </c>
      <c r="K129" s="296">
        <v>804</v>
      </c>
      <c r="L129" s="288">
        <f t="shared" si="16"/>
        <v>0.41242131766680656</v>
      </c>
      <c r="M129" s="289">
        <f t="shared" si="16"/>
        <v>0.24679386925242414</v>
      </c>
      <c r="N129" s="289">
        <f t="shared" si="16"/>
        <v>0.68784433243465015</v>
      </c>
      <c r="O129" s="290">
        <f t="shared" si="16"/>
        <v>0.32019115890083633</v>
      </c>
    </row>
    <row r="130" spans="1:15" s="142" customFormat="1" ht="15.75" customHeight="1" x14ac:dyDescent="0.2">
      <c r="A130" s="283" t="s">
        <v>267</v>
      </c>
      <c r="B130" s="236"/>
      <c r="C130" s="284"/>
      <c r="D130" s="294">
        <v>44465</v>
      </c>
      <c r="E130" s="154">
        <v>28520</v>
      </c>
      <c r="F130" s="153">
        <v>5369</v>
      </c>
      <c r="G130" s="295">
        <v>10576</v>
      </c>
      <c r="H130" s="294">
        <v>11125</v>
      </c>
      <c r="I130" s="154">
        <v>5818</v>
      </c>
      <c r="J130" s="153">
        <v>2434</v>
      </c>
      <c r="K130" s="296">
        <v>2873</v>
      </c>
      <c r="L130" s="288">
        <f t="shared" si="16"/>
        <v>0.2501967839874058</v>
      </c>
      <c r="M130" s="289">
        <f t="shared" si="16"/>
        <v>0.20399719495091165</v>
      </c>
      <c r="N130" s="289">
        <f t="shared" si="16"/>
        <v>0.45334326690258892</v>
      </c>
      <c r="O130" s="290">
        <f t="shared" si="16"/>
        <v>0.27165279878971255</v>
      </c>
    </row>
    <row r="131" spans="1:15" s="142" customFormat="1" ht="15.75" customHeight="1" x14ac:dyDescent="0.2">
      <c r="A131" s="283" t="s">
        <v>265</v>
      </c>
      <c r="B131" s="236"/>
      <c r="C131" s="284"/>
      <c r="D131" s="294">
        <v>12297</v>
      </c>
      <c r="E131" s="154">
        <v>9236</v>
      </c>
      <c r="F131" s="153">
        <v>2436</v>
      </c>
      <c r="G131" s="295">
        <v>625</v>
      </c>
      <c r="H131" s="294">
        <v>5256</v>
      </c>
      <c r="I131" s="154">
        <v>3131</v>
      </c>
      <c r="J131" s="153">
        <v>1902</v>
      </c>
      <c r="K131" s="296">
        <v>223</v>
      </c>
      <c r="L131" s="288">
        <f t="shared" si="16"/>
        <v>0.42742132227372531</v>
      </c>
      <c r="M131" s="289">
        <f t="shared" si="16"/>
        <v>0.33899956691208316</v>
      </c>
      <c r="N131" s="289">
        <f t="shared" si="16"/>
        <v>0.78078817733990147</v>
      </c>
      <c r="O131" s="290">
        <f t="shared" si="16"/>
        <v>0.35680000000000001</v>
      </c>
    </row>
    <row r="132" spans="1:15" s="142" customFormat="1" ht="15.75" customHeight="1" x14ac:dyDescent="0.2">
      <c r="A132" s="283" t="s">
        <v>268</v>
      </c>
      <c r="B132" s="236"/>
      <c r="C132" s="284"/>
      <c r="D132" s="294">
        <v>5608</v>
      </c>
      <c r="E132" s="154">
        <v>5333</v>
      </c>
      <c r="F132" s="153">
        <v>113</v>
      </c>
      <c r="G132" s="295">
        <v>162</v>
      </c>
      <c r="H132" s="294">
        <v>2147</v>
      </c>
      <c r="I132" s="154">
        <v>2035</v>
      </c>
      <c r="J132" s="153">
        <v>73</v>
      </c>
      <c r="K132" s="296">
        <v>39</v>
      </c>
      <c r="L132" s="288">
        <f t="shared" si="16"/>
        <v>0.38284593437945791</v>
      </c>
      <c r="M132" s="289">
        <f t="shared" si="16"/>
        <v>0.38158634914682166</v>
      </c>
      <c r="N132" s="289">
        <f t="shared" si="16"/>
        <v>0.64601769911504425</v>
      </c>
      <c r="O132" s="290">
        <f t="shared" si="16"/>
        <v>0.24074074074074073</v>
      </c>
    </row>
    <row r="133" spans="1:15" s="142" customFormat="1" ht="15.75" customHeight="1" x14ac:dyDescent="0.2">
      <c r="A133" s="283"/>
      <c r="B133" s="236"/>
      <c r="C133" s="284"/>
      <c r="D133" s="152"/>
      <c r="E133" s="151"/>
      <c r="F133" s="152"/>
      <c r="G133" s="285"/>
      <c r="H133" s="152"/>
      <c r="I133" s="151"/>
      <c r="J133" s="152"/>
      <c r="K133" s="151"/>
      <c r="L133" s="286"/>
      <c r="M133" s="286"/>
      <c r="N133" s="286"/>
      <c r="O133" s="286"/>
    </row>
    <row r="134" spans="1:15" ht="28.5" customHeight="1" x14ac:dyDescent="0.25">
      <c r="A134" s="2087" t="s">
        <v>1140</v>
      </c>
      <c r="B134" s="2087"/>
      <c r="C134" s="2087"/>
      <c r="D134" s="2087"/>
      <c r="E134" s="2087"/>
      <c r="F134" s="2087"/>
      <c r="G134" s="2087"/>
      <c r="H134" s="2087"/>
      <c r="I134" s="2087"/>
      <c r="J134" s="2087"/>
      <c r="K134" s="2087"/>
      <c r="L134" s="2087"/>
      <c r="M134" s="2087"/>
      <c r="N134" s="2087"/>
      <c r="O134" s="2087"/>
    </row>
    <row r="135" spans="1:15" s="185" customFormat="1" ht="12.75" x14ac:dyDescent="0.2">
      <c r="A135" s="185" t="s">
        <v>248</v>
      </c>
    </row>
    <row r="136" spans="1:15" s="185" customFormat="1" ht="12.75" x14ac:dyDescent="0.2">
      <c r="A136" s="192" t="s">
        <v>249</v>
      </c>
      <c r="B136" s="170" t="s">
        <v>250</v>
      </c>
    </row>
  </sheetData>
  <autoFilter ref="A4:C126"/>
  <sortState ref="A7:O126">
    <sortCondition ref="A7:A126"/>
  </sortState>
  <mergeCells count="9">
    <mergeCell ref="A134:O134"/>
    <mergeCell ref="H4:K4"/>
    <mergeCell ref="L4:O4"/>
    <mergeCell ref="H3:O3"/>
    <mergeCell ref="E2:G2"/>
    <mergeCell ref="A4:A5"/>
    <mergeCell ref="B4:B5"/>
    <mergeCell ref="C4:C5"/>
    <mergeCell ref="D4:G4"/>
  </mergeCells>
  <hyperlinks>
    <hyperlink ref="B136"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xSplit="2" ySplit="5" topLeftCell="C104" activePane="bottomRight" state="frozen"/>
      <selection pane="topRight" activeCell="C1" sqref="C1"/>
      <selection pane="bottomLeft" activeCell="A6" sqref="A6"/>
      <selection pane="bottomRight" activeCell="D127" sqref="D127:D131"/>
    </sheetView>
  </sheetViews>
  <sheetFormatPr defaultRowHeight="12.75" x14ac:dyDescent="0.2"/>
  <cols>
    <col min="1" max="1" width="9" style="1299"/>
    <col min="2" max="2" width="24.5" style="1299" customWidth="1"/>
    <col min="3" max="3" width="13.625" style="1299" customWidth="1"/>
    <col min="4" max="7" width="9" style="1299"/>
    <col min="8" max="11" width="7.125" style="1299" customWidth="1"/>
    <col min="12" max="15" width="6.875" style="1299" customWidth="1"/>
    <col min="16" max="16384" width="9" style="1299"/>
  </cols>
  <sheetData>
    <row r="1" spans="1:15" ht="15.75" x14ac:dyDescent="0.25">
      <c r="A1" s="1298" t="s">
        <v>1143</v>
      </c>
    </row>
    <row r="3" spans="1:15" x14ac:dyDescent="0.2">
      <c r="B3" s="1300"/>
      <c r="C3" s="1300"/>
      <c r="D3" s="2096" t="s">
        <v>890</v>
      </c>
      <c r="E3" s="2097"/>
      <c r="F3" s="2097"/>
      <c r="G3" s="2098"/>
      <c r="H3" s="2096" t="s">
        <v>1142</v>
      </c>
      <c r="I3" s="2097"/>
      <c r="J3" s="2097"/>
      <c r="K3" s="2098"/>
      <c r="L3" s="2099" t="s">
        <v>903</v>
      </c>
      <c r="M3" s="2099"/>
      <c r="N3" s="2099"/>
      <c r="O3" s="2099"/>
    </row>
    <row r="4" spans="1:15" x14ac:dyDescent="0.2">
      <c r="A4" s="1301" t="s">
        <v>4</v>
      </c>
      <c r="B4" s="1301" t="s">
        <v>606</v>
      </c>
      <c r="C4" s="1301" t="s">
        <v>251</v>
      </c>
      <c r="D4" s="1302" t="s">
        <v>281</v>
      </c>
      <c r="E4" s="1303" t="s">
        <v>2</v>
      </c>
      <c r="F4" s="1303" t="s">
        <v>445</v>
      </c>
      <c r="G4" s="1304" t="s">
        <v>446</v>
      </c>
      <c r="H4" s="1302" t="s">
        <v>281</v>
      </c>
      <c r="I4" s="1303" t="s">
        <v>2</v>
      </c>
      <c r="J4" s="1303" t="s">
        <v>445</v>
      </c>
      <c r="K4" s="1304" t="s">
        <v>446</v>
      </c>
      <c r="L4" s="1302" t="s">
        <v>281</v>
      </c>
      <c r="M4" s="1303" t="s">
        <v>2</v>
      </c>
      <c r="N4" s="1303" t="s">
        <v>445</v>
      </c>
      <c r="O4" s="1304" t="s">
        <v>446</v>
      </c>
    </row>
    <row r="5" spans="1:15" x14ac:dyDescent="0.2">
      <c r="A5" s="1309" t="s">
        <v>8</v>
      </c>
      <c r="B5" s="1310" t="s">
        <v>9</v>
      </c>
      <c r="C5" s="1310"/>
      <c r="D5" s="1311">
        <v>5316</v>
      </c>
      <c r="E5" s="1312">
        <v>2794</v>
      </c>
      <c r="F5" s="1312">
        <v>1884</v>
      </c>
      <c r="G5" s="1313">
        <v>638</v>
      </c>
      <c r="H5" s="1311">
        <v>518354</v>
      </c>
      <c r="I5" s="1314">
        <v>355140</v>
      </c>
      <c r="J5" s="1314">
        <v>124730</v>
      </c>
      <c r="K5" s="1313">
        <v>38484</v>
      </c>
      <c r="L5" s="1324">
        <f t="shared" ref="L5:L36" si="0">IF(H5=0,"NA",(D5/H5)*1000)</f>
        <v>10.25553965050911</v>
      </c>
      <c r="M5" s="1325">
        <f t="shared" ref="M5:O5" si="1">IF(I5=0,"NA",(E5/I5)*1000)</f>
        <v>7.8673199301683843</v>
      </c>
      <c r="N5" s="1325">
        <f t="shared" si="1"/>
        <v>15.104625992143029</v>
      </c>
      <c r="O5" s="1326">
        <f t="shared" si="1"/>
        <v>16.578318262134914</v>
      </c>
    </row>
    <row r="6" spans="1:15" x14ac:dyDescent="0.2">
      <c r="A6" s="1299" t="s">
        <v>10</v>
      </c>
      <c r="B6" s="1299" t="s">
        <v>11</v>
      </c>
      <c r="C6" s="1299" t="s">
        <v>264</v>
      </c>
      <c r="D6" s="1305">
        <v>23</v>
      </c>
      <c r="E6" s="1306">
        <v>12</v>
      </c>
      <c r="F6" s="1306">
        <v>11</v>
      </c>
      <c r="G6" s="1307">
        <v>0</v>
      </c>
      <c r="H6" s="1305">
        <v>1736</v>
      </c>
      <c r="I6" s="1306">
        <v>1096</v>
      </c>
      <c r="J6" s="1306">
        <v>603</v>
      </c>
      <c r="K6" s="1307">
        <v>37</v>
      </c>
      <c r="L6" s="1327">
        <f t="shared" si="0"/>
        <v>13.248847926267281</v>
      </c>
      <c r="M6" s="1328">
        <f t="shared" ref="M6:M37" si="2">IF(I6=0,"NA",(E6/I6)*1000)</f>
        <v>10.948905109489052</v>
      </c>
      <c r="N6" s="1328">
        <f t="shared" ref="N6:N37" si="3">IF(J6=0,"NA",(F6/J6)*1000)</f>
        <v>18.24212271973466</v>
      </c>
      <c r="O6" s="1329">
        <f t="shared" ref="O6:O37" si="4">IF(K6=0,"NA",(G6/K6)*1000)</f>
        <v>0</v>
      </c>
    </row>
    <row r="7" spans="1:15" x14ac:dyDescent="0.2">
      <c r="A7" s="1299" t="s">
        <v>12</v>
      </c>
      <c r="B7" s="1299" t="s">
        <v>13</v>
      </c>
      <c r="C7" s="1299" t="s">
        <v>265</v>
      </c>
      <c r="D7" s="1305">
        <v>32</v>
      </c>
      <c r="E7" s="1306">
        <v>20</v>
      </c>
      <c r="F7" s="1306">
        <v>6</v>
      </c>
      <c r="G7" s="1307">
        <v>6</v>
      </c>
      <c r="H7" s="1305">
        <v>7732</v>
      </c>
      <c r="I7" s="1306">
        <v>6225</v>
      </c>
      <c r="J7" s="1306">
        <v>907</v>
      </c>
      <c r="K7" s="1307">
        <v>600</v>
      </c>
      <c r="L7" s="1327">
        <f t="shared" si="0"/>
        <v>4.1386445938954992</v>
      </c>
      <c r="M7" s="1328">
        <f t="shared" si="2"/>
        <v>3.2128514056224899</v>
      </c>
      <c r="N7" s="1328">
        <f t="shared" si="3"/>
        <v>6.6152149944873209</v>
      </c>
      <c r="O7" s="1329">
        <f t="shared" si="4"/>
        <v>10</v>
      </c>
    </row>
    <row r="8" spans="1:15" x14ac:dyDescent="0.2">
      <c r="A8" s="1299" t="s">
        <v>16</v>
      </c>
      <c r="B8" s="1299" t="s">
        <v>297</v>
      </c>
      <c r="C8" s="1299" t="s">
        <v>265</v>
      </c>
      <c r="D8" s="1305">
        <v>12</v>
      </c>
      <c r="E8" s="1306">
        <v>12</v>
      </c>
      <c r="F8" s="1306">
        <v>0</v>
      </c>
      <c r="G8" s="1307">
        <v>0</v>
      </c>
      <c r="H8" s="1305">
        <v>1295</v>
      </c>
      <c r="I8" s="1306">
        <v>1173</v>
      </c>
      <c r="J8" s="1306">
        <v>115</v>
      </c>
      <c r="K8" s="1307">
        <v>7</v>
      </c>
      <c r="L8" s="1327">
        <f t="shared" si="0"/>
        <v>9.2664092664092657</v>
      </c>
      <c r="M8" s="1328">
        <f t="shared" si="2"/>
        <v>10.230179028132993</v>
      </c>
      <c r="N8" s="1328">
        <f t="shared" si="3"/>
        <v>0</v>
      </c>
      <c r="O8" s="1329">
        <f t="shared" si="4"/>
        <v>0</v>
      </c>
    </row>
    <row r="9" spans="1:15" x14ac:dyDescent="0.2">
      <c r="A9" s="1299" t="s">
        <v>18</v>
      </c>
      <c r="B9" s="1299" t="s">
        <v>19</v>
      </c>
      <c r="C9" s="1299" t="s">
        <v>266</v>
      </c>
      <c r="D9" s="1305">
        <v>9</v>
      </c>
      <c r="E9" s="1306">
        <v>7</v>
      </c>
      <c r="F9" s="1306">
        <v>2</v>
      </c>
      <c r="G9" s="1307">
        <v>0</v>
      </c>
      <c r="H9" s="1305">
        <v>745</v>
      </c>
      <c r="I9" s="1306">
        <v>529</v>
      </c>
      <c r="J9" s="1306">
        <v>194</v>
      </c>
      <c r="K9" s="1307">
        <v>22</v>
      </c>
      <c r="L9" s="1327">
        <f t="shared" si="0"/>
        <v>12.080536912751677</v>
      </c>
      <c r="M9" s="1328">
        <f t="shared" si="2"/>
        <v>13.232514177693762</v>
      </c>
      <c r="N9" s="1328">
        <f t="shared" si="3"/>
        <v>10.309278350515465</v>
      </c>
      <c r="O9" s="1329">
        <f t="shared" si="4"/>
        <v>0</v>
      </c>
    </row>
    <row r="10" spans="1:15" x14ac:dyDescent="0.2">
      <c r="A10" s="1299" t="s">
        <v>20</v>
      </c>
      <c r="B10" s="1299" t="s">
        <v>21</v>
      </c>
      <c r="C10" s="1299" t="s">
        <v>265</v>
      </c>
      <c r="D10" s="1305">
        <v>24</v>
      </c>
      <c r="E10" s="1306">
        <v>21</v>
      </c>
      <c r="F10" s="1306">
        <v>3</v>
      </c>
      <c r="G10" s="1307">
        <v>0</v>
      </c>
      <c r="H10" s="1305">
        <v>2054</v>
      </c>
      <c r="I10" s="1306">
        <v>1589</v>
      </c>
      <c r="J10" s="1306">
        <v>430</v>
      </c>
      <c r="K10" s="1307">
        <v>35</v>
      </c>
      <c r="L10" s="1327">
        <f t="shared" si="0"/>
        <v>11.684518013631937</v>
      </c>
      <c r="M10" s="1328">
        <f t="shared" si="2"/>
        <v>13.215859030837004</v>
      </c>
      <c r="N10" s="1328">
        <f t="shared" si="3"/>
        <v>6.9767441860465116</v>
      </c>
      <c r="O10" s="1329">
        <f t="shared" si="4"/>
        <v>0</v>
      </c>
    </row>
    <row r="11" spans="1:15" x14ac:dyDescent="0.2">
      <c r="A11" s="1299" t="s">
        <v>22</v>
      </c>
      <c r="B11" s="1299" t="s">
        <v>23</v>
      </c>
      <c r="C11" s="1299" t="s">
        <v>265</v>
      </c>
      <c r="D11" s="1305">
        <v>11</v>
      </c>
      <c r="E11" s="1306">
        <v>10</v>
      </c>
      <c r="F11" s="1306">
        <v>1</v>
      </c>
      <c r="G11" s="1307">
        <v>0</v>
      </c>
      <c r="H11" s="1305">
        <v>908</v>
      </c>
      <c r="I11" s="1306">
        <v>652</v>
      </c>
      <c r="J11" s="1306">
        <v>244</v>
      </c>
      <c r="K11" s="1307">
        <v>12</v>
      </c>
      <c r="L11" s="1327">
        <f t="shared" si="0"/>
        <v>12.114537444933921</v>
      </c>
      <c r="M11" s="1328">
        <f t="shared" si="2"/>
        <v>15.337423312883436</v>
      </c>
      <c r="N11" s="1328">
        <f t="shared" si="3"/>
        <v>4.0983606557377055</v>
      </c>
      <c r="O11" s="1329">
        <f t="shared" si="4"/>
        <v>0</v>
      </c>
    </row>
    <row r="12" spans="1:15" x14ac:dyDescent="0.2">
      <c r="A12" s="1299" t="s">
        <v>24</v>
      </c>
      <c r="B12" s="1299" t="s">
        <v>25</v>
      </c>
      <c r="C12" s="1299" t="s">
        <v>267</v>
      </c>
      <c r="D12" s="1305">
        <v>45</v>
      </c>
      <c r="E12" s="1306">
        <v>28</v>
      </c>
      <c r="F12" s="1306">
        <v>5</v>
      </c>
      <c r="G12" s="1307">
        <v>12</v>
      </c>
      <c r="H12" s="1305">
        <v>8051</v>
      </c>
      <c r="I12" s="1306">
        <v>6095</v>
      </c>
      <c r="J12" s="1306">
        <v>1001</v>
      </c>
      <c r="K12" s="1307">
        <v>955</v>
      </c>
      <c r="L12" s="1327">
        <f t="shared" si="0"/>
        <v>5.5893677803999502</v>
      </c>
      <c r="M12" s="1328">
        <f t="shared" si="2"/>
        <v>4.5939294503691555</v>
      </c>
      <c r="N12" s="1328">
        <f t="shared" si="3"/>
        <v>4.9950049950049946</v>
      </c>
      <c r="O12" s="1329">
        <f t="shared" si="4"/>
        <v>12.565445026178011</v>
      </c>
    </row>
    <row r="13" spans="1:15" x14ac:dyDescent="0.2">
      <c r="A13" s="1299" t="s">
        <v>26</v>
      </c>
      <c r="B13" s="1299" t="s">
        <v>298</v>
      </c>
      <c r="C13" s="1299" t="s">
        <v>265</v>
      </c>
      <c r="D13" s="1305">
        <v>80</v>
      </c>
      <c r="E13" s="1306">
        <v>67</v>
      </c>
      <c r="F13" s="1306">
        <v>11</v>
      </c>
      <c r="G13" s="1307">
        <v>2</v>
      </c>
      <c r="H13" s="1305">
        <v>7109</v>
      </c>
      <c r="I13" s="1306">
        <v>6237</v>
      </c>
      <c r="J13" s="1306">
        <v>743</v>
      </c>
      <c r="K13" s="1307">
        <v>129</v>
      </c>
      <c r="L13" s="1327">
        <f t="shared" si="0"/>
        <v>11.253340835560557</v>
      </c>
      <c r="M13" s="1328">
        <f t="shared" si="2"/>
        <v>10.74234407567741</v>
      </c>
      <c r="N13" s="1328">
        <f t="shared" si="3"/>
        <v>14.804845222072679</v>
      </c>
      <c r="O13" s="1329">
        <f t="shared" si="4"/>
        <v>15.503875968992247</v>
      </c>
    </row>
    <row r="14" spans="1:15" x14ac:dyDescent="0.2">
      <c r="A14" s="1299" t="s">
        <v>27</v>
      </c>
      <c r="B14" s="1299" t="s">
        <v>28</v>
      </c>
      <c r="C14" s="1299" t="s">
        <v>265</v>
      </c>
      <c r="D14" s="1305">
        <v>5</v>
      </c>
      <c r="E14" s="1306">
        <v>5</v>
      </c>
      <c r="F14" s="1306">
        <v>0</v>
      </c>
      <c r="G14" s="1307">
        <v>0</v>
      </c>
      <c r="H14" s="1305">
        <v>228</v>
      </c>
      <c r="I14" s="1306">
        <v>219</v>
      </c>
      <c r="J14" s="1306">
        <v>9</v>
      </c>
      <c r="K14" s="1307">
        <v>0</v>
      </c>
      <c r="L14" s="1327">
        <f t="shared" si="0"/>
        <v>21.929824561403507</v>
      </c>
      <c r="M14" s="1328">
        <f t="shared" si="2"/>
        <v>22.831050228310502</v>
      </c>
      <c r="N14" s="1328">
        <f t="shared" si="3"/>
        <v>0</v>
      </c>
      <c r="O14" s="1329" t="str">
        <f t="shared" si="4"/>
        <v>NA</v>
      </c>
    </row>
    <row r="15" spans="1:15" x14ac:dyDescent="0.2">
      <c r="A15" s="1299" t="s">
        <v>29</v>
      </c>
      <c r="B15" s="1299" t="s">
        <v>941</v>
      </c>
      <c r="C15" s="1299" t="s">
        <v>265</v>
      </c>
      <c r="D15" s="1305">
        <v>39</v>
      </c>
      <c r="E15" s="1306">
        <v>32</v>
      </c>
      <c r="F15" s="1306">
        <v>6</v>
      </c>
      <c r="G15" s="1307">
        <v>1</v>
      </c>
      <c r="H15" s="1305">
        <v>4693</v>
      </c>
      <c r="I15" s="1306">
        <v>4217</v>
      </c>
      <c r="J15" s="1306">
        <v>363</v>
      </c>
      <c r="K15" s="1307">
        <v>113</v>
      </c>
      <c r="L15" s="1327">
        <f t="shared" si="0"/>
        <v>8.310249307479225</v>
      </c>
      <c r="M15" s="1328">
        <f t="shared" si="2"/>
        <v>7.5883329381076594</v>
      </c>
      <c r="N15" s="1328">
        <f t="shared" si="3"/>
        <v>16.528925619834713</v>
      </c>
      <c r="O15" s="1329">
        <f t="shared" si="4"/>
        <v>8.8495575221238933</v>
      </c>
    </row>
    <row r="16" spans="1:15" x14ac:dyDescent="0.2">
      <c r="A16" s="1299" t="s">
        <v>30</v>
      </c>
      <c r="B16" s="1299" t="s">
        <v>31</v>
      </c>
      <c r="C16" s="1299" t="s">
        <v>268</v>
      </c>
      <c r="D16" s="1305">
        <v>2</v>
      </c>
      <c r="E16" s="1306">
        <v>2</v>
      </c>
      <c r="F16" s="1306">
        <v>0</v>
      </c>
      <c r="G16" s="1307">
        <v>0</v>
      </c>
      <c r="H16" s="1305">
        <v>319</v>
      </c>
      <c r="I16" s="1306">
        <v>313</v>
      </c>
      <c r="J16" s="1306">
        <v>5</v>
      </c>
      <c r="K16" s="1307">
        <v>1</v>
      </c>
      <c r="L16" s="1327">
        <f t="shared" si="0"/>
        <v>6.2695924764890281</v>
      </c>
      <c r="M16" s="1328">
        <f t="shared" si="2"/>
        <v>6.3897763578274756</v>
      </c>
      <c r="N16" s="1328">
        <f t="shared" si="3"/>
        <v>0</v>
      </c>
      <c r="O16" s="1329">
        <f t="shared" si="4"/>
        <v>0</v>
      </c>
    </row>
    <row r="17" spans="1:15" x14ac:dyDescent="0.2">
      <c r="A17" s="1299" t="s">
        <v>32</v>
      </c>
      <c r="B17" s="1299" t="s">
        <v>33</v>
      </c>
      <c r="C17" s="1299" t="s">
        <v>265</v>
      </c>
      <c r="D17" s="1305">
        <v>12</v>
      </c>
      <c r="E17" s="1306">
        <v>12</v>
      </c>
      <c r="F17" s="1306">
        <v>0</v>
      </c>
      <c r="G17" s="1307">
        <v>0</v>
      </c>
      <c r="H17" s="1305">
        <v>2079</v>
      </c>
      <c r="I17" s="1306">
        <v>1989</v>
      </c>
      <c r="J17" s="1306">
        <v>68</v>
      </c>
      <c r="K17" s="1307">
        <v>22</v>
      </c>
      <c r="L17" s="1327">
        <f t="shared" si="0"/>
        <v>5.7720057720057723</v>
      </c>
      <c r="M17" s="1328">
        <f t="shared" si="2"/>
        <v>6.0331825037707389</v>
      </c>
      <c r="N17" s="1328">
        <f t="shared" si="3"/>
        <v>0</v>
      </c>
      <c r="O17" s="1329">
        <f t="shared" si="4"/>
        <v>0</v>
      </c>
    </row>
    <row r="18" spans="1:15" x14ac:dyDescent="0.2">
      <c r="A18" s="1299" t="s">
        <v>36</v>
      </c>
      <c r="B18" s="1299" t="s">
        <v>37</v>
      </c>
      <c r="C18" s="1299" t="s">
        <v>264</v>
      </c>
      <c r="D18" s="1305">
        <v>14</v>
      </c>
      <c r="E18" s="1306">
        <v>3</v>
      </c>
      <c r="F18" s="1306">
        <v>10</v>
      </c>
      <c r="G18" s="1307">
        <v>1</v>
      </c>
      <c r="H18" s="1305">
        <v>904</v>
      </c>
      <c r="I18" s="1306">
        <v>327</v>
      </c>
      <c r="J18" s="1306">
        <v>570</v>
      </c>
      <c r="K18" s="1307">
        <v>7</v>
      </c>
      <c r="L18" s="1327">
        <f t="shared" si="0"/>
        <v>15.486725663716815</v>
      </c>
      <c r="M18" s="1328">
        <f t="shared" si="2"/>
        <v>9.1743119266055047</v>
      </c>
      <c r="N18" s="1328">
        <f t="shared" si="3"/>
        <v>17.543859649122805</v>
      </c>
      <c r="O18" s="1329">
        <f t="shared" si="4"/>
        <v>142.85714285714286</v>
      </c>
    </row>
    <row r="19" spans="1:15" x14ac:dyDescent="0.2">
      <c r="A19" s="1299" t="s">
        <v>38</v>
      </c>
      <c r="B19" s="1299" t="s">
        <v>39</v>
      </c>
      <c r="C19" s="1299" t="s">
        <v>268</v>
      </c>
      <c r="D19" s="1305">
        <v>24</v>
      </c>
      <c r="E19" s="1306">
        <v>24</v>
      </c>
      <c r="F19" s="1306">
        <v>0</v>
      </c>
      <c r="G19" s="1307">
        <v>0</v>
      </c>
      <c r="H19" s="1305">
        <v>1179</v>
      </c>
      <c r="I19" s="1306">
        <v>1133</v>
      </c>
      <c r="J19" s="1306">
        <v>42</v>
      </c>
      <c r="K19" s="1307">
        <v>4</v>
      </c>
      <c r="L19" s="1327">
        <f t="shared" si="0"/>
        <v>20.356234096692113</v>
      </c>
      <c r="M19" s="1328">
        <f t="shared" si="2"/>
        <v>21.18270079435128</v>
      </c>
      <c r="N19" s="1328">
        <f t="shared" si="3"/>
        <v>0</v>
      </c>
      <c r="O19" s="1329">
        <f t="shared" si="4"/>
        <v>0</v>
      </c>
    </row>
    <row r="20" spans="1:15" x14ac:dyDescent="0.2">
      <c r="A20" s="1299" t="s">
        <v>40</v>
      </c>
      <c r="B20" s="1299" t="s">
        <v>41</v>
      </c>
      <c r="C20" s="1299" t="s">
        <v>266</v>
      </c>
      <c r="D20" s="1305">
        <v>5</v>
      </c>
      <c r="E20" s="1306">
        <v>4</v>
      </c>
      <c r="F20" s="1306">
        <v>1</v>
      </c>
      <c r="G20" s="1307">
        <v>0</v>
      </c>
      <c r="H20" s="1305">
        <v>805</v>
      </c>
      <c r="I20" s="1306">
        <v>516</v>
      </c>
      <c r="J20" s="1306">
        <v>283</v>
      </c>
      <c r="K20" s="1307">
        <v>6</v>
      </c>
      <c r="L20" s="1327">
        <f t="shared" si="0"/>
        <v>6.2111801242236018</v>
      </c>
      <c r="M20" s="1328">
        <f t="shared" si="2"/>
        <v>7.7519379844961236</v>
      </c>
      <c r="N20" s="1328">
        <f t="shared" si="3"/>
        <v>3.5335689045936394</v>
      </c>
      <c r="O20" s="1329">
        <f t="shared" si="4"/>
        <v>0</v>
      </c>
    </row>
    <row r="21" spans="1:15" x14ac:dyDescent="0.2">
      <c r="A21" s="1299" t="s">
        <v>42</v>
      </c>
      <c r="B21" s="1299" t="s">
        <v>43</v>
      </c>
      <c r="C21" s="1299" t="s">
        <v>265</v>
      </c>
      <c r="D21" s="1305">
        <v>36</v>
      </c>
      <c r="E21" s="1306">
        <v>26</v>
      </c>
      <c r="F21" s="1306">
        <v>9</v>
      </c>
      <c r="G21" s="1307">
        <v>1</v>
      </c>
      <c r="H21" s="1305">
        <v>3349</v>
      </c>
      <c r="I21" s="1306">
        <v>2689</v>
      </c>
      <c r="J21" s="1306">
        <v>566</v>
      </c>
      <c r="K21" s="1307">
        <v>94</v>
      </c>
      <c r="L21" s="1327">
        <f t="shared" si="0"/>
        <v>10.749477455957003</v>
      </c>
      <c r="M21" s="1328">
        <f t="shared" si="2"/>
        <v>9.6690219412420984</v>
      </c>
      <c r="N21" s="1328">
        <f t="shared" si="3"/>
        <v>15.901060070671377</v>
      </c>
      <c r="O21" s="1329">
        <f t="shared" si="4"/>
        <v>10.638297872340425</v>
      </c>
    </row>
    <row r="22" spans="1:15" x14ac:dyDescent="0.2">
      <c r="A22" s="1299" t="s">
        <v>44</v>
      </c>
      <c r="B22" s="1299" t="s">
        <v>45</v>
      </c>
      <c r="C22" s="1299" t="s">
        <v>266</v>
      </c>
      <c r="D22" s="1305">
        <v>28</v>
      </c>
      <c r="E22" s="1306">
        <v>21</v>
      </c>
      <c r="F22" s="1306">
        <v>5</v>
      </c>
      <c r="G22" s="1307">
        <v>2</v>
      </c>
      <c r="H22" s="1305">
        <v>1723</v>
      </c>
      <c r="I22" s="1306">
        <v>1119</v>
      </c>
      <c r="J22" s="1306">
        <v>571</v>
      </c>
      <c r="K22" s="1307">
        <v>33</v>
      </c>
      <c r="L22" s="1327">
        <f t="shared" si="0"/>
        <v>16.250725478816019</v>
      </c>
      <c r="M22" s="1328">
        <f t="shared" si="2"/>
        <v>18.766756032171582</v>
      </c>
      <c r="N22" s="1328">
        <f t="shared" si="3"/>
        <v>8.7565674255691768</v>
      </c>
      <c r="O22" s="1329">
        <f t="shared" si="4"/>
        <v>60.606060606060609</v>
      </c>
    </row>
    <row r="23" spans="1:15" x14ac:dyDescent="0.2">
      <c r="A23" s="1299" t="s">
        <v>46</v>
      </c>
      <c r="B23" s="1299" t="s">
        <v>47</v>
      </c>
      <c r="C23" s="1299" t="s">
        <v>268</v>
      </c>
      <c r="D23" s="1305">
        <v>32</v>
      </c>
      <c r="E23" s="1306">
        <v>29</v>
      </c>
      <c r="F23" s="1306">
        <v>0</v>
      </c>
      <c r="G23" s="1307">
        <v>3</v>
      </c>
      <c r="H23" s="1305">
        <v>1651</v>
      </c>
      <c r="I23" s="1306">
        <v>1613</v>
      </c>
      <c r="J23" s="1306">
        <v>26</v>
      </c>
      <c r="K23" s="1307">
        <v>12</v>
      </c>
      <c r="L23" s="1327">
        <f t="shared" si="0"/>
        <v>19.382192610539068</v>
      </c>
      <c r="M23" s="1328">
        <f t="shared" si="2"/>
        <v>17.978921264724114</v>
      </c>
      <c r="N23" s="1328">
        <f t="shared" si="3"/>
        <v>0</v>
      </c>
      <c r="O23" s="1329">
        <f t="shared" si="4"/>
        <v>250</v>
      </c>
    </row>
    <row r="24" spans="1:15" x14ac:dyDescent="0.2">
      <c r="A24" s="1299" t="s">
        <v>48</v>
      </c>
      <c r="B24" s="1299" t="s">
        <v>269</v>
      </c>
      <c r="C24" s="1299" t="s">
        <v>266</v>
      </c>
      <c r="D24" s="1305">
        <v>2</v>
      </c>
      <c r="E24" s="1306">
        <v>1</v>
      </c>
      <c r="F24" s="1306">
        <v>0</v>
      </c>
      <c r="G24" s="1307">
        <v>1</v>
      </c>
      <c r="H24" s="1305">
        <v>323</v>
      </c>
      <c r="I24" s="1306">
        <v>116</v>
      </c>
      <c r="J24" s="1306">
        <v>165</v>
      </c>
      <c r="K24" s="1307">
        <v>42</v>
      </c>
      <c r="L24" s="1327">
        <f t="shared" si="0"/>
        <v>6.1919504643962853</v>
      </c>
      <c r="M24" s="1328">
        <f t="shared" si="2"/>
        <v>8.6206896551724128</v>
      </c>
      <c r="N24" s="1328">
        <f t="shared" si="3"/>
        <v>0</v>
      </c>
      <c r="O24" s="1329">
        <f t="shared" si="4"/>
        <v>23.809523809523807</v>
      </c>
    </row>
    <row r="25" spans="1:15" x14ac:dyDescent="0.2">
      <c r="A25" s="1299" t="s">
        <v>50</v>
      </c>
      <c r="B25" s="1299" t="s">
        <v>51</v>
      </c>
      <c r="C25" s="1299" t="s">
        <v>265</v>
      </c>
      <c r="D25" s="1305">
        <v>15</v>
      </c>
      <c r="E25" s="1306">
        <v>12</v>
      </c>
      <c r="F25" s="1306">
        <v>3</v>
      </c>
      <c r="G25" s="1307">
        <v>0</v>
      </c>
      <c r="H25" s="1305">
        <v>756</v>
      </c>
      <c r="I25" s="1306">
        <v>472</v>
      </c>
      <c r="J25" s="1306">
        <v>278</v>
      </c>
      <c r="K25" s="1307">
        <v>6</v>
      </c>
      <c r="L25" s="1327">
        <f t="shared" si="0"/>
        <v>19.841269841269842</v>
      </c>
      <c r="M25" s="1328">
        <f t="shared" si="2"/>
        <v>25.423728813559325</v>
      </c>
      <c r="N25" s="1328">
        <f t="shared" si="3"/>
        <v>10.791366906474821</v>
      </c>
      <c r="O25" s="1329">
        <f t="shared" si="4"/>
        <v>0</v>
      </c>
    </row>
    <row r="26" spans="1:15" x14ac:dyDescent="0.2">
      <c r="A26" s="1299" t="s">
        <v>56</v>
      </c>
      <c r="B26" s="1299" t="s">
        <v>295</v>
      </c>
      <c r="C26" s="1299" t="s">
        <v>266</v>
      </c>
      <c r="D26" s="1305">
        <v>179</v>
      </c>
      <c r="E26" s="1306">
        <v>95</v>
      </c>
      <c r="F26" s="1306">
        <v>60</v>
      </c>
      <c r="G26" s="1307">
        <v>24</v>
      </c>
      <c r="H26" s="1305">
        <v>25329</v>
      </c>
      <c r="I26" s="1306">
        <v>16307</v>
      </c>
      <c r="J26" s="1306">
        <v>7929</v>
      </c>
      <c r="K26" s="1307">
        <v>1093</v>
      </c>
      <c r="L26" s="1327">
        <f t="shared" si="0"/>
        <v>7.0669983023411902</v>
      </c>
      <c r="M26" s="1328">
        <f t="shared" si="2"/>
        <v>5.8257190163733368</v>
      </c>
      <c r="N26" s="1328">
        <f t="shared" si="3"/>
        <v>7.5671585319712449</v>
      </c>
      <c r="O26" s="1329">
        <f t="shared" si="4"/>
        <v>21.957913998170174</v>
      </c>
    </row>
    <row r="27" spans="1:15" x14ac:dyDescent="0.2">
      <c r="A27" s="1299" t="s">
        <v>58</v>
      </c>
      <c r="B27" s="1299" t="s">
        <v>59</v>
      </c>
      <c r="C27" s="1299" t="s">
        <v>267</v>
      </c>
      <c r="D27" s="1305">
        <v>7</v>
      </c>
      <c r="E27" s="1306">
        <v>6</v>
      </c>
      <c r="F27" s="1306">
        <v>0</v>
      </c>
      <c r="G27" s="1307">
        <v>1</v>
      </c>
      <c r="H27" s="1305">
        <v>912</v>
      </c>
      <c r="I27" s="1306">
        <v>850</v>
      </c>
      <c r="J27" s="1306">
        <v>43</v>
      </c>
      <c r="K27" s="1307">
        <v>19</v>
      </c>
      <c r="L27" s="1327">
        <f t="shared" si="0"/>
        <v>7.6754385964912277</v>
      </c>
      <c r="M27" s="1328">
        <f t="shared" si="2"/>
        <v>7.0588235294117654</v>
      </c>
      <c r="N27" s="1328">
        <f t="shared" si="3"/>
        <v>0</v>
      </c>
      <c r="O27" s="1329">
        <f t="shared" si="4"/>
        <v>52.631578947368418</v>
      </c>
    </row>
    <row r="28" spans="1:15" x14ac:dyDescent="0.2">
      <c r="A28" s="1299" t="s">
        <v>60</v>
      </c>
      <c r="B28" s="1299" t="s">
        <v>61</v>
      </c>
      <c r="C28" s="1299" t="s">
        <v>265</v>
      </c>
      <c r="D28" s="1305">
        <v>10</v>
      </c>
      <c r="E28" s="1306">
        <v>10</v>
      </c>
      <c r="F28" s="1306">
        <v>0</v>
      </c>
      <c r="G28" s="1307">
        <v>0</v>
      </c>
      <c r="H28" s="1305">
        <v>319</v>
      </c>
      <c r="I28" s="1306">
        <v>316</v>
      </c>
      <c r="J28" s="1306">
        <v>2</v>
      </c>
      <c r="K28" s="1307">
        <v>1</v>
      </c>
      <c r="L28" s="1327">
        <f t="shared" si="0"/>
        <v>31.347962382445139</v>
      </c>
      <c r="M28" s="1328">
        <f t="shared" si="2"/>
        <v>31.645569620253166</v>
      </c>
      <c r="N28" s="1328">
        <f t="shared" si="3"/>
        <v>0</v>
      </c>
      <c r="O28" s="1329">
        <f t="shared" si="4"/>
        <v>0</v>
      </c>
    </row>
    <row r="29" spans="1:15" x14ac:dyDescent="0.2">
      <c r="A29" s="1299" t="s">
        <v>62</v>
      </c>
      <c r="B29" s="1299" t="s">
        <v>63</v>
      </c>
      <c r="C29" s="1299" t="s">
        <v>267</v>
      </c>
      <c r="D29" s="1305">
        <v>33</v>
      </c>
      <c r="E29" s="1306">
        <v>22</v>
      </c>
      <c r="F29" s="1306">
        <v>10</v>
      </c>
      <c r="G29" s="1307">
        <v>1</v>
      </c>
      <c r="H29" s="1305">
        <v>3240</v>
      </c>
      <c r="I29" s="1306">
        <v>2565</v>
      </c>
      <c r="J29" s="1306">
        <v>578</v>
      </c>
      <c r="K29" s="1307">
        <v>97</v>
      </c>
      <c r="L29" s="1327">
        <f t="shared" si="0"/>
        <v>10.185185185185187</v>
      </c>
      <c r="M29" s="1328">
        <f t="shared" si="2"/>
        <v>8.5769980506822616</v>
      </c>
      <c r="N29" s="1328">
        <f t="shared" si="3"/>
        <v>17.301038062283737</v>
      </c>
      <c r="O29" s="1329">
        <f t="shared" si="4"/>
        <v>10.309278350515465</v>
      </c>
    </row>
    <row r="30" spans="1:15" x14ac:dyDescent="0.2">
      <c r="A30" s="1299" t="s">
        <v>64</v>
      </c>
      <c r="B30" s="1299" t="s">
        <v>65</v>
      </c>
      <c r="C30" s="1299" t="s">
        <v>266</v>
      </c>
      <c r="D30" s="1305">
        <v>3</v>
      </c>
      <c r="E30" s="1306">
        <v>3</v>
      </c>
      <c r="F30" s="1306">
        <v>0</v>
      </c>
      <c r="G30" s="1307">
        <v>0</v>
      </c>
      <c r="H30" s="1305">
        <v>590</v>
      </c>
      <c r="I30" s="1306">
        <v>367</v>
      </c>
      <c r="J30" s="1306">
        <v>214</v>
      </c>
      <c r="K30" s="1307">
        <v>9</v>
      </c>
      <c r="L30" s="1327">
        <f t="shared" si="0"/>
        <v>5.0847457627118642</v>
      </c>
      <c r="M30" s="1328">
        <f t="shared" si="2"/>
        <v>8.1743869209809255</v>
      </c>
      <c r="N30" s="1328">
        <f t="shared" si="3"/>
        <v>0</v>
      </c>
      <c r="O30" s="1329">
        <f t="shared" si="4"/>
        <v>0</v>
      </c>
    </row>
    <row r="31" spans="1:15" x14ac:dyDescent="0.2">
      <c r="A31" s="1299" t="s">
        <v>68</v>
      </c>
      <c r="B31" s="1299" t="s">
        <v>69</v>
      </c>
      <c r="C31" s="1299" t="s">
        <v>268</v>
      </c>
      <c r="D31" s="1305">
        <v>20</v>
      </c>
      <c r="E31" s="1306">
        <v>20</v>
      </c>
      <c r="F31" s="1306">
        <v>0</v>
      </c>
      <c r="G31" s="1307">
        <v>0</v>
      </c>
      <c r="H31" s="1305">
        <v>864</v>
      </c>
      <c r="I31" s="1306">
        <v>857</v>
      </c>
      <c r="J31" s="1306">
        <v>4</v>
      </c>
      <c r="K31" s="1307">
        <v>3</v>
      </c>
      <c r="L31" s="1327">
        <f t="shared" si="0"/>
        <v>23.148148148148145</v>
      </c>
      <c r="M31" s="1328">
        <f t="shared" si="2"/>
        <v>23.337222870478413</v>
      </c>
      <c r="N31" s="1328">
        <f t="shared" si="3"/>
        <v>0</v>
      </c>
      <c r="O31" s="1329">
        <f t="shared" si="4"/>
        <v>0</v>
      </c>
    </row>
    <row r="32" spans="1:15" x14ac:dyDescent="0.2">
      <c r="A32" s="1299" t="s">
        <v>70</v>
      </c>
      <c r="B32" s="1299" t="s">
        <v>71</v>
      </c>
      <c r="C32" s="1299" t="s">
        <v>264</v>
      </c>
      <c r="D32" s="1305">
        <v>16</v>
      </c>
      <c r="E32" s="1306">
        <v>10</v>
      </c>
      <c r="F32" s="1306">
        <v>6</v>
      </c>
      <c r="G32" s="1307">
        <v>0</v>
      </c>
      <c r="H32" s="1305">
        <v>1741</v>
      </c>
      <c r="I32" s="1306">
        <v>1035</v>
      </c>
      <c r="J32" s="1306">
        <v>684</v>
      </c>
      <c r="K32" s="1307">
        <v>22</v>
      </c>
      <c r="L32" s="1327">
        <f t="shared" si="0"/>
        <v>9.1901206203331416</v>
      </c>
      <c r="M32" s="1328">
        <f t="shared" si="2"/>
        <v>9.6618357487922708</v>
      </c>
      <c r="N32" s="1328">
        <f t="shared" si="3"/>
        <v>8.7719298245614024</v>
      </c>
      <c r="O32" s="1329">
        <f t="shared" si="4"/>
        <v>0</v>
      </c>
    </row>
    <row r="33" spans="1:15" x14ac:dyDescent="0.2">
      <c r="A33" s="1299" t="s">
        <v>72</v>
      </c>
      <c r="B33" s="1299" t="s">
        <v>73</v>
      </c>
      <c r="C33" s="1299" t="s">
        <v>266</v>
      </c>
      <c r="D33" s="1305">
        <v>6</v>
      </c>
      <c r="E33" s="1306">
        <v>2</v>
      </c>
      <c r="F33" s="1306">
        <v>4</v>
      </c>
      <c r="G33" s="1307">
        <v>0</v>
      </c>
      <c r="H33" s="1305">
        <v>696</v>
      </c>
      <c r="I33" s="1306">
        <v>359</v>
      </c>
      <c r="J33" s="1306">
        <v>299</v>
      </c>
      <c r="K33" s="1307">
        <v>38</v>
      </c>
      <c r="L33" s="1327">
        <f t="shared" si="0"/>
        <v>8.6206896551724128</v>
      </c>
      <c r="M33" s="1328">
        <f t="shared" si="2"/>
        <v>5.5710306406685239</v>
      </c>
      <c r="N33" s="1328">
        <f t="shared" si="3"/>
        <v>13.377926421404682</v>
      </c>
      <c r="O33" s="1329">
        <f t="shared" si="4"/>
        <v>0</v>
      </c>
    </row>
    <row r="34" spans="1:15" x14ac:dyDescent="0.2">
      <c r="A34" s="1299" t="s">
        <v>74</v>
      </c>
      <c r="B34" s="1299" t="s">
        <v>296</v>
      </c>
      <c r="C34" s="1299" t="s">
        <v>267</v>
      </c>
      <c r="D34" s="1305">
        <v>314</v>
      </c>
      <c r="E34" s="1306">
        <v>109</v>
      </c>
      <c r="F34" s="1306">
        <v>40</v>
      </c>
      <c r="G34" s="1307">
        <v>165</v>
      </c>
      <c r="H34" s="1305">
        <v>73224</v>
      </c>
      <c r="I34" s="1306">
        <v>49472</v>
      </c>
      <c r="J34" s="1306">
        <v>8791</v>
      </c>
      <c r="K34" s="1307">
        <v>14961</v>
      </c>
      <c r="L34" s="1327">
        <f t="shared" si="0"/>
        <v>4.2882115153501585</v>
      </c>
      <c r="M34" s="1328">
        <f t="shared" si="2"/>
        <v>2.2032664941785249</v>
      </c>
      <c r="N34" s="1328">
        <f t="shared" si="3"/>
        <v>4.5501080650665457</v>
      </c>
      <c r="O34" s="1329">
        <f t="shared" si="4"/>
        <v>11.028674553839984</v>
      </c>
    </row>
    <row r="35" spans="1:15" x14ac:dyDescent="0.2">
      <c r="A35" s="1299" t="s">
        <v>76</v>
      </c>
      <c r="B35" s="1299" t="s">
        <v>77</v>
      </c>
      <c r="C35" s="1299" t="s">
        <v>267</v>
      </c>
      <c r="D35" s="1305">
        <v>26</v>
      </c>
      <c r="E35" s="1306">
        <v>19</v>
      </c>
      <c r="F35" s="1306">
        <v>5</v>
      </c>
      <c r="G35" s="1307">
        <v>2</v>
      </c>
      <c r="H35" s="1305">
        <v>4699</v>
      </c>
      <c r="I35" s="1306">
        <v>4148</v>
      </c>
      <c r="J35" s="1306">
        <v>438</v>
      </c>
      <c r="K35" s="1307">
        <v>113</v>
      </c>
      <c r="L35" s="1327">
        <f t="shared" si="0"/>
        <v>5.5330921472653758</v>
      </c>
      <c r="M35" s="1328">
        <f t="shared" si="2"/>
        <v>4.5805207328833175</v>
      </c>
      <c r="N35" s="1328">
        <f t="shared" si="3"/>
        <v>11.415525114155251</v>
      </c>
      <c r="O35" s="1329">
        <f t="shared" si="4"/>
        <v>17.699115044247787</v>
      </c>
    </row>
    <row r="36" spans="1:15" x14ac:dyDescent="0.2">
      <c r="A36" s="1299" t="s">
        <v>78</v>
      </c>
      <c r="B36" s="1299" t="s">
        <v>79</v>
      </c>
      <c r="C36" s="1299" t="s">
        <v>268</v>
      </c>
      <c r="D36" s="1305">
        <v>12</v>
      </c>
      <c r="E36" s="1306">
        <v>12</v>
      </c>
      <c r="F36" s="1306">
        <v>0</v>
      </c>
      <c r="G36" s="1307">
        <v>0</v>
      </c>
      <c r="H36" s="1305">
        <v>892</v>
      </c>
      <c r="I36" s="1306">
        <v>865</v>
      </c>
      <c r="J36" s="1306">
        <v>22</v>
      </c>
      <c r="K36" s="1307">
        <v>5</v>
      </c>
      <c r="L36" s="1327">
        <f t="shared" si="0"/>
        <v>13.45291479820628</v>
      </c>
      <c r="M36" s="1328">
        <f t="shared" si="2"/>
        <v>13.872832369942197</v>
      </c>
      <c r="N36" s="1328">
        <f t="shared" si="3"/>
        <v>0</v>
      </c>
      <c r="O36" s="1329">
        <f t="shared" si="4"/>
        <v>0</v>
      </c>
    </row>
    <row r="37" spans="1:15" x14ac:dyDescent="0.2">
      <c r="A37" s="1299" t="s">
        <v>80</v>
      </c>
      <c r="B37" s="1299" t="s">
        <v>81</v>
      </c>
      <c r="C37" s="1299" t="s">
        <v>266</v>
      </c>
      <c r="D37" s="1305">
        <v>12</v>
      </c>
      <c r="E37" s="1306">
        <v>6</v>
      </c>
      <c r="F37" s="1306">
        <v>4</v>
      </c>
      <c r="G37" s="1307">
        <v>2</v>
      </c>
      <c r="H37" s="1305">
        <v>1626</v>
      </c>
      <c r="I37" s="1306">
        <v>1319</v>
      </c>
      <c r="J37" s="1306">
        <v>285</v>
      </c>
      <c r="K37" s="1307">
        <v>22</v>
      </c>
      <c r="L37" s="1327">
        <f t="shared" ref="L37:L68" si="5">IF(H37=0,"NA",(D37/H37)*1000)</f>
        <v>7.3800738007380069</v>
      </c>
      <c r="M37" s="1328">
        <f t="shared" si="2"/>
        <v>4.5489006823351019</v>
      </c>
      <c r="N37" s="1328">
        <f t="shared" si="3"/>
        <v>14.035087719298247</v>
      </c>
      <c r="O37" s="1329">
        <f t="shared" si="4"/>
        <v>90.909090909090907</v>
      </c>
    </row>
    <row r="38" spans="1:15" x14ac:dyDescent="0.2">
      <c r="A38" s="1299" t="s">
        <v>84</v>
      </c>
      <c r="B38" s="1299" t="s">
        <v>85</v>
      </c>
      <c r="C38" s="1299" t="s">
        <v>265</v>
      </c>
      <c r="D38" s="1305">
        <v>38</v>
      </c>
      <c r="E38" s="1306">
        <v>35</v>
      </c>
      <c r="F38" s="1306">
        <v>3</v>
      </c>
      <c r="G38" s="1307">
        <v>0</v>
      </c>
      <c r="H38" s="1305">
        <v>3416</v>
      </c>
      <c r="I38" s="1306">
        <v>2972</v>
      </c>
      <c r="J38" s="1306">
        <v>395</v>
      </c>
      <c r="K38" s="1307">
        <v>49</v>
      </c>
      <c r="L38" s="1327">
        <f t="shared" si="5"/>
        <v>11.124121779859484</v>
      </c>
      <c r="M38" s="1328">
        <f t="shared" ref="M38:M69" si="6">IF(I38=0,"NA",(E38/I38)*1000)</f>
        <v>11.776581426648722</v>
      </c>
      <c r="N38" s="1328">
        <f t="shared" ref="N38:N69" si="7">IF(J38=0,"NA",(F38/J38)*1000)</f>
        <v>7.5949367088607591</v>
      </c>
      <c r="O38" s="1329">
        <f t="shared" ref="O38:O69" si="8">IF(K38=0,"NA",(G38/K38)*1000)</f>
        <v>0</v>
      </c>
    </row>
    <row r="39" spans="1:15" x14ac:dyDescent="0.2">
      <c r="A39" s="1299" t="s">
        <v>86</v>
      </c>
      <c r="B39" s="1299" t="s">
        <v>87</v>
      </c>
      <c r="C39" s="1299" t="s">
        <v>267</v>
      </c>
      <c r="D39" s="1305">
        <v>47</v>
      </c>
      <c r="E39" s="1306">
        <v>40</v>
      </c>
      <c r="F39" s="1306">
        <v>3</v>
      </c>
      <c r="G39" s="1307">
        <v>4</v>
      </c>
      <c r="H39" s="1305">
        <v>5392</v>
      </c>
      <c r="I39" s="1306">
        <v>4899</v>
      </c>
      <c r="J39" s="1306">
        <v>369</v>
      </c>
      <c r="K39" s="1307">
        <v>124</v>
      </c>
      <c r="L39" s="1327">
        <f t="shared" si="5"/>
        <v>8.7166172106824931</v>
      </c>
      <c r="M39" s="1328">
        <f t="shared" si="6"/>
        <v>8.1649316186976932</v>
      </c>
      <c r="N39" s="1328">
        <f t="shared" si="7"/>
        <v>8.1300813008130088</v>
      </c>
      <c r="O39" s="1329">
        <f t="shared" si="8"/>
        <v>32.258064516129032</v>
      </c>
    </row>
    <row r="40" spans="1:15" x14ac:dyDescent="0.2">
      <c r="A40" s="1299" t="s">
        <v>92</v>
      </c>
      <c r="B40" s="1299" t="s">
        <v>93</v>
      </c>
      <c r="C40" s="1299" t="s">
        <v>268</v>
      </c>
      <c r="D40" s="1305">
        <v>8</v>
      </c>
      <c r="E40" s="1306">
        <v>8</v>
      </c>
      <c r="F40" s="1306">
        <v>0</v>
      </c>
      <c r="G40" s="1307">
        <v>0</v>
      </c>
      <c r="H40" s="1305">
        <v>1021</v>
      </c>
      <c r="I40" s="1306">
        <v>983</v>
      </c>
      <c r="J40" s="1306">
        <v>33</v>
      </c>
      <c r="K40" s="1307">
        <v>5</v>
      </c>
      <c r="L40" s="1327">
        <f t="shared" si="5"/>
        <v>7.8354554358472086</v>
      </c>
      <c r="M40" s="1328">
        <f t="shared" si="6"/>
        <v>8.1383519837232949</v>
      </c>
      <c r="N40" s="1328">
        <f t="shared" si="7"/>
        <v>0</v>
      </c>
      <c r="O40" s="1329">
        <f t="shared" si="8"/>
        <v>0</v>
      </c>
    </row>
    <row r="41" spans="1:15" x14ac:dyDescent="0.2">
      <c r="A41" s="1299" t="s">
        <v>94</v>
      </c>
      <c r="B41" s="1299" t="s">
        <v>95</v>
      </c>
      <c r="C41" s="1299" t="s">
        <v>264</v>
      </c>
      <c r="D41" s="1305">
        <v>21</v>
      </c>
      <c r="E41" s="1306">
        <v>20</v>
      </c>
      <c r="F41" s="1306">
        <v>0</v>
      </c>
      <c r="G41" s="1307">
        <v>1</v>
      </c>
      <c r="H41" s="1305">
        <v>2127</v>
      </c>
      <c r="I41" s="1306">
        <v>1882</v>
      </c>
      <c r="J41" s="1306">
        <v>200</v>
      </c>
      <c r="K41" s="1307">
        <v>45</v>
      </c>
      <c r="L41" s="1327">
        <f t="shared" si="5"/>
        <v>9.873060648801129</v>
      </c>
      <c r="M41" s="1328">
        <f t="shared" si="6"/>
        <v>10.626992561105208</v>
      </c>
      <c r="N41" s="1328">
        <f t="shared" si="7"/>
        <v>0</v>
      </c>
      <c r="O41" s="1329">
        <f t="shared" si="8"/>
        <v>22.222222222222221</v>
      </c>
    </row>
    <row r="42" spans="1:15" x14ac:dyDescent="0.2">
      <c r="A42" s="1299" t="s">
        <v>96</v>
      </c>
      <c r="B42" s="1299" t="s">
        <v>97</v>
      </c>
      <c r="C42" s="1299" t="s">
        <v>266</v>
      </c>
      <c r="D42" s="1305">
        <v>7</v>
      </c>
      <c r="E42" s="1306">
        <v>5</v>
      </c>
      <c r="F42" s="1306">
        <v>2</v>
      </c>
      <c r="G42" s="1307">
        <v>0</v>
      </c>
      <c r="H42" s="1305">
        <v>1271</v>
      </c>
      <c r="I42" s="1306">
        <v>1036</v>
      </c>
      <c r="J42" s="1306">
        <v>220</v>
      </c>
      <c r="K42" s="1307">
        <v>15</v>
      </c>
      <c r="L42" s="1327">
        <f t="shared" si="5"/>
        <v>5.5074744295830058</v>
      </c>
      <c r="M42" s="1328">
        <f t="shared" si="6"/>
        <v>4.8262548262548259</v>
      </c>
      <c r="N42" s="1328">
        <f t="shared" si="7"/>
        <v>9.0909090909090899</v>
      </c>
      <c r="O42" s="1329">
        <f t="shared" si="8"/>
        <v>0</v>
      </c>
    </row>
    <row r="43" spans="1:15" x14ac:dyDescent="0.2">
      <c r="A43" s="1299" t="s">
        <v>98</v>
      </c>
      <c r="B43" s="1299" t="s">
        <v>99</v>
      </c>
      <c r="C43" s="1299" t="s">
        <v>268</v>
      </c>
      <c r="D43" s="1305">
        <v>20</v>
      </c>
      <c r="E43" s="1306">
        <v>20</v>
      </c>
      <c r="F43" s="1306">
        <v>0</v>
      </c>
      <c r="G43" s="1307">
        <v>0</v>
      </c>
      <c r="H43" s="1305">
        <v>821</v>
      </c>
      <c r="I43" s="1306">
        <v>794</v>
      </c>
      <c r="J43" s="1306">
        <v>22</v>
      </c>
      <c r="K43" s="1307">
        <v>5</v>
      </c>
      <c r="L43" s="1327">
        <f t="shared" si="5"/>
        <v>24.360535931790498</v>
      </c>
      <c r="M43" s="1328">
        <f t="shared" si="6"/>
        <v>25.188916876574307</v>
      </c>
      <c r="N43" s="1328">
        <f t="shared" si="7"/>
        <v>0</v>
      </c>
      <c r="O43" s="1329">
        <f t="shared" si="8"/>
        <v>0</v>
      </c>
    </row>
    <row r="44" spans="1:15" x14ac:dyDescent="0.2">
      <c r="A44" s="1299" t="s">
        <v>100</v>
      </c>
      <c r="B44" s="1299" t="s">
        <v>101</v>
      </c>
      <c r="C44" s="1299" t="s">
        <v>267</v>
      </c>
      <c r="D44" s="1305">
        <v>10</v>
      </c>
      <c r="E44" s="1306">
        <v>10</v>
      </c>
      <c r="F44" s="1306">
        <v>0</v>
      </c>
      <c r="G44" s="1307">
        <v>0</v>
      </c>
      <c r="H44" s="1305">
        <v>1078</v>
      </c>
      <c r="I44" s="1306">
        <v>952</v>
      </c>
      <c r="J44" s="1306">
        <v>94</v>
      </c>
      <c r="K44" s="1307">
        <v>32</v>
      </c>
      <c r="L44" s="1327">
        <f t="shared" si="5"/>
        <v>9.2764378478664202</v>
      </c>
      <c r="M44" s="1328">
        <f t="shared" si="6"/>
        <v>10.504201680672269</v>
      </c>
      <c r="N44" s="1328">
        <f t="shared" si="7"/>
        <v>0</v>
      </c>
      <c r="O44" s="1329">
        <f t="shared" si="8"/>
        <v>0</v>
      </c>
    </row>
    <row r="45" spans="1:15" x14ac:dyDescent="0.2">
      <c r="A45" s="1299" t="s">
        <v>102</v>
      </c>
      <c r="B45" s="1299" t="s">
        <v>282</v>
      </c>
      <c r="C45" s="1299" t="s">
        <v>264</v>
      </c>
      <c r="D45" s="1305">
        <v>25</v>
      </c>
      <c r="E45" s="1306">
        <v>7</v>
      </c>
      <c r="F45" s="1306">
        <v>17</v>
      </c>
      <c r="G45" s="1307">
        <v>1</v>
      </c>
      <c r="H45" s="1305">
        <v>919</v>
      </c>
      <c r="I45" s="1306">
        <v>261</v>
      </c>
      <c r="J45" s="1306">
        <v>646</v>
      </c>
      <c r="K45" s="1307">
        <v>12</v>
      </c>
      <c r="L45" s="1327">
        <f t="shared" si="5"/>
        <v>27.20348204570185</v>
      </c>
      <c r="M45" s="1328">
        <f t="shared" si="6"/>
        <v>26.819923371647512</v>
      </c>
      <c r="N45" s="1328">
        <f t="shared" si="7"/>
        <v>26.315789473684209</v>
      </c>
      <c r="O45" s="1329">
        <f t="shared" si="8"/>
        <v>83.333333333333329</v>
      </c>
    </row>
    <row r="46" spans="1:15" x14ac:dyDescent="0.2">
      <c r="A46" s="1299" t="s">
        <v>104</v>
      </c>
      <c r="B46" s="1299" t="s">
        <v>105</v>
      </c>
      <c r="C46" s="1299" t="s">
        <v>265</v>
      </c>
      <c r="D46" s="1305">
        <v>52</v>
      </c>
      <c r="E46" s="1306">
        <v>28</v>
      </c>
      <c r="F46" s="1306">
        <v>24</v>
      </c>
      <c r="G46" s="1307">
        <v>0</v>
      </c>
      <c r="H46" s="1305">
        <v>2139</v>
      </c>
      <c r="I46" s="1306">
        <v>1222</v>
      </c>
      <c r="J46" s="1306">
        <v>910</v>
      </c>
      <c r="K46" s="1307">
        <v>7</v>
      </c>
      <c r="L46" s="1327">
        <f t="shared" si="5"/>
        <v>24.310425432445069</v>
      </c>
      <c r="M46" s="1328">
        <f t="shared" si="6"/>
        <v>22.913256955810148</v>
      </c>
      <c r="N46" s="1328">
        <f t="shared" si="7"/>
        <v>26.373626373626372</v>
      </c>
      <c r="O46" s="1329">
        <f t="shared" si="8"/>
        <v>0</v>
      </c>
    </row>
    <row r="47" spans="1:15" x14ac:dyDescent="0.2">
      <c r="A47" s="1299" t="s">
        <v>108</v>
      </c>
      <c r="B47" s="1299" t="s">
        <v>109</v>
      </c>
      <c r="C47" s="1299" t="s">
        <v>266</v>
      </c>
      <c r="D47" s="1305">
        <v>45</v>
      </c>
      <c r="E47" s="1306">
        <v>32</v>
      </c>
      <c r="F47" s="1306">
        <v>11</v>
      </c>
      <c r="G47" s="1307">
        <v>2</v>
      </c>
      <c r="H47" s="1305">
        <v>7330</v>
      </c>
      <c r="I47" s="1306">
        <v>6440</v>
      </c>
      <c r="J47" s="1306">
        <v>693</v>
      </c>
      <c r="K47" s="1307">
        <v>197</v>
      </c>
      <c r="L47" s="1327">
        <f t="shared" si="5"/>
        <v>6.1391541609822644</v>
      </c>
      <c r="M47" s="1328">
        <f t="shared" si="6"/>
        <v>4.9689440993788825</v>
      </c>
      <c r="N47" s="1328">
        <f t="shared" si="7"/>
        <v>15.873015873015872</v>
      </c>
      <c r="O47" s="1329">
        <f t="shared" si="8"/>
        <v>10.152284263959389</v>
      </c>
    </row>
    <row r="48" spans="1:15" x14ac:dyDescent="0.2">
      <c r="A48" s="1299" t="s">
        <v>110</v>
      </c>
      <c r="B48" s="1299" t="s">
        <v>111</v>
      </c>
      <c r="C48" s="1299" t="s">
        <v>266</v>
      </c>
      <c r="D48" s="1305">
        <v>156</v>
      </c>
      <c r="E48" s="1306">
        <v>57</v>
      </c>
      <c r="F48" s="1306">
        <v>86</v>
      </c>
      <c r="G48" s="1307">
        <v>13</v>
      </c>
      <c r="H48" s="1305">
        <v>19774</v>
      </c>
      <c r="I48" s="1306">
        <v>10811</v>
      </c>
      <c r="J48" s="1306">
        <v>7482</v>
      </c>
      <c r="K48" s="1307">
        <v>1481</v>
      </c>
      <c r="L48" s="1327">
        <f t="shared" si="5"/>
        <v>7.8891473652270667</v>
      </c>
      <c r="M48" s="1328">
        <f t="shared" si="6"/>
        <v>5.272407732864675</v>
      </c>
      <c r="N48" s="1328">
        <f t="shared" si="7"/>
        <v>11.494252873563218</v>
      </c>
      <c r="O48" s="1329">
        <f t="shared" si="8"/>
        <v>8.7778528021607016</v>
      </c>
    </row>
    <row r="49" spans="1:15" x14ac:dyDescent="0.2">
      <c r="A49" s="1299" t="s">
        <v>112</v>
      </c>
      <c r="B49" s="1299" t="s">
        <v>300</v>
      </c>
      <c r="C49" s="1299" t="s">
        <v>265</v>
      </c>
      <c r="D49" s="1305">
        <v>70</v>
      </c>
      <c r="E49" s="1306">
        <v>50</v>
      </c>
      <c r="F49" s="1306">
        <v>16</v>
      </c>
      <c r="G49" s="1307">
        <v>4</v>
      </c>
      <c r="H49" s="1305">
        <v>3706</v>
      </c>
      <c r="I49" s="1306">
        <v>2455</v>
      </c>
      <c r="J49" s="1306">
        <v>1199</v>
      </c>
      <c r="K49" s="1307">
        <v>52</v>
      </c>
      <c r="L49" s="1327">
        <f t="shared" si="5"/>
        <v>18.888289260658393</v>
      </c>
      <c r="M49" s="1328">
        <f t="shared" si="6"/>
        <v>20.366598778004075</v>
      </c>
      <c r="N49" s="1328">
        <f t="shared" si="7"/>
        <v>13.344453711426189</v>
      </c>
      <c r="O49" s="1329">
        <f t="shared" si="8"/>
        <v>76.923076923076934</v>
      </c>
    </row>
    <row r="50" spans="1:15" x14ac:dyDescent="0.2">
      <c r="A50" s="1299" t="s">
        <v>114</v>
      </c>
      <c r="B50" s="1299" t="s">
        <v>115</v>
      </c>
      <c r="C50" s="1299" t="s">
        <v>265</v>
      </c>
      <c r="D50" s="1305">
        <v>0</v>
      </c>
      <c r="E50" s="1306">
        <v>0</v>
      </c>
      <c r="F50" s="1306">
        <v>0</v>
      </c>
      <c r="G50" s="1307">
        <v>0</v>
      </c>
      <c r="H50" s="1305">
        <v>93</v>
      </c>
      <c r="I50" s="1306">
        <v>90</v>
      </c>
      <c r="J50" s="1306">
        <v>3</v>
      </c>
      <c r="K50" s="1307">
        <v>0</v>
      </c>
      <c r="L50" s="1327">
        <f t="shared" si="5"/>
        <v>0</v>
      </c>
      <c r="M50" s="1328">
        <f t="shared" si="6"/>
        <v>0</v>
      </c>
      <c r="N50" s="1328">
        <f t="shared" si="7"/>
        <v>0</v>
      </c>
      <c r="O50" s="1329" t="str">
        <f t="shared" si="8"/>
        <v>NA</v>
      </c>
    </row>
    <row r="51" spans="1:15" x14ac:dyDescent="0.2">
      <c r="A51" s="1299" t="s">
        <v>118</v>
      </c>
      <c r="B51" s="1299" t="s">
        <v>270</v>
      </c>
      <c r="C51" s="1299" t="s">
        <v>264</v>
      </c>
      <c r="D51" s="1305">
        <v>14</v>
      </c>
      <c r="E51" s="1306">
        <v>7</v>
      </c>
      <c r="F51" s="1306">
        <v>7</v>
      </c>
      <c r="G51" s="1307">
        <v>0</v>
      </c>
      <c r="H51" s="1305">
        <v>2194</v>
      </c>
      <c r="I51" s="1306">
        <v>1528</v>
      </c>
      <c r="J51" s="1306">
        <v>624</v>
      </c>
      <c r="K51" s="1307">
        <v>42</v>
      </c>
      <c r="L51" s="1327">
        <f t="shared" si="5"/>
        <v>6.381039197812215</v>
      </c>
      <c r="M51" s="1328">
        <f t="shared" si="6"/>
        <v>4.5811518324607325</v>
      </c>
      <c r="N51" s="1328">
        <f t="shared" si="7"/>
        <v>11.217948717948717</v>
      </c>
      <c r="O51" s="1329">
        <f t="shared" si="8"/>
        <v>0</v>
      </c>
    </row>
    <row r="52" spans="1:15" x14ac:dyDescent="0.2">
      <c r="A52" s="1299" t="s">
        <v>120</v>
      </c>
      <c r="B52" s="1299" t="s">
        <v>121</v>
      </c>
      <c r="C52" s="1299" t="s">
        <v>264</v>
      </c>
      <c r="D52" s="1305">
        <v>33</v>
      </c>
      <c r="E52" s="1306">
        <v>18</v>
      </c>
      <c r="F52" s="1306">
        <v>10</v>
      </c>
      <c r="G52" s="1307">
        <v>5</v>
      </c>
      <c r="H52" s="1305">
        <v>4220</v>
      </c>
      <c r="I52" s="1306">
        <v>3287</v>
      </c>
      <c r="J52" s="1306">
        <v>748</v>
      </c>
      <c r="K52" s="1307">
        <v>185</v>
      </c>
      <c r="L52" s="1327">
        <f t="shared" si="5"/>
        <v>7.8199052132701414</v>
      </c>
      <c r="M52" s="1328">
        <f t="shared" si="6"/>
        <v>5.4761180407666572</v>
      </c>
      <c r="N52" s="1328">
        <f t="shared" si="7"/>
        <v>13.368983957219251</v>
      </c>
      <c r="O52" s="1329">
        <f t="shared" si="8"/>
        <v>27.027027027027028</v>
      </c>
    </row>
    <row r="53" spans="1:15" x14ac:dyDescent="0.2">
      <c r="A53" s="1299" t="s">
        <v>122</v>
      </c>
      <c r="B53" s="1299" t="s">
        <v>287</v>
      </c>
      <c r="C53" s="1299" t="s">
        <v>266</v>
      </c>
      <c r="D53" s="1305">
        <v>7</v>
      </c>
      <c r="E53" s="1306">
        <v>5</v>
      </c>
      <c r="F53" s="1306">
        <v>2</v>
      </c>
      <c r="G53" s="1307">
        <v>0</v>
      </c>
      <c r="H53" s="1305">
        <v>386</v>
      </c>
      <c r="I53" s="1306">
        <v>274</v>
      </c>
      <c r="J53" s="1306">
        <v>101</v>
      </c>
      <c r="K53" s="1307">
        <v>11</v>
      </c>
      <c r="L53" s="1327">
        <f t="shared" si="5"/>
        <v>18.134715025906733</v>
      </c>
      <c r="M53" s="1328">
        <f t="shared" si="6"/>
        <v>18.248175182481749</v>
      </c>
      <c r="N53" s="1328">
        <f t="shared" si="7"/>
        <v>19.801980198019802</v>
      </c>
      <c r="O53" s="1329">
        <f t="shared" si="8"/>
        <v>0</v>
      </c>
    </row>
    <row r="54" spans="1:15" x14ac:dyDescent="0.2">
      <c r="A54" s="1299" t="s">
        <v>124</v>
      </c>
      <c r="B54" s="1299" t="s">
        <v>125</v>
      </c>
      <c r="C54" s="1299" t="s">
        <v>267</v>
      </c>
      <c r="D54" s="1305">
        <v>14</v>
      </c>
      <c r="E54" s="1306">
        <v>12</v>
      </c>
      <c r="F54" s="1306">
        <v>2</v>
      </c>
      <c r="G54" s="1307">
        <v>0</v>
      </c>
      <c r="H54" s="1305">
        <v>1716</v>
      </c>
      <c r="I54" s="1306">
        <v>1308</v>
      </c>
      <c r="J54" s="1306">
        <v>359</v>
      </c>
      <c r="K54" s="1307">
        <v>49</v>
      </c>
      <c r="L54" s="1327">
        <f t="shared" si="5"/>
        <v>8.1585081585081589</v>
      </c>
      <c r="M54" s="1328">
        <f t="shared" si="6"/>
        <v>9.1743119266055047</v>
      </c>
      <c r="N54" s="1328">
        <f t="shared" si="7"/>
        <v>5.5710306406685239</v>
      </c>
      <c r="O54" s="1329">
        <f t="shared" si="8"/>
        <v>0</v>
      </c>
    </row>
    <row r="55" spans="1:15" x14ac:dyDescent="0.2">
      <c r="A55" s="1299" t="s">
        <v>126</v>
      </c>
      <c r="B55" s="1299" t="s">
        <v>127</v>
      </c>
      <c r="C55" s="1299" t="s">
        <v>266</v>
      </c>
      <c r="D55" s="1305">
        <v>10</v>
      </c>
      <c r="E55" s="1306">
        <v>6</v>
      </c>
      <c r="F55" s="1306">
        <v>3</v>
      </c>
      <c r="G55" s="1307">
        <v>1</v>
      </c>
      <c r="H55" s="1305">
        <v>1020</v>
      </c>
      <c r="I55" s="1306">
        <v>781</v>
      </c>
      <c r="J55" s="1306">
        <v>202</v>
      </c>
      <c r="K55" s="1307">
        <v>37</v>
      </c>
      <c r="L55" s="1327">
        <f t="shared" si="5"/>
        <v>9.8039215686274517</v>
      </c>
      <c r="M55" s="1328">
        <f t="shared" si="6"/>
        <v>7.6824583866837388</v>
      </c>
      <c r="N55" s="1328">
        <f t="shared" si="7"/>
        <v>14.85148514851485</v>
      </c>
      <c r="O55" s="1329">
        <f t="shared" si="8"/>
        <v>27.027027027027028</v>
      </c>
    </row>
    <row r="56" spans="1:15" x14ac:dyDescent="0.2">
      <c r="A56" s="1299" t="s">
        <v>128</v>
      </c>
      <c r="B56" s="1299" t="s">
        <v>129</v>
      </c>
      <c r="C56" s="1299" t="s">
        <v>266</v>
      </c>
      <c r="D56" s="1305">
        <v>8</v>
      </c>
      <c r="E56" s="1306">
        <v>1</v>
      </c>
      <c r="F56" s="1306">
        <v>7</v>
      </c>
      <c r="G56" s="1307">
        <v>0</v>
      </c>
      <c r="H56" s="1305">
        <v>474</v>
      </c>
      <c r="I56" s="1306">
        <v>259</v>
      </c>
      <c r="J56" s="1306">
        <v>208</v>
      </c>
      <c r="K56" s="1307">
        <v>7</v>
      </c>
      <c r="L56" s="1327">
        <f t="shared" si="5"/>
        <v>16.877637130801688</v>
      </c>
      <c r="M56" s="1328">
        <f t="shared" si="6"/>
        <v>3.8610038610038613</v>
      </c>
      <c r="N56" s="1328">
        <f t="shared" si="7"/>
        <v>33.653846153846153</v>
      </c>
      <c r="O56" s="1329">
        <f t="shared" si="8"/>
        <v>0</v>
      </c>
    </row>
    <row r="57" spans="1:15" x14ac:dyDescent="0.2">
      <c r="A57" s="1299" t="s">
        <v>130</v>
      </c>
      <c r="B57" s="1299" t="s">
        <v>131</v>
      </c>
      <c r="C57" s="1299" t="s">
        <v>268</v>
      </c>
      <c r="D57" s="1305">
        <v>25</v>
      </c>
      <c r="E57" s="1306">
        <v>25</v>
      </c>
      <c r="F57" s="1306">
        <v>0</v>
      </c>
      <c r="G57" s="1307">
        <v>0</v>
      </c>
      <c r="H57" s="1305">
        <v>1280</v>
      </c>
      <c r="I57" s="1306">
        <v>1260</v>
      </c>
      <c r="J57" s="1306">
        <v>12</v>
      </c>
      <c r="K57" s="1307">
        <v>8</v>
      </c>
      <c r="L57" s="1327">
        <f t="shared" si="5"/>
        <v>19.53125</v>
      </c>
      <c r="M57" s="1328">
        <f t="shared" si="6"/>
        <v>19.841269841269842</v>
      </c>
      <c r="N57" s="1328">
        <f t="shared" si="7"/>
        <v>0</v>
      </c>
      <c r="O57" s="1329">
        <f t="shared" si="8"/>
        <v>0</v>
      </c>
    </row>
    <row r="58" spans="1:15" x14ac:dyDescent="0.2">
      <c r="A58" s="1299" t="s">
        <v>132</v>
      </c>
      <c r="B58" s="1299" t="s">
        <v>133</v>
      </c>
      <c r="C58" s="1299" t="s">
        <v>267</v>
      </c>
      <c r="D58" s="1305">
        <v>85</v>
      </c>
      <c r="E58" s="1306">
        <v>42</v>
      </c>
      <c r="F58" s="1306">
        <v>8</v>
      </c>
      <c r="G58" s="1307">
        <v>35</v>
      </c>
      <c r="H58" s="1305">
        <v>26063</v>
      </c>
      <c r="I58" s="1306">
        <v>19491</v>
      </c>
      <c r="J58" s="1306">
        <v>2288</v>
      </c>
      <c r="K58" s="1307">
        <v>4284</v>
      </c>
      <c r="L58" s="1327">
        <f t="shared" si="5"/>
        <v>3.2613283198403868</v>
      </c>
      <c r="M58" s="1328">
        <f t="shared" si="6"/>
        <v>2.1548406957057105</v>
      </c>
      <c r="N58" s="1328">
        <f t="shared" si="7"/>
        <v>3.4965034965034967</v>
      </c>
      <c r="O58" s="1329">
        <f t="shared" si="8"/>
        <v>8.169934640522877</v>
      </c>
    </row>
    <row r="59" spans="1:15" x14ac:dyDescent="0.2">
      <c r="A59" s="1299" t="s">
        <v>134</v>
      </c>
      <c r="B59" s="1299" t="s">
        <v>135</v>
      </c>
      <c r="C59" s="1299" t="s">
        <v>267</v>
      </c>
      <c r="D59" s="1305">
        <v>25</v>
      </c>
      <c r="E59" s="1306">
        <v>19</v>
      </c>
      <c r="F59" s="1306">
        <v>3</v>
      </c>
      <c r="G59" s="1307">
        <v>3</v>
      </c>
      <c r="H59" s="1305">
        <v>1861</v>
      </c>
      <c r="I59" s="1306">
        <v>1433</v>
      </c>
      <c r="J59" s="1306">
        <v>401</v>
      </c>
      <c r="K59" s="1307">
        <v>27</v>
      </c>
      <c r="L59" s="1327">
        <f t="shared" si="5"/>
        <v>13.433637829124127</v>
      </c>
      <c r="M59" s="1328">
        <f t="shared" si="6"/>
        <v>13.258897418004187</v>
      </c>
      <c r="N59" s="1328">
        <f t="shared" si="7"/>
        <v>7.4812967581047376</v>
      </c>
      <c r="O59" s="1329">
        <f t="shared" si="8"/>
        <v>111.1111111111111</v>
      </c>
    </row>
    <row r="60" spans="1:15" x14ac:dyDescent="0.2">
      <c r="A60" s="1299" t="s">
        <v>136</v>
      </c>
      <c r="B60" s="1299" t="s">
        <v>137</v>
      </c>
      <c r="C60" s="1299" t="s">
        <v>266</v>
      </c>
      <c r="D60" s="1305">
        <v>7</v>
      </c>
      <c r="E60" s="1306">
        <v>3</v>
      </c>
      <c r="F60" s="1306">
        <v>4</v>
      </c>
      <c r="G60" s="1307">
        <v>0</v>
      </c>
      <c r="H60" s="1305">
        <v>627</v>
      </c>
      <c r="I60" s="1306">
        <v>414</v>
      </c>
      <c r="J60" s="1306">
        <v>198</v>
      </c>
      <c r="K60" s="1307">
        <v>15</v>
      </c>
      <c r="L60" s="1327">
        <f t="shared" si="5"/>
        <v>11.164274322169058</v>
      </c>
      <c r="M60" s="1328">
        <f t="shared" si="6"/>
        <v>7.2463768115942031</v>
      </c>
      <c r="N60" s="1328">
        <f t="shared" si="7"/>
        <v>20.202020202020204</v>
      </c>
      <c r="O60" s="1329">
        <f t="shared" si="8"/>
        <v>0</v>
      </c>
    </row>
    <row r="61" spans="1:15" x14ac:dyDescent="0.2">
      <c r="A61" s="1299" t="s">
        <v>140</v>
      </c>
      <c r="B61" s="1299" t="s">
        <v>141</v>
      </c>
      <c r="C61" s="1299" t="s">
        <v>267</v>
      </c>
      <c r="D61" s="1305">
        <v>4</v>
      </c>
      <c r="E61" s="1306">
        <v>3</v>
      </c>
      <c r="F61" s="1306">
        <v>1</v>
      </c>
      <c r="G61" s="1307">
        <v>0</v>
      </c>
      <c r="H61" s="1305">
        <v>832</v>
      </c>
      <c r="I61" s="1306">
        <v>732</v>
      </c>
      <c r="J61" s="1306">
        <v>91</v>
      </c>
      <c r="K61" s="1307">
        <v>9</v>
      </c>
      <c r="L61" s="1327">
        <f t="shared" si="5"/>
        <v>4.8076923076923084</v>
      </c>
      <c r="M61" s="1328">
        <f t="shared" si="6"/>
        <v>4.0983606557377055</v>
      </c>
      <c r="N61" s="1328">
        <f t="shared" si="7"/>
        <v>10.989010989010989</v>
      </c>
      <c r="O61" s="1329">
        <f t="shared" si="8"/>
        <v>0</v>
      </c>
    </row>
    <row r="62" spans="1:15" x14ac:dyDescent="0.2">
      <c r="A62" s="1299" t="s">
        <v>146</v>
      </c>
      <c r="B62" s="1299" t="s">
        <v>147</v>
      </c>
      <c r="C62" s="1299" t="s">
        <v>264</v>
      </c>
      <c r="D62" s="1305">
        <v>3</v>
      </c>
      <c r="E62" s="1306">
        <v>2</v>
      </c>
      <c r="F62" s="1306">
        <v>1</v>
      </c>
      <c r="G62" s="1307">
        <v>0</v>
      </c>
      <c r="H62" s="1305">
        <v>509</v>
      </c>
      <c r="I62" s="1306">
        <v>449</v>
      </c>
      <c r="J62" s="1306">
        <v>52</v>
      </c>
      <c r="K62" s="1307">
        <v>8</v>
      </c>
      <c r="L62" s="1327">
        <f t="shared" si="5"/>
        <v>5.8939096267190569</v>
      </c>
      <c r="M62" s="1328">
        <f t="shared" si="6"/>
        <v>4.4543429844097995</v>
      </c>
      <c r="N62" s="1328">
        <f t="shared" si="7"/>
        <v>19.230769230769234</v>
      </c>
      <c r="O62" s="1329">
        <f t="shared" si="8"/>
        <v>0</v>
      </c>
    </row>
    <row r="63" spans="1:15" x14ac:dyDescent="0.2">
      <c r="A63" s="1299" t="s">
        <v>148</v>
      </c>
      <c r="B63" s="1299" t="s">
        <v>149</v>
      </c>
      <c r="C63" s="1299" t="s">
        <v>265</v>
      </c>
      <c r="D63" s="1305">
        <v>23</v>
      </c>
      <c r="E63" s="1306">
        <v>10</v>
      </c>
      <c r="F63" s="1306">
        <v>13</v>
      </c>
      <c r="G63" s="1307">
        <v>0</v>
      </c>
      <c r="H63" s="1305">
        <v>1768</v>
      </c>
      <c r="I63" s="1306">
        <v>997</v>
      </c>
      <c r="J63" s="1306">
        <v>729</v>
      </c>
      <c r="K63" s="1307">
        <v>42</v>
      </c>
      <c r="L63" s="1327">
        <f t="shared" si="5"/>
        <v>13.009049773755656</v>
      </c>
      <c r="M63" s="1328">
        <f t="shared" si="6"/>
        <v>10.030090270812437</v>
      </c>
      <c r="N63" s="1328">
        <f t="shared" si="7"/>
        <v>17.832647462277091</v>
      </c>
      <c r="O63" s="1329">
        <f t="shared" si="8"/>
        <v>0</v>
      </c>
    </row>
    <row r="64" spans="1:15" x14ac:dyDescent="0.2">
      <c r="A64" s="1299" t="s">
        <v>150</v>
      </c>
      <c r="B64" s="1299" t="s">
        <v>151</v>
      </c>
      <c r="C64" s="1299" t="s">
        <v>266</v>
      </c>
      <c r="D64" s="1305">
        <v>10</v>
      </c>
      <c r="E64" s="1306">
        <v>8</v>
      </c>
      <c r="F64" s="1306">
        <v>2</v>
      </c>
      <c r="G64" s="1307">
        <v>0</v>
      </c>
      <c r="H64" s="1305">
        <v>459</v>
      </c>
      <c r="I64" s="1306">
        <v>368</v>
      </c>
      <c r="J64" s="1306">
        <v>85</v>
      </c>
      <c r="K64" s="1307">
        <v>6</v>
      </c>
      <c r="L64" s="1327">
        <f t="shared" si="5"/>
        <v>21.786492374727668</v>
      </c>
      <c r="M64" s="1328">
        <f t="shared" si="6"/>
        <v>21.739130434782609</v>
      </c>
      <c r="N64" s="1328">
        <f t="shared" si="7"/>
        <v>23.52941176470588</v>
      </c>
      <c r="O64" s="1329">
        <f t="shared" si="8"/>
        <v>0</v>
      </c>
    </row>
    <row r="65" spans="1:15" x14ac:dyDescent="0.2">
      <c r="A65" s="1299" t="s">
        <v>152</v>
      </c>
      <c r="B65" s="1299" t="s">
        <v>153</v>
      </c>
      <c r="C65" s="1299" t="s">
        <v>268</v>
      </c>
      <c r="D65" s="1305">
        <v>56</v>
      </c>
      <c r="E65" s="1306">
        <v>53</v>
      </c>
      <c r="F65" s="1306">
        <v>3</v>
      </c>
      <c r="G65" s="1307">
        <v>0</v>
      </c>
      <c r="H65" s="1305">
        <v>6914</v>
      </c>
      <c r="I65" s="1306">
        <v>6094</v>
      </c>
      <c r="J65" s="1306">
        <v>359</v>
      </c>
      <c r="K65" s="1307">
        <v>461</v>
      </c>
      <c r="L65" s="1327">
        <f t="shared" si="5"/>
        <v>8.099508244142319</v>
      </c>
      <c r="M65" s="1328">
        <f t="shared" si="6"/>
        <v>8.6970790941910074</v>
      </c>
      <c r="N65" s="1328">
        <f t="shared" si="7"/>
        <v>8.3565459610027855</v>
      </c>
      <c r="O65" s="1329">
        <f t="shared" si="8"/>
        <v>0</v>
      </c>
    </row>
    <row r="66" spans="1:15" x14ac:dyDescent="0.2">
      <c r="A66" s="1299" t="s">
        <v>154</v>
      </c>
      <c r="B66" s="1299" t="s">
        <v>155</v>
      </c>
      <c r="C66" s="1299" t="s">
        <v>265</v>
      </c>
      <c r="D66" s="1305">
        <v>9</v>
      </c>
      <c r="E66" s="1306">
        <v>8</v>
      </c>
      <c r="F66" s="1306">
        <v>1</v>
      </c>
      <c r="G66" s="1307">
        <v>0</v>
      </c>
      <c r="H66" s="1305">
        <v>751</v>
      </c>
      <c r="I66" s="1306">
        <v>614</v>
      </c>
      <c r="J66" s="1306">
        <v>128</v>
      </c>
      <c r="K66" s="1307">
        <v>9</v>
      </c>
      <c r="L66" s="1327">
        <f t="shared" si="5"/>
        <v>11.984021304926763</v>
      </c>
      <c r="M66" s="1328">
        <f t="shared" si="6"/>
        <v>13.029315960912053</v>
      </c>
      <c r="N66" s="1328">
        <f t="shared" si="7"/>
        <v>7.8125</v>
      </c>
      <c r="O66" s="1329">
        <f t="shared" si="8"/>
        <v>0</v>
      </c>
    </row>
    <row r="67" spans="1:15" x14ac:dyDescent="0.2">
      <c r="A67" s="1299" t="s">
        <v>156</v>
      </c>
      <c r="B67" s="1299" t="s">
        <v>157</v>
      </c>
      <c r="C67" s="1299" t="s">
        <v>266</v>
      </c>
      <c r="D67" s="1305">
        <v>10</v>
      </c>
      <c r="E67" s="1306">
        <v>5</v>
      </c>
      <c r="F67" s="1306">
        <v>2</v>
      </c>
      <c r="G67" s="1307">
        <v>3</v>
      </c>
      <c r="H67" s="1305">
        <v>1181</v>
      </c>
      <c r="I67" s="1306">
        <v>974</v>
      </c>
      <c r="J67" s="1306">
        <v>172</v>
      </c>
      <c r="K67" s="1307">
        <v>35</v>
      </c>
      <c r="L67" s="1327">
        <f t="shared" si="5"/>
        <v>8.4674005080440296</v>
      </c>
      <c r="M67" s="1328">
        <f t="shared" si="6"/>
        <v>5.1334702258726894</v>
      </c>
      <c r="N67" s="1328">
        <f t="shared" si="7"/>
        <v>11.627906976744185</v>
      </c>
      <c r="O67" s="1329">
        <f t="shared" si="8"/>
        <v>85.714285714285708</v>
      </c>
    </row>
    <row r="68" spans="1:15" x14ac:dyDescent="0.2">
      <c r="A68" s="1299" t="s">
        <v>162</v>
      </c>
      <c r="B68" s="1299" t="s">
        <v>163</v>
      </c>
      <c r="C68" s="1299" t="s">
        <v>264</v>
      </c>
      <c r="D68" s="1305">
        <v>13</v>
      </c>
      <c r="E68" s="1306">
        <v>8</v>
      </c>
      <c r="F68" s="1306">
        <v>5</v>
      </c>
      <c r="G68" s="1307">
        <v>0</v>
      </c>
      <c r="H68" s="1305">
        <v>576</v>
      </c>
      <c r="I68" s="1306">
        <v>299</v>
      </c>
      <c r="J68" s="1306">
        <v>268</v>
      </c>
      <c r="K68" s="1307">
        <v>9</v>
      </c>
      <c r="L68" s="1327">
        <f t="shared" si="5"/>
        <v>22.569444444444443</v>
      </c>
      <c r="M68" s="1328">
        <f t="shared" si="6"/>
        <v>26.755852842809364</v>
      </c>
      <c r="N68" s="1328">
        <f t="shared" si="7"/>
        <v>18.656716417910445</v>
      </c>
      <c r="O68" s="1329">
        <f t="shared" si="8"/>
        <v>0</v>
      </c>
    </row>
    <row r="69" spans="1:15" x14ac:dyDescent="0.2">
      <c r="A69" s="1299" t="s">
        <v>164</v>
      </c>
      <c r="B69" s="1299" t="s">
        <v>165</v>
      </c>
      <c r="C69" s="1299" t="s">
        <v>266</v>
      </c>
      <c r="D69" s="1305">
        <v>9</v>
      </c>
      <c r="E69" s="1306">
        <v>2</v>
      </c>
      <c r="F69" s="1306">
        <v>7</v>
      </c>
      <c r="G69" s="1307">
        <v>0</v>
      </c>
      <c r="H69" s="1305">
        <v>507</v>
      </c>
      <c r="I69" s="1306">
        <v>315</v>
      </c>
      <c r="J69" s="1306">
        <v>188</v>
      </c>
      <c r="K69" s="1307">
        <v>4</v>
      </c>
      <c r="L69" s="1327">
        <f t="shared" ref="L69:L100" si="9">IF(H69=0,"NA",(D69/H69)*1000)</f>
        <v>17.751479289940828</v>
      </c>
      <c r="M69" s="1328">
        <f t="shared" si="6"/>
        <v>6.3492063492063489</v>
      </c>
      <c r="N69" s="1328">
        <f t="shared" si="7"/>
        <v>37.234042553191486</v>
      </c>
      <c r="O69" s="1329">
        <f t="shared" si="8"/>
        <v>0</v>
      </c>
    </row>
    <row r="70" spans="1:15" x14ac:dyDescent="0.2">
      <c r="A70" s="1299" t="s">
        <v>168</v>
      </c>
      <c r="B70" s="1299" t="s">
        <v>169</v>
      </c>
      <c r="C70" s="1299" t="s">
        <v>266</v>
      </c>
      <c r="D70" s="1305">
        <v>14</v>
      </c>
      <c r="E70" s="1306">
        <v>7</v>
      </c>
      <c r="F70" s="1306">
        <v>6</v>
      </c>
      <c r="G70" s="1307">
        <v>1</v>
      </c>
      <c r="H70" s="1305">
        <v>836</v>
      </c>
      <c r="I70" s="1306">
        <v>479</v>
      </c>
      <c r="J70" s="1306">
        <v>340</v>
      </c>
      <c r="K70" s="1307">
        <v>17</v>
      </c>
      <c r="L70" s="1327">
        <f t="shared" si="9"/>
        <v>16.746411483253588</v>
      </c>
      <c r="M70" s="1328">
        <f t="shared" ref="M70:M101" si="10">IF(I70=0,"NA",(E70/I70)*1000)</f>
        <v>14.613778705636742</v>
      </c>
      <c r="N70" s="1328">
        <f t="shared" ref="N70:N101" si="11">IF(J70=0,"NA",(F70/J70)*1000)</f>
        <v>17.647058823529413</v>
      </c>
      <c r="O70" s="1329">
        <f t="shared" ref="O70:O101" si="12">IF(K70=0,"NA",(G70/K70)*1000)</f>
        <v>58.823529411764703</v>
      </c>
    </row>
    <row r="71" spans="1:15" x14ac:dyDescent="0.2">
      <c r="A71" s="1299" t="s">
        <v>170</v>
      </c>
      <c r="B71" s="1299" t="s">
        <v>171</v>
      </c>
      <c r="C71" s="1299" t="s">
        <v>267</v>
      </c>
      <c r="D71" s="1305">
        <v>26</v>
      </c>
      <c r="E71" s="1306">
        <v>19</v>
      </c>
      <c r="F71" s="1306">
        <v>6</v>
      </c>
      <c r="G71" s="1307">
        <v>1</v>
      </c>
      <c r="H71" s="1305">
        <v>2059</v>
      </c>
      <c r="I71" s="1306">
        <v>1667</v>
      </c>
      <c r="J71" s="1306">
        <v>359</v>
      </c>
      <c r="K71" s="1307">
        <v>33</v>
      </c>
      <c r="L71" s="1327">
        <f t="shared" si="9"/>
        <v>12.627489072365226</v>
      </c>
      <c r="M71" s="1328">
        <f t="shared" si="10"/>
        <v>11.397720455908818</v>
      </c>
      <c r="N71" s="1328">
        <f t="shared" si="11"/>
        <v>16.713091922005571</v>
      </c>
      <c r="O71" s="1329">
        <f t="shared" si="12"/>
        <v>30.303030303030305</v>
      </c>
    </row>
    <row r="72" spans="1:15" x14ac:dyDescent="0.2">
      <c r="A72" s="1299" t="s">
        <v>172</v>
      </c>
      <c r="B72" s="1299" t="s">
        <v>173</v>
      </c>
      <c r="C72" s="1299" t="s">
        <v>267</v>
      </c>
      <c r="D72" s="1305">
        <v>23</v>
      </c>
      <c r="E72" s="1306">
        <v>23</v>
      </c>
      <c r="F72" s="1306">
        <v>0</v>
      </c>
      <c r="G72" s="1307">
        <v>0</v>
      </c>
      <c r="H72" s="1305">
        <v>1364</v>
      </c>
      <c r="I72" s="1306">
        <v>1306</v>
      </c>
      <c r="J72" s="1306">
        <v>46</v>
      </c>
      <c r="K72" s="1307">
        <v>12</v>
      </c>
      <c r="L72" s="1327">
        <f t="shared" si="9"/>
        <v>16.862170087976537</v>
      </c>
      <c r="M72" s="1328">
        <f t="shared" si="10"/>
        <v>17.61102603369066</v>
      </c>
      <c r="N72" s="1328">
        <f t="shared" si="11"/>
        <v>0</v>
      </c>
      <c r="O72" s="1329">
        <f t="shared" si="12"/>
        <v>0</v>
      </c>
    </row>
    <row r="73" spans="1:15" x14ac:dyDescent="0.2">
      <c r="A73" s="1299" t="s">
        <v>174</v>
      </c>
      <c r="B73" s="1299" t="s">
        <v>175</v>
      </c>
      <c r="C73" s="1299" t="s">
        <v>268</v>
      </c>
      <c r="D73" s="1305">
        <v>13</v>
      </c>
      <c r="E73" s="1306">
        <v>12</v>
      </c>
      <c r="F73" s="1306">
        <v>0</v>
      </c>
      <c r="G73" s="1307">
        <v>1</v>
      </c>
      <c r="H73" s="1305">
        <v>984</v>
      </c>
      <c r="I73" s="1306">
        <v>897</v>
      </c>
      <c r="J73" s="1306">
        <v>73</v>
      </c>
      <c r="K73" s="1307">
        <v>14</v>
      </c>
      <c r="L73" s="1327">
        <f t="shared" si="9"/>
        <v>13.21138211382114</v>
      </c>
      <c r="M73" s="1328">
        <f t="shared" si="10"/>
        <v>13.377926421404682</v>
      </c>
      <c r="N73" s="1328">
        <f t="shared" si="11"/>
        <v>0</v>
      </c>
      <c r="O73" s="1329">
        <f t="shared" si="12"/>
        <v>71.428571428571431</v>
      </c>
    </row>
    <row r="74" spans="1:15" x14ac:dyDescent="0.2">
      <c r="A74" s="1299" t="s">
        <v>178</v>
      </c>
      <c r="B74" s="1299" t="s">
        <v>179</v>
      </c>
      <c r="C74" s="1299" t="s">
        <v>265</v>
      </c>
      <c r="D74" s="1305">
        <v>36</v>
      </c>
      <c r="E74" s="1306">
        <v>21</v>
      </c>
      <c r="F74" s="1306">
        <v>11</v>
      </c>
      <c r="G74" s="1307">
        <v>4</v>
      </c>
      <c r="H74" s="1305">
        <v>3669</v>
      </c>
      <c r="I74" s="1306">
        <v>2756</v>
      </c>
      <c r="J74" s="1306">
        <v>880</v>
      </c>
      <c r="K74" s="1307">
        <v>33</v>
      </c>
      <c r="L74" s="1327">
        <f t="shared" si="9"/>
        <v>9.8119378577269014</v>
      </c>
      <c r="M74" s="1328">
        <f t="shared" si="10"/>
        <v>7.6197387518142241</v>
      </c>
      <c r="N74" s="1328">
        <f t="shared" si="11"/>
        <v>12.5</v>
      </c>
      <c r="O74" s="1329">
        <f t="shared" si="12"/>
        <v>121.21212121212122</v>
      </c>
    </row>
    <row r="75" spans="1:15" x14ac:dyDescent="0.2">
      <c r="A75" s="1299" t="s">
        <v>182</v>
      </c>
      <c r="B75" s="1299" t="s">
        <v>183</v>
      </c>
      <c r="C75" s="1299" t="s">
        <v>266</v>
      </c>
      <c r="D75" s="1305">
        <v>10</v>
      </c>
      <c r="E75" s="1306">
        <v>10</v>
      </c>
      <c r="F75" s="1306">
        <v>0</v>
      </c>
      <c r="G75" s="1307">
        <v>0</v>
      </c>
      <c r="H75" s="1305">
        <v>1617</v>
      </c>
      <c r="I75" s="1306">
        <v>1453</v>
      </c>
      <c r="J75" s="1306">
        <v>146</v>
      </c>
      <c r="K75" s="1307">
        <v>18</v>
      </c>
      <c r="L75" s="1327">
        <f t="shared" si="9"/>
        <v>6.1842918985776132</v>
      </c>
      <c r="M75" s="1328">
        <f t="shared" si="10"/>
        <v>6.8823124569855469</v>
      </c>
      <c r="N75" s="1328">
        <f t="shared" si="11"/>
        <v>0</v>
      </c>
      <c r="O75" s="1329">
        <f t="shared" si="12"/>
        <v>0</v>
      </c>
    </row>
    <row r="76" spans="1:15" x14ac:dyDescent="0.2">
      <c r="A76" s="1299" t="s">
        <v>184</v>
      </c>
      <c r="B76" s="1299" t="s">
        <v>185</v>
      </c>
      <c r="C76" s="1299" t="s">
        <v>266</v>
      </c>
      <c r="D76" s="1305">
        <v>12</v>
      </c>
      <c r="E76" s="1306">
        <v>7</v>
      </c>
      <c r="F76" s="1306">
        <v>5</v>
      </c>
      <c r="G76" s="1307">
        <v>0</v>
      </c>
      <c r="H76" s="1305">
        <v>2019</v>
      </c>
      <c r="I76" s="1306">
        <v>1397</v>
      </c>
      <c r="J76" s="1306">
        <v>563</v>
      </c>
      <c r="K76" s="1307">
        <v>59</v>
      </c>
      <c r="L76" s="1327">
        <f t="shared" si="9"/>
        <v>5.9435364041604748</v>
      </c>
      <c r="M76" s="1328">
        <f t="shared" si="10"/>
        <v>5.0107372942018609</v>
      </c>
      <c r="N76" s="1328">
        <f t="shared" si="11"/>
        <v>8.8809946714031973</v>
      </c>
      <c r="O76" s="1329">
        <f t="shared" si="12"/>
        <v>0</v>
      </c>
    </row>
    <row r="77" spans="1:15" x14ac:dyDescent="0.2">
      <c r="A77" s="1299" t="s">
        <v>186</v>
      </c>
      <c r="B77" s="1299" t="s">
        <v>187</v>
      </c>
      <c r="C77" s="1299" t="s">
        <v>264</v>
      </c>
      <c r="D77" s="1305">
        <v>19</v>
      </c>
      <c r="E77" s="1306">
        <v>7</v>
      </c>
      <c r="F77" s="1306">
        <v>11</v>
      </c>
      <c r="G77" s="1307">
        <v>1</v>
      </c>
      <c r="H77" s="1305">
        <v>2237</v>
      </c>
      <c r="I77" s="1306">
        <v>1350</v>
      </c>
      <c r="J77" s="1306">
        <v>807</v>
      </c>
      <c r="K77" s="1307">
        <v>80</v>
      </c>
      <c r="L77" s="1327">
        <f t="shared" si="9"/>
        <v>8.4935181046043802</v>
      </c>
      <c r="M77" s="1328">
        <f t="shared" si="10"/>
        <v>5.1851851851851851</v>
      </c>
      <c r="N77" s="1328">
        <f t="shared" si="11"/>
        <v>13.630731102850062</v>
      </c>
      <c r="O77" s="1329">
        <f t="shared" si="12"/>
        <v>12.5</v>
      </c>
    </row>
    <row r="78" spans="1:15" x14ac:dyDescent="0.2">
      <c r="A78" s="1299" t="s">
        <v>188</v>
      </c>
      <c r="B78" s="1299" t="s">
        <v>189</v>
      </c>
      <c r="C78" s="1299" t="s">
        <v>267</v>
      </c>
      <c r="D78" s="1305">
        <v>275</v>
      </c>
      <c r="E78" s="1306">
        <v>150</v>
      </c>
      <c r="F78" s="1306">
        <v>58</v>
      </c>
      <c r="G78" s="1307">
        <v>67</v>
      </c>
      <c r="H78" s="1305">
        <v>31274</v>
      </c>
      <c r="I78" s="1306">
        <v>20192</v>
      </c>
      <c r="J78" s="1306">
        <v>7954</v>
      </c>
      <c r="K78" s="1307">
        <v>3128</v>
      </c>
      <c r="L78" s="1327">
        <f t="shared" si="9"/>
        <v>8.7932467864679928</v>
      </c>
      <c r="M78" s="1328">
        <f t="shared" si="10"/>
        <v>7.4286846275752767</v>
      </c>
      <c r="N78" s="1328">
        <f t="shared" si="11"/>
        <v>7.2919285893889869</v>
      </c>
      <c r="O78" s="1329">
        <f t="shared" si="12"/>
        <v>21.419437340153454</v>
      </c>
    </row>
    <row r="79" spans="1:15" x14ac:dyDescent="0.2">
      <c r="A79" s="1299" t="s">
        <v>190</v>
      </c>
      <c r="B79" s="1299" t="s">
        <v>191</v>
      </c>
      <c r="C79" s="1299" t="s">
        <v>268</v>
      </c>
      <c r="D79" s="1305">
        <v>40</v>
      </c>
      <c r="E79" s="1306">
        <v>38</v>
      </c>
      <c r="F79" s="1306">
        <v>2</v>
      </c>
      <c r="G79" s="1307">
        <v>0</v>
      </c>
      <c r="H79" s="1305">
        <v>1738</v>
      </c>
      <c r="I79" s="1306">
        <v>1619</v>
      </c>
      <c r="J79" s="1306">
        <v>106</v>
      </c>
      <c r="K79" s="1307">
        <v>13</v>
      </c>
      <c r="L79" s="1327">
        <f t="shared" si="9"/>
        <v>23.014959723820485</v>
      </c>
      <c r="M79" s="1328">
        <f t="shared" si="10"/>
        <v>23.471278567016679</v>
      </c>
      <c r="N79" s="1328">
        <f t="shared" si="11"/>
        <v>18.867924528301884</v>
      </c>
      <c r="O79" s="1329">
        <f t="shared" si="12"/>
        <v>0</v>
      </c>
    </row>
    <row r="80" spans="1:15" x14ac:dyDescent="0.2">
      <c r="A80" s="1299" t="s">
        <v>194</v>
      </c>
      <c r="B80" s="1299" t="s">
        <v>195</v>
      </c>
      <c r="C80" s="1299" t="s">
        <v>267</v>
      </c>
      <c r="D80" s="1305">
        <v>1</v>
      </c>
      <c r="E80" s="1306">
        <v>1</v>
      </c>
      <c r="F80" s="1306">
        <v>0</v>
      </c>
      <c r="G80" s="1307">
        <v>0</v>
      </c>
      <c r="H80" s="1305">
        <v>421</v>
      </c>
      <c r="I80" s="1306">
        <v>389</v>
      </c>
      <c r="J80" s="1306">
        <v>27</v>
      </c>
      <c r="K80" s="1307">
        <v>5</v>
      </c>
      <c r="L80" s="1327">
        <f t="shared" si="9"/>
        <v>2.3752969121140142</v>
      </c>
      <c r="M80" s="1328">
        <f t="shared" si="10"/>
        <v>2.5706940874035986</v>
      </c>
      <c r="N80" s="1328">
        <f t="shared" si="11"/>
        <v>0</v>
      </c>
      <c r="O80" s="1329">
        <f t="shared" si="12"/>
        <v>0</v>
      </c>
    </row>
    <row r="81" spans="1:15" x14ac:dyDescent="0.2">
      <c r="A81" s="1299" t="s">
        <v>198</v>
      </c>
      <c r="B81" s="1299" t="s">
        <v>272</v>
      </c>
      <c r="C81" s="1299" t="s">
        <v>266</v>
      </c>
      <c r="D81" s="1305">
        <v>5</v>
      </c>
      <c r="E81" s="1306">
        <v>4</v>
      </c>
      <c r="F81" s="1306">
        <v>1</v>
      </c>
      <c r="G81" s="1307">
        <v>0</v>
      </c>
      <c r="H81" s="1305">
        <v>419</v>
      </c>
      <c r="I81" s="1306">
        <v>281</v>
      </c>
      <c r="J81" s="1306">
        <v>133</v>
      </c>
      <c r="K81" s="1307">
        <v>5</v>
      </c>
      <c r="L81" s="1327">
        <f t="shared" si="9"/>
        <v>11.933174224343675</v>
      </c>
      <c r="M81" s="1328">
        <f t="shared" si="10"/>
        <v>14.234875444839856</v>
      </c>
      <c r="N81" s="1328">
        <f t="shared" si="11"/>
        <v>7.518796992481203</v>
      </c>
      <c r="O81" s="1329">
        <f t="shared" si="12"/>
        <v>0</v>
      </c>
    </row>
    <row r="82" spans="1:15" x14ac:dyDescent="0.2">
      <c r="A82" s="1299" t="s">
        <v>202</v>
      </c>
      <c r="B82" s="1299" t="s">
        <v>301</v>
      </c>
      <c r="C82" s="1299" t="s">
        <v>265</v>
      </c>
      <c r="D82" s="1305">
        <v>68</v>
      </c>
      <c r="E82" s="1306">
        <v>57</v>
      </c>
      <c r="F82" s="1306">
        <v>7</v>
      </c>
      <c r="G82" s="1307">
        <v>4</v>
      </c>
      <c r="H82" s="1305">
        <v>7659</v>
      </c>
      <c r="I82" s="1306">
        <v>6706</v>
      </c>
      <c r="J82" s="1306">
        <v>665</v>
      </c>
      <c r="K82" s="1307">
        <v>288</v>
      </c>
      <c r="L82" s="1327">
        <f t="shared" si="9"/>
        <v>8.8784436610523567</v>
      </c>
      <c r="M82" s="1328">
        <f t="shared" si="10"/>
        <v>8.4998508798091272</v>
      </c>
      <c r="N82" s="1328">
        <f t="shared" si="11"/>
        <v>10.526315789473683</v>
      </c>
      <c r="O82" s="1329">
        <f t="shared" si="12"/>
        <v>13.888888888888888</v>
      </c>
    </row>
    <row r="83" spans="1:15" x14ac:dyDescent="0.2">
      <c r="A83" s="1299" t="s">
        <v>204</v>
      </c>
      <c r="B83" s="1299" t="s">
        <v>293</v>
      </c>
      <c r="C83" s="1299" t="s">
        <v>265</v>
      </c>
      <c r="D83" s="1305">
        <v>18</v>
      </c>
      <c r="E83" s="1306">
        <v>17</v>
      </c>
      <c r="F83" s="1306">
        <v>1</v>
      </c>
      <c r="G83" s="1307">
        <v>0</v>
      </c>
      <c r="H83" s="1305">
        <v>2267</v>
      </c>
      <c r="I83" s="1306">
        <v>2069</v>
      </c>
      <c r="J83" s="1306">
        <v>143</v>
      </c>
      <c r="K83" s="1307">
        <v>55</v>
      </c>
      <c r="L83" s="1327">
        <f t="shared" si="9"/>
        <v>7.9400088222320235</v>
      </c>
      <c r="M83" s="1328">
        <f t="shared" si="10"/>
        <v>8.2165297245045927</v>
      </c>
      <c r="N83" s="1328">
        <f t="shared" si="11"/>
        <v>6.9930069930069934</v>
      </c>
      <c r="O83" s="1329">
        <f t="shared" si="12"/>
        <v>0</v>
      </c>
    </row>
    <row r="84" spans="1:15" x14ac:dyDescent="0.2">
      <c r="A84" s="1299" t="s">
        <v>206</v>
      </c>
      <c r="B84" s="1299" t="s">
        <v>294</v>
      </c>
      <c r="C84" s="1299" t="s">
        <v>267</v>
      </c>
      <c r="D84" s="1305">
        <v>110</v>
      </c>
      <c r="E84" s="1306">
        <v>66</v>
      </c>
      <c r="F84" s="1306">
        <v>10</v>
      </c>
      <c r="G84" s="1307">
        <v>34</v>
      </c>
      <c r="H84" s="1305">
        <v>10758</v>
      </c>
      <c r="I84" s="1306">
        <v>9696</v>
      </c>
      <c r="J84" s="1306">
        <v>652</v>
      </c>
      <c r="K84" s="1307">
        <v>410</v>
      </c>
      <c r="L84" s="1327">
        <f t="shared" si="9"/>
        <v>10.224948875255624</v>
      </c>
      <c r="M84" s="1328">
        <f t="shared" si="10"/>
        <v>6.8069306930693072</v>
      </c>
      <c r="N84" s="1328">
        <f t="shared" si="11"/>
        <v>15.337423312883436</v>
      </c>
      <c r="O84" s="1329">
        <f t="shared" si="12"/>
        <v>82.926829268292693</v>
      </c>
    </row>
    <row r="85" spans="1:15" x14ac:dyDescent="0.2">
      <c r="A85" s="1299" t="s">
        <v>208</v>
      </c>
      <c r="B85" s="1299" t="s">
        <v>209</v>
      </c>
      <c r="C85" s="1299" t="s">
        <v>268</v>
      </c>
      <c r="D85" s="1305">
        <v>47</v>
      </c>
      <c r="E85" s="1306">
        <v>47</v>
      </c>
      <c r="F85" s="1306">
        <v>0</v>
      </c>
      <c r="G85" s="1307">
        <v>0</v>
      </c>
      <c r="H85" s="1305">
        <v>1534</v>
      </c>
      <c r="I85" s="1306">
        <v>1504</v>
      </c>
      <c r="J85" s="1306">
        <v>23</v>
      </c>
      <c r="K85" s="1307">
        <v>7</v>
      </c>
      <c r="L85" s="1327">
        <f t="shared" si="9"/>
        <v>30.638852672750978</v>
      </c>
      <c r="M85" s="1328">
        <f t="shared" si="10"/>
        <v>31.25</v>
      </c>
      <c r="N85" s="1328">
        <f t="shared" si="11"/>
        <v>0</v>
      </c>
      <c r="O85" s="1329">
        <f t="shared" si="12"/>
        <v>0</v>
      </c>
    </row>
    <row r="86" spans="1:15" x14ac:dyDescent="0.2">
      <c r="A86" s="1299" t="s">
        <v>210</v>
      </c>
      <c r="B86" s="1299" t="s">
        <v>211</v>
      </c>
      <c r="C86" s="1299" t="s">
        <v>268</v>
      </c>
      <c r="D86" s="1305">
        <v>19</v>
      </c>
      <c r="E86" s="1306">
        <v>19</v>
      </c>
      <c r="F86" s="1306">
        <v>0</v>
      </c>
      <c r="G86" s="1307">
        <v>0</v>
      </c>
      <c r="H86" s="1305">
        <v>1228</v>
      </c>
      <c r="I86" s="1306">
        <v>1205</v>
      </c>
      <c r="J86" s="1306">
        <v>12</v>
      </c>
      <c r="K86" s="1307">
        <v>11</v>
      </c>
      <c r="L86" s="1327">
        <f t="shared" si="9"/>
        <v>15.472312703583063</v>
      </c>
      <c r="M86" s="1328">
        <f t="shared" si="10"/>
        <v>15.767634854771783</v>
      </c>
      <c r="N86" s="1328">
        <f t="shared" si="11"/>
        <v>0</v>
      </c>
      <c r="O86" s="1329">
        <f t="shared" si="12"/>
        <v>0</v>
      </c>
    </row>
    <row r="87" spans="1:15" x14ac:dyDescent="0.2">
      <c r="A87" s="1299" t="s">
        <v>212</v>
      </c>
      <c r="B87" s="1299" t="s">
        <v>213</v>
      </c>
      <c r="C87" s="1299" t="s">
        <v>267</v>
      </c>
      <c r="D87" s="1305">
        <v>43</v>
      </c>
      <c r="E87" s="1306">
        <v>43</v>
      </c>
      <c r="F87" s="1306">
        <v>0</v>
      </c>
      <c r="G87" s="1307">
        <v>0</v>
      </c>
      <c r="H87" s="1305">
        <v>2513</v>
      </c>
      <c r="I87" s="1306">
        <v>2384</v>
      </c>
      <c r="J87" s="1306">
        <v>88</v>
      </c>
      <c r="K87" s="1307">
        <v>41</v>
      </c>
      <c r="L87" s="1327">
        <f t="shared" si="9"/>
        <v>17.111022682053324</v>
      </c>
      <c r="M87" s="1328">
        <f t="shared" si="10"/>
        <v>18.036912751677853</v>
      </c>
      <c r="N87" s="1328">
        <f t="shared" si="11"/>
        <v>0</v>
      </c>
      <c r="O87" s="1329">
        <f t="shared" si="12"/>
        <v>0</v>
      </c>
    </row>
    <row r="88" spans="1:15" x14ac:dyDescent="0.2">
      <c r="A88" s="1299" t="s">
        <v>214</v>
      </c>
      <c r="B88" s="1299" t="s">
        <v>215</v>
      </c>
      <c r="C88" s="1299" t="s">
        <v>268</v>
      </c>
      <c r="D88" s="1305">
        <v>34</v>
      </c>
      <c r="E88" s="1306">
        <v>34</v>
      </c>
      <c r="F88" s="1306">
        <v>0</v>
      </c>
      <c r="G88" s="1307">
        <v>0</v>
      </c>
      <c r="H88" s="1305">
        <v>1775</v>
      </c>
      <c r="I88" s="1306">
        <v>1676</v>
      </c>
      <c r="J88" s="1306">
        <v>86</v>
      </c>
      <c r="K88" s="1307">
        <v>13</v>
      </c>
      <c r="L88" s="1327">
        <f t="shared" si="9"/>
        <v>19.154929577464788</v>
      </c>
      <c r="M88" s="1328">
        <f t="shared" si="10"/>
        <v>20.286396181384248</v>
      </c>
      <c r="N88" s="1328">
        <f t="shared" si="11"/>
        <v>0</v>
      </c>
      <c r="O88" s="1329">
        <f t="shared" si="12"/>
        <v>0</v>
      </c>
    </row>
    <row r="89" spans="1:15" x14ac:dyDescent="0.2">
      <c r="A89" s="1299" t="s">
        <v>216</v>
      </c>
      <c r="B89" s="1299" t="s">
        <v>217</v>
      </c>
      <c r="C89" s="1299" t="s">
        <v>264</v>
      </c>
      <c r="D89" s="1305">
        <v>4</v>
      </c>
      <c r="E89" s="1306">
        <v>1</v>
      </c>
      <c r="F89" s="1306">
        <v>3</v>
      </c>
      <c r="G89" s="1307">
        <v>0</v>
      </c>
      <c r="H89" s="1305">
        <v>1082</v>
      </c>
      <c r="I89" s="1306">
        <v>676</v>
      </c>
      <c r="J89" s="1306">
        <v>393</v>
      </c>
      <c r="K89" s="1307">
        <v>13</v>
      </c>
      <c r="L89" s="1327">
        <f t="shared" si="9"/>
        <v>3.6968576709796674</v>
      </c>
      <c r="M89" s="1328">
        <f t="shared" si="10"/>
        <v>1.4792899408284024</v>
      </c>
      <c r="N89" s="1328">
        <f t="shared" si="11"/>
        <v>7.6335877862595414</v>
      </c>
      <c r="O89" s="1329">
        <f t="shared" si="12"/>
        <v>0</v>
      </c>
    </row>
    <row r="90" spans="1:15" x14ac:dyDescent="0.2">
      <c r="A90" s="1299" t="s">
        <v>218</v>
      </c>
      <c r="B90" s="1299" t="s">
        <v>219</v>
      </c>
      <c r="C90" s="1299" t="s">
        <v>267</v>
      </c>
      <c r="D90" s="1305">
        <v>94</v>
      </c>
      <c r="E90" s="1306">
        <v>65</v>
      </c>
      <c r="F90" s="1306">
        <v>21</v>
      </c>
      <c r="G90" s="1307">
        <v>8</v>
      </c>
      <c r="H90" s="1305">
        <v>9421</v>
      </c>
      <c r="I90" s="1306">
        <v>7212</v>
      </c>
      <c r="J90" s="1306">
        <v>1870</v>
      </c>
      <c r="K90" s="1307">
        <v>339</v>
      </c>
      <c r="L90" s="1327">
        <f t="shared" si="9"/>
        <v>9.9777093726780599</v>
      </c>
      <c r="M90" s="1328">
        <f t="shared" si="10"/>
        <v>9.0127565169162516</v>
      </c>
      <c r="N90" s="1328">
        <f t="shared" si="11"/>
        <v>11.229946524064172</v>
      </c>
      <c r="O90" s="1329">
        <f t="shared" si="12"/>
        <v>23.598820058997049</v>
      </c>
    </row>
    <row r="91" spans="1:15" x14ac:dyDescent="0.2">
      <c r="A91" s="1299" t="s">
        <v>220</v>
      </c>
      <c r="B91" s="1299" t="s">
        <v>221</v>
      </c>
      <c r="C91" s="1299" t="s">
        <v>267</v>
      </c>
      <c r="D91" s="1305">
        <v>59</v>
      </c>
      <c r="E91" s="1306">
        <v>37</v>
      </c>
      <c r="F91" s="1306">
        <v>14</v>
      </c>
      <c r="G91" s="1307">
        <v>8</v>
      </c>
      <c r="H91" s="1305">
        <v>11025</v>
      </c>
      <c r="I91" s="1306">
        <v>8097</v>
      </c>
      <c r="J91" s="1306">
        <v>2379</v>
      </c>
      <c r="K91" s="1307">
        <v>549</v>
      </c>
      <c r="L91" s="1327">
        <f t="shared" si="9"/>
        <v>5.3514739229024944</v>
      </c>
      <c r="M91" s="1328">
        <f t="shared" si="10"/>
        <v>4.5695936766703715</v>
      </c>
      <c r="N91" s="1328">
        <f t="shared" si="11"/>
        <v>5.8848255569567041</v>
      </c>
      <c r="O91" s="1329">
        <f t="shared" si="12"/>
        <v>14.571948998178506</v>
      </c>
    </row>
    <row r="92" spans="1:15" x14ac:dyDescent="0.2">
      <c r="A92" s="1299" t="s">
        <v>224</v>
      </c>
      <c r="B92" s="1299" t="s">
        <v>225</v>
      </c>
      <c r="C92" s="1299" t="s">
        <v>264</v>
      </c>
      <c r="D92" s="1305">
        <v>2</v>
      </c>
      <c r="E92" s="1306">
        <v>1</v>
      </c>
      <c r="F92" s="1306">
        <v>1</v>
      </c>
      <c r="G92" s="1307">
        <v>0</v>
      </c>
      <c r="H92" s="1305">
        <v>387</v>
      </c>
      <c r="I92" s="1306">
        <v>197</v>
      </c>
      <c r="J92" s="1306">
        <v>189</v>
      </c>
      <c r="K92" s="1307">
        <v>1</v>
      </c>
      <c r="L92" s="1327">
        <f t="shared" si="9"/>
        <v>5.1679586563307494</v>
      </c>
      <c r="M92" s="1328">
        <f t="shared" si="10"/>
        <v>5.0761421319796947</v>
      </c>
      <c r="N92" s="1328">
        <f t="shared" si="11"/>
        <v>5.2910052910052912</v>
      </c>
      <c r="O92" s="1329">
        <f t="shared" si="12"/>
        <v>0</v>
      </c>
    </row>
    <row r="93" spans="1:15" x14ac:dyDescent="0.2">
      <c r="A93" s="1299" t="s">
        <v>226</v>
      </c>
      <c r="B93" s="1299" t="s">
        <v>227</v>
      </c>
      <c r="C93" s="1299" t="s">
        <v>264</v>
      </c>
      <c r="D93" s="1305">
        <v>12</v>
      </c>
      <c r="E93" s="1306">
        <v>2</v>
      </c>
      <c r="F93" s="1306">
        <v>8</v>
      </c>
      <c r="G93" s="1307">
        <v>2</v>
      </c>
      <c r="H93" s="1305">
        <v>518</v>
      </c>
      <c r="I93" s="1306">
        <v>204</v>
      </c>
      <c r="J93" s="1306">
        <v>309</v>
      </c>
      <c r="K93" s="1307">
        <v>5</v>
      </c>
      <c r="L93" s="1327">
        <f t="shared" si="9"/>
        <v>23.166023166023166</v>
      </c>
      <c r="M93" s="1328">
        <f t="shared" si="10"/>
        <v>9.8039215686274517</v>
      </c>
      <c r="N93" s="1328">
        <f t="shared" si="11"/>
        <v>25.889967637540455</v>
      </c>
      <c r="O93" s="1329">
        <f t="shared" si="12"/>
        <v>400</v>
      </c>
    </row>
    <row r="94" spans="1:15" x14ac:dyDescent="0.2">
      <c r="A94" s="1299" t="s">
        <v>228</v>
      </c>
      <c r="B94" s="1299" t="s">
        <v>229</v>
      </c>
      <c r="C94" s="1299" t="s">
        <v>268</v>
      </c>
      <c r="D94" s="1305">
        <v>55</v>
      </c>
      <c r="E94" s="1306">
        <v>54</v>
      </c>
      <c r="F94" s="1306">
        <v>1</v>
      </c>
      <c r="G94" s="1307">
        <v>0</v>
      </c>
      <c r="H94" s="1305">
        <v>2461</v>
      </c>
      <c r="I94" s="1306">
        <v>2339</v>
      </c>
      <c r="J94" s="1306">
        <v>91</v>
      </c>
      <c r="K94" s="1307">
        <v>31</v>
      </c>
      <c r="L94" s="1327">
        <f t="shared" si="9"/>
        <v>22.348638764729785</v>
      </c>
      <c r="M94" s="1328">
        <f t="shared" si="10"/>
        <v>23.086789226165028</v>
      </c>
      <c r="N94" s="1328">
        <f t="shared" si="11"/>
        <v>10.989010989010989</v>
      </c>
      <c r="O94" s="1329">
        <f t="shared" si="12"/>
        <v>0</v>
      </c>
    </row>
    <row r="95" spans="1:15" x14ac:dyDescent="0.2">
      <c r="A95" s="1299" t="s">
        <v>232</v>
      </c>
      <c r="B95" s="1299" t="s">
        <v>233</v>
      </c>
      <c r="C95" s="1299" t="s">
        <v>267</v>
      </c>
      <c r="D95" s="1305">
        <v>39</v>
      </c>
      <c r="E95" s="1306">
        <v>35</v>
      </c>
      <c r="F95" s="1306">
        <v>4</v>
      </c>
      <c r="G95" s="1307">
        <v>0</v>
      </c>
      <c r="H95" s="1305">
        <v>2521</v>
      </c>
      <c r="I95" s="1306">
        <v>2306</v>
      </c>
      <c r="J95" s="1306">
        <v>157</v>
      </c>
      <c r="K95" s="1307">
        <v>58</v>
      </c>
      <c r="L95" s="1327">
        <f t="shared" si="9"/>
        <v>15.470051566838556</v>
      </c>
      <c r="M95" s="1328">
        <f t="shared" si="10"/>
        <v>15.17779705117086</v>
      </c>
      <c r="N95" s="1328">
        <f t="shared" si="11"/>
        <v>25.477707006369428</v>
      </c>
      <c r="O95" s="1329">
        <f t="shared" si="12"/>
        <v>0</v>
      </c>
    </row>
    <row r="96" spans="1:15" x14ac:dyDescent="0.2">
      <c r="A96" s="1299" t="s">
        <v>234</v>
      </c>
      <c r="B96" s="1299" t="s">
        <v>235</v>
      </c>
      <c r="C96" s="1299" t="s">
        <v>268</v>
      </c>
      <c r="D96" s="1305">
        <v>52</v>
      </c>
      <c r="E96" s="1306">
        <v>50</v>
      </c>
      <c r="F96" s="1306">
        <v>0</v>
      </c>
      <c r="G96" s="1307">
        <v>2</v>
      </c>
      <c r="H96" s="1305">
        <v>3077</v>
      </c>
      <c r="I96" s="1306">
        <v>2977</v>
      </c>
      <c r="J96" s="1306">
        <v>67</v>
      </c>
      <c r="K96" s="1307">
        <v>33</v>
      </c>
      <c r="L96" s="1327">
        <f t="shared" si="9"/>
        <v>16.899577510562239</v>
      </c>
      <c r="M96" s="1328">
        <f t="shared" si="10"/>
        <v>16.795431642593215</v>
      </c>
      <c r="N96" s="1328">
        <f t="shared" si="11"/>
        <v>0</v>
      </c>
      <c r="O96" s="1329">
        <f t="shared" si="12"/>
        <v>60.606060606060609</v>
      </c>
    </row>
    <row r="97" spans="1:15" x14ac:dyDescent="0.2">
      <c r="A97" s="1299" t="s">
        <v>236</v>
      </c>
      <c r="B97" s="1299" t="s">
        <v>237</v>
      </c>
      <c r="C97" s="1299" t="s">
        <v>266</v>
      </c>
      <c r="D97" s="1305">
        <v>20</v>
      </c>
      <c r="E97" s="1306">
        <v>8</v>
      </c>
      <c r="F97" s="1306">
        <v>11</v>
      </c>
      <c r="G97" s="1307">
        <v>1</v>
      </c>
      <c r="H97" s="1305">
        <v>902</v>
      </c>
      <c r="I97" s="1306">
        <v>540</v>
      </c>
      <c r="J97" s="1306">
        <v>345</v>
      </c>
      <c r="K97" s="1307">
        <v>17</v>
      </c>
      <c r="L97" s="1327">
        <f t="shared" si="9"/>
        <v>22.172949002217297</v>
      </c>
      <c r="M97" s="1328">
        <f t="shared" si="10"/>
        <v>14.814814814814815</v>
      </c>
      <c r="N97" s="1328">
        <f t="shared" si="11"/>
        <v>31.884057971014492</v>
      </c>
      <c r="O97" s="1329">
        <f t="shared" si="12"/>
        <v>58.823529411764703</v>
      </c>
    </row>
    <row r="98" spans="1:15" x14ac:dyDescent="0.2">
      <c r="A98" s="1299" t="s">
        <v>242</v>
      </c>
      <c r="B98" s="1299" t="s">
        <v>243</v>
      </c>
      <c r="C98" s="1299" t="s">
        <v>268</v>
      </c>
      <c r="D98" s="1305">
        <v>59</v>
      </c>
      <c r="E98" s="1306">
        <v>58</v>
      </c>
      <c r="F98" s="1306">
        <v>1</v>
      </c>
      <c r="G98" s="1307">
        <v>0</v>
      </c>
      <c r="H98" s="1305">
        <v>2376</v>
      </c>
      <c r="I98" s="1306">
        <v>2263</v>
      </c>
      <c r="J98" s="1306">
        <v>98</v>
      </c>
      <c r="K98" s="1307">
        <v>15</v>
      </c>
      <c r="L98" s="1327">
        <f t="shared" si="9"/>
        <v>24.831649831649834</v>
      </c>
      <c r="M98" s="1328">
        <f t="shared" si="10"/>
        <v>25.629695095006628</v>
      </c>
      <c r="N98" s="1328">
        <f t="shared" si="11"/>
        <v>10.204081632653061</v>
      </c>
      <c r="O98" s="1329">
        <f t="shared" si="12"/>
        <v>0</v>
      </c>
    </row>
    <row r="99" spans="1:15" x14ac:dyDescent="0.2">
      <c r="A99" s="1299" t="s">
        <v>244</v>
      </c>
      <c r="B99" s="1299" t="s">
        <v>245</v>
      </c>
      <c r="C99" s="1299" t="s">
        <v>268</v>
      </c>
      <c r="D99" s="1305">
        <v>37</v>
      </c>
      <c r="E99" s="1306">
        <v>33</v>
      </c>
      <c r="F99" s="1306">
        <v>3</v>
      </c>
      <c r="G99" s="1307">
        <v>1</v>
      </c>
      <c r="H99" s="1305">
        <v>1581</v>
      </c>
      <c r="I99" s="1306">
        <v>1477</v>
      </c>
      <c r="J99" s="1306">
        <v>90</v>
      </c>
      <c r="K99" s="1307">
        <v>14</v>
      </c>
      <c r="L99" s="1327">
        <f t="shared" si="9"/>
        <v>23.402909550917141</v>
      </c>
      <c r="M99" s="1328">
        <f t="shared" si="10"/>
        <v>22.342586323628979</v>
      </c>
      <c r="N99" s="1328">
        <f t="shared" si="11"/>
        <v>33.333333333333336</v>
      </c>
      <c r="O99" s="1329">
        <f t="shared" si="12"/>
        <v>71.428571428571431</v>
      </c>
    </row>
    <row r="100" spans="1:15" x14ac:dyDescent="0.2">
      <c r="A100" s="1299" t="s">
        <v>246</v>
      </c>
      <c r="B100" s="1299" t="s">
        <v>247</v>
      </c>
      <c r="C100" s="1299" t="s">
        <v>264</v>
      </c>
      <c r="D100" s="1305">
        <v>22</v>
      </c>
      <c r="E100" s="1306">
        <v>12</v>
      </c>
      <c r="F100" s="1306">
        <v>9</v>
      </c>
      <c r="G100" s="1307">
        <v>1</v>
      </c>
      <c r="H100" s="1305">
        <v>5707</v>
      </c>
      <c r="I100" s="1306">
        <v>4569</v>
      </c>
      <c r="J100" s="1306">
        <v>721</v>
      </c>
      <c r="K100" s="1307">
        <v>417</v>
      </c>
      <c r="L100" s="1327">
        <f t="shared" si="9"/>
        <v>3.854915016646224</v>
      </c>
      <c r="M100" s="1328">
        <f t="shared" si="10"/>
        <v>2.6263952724885091</v>
      </c>
      <c r="N100" s="1328">
        <f t="shared" si="11"/>
        <v>12.482662968099861</v>
      </c>
      <c r="O100" s="1329">
        <f t="shared" si="12"/>
        <v>2.398081534772182</v>
      </c>
    </row>
    <row r="101" spans="1:15" x14ac:dyDescent="0.2">
      <c r="A101" s="1299" t="s">
        <v>14</v>
      </c>
      <c r="B101" s="1299" t="s">
        <v>15</v>
      </c>
      <c r="C101" s="1299" t="s">
        <v>267</v>
      </c>
      <c r="D101" s="1305">
        <v>60</v>
      </c>
      <c r="E101" s="1306">
        <v>24</v>
      </c>
      <c r="F101" s="1306">
        <v>15</v>
      </c>
      <c r="G101" s="1307">
        <v>21</v>
      </c>
      <c r="H101" s="1305">
        <v>4840</v>
      </c>
      <c r="I101" s="1306">
        <v>2851</v>
      </c>
      <c r="J101" s="1306">
        <v>1604</v>
      </c>
      <c r="K101" s="1307">
        <v>385</v>
      </c>
      <c r="L101" s="1327">
        <f t="shared" ref="L101:L125" si="13">IF(H101=0,"NA",(D101/H101)*1000)</f>
        <v>12.396694214876034</v>
      </c>
      <c r="M101" s="1328">
        <f t="shared" si="10"/>
        <v>8.4180989126622237</v>
      </c>
      <c r="N101" s="1328">
        <f t="shared" si="11"/>
        <v>9.3516209476309236</v>
      </c>
      <c r="O101" s="1329">
        <f t="shared" si="12"/>
        <v>54.54545454545454</v>
      </c>
    </row>
    <row r="102" spans="1:15" x14ac:dyDescent="0.2">
      <c r="A102" s="1299" t="s">
        <v>34</v>
      </c>
      <c r="B102" s="1299" t="s">
        <v>35</v>
      </c>
      <c r="C102" s="1299" t="s">
        <v>268</v>
      </c>
      <c r="D102" s="1305">
        <v>26</v>
      </c>
      <c r="E102" s="1306">
        <v>24</v>
      </c>
      <c r="F102" s="1306">
        <v>2</v>
      </c>
      <c r="G102" s="1307">
        <v>0</v>
      </c>
      <c r="H102" s="1305">
        <v>954</v>
      </c>
      <c r="I102" s="1306">
        <v>835</v>
      </c>
      <c r="J102" s="1306">
        <v>88</v>
      </c>
      <c r="K102" s="1307">
        <v>31</v>
      </c>
      <c r="L102" s="1327">
        <f t="shared" si="13"/>
        <v>27.253668763102723</v>
      </c>
      <c r="M102" s="1328">
        <f t="shared" ref="M102:M125" si="14">IF(I102=0,"NA",(E102/I102)*1000)</f>
        <v>28.742514970059879</v>
      </c>
      <c r="N102" s="1328">
        <f t="shared" ref="N102:N125" si="15">IF(J102=0,"NA",(F102/J102)*1000)</f>
        <v>22.727272727272727</v>
      </c>
      <c r="O102" s="1329">
        <f t="shared" ref="O102:O125" si="16">IF(K102=0,"NA",(G102/K102)*1000)</f>
        <v>0</v>
      </c>
    </row>
    <row r="103" spans="1:15" x14ac:dyDescent="0.2">
      <c r="A103" s="1299" t="s">
        <v>52</v>
      </c>
      <c r="B103" s="1299" t="s">
        <v>53</v>
      </c>
      <c r="C103" s="1299" t="s">
        <v>265</v>
      </c>
      <c r="D103" s="1305">
        <v>24</v>
      </c>
      <c r="E103" s="1306">
        <v>9</v>
      </c>
      <c r="F103" s="1306">
        <v>12</v>
      </c>
      <c r="G103" s="1307">
        <v>3</v>
      </c>
      <c r="H103" s="1305">
        <v>1985</v>
      </c>
      <c r="I103" s="1306">
        <v>1188</v>
      </c>
      <c r="J103" s="1306">
        <v>611</v>
      </c>
      <c r="K103" s="1307">
        <v>186</v>
      </c>
      <c r="L103" s="1327">
        <f t="shared" si="13"/>
        <v>12.090680100755668</v>
      </c>
      <c r="M103" s="1328">
        <f t="shared" si="14"/>
        <v>7.5757575757575761</v>
      </c>
      <c r="N103" s="1328">
        <f t="shared" si="15"/>
        <v>19.639934533551553</v>
      </c>
      <c r="O103" s="1329">
        <f t="shared" si="16"/>
        <v>16.129032258064516</v>
      </c>
    </row>
    <row r="104" spans="1:15" x14ac:dyDescent="0.2">
      <c r="A104" s="1299" t="s">
        <v>54</v>
      </c>
      <c r="B104" s="1299" t="s">
        <v>55</v>
      </c>
      <c r="C104" s="1299" t="s">
        <v>264</v>
      </c>
      <c r="D104" s="1305">
        <v>131</v>
      </c>
      <c r="E104" s="1306">
        <v>42</v>
      </c>
      <c r="F104" s="1306">
        <v>78</v>
      </c>
      <c r="G104" s="1307">
        <v>11</v>
      </c>
      <c r="H104" s="1305">
        <v>15924</v>
      </c>
      <c r="I104" s="1306">
        <v>9651</v>
      </c>
      <c r="J104" s="1306">
        <v>5537</v>
      </c>
      <c r="K104" s="1307">
        <v>736</v>
      </c>
      <c r="L104" s="1327">
        <f t="shared" si="13"/>
        <v>8.2265762371263502</v>
      </c>
      <c r="M104" s="1328">
        <f t="shared" si="14"/>
        <v>4.3518806341311782</v>
      </c>
      <c r="N104" s="1328">
        <f t="shared" si="15"/>
        <v>14.087050749503341</v>
      </c>
      <c r="O104" s="1329">
        <f t="shared" si="16"/>
        <v>14.945652173913045</v>
      </c>
    </row>
    <row r="105" spans="1:15" x14ac:dyDescent="0.2">
      <c r="A105" s="1299" t="s">
        <v>66</v>
      </c>
      <c r="B105" s="1299" t="s">
        <v>67</v>
      </c>
      <c r="C105" s="1299" t="s">
        <v>265</v>
      </c>
      <c r="D105" s="1305">
        <v>64</v>
      </c>
      <c r="E105" s="1306">
        <v>16</v>
      </c>
      <c r="F105" s="1306">
        <v>44</v>
      </c>
      <c r="G105" s="1307">
        <v>4</v>
      </c>
      <c r="H105" s="1305">
        <v>2415</v>
      </c>
      <c r="I105" s="1306">
        <v>878</v>
      </c>
      <c r="J105" s="1306">
        <v>1502</v>
      </c>
      <c r="K105" s="1307">
        <v>35</v>
      </c>
      <c r="L105" s="1327">
        <f t="shared" si="13"/>
        <v>26.501035196687372</v>
      </c>
      <c r="M105" s="1328">
        <f t="shared" si="14"/>
        <v>18.223234624145785</v>
      </c>
      <c r="N105" s="1328">
        <f t="shared" si="15"/>
        <v>29.294274300932091</v>
      </c>
      <c r="O105" s="1329">
        <f t="shared" si="16"/>
        <v>114.28571428571428</v>
      </c>
    </row>
    <row r="106" spans="1:15" x14ac:dyDescent="0.2">
      <c r="A106" s="1299" t="s">
        <v>82</v>
      </c>
      <c r="B106" s="1299" t="s">
        <v>83</v>
      </c>
      <c r="C106" s="1299" t="s">
        <v>264</v>
      </c>
      <c r="D106" s="1305">
        <v>19</v>
      </c>
      <c r="E106" s="1306">
        <v>5</v>
      </c>
      <c r="F106" s="1306">
        <v>14</v>
      </c>
      <c r="G106" s="1307">
        <v>0</v>
      </c>
      <c r="H106" s="1305">
        <v>539</v>
      </c>
      <c r="I106" s="1306">
        <v>169</v>
      </c>
      <c r="J106" s="1306">
        <v>362</v>
      </c>
      <c r="K106" s="1307">
        <v>8</v>
      </c>
      <c r="L106" s="1327">
        <f t="shared" si="13"/>
        <v>35.250463821892389</v>
      </c>
      <c r="M106" s="1328">
        <f t="shared" si="14"/>
        <v>29.585798816568047</v>
      </c>
      <c r="N106" s="1328">
        <f t="shared" si="15"/>
        <v>38.674033149171272</v>
      </c>
      <c r="O106" s="1329">
        <f t="shared" si="16"/>
        <v>0</v>
      </c>
    </row>
    <row r="107" spans="1:15" x14ac:dyDescent="0.2">
      <c r="A107" s="1299" t="s">
        <v>88</v>
      </c>
      <c r="B107" s="1299" t="s">
        <v>89</v>
      </c>
      <c r="C107" s="1299" t="s">
        <v>267</v>
      </c>
      <c r="D107" s="1305">
        <v>26</v>
      </c>
      <c r="E107" s="1306">
        <v>12</v>
      </c>
      <c r="F107" s="1306">
        <v>8</v>
      </c>
      <c r="G107" s="1307">
        <v>6</v>
      </c>
      <c r="H107" s="1305">
        <v>2208</v>
      </c>
      <c r="I107" s="1306">
        <v>1464</v>
      </c>
      <c r="J107" s="1306">
        <v>622</v>
      </c>
      <c r="K107" s="1307">
        <v>122</v>
      </c>
      <c r="L107" s="1327">
        <f t="shared" si="13"/>
        <v>11.77536231884058</v>
      </c>
      <c r="M107" s="1328">
        <f t="shared" si="14"/>
        <v>8.1967213114754109</v>
      </c>
      <c r="N107" s="1328">
        <f t="shared" si="15"/>
        <v>12.861736334405144</v>
      </c>
      <c r="O107" s="1329">
        <f t="shared" si="16"/>
        <v>49.180327868852459</v>
      </c>
    </row>
    <row r="108" spans="1:15" x14ac:dyDescent="0.2">
      <c r="A108" s="1299" t="s">
        <v>90</v>
      </c>
      <c r="B108" s="1299" t="s">
        <v>91</v>
      </c>
      <c r="C108" s="1299" t="s">
        <v>268</v>
      </c>
      <c r="D108" s="1305">
        <v>16</v>
      </c>
      <c r="E108" s="1306">
        <v>13</v>
      </c>
      <c r="F108" s="1306">
        <v>0</v>
      </c>
      <c r="G108" s="1307">
        <v>3</v>
      </c>
      <c r="H108" s="1305">
        <v>438</v>
      </c>
      <c r="I108" s="1306">
        <v>388</v>
      </c>
      <c r="J108" s="1306">
        <v>40</v>
      </c>
      <c r="K108" s="1307">
        <v>10</v>
      </c>
      <c r="L108" s="1327">
        <f t="shared" si="13"/>
        <v>36.529680365296798</v>
      </c>
      <c r="M108" s="1328">
        <f t="shared" si="14"/>
        <v>33.505154639175259</v>
      </c>
      <c r="N108" s="1328">
        <f t="shared" si="15"/>
        <v>0</v>
      </c>
      <c r="O108" s="1329">
        <f t="shared" si="16"/>
        <v>300</v>
      </c>
    </row>
    <row r="109" spans="1:15" x14ac:dyDescent="0.2">
      <c r="A109" s="1299" t="s">
        <v>106</v>
      </c>
      <c r="B109" s="1299" t="s">
        <v>107</v>
      </c>
      <c r="C109" s="1299" t="s">
        <v>264</v>
      </c>
      <c r="D109" s="1305">
        <v>122</v>
      </c>
      <c r="E109" s="1306">
        <v>34</v>
      </c>
      <c r="F109" s="1306">
        <v>82</v>
      </c>
      <c r="G109" s="1307">
        <v>6</v>
      </c>
      <c r="H109" s="1305">
        <v>8669</v>
      </c>
      <c r="I109" s="1306">
        <v>2770</v>
      </c>
      <c r="J109" s="1306">
        <v>5610</v>
      </c>
      <c r="K109" s="1307">
        <v>289</v>
      </c>
      <c r="L109" s="1327">
        <f t="shared" si="13"/>
        <v>14.073134156188718</v>
      </c>
      <c r="M109" s="1328">
        <f t="shared" si="14"/>
        <v>12.27436823104693</v>
      </c>
      <c r="N109" s="1328">
        <f t="shared" si="15"/>
        <v>14.61675579322638</v>
      </c>
      <c r="O109" s="1329">
        <f t="shared" si="16"/>
        <v>20.761245674740483</v>
      </c>
    </row>
    <row r="110" spans="1:15" x14ac:dyDescent="0.2">
      <c r="A110" s="1299" t="s">
        <v>116</v>
      </c>
      <c r="B110" s="1299" t="s">
        <v>117</v>
      </c>
      <c r="C110" s="1299" t="s">
        <v>266</v>
      </c>
      <c r="D110" s="1305">
        <v>35</v>
      </c>
      <c r="E110" s="1306">
        <v>12</v>
      </c>
      <c r="F110" s="1306">
        <v>21</v>
      </c>
      <c r="G110" s="1307">
        <v>2</v>
      </c>
      <c r="H110" s="1305">
        <v>1315</v>
      </c>
      <c r="I110" s="1306">
        <v>600</v>
      </c>
      <c r="J110" s="1306">
        <v>689</v>
      </c>
      <c r="K110" s="1307">
        <v>26</v>
      </c>
      <c r="L110" s="1327">
        <f t="shared" si="13"/>
        <v>26.615969581749049</v>
      </c>
      <c r="M110" s="1328">
        <f t="shared" si="14"/>
        <v>20</v>
      </c>
      <c r="N110" s="1328">
        <f t="shared" si="15"/>
        <v>30.478955007256896</v>
      </c>
      <c r="O110" s="1329">
        <f t="shared" si="16"/>
        <v>76.923076923076934</v>
      </c>
    </row>
    <row r="111" spans="1:15" x14ac:dyDescent="0.2">
      <c r="A111" s="1299" t="s">
        <v>138</v>
      </c>
      <c r="B111" s="1299" t="s">
        <v>139</v>
      </c>
      <c r="C111" s="1299" t="s">
        <v>265</v>
      </c>
      <c r="D111" s="1305">
        <v>66</v>
      </c>
      <c r="E111" s="1306">
        <v>28</v>
      </c>
      <c r="F111" s="1306">
        <v>37</v>
      </c>
      <c r="G111" s="1307">
        <v>1</v>
      </c>
      <c r="H111" s="1305">
        <v>6275</v>
      </c>
      <c r="I111" s="1306">
        <v>4102</v>
      </c>
      <c r="J111" s="1306">
        <v>1940</v>
      </c>
      <c r="K111" s="1307">
        <v>233</v>
      </c>
      <c r="L111" s="1327">
        <f t="shared" si="13"/>
        <v>10.517928286852589</v>
      </c>
      <c r="M111" s="1328">
        <f t="shared" si="14"/>
        <v>6.8259385665529013</v>
      </c>
      <c r="N111" s="1328">
        <f t="shared" si="15"/>
        <v>19.072164948453612</v>
      </c>
      <c r="O111" s="1329">
        <f t="shared" si="16"/>
        <v>4.2918454935622314</v>
      </c>
    </row>
    <row r="112" spans="1:15" x14ac:dyDescent="0.2">
      <c r="A112" s="1299" t="s">
        <v>142</v>
      </c>
      <c r="B112" s="1299" t="s">
        <v>143</v>
      </c>
      <c r="C112" s="1299" t="s">
        <v>267</v>
      </c>
      <c r="D112" s="1305">
        <v>50</v>
      </c>
      <c r="E112" s="1306">
        <v>36</v>
      </c>
      <c r="F112" s="1306">
        <v>6</v>
      </c>
      <c r="G112" s="1307">
        <v>8</v>
      </c>
      <c r="H112" s="1305">
        <v>2788</v>
      </c>
      <c r="I112" s="1306">
        <v>2078</v>
      </c>
      <c r="J112" s="1306">
        <v>515</v>
      </c>
      <c r="K112" s="1307">
        <v>195</v>
      </c>
      <c r="L112" s="1327">
        <f t="shared" si="13"/>
        <v>17.934002869440459</v>
      </c>
      <c r="M112" s="1328">
        <f t="shared" si="14"/>
        <v>17.324350336862366</v>
      </c>
      <c r="N112" s="1328">
        <f t="shared" si="15"/>
        <v>11.650485436893204</v>
      </c>
      <c r="O112" s="1329">
        <f t="shared" si="16"/>
        <v>41.025641025641029</v>
      </c>
    </row>
    <row r="113" spans="1:15" x14ac:dyDescent="0.2">
      <c r="A113" s="1299" t="s">
        <v>144</v>
      </c>
      <c r="B113" s="1299" t="s">
        <v>145</v>
      </c>
      <c r="C113" s="1299" t="s">
        <v>267</v>
      </c>
      <c r="D113" s="1305">
        <v>1</v>
      </c>
      <c r="E113" s="1306">
        <v>0</v>
      </c>
      <c r="F113" s="1306">
        <v>0</v>
      </c>
      <c r="G113" s="1307">
        <v>1</v>
      </c>
      <c r="H113" s="1305">
        <v>1047</v>
      </c>
      <c r="I113" s="1306">
        <v>787</v>
      </c>
      <c r="J113" s="1306">
        <v>145</v>
      </c>
      <c r="K113" s="1307">
        <v>115</v>
      </c>
      <c r="L113" s="1327">
        <f t="shared" si="13"/>
        <v>0.95510983763132762</v>
      </c>
      <c r="M113" s="1328">
        <f t="shared" si="14"/>
        <v>0</v>
      </c>
      <c r="N113" s="1328">
        <f t="shared" si="15"/>
        <v>0</v>
      </c>
      <c r="O113" s="1329">
        <f t="shared" si="16"/>
        <v>8.695652173913043</v>
      </c>
    </row>
    <row r="114" spans="1:15" x14ac:dyDescent="0.2">
      <c r="A114" s="1299" t="s">
        <v>158</v>
      </c>
      <c r="B114" s="1299" t="s">
        <v>159</v>
      </c>
      <c r="C114" s="1299" t="s">
        <v>264</v>
      </c>
      <c r="D114" s="1305">
        <v>208</v>
      </c>
      <c r="E114" s="1306">
        <v>47</v>
      </c>
      <c r="F114" s="1306">
        <v>131</v>
      </c>
      <c r="G114" s="1307">
        <v>30</v>
      </c>
      <c r="H114" s="1305">
        <v>11695</v>
      </c>
      <c r="I114" s="1306">
        <v>5300</v>
      </c>
      <c r="J114" s="1306">
        <v>5959</v>
      </c>
      <c r="K114" s="1307">
        <v>436</v>
      </c>
      <c r="L114" s="1327">
        <f t="shared" si="13"/>
        <v>17.78537836682343</v>
      </c>
      <c r="M114" s="1328">
        <f t="shared" si="14"/>
        <v>8.8679245283018879</v>
      </c>
      <c r="N114" s="1328">
        <f t="shared" si="15"/>
        <v>21.983554287632153</v>
      </c>
      <c r="O114" s="1329">
        <f t="shared" si="16"/>
        <v>68.807339449541288</v>
      </c>
    </row>
    <row r="115" spans="1:15" x14ac:dyDescent="0.2">
      <c r="A115" s="1299" t="s">
        <v>160</v>
      </c>
      <c r="B115" s="1299" t="s">
        <v>161</v>
      </c>
      <c r="C115" s="1299" t="s">
        <v>264</v>
      </c>
      <c r="D115" s="1305">
        <v>277</v>
      </c>
      <c r="E115" s="1306">
        <v>49</v>
      </c>
      <c r="F115" s="1306">
        <v>199</v>
      </c>
      <c r="G115" s="1307">
        <v>29</v>
      </c>
      <c r="H115" s="1305">
        <v>13561</v>
      </c>
      <c r="I115" s="1306">
        <v>4787</v>
      </c>
      <c r="J115" s="1306">
        <v>8106</v>
      </c>
      <c r="K115" s="1307">
        <v>668</v>
      </c>
      <c r="L115" s="1327">
        <f t="shared" si="13"/>
        <v>20.426222254995945</v>
      </c>
      <c r="M115" s="1328">
        <f t="shared" si="14"/>
        <v>10.236055984959265</v>
      </c>
      <c r="N115" s="1328">
        <f t="shared" si="15"/>
        <v>24.549716259560821</v>
      </c>
      <c r="O115" s="1329">
        <f t="shared" si="16"/>
        <v>43.41317365269461</v>
      </c>
    </row>
    <row r="116" spans="1:15" x14ac:dyDescent="0.2">
      <c r="A116" s="1299" t="s">
        <v>166</v>
      </c>
      <c r="B116" s="1299" t="s">
        <v>167</v>
      </c>
      <c r="C116" s="1299" t="s">
        <v>268</v>
      </c>
      <c r="D116" s="1305">
        <v>3</v>
      </c>
      <c r="E116" s="1306">
        <v>3</v>
      </c>
      <c r="F116" s="1306">
        <v>0</v>
      </c>
      <c r="G116" s="1307">
        <v>0</v>
      </c>
      <c r="H116" s="1305">
        <v>242</v>
      </c>
      <c r="I116" s="1306">
        <v>211</v>
      </c>
      <c r="J116" s="1306">
        <v>30</v>
      </c>
      <c r="K116" s="1307">
        <v>1</v>
      </c>
      <c r="L116" s="1327">
        <f t="shared" si="13"/>
        <v>12.396694214876034</v>
      </c>
      <c r="M116" s="1328">
        <f t="shared" si="14"/>
        <v>14.218009478672984</v>
      </c>
      <c r="N116" s="1328">
        <f t="shared" si="15"/>
        <v>0</v>
      </c>
      <c r="O116" s="1329">
        <f t="shared" si="16"/>
        <v>0</v>
      </c>
    </row>
    <row r="117" spans="1:15" x14ac:dyDescent="0.2">
      <c r="A117" s="1299" t="s">
        <v>176</v>
      </c>
      <c r="B117" s="1299" t="s">
        <v>177</v>
      </c>
      <c r="C117" s="1299" t="s">
        <v>266</v>
      </c>
      <c r="D117" s="1305">
        <v>77</v>
      </c>
      <c r="E117" s="1306">
        <v>15</v>
      </c>
      <c r="F117" s="1306">
        <v>54</v>
      </c>
      <c r="G117" s="1307">
        <v>8</v>
      </c>
      <c r="H117" s="1305">
        <v>1586</v>
      </c>
      <c r="I117" s="1306">
        <v>216</v>
      </c>
      <c r="J117" s="1306">
        <v>1350</v>
      </c>
      <c r="K117" s="1307">
        <v>20</v>
      </c>
      <c r="L117" s="1327">
        <f t="shared" si="13"/>
        <v>48.549810844892811</v>
      </c>
      <c r="M117" s="1328">
        <f t="shared" si="14"/>
        <v>69.444444444444443</v>
      </c>
      <c r="N117" s="1328">
        <f t="shared" si="15"/>
        <v>40</v>
      </c>
      <c r="O117" s="1329">
        <f t="shared" si="16"/>
        <v>400</v>
      </c>
    </row>
    <row r="118" spans="1:15" x14ac:dyDescent="0.2">
      <c r="A118" s="1299" t="s">
        <v>180</v>
      </c>
      <c r="B118" s="1299" t="s">
        <v>181</v>
      </c>
      <c r="C118" s="1299" t="s">
        <v>264</v>
      </c>
      <c r="D118" s="1305">
        <v>129</v>
      </c>
      <c r="E118" s="1306">
        <v>25</v>
      </c>
      <c r="F118" s="1306">
        <v>99</v>
      </c>
      <c r="G118" s="1307">
        <v>5</v>
      </c>
      <c r="H118" s="1305">
        <v>5338</v>
      </c>
      <c r="I118" s="1306">
        <v>1618</v>
      </c>
      <c r="J118" s="1306">
        <v>3593</v>
      </c>
      <c r="K118" s="1307">
        <v>127</v>
      </c>
      <c r="L118" s="1327">
        <f t="shared" si="13"/>
        <v>24.166354439865117</v>
      </c>
      <c r="M118" s="1328">
        <f t="shared" si="14"/>
        <v>15.451174289245984</v>
      </c>
      <c r="N118" s="1328">
        <f t="shared" si="15"/>
        <v>27.553576398552742</v>
      </c>
      <c r="O118" s="1329">
        <f t="shared" si="16"/>
        <v>39.370078740157481</v>
      </c>
    </row>
    <row r="119" spans="1:15" x14ac:dyDescent="0.2">
      <c r="A119" s="1299" t="s">
        <v>192</v>
      </c>
      <c r="B119" s="1299" t="s">
        <v>193</v>
      </c>
      <c r="C119" s="1299" t="s">
        <v>268</v>
      </c>
      <c r="D119" s="1305">
        <v>14</v>
      </c>
      <c r="E119" s="1306">
        <v>11</v>
      </c>
      <c r="F119" s="1306">
        <v>2</v>
      </c>
      <c r="G119" s="1307">
        <v>1</v>
      </c>
      <c r="H119" s="1305">
        <v>1861</v>
      </c>
      <c r="I119" s="1306">
        <v>1640</v>
      </c>
      <c r="J119" s="1306">
        <v>183</v>
      </c>
      <c r="K119" s="1307">
        <v>38</v>
      </c>
      <c r="L119" s="1327">
        <f t="shared" si="13"/>
        <v>7.5228371843095116</v>
      </c>
      <c r="M119" s="1328">
        <f t="shared" si="14"/>
        <v>6.7073170731707314</v>
      </c>
      <c r="N119" s="1328">
        <f t="shared" si="15"/>
        <v>10.928961748633879</v>
      </c>
      <c r="O119" s="1329">
        <f t="shared" si="16"/>
        <v>26.315789473684209</v>
      </c>
    </row>
    <row r="120" spans="1:15" x14ac:dyDescent="0.2">
      <c r="A120" s="1299" t="s">
        <v>196</v>
      </c>
      <c r="B120" s="1299" t="s">
        <v>197</v>
      </c>
      <c r="C120" s="1299" t="s">
        <v>266</v>
      </c>
      <c r="D120" s="1305">
        <v>278</v>
      </c>
      <c r="E120" s="1306">
        <v>33</v>
      </c>
      <c r="F120" s="1306">
        <v>226</v>
      </c>
      <c r="G120" s="1307">
        <v>19</v>
      </c>
      <c r="H120" s="1305">
        <v>11853</v>
      </c>
      <c r="I120" s="1306">
        <v>3904</v>
      </c>
      <c r="J120" s="1306">
        <v>7387</v>
      </c>
      <c r="K120" s="1307">
        <v>562</v>
      </c>
      <c r="L120" s="1327">
        <f t="shared" si="13"/>
        <v>23.453977895891335</v>
      </c>
      <c r="M120" s="1328">
        <f t="shared" si="14"/>
        <v>8.4528688524590176</v>
      </c>
      <c r="N120" s="1328">
        <f t="shared" si="15"/>
        <v>30.594287261405171</v>
      </c>
      <c r="O120" s="1329">
        <f t="shared" si="16"/>
        <v>33.807829181494661</v>
      </c>
    </row>
    <row r="121" spans="1:15" x14ac:dyDescent="0.2">
      <c r="A121" s="1299" t="s">
        <v>200</v>
      </c>
      <c r="B121" s="1299" t="s">
        <v>201</v>
      </c>
      <c r="C121" s="1299" t="s">
        <v>265</v>
      </c>
      <c r="D121" s="1305">
        <v>133</v>
      </c>
      <c r="E121" s="1306">
        <v>60</v>
      </c>
      <c r="F121" s="1306">
        <v>66</v>
      </c>
      <c r="G121" s="1307">
        <v>7</v>
      </c>
      <c r="H121" s="1305">
        <v>4933</v>
      </c>
      <c r="I121" s="1306">
        <v>2636</v>
      </c>
      <c r="J121" s="1306">
        <v>2134</v>
      </c>
      <c r="K121" s="1307">
        <v>163</v>
      </c>
      <c r="L121" s="1327">
        <f t="shared" si="13"/>
        <v>26.961281167646462</v>
      </c>
      <c r="M121" s="1328">
        <f t="shared" si="14"/>
        <v>22.761760242792107</v>
      </c>
      <c r="N121" s="1328">
        <f t="shared" si="15"/>
        <v>30.927835051546392</v>
      </c>
      <c r="O121" s="1329">
        <f t="shared" si="16"/>
        <v>42.944785276073624</v>
      </c>
    </row>
    <row r="122" spans="1:15" x14ac:dyDescent="0.2">
      <c r="A122" s="1299" t="s">
        <v>222</v>
      </c>
      <c r="B122" s="1299" t="s">
        <v>223</v>
      </c>
      <c r="C122" s="1299" t="s">
        <v>264</v>
      </c>
      <c r="D122" s="1305">
        <v>60</v>
      </c>
      <c r="E122" s="1306">
        <v>12</v>
      </c>
      <c r="F122" s="1306">
        <v>47</v>
      </c>
      <c r="G122" s="1307">
        <v>1</v>
      </c>
      <c r="H122" s="1305">
        <v>5773</v>
      </c>
      <c r="I122" s="1306">
        <v>2515</v>
      </c>
      <c r="J122" s="1306">
        <v>3116</v>
      </c>
      <c r="K122" s="1307">
        <v>142</v>
      </c>
      <c r="L122" s="1327">
        <f t="shared" si="13"/>
        <v>10.393209769617183</v>
      </c>
      <c r="M122" s="1328">
        <f t="shared" si="14"/>
        <v>4.7713717693836983</v>
      </c>
      <c r="N122" s="1328">
        <f t="shared" si="15"/>
        <v>15.083440308087292</v>
      </c>
      <c r="O122" s="1329">
        <f t="shared" si="16"/>
        <v>7.042253521126761</v>
      </c>
    </row>
    <row r="123" spans="1:15" x14ac:dyDescent="0.2">
      <c r="A123" s="1299" t="s">
        <v>230</v>
      </c>
      <c r="B123" s="1299" t="s">
        <v>231</v>
      </c>
      <c r="C123" s="1299" t="s">
        <v>264</v>
      </c>
      <c r="D123" s="1305">
        <v>246</v>
      </c>
      <c r="E123" s="1306">
        <v>115</v>
      </c>
      <c r="F123" s="1306">
        <v>94</v>
      </c>
      <c r="G123" s="1307">
        <v>37</v>
      </c>
      <c r="H123" s="1305">
        <v>27280</v>
      </c>
      <c r="I123" s="1306">
        <v>17719</v>
      </c>
      <c r="J123" s="1306">
        <v>7324</v>
      </c>
      <c r="K123" s="1307">
        <v>2237</v>
      </c>
      <c r="L123" s="1327">
        <f t="shared" si="13"/>
        <v>9.0175953079178885</v>
      </c>
      <c r="M123" s="1328">
        <f t="shared" si="14"/>
        <v>6.4902082510299675</v>
      </c>
      <c r="N123" s="1328">
        <f t="shared" si="15"/>
        <v>12.834516657564173</v>
      </c>
      <c r="O123" s="1329">
        <f t="shared" si="16"/>
        <v>16.540008940545373</v>
      </c>
    </row>
    <row r="124" spans="1:15" x14ac:dyDescent="0.2">
      <c r="A124" s="1299" t="s">
        <v>238</v>
      </c>
      <c r="B124" s="1299" t="s">
        <v>239</v>
      </c>
      <c r="C124" s="1299" t="s">
        <v>264</v>
      </c>
      <c r="D124" s="1305">
        <v>6</v>
      </c>
      <c r="E124" s="1306">
        <v>1</v>
      </c>
      <c r="F124" s="1306">
        <v>4</v>
      </c>
      <c r="G124" s="1307">
        <v>1</v>
      </c>
      <c r="H124" s="1305">
        <v>1495</v>
      </c>
      <c r="I124" s="1306">
        <v>1135</v>
      </c>
      <c r="J124" s="1306">
        <v>232</v>
      </c>
      <c r="K124" s="1307">
        <v>128</v>
      </c>
      <c r="L124" s="1327">
        <f t="shared" si="13"/>
        <v>4.0133779264214047</v>
      </c>
      <c r="M124" s="1328">
        <f t="shared" si="14"/>
        <v>0.88105726872246704</v>
      </c>
      <c r="N124" s="1328">
        <f t="shared" si="15"/>
        <v>17.241379310344826</v>
      </c>
      <c r="O124" s="1329">
        <f t="shared" si="16"/>
        <v>7.8125</v>
      </c>
    </row>
    <row r="125" spans="1:15" x14ac:dyDescent="0.2">
      <c r="A125" s="1315" t="s">
        <v>240</v>
      </c>
      <c r="B125" s="1315" t="s">
        <v>241</v>
      </c>
      <c r="C125" s="1315" t="s">
        <v>267</v>
      </c>
      <c r="D125" s="1316">
        <v>25</v>
      </c>
      <c r="E125" s="1317">
        <v>19</v>
      </c>
      <c r="F125" s="1317">
        <v>4</v>
      </c>
      <c r="G125" s="1318">
        <v>2</v>
      </c>
      <c r="H125" s="1316">
        <v>1715</v>
      </c>
      <c r="I125" s="1319">
        <v>1362</v>
      </c>
      <c r="J125" s="1319">
        <v>288</v>
      </c>
      <c r="K125" s="1318">
        <v>65</v>
      </c>
      <c r="L125" s="1330">
        <f t="shared" si="13"/>
        <v>14.577259475218659</v>
      </c>
      <c r="M125" s="1331">
        <f t="shared" si="14"/>
        <v>13.950073421439061</v>
      </c>
      <c r="N125" s="1331">
        <f t="shared" si="15"/>
        <v>13.888888888888888</v>
      </c>
      <c r="O125" s="1332">
        <f t="shared" si="16"/>
        <v>30.76923076923077</v>
      </c>
    </row>
    <row r="127" spans="1:15" x14ac:dyDescent="0.2">
      <c r="A127" s="1299" t="s">
        <v>266</v>
      </c>
      <c r="D127" s="1320">
        <v>964</v>
      </c>
      <c r="E127" s="1306">
        <v>359</v>
      </c>
      <c r="F127" s="1306">
        <v>526</v>
      </c>
      <c r="G127" s="1307">
        <v>79</v>
      </c>
      <c r="H127" s="1305">
        <v>85413</v>
      </c>
      <c r="I127" s="1306">
        <v>51174</v>
      </c>
      <c r="J127" s="1306">
        <v>30442</v>
      </c>
      <c r="K127" s="1307">
        <v>3797</v>
      </c>
      <c r="L127" s="1321">
        <f t="shared" ref="L127:L131" si="17">IF(H127=0,"NA",(D127/H127)*1000)</f>
        <v>11.28633814524721</v>
      </c>
      <c r="M127" s="1322">
        <f t="shared" ref="M127:M131" si="18">IF(I127=0,"NA",(E127/I127)*1000)</f>
        <v>7.0152811974830964</v>
      </c>
      <c r="N127" s="1322">
        <f t="shared" ref="N127:N131" si="19">IF(J127=0,"NA",(F127/J127)*1000)</f>
        <v>17.278759608435713</v>
      </c>
      <c r="O127" s="1323">
        <f t="shared" ref="O127:O131" si="20">IF(K127=0,"NA",(G127/K127)*1000)</f>
        <v>20.805899394258624</v>
      </c>
    </row>
    <row r="128" spans="1:15" x14ac:dyDescent="0.2">
      <c r="A128" s="1299" t="s">
        <v>264</v>
      </c>
      <c r="D128" s="1305">
        <v>1419</v>
      </c>
      <c r="E128" s="1306">
        <v>440</v>
      </c>
      <c r="F128" s="1306">
        <v>847</v>
      </c>
      <c r="G128" s="1307">
        <v>132</v>
      </c>
      <c r="H128" s="1305">
        <v>115131</v>
      </c>
      <c r="I128" s="1306">
        <v>62824</v>
      </c>
      <c r="J128" s="1306">
        <v>46653</v>
      </c>
      <c r="K128" s="1307">
        <v>5654</v>
      </c>
      <c r="L128" s="1321">
        <f t="shared" si="17"/>
        <v>12.325090549026759</v>
      </c>
      <c r="M128" s="1322">
        <f t="shared" si="18"/>
        <v>7.0036928562332861</v>
      </c>
      <c r="N128" s="1322">
        <f t="shared" si="19"/>
        <v>18.155316914239172</v>
      </c>
      <c r="O128" s="1323">
        <f t="shared" si="20"/>
        <v>23.346303501945524</v>
      </c>
    </row>
    <row r="129" spans="1:15" x14ac:dyDescent="0.2">
      <c r="A129" s="1299" t="s">
        <v>267</v>
      </c>
      <c r="D129" s="1305">
        <v>1442</v>
      </c>
      <c r="E129" s="1306">
        <v>840</v>
      </c>
      <c r="F129" s="1306">
        <v>223</v>
      </c>
      <c r="G129" s="1307">
        <v>379</v>
      </c>
      <c r="H129" s="1305">
        <v>211022</v>
      </c>
      <c r="I129" s="1306">
        <v>153736</v>
      </c>
      <c r="J129" s="1306">
        <v>31159</v>
      </c>
      <c r="K129" s="1307">
        <v>26127</v>
      </c>
      <c r="L129" s="1321">
        <f t="shared" si="17"/>
        <v>6.8334107344257946</v>
      </c>
      <c r="M129" s="1322">
        <f t="shared" si="18"/>
        <v>5.4639121611073529</v>
      </c>
      <c r="N129" s="1322">
        <f t="shared" si="19"/>
        <v>7.156840720177156</v>
      </c>
      <c r="O129" s="1323">
        <f t="shared" si="20"/>
        <v>14.506066521223255</v>
      </c>
    </row>
    <row r="130" spans="1:15" x14ac:dyDescent="0.2">
      <c r="A130" s="1299" t="s">
        <v>265</v>
      </c>
      <c r="D130" s="1305">
        <v>877</v>
      </c>
      <c r="E130" s="1306">
        <v>566</v>
      </c>
      <c r="F130" s="1306">
        <v>274</v>
      </c>
      <c r="G130" s="1307">
        <v>37</v>
      </c>
      <c r="H130" s="1305">
        <v>71598</v>
      </c>
      <c r="I130" s="1306">
        <v>54463</v>
      </c>
      <c r="J130" s="1306">
        <v>14964</v>
      </c>
      <c r="K130" s="1307">
        <v>2171</v>
      </c>
      <c r="L130" s="1321">
        <f t="shared" si="17"/>
        <v>12.248945501270985</v>
      </c>
      <c r="M130" s="1322">
        <f t="shared" si="18"/>
        <v>10.392376475772544</v>
      </c>
      <c r="N130" s="1322">
        <f t="shared" si="19"/>
        <v>18.310612135792567</v>
      </c>
      <c r="O130" s="1323">
        <f t="shared" si="20"/>
        <v>17.042837402118838</v>
      </c>
    </row>
    <row r="131" spans="1:15" x14ac:dyDescent="0.2">
      <c r="A131" s="1299" t="s">
        <v>268</v>
      </c>
      <c r="D131" s="1305">
        <v>614</v>
      </c>
      <c r="E131" s="1306">
        <v>589</v>
      </c>
      <c r="F131" s="1306">
        <v>14</v>
      </c>
      <c r="G131" s="1307">
        <v>11</v>
      </c>
      <c r="H131" s="1305">
        <v>35190</v>
      </c>
      <c r="I131" s="1306">
        <v>32943</v>
      </c>
      <c r="J131" s="1306">
        <v>1512</v>
      </c>
      <c r="K131" s="1307">
        <v>735</v>
      </c>
      <c r="L131" s="1321">
        <f t="shared" si="17"/>
        <v>17.448138675760159</v>
      </c>
      <c r="M131" s="1322">
        <f t="shared" si="18"/>
        <v>17.879367392162219</v>
      </c>
      <c r="N131" s="1322">
        <f t="shared" si="19"/>
        <v>9.2592592592592595</v>
      </c>
      <c r="O131" s="1323">
        <f t="shared" si="20"/>
        <v>14.965986394557822</v>
      </c>
    </row>
    <row r="133" spans="1:15" x14ac:dyDescent="0.2">
      <c r="B133" s="1299" t="s">
        <v>908</v>
      </c>
    </row>
    <row r="135" spans="1:15" x14ac:dyDescent="0.2">
      <c r="B135" s="1299" t="s">
        <v>906</v>
      </c>
    </row>
    <row r="136" spans="1:15" x14ac:dyDescent="0.2">
      <c r="B136" s="1299" t="s">
        <v>249</v>
      </c>
      <c r="D136" s="1308" t="s">
        <v>907</v>
      </c>
    </row>
  </sheetData>
  <autoFilter ref="A4:C125"/>
  <sortState ref="A6:O125">
    <sortCondition ref="A6:A125"/>
  </sortState>
  <mergeCells count="3">
    <mergeCell ref="D3:G3"/>
    <mergeCell ref="H3:K3"/>
    <mergeCell ref="L3:O3"/>
  </mergeCells>
  <hyperlinks>
    <hyperlink ref="D136"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Y135"/>
  <sheetViews>
    <sheetView workbookViewId="0">
      <pane xSplit="3" ySplit="5" topLeftCell="AA110" activePane="bottomRight" state="frozen"/>
      <selection pane="topRight" activeCell="D1" sqref="D1"/>
      <selection pane="bottomLeft" activeCell="A6" sqref="A6"/>
      <selection pane="bottomRight" activeCell="AI127" sqref="AI127:AI131"/>
    </sheetView>
  </sheetViews>
  <sheetFormatPr defaultRowHeight="15.75" x14ac:dyDescent="0.25"/>
  <cols>
    <col min="1" max="1" width="7.75" style="134" customWidth="1"/>
    <col min="2" max="2" width="28.625" style="158" customWidth="1"/>
    <col min="3" max="3" width="10" style="158" customWidth="1"/>
    <col min="4" max="4" width="8.25" style="158" customWidth="1"/>
    <col min="5" max="7" width="8.25" style="157" customWidth="1"/>
    <col min="8" max="11" width="8.25" style="134" customWidth="1"/>
    <col min="12" max="15" width="8.25" style="135" customWidth="1"/>
    <col min="16" max="19" width="8.25" style="134" customWidth="1"/>
    <col min="20" max="16384" width="9" style="134"/>
  </cols>
  <sheetData>
    <row r="1" spans="1:51" x14ac:dyDescent="0.25">
      <c r="A1" s="313" t="s">
        <v>896</v>
      </c>
      <c r="B1" s="313"/>
      <c r="C1" s="313"/>
      <c r="D1" s="313"/>
      <c r="E1" s="313"/>
      <c r="F1" s="313"/>
      <c r="G1" s="313"/>
      <c r="H1" s="313"/>
      <c r="I1" s="314"/>
      <c r="J1" s="314"/>
      <c r="K1" s="314"/>
      <c r="L1" s="314"/>
      <c r="M1" s="314"/>
      <c r="N1" s="314"/>
      <c r="O1" s="314"/>
    </row>
    <row r="2" spans="1:51" x14ac:dyDescent="0.25">
      <c r="A2" s="96"/>
      <c r="B2" s="136"/>
      <c r="C2" s="136"/>
      <c r="D2" s="136"/>
      <c r="E2" s="2100"/>
      <c r="F2" s="2100"/>
      <c r="G2" s="2100"/>
    </row>
    <row r="3" spans="1:51" ht="15.75" customHeight="1" x14ac:dyDescent="0.25">
      <c r="A3" s="96"/>
      <c r="B3" s="136"/>
      <c r="C3" s="136"/>
      <c r="D3" s="2101" t="s">
        <v>632</v>
      </c>
      <c r="E3" s="2101"/>
      <c r="F3" s="2101"/>
      <c r="G3" s="2101"/>
      <c r="H3" s="2101"/>
      <c r="I3" s="2101"/>
      <c r="J3" s="2101"/>
      <c r="K3" s="2101"/>
      <c r="L3" s="2101"/>
      <c r="M3" s="2101"/>
      <c r="N3" s="2101"/>
      <c r="O3" s="2101"/>
      <c r="P3" s="2101"/>
      <c r="Q3" s="2101"/>
      <c r="R3" s="2101"/>
      <c r="S3" s="2101"/>
      <c r="T3" s="2102" t="s">
        <v>897</v>
      </c>
      <c r="U3" s="2102"/>
      <c r="V3" s="2102"/>
      <c r="W3" s="2102"/>
      <c r="X3" s="2102"/>
      <c r="Y3" s="2102"/>
      <c r="Z3" s="2102"/>
      <c r="AA3" s="2102"/>
      <c r="AB3" s="2102"/>
      <c r="AC3" s="2102"/>
      <c r="AD3" s="2102"/>
      <c r="AE3" s="2102"/>
      <c r="AF3" s="2102"/>
      <c r="AG3" s="2102"/>
      <c r="AH3" s="2102"/>
      <c r="AI3" s="2102"/>
      <c r="AJ3" s="2102" t="s">
        <v>898</v>
      </c>
      <c r="AK3" s="2102"/>
      <c r="AL3" s="2102"/>
      <c r="AM3" s="2102"/>
      <c r="AN3" s="2102"/>
      <c r="AO3" s="2102"/>
      <c r="AP3" s="2102"/>
      <c r="AQ3" s="2102"/>
      <c r="AR3" s="2102"/>
      <c r="AS3" s="2102"/>
      <c r="AT3" s="2102"/>
      <c r="AU3" s="2102"/>
      <c r="AV3" s="2102"/>
      <c r="AW3" s="2102"/>
      <c r="AX3" s="2102"/>
      <c r="AY3" s="2102"/>
    </row>
    <row r="4" spans="1:51" s="142" customFormat="1" ht="15" customHeight="1" x14ac:dyDescent="0.2">
      <c r="A4" s="1247" t="s">
        <v>4</v>
      </c>
      <c r="B4" s="1246" t="s">
        <v>5</v>
      </c>
      <c r="C4" s="1246" t="s">
        <v>251</v>
      </c>
      <c r="D4" s="1257">
        <v>1998</v>
      </c>
      <c r="E4" s="1258">
        <v>1999</v>
      </c>
      <c r="F4" s="1258">
        <v>2000</v>
      </c>
      <c r="G4" s="1258">
        <v>2001</v>
      </c>
      <c r="H4" s="1258">
        <v>2002</v>
      </c>
      <c r="I4" s="1258">
        <v>2003</v>
      </c>
      <c r="J4" s="1258">
        <v>2004</v>
      </c>
      <c r="K4" s="1258">
        <v>2005</v>
      </c>
      <c r="L4" s="1258">
        <v>2006</v>
      </c>
      <c r="M4" s="1258">
        <v>2007</v>
      </c>
      <c r="N4" s="1258">
        <v>2008</v>
      </c>
      <c r="O4" s="1259">
        <v>2009</v>
      </c>
      <c r="P4" s="1260">
        <v>2010</v>
      </c>
      <c r="Q4" s="1260">
        <v>2011</v>
      </c>
      <c r="R4" s="1549">
        <v>2012</v>
      </c>
      <c r="S4" s="1261">
        <v>2013</v>
      </c>
      <c r="T4" s="1267">
        <v>1998</v>
      </c>
      <c r="U4" s="1260">
        <v>1999</v>
      </c>
      <c r="V4" s="1260">
        <v>2000</v>
      </c>
      <c r="W4" s="1260">
        <v>2001</v>
      </c>
      <c r="X4" s="1260">
        <v>2002</v>
      </c>
      <c r="Y4" s="1260">
        <v>2003</v>
      </c>
      <c r="Z4" s="1260">
        <v>2004</v>
      </c>
      <c r="AA4" s="1260">
        <v>2005</v>
      </c>
      <c r="AB4" s="1260">
        <v>2006</v>
      </c>
      <c r="AC4" s="1260">
        <v>2007</v>
      </c>
      <c r="AD4" s="1260">
        <v>2008</v>
      </c>
      <c r="AE4" s="1260">
        <v>2009</v>
      </c>
      <c r="AF4" s="1260">
        <v>2010</v>
      </c>
      <c r="AG4" s="1260">
        <v>2011</v>
      </c>
      <c r="AH4" s="1549">
        <v>2012</v>
      </c>
      <c r="AI4" s="1261">
        <v>2013</v>
      </c>
      <c r="AJ4" s="1267">
        <v>1998</v>
      </c>
      <c r="AK4" s="1260">
        <v>1999</v>
      </c>
      <c r="AL4" s="1260">
        <v>2000</v>
      </c>
      <c r="AM4" s="1260">
        <v>2001</v>
      </c>
      <c r="AN4" s="1260">
        <v>2002</v>
      </c>
      <c r="AO4" s="1260">
        <v>2003</v>
      </c>
      <c r="AP4" s="1260">
        <v>2004</v>
      </c>
      <c r="AQ4" s="1260">
        <v>2005</v>
      </c>
      <c r="AR4" s="1260">
        <v>2006</v>
      </c>
      <c r="AS4" s="1260">
        <v>2007</v>
      </c>
      <c r="AT4" s="1260">
        <v>2008</v>
      </c>
      <c r="AU4" s="1260">
        <v>2009</v>
      </c>
      <c r="AV4" s="1260">
        <v>2010</v>
      </c>
      <c r="AW4" s="1260">
        <v>2011</v>
      </c>
      <c r="AX4" s="1549">
        <v>2012</v>
      </c>
      <c r="AY4" s="1261">
        <v>2013</v>
      </c>
    </row>
    <row r="5" spans="1:51" s="142" customFormat="1" ht="15.75" customHeight="1" x14ac:dyDescent="0.2">
      <c r="A5" s="146" t="s">
        <v>8</v>
      </c>
      <c r="B5" s="147" t="s">
        <v>9</v>
      </c>
      <c r="C5" s="148"/>
      <c r="D5" s="1249">
        <v>94114</v>
      </c>
      <c r="E5" s="1250">
        <v>95207</v>
      </c>
      <c r="F5" s="1250">
        <v>98864</v>
      </c>
      <c r="G5" s="1250">
        <v>98531</v>
      </c>
      <c r="H5" s="1250">
        <v>99235</v>
      </c>
      <c r="I5" s="1250">
        <v>100561</v>
      </c>
      <c r="J5" s="1250">
        <v>103830</v>
      </c>
      <c r="K5" s="1250">
        <v>104488</v>
      </c>
      <c r="L5" s="1251">
        <v>106474</v>
      </c>
      <c r="M5" s="1251">
        <v>108417</v>
      </c>
      <c r="N5" s="1251">
        <v>106578</v>
      </c>
      <c r="O5" s="1251">
        <v>104979</v>
      </c>
      <c r="P5" s="1252">
        <v>102934</v>
      </c>
      <c r="Q5" s="1252">
        <v>102525</v>
      </c>
      <c r="R5" s="1555">
        <v>102811</v>
      </c>
      <c r="S5" s="1253">
        <f>'Non-marital births'!D6</f>
        <v>101977</v>
      </c>
      <c r="T5" s="1264">
        <v>28057</v>
      </c>
      <c r="U5" s="1265">
        <v>28305</v>
      </c>
      <c r="V5" s="1265">
        <v>29635</v>
      </c>
      <c r="W5" s="1265">
        <v>29922</v>
      </c>
      <c r="X5" s="1265">
        <v>30223</v>
      </c>
      <c r="Y5" s="1265">
        <v>30769</v>
      </c>
      <c r="Z5" s="1265">
        <v>32190</v>
      </c>
      <c r="AA5" s="1265">
        <v>33681</v>
      </c>
      <c r="AB5" s="1265">
        <v>36290</v>
      </c>
      <c r="AC5" s="1265">
        <v>38281</v>
      </c>
      <c r="AD5" s="1265">
        <v>38201</v>
      </c>
      <c r="AE5" s="1265">
        <v>37608</v>
      </c>
      <c r="AF5" s="1265">
        <v>36532</v>
      </c>
      <c r="AG5" s="1265">
        <v>36390</v>
      </c>
      <c r="AH5" s="1558">
        <v>36271</v>
      </c>
      <c r="AI5" s="1266">
        <f>'Non-marital births'!H6</f>
        <v>35289</v>
      </c>
      <c r="AJ5" s="1272">
        <f t="shared" ref="AJ5:AJ36" si="0">T5/D5</f>
        <v>0.2981171770406103</v>
      </c>
      <c r="AK5" s="1273">
        <f t="shared" ref="AK5:AX5" si="1">U5/E5</f>
        <v>0.29729956830905291</v>
      </c>
      <c r="AL5" s="1273">
        <f t="shared" si="1"/>
        <v>0.29975521929114746</v>
      </c>
      <c r="AM5" s="1273">
        <f t="shared" si="1"/>
        <v>0.303681074991627</v>
      </c>
      <c r="AN5" s="1273">
        <f t="shared" si="1"/>
        <v>0.30455988310575904</v>
      </c>
      <c r="AO5" s="1273">
        <f t="shared" si="1"/>
        <v>0.3059734887282346</v>
      </c>
      <c r="AP5" s="1273">
        <f t="shared" si="1"/>
        <v>0.31002600404507369</v>
      </c>
      <c r="AQ5" s="1273">
        <f t="shared" si="1"/>
        <v>0.32234323558686168</v>
      </c>
      <c r="AR5" s="1273">
        <f t="shared" si="1"/>
        <v>0.34083438210267297</v>
      </c>
      <c r="AS5" s="1273">
        <f t="shared" si="1"/>
        <v>0.35309038250458874</v>
      </c>
      <c r="AT5" s="1273">
        <f t="shared" si="1"/>
        <v>0.35843232186755242</v>
      </c>
      <c r="AU5" s="1273">
        <f t="shared" si="1"/>
        <v>0.35824307718686593</v>
      </c>
      <c r="AV5" s="1273">
        <f t="shared" si="1"/>
        <v>0.35490702780422406</v>
      </c>
      <c r="AW5" s="1273">
        <f t="shared" si="1"/>
        <v>0.35493782004389174</v>
      </c>
      <c r="AX5" s="1550">
        <f t="shared" si="1"/>
        <v>0.35279298907704426</v>
      </c>
      <c r="AY5" s="1274">
        <f>'Non-marital births'!L6</f>
        <v>0.34604861880620141</v>
      </c>
    </row>
    <row r="6" spans="1:51" s="142" customFormat="1" ht="15.75" customHeight="1" x14ac:dyDescent="0.2">
      <c r="A6" s="149" t="s">
        <v>10</v>
      </c>
      <c r="B6" s="188" t="s">
        <v>11</v>
      </c>
      <c r="C6" s="150" t="s">
        <v>264</v>
      </c>
      <c r="D6" s="1239">
        <v>419</v>
      </c>
      <c r="E6" s="1240">
        <v>427</v>
      </c>
      <c r="F6" s="1241">
        <v>465</v>
      </c>
      <c r="G6" s="1240">
        <v>445</v>
      </c>
      <c r="H6" s="1241">
        <v>477</v>
      </c>
      <c r="I6" s="1240">
        <v>456</v>
      </c>
      <c r="J6" s="1241">
        <v>485</v>
      </c>
      <c r="K6" s="1240">
        <v>471</v>
      </c>
      <c r="L6" s="1254">
        <v>454</v>
      </c>
      <c r="M6" s="1254">
        <v>508</v>
      </c>
      <c r="N6" s="1254">
        <v>474</v>
      </c>
      <c r="O6" s="1254">
        <v>428</v>
      </c>
      <c r="P6" s="1255">
        <v>433</v>
      </c>
      <c r="Q6" s="1255">
        <v>478</v>
      </c>
      <c r="R6" s="1556">
        <v>396</v>
      </c>
      <c r="S6" s="1557">
        <f>'Non-marital births'!D7</f>
        <v>367</v>
      </c>
      <c r="T6" s="1262">
        <v>222</v>
      </c>
      <c r="U6" s="1263">
        <v>221</v>
      </c>
      <c r="V6" s="1263">
        <v>230</v>
      </c>
      <c r="W6" s="1263">
        <v>218</v>
      </c>
      <c r="X6" s="1263">
        <v>261</v>
      </c>
      <c r="Y6" s="1263">
        <v>261</v>
      </c>
      <c r="Z6" s="1263">
        <v>269</v>
      </c>
      <c r="AA6" s="1263">
        <v>278</v>
      </c>
      <c r="AB6" s="1263">
        <v>298</v>
      </c>
      <c r="AC6" s="1263">
        <v>316</v>
      </c>
      <c r="AD6" s="1263">
        <v>293</v>
      </c>
      <c r="AE6" s="1263">
        <v>267</v>
      </c>
      <c r="AF6" s="1263">
        <v>255</v>
      </c>
      <c r="AG6" s="1263">
        <v>276</v>
      </c>
      <c r="AH6" s="1559">
        <v>222</v>
      </c>
      <c r="AI6" s="1560">
        <f>'Non-marital births'!H7</f>
        <v>223</v>
      </c>
      <c r="AJ6" s="1268">
        <f t="shared" si="0"/>
        <v>0.5298329355608592</v>
      </c>
      <c r="AK6" s="1269">
        <f t="shared" ref="AK6:AK37" si="2">U6/E6</f>
        <v>0.51756440281030447</v>
      </c>
      <c r="AL6" s="1269">
        <f t="shared" ref="AL6:AL37" si="3">V6/F6</f>
        <v>0.4946236559139785</v>
      </c>
      <c r="AM6" s="1269">
        <f t="shared" ref="AM6:AM37" si="4">W6/G6</f>
        <v>0.48988764044943822</v>
      </c>
      <c r="AN6" s="1269">
        <f t="shared" ref="AN6:AN37" si="5">X6/H6</f>
        <v>0.54716981132075471</v>
      </c>
      <c r="AO6" s="1269">
        <f t="shared" ref="AO6:AO37" si="6">Y6/I6</f>
        <v>0.57236842105263153</v>
      </c>
      <c r="AP6" s="1269">
        <f t="shared" ref="AP6:AP37" si="7">Z6/J6</f>
        <v>0.55463917525773199</v>
      </c>
      <c r="AQ6" s="1269">
        <f t="shared" ref="AQ6:AQ37" si="8">AA6/K6</f>
        <v>0.59023354564755837</v>
      </c>
      <c r="AR6" s="1269">
        <f t="shared" ref="AR6:AR37" si="9">AB6/L6</f>
        <v>0.65638766519823788</v>
      </c>
      <c r="AS6" s="1269">
        <f t="shared" ref="AS6:AS37" si="10">AC6/M6</f>
        <v>0.62204724409448819</v>
      </c>
      <c r="AT6" s="1269">
        <f t="shared" ref="AT6:AT37" si="11">AD6/N6</f>
        <v>0.61814345991561181</v>
      </c>
      <c r="AU6" s="1269">
        <f t="shared" ref="AU6:AU37" si="12">AE6/O6</f>
        <v>0.62383177570093462</v>
      </c>
      <c r="AV6" s="1269">
        <f t="shared" ref="AV6:AV37" si="13">AF6/P6</f>
        <v>0.5889145496535797</v>
      </c>
      <c r="AW6" s="1269">
        <f t="shared" ref="AW6:AW37" si="14">AG6/Q6</f>
        <v>0.57740585774058573</v>
      </c>
      <c r="AX6" s="1551">
        <f t="shared" ref="AX6:AX37" si="15">AH6/R6</f>
        <v>0.56060606060606055</v>
      </c>
      <c r="AY6" s="1553">
        <f>'Non-marital births'!L7</f>
        <v>0.60762942779291551</v>
      </c>
    </row>
    <row r="7" spans="1:51" s="142" customFormat="1" ht="15.75" customHeight="1" x14ac:dyDescent="0.2">
      <c r="A7" s="149" t="s">
        <v>12</v>
      </c>
      <c r="B7" s="189" t="s">
        <v>13</v>
      </c>
      <c r="C7" s="150" t="s">
        <v>265</v>
      </c>
      <c r="D7" s="1239">
        <v>943</v>
      </c>
      <c r="E7" s="1240">
        <v>1022</v>
      </c>
      <c r="F7" s="1241">
        <v>1054</v>
      </c>
      <c r="G7" s="1240">
        <v>968</v>
      </c>
      <c r="H7" s="1241">
        <v>973</v>
      </c>
      <c r="I7" s="1240">
        <v>1018</v>
      </c>
      <c r="J7" s="1241">
        <v>960</v>
      </c>
      <c r="K7" s="1240">
        <v>1056</v>
      </c>
      <c r="L7" s="1254">
        <v>1088</v>
      </c>
      <c r="M7" s="1254">
        <v>1132</v>
      </c>
      <c r="N7" s="1254">
        <v>1129</v>
      </c>
      <c r="O7" s="1254">
        <v>1082</v>
      </c>
      <c r="P7" s="1255">
        <v>1094</v>
      </c>
      <c r="Q7" s="1255">
        <v>1059</v>
      </c>
      <c r="R7" s="1556">
        <v>1053</v>
      </c>
      <c r="S7" s="1557">
        <f>'Non-marital births'!D8</f>
        <v>1064</v>
      </c>
      <c r="T7" s="1262">
        <v>197</v>
      </c>
      <c r="U7" s="1263">
        <v>223</v>
      </c>
      <c r="V7" s="1263">
        <v>249</v>
      </c>
      <c r="W7" s="1263">
        <v>254</v>
      </c>
      <c r="X7" s="1263">
        <v>231</v>
      </c>
      <c r="Y7" s="1263">
        <v>212</v>
      </c>
      <c r="Z7" s="1263">
        <v>225</v>
      </c>
      <c r="AA7" s="1263">
        <v>280</v>
      </c>
      <c r="AB7" s="1263">
        <v>289</v>
      </c>
      <c r="AC7" s="1263">
        <v>315</v>
      </c>
      <c r="AD7" s="1263">
        <v>364</v>
      </c>
      <c r="AE7" s="1263">
        <v>289</v>
      </c>
      <c r="AF7" s="1263">
        <v>314</v>
      </c>
      <c r="AG7" s="1263">
        <v>295</v>
      </c>
      <c r="AH7" s="1559">
        <v>271</v>
      </c>
      <c r="AI7" s="1560">
        <f>'Non-marital births'!H8</f>
        <v>296</v>
      </c>
      <c r="AJ7" s="1268">
        <f t="shared" si="0"/>
        <v>0.20890774125132555</v>
      </c>
      <c r="AK7" s="1269">
        <f t="shared" si="2"/>
        <v>0.2181996086105675</v>
      </c>
      <c r="AL7" s="1269">
        <f t="shared" si="3"/>
        <v>0.23624288425047438</v>
      </c>
      <c r="AM7" s="1269">
        <f t="shared" si="4"/>
        <v>0.26239669421487605</v>
      </c>
      <c r="AN7" s="1269">
        <f t="shared" si="5"/>
        <v>0.23741007194244604</v>
      </c>
      <c r="AO7" s="1269">
        <f t="shared" si="6"/>
        <v>0.20825147347740669</v>
      </c>
      <c r="AP7" s="1269">
        <f t="shared" si="7"/>
        <v>0.234375</v>
      </c>
      <c r="AQ7" s="1269">
        <f t="shared" si="8"/>
        <v>0.26515151515151514</v>
      </c>
      <c r="AR7" s="1269">
        <f t="shared" si="9"/>
        <v>0.265625</v>
      </c>
      <c r="AS7" s="1269">
        <f t="shared" si="10"/>
        <v>0.2782685512367491</v>
      </c>
      <c r="AT7" s="1269">
        <f t="shared" si="11"/>
        <v>0.32240921169176262</v>
      </c>
      <c r="AU7" s="1269">
        <f t="shared" si="12"/>
        <v>0.26709796672828096</v>
      </c>
      <c r="AV7" s="1269">
        <f t="shared" si="13"/>
        <v>0.28702010968921388</v>
      </c>
      <c r="AW7" s="1269">
        <f t="shared" si="14"/>
        <v>0.2785646836638338</v>
      </c>
      <c r="AX7" s="1551">
        <f t="shared" si="15"/>
        <v>0.25735992402659069</v>
      </c>
      <c r="AY7" s="1553">
        <f>'Non-marital births'!L8</f>
        <v>0.2781954887218045</v>
      </c>
    </row>
    <row r="8" spans="1:51" s="142" customFormat="1" ht="15.75" customHeight="1" x14ac:dyDescent="0.2">
      <c r="A8" s="149" t="s">
        <v>16</v>
      </c>
      <c r="B8" s="189" t="s">
        <v>297</v>
      </c>
      <c r="C8" s="150" t="s">
        <v>265</v>
      </c>
      <c r="D8" s="1239">
        <v>284</v>
      </c>
      <c r="E8" s="1240">
        <v>248</v>
      </c>
      <c r="F8" s="1241">
        <v>279</v>
      </c>
      <c r="G8" s="1240">
        <v>273</v>
      </c>
      <c r="H8" s="1241">
        <v>216</v>
      </c>
      <c r="I8" s="1240">
        <v>234</v>
      </c>
      <c r="J8" s="1241">
        <v>239</v>
      </c>
      <c r="K8" s="1240">
        <v>231</v>
      </c>
      <c r="L8" s="1254">
        <v>222</v>
      </c>
      <c r="M8" s="1254">
        <v>218</v>
      </c>
      <c r="N8" s="1254">
        <v>233</v>
      </c>
      <c r="O8" s="1254">
        <v>213</v>
      </c>
      <c r="P8" s="1255">
        <v>224</v>
      </c>
      <c r="Q8" s="1255">
        <v>221</v>
      </c>
      <c r="R8" s="1556">
        <v>210</v>
      </c>
      <c r="S8" s="1557">
        <f>'Non-marital births'!D9</f>
        <v>203</v>
      </c>
      <c r="T8" s="1262">
        <v>102</v>
      </c>
      <c r="U8" s="1263">
        <v>85</v>
      </c>
      <c r="V8" s="1263">
        <v>96</v>
      </c>
      <c r="W8" s="1263">
        <v>91</v>
      </c>
      <c r="X8" s="1263">
        <v>82</v>
      </c>
      <c r="Y8" s="1263">
        <v>89</v>
      </c>
      <c r="Z8" s="1263">
        <v>86</v>
      </c>
      <c r="AA8" s="1263">
        <v>93</v>
      </c>
      <c r="AB8" s="1263">
        <v>90</v>
      </c>
      <c r="AC8" s="1263">
        <v>91</v>
      </c>
      <c r="AD8" s="1263">
        <v>108</v>
      </c>
      <c r="AE8" s="1263">
        <v>96</v>
      </c>
      <c r="AF8" s="1263">
        <v>108</v>
      </c>
      <c r="AG8" s="1263">
        <v>107</v>
      </c>
      <c r="AH8" s="1559">
        <v>88</v>
      </c>
      <c r="AI8" s="1560">
        <f>'Non-marital births'!H9</f>
        <v>98</v>
      </c>
      <c r="AJ8" s="1270">
        <f t="shared" si="0"/>
        <v>0.35915492957746481</v>
      </c>
      <c r="AK8" s="1271">
        <f t="shared" si="2"/>
        <v>0.34274193548387094</v>
      </c>
      <c r="AL8" s="1271">
        <f t="shared" si="3"/>
        <v>0.34408602150537637</v>
      </c>
      <c r="AM8" s="1271">
        <f t="shared" si="4"/>
        <v>0.33333333333333331</v>
      </c>
      <c r="AN8" s="1271">
        <f t="shared" si="5"/>
        <v>0.37962962962962965</v>
      </c>
      <c r="AO8" s="1271">
        <f t="shared" si="6"/>
        <v>0.38034188034188032</v>
      </c>
      <c r="AP8" s="1271">
        <f t="shared" si="7"/>
        <v>0.35983263598326359</v>
      </c>
      <c r="AQ8" s="1271">
        <f t="shared" si="8"/>
        <v>0.40259740259740262</v>
      </c>
      <c r="AR8" s="1271">
        <f t="shared" si="9"/>
        <v>0.40540540540540543</v>
      </c>
      <c r="AS8" s="1271">
        <f t="shared" si="10"/>
        <v>0.41743119266055045</v>
      </c>
      <c r="AT8" s="1271">
        <f t="shared" si="11"/>
        <v>0.46351931330472101</v>
      </c>
      <c r="AU8" s="1271">
        <f t="shared" si="12"/>
        <v>0.45070422535211269</v>
      </c>
      <c r="AV8" s="1271">
        <f t="shared" si="13"/>
        <v>0.48214285714285715</v>
      </c>
      <c r="AW8" s="1271">
        <f t="shared" si="14"/>
        <v>0.48416289592760181</v>
      </c>
      <c r="AX8" s="1552">
        <f t="shared" si="15"/>
        <v>0.41904761904761906</v>
      </c>
      <c r="AY8" s="1554">
        <f>'Non-marital births'!L9</f>
        <v>0.48275862068965519</v>
      </c>
    </row>
    <row r="9" spans="1:51" s="142" customFormat="1" ht="15.75" customHeight="1" x14ac:dyDescent="0.2">
      <c r="A9" s="149" t="s">
        <v>18</v>
      </c>
      <c r="B9" s="189" t="s">
        <v>19</v>
      </c>
      <c r="C9" s="150" t="s">
        <v>266</v>
      </c>
      <c r="D9" s="1239">
        <v>137</v>
      </c>
      <c r="E9" s="1240">
        <v>126</v>
      </c>
      <c r="F9" s="1241">
        <v>152</v>
      </c>
      <c r="G9" s="1240">
        <v>148</v>
      </c>
      <c r="H9" s="1241">
        <v>151</v>
      </c>
      <c r="I9" s="1240">
        <v>139</v>
      </c>
      <c r="J9" s="1241">
        <v>140</v>
      </c>
      <c r="K9" s="1240">
        <v>140</v>
      </c>
      <c r="L9" s="1254">
        <v>148</v>
      </c>
      <c r="M9" s="1254">
        <v>147</v>
      </c>
      <c r="N9" s="1254">
        <v>152</v>
      </c>
      <c r="O9" s="1254">
        <v>159</v>
      </c>
      <c r="P9" s="1255">
        <v>154</v>
      </c>
      <c r="Q9" s="1255">
        <v>125</v>
      </c>
      <c r="R9" s="1556">
        <v>146</v>
      </c>
      <c r="S9" s="1557">
        <f>'Non-marital births'!D10</f>
        <v>123</v>
      </c>
      <c r="T9" s="1262">
        <v>40</v>
      </c>
      <c r="U9" s="1263">
        <v>36</v>
      </c>
      <c r="V9" s="1263">
        <v>49</v>
      </c>
      <c r="W9" s="1263">
        <v>51</v>
      </c>
      <c r="X9" s="1263">
        <v>44</v>
      </c>
      <c r="Y9" s="1263">
        <v>62</v>
      </c>
      <c r="Z9" s="1263">
        <v>49</v>
      </c>
      <c r="AA9" s="1263">
        <v>49</v>
      </c>
      <c r="AB9" s="1263">
        <v>52</v>
      </c>
      <c r="AC9" s="1263">
        <v>53</v>
      </c>
      <c r="AD9" s="1263">
        <v>72</v>
      </c>
      <c r="AE9" s="1263">
        <v>69</v>
      </c>
      <c r="AF9" s="1263">
        <v>63</v>
      </c>
      <c r="AG9" s="1263">
        <v>46</v>
      </c>
      <c r="AH9" s="1559">
        <v>67</v>
      </c>
      <c r="AI9" s="1560">
        <f>'Non-marital births'!H10</f>
        <v>51</v>
      </c>
      <c r="AJ9" s="1270">
        <f t="shared" si="0"/>
        <v>0.29197080291970801</v>
      </c>
      <c r="AK9" s="1271">
        <f t="shared" si="2"/>
        <v>0.2857142857142857</v>
      </c>
      <c r="AL9" s="1271">
        <f t="shared" si="3"/>
        <v>0.32236842105263158</v>
      </c>
      <c r="AM9" s="1271">
        <f t="shared" si="4"/>
        <v>0.34459459459459457</v>
      </c>
      <c r="AN9" s="1271">
        <f t="shared" si="5"/>
        <v>0.29139072847682118</v>
      </c>
      <c r="AO9" s="1271">
        <f t="shared" si="6"/>
        <v>0.4460431654676259</v>
      </c>
      <c r="AP9" s="1271">
        <f t="shared" si="7"/>
        <v>0.35</v>
      </c>
      <c r="AQ9" s="1271">
        <f t="shared" si="8"/>
        <v>0.35</v>
      </c>
      <c r="AR9" s="1271">
        <f t="shared" si="9"/>
        <v>0.35135135135135137</v>
      </c>
      <c r="AS9" s="1271">
        <f t="shared" si="10"/>
        <v>0.36054421768707484</v>
      </c>
      <c r="AT9" s="1271">
        <f t="shared" si="11"/>
        <v>0.47368421052631576</v>
      </c>
      <c r="AU9" s="1271">
        <f t="shared" si="12"/>
        <v>0.43396226415094341</v>
      </c>
      <c r="AV9" s="1271">
        <f t="shared" si="13"/>
        <v>0.40909090909090912</v>
      </c>
      <c r="AW9" s="1271">
        <f t="shared" si="14"/>
        <v>0.36799999999999999</v>
      </c>
      <c r="AX9" s="1552">
        <f t="shared" si="15"/>
        <v>0.4589041095890411</v>
      </c>
      <c r="AY9" s="1554">
        <f>'Non-marital births'!L10</f>
        <v>0.41463414634146339</v>
      </c>
    </row>
    <row r="10" spans="1:51" s="142" customFormat="1" ht="15.75" customHeight="1" x14ac:dyDescent="0.2">
      <c r="A10" s="149" t="s">
        <v>20</v>
      </c>
      <c r="B10" s="189" t="s">
        <v>21</v>
      </c>
      <c r="C10" s="150" t="s">
        <v>265</v>
      </c>
      <c r="D10" s="1239">
        <v>356</v>
      </c>
      <c r="E10" s="1240">
        <v>359</v>
      </c>
      <c r="F10" s="1241">
        <v>338</v>
      </c>
      <c r="G10" s="1240">
        <v>326</v>
      </c>
      <c r="H10" s="1241">
        <v>325</v>
      </c>
      <c r="I10" s="1240">
        <v>304</v>
      </c>
      <c r="J10" s="1241">
        <v>295</v>
      </c>
      <c r="K10" s="1240">
        <v>331</v>
      </c>
      <c r="L10" s="1254">
        <v>321</v>
      </c>
      <c r="M10" s="1254">
        <v>330</v>
      </c>
      <c r="N10" s="1254">
        <v>376</v>
      </c>
      <c r="O10" s="1254">
        <v>320</v>
      </c>
      <c r="P10" s="1255">
        <v>334</v>
      </c>
      <c r="Q10" s="1255">
        <v>343</v>
      </c>
      <c r="R10" s="1556">
        <v>320</v>
      </c>
      <c r="S10" s="1557">
        <f>'Non-marital births'!D11</f>
        <v>311</v>
      </c>
      <c r="T10" s="1262">
        <v>113</v>
      </c>
      <c r="U10" s="1263">
        <v>121</v>
      </c>
      <c r="V10" s="1263">
        <v>125</v>
      </c>
      <c r="W10" s="1263">
        <v>112</v>
      </c>
      <c r="X10" s="1263">
        <v>120</v>
      </c>
      <c r="Y10" s="1263">
        <v>104</v>
      </c>
      <c r="Z10" s="1263">
        <v>109</v>
      </c>
      <c r="AA10" s="1263">
        <v>122</v>
      </c>
      <c r="AB10" s="1263">
        <v>132</v>
      </c>
      <c r="AC10" s="1263">
        <v>130</v>
      </c>
      <c r="AD10" s="1263">
        <v>153</v>
      </c>
      <c r="AE10" s="1263">
        <v>147</v>
      </c>
      <c r="AF10" s="1263">
        <v>152</v>
      </c>
      <c r="AG10" s="1263">
        <v>141</v>
      </c>
      <c r="AH10" s="1559">
        <v>149</v>
      </c>
      <c r="AI10" s="1560">
        <f>'Non-marital births'!H11</f>
        <v>140</v>
      </c>
      <c r="AJ10" s="1270">
        <f t="shared" si="0"/>
        <v>0.31741573033707865</v>
      </c>
      <c r="AK10" s="1271">
        <f t="shared" si="2"/>
        <v>0.3370473537604457</v>
      </c>
      <c r="AL10" s="1271">
        <f t="shared" si="3"/>
        <v>0.36982248520710059</v>
      </c>
      <c r="AM10" s="1271">
        <f t="shared" si="4"/>
        <v>0.34355828220858897</v>
      </c>
      <c r="AN10" s="1271">
        <f t="shared" si="5"/>
        <v>0.36923076923076925</v>
      </c>
      <c r="AO10" s="1271">
        <f t="shared" si="6"/>
        <v>0.34210526315789475</v>
      </c>
      <c r="AP10" s="1271">
        <f t="shared" si="7"/>
        <v>0.36949152542372882</v>
      </c>
      <c r="AQ10" s="1271">
        <f t="shared" si="8"/>
        <v>0.36858006042296071</v>
      </c>
      <c r="AR10" s="1271">
        <f t="shared" si="9"/>
        <v>0.41121495327102803</v>
      </c>
      <c r="AS10" s="1271">
        <f t="shared" si="10"/>
        <v>0.39393939393939392</v>
      </c>
      <c r="AT10" s="1271">
        <f t="shared" si="11"/>
        <v>0.40691489361702127</v>
      </c>
      <c r="AU10" s="1271">
        <f t="shared" si="12"/>
        <v>0.45937499999999998</v>
      </c>
      <c r="AV10" s="1271">
        <f t="shared" si="13"/>
        <v>0.45508982035928142</v>
      </c>
      <c r="AW10" s="1271">
        <f t="shared" si="14"/>
        <v>0.41107871720116618</v>
      </c>
      <c r="AX10" s="1552">
        <f t="shared" si="15"/>
        <v>0.46562500000000001</v>
      </c>
      <c r="AY10" s="1554">
        <f>'Non-marital births'!L11</f>
        <v>0.45016077170418006</v>
      </c>
    </row>
    <row r="11" spans="1:51" s="142" customFormat="1" ht="15.75" customHeight="1" x14ac:dyDescent="0.2">
      <c r="A11" s="149" t="s">
        <v>22</v>
      </c>
      <c r="B11" s="189" t="s">
        <v>23</v>
      </c>
      <c r="C11" s="150" t="s">
        <v>265</v>
      </c>
      <c r="D11" s="1239">
        <v>158</v>
      </c>
      <c r="E11" s="1240">
        <v>154</v>
      </c>
      <c r="F11" s="1241">
        <v>162</v>
      </c>
      <c r="G11" s="1240">
        <v>140</v>
      </c>
      <c r="H11" s="1241">
        <v>145</v>
      </c>
      <c r="I11" s="1240">
        <v>152</v>
      </c>
      <c r="J11" s="1241">
        <v>145</v>
      </c>
      <c r="K11" s="1240">
        <v>140</v>
      </c>
      <c r="L11" s="1254">
        <v>163</v>
      </c>
      <c r="M11" s="1254">
        <v>164</v>
      </c>
      <c r="N11" s="1254">
        <v>165</v>
      </c>
      <c r="O11" s="1254">
        <v>168</v>
      </c>
      <c r="P11" s="1255">
        <v>165</v>
      </c>
      <c r="Q11" s="1255">
        <v>180</v>
      </c>
      <c r="R11" s="1556">
        <v>180</v>
      </c>
      <c r="S11" s="1557">
        <f>'Non-marital births'!D12</f>
        <v>181</v>
      </c>
      <c r="T11" s="1262">
        <v>46</v>
      </c>
      <c r="U11" s="1263">
        <v>58</v>
      </c>
      <c r="V11" s="1263">
        <v>60</v>
      </c>
      <c r="W11" s="1263">
        <v>50</v>
      </c>
      <c r="X11" s="1263">
        <v>56</v>
      </c>
      <c r="Y11" s="1263">
        <v>52</v>
      </c>
      <c r="Z11" s="1263">
        <v>53</v>
      </c>
      <c r="AA11" s="1263">
        <v>58</v>
      </c>
      <c r="AB11" s="1263">
        <v>71</v>
      </c>
      <c r="AC11" s="1263">
        <v>80</v>
      </c>
      <c r="AD11" s="1263">
        <v>69</v>
      </c>
      <c r="AE11" s="1263">
        <v>59</v>
      </c>
      <c r="AF11" s="1263">
        <v>69</v>
      </c>
      <c r="AG11" s="1263">
        <v>65</v>
      </c>
      <c r="AH11" s="1559">
        <v>76</v>
      </c>
      <c r="AI11" s="1560">
        <f>'Non-marital births'!H12</f>
        <v>55</v>
      </c>
      <c r="AJ11" s="1270">
        <f t="shared" si="0"/>
        <v>0.29113924050632911</v>
      </c>
      <c r="AK11" s="1271">
        <f t="shared" si="2"/>
        <v>0.37662337662337664</v>
      </c>
      <c r="AL11" s="1271">
        <f t="shared" si="3"/>
        <v>0.37037037037037035</v>
      </c>
      <c r="AM11" s="1271">
        <f t="shared" si="4"/>
        <v>0.35714285714285715</v>
      </c>
      <c r="AN11" s="1271">
        <f t="shared" si="5"/>
        <v>0.38620689655172413</v>
      </c>
      <c r="AO11" s="1271">
        <f t="shared" si="6"/>
        <v>0.34210526315789475</v>
      </c>
      <c r="AP11" s="1271">
        <f t="shared" si="7"/>
        <v>0.36551724137931035</v>
      </c>
      <c r="AQ11" s="1271">
        <f t="shared" si="8"/>
        <v>0.41428571428571431</v>
      </c>
      <c r="AR11" s="1271">
        <f t="shared" si="9"/>
        <v>0.43558282208588955</v>
      </c>
      <c r="AS11" s="1271">
        <f t="shared" si="10"/>
        <v>0.48780487804878048</v>
      </c>
      <c r="AT11" s="1271">
        <f t="shared" si="11"/>
        <v>0.41818181818181815</v>
      </c>
      <c r="AU11" s="1271">
        <f t="shared" si="12"/>
        <v>0.35119047619047616</v>
      </c>
      <c r="AV11" s="1271">
        <f t="shared" si="13"/>
        <v>0.41818181818181815</v>
      </c>
      <c r="AW11" s="1271">
        <f t="shared" si="14"/>
        <v>0.3611111111111111</v>
      </c>
      <c r="AX11" s="1552">
        <f t="shared" si="15"/>
        <v>0.42222222222222222</v>
      </c>
      <c r="AY11" s="1554">
        <f>'Non-marital births'!L12</f>
        <v>0.30386740331491713</v>
      </c>
    </row>
    <row r="12" spans="1:51" s="142" customFormat="1" ht="15.75" customHeight="1" x14ac:dyDescent="0.2">
      <c r="A12" s="149" t="s">
        <v>24</v>
      </c>
      <c r="B12" s="189" t="s">
        <v>25</v>
      </c>
      <c r="C12" s="150" t="s">
        <v>267</v>
      </c>
      <c r="D12" s="1239">
        <v>2672</v>
      </c>
      <c r="E12" s="1240">
        <v>2606</v>
      </c>
      <c r="F12" s="1241">
        <v>2715</v>
      </c>
      <c r="G12" s="1240">
        <v>2814</v>
      </c>
      <c r="H12" s="1241">
        <v>2686</v>
      </c>
      <c r="I12" s="1240">
        <v>2659</v>
      </c>
      <c r="J12" s="1241">
        <v>2810</v>
      </c>
      <c r="K12" s="1240">
        <v>2809</v>
      </c>
      <c r="L12" s="1254">
        <v>2561</v>
      </c>
      <c r="M12" s="1254">
        <v>2778</v>
      </c>
      <c r="N12" s="1254">
        <v>2924</v>
      </c>
      <c r="O12" s="1254">
        <v>2935</v>
      </c>
      <c r="P12" s="1255">
        <v>3097</v>
      </c>
      <c r="Q12" s="1255">
        <v>3049</v>
      </c>
      <c r="R12" s="1556">
        <v>3193</v>
      </c>
      <c r="S12" s="1557">
        <f>'Non-marital births'!D13</f>
        <v>3195</v>
      </c>
      <c r="T12" s="1262">
        <v>571</v>
      </c>
      <c r="U12" s="1263">
        <v>566</v>
      </c>
      <c r="V12" s="1263">
        <v>598</v>
      </c>
      <c r="W12" s="1263">
        <v>603</v>
      </c>
      <c r="X12" s="1263">
        <v>608</v>
      </c>
      <c r="Y12" s="1263">
        <v>575</v>
      </c>
      <c r="Z12" s="1263">
        <v>578</v>
      </c>
      <c r="AA12" s="1263">
        <v>622</v>
      </c>
      <c r="AB12" s="1263">
        <v>579</v>
      </c>
      <c r="AC12" s="1263">
        <v>626</v>
      </c>
      <c r="AD12" s="1263">
        <v>599</v>
      </c>
      <c r="AE12" s="1263">
        <v>574</v>
      </c>
      <c r="AF12" s="1263">
        <v>573</v>
      </c>
      <c r="AG12" s="1263">
        <v>529</v>
      </c>
      <c r="AH12" s="1559">
        <v>527</v>
      </c>
      <c r="AI12" s="1560">
        <f>'Non-marital births'!H13</f>
        <v>512</v>
      </c>
      <c r="AJ12" s="1270">
        <f t="shared" si="0"/>
        <v>0.21369760479041916</v>
      </c>
      <c r="AK12" s="1271">
        <f t="shared" si="2"/>
        <v>0.21719109746738297</v>
      </c>
      <c r="AL12" s="1271">
        <f t="shared" si="3"/>
        <v>0.22025782688766113</v>
      </c>
      <c r="AM12" s="1271">
        <f t="shared" si="4"/>
        <v>0.21428571428571427</v>
      </c>
      <c r="AN12" s="1271">
        <f t="shared" si="5"/>
        <v>0.22635889798957556</v>
      </c>
      <c r="AO12" s="1271">
        <f t="shared" si="6"/>
        <v>0.21624670928920647</v>
      </c>
      <c r="AP12" s="1271">
        <f t="shared" si="7"/>
        <v>0.20569395017793593</v>
      </c>
      <c r="AQ12" s="1271">
        <f t="shared" si="8"/>
        <v>0.22143111427554291</v>
      </c>
      <c r="AR12" s="1271">
        <f t="shared" si="9"/>
        <v>0.22608356110894182</v>
      </c>
      <c r="AS12" s="1271">
        <f t="shared" si="10"/>
        <v>0.22534197264218864</v>
      </c>
      <c r="AT12" s="1271">
        <f t="shared" si="11"/>
        <v>0.20485636114911079</v>
      </c>
      <c r="AU12" s="1271">
        <f t="shared" si="12"/>
        <v>0.19557069846678024</v>
      </c>
      <c r="AV12" s="1271">
        <f t="shared" si="13"/>
        <v>0.18501775912173071</v>
      </c>
      <c r="AW12" s="1271">
        <f t="shared" si="14"/>
        <v>0.17349950803542144</v>
      </c>
      <c r="AX12" s="1552">
        <f t="shared" si="15"/>
        <v>0.1650485436893204</v>
      </c>
      <c r="AY12" s="1554">
        <f>'Non-marital births'!L13</f>
        <v>0.16025039123630672</v>
      </c>
    </row>
    <row r="13" spans="1:51" s="142" customFormat="1" ht="15.75" customHeight="1" x14ac:dyDescent="0.2">
      <c r="A13" s="149" t="s">
        <v>26</v>
      </c>
      <c r="B13" s="189" t="s">
        <v>298</v>
      </c>
      <c r="C13" s="150" t="s">
        <v>265</v>
      </c>
      <c r="D13" s="1239">
        <v>1263</v>
      </c>
      <c r="E13" s="1240">
        <v>1209</v>
      </c>
      <c r="F13" s="1241">
        <v>1240</v>
      </c>
      <c r="G13" s="1240">
        <v>1174</v>
      </c>
      <c r="H13" s="1241">
        <v>1225</v>
      </c>
      <c r="I13" s="1240">
        <v>1317</v>
      </c>
      <c r="J13" s="1241">
        <v>1317</v>
      </c>
      <c r="K13" s="1240">
        <v>1292</v>
      </c>
      <c r="L13" s="1254">
        <v>1366</v>
      </c>
      <c r="M13" s="1254">
        <v>1443</v>
      </c>
      <c r="N13" s="1254">
        <v>1339</v>
      </c>
      <c r="O13" s="1254">
        <v>1313</v>
      </c>
      <c r="P13" s="1255">
        <v>1196</v>
      </c>
      <c r="Q13" s="1255">
        <v>1309</v>
      </c>
      <c r="R13" s="1556">
        <v>1205</v>
      </c>
      <c r="S13" s="1557">
        <f>'Non-marital births'!D14</f>
        <v>1213</v>
      </c>
      <c r="T13" s="1262">
        <v>383</v>
      </c>
      <c r="U13" s="1263">
        <v>349</v>
      </c>
      <c r="V13" s="1263">
        <v>394</v>
      </c>
      <c r="W13" s="1263">
        <v>361</v>
      </c>
      <c r="X13" s="1263">
        <v>414</v>
      </c>
      <c r="Y13" s="1263">
        <v>471</v>
      </c>
      <c r="Z13" s="1263">
        <v>428</v>
      </c>
      <c r="AA13" s="1263">
        <v>450</v>
      </c>
      <c r="AB13" s="1263">
        <v>495</v>
      </c>
      <c r="AC13" s="1263">
        <v>571</v>
      </c>
      <c r="AD13" s="1263">
        <v>523</v>
      </c>
      <c r="AE13" s="1263">
        <v>492</v>
      </c>
      <c r="AF13" s="1263">
        <v>441</v>
      </c>
      <c r="AG13" s="1263">
        <v>472</v>
      </c>
      <c r="AH13" s="1559">
        <v>480</v>
      </c>
      <c r="AI13" s="1560">
        <f>'Non-marital births'!H14</f>
        <v>498</v>
      </c>
      <c r="AJ13" s="1270">
        <f t="shared" si="0"/>
        <v>0.30324623911322246</v>
      </c>
      <c r="AK13" s="1271">
        <f t="shared" si="2"/>
        <v>0.28866832092638545</v>
      </c>
      <c r="AL13" s="1271">
        <f t="shared" si="3"/>
        <v>0.31774193548387097</v>
      </c>
      <c r="AM13" s="1271">
        <f t="shared" si="4"/>
        <v>0.30749574105621807</v>
      </c>
      <c r="AN13" s="1271">
        <f t="shared" si="5"/>
        <v>0.33795918367346939</v>
      </c>
      <c r="AO13" s="1271">
        <f t="shared" si="6"/>
        <v>0.35763097949886102</v>
      </c>
      <c r="AP13" s="1271">
        <f t="shared" si="7"/>
        <v>0.32498101746393321</v>
      </c>
      <c r="AQ13" s="1271">
        <f t="shared" si="8"/>
        <v>0.34829721362229105</v>
      </c>
      <c r="AR13" s="1271">
        <f t="shared" si="9"/>
        <v>0.3623718887262079</v>
      </c>
      <c r="AS13" s="1271">
        <f t="shared" si="10"/>
        <v>0.39570339570339569</v>
      </c>
      <c r="AT13" s="1271">
        <f t="shared" si="11"/>
        <v>0.39058999253174009</v>
      </c>
      <c r="AU13" s="1271">
        <f t="shared" si="12"/>
        <v>0.37471439451637473</v>
      </c>
      <c r="AV13" s="1271">
        <f t="shared" si="13"/>
        <v>0.36872909698996653</v>
      </c>
      <c r="AW13" s="1271">
        <f t="shared" si="14"/>
        <v>0.36058059587471353</v>
      </c>
      <c r="AX13" s="1552">
        <f t="shared" si="15"/>
        <v>0.39834024896265557</v>
      </c>
      <c r="AY13" s="1554">
        <f>'Non-marital births'!L14</f>
        <v>0.41055234954657871</v>
      </c>
    </row>
    <row r="14" spans="1:51" s="142" customFormat="1" ht="15.75" customHeight="1" x14ac:dyDescent="0.2">
      <c r="A14" s="149" t="s">
        <v>27</v>
      </c>
      <c r="B14" s="189" t="s">
        <v>28</v>
      </c>
      <c r="C14" s="150" t="s">
        <v>265</v>
      </c>
      <c r="D14" s="1239">
        <v>53</v>
      </c>
      <c r="E14" s="1240">
        <v>50</v>
      </c>
      <c r="F14" s="1241">
        <v>44</v>
      </c>
      <c r="G14" s="1240">
        <v>41</v>
      </c>
      <c r="H14" s="1241">
        <v>35</v>
      </c>
      <c r="I14" s="1240">
        <v>33</v>
      </c>
      <c r="J14" s="1241">
        <v>26</v>
      </c>
      <c r="K14" s="1240">
        <v>28</v>
      </c>
      <c r="L14" s="1254">
        <v>27</v>
      </c>
      <c r="M14" s="1254">
        <v>37</v>
      </c>
      <c r="N14" s="1254">
        <v>32</v>
      </c>
      <c r="O14" s="1254">
        <v>26</v>
      </c>
      <c r="P14" s="1255">
        <v>40</v>
      </c>
      <c r="Q14" s="1255">
        <v>39</v>
      </c>
      <c r="R14" s="1556">
        <v>40</v>
      </c>
      <c r="S14" s="1557">
        <f>'Non-marital births'!D15</f>
        <v>40</v>
      </c>
      <c r="T14" s="1262">
        <v>6</v>
      </c>
      <c r="U14" s="1263">
        <v>13</v>
      </c>
      <c r="V14" s="1263">
        <v>10</v>
      </c>
      <c r="W14" s="1263">
        <v>6</v>
      </c>
      <c r="X14" s="1263">
        <v>8</v>
      </c>
      <c r="Y14" s="1263">
        <v>10</v>
      </c>
      <c r="Z14" s="1263">
        <v>6</v>
      </c>
      <c r="AA14" s="1263">
        <v>10</v>
      </c>
      <c r="AB14" s="1263">
        <v>6</v>
      </c>
      <c r="AC14" s="1263">
        <v>14</v>
      </c>
      <c r="AD14" s="1263">
        <v>9</v>
      </c>
      <c r="AE14" s="1263">
        <v>7</v>
      </c>
      <c r="AF14" s="1263">
        <v>17</v>
      </c>
      <c r="AG14" s="1263">
        <v>13</v>
      </c>
      <c r="AH14" s="1559">
        <v>23</v>
      </c>
      <c r="AI14" s="1560">
        <f>'Non-marital births'!H15</f>
        <v>20</v>
      </c>
      <c r="AJ14" s="1270">
        <f t="shared" si="0"/>
        <v>0.11320754716981132</v>
      </c>
      <c r="AK14" s="1271">
        <f t="shared" si="2"/>
        <v>0.26</v>
      </c>
      <c r="AL14" s="1271">
        <f t="shared" si="3"/>
        <v>0.22727272727272727</v>
      </c>
      <c r="AM14" s="1271">
        <f t="shared" si="4"/>
        <v>0.14634146341463414</v>
      </c>
      <c r="AN14" s="1271">
        <f t="shared" si="5"/>
        <v>0.22857142857142856</v>
      </c>
      <c r="AO14" s="1271">
        <f t="shared" si="6"/>
        <v>0.30303030303030304</v>
      </c>
      <c r="AP14" s="1271">
        <f t="shared" si="7"/>
        <v>0.23076923076923078</v>
      </c>
      <c r="AQ14" s="1271">
        <f t="shared" si="8"/>
        <v>0.35714285714285715</v>
      </c>
      <c r="AR14" s="1271">
        <f t="shared" si="9"/>
        <v>0.22222222222222221</v>
      </c>
      <c r="AS14" s="1271">
        <f t="shared" si="10"/>
        <v>0.3783783783783784</v>
      </c>
      <c r="AT14" s="1271">
        <f t="shared" si="11"/>
        <v>0.28125</v>
      </c>
      <c r="AU14" s="1271">
        <f t="shared" si="12"/>
        <v>0.26923076923076922</v>
      </c>
      <c r="AV14" s="1271">
        <f t="shared" si="13"/>
        <v>0.42499999999999999</v>
      </c>
      <c r="AW14" s="1271">
        <f t="shared" si="14"/>
        <v>0.33333333333333331</v>
      </c>
      <c r="AX14" s="1552">
        <f t="shared" si="15"/>
        <v>0.57499999999999996</v>
      </c>
      <c r="AY14" s="1554">
        <f>'Non-marital births'!L15</f>
        <v>0.5</v>
      </c>
    </row>
    <row r="15" spans="1:51" s="142" customFormat="1" ht="15.75" customHeight="1" x14ac:dyDescent="0.2">
      <c r="A15" s="149" t="s">
        <v>29</v>
      </c>
      <c r="B15" s="189" t="s">
        <v>941</v>
      </c>
      <c r="C15" s="150" t="s">
        <v>265</v>
      </c>
      <c r="D15" s="1239">
        <v>716</v>
      </c>
      <c r="E15" s="1240">
        <v>655</v>
      </c>
      <c r="F15" s="1241">
        <v>720</v>
      </c>
      <c r="G15" s="1240">
        <v>702</v>
      </c>
      <c r="H15" s="1241">
        <v>626</v>
      </c>
      <c r="I15" s="1240">
        <v>710</v>
      </c>
      <c r="J15" s="1241">
        <v>671</v>
      </c>
      <c r="K15" s="1240">
        <v>711</v>
      </c>
      <c r="L15" s="1254">
        <v>734</v>
      </c>
      <c r="M15" s="1254">
        <v>703</v>
      </c>
      <c r="N15" s="1254">
        <v>685</v>
      </c>
      <c r="O15" s="1254">
        <v>682</v>
      </c>
      <c r="P15" s="1255">
        <v>679</v>
      </c>
      <c r="Q15" s="1255">
        <v>644</v>
      </c>
      <c r="R15" s="1556">
        <v>620</v>
      </c>
      <c r="S15" s="1557">
        <f>'Non-marital births'!D16</f>
        <v>672</v>
      </c>
      <c r="T15" s="1262">
        <v>168</v>
      </c>
      <c r="U15" s="1263">
        <v>147</v>
      </c>
      <c r="V15" s="1263">
        <v>154</v>
      </c>
      <c r="W15" s="1263">
        <v>158</v>
      </c>
      <c r="X15" s="1263">
        <v>151</v>
      </c>
      <c r="Y15" s="1263">
        <v>173</v>
      </c>
      <c r="Z15" s="1263">
        <v>178</v>
      </c>
      <c r="AA15" s="1263">
        <v>202</v>
      </c>
      <c r="AB15" s="1263">
        <v>215</v>
      </c>
      <c r="AC15" s="1263">
        <v>207</v>
      </c>
      <c r="AD15" s="1263">
        <v>211</v>
      </c>
      <c r="AE15" s="1263">
        <v>225</v>
      </c>
      <c r="AF15" s="1263">
        <v>207</v>
      </c>
      <c r="AG15" s="1263">
        <v>207</v>
      </c>
      <c r="AH15" s="1559">
        <v>215</v>
      </c>
      <c r="AI15" s="1560">
        <f>'Non-marital births'!H16</f>
        <v>242</v>
      </c>
      <c r="AJ15" s="1270">
        <f t="shared" si="0"/>
        <v>0.23463687150837989</v>
      </c>
      <c r="AK15" s="1271">
        <f t="shared" si="2"/>
        <v>0.22442748091603054</v>
      </c>
      <c r="AL15" s="1271">
        <f t="shared" si="3"/>
        <v>0.21388888888888888</v>
      </c>
      <c r="AM15" s="1271">
        <f t="shared" si="4"/>
        <v>0.22507122507122507</v>
      </c>
      <c r="AN15" s="1271">
        <f t="shared" si="5"/>
        <v>0.24121405750798722</v>
      </c>
      <c r="AO15" s="1271">
        <f t="shared" si="6"/>
        <v>0.24366197183098592</v>
      </c>
      <c r="AP15" s="1271">
        <f t="shared" si="7"/>
        <v>0.26527570789865873</v>
      </c>
      <c r="AQ15" s="1271">
        <f t="shared" si="8"/>
        <v>0.2841068917018284</v>
      </c>
      <c r="AR15" s="1271">
        <f t="shared" si="9"/>
        <v>0.29291553133514986</v>
      </c>
      <c r="AS15" s="1271">
        <f t="shared" si="10"/>
        <v>0.29445234708392604</v>
      </c>
      <c r="AT15" s="1271">
        <f t="shared" si="11"/>
        <v>0.30802919708029197</v>
      </c>
      <c r="AU15" s="1271">
        <f t="shared" si="12"/>
        <v>0.32991202346041054</v>
      </c>
      <c r="AV15" s="1271">
        <f t="shared" si="13"/>
        <v>0.30486008836524303</v>
      </c>
      <c r="AW15" s="1271">
        <f t="shared" si="14"/>
        <v>0.32142857142857145</v>
      </c>
      <c r="AX15" s="1552">
        <f t="shared" si="15"/>
        <v>0.34677419354838712</v>
      </c>
      <c r="AY15" s="1554">
        <f>'Non-marital births'!L16</f>
        <v>0.36011904761904762</v>
      </c>
    </row>
    <row r="16" spans="1:51" s="142" customFormat="1" ht="15.75" customHeight="1" x14ac:dyDescent="0.2">
      <c r="A16" s="149" t="s">
        <v>30</v>
      </c>
      <c r="B16" s="189" t="s">
        <v>31</v>
      </c>
      <c r="C16" s="150" t="s">
        <v>268</v>
      </c>
      <c r="D16" s="1239">
        <v>50</v>
      </c>
      <c r="E16" s="1240">
        <v>64</v>
      </c>
      <c r="F16" s="1241">
        <v>63</v>
      </c>
      <c r="G16" s="1240">
        <v>59</v>
      </c>
      <c r="H16" s="1241">
        <v>55</v>
      </c>
      <c r="I16" s="1240">
        <v>60</v>
      </c>
      <c r="J16" s="1241">
        <v>54</v>
      </c>
      <c r="K16" s="1240">
        <v>63</v>
      </c>
      <c r="L16" s="1254">
        <v>48</v>
      </c>
      <c r="M16" s="1254">
        <v>51</v>
      </c>
      <c r="N16" s="1254">
        <v>53</v>
      </c>
      <c r="O16" s="1254">
        <v>49</v>
      </c>
      <c r="P16" s="1255">
        <v>41</v>
      </c>
      <c r="Q16" s="1255">
        <v>53</v>
      </c>
      <c r="R16" s="1556">
        <v>55</v>
      </c>
      <c r="S16" s="1557">
        <f>'Non-marital births'!D17</f>
        <v>39</v>
      </c>
      <c r="T16" s="1262">
        <v>8</v>
      </c>
      <c r="U16" s="1263">
        <v>12</v>
      </c>
      <c r="V16" s="1263">
        <v>9</v>
      </c>
      <c r="W16" s="1263">
        <v>9</v>
      </c>
      <c r="X16" s="1263">
        <v>14</v>
      </c>
      <c r="Y16" s="1263">
        <v>8</v>
      </c>
      <c r="Z16" s="1263">
        <v>12</v>
      </c>
      <c r="AA16" s="1263">
        <v>19</v>
      </c>
      <c r="AB16" s="1263">
        <v>13</v>
      </c>
      <c r="AC16" s="1263">
        <v>13</v>
      </c>
      <c r="AD16" s="1263">
        <v>19</v>
      </c>
      <c r="AE16" s="1263">
        <v>14</v>
      </c>
      <c r="AF16" s="1263">
        <v>13</v>
      </c>
      <c r="AG16" s="1263">
        <v>29</v>
      </c>
      <c r="AH16" s="1559">
        <v>20</v>
      </c>
      <c r="AI16" s="1560">
        <f>'Non-marital births'!H17</f>
        <v>14</v>
      </c>
      <c r="AJ16" s="1270">
        <f t="shared" si="0"/>
        <v>0.16</v>
      </c>
      <c r="AK16" s="1271">
        <f t="shared" si="2"/>
        <v>0.1875</v>
      </c>
      <c r="AL16" s="1271">
        <f t="shared" si="3"/>
        <v>0.14285714285714285</v>
      </c>
      <c r="AM16" s="1271">
        <f t="shared" si="4"/>
        <v>0.15254237288135594</v>
      </c>
      <c r="AN16" s="1271">
        <f t="shared" si="5"/>
        <v>0.25454545454545452</v>
      </c>
      <c r="AO16" s="1271">
        <f t="shared" si="6"/>
        <v>0.13333333333333333</v>
      </c>
      <c r="AP16" s="1271">
        <f t="shared" si="7"/>
        <v>0.22222222222222221</v>
      </c>
      <c r="AQ16" s="1271">
        <f t="shared" si="8"/>
        <v>0.30158730158730157</v>
      </c>
      <c r="AR16" s="1271">
        <f t="shared" si="9"/>
        <v>0.27083333333333331</v>
      </c>
      <c r="AS16" s="1271">
        <f t="shared" si="10"/>
        <v>0.25490196078431371</v>
      </c>
      <c r="AT16" s="1271">
        <f t="shared" si="11"/>
        <v>0.35849056603773582</v>
      </c>
      <c r="AU16" s="1271">
        <f t="shared" si="12"/>
        <v>0.2857142857142857</v>
      </c>
      <c r="AV16" s="1271">
        <f t="shared" si="13"/>
        <v>0.31707317073170732</v>
      </c>
      <c r="AW16" s="1271">
        <f t="shared" si="14"/>
        <v>0.54716981132075471</v>
      </c>
      <c r="AX16" s="1552">
        <f t="shared" si="15"/>
        <v>0.36363636363636365</v>
      </c>
      <c r="AY16" s="1554">
        <f>'Non-marital births'!L17</f>
        <v>0.35897435897435898</v>
      </c>
    </row>
    <row r="17" spans="1:51" s="142" customFormat="1" ht="15.75" customHeight="1" x14ac:dyDescent="0.2">
      <c r="A17" s="149" t="s">
        <v>32</v>
      </c>
      <c r="B17" s="189" t="s">
        <v>33</v>
      </c>
      <c r="C17" s="150" t="s">
        <v>265</v>
      </c>
      <c r="D17" s="1239">
        <v>309</v>
      </c>
      <c r="E17" s="1240">
        <v>328</v>
      </c>
      <c r="F17" s="1241">
        <v>312</v>
      </c>
      <c r="G17" s="1240">
        <v>253</v>
      </c>
      <c r="H17" s="1241">
        <v>297</v>
      </c>
      <c r="I17" s="1240">
        <v>308</v>
      </c>
      <c r="J17" s="1241">
        <v>258</v>
      </c>
      <c r="K17" s="1240">
        <v>265</v>
      </c>
      <c r="L17" s="1254">
        <v>278</v>
      </c>
      <c r="M17" s="1254">
        <v>308</v>
      </c>
      <c r="N17" s="1254">
        <v>265</v>
      </c>
      <c r="O17" s="1254">
        <v>262</v>
      </c>
      <c r="P17" s="1255">
        <v>243</v>
      </c>
      <c r="Q17" s="1255">
        <v>221</v>
      </c>
      <c r="R17" s="1556">
        <v>224</v>
      </c>
      <c r="S17" s="1557">
        <f>'Non-marital births'!D18</f>
        <v>220</v>
      </c>
      <c r="T17" s="1262">
        <v>69</v>
      </c>
      <c r="U17" s="1263">
        <v>59</v>
      </c>
      <c r="V17" s="1263">
        <v>47</v>
      </c>
      <c r="W17" s="1263">
        <v>46</v>
      </c>
      <c r="X17" s="1263">
        <v>62</v>
      </c>
      <c r="Y17" s="1263">
        <v>55</v>
      </c>
      <c r="Z17" s="1263">
        <v>50</v>
      </c>
      <c r="AA17" s="1263">
        <v>57</v>
      </c>
      <c r="AB17" s="1263">
        <v>59</v>
      </c>
      <c r="AC17" s="1263">
        <v>84</v>
      </c>
      <c r="AD17" s="1263">
        <v>64</v>
      </c>
      <c r="AE17" s="1263">
        <v>71</v>
      </c>
      <c r="AF17" s="1263">
        <v>64</v>
      </c>
      <c r="AG17" s="1263">
        <v>60</v>
      </c>
      <c r="AH17" s="1559">
        <v>54</v>
      </c>
      <c r="AI17" s="1560">
        <f>'Non-marital births'!H18</f>
        <v>65</v>
      </c>
      <c r="AJ17" s="1270">
        <f t="shared" si="0"/>
        <v>0.22330097087378642</v>
      </c>
      <c r="AK17" s="1271">
        <f t="shared" si="2"/>
        <v>0.1798780487804878</v>
      </c>
      <c r="AL17" s="1271">
        <f t="shared" si="3"/>
        <v>0.15064102564102563</v>
      </c>
      <c r="AM17" s="1271">
        <f t="shared" si="4"/>
        <v>0.18181818181818182</v>
      </c>
      <c r="AN17" s="1271">
        <f t="shared" si="5"/>
        <v>0.20875420875420875</v>
      </c>
      <c r="AO17" s="1271">
        <f t="shared" si="6"/>
        <v>0.17857142857142858</v>
      </c>
      <c r="AP17" s="1271">
        <f t="shared" si="7"/>
        <v>0.19379844961240311</v>
      </c>
      <c r="AQ17" s="1271">
        <f t="shared" si="8"/>
        <v>0.21509433962264152</v>
      </c>
      <c r="AR17" s="1271">
        <f t="shared" si="9"/>
        <v>0.21223021582733814</v>
      </c>
      <c r="AS17" s="1271">
        <f t="shared" si="10"/>
        <v>0.27272727272727271</v>
      </c>
      <c r="AT17" s="1271">
        <f t="shared" si="11"/>
        <v>0.24150943396226415</v>
      </c>
      <c r="AU17" s="1271">
        <f t="shared" si="12"/>
        <v>0.27099236641221375</v>
      </c>
      <c r="AV17" s="1271">
        <f t="shared" si="13"/>
        <v>0.26337448559670784</v>
      </c>
      <c r="AW17" s="1271">
        <f t="shared" si="14"/>
        <v>0.27149321266968324</v>
      </c>
      <c r="AX17" s="1552">
        <f t="shared" si="15"/>
        <v>0.24107142857142858</v>
      </c>
      <c r="AY17" s="1554">
        <f>'Non-marital births'!L18</f>
        <v>0.29545454545454547</v>
      </c>
    </row>
    <row r="18" spans="1:51" s="142" customFormat="1" ht="15.75" customHeight="1" x14ac:dyDescent="0.2">
      <c r="A18" s="149" t="s">
        <v>36</v>
      </c>
      <c r="B18" s="189" t="s">
        <v>37</v>
      </c>
      <c r="C18" s="150" t="s">
        <v>264</v>
      </c>
      <c r="D18" s="1239">
        <v>179</v>
      </c>
      <c r="E18" s="1240">
        <v>176</v>
      </c>
      <c r="F18" s="1241">
        <v>185</v>
      </c>
      <c r="G18" s="1240">
        <v>191</v>
      </c>
      <c r="H18" s="1241">
        <v>179</v>
      </c>
      <c r="I18" s="1240">
        <v>170</v>
      </c>
      <c r="J18" s="1241">
        <v>173</v>
      </c>
      <c r="K18" s="1240">
        <v>165</v>
      </c>
      <c r="L18" s="1254">
        <v>174</v>
      </c>
      <c r="M18" s="1254">
        <v>175</v>
      </c>
      <c r="N18" s="1254">
        <v>191</v>
      </c>
      <c r="O18" s="1254">
        <v>163</v>
      </c>
      <c r="P18" s="1255">
        <v>162</v>
      </c>
      <c r="Q18" s="1255">
        <v>141</v>
      </c>
      <c r="R18" s="1556">
        <v>159</v>
      </c>
      <c r="S18" s="1557">
        <f>'Non-marital births'!D19</f>
        <v>131</v>
      </c>
      <c r="T18" s="1262">
        <v>109</v>
      </c>
      <c r="U18" s="1263">
        <v>100</v>
      </c>
      <c r="V18" s="1263">
        <v>109</v>
      </c>
      <c r="W18" s="1263">
        <v>116</v>
      </c>
      <c r="X18" s="1263">
        <v>99</v>
      </c>
      <c r="Y18" s="1263">
        <v>100</v>
      </c>
      <c r="Z18" s="1263">
        <v>110</v>
      </c>
      <c r="AA18" s="1263">
        <v>103</v>
      </c>
      <c r="AB18" s="1263">
        <v>103</v>
      </c>
      <c r="AC18" s="1263">
        <v>115</v>
      </c>
      <c r="AD18" s="1263">
        <v>128</v>
      </c>
      <c r="AE18" s="1263">
        <v>102</v>
      </c>
      <c r="AF18" s="1263">
        <v>104</v>
      </c>
      <c r="AG18" s="1263">
        <v>90</v>
      </c>
      <c r="AH18" s="1559">
        <v>100</v>
      </c>
      <c r="AI18" s="1560">
        <f>'Non-marital births'!H19</f>
        <v>85</v>
      </c>
      <c r="AJ18" s="1270">
        <f t="shared" si="0"/>
        <v>0.60893854748603349</v>
      </c>
      <c r="AK18" s="1271">
        <f t="shared" si="2"/>
        <v>0.56818181818181823</v>
      </c>
      <c r="AL18" s="1271">
        <f t="shared" si="3"/>
        <v>0.58918918918918917</v>
      </c>
      <c r="AM18" s="1271">
        <f t="shared" si="4"/>
        <v>0.60732984293193715</v>
      </c>
      <c r="AN18" s="1271">
        <f t="shared" si="5"/>
        <v>0.55307262569832405</v>
      </c>
      <c r="AO18" s="1271">
        <f t="shared" si="6"/>
        <v>0.58823529411764708</v>
      </c>
      <c r="AP18" s="1271">
        <f t="shared" si="7"/>
        <v>0.63583815028901736</v>
      </c>
      <c r="AQ18" s="1271">
        <f t="shared" si="8"/>
        <v>0.62424242424242427</v>
      </c>
      <c r="AR18" s="1271">
        <f t="shared" si="9"/>
        <v>0.59195402298850575</v>
      </c>
      <c r="AS18" s="1271">
        <f t="shared" si="10"/>
        <v>0.65714285714285714</v>
      </c>
      <c r="AT18" s="1271">
        <f t="shared" si="11"/>
        <v>0.67015706806282727</v>
      </c>
      <c r="AU18" s="1271">
        <f t="shared" si="12"/>
        <v>0.62576687116564422</v>
      </c>
      <c r="AV18" s="1271">
        <f t="shared" si="13"/>
        <v>0.64197530864197527</v>
      </c>
      <c r="AW18" s="1271">
        <f t="shared" si="14"/>
        <v>0.63829787234042556</v>
      </c>
      <c r="AX18" s="1552">
        <f t="shared" si="15"/>
        <v>0.62893081761006286</v>
      </c>
      <c r="AY18" s="1554">
        <f>'Non-marital births'!L19</f>
        <v>0.64885496183206104</v>
      </c>
    </row>
    <row r="19" spans="1:51" s="142" customFormat="1" ht="15.75" customHeight="1" x14ac:dyDescent="0.2">
      <c r="A19" s="149" t="s">
        <v>38</v>
      </c>
      <c r="B19" s="189" t="s">
        <v>39</v>
      </c>
      <c r="C19" s="150" t="s">
        <v>268</v>
      </c>
      <c r="D19" s="1239">
        <v>281</v>
      </c>
      <c r="E19" s="1240">
        <v>270</v>
      </c>
      <c r="F19" s="1241">
        <v>259</v>
      </c>
      <c r="G19" s="1240">
        <v>248</v>
      </c>
      <c r="H19" s="1241">
        <v>234</v>
      </c>
      <c r="I19" s="1240">
        <v>240</v>
      </c>
      <c r="J19" s="1241">
        <v>238</v>
      </c>
      <c r="K19" s="1240">
        <v>234</v>
      </c>
      <c r="L19" s="1254">
        <v>208</v>
      </c>
      <c r="M19" s="1254">
        <v>202</v>
      </c>
      <c r="N19" s="1254">
        <v>251</v>
      </c>
      <c r="O19" s="1254">
        <v>207</v>
      </c>
      <c r="P19" s="1255">
        <v>218</v>
      </c>
      <c r="Q19" s="1255">
        <v>216</v>
      </c>
      <c r="R19" s="1556">
        <v>209</v>
      </c>
      <c r="S19" s="1557">
        <f>'Non-marital births'!D20</f>
        <v>190</v>
      </c>
      <c r="T19" s="1262">
        <v>89</v>
      </c>
      <c r="U19" s="1263">
        <v>73</v>
      </c>
      <c r="V19" s="1263">
        <v>84</v>
      </c>
      <c r="W19" s="1263">
        <v>75</v>
      </c>
      <c r="X19" s="1263">
        <v>63</v>
      </c>
      <c r="Y19" s="1263">
        <v>71</v>
      </c>
      <c r="Z19" s="1263">
        <v>68</v>
      </c>
      <c r="AA19" s="1263">
        <v>67</v>
      </c>
      <c r="AB19" s="1263">
        <v>56</v>
      </c>
      <c r="AC19" s="1263">
        <v>79</v>
      </c>
      <c r="AD19" s="1263">
        <v>74</v>
      </c>
      <c r="AE19" s="1263">
        <v>74</v>
      </c>
      <c r="AF19" s="1263">
        <v>76</v>
      </c>
      <c r="AG19" s="1263">
        <v>72</v>
      </c>
      <c r="AH19" s="1559">
        <v>67</v>
      </c>
      <c r="AI19" s="1560">
        <f>'Non-marital births'!H20</f>
        <v>76</v>
      </c>
      <c r="AJ19" s="1270">
        <f t="shared" si="0"/>
        <v>0.31672597864768681</v>
      </c>
      <c r="AK19" s="1271">
        <f t="shared" si="2"/>
        <v>0.27037037037037037</v>
      </c>
      <c r="AL19" s="1271">
        <f t="shared" si="3"/>
        <v>0.32432432432432434</v>
      </c>
      <c r="AM19" s="1271">
        <f t="shared" si="4"/>
        <v>0.30241935483870969</v>
      </c>
      <c r="AN19" s="1271">
        <f t="shared" si="5"/>
        <v>0.26923076923076922</v>
      </c>
      <c r="AO19" s="1271">
        <f t="shared" si="6"/>
        <v>0.29583333333333334</v>
      </c>
      <c r="AP19" s="1271">
        <f t="shared" si="7"/>
        <v>0.2857142857142857</v>
      </c>
      <c r="AQ19" s="1271">
        <f t="shared" si="8"/>
        <v>0.28632478632478631</v>
      </c>
      <c r="AR19" s="1271">
        <f t="shared" si="9"/>
        <v>0.26923076923076922</v>
      </c>
      <c r="AS19" s="1271">
        <f t="shared" si="10"/>
        <v>0.3910891089108911</v>
      </c>
      <c r="AT19" s="1271">
        <f t="shared" si="11"/>
        <v>0.29482071713147412</v>
      </c>
      <c r="AU19" s="1271">
        <f t="shared" si="12"/>
        <v>0.35748792270531399</v>
      </c>
      <c r="AV19" s="1271">
        <f t="shared" si="13"/>
        <v>0.34862385321100919</v>
      </c>
      <c r="AW19" s="1271">
        <f t="shared" si="14"/>
        <v>0.33333333333333331</v>
      </c>
      <c r="AX19" s="1552">
        <f t="shared" si="15"/>
        <v>0.32057416267942584</v>
      </c>
      <c r="AY19" s="1554">
        <f>'Non-marital births'!L20</f>
        <v>0.4</v>
      </c>
    </row>
    <row r="20" spans="1:51" s="142" customFormat="1" ht="15.75" customHeight="1" x14ac:dyDescent="0.2">
      <c r="A20" s="149" t="s">
        <v>40</v>
      </c>
      <c r="B20" s="189" t="s">
        <v>41</v>
      </c>
      <c r="C20" s="150" t="s">
        <v>266</v>
      </c>
      <c r="D20" s="1239">
        <v>143</v>
      </c>
      <c r="E20" s="1240">
        <v>111</v>
      </c>
      <c r="F20" s="1241">
        <v>96</v>
      </c>
      <c r="G20" s="1240">
        <v>126</v>
      </c>
      <c r="H20" s="1241">
        <v>160</v>
      </c>
      <c r="I20" s="1240">
        <v>153</v>
      </c>
      <c r="J20" s="1241">
        <v>161</v>
      </c>
      <c r="K20" s="1240">
        <v>139</v>
      </c>
      <c r="L20" s="1254">
        <v>163</v>
      </c>
      <c r="M20" s="1254">
        <v>206</v>
      </c>
      <c r="N20" s="1254">
        <v>184</v>
      </c>
      <c r="O20" s="1254">
        <v>191</v>
      </c>
      <c r="P20" s="1255">
        <v>164</v>
      </c>
      <c r="Q20" s="1255">
        <v>160</v>
      </c>
      <c r="R20" s="1556">
        <v>177</v>
      </c>
      <c r="S20" s="1557">
        <f>'Non-marital births'!D21</f>
        <v>166</v>
      </c>
      <c r="T20" s="1262">
        <v>55</v>
      </c>
      <c r="U20" s="1263">
        <v>56</v>
      </c>
      <c r="V20" s="1263">
        <v>45</v>
      </c>
      <c r="W20" s="1263">
        <v>56</v>
      </c>
      <c r="X20" s="1263">
        <v>74</v>
      </c>
      <c r="Y20" s="1263">
        <v>65</v>
      </c>
      <c r="Z20" s="1263">
        <v>76</v>
      </c>
      <c r="AA20" s="1263">
        <v>60</v>
      </c>
      <c r="AB20" s="1263">
        <v>86</v>
      </c>
      <c r="AC20" s="1263">
        <v>105</v>
      </c>
      <c r="AD20" s="1263">
        <v>93</v>
      </c>
      <c r="AE20" s="1263">
        <v>101</v>
      </c>
      <c r="AF20" s="1263">
        <v>90</v>
      </c>
      <c r="AG20" s="1263">
        <v>88</v>
      </c>
      <c r="AH20" s="1559">
        <v>93</v>
      </c>
      <c r="AI20" s="1560">
        <f>'Non-marital births'!H21</f>
        <v>98</v>
      </c>
      <c r="AJ20" s="1270">
        <f t="shared" si="0"/>
        <v>0.38461538461538464</v>
      </c>
      <c r="AK20" s="1271">
        <f t="shared" si="2"/>
        <v>0.50450450450450446</v>
      </c>
      <c r="AL20" s="1271">
        <f t="shared" si="3"/>
        <v>0.46875</v>
      </c>
      <c r="AM20" s="1271">
        <f t="shared" si="4"/>
        <v>0.44444444444444442</v>
      </c>
      <c r="AN20" s="1271">
        <f t="shared" si="5"/>
        <v>0.46250000000000002</v>
      </c>
      <c r="AO20" s="1271">
        <f t="shared" si="6"/>
        <v>0.42483660130718953</v>
      </c>
      <c r="AP20" s="1271">
        <f t="shared" si="7"/>
        <v>0.47204968944099379</v>
      </c>
      <c r="AQ20" s="1271">
        <f t="shared" si="8"/>
        <v>0.43165467625899279</v>
      </c>
      <c r="AR20" s="1271">
        <f t="shared" si="9"/>
        <v>0.52760736196319014</v>
      </c>
      <c r="AS20" s="1271">
        <f t="shared" si="10"/>
        <v>0.50970873786407767</v>
      </c>
      <c r="AT20" s="1271">
        <f t="shared" si="11"/>
        <v>0.50543478260869568</v>
      </c>
      <c r="AU20" s="1271">
        <f t="shared" si="12"/>
        <v>0.52879581151832455</v>
      </c>
      <c r="AV20" s="1271">
        <f t="shared" si="13"/>
        <v>0.54878048780487809</v>
      </c>
      <c r="AW20" s="1271">
        <f t="shared" si="14"/>
        <v>0.55000000000000004</v>
      </c>
      <c r="AX20" s="1552">
        <f t="shared" si="15"/>
        <v>0.52542372881355937</v>
      </c>
      <c r="AY20" s="1554">
        <f>'Non-marital births'!L21</f>
        <v>0.59036144578313254</v>
      </c>
    </row>
    <row r="21" spans="1:51" s="142" customFormat="1" ht="15.75" customHeight="1" x14ac:dyDescent="0.2">
      <c r="A21" s="149" t="s">
        <v>42</v>
      </c>
      <c r="B21" s="189" t="s">
        <v>43</v>
      </c>
      <c r="C21" s="150" t="s">
        <v>265</v>
      </c>
      <c r="D21" s="1239">
        <v>668</v>
      </c>
      <c r="E21" s="1240">
        <v>661</v>
      </c>
      <c r="F21" s="1241">
        <v>664</v>
      </c>
      <c r="G21" s="1240">
        <v>585</v>
      </c>
      <c r="H21" s="1241">
        <v>616</v>
      </c>
      <c r="I21" s="1240">
        <v>582</v>
      </c>
      <c r="J21" s="1241">
        <v>574</v>
      </c>
      <c r="K21" s="1240">
        <v>565</v>
      </c>
      <c r="L21" s="1254">
        <v>515</v>
      </c>
      <c r="M21" s="1254">
        <v>549</v>
      </c>
      <c r="N21" s="1254">
        <v>593</v>
      </c>
      <c r="O21" s="1254">
        <v>514</v>
      </c>
      <c r="P21" s="1255">
        <v>485</v>
      </c>
      <c r="Q21" s="1255">
        <v>539</v>
      </c>
      <c r="R21" s="1556">
        <v>480</v>
      </c>
      <c r="S21" s="1557">
        <f>'Non-marital births'!D22</f>
        <v>475</v>
      </c>
      <c r="T21" s="1262">
        <v>222</v>
      </c>
      <c r="U21" s="1263">
        <v>217</v>
      </c>
      <c r="V21" s="1263">
        <v>212</v>
      </c>
      <c r="W21" s="1263">
        <v>201</v>
      </c>
      <c r="X21" s="1263">
        <v>200</v>
      </c>
      <c r="Y21" s="1263">
        <v>193</v>
      </c>
      <c r="Z21" s="1263">
        <v>185</v>
      </c>
      <c r="AA21" s="1263">
        <v>205</v>
      </c>
      <c r="AB21" s="1263">
        <v>180</v>
      </c>
      <c r="AC21" s="1263">
        <v>221</v>
      </c>
      <c r="AD21" s="1263">
        <v>227</v>
      </c>
      <c r="AE21" s="1263">
        <v>182</v>
      </c>
      <c r="AF21" s="1263">
        <v>183</v>
      </c>
      <c r="AG21" s="1263">
        <v>206</v>
      </c>
      <c r="AH21" s="1559">
        <v>164</v>
      </c>
      <c r="AI21" s="1560">
        <f>'Non-marital births'!H22</f>
        <v>182</v>
      </c>
      <c r="AJ21" s="1270">
        <f t="shared" si="0"/>
        <v>0.33233532934131738</v>
      </c>
      <c r="AK21" s="1271">
        <f t="shared" si="2"/>
        <v>0.32829046898638425</v>
      </c>
      <c r="AL21" s="1271">
        <f t="shared" si="3"/>
        <v>0.31927710843373491</v>
      </c>
      <c r="AM21" s="1271">
        <f t="shared" si="4"/>
        <v>0.34358974358974359</v>
      </c>
      <c r="AN21" s="1271">
        <f t="shared" si="5"/>
        <v>0.32467532467532467</v>
      </c>
      <c r="AO21" s="1271">
        <f t="shared" si="6"/>
        <v>0.33161512027491408</v>
      </c>
      <c r="AP21" s="1271">
        <f t="shared" si="7"/>
        <v>0.32229965156794427</v>
      </c>
      <c r="AQ21" s="1271">
        <f t="shared" si="8"/>
        <v>0.36283185840707965</v>
      </c>
      <c r="AR21" s="1271">
        <f t="shared" si="9"/>
        <v>0.34951456310679613</v>
      </c>
      <c r="AS21" s="1271">
        <f t="shared" si="10"/>
        <v>0.40255009107468126</v>
      </c>
      <c r="AT21" s="1271">
        <f t="shared" si="11"/>
        <v>0.38279932546374368</v>
      </c>
      <c r="AU21" s="1271">
        <f t="shared" si="12"/>
        <v>0.35408560311284049</v>
      </c>
      <c r="AV21" s="1271">
        <f t="shared" si="13"/>
        <v>0.37731958762886597</v>
      </c>
      <c r="AW21" s="1271">
        <f t="shared" si="14"/>
        <v>0.38218923933209648</v>
      </c>
      <c r="AX21" s="1552">
        <f t="shared" si="15"/>
        <v>0.34166666666666667</v>
      </c>
      <c r="AY21" s="1554">
        <f>'Non-marital births'!L22</f>
        <v>0.38315789473684209</v>
      </c>
    </row>
    <row r="22" spans="1:51" s="142" customFormat="1" ht="15.75" customHeight="1" x14ac:dyDescent="0.2">
      <c r="A22" s="149" t="s">
        <v>44</v>
      </c>
      <c r="B22" s="189" t="s">
        <v>45</v>
      </c>
      <c r="C22" s="150" t="s">
        <v>266</v>
      </c>
      <c r="D22" s="1239">
        <v>304</v>
      </c>
      <c r="E22" s="1240">
        <v>280</v>
      </c>
      <c r="F22" s="1241">
        <v>267</v>
      </c>
      <c r="G22" s="1240">
        <v>275</v>
      </c>
      <c r="H22" s="1241">
        <v>283</v>
      </c>
      <c r="I22" s="1240">
        <v>311</v>
      </c>
      <c r="J22" s="1241">
        <v>318</v>
      </c>
      <c r="K22" s="1240">
        <v>351</v>
      </c>
      <c r="L22" s="1254">
        <v>409</v>
      </c>
      <c r="M22" s="1254">
        <v>416</v>
      </c>
      <c r="N22" s="1254">
        <v>389</v>
      </c>
      <c r="O22" s="1254">
        <v>397</v>
      </c>
      <c r="P22" s="1255">
        <v>363</v>
      </c>
      <c r="Q22" s="1255">
        <v>394</v>
      </c>
      <c r="R22" s="1556">
        <v>389</v>
      </c>
      <c r="S22" s="1557">
        <f>'Non-marital births'!D23</f>
        <v>412</v>
      </c>
      <c r="T22" s="1262">
        <v>118</v>
      </c>
      <c r="U22" s="1263">
        <v>112</v>
      </c>
      <c r="V22" s="1263">
        <v>116</v>
      </c>
      <c r="W22" s="1263">
        <v>114</v>
      </c>
      <c r="X22" s="1263">
        <v>123</v>
      </c>
      <c r="Y22" s="1263">
        <v>125</v>
      </c>
      <c r="Z22" s="1263">
        <v>132</v>
      </c>
      <c r="AA22" s="1263">
        <v>137</v>
      </c>
      <c r="AB22" s="1263">
        <v>160</v>
      </c>
      <c r="AC22" s="1263">
        <v>160</v>
      </c>
      <c r="AD22" s="1263">
        <v>160</v>
      </c>
      <c r="AE22" s="1263">
        <v>167</v>
      </c>
      <c r="AF22" s="1263">
        <v>144</v>
      </c>
      <c r="AG22" s="1263">
        <v>178</v>
      </c>
      <c r="AH22" s="1559">
        <v>178</v>
      </c>
      <c r="AI22" s="1560">
        <f>'Non-marital births'!H23</f>
        <v>167</v>
      </c>
      <c r="AJ22" s="1270">
        <f t="shared" si="0"/>
        <v>0.38815789473684209</v>
      </c>
      <c r="AK22" s="1271">
        <f t="shared" si="2"/>
        <v>0.4</v>
      </c>
      <c r="AL22" s="1271">
        <f t="shared" si="3"/>
        <v>0.43445692883895132</v>
      </c>
      <c r="AM22" s="1271">
        <f t="shared" si="4"/>
        <v>0.41454545454545455</v>
      </c>
      <c r="AN22" s="1271">
        <f t="shared" si="5"/>
        <v>0.43462897526501765</v>
      </c>
      <c r="AO22" s="1271">
        <f t="shared" si="6"/>
        <v>0.40192926045016075</v>
      </c>
      <c r="AP22" s="1271">
        <f t="shared" si="7"/>
        <v>0.41509433962264153</v>
      </c>
      <c r="AQ22" s="1271">
        <f t="shared" si="8"/>
        <v>0.3903133903133903</v>
      </c>
      <c r="AR22" s="1271">
        <f t="shared" si="9"/>
        <v>0.39119804400977998</v>
      </c>
      <c r="AS22" s="1271">
        <f t="shared" si="10"/>
        <v>0.38461538461538464</v>
      </c>
      <c r="AT22" s="1271">
        <f t="shared" si="11"/>
        <v>0.41131105398457585</v>
      </c>
      <c r="AU22" s="1271">
        <f t="shared" si="12"/>
        <v>0.42065491183879095</v>
      </c>
      <c r="AV22" s="1271">
        <f t="shared" si="13"/>
        <v>0.39669421487603307</v>
      </c>
      <c r="AW22" s="1271">
        <f t="shared" si="14"/>
        <v>0.45177664974619292</v>
      </c>
      <c r="AX22" s="1552">
        <f t="shared" si="15"/>
        <v>0.45758354755784064</v>
      </c>
      <c r="AY22" s="1554">
        <f>'Non-marital births'!L23</f>
        <v>0.4053398058252427</v>
      </c>
    </row>
    <row r="23" spans="1:51" s="142" customFormat="1" ht="15.75" customHeight="1" x14ac:dyDescent="0.2">
      <c r="A23" s="149" t="s">
        <v>46</v>
      </c>
      <c r="B23" s="189" t="s">
        <v>47</v>
      </c>
      <c r="C23" s="150" t="s">
        <v>268</v>
      </c>
      <c r="D23" s="1239">
        <v>254</v>
      </c>
      <c r="E23" s="1240">
        <v>288</v>
      </c>
      <c r="F23" s="1241">
        <v>259</v>
      </c>
      <c r="G23" s="1240">
        <v>274</v>
      </c>
      <c r="H23" s="1241">
        <v>296</v>
      </c>
      <c r="I23" s="1240">
        <v>284</v>
      </c>
      <c r="J23" s="1241">
        <v>286</v>
      </c>
      <c r="K23" s="1240">
        <v>280</v>
      </c>
      <c r="L23" s="1254">
        <v>311</v>
      </c>
      <c r="M23" s="1254">
        <v>302</v>
      </c>
      <c r="N23" s="1254">
        <v>289</v>
      </c>
      <c r="O23" s="1254">
        <v>288</v>
      </c>
      <c r="P23" s="1255">
        <v>222</v>
      </c>
      <c r="Q23" s="1255">
        <v>237</v>
      </c>
      <c r="R23" s="1556">
        <v>279</v>
      </c>
      <c r="S23" s="1557">
        <f>'Non-marital births'!D24</f>
        <v>234</v>
      </c>
      <c r="T23" s="1262">
        <v>52</v>
      </c>
      <c r="U23" s="1263">
        <v>77</v>
      </c>
      <c r="V23" s="1263">
        <v>74</v>
      </c>
      <c r="W23" s="1263">
        <v>61</v>
      </c>
      <c r="X23" s="1263">
        <v>80</v>
      </c>
      <c r="Y23" s="1263">
        <v>84</v>
      </c>
      <c r="Z23" s="1263">
        <v>81</v>
      </c>
      <c r="AA23" s="1263">
        <v>74</v>
      </c>
      <c r="AB23" s="1263">
        <v>103</v>
      </c>
      <c r="AC23" s="1263">
        <v>107</v>
      </c>
      <c r="AD23" s="1263">
        <v>97</v>
      </c>
      <c r="AE23" s="1263">
        <v>116</v>
      </c>
      <c r="AF23" s="1263">
        <v>93</v>
      </c>
      <c r="AG23" s="1263">
        <v>86</v>
      </c>
      <c r="AH23" s="1559">
        <v>111</v>
      </c>
      <c r="AI23" s="1560">
        <f>'Non-marital births'!H24</f>
        <v>94</v>
      </c>
      <c r="AJ23" s="1270">
        <f t="shared" si="0"/>
        <v>0.20472440944881889</v>
      </c>
      <c r="AK23" s="1271">
        <f t="shared" si="2"/>
        <v>0.2673611111111111</v>
      </c>
      <c r="AL23" s="1271">
        <f t="shared" si="3"/>
        <v>0.2857142857142857</v>
      </c>
      <c r="AM23" s="1271">
        <f t="shared" si="4"/>
        <v>0.22262773722627738</v>
      </c>
      <c r="AN23" s="1271">
        <f t="shared" si="5"/>
        <v>0.27027027027027029</v>
      </c>
      <c r="AO23" s="1271">
        <f t="shared" si="6"/>
        <v>0.29577464788732394</v>
      </c>
      <c r="AP23" s="1271">
        <f t="shared" si="7"/>
        <v>0.28321678321678323</v>
      </c>
      <c r="AQ23" s="1271">
        <f t="shared" si="8"/>
        <v>0.26428571428571429</v>
      </c>
      <c r="AR23" s="1271">
        <f t="shared" si="9"/>
        <v>0.3311897106109325</v>
      </c>
      <c r="AS23" s="1271">
        <f t="shared" si="10"/>
        <v>0.35430463576158938</v>
      </c>
      <c r="AT23" s="1271">
        <f t="shared" si="11"/>
        <v>0.33564013840830448</v>
      </c>
      <c r="AU23" s="1271">
        <f t="shared" si="12"/>
        <v>0.40277777777777779</v>
      </c>
      <c r="AV23" s="1271">
        <f t="shared" si="13"/>
        <v>0.41891891891891891</v>
      </c>
      <c r="AW23" s="1271">
        <f t="shared" si="14"/>
        <v>0.3628691983122363</v>
      </c>
      <c r="AX23" s="1552">
        <f t="shared" si="15"/>
        <v>0.39784946236559138</v>
      </c>
      <c r="AY23" s="1554">
        <f>'Non-marital births'!L24</f>
        <v>0.40170940170940173</v>
      </c>
    </row>
    <row r="24" spans="1:51" s="142" customFormat="1" ht="15.75" customHeight="1" x14ac:dyDescent="0.2">
      <c r="A24" s="149" t="s">
        <v>48</v>
      </c>
      <c r="B24" s="189" t="s">
        <v>269</v>
      </c>
      <c r="C24" s="150" t="s">
        <v>266</v>
      </c>
      <c r="D24" s="1239">
        <v>87</v>
      </c>
      <c r="E24" s="1240">
        <v>77</v>
      </c>
      <c r="F24" s="1241">
        <v>73</v>
      </c>
      <c r="G24" s="1240">
        <v>66</v>
      </c>
      <c r="H24" s="1241">
        <v>78</v>
      </c>
      <c r="I24" s="1240">
        <v>67</v>
      </c>
      <c r="J24" s="1241">
        <v>68</v>
      </c>
      <c r="K24" s="1240">
        <v>79</v>
      </c>
      <c r="L24" s="1254">
        <v>62</v>
      </c>
      <c r="M24" s="1254">
        <v>56</v>
      </c>
      <c r="N24" s="1254">
        <v>76</v>
      </c>
      <c r="O24" s="1254">
        <v>46</v>
      </c>
      <c r="P24" s="1255">
        <v>55</v>
      </c>
      <c r="Q24" s="1255">
        <v>48</v>
      </c>
      <c r="R24" s="1556">
        <v>53</v>
      </c>
      <c r="S24" s="1557">
        <f>'Non-marital births'!D25</f>
        <v>47</v>
      </c>
      <c r="T24" s="1262">
        <v>36</v>
      </c>
      <c r="U24" s="1263">
        <v>41</v>
      </c>
      <c r="V24" s="1263">
        <v>37</v>
      </c>
      <c r="W24" s="1263">
        <v>39</v>
      </c>
      <c r="X24" s="1263">
        <v>32</v>
      </c>
      <c r="Y24" s="1263">
        <v>31</v>
      </c>
      <c r="Z24" s="1263">
        <v>38</v>
      </c>
      <c r="AA24" s="1263">
        <v>40</v>
      </c>
      <c r="AB24" s="1263">
        <v>39</v>
      </c>
      <c r="AC24" s="1263">
        <v>23</v>
      </c>
      <c r="AD24" s="1263">
        <v>44</v>
      </c>
      <c r="AE24" s="1263">
        <v>31</v>
      </c>
      <c r="AF24" s="1263">
        <v>28</v>
      </c>
      <c r="AG24" s="1263">
        <v>28</v>
      </c>
      <c r="AH24" s="1559">
        <v>30</v>
      </c>
      <c r="AI24" s="1560">
        <f>'Non-marital births'!H25</f>
        <v>25</v>
      </c>
      <c r="AJ24" s="1270">
        <f t="shared" si="0"/>
        <v>0.41379310344827586</v>
      </c>
      <c r="AK24" s="1271">
        <f t="shared" si="2"/>
        <v>0.53246753246753242</v>
      </c>
      <c r="AL24" s="1271">
        <f t="shared" si="3"/>
        <v>0.50684931506849318</v>
      </c>
      <c r="AM24" s="1271">
        <f t="shared" si="4"/>
        <v>0.59090909090909094</v>
      </c>
      <c r="AN24" s="1271">
        <f t="shared" si="5"/>
        <v>0.41025641025641024</v>
      </c>
      <c r="AO24" s="1271">
        <f t="shared" si="6"/>
        <v>0.46268656716417911</v>
      </c>
      <c r="AP24" s="1271">
        <f t="shared" si="7"/>
        <v>0.55882352941176472</v>
      </c>
      <c r="AQ24" s="1271">
        <f t="shared" si="8"/>
        <v>0.50632911392405067</v>
      </c>
      <c r="AR24" s="1271">
        <f t="shared" si="9"/>
        <v>0.62903225806451613</v>
      </c>
      <c r="AS24" s="1271">
        <f t="shared" si="10"/>
        <v>0.4107142857142857</v>
      </c>
      <c r="AT24" s="1271">
        <f t="shared" si="11"/>
        <v>0.57894736842105265</v>
      </c>
      <c r="AU24" s="1271">
        <f t="shared" si="12"/>
        <v>0.67391304347826086</v>
      </c>
      <c r="AV24" s="1271">
        <f t="shared" si="13"/>
        <v>0.50909090909090904</v>
      </c>
      <c r="AW24" s="1271">
        <f t="shared" si="14"/>
        <v>0.58333333333333337</v>
      </c>
      <c r="AX24" s="1552">
        <f t="shared" si="15"/>
        <v>0.56603773584905659</v>
      </c>
      <c r="AY24" s="1554">
        <f>'Non-marital births'!L25</f>
        <v>0.53191489361702127</v>
      </c>
    </row>
    <row r="25" spans="1:51" s="142" customFormat="1" ht="15.75" customHeight="1" x14ac:dyDescent="0.2">
      <c r="A25" s="149" t="s">
        <v>50</v>
      </c>
      <c r="B25" s="189" t="s">
        <v>51</v>
      </c>
      <c r="C25" s="150" t="s">
        <v>265</v>
      </c>
      <c r="D25" s="1239">
        <v>150</v>
      </c>
      <c r="E25" s="1240">
        <v>161</v>
      </c>
      <c r="F25" s="1241">
        <v>158</v>
      </c>
      <c r="G25" s="1240">
        <v>158</v>
      </c>
      <c r="H25" s="1241">
        <v>145</v>
      </c>
      <c r="I25" s="1240">
        <v>130</v>
      </c>
      <c r="J25" s="1241">
        <v>150</v>
      </c>
      <c r="K25" s="1240">
        <v>138</v>
      </c>
      <c r="L25" s="1254">
        <v>122</v>
      </c>
      <c r="M25" s="1254">
        <v>129</v>
      </c>
      <c r="N25" s="1254">
        <v>170</v>
      </c>
      <c r="O25" s="1254">
        <v>129</v>
      </c>
      <c r="P25" s="1255">
        <v>112</v>
      </c>
      <c r="Q25" s="1255">
        <v>153</v>
      </c>
      <c r="R25" s="1556">
        <v>143</v>
      </c>
      <c r="S25" s="1557">
        <f>'Non-marital births'!D26</f>
        <v>145</v>
      </c>
      <c r="T25" s="1262">
        <v>62</v>
      </c>
      <c r="U25" s="1263">
        <v>62</v>
      </c>
      <c r="V25" s="1263">
        <v>55</v>
      </c>
      <c r="W25" s="1263">
        <v>60</v>
      </c>
      <c r="X25" s="1263">
        <v>51</v>
      </c>
      <c r="Y25" s="1263">
        <v>51</v>
      </c>
      <c r="Z25" s="1263">
        <v>68</v>
      </c>
      <c r="AA25" s="1263">
        <v>64</v>
      </c>
      <c r="AB25" s="1263">
        <v>49</v>
      </c>
      <c r="AC25" s="1263">
        <v>58</v>
      </c>
      <c r="AD25" s="1263">
        <v>83</v>
      </c>
      <c r="AE25" s="1263">
        <v>52</v>
      </c>
      <c r="AF25" s="1263">
        <v>52</v>
      </c>
      <c r="AG25" s="1263">
        <v>69</v>
      </c>
      <c r="AH25" s="1559">
        <v>54</v>
      </c>
      <c r="AI25" s="1560">
        <f>'Non-marital births'!H26</f>
        <v>65</v>
      </c>
      <c r="AJ25" s="1270">
        <f t="shared" si="0"/>
        <v>0.41333333333333333</v>
      </c>
      <c r="AK25" s="1271">
        <f t="shared" si="2"/>
        <v>0.38509316770186336</v>
      </c>
      <c r="AL25" s="1271">
        <f t="shared" si="3"/>
        <v>0.34810126582278483</v>
      </c>
      <c r="AM25" s="1271">
        <f t="shared" si="4"/>
        <v>0.379746835443038</v>
      </c>
      <c r="AN25" s="1271">
        <f t="shared" si="5"/>
        <v>0.35172413793103446</v>
      </c>
      <c r="AO25" s="1271">
        <f t="shared" si="6"/>
        <v>0.3923076923076923</v>
      </c>
      <c r="AP25" s="1271">
        <f t="shared" si="7"/>
        <v>0.45333333333333331</v>
      </c>
      <c r="AQ25" s="1271">
        <f t="shared" si="8"/>
        <v>0.46376811594202899</v>
      </c>
      <c r="AR25" s="1271">
        <f t="shared" si="9"/>
        <v>0.40163934426229508</v>
      </c>
      <c r="AS25" s="1271">
        <f t="shared" si="10"/>
        <v>0.44961240310077522</v>
      </c>
      <c r="AT25" s="1271">
        <f t="shared" si="11"/>
        <v>0.48823529411764705</v>
      </c>
      <c r="AU25" s="1271">
        <f t="shared" si="12"/>
        <v>0.40310077519379844</v>
      </c>
      <c r="AV25" s="1271">
        <f t="shared" si="13"/>
        <v>0.4642857142857143</v>
      </c>
      <c r="AW25" s="1271">
        <f t="shared" si="14"/>
        <v>0.45098039215686275</v>
      </c>
      <c r="AX25" s="1552">
        <f t="shared" si="15"/>
        <v>0.3776223776223776</v>
      </c>
      <c r="AY25" s="1554">
        <f>'Non-marital births'!L26</f>
        <v>0.44827586206896552</v>
      </c>
    </row>
    <row r="26" spans="1:51" s="142" customFormat="1" ht="15.75" customHeight="1" x14ac:dyDescent="0.2">
      <c r="A26" s="149" t="s">
        <v>56</v>
      </c>
      <c r="B26" s="189" t="s">
        <v>295</v>
      </c>
      <c r="C26" s="150" t="s">
        <v>266</v>
      </c>
      <c r="D26" s="1239">
        <v>3603</v>
      </c>
      <c r="E26" s="1240">
        <v>3414</v>
      </c>
      <c r="F26" s="1241">
        <v>3603</v>
      </c>
      <c r="G26" s="1240">
        <v>3548</v>
      </c>
      <c r="H26" s="1241">
        <v>3541</v>
      </c>
      <c r="I26" s="1240">
        <v>3740</v>
      </c>
      <c r="J26" s="1241">
        <v>3871</v>
      </c>
      <c r="K26" s="1240">
        <v>3890</v>
      </c>
      <c r="L26" s="1254">
        <v>4207</v>
      </c>
      <c r="M26" s="1254">
        <v>4138</v>
      </c>
      <c r="N26" s="1254">
        <v>3967</v>
      </c>
      <c r="O26" s="1254">
        <v>3998</v>
      </c>
      <c r="P26" s="1255">
        <v>3921</v>
      </c>
      <c r="Q26" s="1255">
        <v>3903</v>
      </c>
      <c r="R26" s="1556">
        <v>3919</v>
      </c>
      <c r="S26" s="1557">
        <f>'Non-marital births'!D27</f>
        <v>4074</v>
      </c>
      <c r="T26" s="1262">
        <v>832</v>
      </c>
      <c r="U26" s="1263">
        <v>808</v>
      </c>
      <c r="V26" s="1263">
        <v>883</v>
      </c>
      <c r="W26" s="1263">
        <v>901</v>
      </c>
      <c r="X26" s="1263">
        <v>929</v>
      </c>
      <c r="Y26" s="1263">
        <v>996</v>
      </c>
      <c r="Z26" s="1263">
        <v>1064</v>
      </c>
      <c r="AA26" s="1263">
        <v>1126</v>
      </c>
      <c r="AB26" s="1263">
        <v>1240</v>
      </c>
      <c r="AC26" s="1263">
        <v>1289</v>
      </c>
      <c r="AD26" s="1263">
        <v>1293</v>
      </c>
      <c r="AE26" s="1263">
        <v>1361</v>
      </c>
      <c r="AF26" s="1263">
        <v>1374</v>
      </c>
      <c r="AG26" s="1263">
        <v>1396</v>
      </c>
      <c r="AH26" s="1559">
        <v>1437</v>
      </c>
      <c r="AI26" s="1560">
        <f>'Non-marital births'!H27</f>
        <v>1462</v>
      </c>
      <c r="AJ26" s="1270">
        <f t="shared" si="0"/>
        <v>0.23091867887871217</v>
      </c>
      <c r="AK26" s="1271">
        <f t="shared" si="2"/>
        <v>0.23667252489748097</v>
      </c>
      <c r="AL26" s="1271">
        <f t="shared" si="3"/>
        <v>0.24507354981959478</v>
      </c>
      <c r="AM26" s="1271">
        <f t="shared" si="4"/>
        <v>0.25394588500563697</v>
      </c>
      <c r="AN26" s="1271">
        <f t="shared" si="5"/>
        <v>0.26235526687376448</v>
      </c>
      <c r="AO26" s="1271">
        <f t="shared" si="6"/>
        <v>0.26631016042780747</v>
      </c>
      <c r="AP26" s="1271">
        <f t="shared" si="7"/>
        <v>0.27486437613019893</v>
      </c>
      <c r="AQ26" s="1271">
        <f t="shared" si="8"/>
        <v>0.28946015424164523</v>
      </c>
      <c r="AR26" s="1271">
        <f t="shared" si="9"/>
        <v>0.29474685048728311</v>
      </c>
      <c r="AS26" s="1271">
        <f t="shared" si="10"/>
        <v>0.31150314161430642</v>
      </c>
      <c r="AT26" s="1271">
        <f t="shared" si="11"/>
        <v>0.32593899672296445</v>
      </c>
      <c r="AU26" s="1271">
        <f t="shared" si="12"/>
        <v>0.34042021010505252</v>
      </c>
      <c r="AV26" s="1271">
        <f t="shared" si="13"/>
        <v>0.35042081101759753</v>
      </c>
      <c r="AW26" s="1271">
        <f t="shared" si="14"/>
        <v>0.35767358442223929</v>
      </c>
      <c r="AX26" s="1552">
        <f t="shared" si="15"/>
        <v>0.36667517223781576</v>
      </c>
      <c r="AY26" s="1554">
        <f>'Non-marital births'!L27</f>
        <v>0.35886107020127639</v>
      </c>
    </row>
    <row r="27" spans="1:51" s="142" customFormat="1" ht="15.75" customHeight="1" x14ac:dyDescent="0.2">
      <c r="A27" s="149" t="s">
        <v>58</v>
      </c>
      <c r="B27" s="189" t="s">
        <v>59</v>
      </c>
      <c r="C27" s="150" t="s">
        <v>267</v>
      </c>
      <c r="D27" s="1239">
        <v>114</v>
      </c>
      <c r="E27" s="1240">
        <v>118</v>
      </c>
      <c r="F27" s="1241">
        <v>112</v>
      </c>
      <c r="G27" s="1240">
        <v>121</v>
      </c>
      <c r="H27" s="1241">
        <v>115</v>
      </c>
      <c r="I27" s="1240">
        <v>132</v>
      </c>
      <c r="J27" s="1241">
        <v>131</v>
      </c>
      <c r="K27" s="1240">
        <v>121</v>
      </c>
      <c r="L27" s="1254">
        <v>148</v>
      </c>
      <c r="M27" s="1254">
        <v>135</v>
      </c>
      <c r="N27" s="1254">
        <v>138</v>
      </c>
      <c r="O27" s="1254">
        <v>123</v>
      </c>
      <c r="P27" s="1255">
        <v>142</v>
      </c>
      <c r="Q27" s="1255">
        <v>126</v>
      </c>
      <c r="R27" s="1556">
        <v>140</v>
      </c>
      <c r="S27" s="1557">
        <f>'Non-marital births'!D28</f>
        <v>158</v>
      </c>
      <c r="T27" s="1262">
        <v>24</v>
      </c>
      <c r="U27" s="1263">
        <v>33</v>
      </c>
      <c r="V27" s="1263">
        <v>27</v>
      </c>
      <c r="W27" s="1263">
        <v>24</v>
      </c>
      <c r="X27" s="1263">
        <v>26</v>
      </c>
      <c r="Y27" s="1263">
        <v>22</v>
      </c>
      <c r="Z27" s="1263">
        <v>25</v>
      </c>
      <c r="AA27" s="1263">
        <v>25</v>
      </c>
      <c r="AB27" s="1263">
        <v>32</v>
      </c>
      <c r="AC27" s="1263">
        <v>41</v>
      </c>
      <c r="AD27" s="1263">
        <v>38</v>
      </c>
      <c r="AE27" s="1263">
        <v>35</v>
      </c>
      <c r="AF27" s="1263">
        <v>41</v>
      </c>
      <c r="AG27" s="1263">
        <v>47</v>
      </c>
      <c r="AH27" s="1559">
        <v>46</v>
      </c>
      <c r="AI27" s="1560">
        <f>'Non-marital births'!H28</f>
        <v>51</v>
      </c>
      <c r="AJ27" s="1270">
        <f t="shared" si="0"/>
        <v>0.21052631578947367</v>
      </c>
      <c r="AK27" s="1271">
        <f t="shared" si="2"/>
        <v>0.27966101694915252</v>
      </c>
      <c r="AL27" s="1271">
        <f t="shared" si="3"/>
        <v>0.24107142857142858</v>
      </c>
      <c r="AM27" s="1271">
        <f t="shared" si="4"/>
        <v>0.19834710743801653</v>
      </c>
      <c r="AN27" s="1271">
        <f t="shared" si="5"/>
        <v>0.22608695652173913</v>
      </c>
      <c r="AO27" s="1271">
        <f t="shared" si="6"/>
        <v>0.16666666666666666</v>
      </c>
      <c r="AP27" s="1271">
        <f t="shared" si="7"/>
        <v>0.19083969465648856</v>
      </c>
      <c r="AQ27" s="1271">
        <f t="shared" si="8"/>
        <v>0.20661157024793389</v>
      </c>
      <c r="AR27" s="1271">
        <f t="shared" si="9"/>
        <v>0.21621621621621623</v>
      </c>
      <c r="AS27" s="1271">
        <f t="shared" si="10"/>
        <v>0.3037037037037037</v>
      </c>
      <c r="AT27" s="1271">
        <f t="shared" si="11"/>
        <v>0.27536231884057971</v>
      </c>
      <c r="AU27" s="1271">
        <f t="shared" si="12"/>
        <v>0.28455284552845528</v>
      </c>
      <c r="AV27" s="1271">
        <f t="shared" si="13"/>
        <v>0.28873239436619719</v>
      </c>
      <c r="AW27" s="1271">
        <f t="shared" si="14"/>
        <v>0.37301587301587302</v>
      </c>
      <c r="AX27" s="1552">
        <f t="shared" si="15"/>
        <v>0.32857142857142857</v>
      </c>
      <c r="AY27" s="1554">
        <f>'Non-marital births'!L28</f>
        <v>0.32278481012658228</v>
      </c>
    </row>
    <row r="28" spans="1:51" s="142" customFormat="1" ht="15.75" customHeight="1" x14ac:dyDescent="0.2">
      <c r="A28" s="149" t="s">
        <v>60</v>
      </c>
      <c r="B28" s="189" t="s">
        <v>61</v>
      </c>
      <c r="C28" s="150" t="s">
        <v>265</v>
      </c>
      <c r="D28" s="1239">
        <v>45</v>
      </c>
      <c r="E28" s="1240">
        <v>54</v>
      </c>
      <c r="F28" s="1241">
        <v>58</v>
      </c>
      <c r="G28" s="1240">
        <v>61</v>
      </c>
      <c r="H28" s="1241">
        <v>49</v>
      </c>
      <c r="I28" s="1240">
        <v>55</v>
      </c>
      <c r="J28" s="1241">
        <v>43</v>
      </c>
      <c r="K28" s="1240">
        <v>46</v>
      </c>
      <c r="L28" s="1254">
        <v>48</v>
      </c>
      <c r="M28" s="1254">
        <v>40</v>
      </c>
      <c r="N28" s="1254">
        <v>38</v>
      </c>
      <c r="O28" s="1254">
        <v>50</v>
      </c>
      <c r="P28" s="1255">
        <v>33</v>
      </c>
      <c r="Q28" s="1255">
        <v>41</v>
      </c>
      <c r="R28" s="1556">
        <v>36</v>
      </c>
      <c r="S28" s="1557">
        <f>'Non-marital births'!D29</f>
        <v>55</v>
      </c>
      <c r="T28" s="1262">
        <v>8</v>
      </c>
      <c r="U28" s="1263">
        <v>9</v>
      </c>
      <c r="V28" s="1263">
        <v>10</v>
      </c>
      <c r="W28" s="1263">
        <v>16</v>
      </c>
      <c r="X28" s="1263">
        <v>7</v>
      </c>
      <c r="Y28" s="1263">
        <v>12</v>
      </c>
      <c r="Z28" s="1263">
        <v>13</v>
      </c>
      <c r="AA28" s="1263">
        <v>4</v>
      </c>
      <c r="AB28" s="1263">
        <v>13</v>
      </c>
      <c r="AC28" s="1263">
        <v>9</v>
      </c>
      <c r="AD28" s="1263">
        <v>13</v>
      </c>
      <c r="AE28" s="1263">
        <v>17</v>
      </c>
      <c r="AF28" s="1263">
        <v>13</v>
      </c>
      <c r="AG28" s="1263">
        <v>17</v>
      </c>
      <c r="AH28" s="1559">
        <v>14</v>
      </c>
      <c r="AI28" s="1560">
        <f>'Non-marital births'!H29</f>
        <v>26</v>
      </c>
      <c r="AJ28" s="1270">
        <f t="shared" si="0"/>
        <v>0.17777777777777778</v>
      </c>
      <c r="AK28" s="1271">
        <f t="shared" si="2"/>
        <v>0.16666666666666666</v>
      </c>
      <c r="AL28" s="1271">
        <f t="shared" si="3"/>
        <v>0.17241379310344829</v>
      </c>
      <c r="AM28" s="1271">
        <f t="shared" si="4"/>
        <v>0.26229508196721313</v>
      </c>
      <c r="AN28" s="1271">
        <f t="shared" si="5"/>
        <v>0.14285714285714285</v>
      </c>
      <c r="AO28" s="1271">
        <f t="shared" si="6"/>
        <v>0.21818181818181817</v>
      </c>
      <c r="AP28" s="1271">
        <f t="shared" si="7"/>
        <v>0.30232558139534882</v>
      </c>
      <c r="AQ28" s="1271">
        <f t="shared" si="8"/>
        <v>8.6956521739130432E-2</v>
      </c>
      <c r="AR28" s="1271">
        <f t="shared" si="9"/>
        <v>0.27083333333333331</v>
      </c>
      <c r="AS28" s="1271">
        <f t="shared" si="10"/>
        <v>0.22500000000000001</v>
      </c>
      <c r="AT28" s="1271">
        <f t="shared" si="11"/>
        <v>0.34210526315789475</v>
      </c>
      <c r="AU28" s="1271">
        <f t="shared" si="12"/>
        <v>0.34</v>
      </c>
      <c r="AV28" s="1271">
        <f t="shared" si="13"/>
        <v>0.39393939393939392</v>
      </c>
      <c r="AW28" s="1271">
        <f t="shared" si="14"/>
        <v>0.41463414634146339</v>
      </c>
      <c r="AX28" s="1552">
        <f t="shared" si="15"/>
        <v>0.3888888888888889</v>
      </c>
      <c r="AY28" s="1554">
        <f>'Non-marital births'!L29</f>
        <v>0.47272727272727272</v>
      </c>
    </row>
    <row r="29" spans="1:51" s="142" customFormat="1" ht="15.75" customHeight="1" x14ac:dyDescent="0.2">
      <c r="A29" s="149" t="s">
        <v>62</v>
      </c>
      <c r="B29" s="189" t="s">
        <v>63</v>
      </c>
      <c r="C29" s="150" t="s">
        <v>267</v>
      </c>
      <c r="D29" s="1239">
        <v>458</v>
      </c>
      <c r="E29" s="1240">
        <v>416</v>
      </c>
      <c r="F29" s="1241">
        <v>481</v>
      </c>
      <c r="G29" s="1240">
        <v>472</v>
      </c>
      <c r="H29" s="1241">
        <v>501</v>
      </c>
      <c r="I29" s="1240">
        <v>519</v>
      </c>
      <c r="J29" s="1241">
        <v>538</v>
      </c>
      <c r="K29" s="1240">
        <v>608</v>
      </c>
      <c r="L29" s="1254">
        <v>686</v>
      </c>
      <c r="M29" s="1254">
        <v>734</v>
      </c>
      <c r="N29" s="1254">
        <v>664</v>
      </c>
      <c r="O29" s="1254">
        <v>641</v>
      </c>
      <c r="P29" s="1255">
        <v>629</v>
      </c>
      <c r="Q29" s="1255">
        <v>627</v>
      </c>
      <c r="R29" s="1556">
        <v>654</v>
      </c>
      <c r="S29" s="1557">
        <f>'Non-marital births'!D30</f>
        <v>625</v>
      </c>
      <c r="T29" s="1262">
        <v>170</v>
      </c>
      <c r="U29" s="1263">
        <v>130</v>
      </c>
      <c r="V29" s="1263">
        <v>174</v>
      </c>
      <c r="W29" s="1263">
        <v>163</v>
      </c>
      <c r="X29" s="1263">
        <v>173</v>
      </c>
      <c r="Y29" s="1263">
        <v>178</v>
      </c>
      <c r="Z29" s="1263">
        <v>179</v>
      </c>
      <c r="AA29" s="1263">
        <v>217</v>
      </c>
      <c r="AB29" s="1263">
        <v>253</v>
      </c>
      <c r="AC29" s="1263">
        <v>297</v>
      </c>
      <c r="AD29" s="1263">
        <v>281</v>
      </c>
      <c r="AE29" s="1263">
        <v>263</v>
      </c>
      <c r="AF29" s="1263">
        <v>252</v>
      </c>
      <c r="AG29" s="1263">
        <v>276</v>
      </c>
      <c r="AH29" s="1559">
        <v>270</v>
      </c>
      <c r="AI29" s="1560">
        <f>'Non-marital births'!H30</f>
        <v>253</v>
      </c>
      <c r="AJ29" s="1270">
        <f t="shared" si="0"/>
        <v>0.37117903930131002</v>
      </c>
      <c r="AK29" s="1271">
        <f t="shared" si="2"/>
        <v>0.3125</v>
      </c>
      <c r="AL29" s="1271">
        <f t="shared" si="3"/>
        <v>0.36174636174636177</v>
      </c>
      <c r="AM29" s="1271">
        <f t="shared" si="4"/>
        <v>0.34533898305084748</v>
      </c>
      <c r="AN29" s="1271">
        <f t="shared" si="5"/>
        <v>0.34530938123752497</v>
      </c>
      <c r="AO29" s="1271">
        <f t="shared" si="6"/>
        <v>0.34296724470134876</v>
      </c>
      <c r="AP29" s="1271">
        <f t="shared" si="7"/>
        <v>0.33271375464684017</v>
      </c>
      <c r="AQ29" s="1271">
        <f t="shared" si="8"/>
        <v>0.35690789473684209</v>
      </c>
      <c r="AR29" s="1271">
        <f t="shared" si="9"/>
        <v>0.36880466472303208</v>
      </c>
      <c r="AS29" s="1271">
        <f t="shared" si="10"/>
        <v>0.40463215258855584</v>
      </c>
      <c r="AT29" s="1271">
        <f t="shared" si="11"/>
        <v>0.42319277108433734</v>
      </c>
      <c r="AU29" s="1271">
        <f t="shared" si="12"/>
        <v>0.41029641185647425</v>
      </c>
      <c r="AV29" s="1271">
        <f t="shared" si="13"/>
        <v>0.40063593004769477</v>
      </c>
      <c r="AW29" s="1271">
        <f t="shared" si="14"/>
        <v>0.44019138755980863</v>
      </c>
      <c r="AX29" s="1552">
        <f t="shared" si="15"/>
        <v>0.41284403669724773</v>
      </c>
      <c r="AY29" s="1554">
        <f>'Non-marital births'!L30</f>
        <v>0.40479999999999999</v>
      </c>
    </row>
    <row r="30" spans="1:51" s="142" customFormat="1" ht="15.75" customHeight="1" x14ac:dyDescent="0.2">
      <c r="A30" s="149" t="s">
        <v>64</v>
      </c>
      <c r="B30" s="189" t="s">
        <v>65</v>
      </c>
      <c r="C30" s="150" t="s">
        <v>266</v>
      </c>
      <c r="D30" s="1239">
        <v>106</v>
      </c>
      <c r="E30" s="1240">
        <v>83</v>
      </c>
      <c r="F30" s="1241">
        <v>90</v>
      </c>
      <c r="G30" s="1240">
        <v>107</v>
      </c>
      <c r="H30" s="1241">
        <v>101</v>
      </c>
      <c r="I30" s="1240">
        <v>100</v>
      </c>
      <c r="J30" s="1241">
        <v>99</v>
      </c>
      <c r="K30" s="1240">
        <v>121</v>
      </c>
      <c r="L30" s="1254">
        <v>110</v>
      </c>
      <c r="M30" s="1254">
        <v>119</v>
      </c>
      <c r="N30" s="1254">
        <v>103</v>
      </c>
      <c r="O30" s="1254">
        <v>118</v>
      </c>
      <c r="P30" s="1255">
        <v>103</v>
      </c>
      <c r="Q30" s="1255">
        <v>116</v>
      </c>
      <c r="R30" s="1556">
        <v>94</v>
      </c>
      <c r="S30" s="1557">
        <f>'Non-marital births'!D31</f>
        <v>103</v>
      </c>
      <c r="T30" s="1262">
        <v>42</v>
      </c>
      <c r="U30" s="1263">
        <v>29</v>
      </c>
      <c r="V30" s="1263">
        <v>37</v>
      </c>
      <c r="W30" s="1263">
        <v>49</v>
      </c>
      <c r="X30" s="1263">
        <v>43</v>
      </c>
      <c r="Y30" s="1263">
        <v>41</v>
      </c>
      <c r="Z30" s="1263">
        <v>38</v>
      </c>
      <c r="AA30" s="1263">
        <v>59</v>
      </c>
      <c r="AB30" s="1263">
        <v>48</v>
      </c>
      <c r="AC30" s="1263">
        <v>46</v>
      </c>
      <c r="AD30" s="1263">
        <v>47</v>
      </c>
      <c r="AE30" s="1263">
        <v>54</v>
      </c>
      <c r="AF30" s="1263">
        <v>40</v>
      </c>
      <c r="AG30" s="1263">
        <v>62</v>
      </c>
      <c r="AH30" s="1559">
        <v>47</v>
      </c>
      <c r="AI30" s="1560">
        <f>'Non-marital births'!H31</f>
        <v>47</v>
      </c>
      <c r="AJ30" s="1270">
        <f t="shared" si="0"/>
        <v>0.39622641509433965</v>
      </c>
      <c r="AK30" s="1271">
        <f t="shared" si="2"/>
        <v>0.3493975903614458</v>
      </c>
      <c r="AL30" s="1271">
        <f t="shared" si="3"/>
        <v>0.41111111111111109</v>
      </c>
      <c r="AM30" s="1271">
        <f t="shared" si="4"/>
        <v>0.45794392523364486</v>
      </c>
      <c r="AN30" s="1271">
        <f t="shared" si="5"/>
        <v>0.42574257425742573</v>
      </c>
      <c r="AO30" s="1271">
        <f t="shared" si="6"/>
        <v>0.41</v>
      </c>
      <c r="AP30" s="1271">
        <f t="shared" si="7"/>
        <v>0.38383838383838381</v>
      </c>
      <c r="AQ30" s="1271">
        <f t="shared" si="8"/>
        <v>0.48760330578512395</v>
      </c>
      <c r="AR30" s="1271">
        <f t="shared" si="9"/>
        <v>0.43636363636363634</v>
      </c>
      <c r="AS30" s="1271">
        <f t="shared" si="10"/>
        <v>0.38655462184873951</v>
      </c>
      <c r="AT30" s="1271">
        <f t="shared" si="11"/>
        <v>0.4563106796116505</v>
      </c>
      <c r="AU30" s="1271">
        <f t="shared" si="12"/>
        <v>0.4576271186440678</v>
      </c>
      <c r="AV30" s="1271">
        <f t="shared" si="13"/>
        <v>0.38834951456310679</v>
      </c>
      <c r="AW30" s="1271">
        <f t="shared" si="14"/>
        <v>0.53448275862068961</v>
      </c>
      <c r="AX30" s="1552">
        <f t="shared" si="15"/>
        <v>0.5</v>
      </c>
      <c r="AY30" s="1554">
        <f>'Non-marital births'!L31</f>
        <v>0.4563106796116505</v>
      </c>
    </row>
    <row r="31" spans="1:51" s="142" customFormat="1" ht="15.75" customHeight="1" x14ac:dyDescent="0.2">
      <c r="A31" s="149" t="s">
        <v>68</v>
      </c>
      <c r="B31" s="189" t="s">
        <v>69</v>
      </c>
      <c r="C31" s="150" t="s">
        <v>268</v>
      </c>
      <c r="D31" s="1239">
        <v>176</v>
      </c>
      <c r="E31" s="1240">
        <v>162</v>
      </c>
      <c r="F31" s="1241">
        <v>143</v>
      </c>
      <c r="G31" s="1240">
        <v>136</v>
      </c>
      <c r="H31" s="1241">
        <v>166</v>
      </c>
      <c r="I31" s="1240">
        <v>178</v>
      </c>
      <c r="J31" s="1241">
        <v>163</v>
      </c>
      <c r="K31" s="1240">
        <v>173</v>
      </c>
      <c r="L31" s="1254">
        <v>186</v>
      </c>
      <c r="M31" s="1254">
        <v>203</v>
      </c>
      <c r="N31" s="1254">
        <v>164</v>
      </c>
      <c r="O31" s="1254">
        <v>158</v>
      </c>
      <c r="P31" s="1255">
        <v>170</v>
      </c>
      <c r="Q31" s="1255">
        <v>183</v>
      </c>
      <c r="R31" s="1556">
        <v>162</v>
      </c>
      <c r="S31" s="1557">
        <f>'Non-marital births'!D32</f>
        <v>157</v>
      </c>
      <c r="T31" s="1262">
        <v>49</v>
      </c>
      <c r="U31" s="1263">
        <v>33</v>
      </c>
      <c r="V31" s="1263">
        <v>29</v>
      </c>
      <c r="W31" s="1263">
        <v>31</v>
      </c>
      <c r="X31" s="1263">
        <v>43</v>
      </c>
      <c r="Y31" s="1263">
        <v>37</v>
      </c>
      <c r="Z31" s="1263">
        <v>44</v>
      </c>
      <c r="AA31" s="1263">
        <v>52</v>
      </c>
      <c r="AB31" s="1263">
        <v>59</v>
      </c>
      <c r="AC31" s="1263">
        <v>63</v>
      </c>
      <c r="AD31" s="1263">
        <v>46</v>
      </c>
      <c r="AE31" s="1263">
        <v>53</v>
      </c>
      <c r="AF31" s="1263">
        <v>67</v>
      </c>
      <c r="AG31" s="1263">
        <v>66</v>
      </c>
      <c r="AH31" s="1559">
        <v>50</v>
      </c>
      <c r="AI31" s="1560">
        <f>'Non-marital births'!H32</f>
        <v>51</v>
      </c>
      <c r="AJ31" s="1270">
        <f t="shared" si="0"/>
        <v>0.27840909090909088</v>
      </c>
      <c r="AK31" s="1271">
        <f t="shared" si="2"/>
        <v>0.20370370370370369</v>
      </c>
      <c r="AL31" s="1271">
        <f t="shared" si="3"/>
        <v>0.20279720279720279</v>
      </c>
      <c r="AM31" s="1271">
        <f t="shared" si="4"/>
        <v>0.22794117647058823</v>
      </c>
      <c r="AN31" s="1271">
        <f t="shared" si="5"/>
        <v>0.25903614457831325</v>
      </c>
      <c r="AO31" s="1271">
        <f t="shared" si="6"/>
        <v>0.20786516853932585</v>
      </c>
      <c r="AP31" s="1271">
        <f t="shared" si="7"/>
        <v>0.26993865030674846</v>
      </c>
      <c r="AQ31" s="1271">
        <f t="shared" si="8"/>
        <v>0.30057803468208094</v>
      </c>
      <c r="AR31" s="1271">
        <f t="shared" si="9"/>
        <v>0.31720430107526881</v>
      </c>
      <c r="AS31" s="1271">
        <f t="shared" si="10"/>
        <v>0.31034482758620691</v>
      </c>
      <c r="AT31" s="1271">
        <f t="shared" si="11"/>
        <v>0.28048780487804881</v>
      </c>
      <c r="AU31" s="1271">
        <f t="shared" si="12"/>
        <v>0.33544303797468356</v>
      </c>
      <c r="AV31" s="1271">
        <f t="shared" si="13"/>
        <v>0.39411764705882352</v>
      </c>
      <c r="AW31" s="1271">
        <f t="shared" si="14"/>
        <v>0.36065573770491804</v>
      </c>
      <c r="AX31" s="1552">
        <f t="shared" si="15"/>
        <v>0.30864197530864196</v>
      </c>
      <c r="AY31" s="1554">
        <f>'Non-marital births'!L32</f>
        <v>0.32484076433121017</v>
      </c>
    </row>
    <row r="32" spans="1:51" s="142" customFormat="1" ht="15.75" customHeight="1" x14ac:dyDescent="0.2">
      <c r="A32" s="149" t="s">
        <v>70</v>
      </c>
      <c r="B32" s="189" t="s">
        <v>71</v>
      </c>
      <c r="C32" s="150" t="s">
        <v>264</v>
      </c>
      <c r="D32" s="1239">
        <v>249</v>
      </c>
      <c r="E32" s="1240">
        <v>239</v>
      </c>
      <c r="F32" s="1241">
        <v>246</v>
      </c>
      <c r="G32" s="1240">
        <v>227</v>
      </c>
      <c r="H32" s="1241">
        <v>256</v>
      </c>
      <c r="I32" s="1240">
        <v>231</v>
      </c>
      <c r="J32" s="1241">
        <v>283</v>
      </c>
      <c r="K32" s="1240">
        <v>267</v>
      </c>
      <c r="L32" s="1254">
        <v>280</v>
      </c>
      <c r="M32" s="1254">
        <v>260</v>
      </c>
      <c r="N32" s="1254">
        <v>268</v>
      </c>
      <c r="O32" s="1254">
        <v>230</v>
      </c>
      <c r="P32" s="1255">
        <v>233</v>
      </c>
      <c r="Q32" s="1255">
        <v>248</v>
      </c>
      <c r="R32" s="1556">
        <v>258</v>
      </c>
      <c r="S32" s="1557">
        <f>'Non-marital births'!D33</f>
        <v>210</v>
      </c>
      <c r="T32" s="1262">
        <v>88</v>
      </c>
      <c r="U32" s="1263">
        <v>88</v>
      </c>
      <c r="V32" s="1263">
        <v>97</v>
      </c>
      <c r="W32" s="1263">
        <v>90</v>
      </c>
      <c r="X32" s="1263">
        <v>90</v>
      </c>
      <c r="Y32" s="1263">
        <v>96</v>
      </c>
      <c r="Z32" s="1263">
        <v>103</v>
      </c>
      <c r="AA32" s="1263">
        <v>91</v>
      </c>
      <c r="AB32" s="1263">
        <v>122</v>
      </c>
      <c r="AC32" s="1263">
        <v>107</v>
      </c>
      <c r="AD32" s="1263">
        <v>112</v>
      </c>
      <c r="AE32" s="1263">
        <v>106</v>
      </c>
      <c r="AF32" s="1263">
        <v>114</v>
      </c>
      <c r="AG32" s="1263">
        <v>117</v>
      </c>
      <c r="AH32" s="1559">
        <v>113</v>
      </c>
      <c r="AI32" s="1560">
        <f>'Non-marital births'!H33</f>
        <v>94</v>
      </c>
      <c r="AJ32" s="1270">
        <f t="shared" si="0"/>
        <v>0.3534136546184739</v>
      </c>
      <c r="AK32" s="1271">
        <f t="shared" si="2"/>
        <v>0.3682008368200837</v>
      </c>
      <c r="AL32" s="1271">
        <f t="shared" si="3"/>
        <v>0.39430894308943087</v>
      </c>
      <c r="AM32" s="1271">
        <f t="shared" si="4"/>
        <v>0.3964757709251101</v>
      </c>
      <c r="AN32" s="1271">
        <f t="shared" si="5"/>
        <v>0.3515625</v>
      </c>
      <c r="AO32" s="1271">
        <f t="shared" si="6"/>
        <v>0.41558441558441561</v>
      </c>
      <c r="AP32" s="1271">
        <f t="shared" si="7"/>
        <v>0.36395759717314485</v>
      </c>
      <c r="AQ32" s="1271">
        <f t="shared" si="8"/>
        <v>0.34082397003745318</v>
      </c>
      <c r="AR32" s="1271">
        <f t="shared" si="9"/>
        <v>0.43571428571428572</v>
      </c>
      <c r="AS32" s="1271">
        <f t="shared" si="10"/>
        <v>0.41153846153846152</v>
      </c>
      <c r="AT32" s="1271">
        <f t="shared" si="11"/>
        <v>0.41791044776119401</v>
      </c>
      <c r="AU32" s="1271">
        <f t="shared" si="12"/>
        <v>0.46086956521739131</v>
      </c>
      <c r="AV32" s="1271">
        <f t="shared" si="13"/>
        <v>0.48927038626609443</v>
      </c>
      <c r="AW32" s="1271">
        <f t="shared" si="14"/>
        <v>0.47177419354838712</v>
      </c>
      <c r="AX32" s="1552">
        <f t="shared" si="15"/>
        <v>0.43798449612403101</v>
      </c>
      <c r="AY32" s="1554">
        <f>'Non-marital births'!L33</f>
        <v>0.44761904761904764</v>
      </c>
    </row>
    <row r="33" spans="1:51" s="142" customFormat="1" ht="15.75" customHeight="1" x14ac:dyDescent="0.2">
      <c r="A33" s="149" t="s">
        <v>72</v>
      </c>
      <c r="B33" s="189" t="s">
        <v>73</v>
      </c>
      <c r="C33" s="150" t="s">
        <v>266</v>
      </c>
      <c r="D33" s="1239">
        <v>110</v>
      </c>
      <c r="E33" s="1240">
        <v>106</v>
      </c>
      <c r="F33" s="1241">
        <v>120</v>
      </c>
      <c r="G33" s="1240">
        <v>110</v>
      </c>
      <c r="H33" s="1241">
        <v>120</v>
      </c>
      <c r="I33" s="1240">
        <v>111</v>
      </c>
      <c r="J33" s="1241">
        <v>136</v>
      </c>
      <c r="K33" s="1240">
        <v>126</v>
      </c>
      <c r="L33" s="1254">
        <v>113</v>
      </c>
      <c r="M33" s="1254">
        <v>137</v>
      </c>
      <c r="N33" s="1254">
        <v>150</v>
      </c>
      <c r="O33" s="1254">
        <v>150</v>
      </c>
      <c r="P33" s="1255">
        <v>142</v>
      </c>
      <c r="Q33" s="1255">
        <v>130</v>
      </c>
      <c r="R33" s="1556">
        <v>127</v>
      </c>
      <c r="S33" s="1557">
        <f>'Non-marital births'!D34</f>
        <v>124</v>
      </c>
      <c r="T33" s="1262">
        <v>51</v>
      </c>
      <c r="U33" s="1263">
        <v>48</v>
      </c>
      <c r="V33" s="1263">
        <v>63</v>
      </c>
      <c r="W33" s="1263">
        <v>54</v>
      </c>
      <c r="X33" s="1263">
        <v>57</v>
      </c>
      <c r="Y33" s="1263">
        <v>64</v>
      </c>
      <c r="Z33" s="1263">
        <v>66</v>
      </c>
      <c r="AA33" s="1263">
        <v>59</v>
      </c>
      <c r="AB33" s="1263">
        <v>60</v>
      </c>
      <c r="AC33" s="1263">
        <v>71</v>
      </c>
      <c r="AD33" s="1263">
        <v>91</v>
      </c>
      <c r="AE33" s="1263">
        <v>81</v>
      </c>
      <c r="AF33" s="1263">
        <v>82</v>
      </c>
      <c r="AG33" s="1263">
        <v>73</v>
      </c>
      <c r="AH33" s="1559">
        <v>78</v>
      </c>
      <c r="AI33" s="1560">
        <f>'Non-marital births'!H34</f>
        <v>76</v>
      </c>
      <c r="AJ33" s="1270">
        <f t="shared" si="0"/>
        <v>0.46363636363636362</v>
      </c>
      <c r="AK33" s="1271">
        <f t="shared" si="2"/>
        <v>0.45283018867924529</v>
      </c>
      <c r="AL33" s="1271">
        <f t="shared" si="3"/>
        <v>0.52500000000000002</v>
      </c>
      <c r="AM33" s="1271">
        <f t="shared" si="4"/>
        <v>0.49090909090909091</v>
      </c>
      <c r="AN33" s="1271">
        <f t="shared" si="5"/>
        <v>0.47499999999999998</v>
      </c>
      <c r="AO33" s="1271">
        <f t="shared" si="6"/>
        <v>0.57657657657657657</v>
      </c>
      <c r="AP33" s="1271">
        <f t="shared" si="7"/>
        <v>0.48529411764705882</v>
      </c>
      <c r="AQ33" s="1271">
        <f t="shared" si="8"/>
        <v>0.46825396825396826</v>
      </c>
      <c r="AR33" s="1271">
        <f t="shared" si="9"/>
        <v>0.53097345132743368</v>
      </c>
      <c r="AS33" s="1271">
        <f t="shared" si="10"/>
        <v>0.51824817518248179</v>
      </c>
      <c r="AT33" s="1271">
        <f t="shared" si="11"/>
        <v>0.60666666666666669</v>
      </c>
      <c r="AU33" s="1271">
        <f t="shared" si="12"/>
        <v>0.54</v>
      </c>
      <c r="AV33" s="1271">
        <f t="shared" si="13"/>
        <v>0.57746478873239437</v>
      </c>
      <c r="AW33" s="1271">
        <f t="shared" si="14"/>
        <v>0.56153846153846154</v>
      </c>
      <c r="AX33" s="1552">
        <f t="shared" si="15"/>
        <v>0.61417322834645671</v>
      </c>
      <c r="AY33" s="1554">
        <f>'Non-marital births'!L34</f>
        <v>0.61290322580645162</v>
      </c>
    </row>
    <row r="34" spans="1:51" s="142" customFormat="1" ht="15.75" customHeight="1" x14ac:dyDescent="0.2">
      <c r="A34" s="149" t="s">
        <v>74</v>
      </c>
      <c r="B34" s="189" t="s">
        <v>609</v>
      </c>
      <c r="C34" s="150" t="s">
        <v>267</v>
      </c>
      <c r="D34" s="1239">
        <v>14018</v>
      </c>
      <c r="E34" s="1240">
        <v>14564</v>
      </c>
      <c r="F34" s="1241">
        <v>15063</v>
      </c>
      <c r="G34" s="1240">
        <v>15157</v>
      </c>
      <c r="H34" s="1241">
        <v>15166</v>
      </c>
      <c r="I34" s="1240">
        <v>15038</v>
      </c>
      <c r="J34" s="1241">
        <v>15564</v>
      </c>
      <c r="K34" s="1240">
        <v>15371</v>
      </c>
      <c r="L34" s="1254">
        <v>15120</v>
      </c>
      <c r="M34" s="1254">
        <v>15789</v>
      </c>
      <c r="N34" s="1254">
        <v>15865</v>
      </c>
      <c r="O34" s="1254">
        <v>16019</v>
      </c>
      <c r="P34" s="1255">
        <v>15702</v>
      </c>
      <c r="Q34" s="1255">
        <v>15792</v>
      </c>
      <c r="R34" s="1556">
        <v>15736</v>
      </c>
      <c r="S34" s="1557">
        <f>'Non-marital births'!D35</f>
        <v>15558</v>
      </c>
      <c r="T34" s="1262">
        <v>2089</v>
      </c>
      <c r="U34" s="1263">
        <v>2234</v>
      </c>
      <c r="V34" s="1263">
        <v>2470</v>
      </c>
      <c r="W34" s="1263">
        <v>2523</v>
      </c>
      <c r="X34" s="1263">
        <v>2586</v>
      </c>
      <c r="Y34" s="1263">
        <v>2559</v>
      </c>
      <c r="Z34" s="1263">
        <v>2902</v>
      </c>
      <c r="AA34" s="1263">
        <v>3024</v>
      </c>
      <c r="AB34" s="1263">
        <v>3428</v>
      </c>
      <c r="AC34" s="1263">
        <v>3767</v>
      </c>
      <c r="AD34" s="1263">
        <v>3841</v>
      </c>
      <c r="AE34" s="1263">
        <v>3722</v>
      </c>
      <c r="AF34" s="1263">
        <v>3483</v>
      </c>
      <c r="AG34" s="1263">
        <v>3532</v>
      </c>
      <c r="AH34" s="1559">
        <v>3375</v>
      </c>
      <c r="AI34" s="1560">
        <f>'Non-marital births'!H35</f>
        <v>3230</v>
      </c>
      <c r="AJ34" s="1270">
        <f t="shared" si="0"/>
        <v>0.14902268511913255</v>
      </c>
      <c r="AK34" s="1271">
        <f t="shared" si="2"/>
        <v>0.15339192529524856</v>
      </c>
      <c r="AL34" s="1271">
        <f t="shared" si="3"/>
        <v>0.16397795923786762</v>
      </c>
      <c r="AM34" s="1271">
        <f t="shared" si="4"/>
        <v>0.16645774229728838</v>
      </c>
      <c r="AN34" s="1271">
        <f t="shared" si="5"/>
        <v>0.17051298958195965</v>
      </c>
      <c r="AO34" s="1271">
        <f t="shared" si="6"/>
        <v>0.17016890543955313</v>
      </c>
      <c r="AP34" s="1271">
        <f t="shared" si="7"/>
        <v>0.18645592392701105</v>
      </c>
      <c r="AQ34" s="1271">
        <f t="shared" si="8"/>
        <v>0.19673410968707306</v>
      </c>
      <c r="AR34" s="1271">
        <f t="shared" si="9"/>
        <v>0.22671957671957671</v>
      </c>
      <c r="AS34" s="1271">
        <f t="shared" si="10"/>
        <v>0.2385838241813921</v>
      </c>
      <c r="AT34" s="1271">
        <f t="shared" si="11"/>
        <v>0.24210526315789474</v>
      </c>
      <c r="AU34" s="1271">
        <f t="shared" si="12"/>
        <v>0.23234908546101504</v>
      </c>
      <c r="AV34" s="1271">
        <f t="shared" si="13"/>
        <v>0.22181887657623234</v>
      </c>
      <c r="AW34" s="1271">
        <f t="shared" si="14"/>
        <v>0.22365754812563324</v>
      </c>
      <c r="AX34" s="1552">
        <f t="shared" si="15"/>
        <v>0.21447635993899339</v>
      </c>
      <c r="AY34" s="1554">
        <f>'Non-marital births'!L35</f>
        <v>0.20761023267772208</v>
      </c>
    </row>
    <row r="35" spans="1:51" s="142" customFormat="1" ht="15.75" customHeight="1" x14ac:dyDescent="0.2">
      <c r="A35" s="149" t="s">
        <v>76</v>
      </c>
      <c r="B35" s="189" t="s">
        <v>77</v>
      </c>
      <c r="C35" s="150" t="s">
        <v>267</v>
      </c>
      <c r="D35" s="1239">
        <v>643</v>
      </c>
      <c r="E35" s="1240">
        <v>642</v>
      </c>
      <c r="F35" s="1241">
        <v>704</v>
      </c>
      <c r="G35" s="1240">
        <v>706</v>
      </c>
      <c r="H35" s="1241">
        <v>729</v>
      </c>
      <c r="I35" s="1240">
        <v>719</v>
      </c>
      <c r="J35" s="1241">
        <v>744</v>
      </c>
      <c r="K35" s="1240">
        <v>815</v>
      </c>
      <c r="L35" s="1254">
        <v>795</v>
      </c>
      <c r="M35" s="1254">
        <v>805</v>
      </c>
      <c r="N35" s="1254">
        <v>842</v>
      </c>
      <c r="O35" s="1254">
        <v>750</v>
      </c>
      <c r="P35" s="1255">
        <v>750</v>
      </c>
      <c r="Q35" s="1255">
        <v>769</v>
      </c>
      <c r="R35" s="1556">
        <v>675</v>
      </c>
      <c r="S35" s="1557">
        <f>'Non-marital births'!D36</f>
        <v>764</v>
      </c>
      <c r="T35" s="1262">
        <v>165</v>
      </c>
      <c r="U35" s="1263">
        <v>158</v>
      </c>
      <c r="V35" s="1263">
        <v>163</v>
      </c>
      <c r="W35" s="1263">
        <v>163</v>
      </c>
      <c r="X35" s="1263">
        <v>177</v>
      </c>
      <c r="Y35" s="1263">
        <v>168</v>
      </c>
      <c r="Z35" s="1263">
        <v>175</v>
      </c>
      <c r="AA35" s="1263">
        <v>204</v>
      </c>
      <c r="AB35" s="1263">
        <v>220</v>
      </c>
      <c r="AC35" s="1263">
        <v>259</v>
      </c>
      <c r="AD35" s="1263">
        <v>269</v>
      </c>
      <c r="AE35" s="1263">
        <v>235</v>
      </c>
      <c r="AF35" s="1263">
        <v>250</v>
      </c>
      <c r="AG35" s="1263">
        <v>242</v>
      </c>
      <c r="AH35" s="1559">
        <v>208</v>
      </c>
      <c r="AI35" s="1560">
        <f>'Non-marital births'!H36</f>
        <v>228</v>
      </c>
      <c r="AJ35" s="1270">
        <f t="shared" si="0"/>
        <v>0.25660964230171074</v>
      </c>
      <c r="AK35" s="1271">
        <f t="shared" si="2"/>
        <v>0.24610591900311526</v>
      </c>
      <c r="AL35" s="1271">
        <f t="shared" si="3"/>
        <v>0.23153409090909091</v>
      </c>
      <c r="AM35" s="1271">
        <f t="shared" si="4"/>
        <v>0.23087818696883852</v>
      </c>
      <c r="AN35" s="1271">
        <f t="shared" si="5"/>
        <v>0.24279835390946503</v>
      </c>
      <c r="AO35" s="1271">
        <f t="shared" si="6"/>
        <v>0.23365785813630041</v>
      </c>
      <c r="AP35" s="1271">
        <f t="shared" si="7"/>
        <v>0.23521505376344087</v>
      </c>
      <c r="AQ35" s="1271">
        <f t="shared" si="8"/>
        <v>0.25030674846625767</v>
      </c>
      <c r="AR35" s="1271">
        <f t="shared" si="9"/>
        <v>0.27672955974842767</v>
      </c>
      <c r="AS35" s="1271">
        <f t="shared" si="10"/>
        <v>0.32173913043478258</v>
      </c>
      <c r="AT35" s="1271">
        <f t="shared" si="11"/>
        <v>0.31947743467933493</v>
      </c>
      <c r="AU35" s="1271">
        <f t="shared" si="12"/>
        <v>0.31333333333333335</v>
      </c>
      <c r="AV35" s="1271">
        <f t="shared" si="13"/>
        <v>0.33333333333333331</v>
      </c>
      <c r="AW35" s="1271">
        <f t="shared" si="14"/>
        <v>0.31469440832249673</v>
      </c>
      <c r="AX35" s="1552">
        <f t="shared" si="15"/>
        <v>0.30814814814814817</v>
      </c>
      <c r="AY35" s="1554">
        <f>'Non-marital births'!L36</f>
        <v>0.29842931937172773</v>
      </c>
    </row>
    <row r="36" spans="1:51" s="142" customFormat="1" ht="15.75" customHeight="1" x14ac:dyDescent="0.2">
      <c r="A36" s="149" t="s">
        <v>78</v>
      </c>
      <c r="B36" s="189" t="s">
        <v>79</v>
      </c>
      <c r="C36" s="150" t="s">
        <v>268</v>
      </c>
      <c r="D36" s="1239">
        <v>146</v>
      </c>
      <c r="E36" s="1240">
        <v>152</v>
      </c>
      <c r="F36" s="1241">
        <v>158</v>
      </c>
      <c r="G36" s="1240">
        <v>138</v>
      </c>
      <c r="H36" s="1241">
        <v>158</v>
      </c>
      <c r="I36" s="1240">
        <v>146</v>
      </c>
      <c r="J36" s="1241">
        <v>169</v>
      </c>
      <c r="K36" s="1240">
        <v>159</v>
      </c>
      <c r="L36" s="1254">
        <v>163</v>
      </c>
      <c r="M36" s="1254">
        <v>159</v>
      </c>
      <c r="N36" s="1254">
        <v>164</v>
      </c>
      <c r="O36" s="1254">
        <v>148</v>
      </c>
      <c r="P36" s="1255">
        <v>174</v>
      </c>
      <c r="Q36" s="1255">
        <v>144</v>
      </c>
      <c r="R36" s="1556">
        <v>141</v>
      </c>
      <c r="S36" s="1557">
        <f>'Non-marital births'!D37</f>
        <v>148</v>
      </c>
      <c r="T36" s="1262">
        <v>37</v>
      </c>
      <c r="U36" s="1263">
        <v>30</v>
      </c>
      <c r="V36" s="1263">
        <v>38</v>
      </c>
      <c r="W36" s="1263">
        <v>24</v>
      </c>
      <c r="X36" s="1263">
        <v>29</v>
      </c>
      <c r="Y36" s="1263">
        <v>30</v>
      </c>
      <c r="Z36" s="1263">
        <v>27</v>
      </c>
      <c r="AA36" s="1263">
        <v>45</v>
      </c>
      <c r="AB36" s="1263">
        <v>44</v>
      </c>
      <c r="AC36" s="1263">
        <v>49</v>
      </c>
      <c r="AD36" s="1263">
        <v>54</v>
      </c>
      <c r="AE36" s="1263">
        <v>47</v>
      </c>
      <c r="AF36" s="1263">
        <v>58</v>
      </c>
      <c r="AG36" s="1263">
        <v>39</v>
      </c>
      <c r="AH36" s="1559">
        <v>49</v>
      </c>
      <c r="AI36" s="1560">
        <f>'Non-marital births'!H37</f>
        <v>41</v>
      </c>
      <c r="AJ36" s="1270">
        <f t="shared" si="0"/>
        <v>0.25342465753424659</v>
      </c>
      <c r="AK36" s="1271">
        <f t="shared" si="2"/>
        <v>0.19736842105263158</v>
      </c>
      <c r="AL36" s="1271">
        <f t="shared" si="3"/>
        <v>0.24050632911392406</v>
      </c>
      <c r="AM36" s="1271">
        <f t="shared" si="4"/>
        <v>0.17391304347826086</v>
      </c>
      <c r="AN36" s="1271">
        <f t="shared" si="5"/>
        <v>0.18354430379746836</v>
      </c>
      <c r="AO36" s="1271">
        <f t="shared" si="6"/>
        <v>0.20547945205479451</v>
      </c>
      <c r="AP36" s="1271">
        <f t="shared" si="7"/>
        <v>0.15976331360946747</v>
      </c>
      <c r="AQ36" s="1271">
        <f t="shared" si="8"/>
        <v>0.28301886792452829</v>
      </c>
      <c r="AR36" s="1271">
        <f t="shared" si="9"/>
        <v>0.26993865030674846</v>
      </c>
      <c r="AS36" s="1271">
        <f t="shared" si="10"/>
        <v>0.3081761006289308</v>
      </c>
      <c r="AT36" s="1271">
        <f t="shared" si="11"/>
        <v>0.32926829268292684</v>
      </c>
      <c r="AU36" s="1271">
        <f t="shared" si="12"/>
        <v>0.31756756756756754</v>
      </c>
      <c r="AV36" s="1271">
        <f t="shared" si="13"/>
        <v>0.33333333333333331</v>
      </c>
      <c r="AW36" s="1271">
        <f t="shared" si="14"/>
        <v>0.27083333333333331</v>
      </c>
      <c r="AX36" s="1552">
        <f t="shared" si="15"/>
        <v>0.3475177304964539</v>
      </c>
      <c r="AY36" s="1554">
        <f>'Non-marital births'!L37</f>
        <v>0.27702702702702703</v>
      </c>
    </row>
    <row r="37" spans="1:51" s="142" customFormat="1" ht="15.75" customHeight="1" x14ac:dyDescent="0.2">
      <c r="A37" s="149" t="s">
        <v>80</v>
      </c>
      <c r="B37" s="189" t="s">
        <v>81</v>
      </c>
      <c r="C37" s="150" t="s">
        <v>266</v>
      </c>
      <c r="D37" s="1239">
        <v>202</v>
      </c>
      <c r="E37" s="1240">
        <v>219</v>
      </c>
      <c r="F37" s="1241">
        <v>219</v>
      </c>
      <c r="G37" s="1240">
        <v>227</v>
      </c>
      <c r="H37" s="1241">
        <v>301</v>
      </c>
      <c r="I37" s="1240">
        <v>304</v>
      </c>
      <c r="J37" s="1241">
        <v>349</v>
      </c>
      <c r="K37" s="1240">
        <v>355</v>
      </c>
      <c r="L37" s="1254">
        <v>340</v>
      </c>
      <c r="M37" s="1254">
        <v>352</v>
      </c>
      <c r="N37" s="1254">
        <v>323</v>
      </c>
      <c r="O37" s="1254">
        <v>294</v>
      </c>
      <c r="P37" s="1255">
        <v>300</v>
      </c>
      <c r="Q37" s="1255">
        <v>278</v>
      </c>
      <c r="R37" s="1556">
        <v>258</v>
      </c>
      <c r="S37" s="1557">
        <f>'Non-marital births'!D38</f>
        <v>250</v>
      </c>
      <c r="T37" s="1262">
        <v>39</v>
      </c>
      <c r="U37" s="1263">
        <v>56</v>
      </c>
      <c r="V37" s="1263">
        <v>56</v>
      </c>
      <c r="W37" s="1263">
        <v>54</v>
      </c>
      <c r="X37" s="1263">
        <v>69</v>
      </c>
      <c r="Y37" s="1263">
        <v>82</v>
      </c>
      <c r="Z37" s="1263">
        <v>96</v>
      </c>
      <c r="AA37" s="1263">
        <v>92</v>
      </c>
      <c r="AB37" s="1263">
        <v>96</v>
      </c>
      <c r="AC37" s="1263">
        <v>96</v>
      </c>
      <c r="AD37" s="1263">
        <v>89</v>
      </c>
      <c r="AE37" s="1263">
        <v>65</v>
      </c>
      <c r="AF37" s="1263">
        <v>94</v>
      </c>
      <c r="AG37" s="1263">
        <v>82</v>
      </c>
      <c r="AH37" s="1559">
        <v>87</v>
      </c>
      <c r="AI37" s="1560">
        <f>'Non-marital births'!H38</f>
        <v>96</v>
      </c>
      <c r="AJ37" s="1270">
        <f t="shared" ref="AJ37:AJ68" si="16">T37/D37</f>
        <v>0.19306930693069307</v>
      </c>
      <c r="AK37" s="1271">
        <f t="shared" si="2"/>
        <v>0.25570776255707761</v>
      </c>
      <c r="AL37" s="1271">
        <f t="shared" si="3"/>
        <v>0.25570776255707761</v>
      </c>
      <c r="AM37" s="1271">
        <f t="shared" si="4"/>
        <v>0.23788546255506607</v>
      </c>
      <c r="AN37" s="1271">
        <f t="shared" si="5"/>
        <v>0.2292358803986711</v>
      </c>
      <c r="AO37" s="1271">
        <f t="shared" si="6"/>
        <v>0.26973684210526316</v>
      </c>
      <c r="AP37" s="1271">
        <f t="shared" si="7"/>
        <v>0.27507163323782235</v>
      </c>
      <c r="AQ37" s="1271">
        <f t="shared" si="8"/>
        <v>0.25915492957746478</v>
      </c>
      <c r="AR37" s="1271">
        <f t="shared" si="9"/>
        <v>0.28235294117647058</v>
      </c>
      <c r="AS37" s="1271">
        <f t="shared" si="10"/>
        <v>0.27272727272727271</v>
      </c>
      <c r="AT37" s="1271">
        <f t="shared" si="11"/>
        <v>0.27554179566563469</v>
      </c>
      <c r="AU37" s="1271">
        <f t="shared" si="12"/>
        <v>0.22108843537414966</v>
      </c>
      <c r="AV37" s="1271">
        <f t="shared" si="13"/>
        <v>0.31333333333333335</v>
      </c>
      <c r="AW37" s="1271">
        <f t="shared" si="14"/>
        <v>0.29496402877697842</v>
      </c>
      <c r="AX37" s="1552">
        <f t="shared" si="15"/>
        <v>0.33720930232558138</v>
      </c>
      <c r="AY37" s="1554">
        <f>'Non-marital births'!L38</f>
        <v>0.38400000000000001</v>
      </c>
    </row>
    <row r="38" spans="1:51" s="142" customFormat="1" ht="15.75" customHeight="1" x14ac:dyDescent="0.2">
      <c r="A38" s="149" t="s">
        <v>84</v>
      </c>
      <c r="B38" s="189" t="s">
        <v>85</v>
      </c>
      <c r="C38" s="150" t="s">
        <v>265</v>
      </c>
      <c r="D38" s="1239">
        <v>460</v>
      </c>
      <c r="E38" s="1240">
        <v>515</v>
      </c>
      <c r="F38" s="1241">
        <v>534</v>
      </c>
      <c r="G38" s="1240">
        <v>552</v>
      </c>
      <c r="H38" s="1241">
        <v>518</v>
      </c>
      <c r="I38" s="1240">
        <v>511</v>
      </c>
      <c r="J38" s="1241">
        <v>530</v>
      </c>
      <c r="K38" s="1240">
        <v>542</v>
      </c>
      <c r="L38" s="1254">
        <v>574</v>
      </c>
      <c r="M38" s="1254">
        <v>599</v>
      </c>
      <c r="N38" s="1254">
        <v>595</v>
      </c>
      <c r="O38" s="1254">
        <v>593</v>
      </c>
      <c r="P38" s="1255">
        <v>512</v>
      </c>
      <c r="Q38" s="1255">
        <v>523</v>
      </c>
      <c r="R38" s="1556">
        <v>533</v>
      </c>
      <c r="S38" s="1557">
        <f>'Non-marital births'!D39</f>
        <v>475</v>
      </c>
      <c r="T38" s="1262">
        <v>123</v>
      </c>
      <c r="U38" s="1263">
        <v>150</v>
      </c>
      <c r="V38" s="1263">
        <v>163</v>
      </c>
      <c r="W38" s="1263">
        <v>168</v>
      </c>
      <c r="X38" s="1263">
        <v>151</v>
      </c>
      <c r="Y38" s="1263">
        <v>162</v>
      </c>
      <c r="Z38" s="1263">
        <v>165</v>
      </c>
      <c r="AA38" s="1263">
        <v>194</v>
      </c>
      <c r="AB38" s="1263">
        <v>218</v>
      </c>
      <c r="AC38" s="1263">
        <v>219</v>
      </c>
      <c r="AD38" s="1263">
        <v>228</v>
      </c>
      <c r="AE38" s="1263">
        <v>233</v>
      </c>
      <c r="AF38" s="1263">
        <v>191</v>
      </c>
      <c r="AG38" s="1263">
        <v>224</v>
      </c>
      <c r="AH38" s="1559">
        <v>239</v>
      </c>
      <c r="AI38" s="1560">
        <f>'Non-marital births'!H39</f>
        <v>212</v>
      </c>
      <c r="AJ38" s="1270">
        <f t="shared" si="16"/>
        <v>0.2673913043478261</v>
      </c>
      <c r="AK38" s="1271">
        <f t="shared" ref="AK38:AK69" si="17">U38/E38</f>
        <v>0.29126213592233008</v>
      </c>
      <c r="AL38" s="1271">
        <f t="shared" ref="AL38:AL69" si="18">V38/F38</f>
        <v>0.30524344569288392</v>
      </c>
      <c r="AM38" s="1271">
        <f t="shared" ref="AM38:AM69" si="19">W38/G38</f>
        <v>0.30434782608695654</v>
      </c>
      <c r="AN38" s="1271">
        <f t="shared" ref="AN38:AN69" si="20">X38/H38</f>
        <v>0.29150579150579148</v>
      </c>
      <c r="AO38" s="1271">
        <f t="shared" ref="AO38:AO69" si="21">Y38/I38</f>
        <v>0.31702544031311153</v>
      </c>
      <c r="AP38" s="1271">
        <f t="shared" ref="AP38:AP69" si="22">Z38/J38</f>
        <v>0.31132075471698112</v>
      </c>
      <c r="AQ38" s="1271">
        <f t="shared" ref="AQ38:AQ69" si="23">AA38/K38</f>
        <v>0.35793357933579334</v>
      </c>
      <c r="AR38" s="1271">
        <f t="shared" ref="AR38:AR69" si="24">AB38/L38</f>
        <v>0.37979094076655051</v>
      </c>
      <c r="AS38" s="1271">
        <f t="shared" ref="AS38:AS69" si="25">AC38/M38</f>
        <v>0.36560934891485808</v>
      </c>
      <c r="AT38" s="1271">
        <f t="shared" ref="AT38:AT69" si="26">AD38/N38</f>
        <v>0.3831932773109244</v>
      </c>
      <c r="AU38" s="1271">
        <f t="shared" ref="AU38:AU69" si="27">AE38/O38</f>
        <v>0.39291736930860033</v>
      </c>
      <c r="AV38" s="1271">
        <f t="shared" ref="AV38:AV69" si="28">AF38/P38</f>
        <v>0.373046875</v>
      </c>
      <c r="AW38" s="1271">
        <f t="shared" ref="AW38:AW69" si="29">AG38/Q38</f>
        <v>0.42829827915869984</v>
      </c>
      <c r="AX38" s="1552">
        <f t="shared" ref="AX38:AX69" si="30">AH38/R38</f>
        <v>0.44840525328330205</v>
      </c>
      <c r="AY38" s="1554">
        <f>'Non-marital births'!L39</f>
        <v>0.44631578947368422</v>
      </c>
    </row>
    <row r="39" spans="1:51" s="142" customFormat="1" ht="15.75" customHeight="1" x14ac:dyDescent="0.2">
      <c r="A39" s="149" t="s">
        <v>86</v>
      </c>
      <c r="B39" s="189" t="s">
        <v>87</v>
      </c>
      <c r="C39" s="150" t="s">
        <v>267</v>
      </c>
      <c r="D39" s="1239">
        <v>759</v>
      </c>
      <c r="E39" s="1240">
        <v>724</v>
      </c>
      <c r="F39" s="1241">
        <v>837</v>
      </c>
      <c r="G39" s="1240">
        <v>695</v>
      </c>
      <c r="H39" s="1241">
        <v>822</v>
      </c>
      <c r="I39" s="1240">
        <v>858</v>
      </c>
      <c r="J39" s="1241">
        <v>922</v>
      </c>
      <c r="K39" s="1240">
        <v>920</v>
      </c>
      <c r="L39" s="1254">
        <v>964</v>
      </c>
      <c r="M39" s="1254">
        <v>962</v>
      </c>
      <c r="N39" s="1254">
        <v>984</v>
      </c>
      <c r="O39" s="1254">
        <v>918</v>
      </c>
      <c r="P39" s="1255">
        <v>915</v>
      </c>
      <c r="Q39" s="1255">
        <v>887</v>
      </c>
      <c r="R39" s="1556">
        <v>921</v>
      </c>
      <c r="S39" s="1557">
        <f>'Non-marital births'!D40</f>
        <v>935</v>
      </c>
      <c r="T39" s="1262">
        <v>201</v>
      </c>
      <c r="U39" s="1263">
        <v>186</v>
      </c>
      <c r="V39" s="1263">
        <v>220</v>
      </c>
      <c r="W39" s="1263">
        <v>179</v>
      </c>
      <c r="X39" s="1263">
        <v>228</v>
      </c>
      <c r="Y39" s="1263">
        <v>254</v>
      </c>
      <c r="Z39" s="1263">
        <v>257</v>
      </c>
      <c r="AA39" s="1263">
        <v>270</v>
      </c>
      <c r="AB39" s="1263">
        <v>315</v>
      </c>
      <c r="AC39" s="1263">
        <v>324</v>
      </c>
      <c r="AD39" s="1263">
        <v>369</v>
      </c>
      <c r="AE39" s="1263">
        <v>341</v>
      </c>
      <c r="AF39" s="1263">
        <v>335</v>
      </c>
      <c r="AG39" s="1263">
        <v>307</v>
      </c>
      <c r="AH39" s="1559">
        <v>341</v>
      </c>
      <c r="AI39" s="1560">
        <f>'Non-marital births'!H40</f>
        <v>323</v>
      </c>
      <c r="AJ39" s="1270">
        <f t="shared" si="16"/>
        <v>0.2648221343873518</v>
      </c>
      <c r="AK39" s="1271">
        <f t="shared" si="17"/>
        <v>0.25690607734806631</v>
      </c>
      <c r="AL39" s="1271">
        <f t="shared" si="18"/>
        <v>0.26284348864994028</v>
      </c>
      <c r="AM39" s="1271">
        <f t="shared" si="19"/>
        <v>0.25755395683453236</v>
      </c>
      <c r="AN39" s="1271">
        <f t="shared" si="20"/>
        <v>0.27737226277372262</v>
      </c>
      <c r="AO39" s="1271">
        <f t="shared" si="21"/>
        <v>0.29603729603729606</v>
      </c>
      <c r="AP39" s="1271">
        <f t="shared" si="22"/>
        <v>0.27874186550976138</v>
      </c>
      <c r="AQ39" s="1271">
        <f t="shared" si="23"/>
        <v>0.29347826086956524</v>
      </c>
      <c r="AR39" s="1271">
        <f t="shared" si="24"/>
        <v>0.32676348547717843</v>
      </c>
      <c r="AS39" s="1271">
        <f t="shared" si="25"/>
        <v>0.33679833679833682</v>
      </c>
      <c r="AT39" s="1271">
        <f t="shared" si="26"/>
        <v>0.375</v>
      </c>
      <c r="AU39" s="1271">
        <f t="shared" si="27"/>
        <v>0.37145969498910675</v>
      </c>
      <c r="AV39" s="1271">
        <f t="shared" si="28"/>
        <v>0.36612021857923499</v>
      </c>
      <c r="AW39" s="1271">
        <f t="shared" si="29"/>
        <v>0.34611048478015782</v>
      </c>
      <c r="AX39" s="1552">
        <f t="shared" si="30"/>
        <v>0.37024972855591748</v>
      </c>
      <c r="AY39" s="1554">
        <f>'Non-marital births'!L40</f>
        <v>0.34545454545454546</v>
      </c>
    </row>
    <row r="40" spans="1:51" s="142" customFormat="1" ht="15.75" customHeight="1" x14ac:dyDescent="0.2">
      <c r="A40" s="149" t="s">
        <v>92</v>
      </c>
      <c r="B40" s="189" t="s">
        <v>93</v>
      </c>
      <c r="C40" s="150" t="s">
        <v>268</v>
      </c>
      <c r="D40" s="1239">
        <v>208</v>
      </c>
      <c r="E40" s="1240">
        <v>203</v>
      </c>
      <c r="F40" s="1241">
        <v>254</v>
      </c>
      <c r="G40" s="1240">
        <v>204</v>
      </c>
      <c r="H40" s="1241">
        <v>212</v>
      </c>
      <c r="I40" s="1240">
        <v>178</v>
      </c>
      <c r="J40" s="1241">
        <v>189</v>
      </c>
      <c r="K40" s="1240">
        <v>161</v>
      </c>
      <c r="L40" s="1254">
        <v>181</v>
      </c>
      <c r="M40" s="1254">
        <v>190</v>
      </c>
      <c r="N40" s="1254">
        <v>164</v>
      </c>
      <c r="O40" s="1254">
        <v>173</v>
      </c>
      <c r="P40" s="1255">
        <v>196</v>
      </c>
      <c r="Q40" s="1255">
        <v>179</v>
      </c>
      <c r="R40" s="1556">
        <v>189</v>
      </c>
      <c r="S40" s="1557">
        <f>'Non-marital births'!D41</f>
        <v>149</v>
      </c>
      <c r="T40" s="1262">
        <v>50</v>
      </c>
      <c r="U40" s="1263">
        <v>48</v>
      </c>
      <c r="V40" s="1263">
        <v>66</v>
      </c>
      <c r="W40" s="1263">
        <v>53</v>
      </c>
      <c r="X40" s="1263">
        <v>53</v>
      </c>
      <c r="Y40" s="1263">
        <v>45</v>
      </c>
      <c r="Z40" s="1263">
        <v>46</v>
      </c>
      <c r="AA40" s="1263">
        <v>41</v>
      </c>
      <c r="AB40" s="1263">
        <v>60</v>
      </c>
      <c r="AC40" s="1263">
        <v>70</v>
      </c>
      <c r="AD40" s="1263">
        <v>70</v>
      </c>
      <c r="AE40" s="1263">
        <v>61</v>
      </c>
      <c r="AF40" s="1263">
        <v>89</v>
      </c>
      <c r="AG40" s="1263">
        <v>74</v>
      </c>
      <c r="AH40" s="1559">
        <v>75</v>
      </c>
      <c r="AI40" s="1560">
        <f>'Non-marital births'!H41</f>
        <v>65</v>
      </c>
      <c r="AJ40" s="1270">
        <f t="shared" si="16"/>
        <v>0.24038461538461539</v>
      </c>
      <c r="AK40" s="1271">
        <f t="shared" si="17"/>
        <v>0.23645320197044334</v>
      </c>
      <c r="AL40" s="1271">
        <f t="shared" si="18"/>
        <v>0.25984251968503935</v>
      </c>
      <c r="AM40" s="1271">
        <f t="shared" si="19"/>
        <v>0.25980392156862747</v>
      </c>
      <c r="AN40" s="1271">
        <f t="shared" si="20"/>
        <v>0.25</v>
      </c>
      <c r="AO40" s="1271">
        <f t="shared" si="21"/>
        <v>0.25280898876404495</v>
      </c>
      <c r="AP40" s="1271">
        <f t="shared" si="22"/>
        <v>0.24338624338624337</v>
      </c>
      <c r="AQ40" s="1271">
        <f t="shared" si="23"/>
        <v>0.25465838509316768</v>
      </c>
      <c r="AR40" s="1271">
        <f t="shared" si="24"/>
        <v>0.33149171270718231</v>
      </c>
      <c r="AS40" s="1271">
        <f t="shared" si="25"/>
        <v>0.36842105263157893</v>
      </c>
      <c r="AT40" s="1271">
        <f t="shared" si="26"/>
        <v>0.42682926829268292</v>
      </c>
      <c r="AU40" s="1271">
        <f t="shared" si="27"/>
        <v>0.35260115606936415</v>
      </c>
      <c r="AV40" s="1271">
        <f t="shared" si="28"/>
        <v>0.45408163265306123</v>
      </c>
      <c r="AW40" s="1271">
        <f t="shared" si="29"/>
        <v>0.41340782122905029</v>
      </c>
      <c r="AX40" s="1552">
        <f t="shared" si="30"/>
        <v>0.3968253968253968</v>
      </c>
      <c r="AY40" s="1554">
        <f>'Non-marital births'!L41</f>
        <v>0.43624161073825501</v>
      </c>
    </row>
    <row r="41" spans="1:51" s="142" customFormat="1" ht="15.75" customHeight="1" x14ac:dyDescent="0.2">
      <c r="A41" s="149" t="s">
        <v>94</v>
      </c>
      <c r="B41" s="189" t="s">
        <v>95</v>
      </c>
      <c r="C41" s="150" t="s">
        <v>264</v>
      </c>
      <c r="D41" s="1239">
        <v>386</v>
      </c>
      <c r="E41" s="1240">
        <v>381</v>
      </c>
      <c r="F41" s="1241">
        <v>405</v>
      </c>
      <c r="G41" s="1240">
        <v>399</v>
      </c>
      <c r="H41" s="1241">
        <v>413</v>
      </c>
      <c r="I41" s="1240">
        <v>381</v>
      </c>
      <c r="J41" s="1241">
        <v>417</v>
      </c>
      <c r="K41" s="1240">
        <v>405</v>
      </c>
      <c r="L41" s="1254">
        <v>359</v>
      </c>
      <c r="M41" s="1254">
        <v>393</v>
      </c>
      <c r="N41" s="1254">
        <v>374</v>
      </c>
      <c r="O41" s="1254">
        <v>365</v>
      </c>
      <c r="P41" s="1255">
        <v>359</v>
      </c>
      <c r="Q41" s="1255">
        <v>341</v>
      </c>
      <c r="R41" s="1556">
        <v>355</v>
      </c>
      <c r="S41" s="1557">
        <f>'Non-marital births'!D42</f>
        <v>356</v>
      </c>
      <c r="T41" s="1262">
        <v>102</v>
      </c>
      <c r="U41" s="1263">
        <v>101</v>
      </c>
      <c r="V41" s="1263">
        <v>113</v>
      </c>
      <c r="W41" s="1263">
        <v>130</v>
      </c>
      <c r="X41" s="1263">
        <v>127</v>
      </c>
      <c r="Y41" s="1263">
        <v>108</v>
      </c>
      <c r="Z41" s="1263">
        <v>142</v>
      </c>
      <c r="AA41" s="1263">
        <v>126</v>
      </c>
      <c r="AB41" s="1263">
        <v>114</v>
      </c>
      <c r="AC41" s="1263">
        <v>115</v>
      </c>
      <c r="AD41" s="1263">
        <v>127</v>
      </c>
      <c r="AE41" s="1263">
        <v>133</v>
      </c>
      <c r="AF41" s="1263">
        <v>133</v>
      </c>
      <c r="AG41" s="1263">
        <v>122</v>
      </c>
      <c r="AH41" s="1559">
        <v>152</v>
      </c>
      <c r="AI41" s="1560">
        <f>'Non-marital births'!H42</f>
        <v>157</v>
      </c>
      <c r="AJ41" s="1270">
        <f t="shared" si="16"/>
        <v>0.26424870466321243</v>
      </c>
      <c r="AK41" s="1271">
        <f t="shared" si="17"/>
        <v>0.26509186351706038</v>
      </c>
      <c r="AL41" s="1271">
        <f t="shared" si="18"/>
        <v>0.27901234567901234</v>
      </c>
      <c r="AM41" s="1271">
        <f t="shared" si="19"/>
        <v>0.32581453634085211</v>
      </c>
      <c r="AN41" s="1271">
        <f t="shared" si="20"/>
        <v>0.30750605326876512</v>
      </c>
      <c r="AO41" s="1271">
        <f t="shared" si="21"/>
        <v>0.28346456692913385</v>
      </c>
      <c r="AP41" s="1271">
        <f t="shared" si="22"/>
        <v>0.34052757793764987</v>
      </c>
      <c r="AQ41" s="1271">
        <f t="shared" si="23"/>
        <v>0.31111111111111112</v>
      </c>
      <c r="AR41" s="1271">
        <f t="shared" si="24"/>
        <v>0.31754874651810583</v>
      </c>
      <c r="AS41" s="1271">
        <f t="shared" si="25"/>
        <v>0.29262086513994912</v>
      </c>
      <c r="AT41" s="1271">
        <f t="shared" si="26"/>
        <v>0.33957219251336901</v>
      </c>
      <c r="AU41" s="1271">
        <f t="shared" si="27"/>
        <v>0.36438356164383562</v>
      </c>
      <c r="AV41" s="1271">
        <f t="shared" si="28"/>
        <v>0.37047353760445684</v>
      </c>
      <c r="AW41" s="1271">
        <f t="shared" si="29"/>
        <v>0.35777126099706746</v>
      </c>
      <c r="AX41" s="1552">
        <f t="shared" si="30"/>
        <v>0.42816901408450703</v>
      </c>
      <c r="AY41" s="1554">
        <f>'Non-marital births'!L42</f>
        <v>0.4410112359550562</v>
      </c>
    </row>
    <row r="42" spans="1:51" s="142" customFormat="1" ht="15.75" customHeight="1" x14ac:dyDescent="0.2">
      <c r="A42" s="149" t="s">
        <v>96</v>
      </c>
      <c r="B42" s="189" t="s">
        <v>97</v>
      </c>
      <c r="C42" s="150" t="s">
        <v>266</v>
      </c>
      <c r="D42" s="1239">
        <v>185</v>
      </c>
      <c r="E42" s="1240">
        <v>167</v>
      </c>
      <c r="F42" s="1241">
        <v>203</v>
      </c>
      <c r="G42" s="1240">
        <v>200</v>
      </c>
      <c r="H42" s="1241">
        <v>190</v>
      </c>
      <c r="I42" s="1240">
        <v>174</v>
      </c>
      <c r="J42" s="1241">
        <v>181</v>
      </c>
      <c r="K42" s="1240">
        <v>198</v>
      </c>
      <c r="L42" s="1254">
        <v>213</v>
      </c>
      <c r="M42" s="1254">
        <v>194</v>
      </c>
      <c r="N42" s="1254">
        <v>209</v>
      </c>
      <c r="O42" s="1254">
        <v>179</v>
      </c>
      <c r="P42" s="1255">
        <v>173</v>
      </c>
      <c r="Q42" s="1255">
        <v>151</v>
      </c>
      <c r="R42" s="1556">
        <v>165</v>
      </c>
      <c r="S42" s="1557">
        <f>'Non-marital births'!D43</f>
        <v>157</v>
      </c>
      <c r="T42" s="1262">
        <v>43</v>
      </c>
      <c r="U42" s="1263">
        <v>27</v>
      </c>
      <c r="V42" s="1263">
        <v>38</v>
      </c>
      <c r="W42" s="1263">
        <v>37</v>
      </c>
      <c r="X42" s="1263">
        <v>34</v>
      </c>
      <c r="Y42" s="1263">
        <v>25</v>
      </c>
      <c r="Z42" s="1263">
        <v>37</v>
      </c>
      <c r="AA42" s="1263">
        <v>35</v>
      </c>
      <c r="AB42" s="1263">
        <v>47</v>
      </c>
      <c r="AC42" s="1263">
        <v>37</v>
      </c>
      <c r="AD42" s="1263">
        <v>47</v>
      </c>
      <c r="AE42" s="1263">
        <v>37</v>
      </c>
      <c r="AF42" s="1263">
        <v>43</v>
      </c>
      <c r="AG42" s="1263">
        <v>36</v>
      </c>
      <c r="AH42" s="1559">
        <v>36</v>
      </c>
      <c r="AI42" s="1560">
        <f>'Non-marital births'!H43</f>
        <v>37</v>
      </c>
      <c r="AJ42" s="1270">
        <f t="shared" si="16"/>
        <v>0.23243243243243245</v>
      </c>
      <c r="AK42" s="1271">
        <f t="shared" si="17"/>
        <v>0.16167664670658682</v>
      </c>
      <c r="AL42" s="1271">
        <f t="shared" si="18"/>
        <v>0.18719211822660098</v>
      </c>
      <c r="AM42" s="1271">
        <f t="shared" si="19"/>
        <v>0.185</v>
      </c>
      <c r="AN42" s="1271">
        <f t="shared" si="20"/>
        <v>0.17894736842105263</v>
      </c>
      <c r="AO42" s="1271">
        <f t="shared" si="21"/>
        <v>0.14367816091954022</v>
      </c>
      <c r="AP42" s="1271">
        <f t="shared" si="22"/>
        <v>0.20441988950276244</v>
      </c>
      <c r="AQ42" s="1271">
        <f t="shared" si="23"/>
        <v>0.17676767676767677</v>
      </c>
      <c r="AR42" s="1271">
        <f t="shared" si="24"/>
        <v>0.22065727699530516</v>
      </c>
      <c r="AS42" s="1271">
        <f t="shared" si="25"/>
        <v>0.19072164948453607</v>
      </c>
      <c r="AT42" s="1271">
        <f t="shared" si="26"/>
        <v>0.22488038277511962</v>
      </c>
      <c r="AU42" s="1271">
        <f t="shared" si="27"/>
        <v>0.20670391061452514</v>
      </c>
      <c r="AV42" s="1271">
        <f t="shared" si="28"/>
        <v>0.24855491329479767</v>
      </c>
      <c r="AW42" s="1271">
        <f t="shared" si="29"/>
        <v>0.23841059602649006</v>
      </c>
      <c r="AX42" s="1552">
        <f t="shared" si="30"/>
        <v>0.21818181818181817</v>
      </c>
      <c r="AY42" s="1554">
        <f>'Non-marital births'!L43</f>
        <v>0.2356687898089172</v>
      </c>
    </row>
    <row r="43" spans="1:51" s="142" customFormat="1" ht="15.75" customHeight="1" x14ac:dyDescent="0.2">
      <c r="A43" s="149" t="s">
        <v>98</v>
      </c>
      <c r="B43" s="189" t="s">
        <v>99</v>
      </c>
      <c r="C43" s="150" t="s">
        <v>268</v>
      </c>
      <c r="D43" s="1239">
        <v>151</v>
      </c>
      <c r="E43" s="1240">
        <v>184</v>
      </c>
      <c r="F43" s="1241">
        <v>172</v>
      </c>
      <c r="G43" s="1240">
        <v>154</v>
      </c>
      <c r="H43" s="1241">
        <v>170</v>
      </c>
      <c r="I43" s="1240">
        <v>152</v>
      </c>
      <c r="J43" s="1241">
        <v>130</v>
      </c>
      <c r="K43" s="1240">
        <v>146</v>
      </c>
      <c r="L43" s="1254">
        <v>161</v>
      </c>
      <c r="M43" s="1254">
        <v>157</v>
      </c>
      <c r="N43" s="1254">
        <v>156</v>
      </c>
      <c r="O43" s="1254">
        <v>122</v>
      </c>
      <c r="P43" s="1255">
        <v>139</v>
      </c>
      <c r="Q43" s="1255">
        <v>117</v>
      </c>
      <c r="R43" s="1556">
        <v>142</v>
      </c>
      <c r="S43" s="1557">
        <f>'Non-marital births'!D44</f>
        <v>166</v>
      </c>
      <c r="T43" s="1262">
        <v>42</v>
      </c>
      <c r="U43" s="1263">
        <v>47</v>
      </c>
      <c r="V43" s="1263">
        <v>38</v>
      </c>
      <c r="W43" s="1263">
        <v>35</v>
      </c>
      <c r="X43" s="1263">
        <v>44</v>
      </c>
      <c r="Y43" s="1263">
        <v>43</v>
      </c>
      <c r="Z43" s="1263">
        <v>39</v>
      </c>
      <c r="AA43" s="1263">
        <v>45</v>
      </c>
      <c r="AB43" s="1263">
        <v>60</v>
      </c>
      <c r="AC43" s="1263">
        <v>55</v>
      </c>
      <c r="AD43" s="1263">
        <v>55</v>
      </c>
      <c r="AE43" s="1263">
        <v>48</v>
      </c>
      <c r="AF43" s="1263">
        <v>50</v>
      </c>
      <c r="AG43" s="1263">
        <v>53</v>
      </c>
      <c r="AH43" s="1559">
        <v>58</v>
      </c>
      <c r="AI43" s="1560">
        <f>'Non-marital births'!H44</f>
        <v>64</v>
      </c>
      <c r="AJ43" s="1270">
        <f t="shared" si="16"/>
        <v>0.27814569536423839</v>
      </c>
      <c r="AK43" s="1271">
        <f t="shared" si="17"/>
        <v>0.25543478260869568</v>
      </c>
      <c r="AL43" s="1271">
        <f t="shared" si="18"/>
        <v>0.22093023255813954</v>
      </c>
      <c r="AM43" s="1271">
        <f t="shared" si="19"/>
        <v>0.22727272727272727</v>
      </c>
      <c r="AN43" s="1271">
        <f t="shared" si="20"/>
        <v>0.25882352941176473</v>
      </c>
      <c r="AO43" s="1271">
        <f t="shared" si="21"/>
        <v>0.28289473684210525</v>
      </c>
      <c r="AP43" s="1271">
        <f t="shared" si="22"/>
        <v>0.3</v>
      </c>
      <c r="AQ43" s="1271">
        <f t="shared" si="23"/>
        <v>0.30821917808219179</v>
      </c>
      <c r="AR43" s="1271">
        <f t="shared" si="24"/>
        <v>0.37267080745341613</v>
      </c>
      <c r="AS43" s="1271">
        <f t="shared" si="25"/>
        <v>0.3503184713375796</v>
      </c>
      <c r="AT43" s="1271">
        <f t="shared" si="26"/>
        <v>0.35256410256410259</v>
      </c>
      <c r="AU43" s="1271">
        <f t="shared" si="27"/>
        <v>0.39344262295081966</v>
      </c>
      <c r="AV43" s="1271">
        <f t="shared" si="28"/>
        <v>0.35971223021582732</v>
      </c>
      <c r="AW43" s="1271">
        <f t="shared" si="29"/>
        <v>0.45299145299145299</v>
      </c>
      <c r="AX43" s="1552">
        <f t="shared" si="30"/>
        <v>0.40845070422535212</v>
      </c>
      <c r="AY43" s="1554">
        <f>'Non-marital births'!L44</f>
        <v>0.38554216867469882</v>
      </c>
    </row>
    <row r="44" spans="1:51" s="142" customFormat="1" ht="15.75" customHeight="1" x14ac:dyDescent="0.2">
      <c r="A44" s="149" t="s">
        <v>100</v>
      </c>
      <c r="B44" s="189" t="s">
        <v>101</v>
      </c>
      <c r="C44" s="150" t="s">
        <v>267</v>
      </c>
      <c r="D44" s="1239">
        <v>209</v>
      </c>
      <c r="E44" s="1240">
        <v>243</v>
      </c>
      <c r="F44" s="1241">
        <v>225</v>
      </c>
      <c r="G44" s="1240">
        <v>246</v>
      </c>
      <c r="H44" s="1241">
        <v>245</v>
      </c>
      <c r="I44" s="1240">
        <v>252</v>
      </c>
      <c r="J44" s="1241">
        <v>263</v>
      </c>
      <c r="K44" s="1240">
        <v>270</v>
      </c>
      <c r="L44" s="1254">
        <v>279</v>
      </c>
      <c r="M44" s="1254">
        <v>276</v>
      </c>
      <c r="N44" s="1254">
        <v>245</v>
      </c>
      <c r="O44" s="1254">
        <v>254</v>
      </c>
      <c r="P44" s="1255">
        <v>226</v>
      </c>
      <c r="Q44" s="1255">
        <v>227</v>
      </c>
      <c r="R44" s="1556">
        <v>236</v>
      </c>
      <c r="S44" s="1557">
        <f>'Non-marital births'!D45</f>
        <v>184</v>
      </c>
      <c r="T44" s="1262">
        <v>66</v>
      </c>
      <c r="U44" s="1263">
        <v>62</v>
      </c>
      <c r="V44" s="1263">
        <v>62</v>
      </c>
      <c r="W44" s="1263">
        <v>70</v>
      </c>
      <c r="X44" s="1263">
        <v>73</v>
      </c>
      <c r="Y44" s="1263">
        <v>79</v>
      </c>
      <c r="Z44" s="1263">
        <v>76</v>
      </c>
      <c r="AA44" s="1263">
        <v>86</v>
      </c>
      <c r="AB44" s="1263">
        <v>92</v>
      </c>
      <c r="AC44" s="1263">
        <v>76</v>
      </c>
      <c r="AD44" s="1263">
        <v>86</v>
      </c>
      <c r="AE44" s="1263">
        <v>90</v>
      </c>
      <c r="AF44" s="1263">
        <v>64</v>
      </c>
      <c r="AG44" s="1263">
        <v>81</v>
      </c>
      <c r="AH44" s="1559">
        <v>87</v>
      </c>
      <c r="AI44" s="1560">
        <f>'Non-marital births'!H45</f>
        <v>61</v>
      </c>
      <c r="AJ44" s="1270">
        <f t="shared" si="16"/>
        <v>0.31578947368421051</v>
      </c>
      <c r="AK44" s="1271">
        <f t="shared" si="17"/>
        <v>0.2551440329218107</v>
      </c>
      <c r="AL44" s="1271">
        <f t="shared" si="18"/>
        <v>0.27555555555555555</v>
      </c>
      <c r="AM44" s="1271">
        <f t="shared" si="19"/>
        <v>0.28455284552845528</v>
      </c>
      <c r="AN44" s="1271">
        <f t="shared" si="20"/>
        <v>0.29795918367346941</v>
      </c>
      <c r="AO44" s="1271">
        <f t="shared" si="21"/>
        <v>0.31349206349206349</v>
      </c>
      <c r="AP44" s="1271">
        <f t="shared" si="22"/>
        <v>0.28897338403041822</v>
      </c>
      <c r="AQ44" s="1271">
        <f t="shared" si="23"/>
        <v>0.31851851851851853</v>
      </c>
      <c r="AR44" s="1271">
        <f t="shared" si="24"/>
        <v>0.32974910394265233</v>
      </c>
      <c r="AS44" s="1271">
        <f t="shared" si="25"/>
        <v>0.27536231884057971</v>
      </c>
      <c r="AT44" s="1271">
        <f t="shared" si="26"/>
        <v>0.3510204081632653</v>
      </c>
      <c r="AU44" s="1271">
        <f t="shared" si="27"/>
        <v>0.3543307086614173</v>
      </c>
      <c r="AV44" s="1271">
        <f t="shared" si="28"/>
        <v>0.2831858407079646</v>
      </c>
      <c r="AW44" s="1271">
        <f t="shared" si="29"/>
        <v>0.35682819383259912</v>
      </c>
      <c r="AX44" s="1552">
        <f t="shared" si="30"/>
        <v>0.36864406779661019</v>
      </c>
      <c r="AY44" s="1554">
        <f>'Non-marital births'!L45</f>
        <v>0.33152173913043476</v>
      </c>
    </row>
    <row r="45" spans="1:51" s="142" customFormat="1" ht="15.75" customHeight="1" x14ac:dyDescent="0.2">
      <c r="A45" s="149" t="s">
        <v>102</v>
      </c>
      <c r="B45" s="189" t="s">
        <v>282</v>
      </c>
      <c r="C45" s="150" t="s">
        <v>264</v>
      </c>
      <c r="D45" s="1239">
        <v>168</v>
      </c>
      <c r="E45" s="1240">
        <v>172</v>
      </c>
      <c r="F45" s="1241">
        <v>191</v>
      </c>
      <c r="G45" s="1240">
        <v>193</v>
      </c>
      <c r="H45" s="1241">
        <v>204</v>
      </c>
      <c r="I45" s="1240">
        <v>188</v>
      </c>
      <c r="J45" s="1241">
        <v>187</v>
      </c>
      <c r="K45" s="1240">
        <v>193</v>
      </c>
      <c r="L45" s="1254">
        <v>208</v>
      </c>
      <c r="M45" s="1254">
        <v>200</v>
      </c>
      <c r="N45" s="1254">
        <v>215</v>
      </c>
      <c r="O45" s="1254">
        <v>165</v>
      </c>
      <c r="P45" s="1255">
        <v>179</v>
      </c>
      <c r="Q45" s="1255">
        <v>180</v>
      </c>
      <c r="R45" s="1556">
        <v>162</v>
      </c>
      <c r="S45" s="1557">
        <f>'Non-marital births'!D46</f>
        <v>178</v>
      </c>
      <c r="T45" s="1262">
        <v>92</v>
      </c>
      <c r="U45" s="1263">
        <v>100</v>
      </c>
      <c r="V45" s="1263">
        <v>110</v>
      </c>
      <c r="W45" s="1263">
        <v>117</v>
      </c>
      <c r="X45" s="1263">
        <v>124</v>
      </c>
      <c r="Y45" s="1263">
        <v>101</v>
      </c>
      <c r="Z45" s="1263">
        <v>111</v>
      </c>
      <c r="AA45" s="1263">
        <v>125</v>
      </c>
      <c r="AB45" s="1263">
        <v>134</v>
      </c>
      <c r="AC45" s="1263">
        <v>135</v>
      </c>
      <c r="AD45" s="1263">
        <v>154</v>
      </c>
      <c r="AE45" s="1263">
        <v>114</v>
      </c>
      <c r="AF45" s="1263">
        <v>121</v>
      </c>
      <c r="AG45" s="1263">
        <v>130</v>
      </c>
      <c r="AH45" s="1559">
        <v>116</v>
      </c>
      <c r="AI45" s="1560">
        <f>'Non-marital births'!H46</f>
        <v>127</v>
      </c>
      <c r="AJ45" s="1270">
        <f t="shared" si="16"/>
        <v>0.54761904761904767</v>
      </c>
      <c r="AK45" s="1271">
        <f t="shared" si="17"/>
        <v>0.58139534883720934</v>
      </c>
      <c r="AL45" s="1271">
        <f t="shared" si="18"/>
        <v>0.5759162303664922</v>
      </c>
      <c r="AM45" s="1271">
        <f t="shared" si="19"/>
        <v>0.60621761658031093</v>
      </c>
      <c r="AN45" s="1271">
        <f t="shared" si="20"/>
        <v>0.60784313725490191</v>
      </c>
      <c r="AO45" s="1271">
        <f t="shared" si="21"/>
        <v>0.53723404255319152</v>
      </c>
      <c r="AP45" s="1271">
        <f t="shared" si="22"/>
        <v>0.5935828877005348</v>
      </c>
      <c r="AQ45" s="1271">
        <f t="shared" si="23"/>
        <v>0.64766839378238339</v>
      </c>
      <c r="AR45" s="1271">
        <f t="shared" si="24"/>
        <v>0.64423076923076927</v>
      </c>
      <c r="AS45" s="1271">
        <f t="shared" si="25"/>
        <v>0.67500000000000004</v>
      </c>
      <c r="AT45" s="1271">
        <f t="shared" si="26"/>
        <v>0.71627906976744182</v>
      </c>
      <c r="AU45" s="1271">
        <f t="shared" si="27"/>
        <v>0.69090909090909092</v>
      </c>
      <c r="AV45" s="1271">
        <f t="shared" si="28"/>
        <v>0.67597765363128492</v>
      </c>
      <c r="AW45" s="1271">
        <f t="shared" si="29"/>
        <v>0.72222222222222221</v>
      </c>
      <c r="AX45" s="1552">
        <f t="shared" si="30"/>
        <v>0.71604938271604934</v>
      </c>
      <c r="AY45" s="1554">
        <f>'Non-marital births'!L46</f>
        <v>0.7134831460674157</v>
      </c>
    </row>
    <row r="46" spans="1:51" s="142" customFormat="1" ht="15.75" customHeight="1" x14ac:dyDescent="0.2">
      <c r="A46" s="149" t="s">
        <v>104</v>
      </c>
      <c r="B46" s="189" t="s">
        <v>105</v>
      </c>
      <c r="C46" s="150" t="s">
        <v>265</v>
      </c>
      <c r="D46" s="1239">
        <v>440</v>
      </c>
      <c r="E46" s="1240">
        <v>445</v>
      </c>
      <c r="F46" s="1241">
        <v>473</v>
      </c>
      <c r="G46" s="1240">
        <v>422</v>
      </c>
      <c r="H46" s="1241">
        <v>421</v>
      </c>
      <c r="I46" s="1240">
        <v>439</v>
      </c>
      <c r="J46" s="1241">
        <v>394</v>
      </c>
      <c r="K46" s="1240">
        <v>401</v>
      </c>
      <c r="L46" s="1254">
        <v>399</v>
      </c>
      <c r="M46" s="1254">
        <v>419</v>
      </c>
      <c r="N46" s="1254">
        <v>387</v>
      </c>
      <c r="O46" s="1254">
        <v>388</v>
      </c>
      <c r="P46" s="1255">
        <v>365</v>
      </c>
      <c r="Q46" s="1255">
        <v>316</v>
      </c>
      <c r="R46" s="1556">
        <v>341</v>
      </c>
      <c r="S46" s="1557">
        <f>'Non-marital births'!D47</f>
        <v>369</v>
      </c>
      <c r="T46" s="1262">
        <v>187</v>
      </c>
      <c r="U46" s="1263">
        <v>203</v>
      </c>
      <c r="V46" s="1263">
        <v>204</v>
      </c>
      <c r="W46" s="1263">
        <v>179</v>
      </c>
      <c r="X46" s="1263">
        <v>183</v>
      </c>
      <c r="Y46" s="1263">
        <v>185</v>
      </c>
      <c r="Z46" s="1263">
        <v>196</v>
      </c>
      <c r="AA46" s="1263">
        <v>177</v>
      </c>
      <c r="AB46" s="1263">
        <v>186</v>
      </c>
      <c r="AC46" s="1263">
        <v>217</v>
      </c>
      <c r="AD46" s="1263">
        <v>194</v>
      </c>
      <c r="AE46" s="1263">
        <v>188</v>
      </c>
      <c r="AF46" s="1263">
        <v>185</v>
      </c>
      <c r="AG46" s="1263">
        <v>157</v>
      </c>
      <c r="AH46" s="1559">
        <v>173</v>
      </c>
      <c r="AI46" s="1560">
        <f>'Non-marital births'!H47</f>
        <v>197</v>
      </c>
      <c r="AJ46" s="1270">
        <f t="shared" si="16"/>
        <v>0.42499999999999999</v>
      </c>
      <c r="AK46" s="1271">
        <f t="shared" si="17"/>
        <v>0.45617977528089887</v>
      </c>
      <c r="AL46" s="1271">
        <f t="shared" si="18"/>
        <v>0.43128964059196617</v>
      </c>
      <c r="AM46" s="1271">
        <f t="shared" si="19"/>
        <v>0.42417061611374407</v>
      </c>
      <c r="AN46" s="1271">
        <f t="shared" si="20"/>
        <v>0.43467933491686461</v>
      </c>
      <c r="AO46" s="1271">
        <f t="shared" si="21"/>
        <v>0.42141230068337132</v>
      </c>
      <c r="AP46" s="1271">
        <f t="shared" si="22"/>
        <v>0.49746192893401014</v>
      </c>
      <c r="AQ46" s="1271">
        <f t="shared" si="23"/>
        <v>0.44139650872817954</v>
      </c>
      <c r="AR46" s="1271">
        <f t="shared" si="24"/>
        <v>0.46616541353383456</v>
      </c>
      <c r="AS46" s="1271">
        <f t="shared" si="25"/>
        <v>0.5178997613365155</v>
      </c>
      <c r="AT46" s="1271">
        <f t="shared" si="26"/>
        <v>0.50129198966408273</v>
      </c>
      <c r="AU46" s="1271">
        <f t="shared" si="27"/>
        <v>0.4845360824742268</v>
      </c>
      <c r="AV46" s="1271">
        <f t="shared" si="28"/>
        <v>0.50684931506849318</v>
      </c>
      <c r="AW46" s="1271">
        <f t="shared" si="29"/>
        <v>0.49683544303797467</v>
      </c>
      <c r="AX46" s="1552">
        <f t="shared" si="30"/>
        <v>0.50733137829912023</v>
      </c>
      <c r="AY46" s="1554">
        <f>'Non-marital births'!L47</f>
        <v>0.53387533875338755</v>
      </c>
    </row>
    <row r="47" spans="1:51" s="142" customFormat="1" ht="15.75" customHeight="1" x14ac:dyDescent="0.2">
      <c r="A47" s="149" t="s">
        <v>108</v>
      </c>
      <c r="B47" s="189" t="s">
        <v>109</v>
      </c>
      <c r="C47" s="150" t="s">
        <v>266</v>
      </c>
      <c r="D47" s="1239">
        <v>1004</v>
      </c>
      <c r="E47" s="1240">
        <v>1123</v>
      </c>
      <c r="F47" s="1241">
        <v>1060</v>
      </c>
      <c r="G47" s="1240">
        <v>1091</v>
      </c>
      <c r="H47" s="1241">
        <v>1069</v>
      </c>
      <c r="I47" s="1240">
        <v>1063</v>
      </c>
      <c r="J47" s="1241">
        <v>1131</v>
      </c>
      <c r="K47" s="1240">
        <v>1049</v>
      </c>
      <c r="L47" s="1254">
        <v>1100</v>
      </c>
      <c r="M47" s="1254">
        <v>1004</v>
      </c>
      <c r="N47" s="1254">
        <v>1032</v>
      </c>
      <c r="O47" s="1254">
        <v>970</v>
      </c>
      <c r="P47" s="1255">
        <v>918</v>
      </c>
      <c r="Q47" s="1255">
        <v>877</v>
      </c>
      <c r="R47" s="1556">
        <v>861</v>
      </c>
      <c r="S47" s="1557">
        <f>'Non-marital births'!D48</f>
        <v>875</v>
      </c>
      <c r="T47" s="1262">
        <v>155</v>
      </c>
      <c r="U47" s="1263">
        <v>161</v>
      </c>
      <c r="V47" s="1263">
        <v>166</v>
      </c>
      <c r="W47" s="1263">
        <v>164</v>
      </c>
      <c r="X47" s="1263">
        <v>179</v>
      </c>
      <c r="Y47" s="1263">
        <v>172</v>
      </c>
      <c r="Z47" s="1263">
        <v>191</v>
      </c>
      <c r="AA47" s="1263">
        <v>207</v>
      </c>
      <c r="AB47" s="1263">
        <v>222</v>
      </c>
      <c r="AC47" s="1263">
        <v>227</v>
      </c>
      <c r="AD47" s="1263">
        <v>248</v>
      </c>
      <c r="AE47" s="1263">
        <v>270</v>
      </c>
      <c r="AF47" s="1263">
        <v>262</v>
      </c>
      <c r="AG47" s="1263">
        <v>237</v>
      </c>
      <c r="AH47" s="1559">
        <v>228</v>
      </c>
      <c r="AI47" s="1560">
        <f>'Non-marital births'!H48</f>
        <v>241</v>
      </c>
      <c r="AJ47" s="1270">
        <f t="shared" si="16"/>
        <v>0.15438247011952191</v>
      </c>
      <c r="AK47" s="1271">
        <f t="shared" si="17"/>
        <v>0.14336598397150491</v>
      </c>
      <c r="AL47" s="1271">
        <f t="shared" si="18"/>
        <v>0.15660377358490565</v>
      </c>
      <c r="AM47" s="1271">
        <f t="shared" si="19"/>
        <v>0.15032080659945005</v>
      </c>
      <c r="AN47" s="1271">
        <f t="shared" si="20"/>
        <v>0.16744621141253507</v>
      </c>
      <c r="AO47" s="1271">
        <f t="shared" si="21"/>
        <v>0.16180620884289745</v>
      </c>
      <c r="AP47" s="1271">
        <f t="shared" si="22"/>
        <v>0.16887709991158267</v>
      </c>
      <c r="AQ47" s="1271">
        <f t="shared" si="23"/>
        <v>0.19733079122974262</v>
      </c>
      <c r="AR47" s="1271">
        <f t="shared" si="24"/>
        <v>0.20181818181818181</v>
      </c>
      <c r="AS47" s="1271">
        <f t="shared" si="25"/>
        <v>0.22609561752988047</v>
      </c>
      <c r="AT47" s="1271">
        <f t="shared" si="26"/>
        <v>0.24031007751937986</v>
      </c>
      <c r="AU47" s="1271">
        <f t="shared" si="27"/>
        <v>0.27835051546391754</v>
      </c>
      <c r="AV47" s="1271">
        <f t="shared" si="28"/>
        <v>0.28540305010893247</v>
      </c>
      <c r="AW47" s="1271">
        <f t="shared" si="29"/>
        <v>0.27023945267958949</v>
      </c>
      <c r="AX47" s="1552">
        <f t="shared" si="30"/>
        <v>0.26480836236933797</v>
      </c>
      <c r="AY47" s="1554">
        <f>'Non-marital births'!L48</f>
        <v>0.27542857142857141</v>
      </c>
    </row>
    <row r="48" spans="1:51" s="142" customFormat="1" ht="15.75" customHeight="1" x14ac:dyDescent="0.2">
      <c r="A48" s="149" t="s">
        <v>110</v>
      </c>
      <c r="B48" s="189" t="s">
        <v>111</v>
      </c>
      <c r="C48" s="150" t="s">
        <v>266</v>
      </c>
      <c r="D48" s="1239">
        <v>3545</v>
      </c>
      <c r="E48" s="1240">
        <v>3634</v>
      </c>
      <c r="F48" s="1241">
        <v>3700</v>
      </c>
      <c r="G48" s="1240">
        <v>3574</v>
      </c>
      <c r="H48" s="1241">
        <v>3703</v>
      </c>
      <c r="I48" s="1240">
        <v>3728</v>
      </c>
      <c r="J48" s="1241">
        <v>3951</v>
      </c>
      <c r="K48" s="1240">
        <v>4098</v>
      </c>
      <c r="L48" s="1254">
        <v>4136</v>
      </c>
      <c r="M48" s="1254">
        <v>4098</v>
      </c>
      <c r="N48" s="1254">
        <v>3991</v>
      </c>
      <c r="O48" s="1254">
        <v>4086</v>
      </c>
      <c r="P48" s="1255">
        <v>3890</v>
      </c>
      <c r="Q48" s="1255">
        <v>3939</v>
      </c>
      <c r="R48" s="1556">
        <v>3969</v>
      </c>
      <c r="S48" s="1557">
        <f>'Non-marital births'!D49</f>
        <v>3900</v>
      </c>
      <c r="T48" s="1262">
        <v>1027</v>
      </c>
      <c r="U48" s="1263">
        <v>953</v>
      </c>
      <c r="V48" s="1263">
        <v>1023</v>
      </c>
      <c r="W48" s="1263">
        <v>956</v>
      </c>
      <c r="X48" s="1263">
        <v>1035</v>
      </c>
      <c r="Y48" s="1263">
        <v>1120</v>
      </c>
      <c r="Z48" s="1263">
        <v>1194</v>
      </c>
      <c r="AA48" s="1263">
        <v>1321</v>
      </c>
      <c r="AB48" s="1263">
        <v>1374</v>
      </c>
      <c r="AC48" s="1263">
        <v>1378</v>
      </c>
      <c r="AD48" s="1263">
        <v>1482</v>
      </c>
      <c r="AE48" s="1263">
        <v>1456</v>
      </c>
      <c r="AF48" s="1263">
        <v>1358</v>
      </c>
      <c r="AG48" s="1263">
        <v>1354</v>
      </c>
      <c r="AH48" s="1559">
        <v>1389</v>
      </c>
      <c r="AI48" s="1560">
        <f>'Non-marital births'!H49</f>
        <v>1320</v>
      </c>
      <c r="AJ48" s="1270">
        <f t="shared" si="16"/>
        <v>0.28970380818053598</v>
      </c>
      <c r="AK48" s="1271">
        <f t="shared" si="17"/>
        <v>0.26224545954870665</v>
      </c>
      <c r="AL48" s="1271">
        <f t="shared" si="18"/>
        <v>0.27648648648648649</v>
      </c>
      <c r="AM48" s="1271">
        <f t="shared" si="19"/>
        <v>0.26748740906547286</v>
      </c>
      <c r="AN48" s="1271">
        <f t="shared" si="20"/>
        <v>0.27950310559006208</v>
      </c>
      <c r="AO48" s="1271">
        <f t="shared" si="21"/>
        <v>0.30042918454935624</v>
      </c>
      <c r="AP48" s="1271">
        <f t="shared" si="22"/>
        <v>0.30220197418375094</v>
      </c>
      <c r="AQ48" s="1271">
        <f t="shared" si="23"/>
        <v>0.32235236700829673</v>
      </c>
      <c r="AR48" s="1271">
        <f t="shared" si="24"/>
        <v>0.33220502901353965</v>
      </c>
      <c r="AS48" s="1271">
        <f t="shared" si="25"/>
        <v>0.33626159102000974</v>
      </c>
      <c r="AT48" s="1271">
        <f t="shared" si="26"/>
        <v>0.37133550488599348</v>
      </c>
      <c r="AU48" s="1271">
        <f t="shared" si="27"/>
        <v>0.35633871757219776</v>
      </c>
      <c r="AV48" s="1271">
        <f t="shared" si="28"/>
        <v>0.34910025706940873</v>
      </c>
      <c r="AW48" s="1271">
        <f t="shared" si="29"/>
        <v>0.34374206651434375</v>
      </c>
      <c r="AX48" s="1552">
        <f t="shared" si="30"/>
        <v>0.34996220710506426</v>
      </c>
      <c r="AY48" s="1554">
        <f>'Non-marital births'!L49</f>
        <v>0.33846153846153848</v>
      </c>
    </row>
    <row r="49" spans="1:51" s="142" customFormat="1" ht="15.75" customHeight="1" x14ac:dyDescent="0.2">
      <c r="A49" s="149" t="s">
        <v>112</v>
      </c>
      <c r="B49" s="189" t="s">
        <v>300</v>
      </c>
      <c r="C49" s="150" t="s">
        <v>265</v>
      </c>
      <c r="D49" s="1239">
        <v>784</v>
      </c>
      <c r="E49" s="1240">
        <v>827</v>
      </c>
      <c r="F49" s="1241">
        <v>871</v>
      </c>
      <c r="G49" s="1240">
        <v>816</v>
      </c>
      <c r="H49" s="1241">
        <v>791</v>
      </c>
      <c r="I49" s="1240">
        <v>759</v>
      </c>
      <c r="J49" s="1241">
        <v>760</v>
      </c>
      <c r="K49" s="1240">
        <v>777</v>
      </c>
      <c r="L49" s="1254">
        <v>842</v>
      </c>
      <c r="M49" s="1254">
        <v>840</v>
      </c>
      <c r="N49" s="1254">
        <v>816</v>
      </c>
      <c r="O49" s="1254">
        <v>762</v>
      </c>
      <c r="P49" s="1255">
        <v>732</v>
      </c>
      <c r="Q49" s="1255">
        <v>750</v>
      </c>
      <c r="R49" s="1556">
        <v>683</v>
      </c>
      <c r="S49" s="1557">
        <f>'Non-marital births'!D50</f>
        <v>704</v>
      </c>
      <c r="T49" s="1262">
        <v>315</v>
      </c>
      <c r="U49" s="1263">
        <v>340</v>
      </c>
      <c r="V49" s="1263">
        <v>356</v>
      </c>
      <c r="W49" s="1263">
        <v>346</v>
      </c>
      <c r="X49" s="1263">
        <v>349</v>
      </c>
      <c r="Y49" s="1263">
        <v>369</v>
      </c>
      <c r="Z49" s="1263">
        <v>400</v>
      </c>
      <c r="AA49" s="1263">
        <v>408</v>
      </c>
      <c r="AB49" s="1263">
        <v>460</v>
      </c>
      <c r="AC49" s="1263">
        <v>456</v>
      </c>
      <c r="AD49" s="1263">
        <v>439</v>
      </c>
      <c r="AE49" s="1263">
        <v>433</v>
      </c>
      <c r="AF49" s="1263">
        <v>423</v>
      </c>
      <c r="AG49" s="1263">
        <v>429</v>
      </c>
      <c r="AH49" s="1559">
        <v>374</v>
      </c>
      <c r="AI49" s="1560">
        <f>'Non-marital births'!H50</f>
        <v>400</v>
      </c>
      <c r="AJ49" s="1270">
        <f t="shared" si="16"/>
        <v>0.4017857142857143</v>
      </c>
      <c r="AK49" s="1271">
        <f t="shared" si="17"/>
        <v>0.41112454655380892</v>
      </c>
      <c r="AL49" s="1271">
        <f t="shared" si="18"/>
        <v>0.4087256027554535</v>
      </c>
      <c r="AM49" s="1271">
        <f t="shared" si="19"/>
        <v>0.42401960784313725</v>
      </c>
      <c r="AN49" s="1271">
        <f t="shared" si="20"/>
        <v>0.44121365360303416</v>
      </c>
      <c r="AO49" s="1271">
        <f t="shared" si="21"/>
        <v>0.48616600790513836</v>
      </c>
      <c r="AP49" s="1271">
        <f t="shared" si="22"/>
        <v>0.52631578947368418</v>
      </c>
      <c r="AQ49" s="1271">
        <f t="shared" si="23"/>
        <v>0.52509652509652505</v>
      </c>
      <c r="AR49" s="1271">
        <f t="shared" si="24"/>
        <v>0.54631828978622332</v>
      </c>
      <c r="AS49" s="1271">
        <f t="shared" si="25"/>
        <v>0.54285714285714282</v>
      </c>
      <c r="AT49" s="1271">
        <f t="shared" si="26"/>
        <v>0.53799019607843135</v>
      </c>
      <c r="AU49" s="1271">
        <f t="shared" si="27"/>
        <v>0.56824146981627299</v>
      </c>
      <c r="AV49" s="1271">
        <f t="shared" si="28"/>
        <v>0.57786885245901642</v>
      </c>
      <c r="AW49" s="1271">
        <f t="shared" si="29"/>
        <v>0.57199999999999995</v>
      </c>
      <c r="AX49" s="1552">
        <f t="shared" si="30"/>
        <v>0.54758418740849191</v>
      </c>
      <c r="AY49" s="1554">
        <f>'Non-marital births'!L50</f>
        <v>0.56818181818181823</v>
      </c>
    </row>
    <row r="50" spans="1:51" s="142" customFormat="1" ht="15.75" customHeight="1" x14ac:dyDescent="0.2">
      <c r="A50" s="149" t="s">
        <v>114</v>
      </c>
      <c r="B50" s="189" t="s">
        <v>115</v>
      </c>
      <c r="C50" s="150" t="s">
        <v>265</v>
      </c>
      <c r="D50" s="1239">
        <v>11</v>
      </c>
      <c r="E50" s="1240">
        <v>19</v>
      </c>
      <c r="F50" s="1241">
        <v>14</v>
      </c>
      <c r="G50" s="1240">
        <v>20</v>
      </c>
      <c r="H50" s="1241">
        <v>16</v>
      </c>
      <c r="I50" s="1240">
        <v>12</v>
      </c>
      <c r="J50" s="1241">
        <v>14</v>
      </c>
      <c r="K50" s="1240">
        <v>14</v>
      </c>
      <c r="L50" s="1254">
        <v>9</v>
      </c>
      <c r="M50" s="1254">
        <v>20</v>
      </c>
      <c r="N50" s="1254">
        <v>14</v>
      </c>
      <c r="O50" s="1254">
        <v>14</v>
      </c>
      <c r="P50" s="1255">
        <v>16</v>
      </c>
      <c r="Q50" s="1255">
        <v>14</v>
      </c>
      <c r="R50" s="1556">
        <v>12</v>
      </c>
      <c r="S50" s="1557">
        <f>'Non-marital births'!D51</f>
        <v>17</v>
      </c>
      <c r="T50" s="1262">
        <v>2</v>
      </c>
      <c r="U50" s="1263">
        <v>2</v>
      </c>
      <c r="V50" s="1263">
        <v>3</v>
      </c>
      <c r="W50" s="1263">
        <v>6</v>
      </c>
      <c r="X50" s="1263">
        <v>3</v>
      </c>
      <c r="Y50" s="1263">
        <v>3</v>
      </c>
      <c r="Z50" s="1263">
        <v>5</v>
      </c>
      <c r="AA50" s="1263">
        <v>2</v>
      </c>
      <c r="AB50" s="1263">
        <v>3</v>
      </c>
      <c r="AC50" s="1263">
        <v>5</v>
      </c>
      <c r="AD50" s="1263">
        <v>2</v>
      </c>
      <c r="AE50" s="1263">
        <v>2</v>
      </c>
      <c r="AF50" s="1263">
        <v>2</v>
      </c>
      <c r="AG50" s="1263">
        <v>2</v>
      </c>
      <c r="AH50" s="1559">
        <v>0</v>
      </c>
      <c r="AI50" s="1560">
        <f>'Non-marital births'!H51</f>
        <v>4</v>
      </c>
      <c r="AJ50" s="1270">
        <f t="shared" si="16"/>
        <v>0.18181818181818182</v>
      </c>
      <c r="AK50" s="1271">
        <f t="shared" si="17"/>
        <v>0.10526315789473684</v>
      </c>
      <c r="AL50" s="1271">
        <f t="shared" si="18"/>
        <v>0.21428571428571427</v>
      </c>
      <c r="AM50" s="1271">
        <f t="shared" si="19"/>
        <v>0.3</v>
      </c>
      <c r="AN50" s="1271">
        <f t="shared" si="20"/>
        <v>0.1875</v>
      </c>
      <c r="AO50" s="1271">
        <f t="shared" si="21"/>
        <v>0.25</v>
      </c>
      <c r="AP50" s="1271">
        <f t="shared" si="22"/>
        <v>0.35714285714285715</v>
      </c>
      <c r="AQ50" s="1271">
        <f t="shared" si="23"/>
        <v>0.14285714285714285</v>
      </c>
      <c r="AR50" s="1271">
        <f t="shared" si="24"/>
        <v>0.33333333333333331</v>
      </c>
      <c r="AS50" s="1271">
        <f t="shared" si="25"/>
        <v>0.25</v>
      </c>
      <c r="AT50" s="1271">
        <f t="shared" si="26"/>
        <v>0.14285714285714285</v>
      </c>
      <c r="AU50" s="1271">
        <f t="shared" si="27"/>
        <v>0.14285714285714285</v>
      </c>
      <c r="AV50" s="1271">
        <f t="shared" si="28"/>
        <v>0.125</v>
      </c>
      <c r="AW50" s="1271">
        <f t="shared" si="29"/>
        <v>0.14285714285714285</v>
      </c>
      <c r="AX50" s="1552">
        <f t="shared" si="30"/>
        <v>0</v>
      </c>
      <c r="AY50" s="1554">
        <f>'Non-marital births'!L51</f>
        <v>0.23529411764705882</v>
      </c>
    </row>
    <row r="51" spans="1:51" s="142" customFormat="1" ht="15.75" customHeight="1" x14ac:dyDescent="0.2">
      <c r="A51" s="149" t="s">
        <v>118</v>
      </c>
      <c r="B51" s="189" t="s">
        <v>270</v>
      </c>
      <c r="C51" s="150" t="s">
        <v>264</v>
      </c>
      <c r="D51" s="1239">
        <v>358</v>
      </c>
      <c r="E51" s="1240">
        <v>336</v>
      </c>
      <c r="F51" s="1241">
        <v>364</v>
      </c>
      <c r="G51" s="1240">
        <v>338</v>
      </c>
      <c r="H51" s="1241">
        <v>358</v>
      </c>
      <c r="I51" s="1240">
        <v>322</v>
      </c>
      <c r="J51" s="1241">
        <v>355</v>
      </c>
      <c r="K51" s="1240">
        <v>347</v>
      </c>
      <c r="L51" s="1254">
        <v>390</v>
      </c>
      <c r="M51" s="1254">
        <v>355</v>
      </c>
      <c r="N51" s="1254">
        <v>384</v>
      </c>
      <c r="O51" s="1254">
        <v>370</v>
      </c>
      <c r="P51" s="1255">
        <v>340</v>
      </c>
      <c r="Q51" s="1255">
        <v>319</v>
      </c>
      <c r="R51" s="1556">
        <v>300</v>
      </c>
      <c r="S51" s="1557">
        <f>'Non-marital births'!D52</f>
        <v>314</v>
      </c>
      <c r="T51" s="1262">
        <v>107</v>
      </c>
      <c r="U51" s="1263">
        <v>124</v>
      </c>
      <c r="V51" s="1263">
        <v>114</v>
      </c>
      <c r="W51" s="1263">
        <v>137</v>
      </c>
      <c r="X51" s="1263">
        <v>128</v>
      </c>
      <c r="Y51" s="1263">
        <v>119</v>
      </c>
      <c r="Z51" s="1263">
        <v>113</v>
      </c>
      <c r="AA51" s="1263">
        <v>127</v>
      </c>
      <c r="AB51" s="1263">
        <v>133</v>
      </c>
      <c r="AC51" s="1263">
        <v>122</v>
      </c>
      <c r="AD51" s="1263">
        <v>138</v>
      </c>
      <c r="AE51" s="1263">
        <v>133</v>
      </c>
      <c r="AF51" s="1263">
        <v>120</v>
      </c>
      <c r="AG51" s="1263">
        <v>129</v>
      </c>
      <c r="AH51" s="1559">
        <v>107</v>
      </c>
      <c r="AI51" s="1560">
        <f>'Non-marital births'!H52</f>
        <v>116</v>
      </c>
      <c r="AJ51" s="1270">
        <f t="shared" si="16"/>
        <v>0.2988826815642458</v>
      </c>
      <c r="AK51" s="1271">
        <f t="shared" si="17"/>
        <v>0.36904761904761907</v>
      </c>
      <c r="AL51" s="1271">
        <f t="shared" si="18"/>
        <v>0.31318681318681318</v>
      </c>
      <c r="AM51" s="1271">
        <f t="shared" si="19"/>
        <v>0.40532544378698226</v>
      </c>
      <c r="AN51" s="1271">
        <f t="shared" si="20"/>
        <v>0.35754189944134079</v>
      </c>
      <c r="AO51" s="1271">
        <f t="shared" si="21"/>
        <v>0.36956521739130432</v>
      </c>
      <c r="AP51" s="1271">
        <f t="shared" si="22"/>
        <v>0.3183098591549296</v>
      </c>
      <c r="AQ51" s="1271">
        <f t="shared" si="23"/>
        <v>0.36599423631123917</v>
      </c>
      <c r="AR51" s="1271">
        <f t="shared" si="24"/>
        <v>0.34102564102564104</v>
      </c>
      <c r="AS51" s="1271">
        <f t="shared" si="25"/>
        <v>0.3436619718309859</v>
      </c>
      <c r="AT51" s="1271">
        <f t="shared" si="26"/>
        <v>0.359375</v>
      </c>
      <c r="AU51" s="1271">
        <f t="shared" si="27"/>
        <v>0.35945945945945945</v>
      </c>
      <c r="AV51" s="1271">
        <f t="shared" si="28"/>
        <v>0.35294117647058826</v>
      </c>
      <c r="AW51" s="1271">
        <f t="shared" si="29"/>
        <v>0.40438871473354232</v>
      </c>
      <c r="AX51" s="1552">
        <f t="shared" si="30"/>
        <v>0.35666666666666669</v>
      </c>
      <c r="AY51" s="1554">
        <f>'Non-marital births'!L52</f>
        <v>0.36942675159235666</v>
      </c>
    </row>
    <row r="52" spans="1:51" s="142" customFormat="1" ht="15.75" customHeight="1" x14ac:dyDescent="0.2">
      <c r="A52" s="149" t="s">
        <v>120</v>
      </c>
      <c r="B52" s="189" t="s">
        <v>121</v>
      </c>
      <c r="C52" s="150" t="s">
        <v>264</v>
      </c>
      <c r="D52" s="1239">
        <v>423</v>
      </c>
      <c r="E52" s="1240">
        <v>487</v>
      </c>
      <c r="F52" s="1241">
        <v>487</v>
      </c>
      <c r="G52" s="1240">
        <v>502</v>
      </c>
      <c r="H52" s="1241">
        <v>466</v>
      </c>
      <c r="I52" s="1240">
        <v>532</v>
      </c>
      <c r="J52" s="1241">
        <v>504</v>
      </c>
      <c r="K52" s="1240">
        <v>502</v>
      </c>
      <c r="L52" s="1254">
        <v>576</v>
      </c>
      <c r="M52" s="1254">
        <v>569</v>
      </c>
      <c r="N52" s="1254">
        <v>602</v>
      </c>
      <c r="O52" s="1254">
        <v>644</v>
      </c>
      <c r="P52" s="1255">
        <v>721</v>
      </c>
      <c r="Q52" s="1255">
        <v>735</v>
      </c>
      <c r="R52" s="1556">
        <v>691</v>
      </c>
      <c r="S52" s="1557">
        <f>'Non-marital births'!D53</f>
        <v>718</v>
      </c>
      <c r="T52" s="1262">
        <v>119</v>
      </c>
      <c r="U52" s="1263">
        <v>151</v>
      </c>
      <c r="V52" s="1263">
        <v>140</v>
      </c>
      <c r="W52" s="1263">
        <v>118</v>
      </c>
      <c r="X52" s="1263">
        <v>110</v>
      </c>
      <c r="Y52" s="1263">
        <v>135</v>
      </c>
      <c r="Z52" s="1263">
        <v>134</v>
      </c>
      <c r="AA52" s="1263">
        <v>151</v>
      </c>
      <c r="AB52" s="1263">
        <v>189</v>
      </c>
      <c r="AC52" s="1263">
        <v>186</v>
      </c>
      <c r="AD52" s="1263">
        <v>192</v>
      </c>
      <c r="AE52" s="1263">
        <v>217</v>
      </c>
      <c r="AF52" s="1263">
        <v>252</v>
      </c>
      <c r="AG52" s="1263">
        <v>247</v>
      </c>
      <c r="AH52" s="1559">
        <v>239</v>
      </c>
      <c r="AI52" s="1560">
        <f>'Non-marital births'!H53</f>
        <v>216</v>
      </c>
      <c r="AJ52" s="1270">
        <f t="shared" si="16"/>
        <v>0.28132387706855794</v>
      </c>
      <c r="AK52" s="1271">
        <f t="shared" si="17"/>
        <v>0.31006160164271046</v>
      </c>
      <c r="AL52" s="1271">
        <f t="shared" si="18"/>
        <v>0.28747433264887062</v>
      </c>
      <c r="AM52" s="1271">
        <f t="shared" si="19"/>
        <v>0.23505976095617531</v>
      </c>
      <c r="AN52" s="1271">
        <f t="shared" si="20"/>
        <v>0.23605150214592274</v>
      </c>
      <c r="AO52" s="1271">
        <f t="shared" si="21"/>
        <v>0.25375939849624063</v>
      </c>
      <c r="AP52" s="1271">
        <f t="shared" si="22"/>
        <v>0.26587301587301587</v>
      </c>
      <c r="AQ52" s="1271">
        <f t="shared" si="23"/>
        <v>0.30079681274900399</v>
      </c>
      <c r="AR52" s="1271">
        <f t="shared" si="24"/>
        <v>0.328125</v>
      </c>
      <c r="AS52" s="1271">
        <f t="shared" si="25"/>
        <v>0.32688927943760981</v>
      </c>
      <c r="AT52" s="1271">
        <f t="shared" si="26"/>
        <v>0.31893687707641194</v>
      </c>
      <c r="AU52" s="1271">
        <f t="shared" si="27"/>
        <v>0.33695652173913043</v>
      </c>
      <c r="AV52" s="1271">
        <f t="shared" si="28"/>
        <v>0.34951456310679613</v>
      </c>
      <c r="AW52" s="1271">
        <f t="shared" si="29"/>
        <v>0.33605442176870748</v>
      </c>
      <c r="AX52" s="1552">
        <f t="shared" si="30"/>
        <v>0.34587554269175108</v>
      </c>
      <c r="AY52" s="1554">
        <f>'Non-marital births'!L53</f>
        <v>0.30083565459610029</v>
      </c>
    </row>
    <row r="53" spans="1:51" s="142" customFormat="1" ht="15.75" customHeight="1" x14ac:dyDescent="0.2">
      <c r="A53" s="149" t="s">
        <v>122</v>
      </c>
      <c r="B53" s="189" t="s">
        <v>271</v>
      </c>
      <c r="C53" s="150" t="s">
        <v>266</v>
      </c>
      <c r="D53" s="1239">
        <v>70</v>
      </c>
      <c r="E53" s="1240">
        <v>62</v>
      </c>
      <c r="F53" s="1241">
        <v>63</v>
      </c>
      <c r="G53" s="1240">
        <v>69</v>
      </c>
      <c r="H53" s="1241">
        <v>63</v>
      </c>
      <c r="I53" s="1240">
        <v>74</v>
      </c>
      <c r="J53" s="1241">
        <v>68</v>
      </c>
      <c r="K53" s="1240">
        <v>82</v>
      </c>
      <c r="L53" s="1254">
        <v>75</v>
      </c>
      <c r="M53" s="1254">
        <v>77</v>
      </c>
      <c r="N53" s="1254">
        <v>66</v>
      </c>
      <c r="O53" s="1254">
        <v>52</v>
      </c>
      <c r="P53" s="1255">
        <v>66</v>
      </c>
      <c r="Q53" s="1255">
        <v>70</v>
      </c>
      <c r="R53" s="1556">
        <v>62</v>
      </c>
      <c r="S53" s="1557">
        <f>'Non-marital births'!D54</f>
        <v>52</v>
      </c>
      <c r="T53" s="1262">
        <v>20</v>
      </c>
      <c r="U53" s="1263">
        <v>28</v>
      </c>
      <c r="V53" s="1263">
        <v>31</v>
      </c>
      <c r="W53" s="1263">
        <v>27</v>
      </c>
      <c r="X53" s="1263">
        <v>24</v>
      </c>
      <c r="Y53" s="1263">
        <v>38</v>
      </c>
      <c r="Z53" s="1263">
        <v>28</v>
      </c>
      <c r="AA53" s="1263">
        <v>40</v>
      </c>
      <c r="AB53" s="1263">
        <v>39</v>
      </c>
      <c r="AC53" s="1263">
        <v>35</v>
      </c>
      <c r="AD53" s="1263">
        <v>30</v>
      </c>
      <c r="AE53" s="1263">
        <v>25</v>
      </c>
      <c r="AF53" s="1263">
        <v>36</v>
      </c>
      <c r="AG53" s="1263">
        <v>37</v>
      </c>
      <c r="AH53" s="1559">
        <v>31</v>
      </c>
      <c r="AI53" s="1560">
        <f>'Non-marital births'!H54</f>
        <v>29</v>
      </c>
      <c r="AJ53" s="1270">
        <f t="shared" si="16"/>
        <v>0.2857142857142857</v>
      </c>
      <c r="AK53" s="1271">
        <f t="shared" si="17"/>
        <v>0.45161290322580644</v>
      </c>
      <c r="AL53" s="1271">
        <f t="shared" si="18"/>
        <v>0.49206349206349204</v>
      </c>
      <c r="AM53" s="1271">
        <f t="shared" si="19"/>
        <v>0.39130434782608697</v>
      </c>
      <c r="AN53" s="1271">
        <f t="shared" si="20"/>
        <v>0.38095238095238093</v>
      </c>
      <c r="AO53" s="1271">
        <f t="shared" si="21"/>
        <v>0.51351351351351349</v>
      </c>
      <c r="AP53" s="1271">
        <f t="shared" si="22"/>
        <v>0.41176470588235292</v>
      </c>
      <c r="AQ53" s="1271">
        <f t="shared" si="23"/>
        <v>0.48780487804878048</v>
      </c>
      <c r="AR53" s="1271">
        <f t="shared" si="24"/>
        <v>0.52</v>
      </c>
      <c r="AS53" s="1271">
        <f t="shared" si="25"/>
        <v>0.45454545454545453</v>
      </c>
      <c r="AT53" s="1271">
        <f t="shared" si="26"/>
        <v>0.45454545454545453</v>
      </c>
      <c r="AU53" s="1271">
        <f t="shared" si="27"/>
        <v>0.48076923076923078</v>
      </c>
      <c r="AV53" s="1271">
        <f t="shared" si="28"/>
        <v>0.54545454545454541</v>
      </c>
      <c r="AW53" s="1271">
        <f t="shared" si="29"/>
        <v>0.52857142857142858</v>
      </c>
      <c r="AX53" s="1552">
        <f t="shared" si="30"/>
        <v>0.5</v>
      </c>
      <c r="AY53" s="1554">
        <f>'Non-marital births'!L54</f>
        <v>0.55769230769230771</v>
      </c>
    </row>
    <row r="54" spans="1:51" s="142" customFormat="1" ht="15.75" customHeight="1" x14ac:dyDescent="0.2">
      <c r="A54" s="149" t="s">
        <v>124</v>
      </c>
      <c r="B54" s="189" t="s">
        <v>125</v>
      </c>
      <c r="C54" s="150" t="s">
        <v>267</v>
      </c>
      <c r="D54" s="1239">
        <v>257</v>
      </c>
      <c r="E54" s="1240">
        <v>233</v>
      </c>
      <c r="F54" s="1241">
        <v>243</v>
      </c>
      <c r="G54" s="1240">
        <v>218</v>
      </c>
      <c r="H54" s="1241">
        <v>254</v>
      </c>
      <c r="I54" s="1240">
        <v>275</v>
      </c>
      <c r="J54" s="1241">
        <v>326</v>
      </c>
      <c r="K54" s="1240">
        <v>334</v>
      </c>
      <c r="L54" s="1254">
        <v>288</v>
      </c>
      <c r="M54" s="1254">
        <v>387</v>
      </c>
      <c r="N54" s="1254">
        <v>373</v>
      </c>
      <c r="O54" s="1254">
        <v>288</v>
      </c>
      <c r="P54" s="1255">
        <v>305</v>
      </c>
      <c r="Q54" s="1255">
        <v>312</v>
      </c>
      <c r="R54" s="1556">
        <v>325</v>
      </c>
      <c r="S54" s="1557">
        <f>'Non-marital births'!D55</f>
        <v>304</v>
      </c>
      <c r="T54" s="1262">
        <v>75</v>
      </c>
      <c r="U54" s="1263">
        <v>68</v>
      </c>
      <c r="V54" s="1263">
        <v>73</v>
      </c>
      <c r="W54" s="1263">
        <v>77</v>
      </c>
      <c r="X54" s="1263">
        <v>95</v>
      </c>
      <c r="Y54" s="1263">
        <v>87</v>
      </c>
      <c r="Z54" s="1263">
        <v>89</v>
      </c>
      <c r="AA54" s="1263">
        <v>75</v>
      </c>
      <c r="AB54" s="1263">
        <v>84</v>
      </c>
      <c r="AC54" s="1263">
        <v>108</v>
      </c>
      <c r="AD54" s="1263">
        <v>106</v>
      </c>
      <c r="AE54" s="1263">
        <v>94</v>
      </c>
      <c r="AF54" s="1263">
        <v>101</v>
      </c>
      <c r="AG54" s="1263">
        <v>94</v>
      </c>
      <c r="AH54" s="1559">
        <v>108</v>
      </c>
      <c r="AI54" s="1560">
        <f>'Non-marital births'!H55</f>
        <v>97</v>
      </c>
      <c r="AJ54" s="1270">
        <f t="shared" si="16"/>
        <v>0.29182879377431908</v>
      </c>
      <c r="AK54" s="1271">
        <f t="shared" si="17"/>
        <v>0.29184549356223177</v>
      </c>
      <c r="AL54" s="1271">
        <f t="shared" si="18"/>
        <v>0.30041152263374488</v>
      </c>
      <c r="AM54" s="1271">
        <f t="shared" si="19"/>
        <v>0.35321100917431192</v>
      </c>
      <c r="AN54" s="1271">
        <f t="shared" si="20"/>
        <v>0.37401574803149606</v>
      </c>
      <c r="AO54" s="1271">
        <f t="shared" si="21"/>
        <v>0.31636363636363635</v>
      </c>
      <c r="AP54" s="1271">
        <f t="shared" si="22"/>
        <v>0.27300613496932513</v>
      </c>
      <c r="AQ54" s="1271">
        <f t="shared" si="23"/>
        <v>0.22455089820359281</v>
      </c>
      <c r="AR54" s="1271">
        <f t="shared" si="24"/>
        <v>0.29166666666666669</v>
      </c>
      <c r="AS54" s="1271">
        <f t="shared" si="25"/>
        <v>0.27906976744186046</v>
      </c>
      <c r="AT54" s="1271">
        <f t="shared" si="26"/>
        <v>0.28418230563002683</v>
      </c>
      <c r="AU54" s="1271">
        <f t="shared" si="27"/>
        <v>0.3263888888888889</v>
      </c>
      <c r="AV54" s="1271">
        <f t="shared" si="28"/>
        <v>0.33114754098360655</v>
      </c>
      <c r="AW54" s="1271">
        <f t="shared" si="29"/>
        <v>0.30128205128205127</v>
      </c>
      <c r="AX54" s="1552">
        <f t="shared" si="30"/>
        <v>0.3323076923076923</v>
      </c>
      <c r="AY54" s="1554">
        <f>'Non-marital births'!L55</f>
        <v>0.31907894736842107</v>
      </c>
    </row>
    <row r="55" spans="1:51" s="142" customFormat="1" ht="15.75" customHeight="1" x14ac:dyDescent="0.2">
      <c r="A55" s="149" t="s">
        <v>126</v>
      </c>
      <c r="B55" s="189" t="s">
        <v>127</v>
      </c>
      <c r="C55" s="150" t="s">
        <v>266</v>
      </c>
      <c r="D55" s="1239">
        <v>149</v>
      </c>
      <c r="E55" s="1240">
        <v>187</v>
      </c>
      <c r="F55" s="1241">
        <v>197</v>
      </c>
      <c r="G55" s="1240">
        <v>179</v>
      </c>
      <c r="H55" s="1241">
        <v>194</v>
      </c>
      <c r="I55" s="1240">
        <v>180</v>
      </c>
      <c r="J55" s="1241">
        <v>184</v>
      </c>
      <c r="K55" s="1240">
        <v>189</v>
      </c>
      <c r="L55" s="1254">
        <v>209</v>
      </c>
      <c r="M55" s="1254">
        <v>212</v>
      </c>
      <c r="N55" s="1254">
        <v>207</v>
      </c>
      <c r="O55" s="1254">
        <v>211</v>
      </c>
      <c r="P55" s="1255">
        <v>203</v>
      </c>
      <c r="Q55" s="1255">
        <v>183</v>
      </c>
      <c r="R55" s="1556">
        <v>189</v>
      </c>
      <c r="S55" s="1557">
        <f>'Non-marital births'!D56</f>
        <v>187</v>
      </c>
      <c r="T55" s="1262">
        <v>45</v>
      </c>
      <c r="U55" s="1263">
        <v>46</v>
      </c>
      <c r="V55" s="1263">
        <v>65</v>
      </c>
      <c r="W55" s="1263">
        <v>54</v>
      </c>
      <c r="X55" s="1263">
        <v>57</v>
      </c>
      <c r="Y55" s="1263">
        <v>59</v>
      </c>
      <c r="Z55" s="1263">
        <v>61</v>
      </c>
      <c r="AA55" s="1263">
        <v>58</v>
      </c>
      <c r="AB55" s="1263">
        <v>56</v>
      </c>
      <c r="AC55" s="1263">
        <v>60</v>
      </c>
      <c r="AD55" s="1263">
        <v>69</v>
      </c>
      <c r="AE55" s="1263">
        <v>66</v>
      </c>
      <c r="AF55" s="1263">
        <v>63</v>
      </c>
      <c r="AG55" s="1263">
        <v>59</v>
      </c>
      <c r="AH55" s="1559">
        <v>64</v>
      </c>
      <c r="AI55" s="1560">
        <f>'Non-marital births'!H56</f>
        <v>51</v>
      </c>
      <c r="AJ55" s="1270">
        <f t="shared" si="16"/>
        <v>0.30201342281879195</v>
      </c>
      <c r="AK55" s="1271">
        <f t="shared" si="17"/>
        <v>0.24598930481283424</v>
      </c>
      <c r="AL55" s="1271">
        <f t="shared" si="18"/>
        <v>0.32994923857868019</v>
      </c>
      <c r="AM55" s="1271">
        <f t="shared" si="19"/>
        <v>0.3016759776536313</v>
      </c>
      <c r="AN55" s="1271">
        <f t="shared" si="20"/>
        <v>0.29381443298969073</v>
      </c>
      <c r="AO55" s="1271">
        <f t="shared" si="21"/>
        <v>0.32777777777777778</v>
      </c>
      <c r="AP55" s="1271">
        <f t="shared" si="22"/>
        <v>0.33152173913043476</v>
      </c>
      <c r="AQ55" s="1271">
        <f t="shared" si="23"/>
        <v>0.30687830687830686</v>
      </c>
      <c r="AR55" s="1271">
        <f t="shared" si="24"/>
        <v>0.26794258373205743</v>
      </c>
      <c r="AS55" s="1271">
        <f t="shared" si="25"/>
        <v>0.28301886792452829</v>
      </c>
      <c r="AT55" s="1271">
        <f t="shared" si="26"/>
        <v>0.33333333333333331</v>
      </c>
      <c r="AU55" s="1271">
        <f t="shared" si="27"/>
        <v>0.3127962085308057</v>
      </c>
      <c r="AV55" s="1271">
        <f t="shared" si="28"/>
        <v>0.31034482758620691</v>
      </c>
      <c r="AW55" s="1271">
        <f t="shared" si="29"/>
        <v>0.32240437158469948</v>
      </c>
      <c r="AX55" s="1552">
        <f t="shared" si="30"/>
        <v>0.33862433862433861</v>
      </c>
      <c r="AY55" s="1554">
        <f>'Non-marital births'!L56</f>
        <v>0.27272727272727271</v>
      </c>
    </row>
    <row r="56" spans="1:51" s="142" customFormat="1" ht="15.75" customHeight="1" x14ac:dyDescent="0.2">
      <c r="A56" s="149" t="s">
        <v>128</v>
      </c>
      <c r="B56" s="189" t="s">
        <v>129</v>
      </c>
      <c r="C56" s="150" t="s">
        <v>266</v>
      </c>
      <c r="D56" s="1239">
        <v>117</v>
      </c>
      <c r="E56" s="1240">
        <v>101</v>
      </c>
      <c r="F56" s="1241">
        <v>111</v>
      </c>
      <c r="G56" s="1240">
        <v>110</v>
      </c>
      <c r="H56" s="1241">
        <v>108</v>
      </c>
      <c r="I56" s="1240">
        <v>105</v>
      </c>
      <c r="J56" s="1241">
        <v>96</v>
      </c>
      <c r="K56" s="1240">
        <v>96</v>
      </c>
      <c r="L56" s="1254">
        <v>103</v>
      </c>
      <c r="M56" s="1254">
        <v>125</v>
      </c>
      <c r="N56" s="1254">
        <v>95</v>
      </c>
      <c r="O56" s="1254">
        <v>80</v>
      </c>
      <c r="P56" s="1255">
        <v>100</v>
      </c>
      <c r="Q56" s="1255">
        <v>83</v>
      </c>
      <c r="R56" s="1556">
        <v>84</v>
      </c>
      <c r="S56" s="1557">
        <f>'Non-marital births'!D57</f>
        <v>77</v>
      </c>
      <c r="T56" s="1262">
        <v>61</v>
      </c>
      <c r="U56" s="1263">
        <v>55</v>
      </c>
      <c r="V56" s="1263">
        <v>55</v>
      </c>
      <c r="W56" s="1263">
        <v>52</v>
      </c>
      <c r="X56" s="1263">
        <v>53</v>
      </c>
      <c r="Y56" s="1263">
        <v>50</v>
      </c>
      <c r="Z56" s="1263">
        <v>49</v>
      </c>
      <c r="AA56" s="1263">
        <v>52</v>
      </c>
      <c r="AB56" s="1263">
        <v>62</v>
      </c>
      <c r="AC56" s="1263">
        <v>78</v>
      </c>
      <c r="AD56" s="1263">
        <v>59</v>
      </c>
      <c r="AE56" s="1263">
        <v>50</v>
      </c>
      <c r="AF56" s="1263">
        <v>58</v>
      </c>
      <c r="AG56" s="1263">
        <v>56</v>
      </c>
      <c r="AH56" s="1559">
        <v>52</v>
      </c>
      <c r="AI56" s="1560">
        <f>'Non-marital births'!H57</f>
        <v>56</v>
      </c>
      <c r="AJ56" s="1270">
        <f t="shared" si="16"/>
        <v>0.5213675213675214</v>
      </c>
      <c r="AK56" s="1271">
        <f t="shared" si="17"/>
        <v>0.54455445544554459</v>
      </c>
      <c r="AL56" s="1271">
        <f t="shared" si="18"/>
        <v>0.49549549549549549</v>
      </c>
      <c r="AM56" s="1271">
        <f t="shared" si="19"/>
        <v>0.47272727272727272</v>
      </c>
      <c r="AN56" s="1271">
        <f t="shared" si="20"/>
        <v>0.49074074074074076</v>
      </c>
      <c r="AO56" s="1271">
        <f t="shared" si="21"/>
        <v>0.47619047619047616</v>
      </c>
      <c r="AP56" s="1271">
        <f t="shared" si="22"/>
        <v>0.51041666666666663</v>
      </c>
      <c r="AQ56" s="1271">
        <f t="shared" si="23"/>
        <v>0.54166666666666663</v>
      </c>
      <c r="AR56" s="1271">
        <f t="shared" si="24"/>
        <v>0.60194174757281549</v>
      </c>
      <c r="AS56" s="1271">
        <f t="shared" si="25"/>
        <v>0.624</v>
      </c>
      <c r="AT56" s="1271">
        <f t="shared" si="26"/>
        <v>0.62105263157894741</v>
      </c>
      <c r="AU56" s="1271">
        <f t="shared" si="27"/>
        <v>0.625</v>
      </c>
      <c r="AV56" s="1271">
        <f t="shared" si="28"/>
        <v>0.57999999999999996</v>
      </c>
      <c r="AW56" s="1271">
        <f t="shared" si="29"/>
        <v>0.67469879518072284</v>
      </c>
      <c r="AX56" s="1552">
        <f t="shared" si="30"/>
        <v>0.61904761904761907</v>
      </c>
      <c r="AY56" s="1554">
        <f>'Non-marital births'!L57</f>
        <v>0.72727272727272729</v>
      </c>
    </row>
    <row r="57" spans="1:51" s="142" customFormat="1" ht="15.75" customHeight="1" x14ac:dyDescent="0.2">
      <c r="A57" s="149" t="s">
        <v>130</v>
      </c>
      <c r="B57" s="189" t="s">
        <v>131</v>
      </c>
      <c r="C57" s="150" t="s">
        <v>268</v>
      </c>
      <c r="D57" s="1239">
        <v>252</v>
      </c>
      <c r="E57" s="1240">
        <v>236</v>
      </c>
      <c r="F57" s="1241">
        <v>237</v>
      </c>
      <c r="G57" s="1240">
        <v>240</v>
      </c>
      <c r="H57" s="1241">
        <v>243</v>
      </c>
      <c r="I57" s="1240">
        <v>251</v>
      </c>
      <c r="J57" s="1241">
        <v>234</v>
      </c>
      <c r="K57" s="1240">
        <v>251</v>
      </c>
      <c r="L57" s="1254">
        <v>240</v>
      </c>
      <c r="M57" s="1254">
        <v>265</v>
      </c>
      <c r="N57" s="1254">
        <v>250</v>
      </c>
      <c r="O57" s="1254">
        <v>265</v>
      </c>
      <c r="P57" s="1255">
        <v>250</v>
      </c>
      <c r="Q57" s="1255">
        <v>267</v>
      </c>
      <c r="R57" s="1556">
        <v>267</v>
      </c>
      <c r="S57" s="1557">
        <f>'Non-marital births'!D58</f>
        <v>222</v>
      </c>
      <c r="T57" s="1262">
        <v>64</v>
      </c>
      <c r="U57" s="1263">
        <v>76</v>
      </c>
      <c r="V57" s="1263">
        <v>55</v>
      </c>
      <c r="W57" s="1263">
        <v>60</v>
      </c>
      <c r="X57" s="1263">
        <v>70</v>
      </c>
      <c r="Y57" s="1263">
        <v>85</v>
      </c>
      <c r="Z57" s="1263">
        <v>66</v>
      </c>
      <c r="AA57" s="1263">
        <v>80</v>
      </c>
      <c r="AB57" s="1263">
        <v>69</v>
      </c>
      <c r="AC57" s="1263">
        <v>86</v>
      </c>
      <c r="AD57" s="1263">
        <v>80</v>
      </c>
      <c r="AE57" s="1263">
        <v>96</v>
      </c>
      <c r="AF57" s="1263">
        <v>95</v>
      </c>
      <c r="AG57" s="1263">
        <v>99</v>
      </c>
      <c r="AH57" s="1559">
        <v>104</v>
      </c>
      <c r="AI57" s="1560">
        <f>'Non-marital births'!H58</f>
        <v>86</v>
      </c>
      <c r="AJ57" s="1270">
        <f t="shared" si="16"/>
        <v>0.25396825396825395</v>
      </c>
      <c r="AK57" s="1271">
        <f t="shared" si="17"/>
        <v>0.32203389830508472</v>
      </c>
      <c r="AL57" s="1271">
        <f t="shared" si="18"/>
        <v>0.2320675105485232</v>
      </c>
      <c r="AM57" s="1271">
        <f t="shared" si="19"/>
        <v>0.25</v>
      </c>
      <c r="AN57" s="1271">
        <f t="shared" si="20"/>
        <v>0.2880658436213992</v>
      </c>
      <c r="AO57" s="1271">
        <f t="shared" si="21"/>
        <v>0.3386454183266932</v>
      </c>
      <c r="AP57" s="1271">
        <f t="shared" si="22"/>
        <v>0.28205128205128205</v>
      </c>
      <c r="AQ57" s="1271">
        <f t="shared" si="23"/>
        <v>0.31872509960159362</v>
      </c>
      <c r="AR57" s="1271">
        <f t="shared" si="24"/>
        <v>0.28749999999999998</v>
      </c>
      <c r="AS57" s="1271">
        <f t="shared" si="25"/>
        <v>0.32452830188679244</v>
      </c>
      <c r="AT57" s="1271">
        <f t="shared" si="26"/>
        <v>0.32</v>
      </c>
      <c r="AU57" s="1271">
        <f t="shared" si="27"/>
        <v>0.3622641509433962</v>
      </c>
      <c r="AV57" s="1271">
        <f t="shared" si="28"/>
        <v>0.38</v>
      </c>
      <c r="AW57" s="1271">
        <f t="shared" si="29"/>
        <v>0.3707865168539326</v>
      </c>
      <c r="AX57" s="1552">
        <f t="shared" si="30"/>
        <v>0.38951310861423222</v>
      </c>
      <c r="AY57" s="1554">
        <f>'Non-marital births'!L58</f>
        <v>0.38738738738738737</v>
      </c>
    </row>
    <row r="58" spans="1:51" s="142" customFormat="1" ht="15.75" customHeight="1" x14ac:dyDescent="0.2">
      <c r="A58" s="149" t="s">
        <v>132</v>
      </c>
      <c r="B58" s="189" t="s">
        <v>133</v>
      </c>
      <c r="C58" s="150" t="s">
        <v>267</v>
      </c>
      <c r="D58" s="1239">
        <v>2838</v>
      </c>
      <c r="E58" s="1240">
        <v>3057</v>
      </c>
      <c r="F58" s="1241">
        <v>3646</v>
      </c>
      <c r="G58" s="1240">
        <v>3857</v>
      </c>
      <c r="H58" s="1241">
        <v>4192</v>
      </c>
      <c r="I58" s="1240">
        <v>4444</v>
      </c>
      <c r="J58" s="1241">
        <v>4816</v>
      </c>
      <c r="K58" s="1240">
        <v>5153</v>
      </c>
      <c r="L58" s="1254">
        <v>5076</v>
      </c>
      <c r="M58" s="1254">
        <v>5160</v>
      </c>
      <c r="N58" s="1254">
        <v>5284</v>
      </c>
      <c r="O58" s="1254">
        <v>5030</v>
      </c>
      <c r="P58" s="1255">
        <v>5068</v>
      </c>
      <c r="Q58" s="1255">
        <v>4970</v>
      </c>
      <c r="R58" s="1556">
        <v>4902</v>
      </c>
      <c r="S58" s="1557">
        <f>'Non-marital births'!D59</f>
        <v>5005</v>
      </c>
      <c r="T58" s="1262">
        <v>302</v>
      </c>
      <c r="U58" s="1263">
        <v>344</v>
      </c>
      <c r="V58" s="1263">
        <v>391</v>
      </c>
      <c r="W58" s="1263">
        <v>392</v>
      </c>
      <c r="X58" s="1263">
        <v>471</v>
      </c>
      <c r="Y58" s="1263">
        <v>448</v>
      </c>
      <c r="Z58" s="1263">
        <v>555</v>
      </c>
      <c r="AA58" s="1263">
        <v>659</v>
      </c>
      <c r="AB58" s="1263">
        <v>743</v>
      </c>
      <c r="AC58" s="1263">
        <v>837</v>
      </c>
      <c r="AD58" s="1263">
        <v>804</v>
      </c>
      <c r="AE58" s="1263">
        <v>777</v>
      </c>
      <c r="AF58" s="1263">
        <v>824</v>
      </c>
      <c r="AG58" s="1263">
        <v>780</v>
      </c>
      <c r="AH58" s="1559">
        <v>757</v>
      </c>
      <c r="AI58" s="1560">
        <f>'Non-marital births'!H59</f>
        <v>788</v>
      </c>
      <c r="AJ58" s="1270">
        <f t="shared" si="16"/>
        <v>0.10641296687808316</v>
      </c>
      <c r="AK58" s="1271">
        <f t="shared" si="17"/>
        <v>0.11252862283284265</v>
      </c>
      <c r="AL58" s="1271">
        <f t="shared" si="18"/>
        <v>0.10724081184860121</v>
      </c>
      <c r="AM58" s="1271">
        <f t="shared" si="19"/>
        <v>0.10163339382940109</v>
      </c>
      <c r="AN58" s="1271">
        <f t="shared" si="20"/>
        <v>0.11235687022900763</v>
      </c>
      <c r="AO58" s="1271">
        <f t="shared" si="21"/>
        <v>0.10081008100810081</v>
      </c>
      <c r="AP58" s="1271">
        <f t="shared" si="22"/>
        <v>0.11524086378737541</v>
      </c>
      <c r="AQ58" s="1271">
        <f t="shared" si="23"/>
        <v>0.1278866679604114</v>
      </c>
      <c r="AR58" s="1271">
        <f t="shared" si="24"/>
        <v>0.14637509850275807</v>
      </c>
      <c r="AS58" s="1271">
        <f t="shared" si="25"/>
        <v>0.16220930232558139</v>
      </c>
      <c r="AT58" s="1271">
        <f t="shared" si="26"/>
        <v>0.15215745647236942</v>
      </c>
      <c r="AU58" s="1271">
        <f t="shared" si="27"/>
        <v>0.15447316103379721</v>
      </c>
      <c r="AV58" s="1271">
        <f t="shared" si="28"/>
        <v>0.16258879242304658</v>
      </c>
      <c r="AW58" s="1271">
        <f t="shared" si="29"/>
        <v>0.15694164989939638</v>
      </c>
      <c r="AX58" s="1552">
        <f t="shared" si="30"/>
        <v>0.15442676458588331</v>
      </c>
      <c r="AY58" s="1554">
        <f>'Non-marital births'!L59</f>
        <v>0.15744255744255745</v>
      </c>
    </row>
    <row r="59" spans="1:51" s="142" customFormat="1" ht="15.75" customHeight="1" x14ac:dyDescent="0.2">
      <c r="A59" s="149" t="s">
        <v>134</v>
      </c>
      <c r="B59" s="189" t="s">
        <v>135</v>
      </c>
      <c r="C59" s="150" t="s">
        <v>267</v>
      </c>
      <c r="D59" s="1239">
        <v>305</v>
      </c>
      <c r="E59" s="1240">
        <v>311</v>
      </c>
      <c r="F59" s="1241">
        <v>328</v>
      </c>
      <c r="G59" s="1240">
        <v>321</v>
      </c>
      <c r="H59" s="1241">
        <v>333</v>
      </c>
      <c r="I59" s="1240">
        <v>295</v>
      </c>
      <c r="J59" s="1241">
        <v>357</v>
      </c>
      <c r="K59" s="1240">
        <v>385</v>
      </c>
      <c r="L59" s="1254">
        <v>372</v>
      </c>
      <c r="M59" s="1254">
        <v>452</v>
      </c>
      <c r="N59" s="1254">
        <v>396</v>
      </c>
      <c r="O59" s="1254">
        <v>399</v>
      </c>
      <c r="P59" s="1255">
        <v>368</v>
      </c>
      <c r="Q59" s="1255">
        <v>374</v>
      </c>
      <c r="R59" s="1556">
        <v>382</v>
      </c>
      <c r="S59" s="1557">
        <f>'Non-marital births'!D60</f>
        <v>368</v>
      </c>
      <c r="T59" s="1262">
        <v>120</v>
      </c>
      <c r="U59" s="1263">
        <v>116</v>
      </c>
      <c r="V59" s="1263">
        <v>122</v>
      </c>
      <c r="W59" s="1263">
        <v>133</v>
      </c>
      <c r="X59" s="1263">
        <v>115</v>
      </c>
      <c r="Y59" s="1263">
        <v>98</v>
      </c>
      <c r="Z59" s="1263">
        <v>115</v>
      </c>
      <c r="AA59" s="1263">
        <v>129</v>
      </c>
      <c r="AB59" s="1263">
        <v>138</v>
      </c>
      <c r="AC59" s="1263">
        <v>152</v>
      </c>
      <c r="AD59" s="1263">
        <v>165</v>
      </c>
      <c r="AE59" s="1263">
        <v>155</v>
      </c>
      <c r="AF59" s="1263">
        <v>146</v>
      </c>
      <c r="AG59" s="1263">
        <v>138</v>
      </c>
      <c r="AH59" s="1559">
        <v>162</v>
      </c>
      <c r="AI59" s="1560">
        <f>'Non-marital births'!H60</f>
        <v>155</v>
      </c>
      <c r="AJ59" s="1270">
        <f t="shared" si="16"/>
        <v>0.39344262295081966</v>
      </c>
      <c r="AK59" s="1271">
        <f t="shared" si="17"/>
        <v>0.37299035369774919</v>
      </c>
      <c r="AL59" s="1271">
        <f t="shared" si="18"/>
        <v>0.37195121951219512</v>
      </c>
      <c r="AM59" s="1271">
        <f t="shared" si="19"/>
        <v>0.41433021806853582</v>
      </c>
      <c r="AN59" s="1271">
        <f t="shared" si="20"/>
        <v>0.34534534534534533</v>
      </c>
      <c r="AO59" s="1271">
        <f t="shared" si="21"/>
        <v>0.33220338983050846</v>
      </c>
      <c r="AP59" s="1271">
        <f t="shared" si="22"/>
        <v>0.32212885154061627</v>
      </c>
      <c r="AQ59" s="1271">
        <f t="shared" si="23"/>
        <v>0.33506493506493507</v>
      </c>
      <c r="AR59" s="1271">
        <f t="shared" si="24"/>
        <v>0.37096774193548387</v>
      </c>
      <c r="AS59" s="1271">
        <f t="shared" si="25"/>
        <v>0.33628318584070799</v>
      </c>
      <c r="AT59" s="1271">
        <f t="shared" si="26"/>
        <v>0.41666666666666669</v>
      </c>
      <c r="AU59" s="1271">
        <f t="shared" si="27"/>
        <v>0.38847117794486213</v>
      </c>
      <c r="AV59" s="1271">
        <f t="shared" si="28"/>
        <v>0.39673913043478259</v>
      </c>
      <c r="AW59" s="1271">
        <f t="shared" si="29"/>
        <v>0.36898395721925131</v>
      </c>
      <c r="AX59" s="1552">
        <f t="shared" si="30"/>
        <v>0.42408376963350786</v>
      </c>
      <c r="AY59" s="1554">
        <f>'Non-marital births'!L60</f>
        <v>0.42119565217391303</v>
      </c>
    </row>
    <row r="60" spans="1:51" s="142" customFormat="1" ht="15.75" customHeight="1" x14ac:dyDescent="0.2">
      <c r="A60" s="149" t="s">
        <v>136</v>
      </c>
      <c r="B60" s="189" t="s">
        <v>137</v>
      </c>
      <c r="C60" s="150" t="s">
        <v>266</v>
      </c>
      <c r="D60" s="1239">
        <v>116</v>
      </c>
      <c r="E60" s="1240">
        <v>106</v>
      </c>
      <c r="F60" s="1241">
        <v>95</v>
      </c>
      <c r="G60" s="1240">
        <v>116</v>
      </c>
      <c r="H60" s="1241">
        <v>109</v>
      </c>
      <c r="I60" s="1240">
        <v>140</v>
      </c>
      <c r="J60" s="1241">
        <v>131</v>
      </c>
      <c r="K60" s="1240">
        <v>156</v>
      </c>
      <c r="L60" s="1254">
        <v>138</v>
      </c>
      <c r="M60" s="1254">
        <v>127</v>
      </c>
      <c r="N60" s="1254">
        <v>128</v>
      </c>
      <c r="O60" s="1254">
        <v>133</v>
      </c>
      <c r="P60" s="1255">
        <v>108</v>
      </c>
      <c r="Q60" s="1255">
        <v>117</v>
      </c>
      <c r="R60" s="1556">
        <v>118</v>
      </c>
      <c r="S60" s="1557">
        <f>'Non-marital births'!D61</f>
        <v>99</v>
      </c>
      <c r="T60" s="1262">
        <v>52</v>
      </c>
      <c r="U60" s="1263">
        <v>44</v>
      </c>
      <c r="V60" s="1263">
        <v>35</v>
      </c>
      <c r="W60" s="1263">
        <v>53</v>
      </c>
      <c r="X60" s="1263">
        <v>54</v>
      </c>
      <c r="Y60" s="1263">
        <v>73</v>
      </c>
      <c r="Z60" s="1263">
        <v>64</v>
      </c>
      <c r="AA60" s="1263">
        <v>70</v>
      </c>
      <c r="AB60" s="1263">
        <v>69</v>
      </c>
      <c r="AC60" s="1263">
        <v>59</v>
      </c>
      <c r="AD60" s="1263">
        <v>72</v>
      </c>
      <c r="AE60" s="1263">
        <v>68</v>
      </c>
      <c r="AF60" s="1263">
        <v>49</v>
      </c>
      <c r="AG60" s="1263">
        <v>65</v>
      </c>
      <c r="AH60" s="1559">
        <v>80</v>
      </c>
      <c r="AI60" s="1560">
        <f>'Non-marital births'!H61</f>
        <v>57</v>
      </c>
      <c r="AJ60" s="1270">
        <f t="shared" si="16"/>
        <v>0.44827586206896552</v>
      </c>
      <c r="AK60" s="1271">
        <f t="shared" si="17"/>
        <v>0.41509433962264153</v>
      </c>
      <c r="AL60" s="1271">
        <f t="shared" si="18"/>
        <v>0.36842105263157893</v>
      </c>
      <c r="AM60" s="1271">
        <f t="shared" si="19"/>
        <v>0.45689655172413796</v>
      </c>
      <c r="AN60" s="1271">
        <f t="shared" si="20"/>
        <v>0.49541284403669728</v>
      </c>
      <c r="AO60" s="1271">
        <f t="shared" si="21"/>
        <v>0.52142857142857146</v>
      </c>
      <c r="AP60" s="1271">
        <f t="shared" si="22"/>
        <v>0.48854961832061067</v>
      </c>
      <c r="AQ60" s="1271">
        <f t="shared" si="23"/>
        <v>0.44871794871794873</v>
      </c>
      <c r="AR60" s="1271">
        <f t="shared" si="24"/>
        <v>0.5</v>
      </c>
      <c r="AS60" s="1271">
        <f t="shared" si="25"/>
        <v>0.46456692913385828</v>
      </c>
      <c r="AT60" s="1271">
        <f t="shared" si="26"/>
        <v>0.5625</v>
      </c>
      <c r="AU60" s="1271">
        <f t="shared" si="27"/>
        <v>0.51127819548872178</v>
      </c>
      <c r="AV60" s="1271">
        <f t="shared" si="28"/>
        <v>0.45370370370370372</v>
      </c>
      <c r="AW60" s="1271">
        <f t="shared" si="29"/>
        <v>0.55555555555555558</v>
      </c>
      <c r="AX60" s="1552">
        <f t="shared" si="30"/>
        <v>0.67796610169491522</v>
      </c>
      <c r="AY60" s="1554">
        <f>'Non-marital births'!L61</f>
        <v>0.5757575757575758</v>
      </c>
    </row>
    <row r="61" spans="1:51" s="142" customFormat="1" ht="15.75" customHeight="1" x14ac:dyDescent="0.2">
      <c r="A61" s="149" t="s">
        <v>140</v>
      </c>
      <c r="B61" s="189" t="s">
        <v>141</v>
      </c>
      <c r="C61" s="150" t="s">
        <v>267</v>
      </c>
      <c r="D61" s="1239">
        <v>132</v>
      </c>
      <c r="E61" s="1240">
        <v>105</v>
      </c>
      <c r="F61" s="1241">
        <v>111</v>
      </c>
      <c r="G61" s="1240">
        <v>133</v>
      </c>
      <c r="H61" s="1241">
        <v>157</v>
      </c>
      <c r="I61" s="1240">
        <v>135</v>
      </c>
      <c r="J61" s="1241">
        <v>135</v>
      </c>
      <c r="K61" s="1240">
        <v>162</v>
      </c>
      <c r="L61" s="1254">
        <v>157</v>
      </c>
      <c r="M61" s="1254">
        <v>154</v>
      </c>
      <c r="N61" s="1254">
        <v>143</v>
      </c>
      <c r="O61" s="1254">
        <v>139</v>
      </c>
      <c r="P61" s="1255">
        <v>146</v>
      </c>
      <c r="Q61" s="1255">
        <v>130</v>
      </c>
      <c r="R61" s="1556">
        <v>121</v>
      </c>
      <c r="S61" s="1557">
        <f>'Non-marital births'!D62</f>
        <v>128</v>
      </c>
      <c r="T61" s="1262">
        <v>39</v>
      </c>
      <c r="U61" s="1263">
        <v>29</v>
      </c>
      <c r="V61" s="1263">
        <v>34</v>
      </c>
      <c r="W61" s="1263">
        <v>43</v>
      </c>
      <c r="X61" s="1263">
        <v>44</v>
      </c>
      <c r="Y61" s="1263">
        <v>37</v>
      </c>
      <c r="Z61" s="1263">
        <v>39</v>
      </c>
      <c r="AA61" s="1263">
        <v>48</v>
      </c>
      <c r="AB61" s="1263">
        <v>41</v>
      </c>
      <c r="AC61" s="1263">
        <v>47</v>
      </c>
      <c r="AD61" s="1263">
        <v>44</v>
      </c>
      <c r="AE61" s="1263">
        <v>47</v>
      </c>
      <c r="AF61" s="1263">
        <v>51</v>
      </c>
      <c r="AG61" s="1263">
        <v>37</v>
      </c>
      <c r="AH61" s="1559">
        <v>44</v>
      </c>
      <c r="AI61" s="1560">
        <f>'Non-marital births'!H62</f>
        <v>40</v>
      </c>
      <c r="AJ61" s="1270">
        <f t="shared" si="16"/>
        <v>0.29545454545454547</v>
      </c>
      <c r="AK61" s="1271">
        <f t="shared" si="17"/>
        <v>0.27619047619047621</v>
      </c>
      <c r="AL61" s="1271">
        <f t="shared" si="18"/>
        <v>0.30630630630630629</v>
      </c>
      <c r="AM61" s="1271">
        <f t="shared" si="19"/>
        <v>0.32330827067669171</v>
      </c>
      <c r="AN61" s="1271">
        <f t="shared" si="20"/>
        <v>0.28025477707006369</v>
      </c>
      <c r="AO61" s="1271">
        <f t="shared" si="21"/>
        <v>0.27407407407407408</v>
      </c>
      <c r="AP61" s="1271">
        <f t="shared" si="22"/>
        <v>0.28888888888888886</v>
      </c>
      <c r="AQ61" s="1271">
        <f t="shared" si="23"/>
        <v>0.29629629629629628</v>
      </c>
      <c r="AR61" s="1271">
        <f t="shared" si="24"/>
        <v>0.26114649681528662</v>
      </c>
      <c r="AS61" s="1271">
        <f t="shared" si="25"/>
        <v>0.30519480519480519</v>
      </c>
      <c r="AT61" s="1271">
        <f t="shared" si="26"/>
        <v>0.30769230769230771</v>
      </c>
      <c r="AU61" s="1271">
        <f t="shared" si="27"/>
        <v>0.33812949640287771</v>
      </c>
      <c r="AV61" s="1271">
        <f t="shared" si="28"/>
        <v>0.34931506849315069</v>
      </c>
      <c r="AW61" s="1271">
        <f t="shared" si="29"/>
        <v>0.2846153846153846</v>
      </c>
      <c r="AX61" s="1552">
        <f t="shared" si="30"/>
        <v>0.36363636363636365</v>
      </c>
      <c r="AY61" s="1554">
        <f>'Non-marital births'!L62</f>
        <v>0.3125</v>
      </c>
    </row>
    <row r="62" spans="1:51" s="142" customFormat="1" ht="15.75" customHeight="1" x14ac:dyDescent="0.2">
      <c r="A62" s="149" t="s">
        <v>146</v>
      </c>
      <c r="B62" s="189" t="s">
        <v>147</v>
      </c>
      <c r="C62" s="150" t="s">
        <v>264</v>
      </c>
      <c r="D62" s="1239">
        <v>74</v>
      </c>
      <c r="E62" s="1240">
        <v>55</v>
      </c>
      <c r="F62" s="1241">
        <v>75</v>
      </c>
      <c r="G62" s="1240">
        <v>66</v>
      </c>
      <c r="H62" s="1241">
        <v>91</v>
      </c>
      <c r="I62" s="1240">
        <v>71</v>
      </c>
      <c r="J62" s="1241">
        <v>56</v>
      </c>
      <c r="K62" s="1240">
        <v>54</v>
      </c>
      <c r="L62" s="1254">
        <v>80</v>
      </c>
      <c r="M62" s="1254">
        <v>67</v>
      </c>
      <c r="N62" s="1254">
        <v>72</v>
      </c>
      <c r="O62" s="1254">
        <v>68</v>
      </c>
      <c r="P62" s="1255">
        <v>63</v>
      </c>
      <c r="Q62" s="1255">
        <v>64</v>
      </c>
      <c r="R62" s="1556">
        <v>71</v>
      </c>
      <c r="S62" s="1557">
        <f>'Non-marital births'!D63</f>
        <v>53</v>
      </c>
      <c r="T62" s="1262">
        <v>19</v>
      </c>
      <c r="U62" s="1263">
        <v>13</v>
      </c>
      <c r="V62" s="1263">
        <v>22</v>
      </c>
      <c r="W62" s="1263">
        <v>19</v>
      </c>
      <c r="X62" s="1263">
        <v>27</v>
      </c>
      <c r="Y62" s="1263">
        <v>20</v>
      </c>
      <c r="Z62" s="1263">
        <v>17</v>
      </c>
      <c r="AA62" s="1263">
        <v>22</v>
      </c>
      <c r="AB62" s="1263">
        <v>35</v>
      </c>
      <c r="AC62" s="1263">
        <v>22</v>
      </c>
      <c r="AD62" s="1263">
        <v>27</v>
      </c>
      <c r="AE62" s="1263">
        <v>28</v>
      </c>
      <c r="AF62" s="1263">
        <v>25</v>
      </c>
      <c r="AG62" s="1263">
        <v>25</v>
      </c>
      <c r="AH62" s="1559">
        <v>24</v>
      </c>
      <c r="AI62" s="1560">
        <f>'Non-marital births'!H63</f>
        <v>27</v>
      </c>
      <c r="AJ62" s="1270">
        <f t="shared" si="16"/>
        <v>0.25675675675675674</v>
      </c>
      <c r="AK62" s="1271">
        <f t="shared" si="17"/>
        <v>0.23636363636363636</v>
      </c>
      <c r="AL62" s="1271">
        <f t="shared" si="18"/>
        <v>0.29333333333333333</v>
      </c>
      <c r="AM62" s="1271">
        <f t="shared" si="19"/>
        <v>0.2878787878787879</v>
      </c>
      <c r="AN62" s="1271">
        <f t="shared" si="20"/>
        <v>0.2967032967032967</v>
      </c>
      <c r="AO62" s="1271">
        <f t="shared" si="21"/>
        <v>0.28169014084507044</v>
      </c>
      <c r="AP62" s="1271">
        <f t="shared" si="22"/>
        <v>0.30357142857142855</v>
      </c>
      <c r="AQ62" s="1271">
        <f t="shared" si="23"/>
        <v>0.40740740740740738</v>
      </c>
      <c r="AR62" s="1271">
        <f t="shared" si="24"/>
        <v>0.4375</v>
      </c>
      <c r="AS62" s="1271">
        <f t="shared" si="25"/>
        <v>0.32835820895522388</v>
      </c>
      <c r="AT62" s="1271">
        <f t="shared" si="26"/>
        <v>0.375</v>
      </c>
      <c r="AU62" s="1271">
        <f t="shared" si="27"/>
        <v>0.41176470588235292</v>
      </c>
      <c r="AV62" s="1271">
        <f t="shared" si="28"/>
        <v>0.3968253968253968</v>
      </c>
      <c r="AW62" s="1271">
        <f t="shared" si="29"/>
        <v>0.390625</v>
      </c>
      <c r="AX62" s="1552">
        <f t="shared" si="30"/>
        <v>0.3380281690140845</v>
      </c>
      <c r="AY62" s="1554">
        <f>'Non-marital births'!L63</f>
        <v>0.50943396226415094</v>
      </c>
    </row>
    <row r="63" spans="1:51" s="142" customFormat="1" ht="15.75" customHeight="1" x14ac:dyDescent="0.2">
      <c r="A63" s="149" t="s">
        <v>148</v>
      </c>
      <c r="B63" s="189" t="s">
        <v>149</v>
      </c>
      <c r="C63" s="150" t="s">
        <v>265</v>
      </c>
      <c r="D63" s="1239">
        <v>372</v>
      </c>
      <c r="E63" s="1240">
        <v>359</v>
      </c>
      <c r="F63" s="1241">
        <v>332</v>
      </c>
      <c r="G63" s="1240">
        <v>356</v>
      </c>
      <c r="H63" s="1241">
        <v>344</v>
      </c>
      <c r="I63" s="1240">
        <v>383</v>
      </c>
      <c r="J63" s="1241">
        <v>325</v>
      </c>
      <c r="K63" s="1240">
        <v>328</v>
      </c>
      <c r="L63" s="1254">
        <v>347</v>
      </c>
      <c r="M63" s="1254">
        <v>317</v>
      </c>
      <c r="N63" s="1254">
        <v>303</v>
      </c>
      <c r="O63" s="1254">
        <v>313</v>
      </c>
      <c r="P63" s="1255">
        <v>305</v>
      </c>
      <c r="Q63" s="1255">
        <v>294</v>
      </c>
      <c r="R63" s="1556">
        <v>293</v>
      </c>
      <c r="S63" s="1557">
        <f>'Non-marital births'!D64</f>
        <v>282</v>
      </c>
      <c r="T63" s="1262">
        <v>197</v>
      </c>
      <c r="U63" s="1263">
        <v>174</v>
      </c>
      <c r="V63" s="1263">
        <v>176</v>
      </c>
      <c r="W63" s="1263">
        <v>197</v>
      </c>
      <c r="X63" s="1263">
        <v>178</v>
      </c>
      <c r="Y63" s="1263">
        <v>190</v>
      </c>
      <c r="Z63" s="1263">
        <v>172</v>
      </c>
      <c r="AA63" s="1263">
        <v>167</v>
      </c>
      <c r="AB63" s="1263">
        <v>162</v>
      </c>
      <c r="AC63" s="1263">
        <v>178</v>
      </c>
      <c r="AD63" s="1263">
        <v>163</v>
      </c>
      <c r="AE63" s="1263">
        <v>194</v>
      </c>
      <c r="AF63" s="1263">
        <v>168</v>
      </c>
      <c r="AG63" s="1263">
        <v>178</v>
      </c>
      <c r="AH63" s="1559">
        <v>168</v>
      </c>
      <c r="AI63" s="1560">
        <f>'Non-marital births'!H64</f>
        <v>140</v>
      </c>
      <c r="AJ63" s="1270">
        <f t="shared" si="16"/>
        <v>0.52956989247311825</v>
      </c>
      <c r="AK63" s="1271">
        <f t="shared" si="17"/>
        <v>0.48467966573816157</v>
      </c>
      <c r="AL63" s="1271">
        <f t="shared" si="18"/>
        <v>0.53012048192771088</v>
      </c>
      <c r="AM63" s="1271">
        <f t="shared" si="19"/>
        <v>0.5533707865168539</v>
      </c>
      <c r="AN63" s="1271">
        <f t="shared" si="20"/>
        <v>0.51744186046511631</v>
      </c>
      <c r="AO63" s="1271">
        <f t="shared" si="21"/>
        <v>0.4960835509138381</v>
      </c>
      <c r="AP63" s="1271">
        <f t="shared" si="22"/>
        <v>0.52923076923076928</v>
      </c>
      <c r="AQ63" s="1271">
        <f t="shared" si="23"/>
        <v>0.50914634146341464</v>
      </c>
      <c r="AR63" s="1271">
        <f t="shared" si="24"/>
        <v>0.4668587896253602</v>
      </c>
      <c r="AS63" s="1271">
        <f t="shared" si="25"/>
        <v>0.56151419558359617</v>
      </c>
      <c r="AT63" s="1271">
        <f t="shared" si="26"/>
        <v>0.53795379537953791</v>
      </c>
      <c r="AU63" s="1271">
        <f t="shared" si="27"/>
        <v>0.61980830670926512</v>
      </c>
      <c r="AV63" s="1271">
        <f t="shared" si="28"/>
        <v>0.55081967213114758</v>
      </c>
      <c r="AW63" s="1271">
        <f t="shared" si="29"/>
        <v>0.60544217687074831</v>
      </c>
      <c r="AX63" s="1552">
        <f t="shared" si="30"/>
        <v>0.57337883959044367</v>
      </c>
      <c r="AY63" s="1554">
        <f>'Non-marital births'!L64</f>
        <v>0.49645390070921985</v>
      </c>
    </row>
    <row r="64" spans="1:51" s="142" customFormat="1" ht="15.75" customHeight="1" x14ac:dyDescent="0.2">
      <c r="A64" s="149" t="s">
        <v>150</v>
      </c>
      <c r="B64" s="189" t="s">
        <v>151</v>
      </c>
      <c r="C64" s="150" t="s">
        <v>266</v>
      </c>
      <c r="D64" s="1239">
        <v>72</v>
      </c>
      <c r="E64" s="1240">
        <v>85</v>
      </c>
      <c r="F64" s="1241">
        <v>83</v>
      </c>
      <c r="G64" s="1240">
        <v>76</v>
      </c>
      <c r="H64" s="1241">
        <v>76</v>
      </c>
      <c r="I64" s="1240">
        <v>71</v>
      </c>
      <c r="J64" s="1241">
        <v>82</v>
      </c>
      <c r="K64" s="1240">
        <v>75</v>
      </c>
      <c r="L64" s="1254">
        <v>68</v>
      </c>
      <c r="M64" s="1254">
        <v>96</v>
      </c>
      <c r="N64" s="1254">
        <v>87</v>
      </c>
      <c r="O64" s="1254">
        <v>88</v>
      </c>
      <c r="P64" s="1255">
        <v>81</v>
      </c>
      <c r="Q64" s="1255">
        <v>94</v>
      </c>
      <c r="R64" s="1556">
        <v>99</v>
      </c>
      <c r="S64" s="1557">
        <f>'Non-marital births'!D65</f>
        <v>79</v>
      </c>
      <c r="T64" s="1262">
        <v>30</v>
      </c>
      <c r="U64" s="1263">
        <v>28</v>
      </c>
      <c r="V64" s="1263">
        <v>21</v>
      </c>
      <c r="W64" s="1263">
        <v>31</v>
      </c>
      <c r="X64" s="1263">
        <v>29</v>
      </c>
      <c r="Y64" s="1263">
        <v>34</v>
      </c>
      <c r="Z64" s="1263">
        <v>31</v>
      </c>
      <c r="AA64" s="1263">
        <v>26</v>
      </c>
      <c r="AB64" s="1263">
        <v>28</v>
      </c>
      <c r="AC64" s="1263">
        <v>41</v>
      </c>
      <c r="AD64" s="1263">
        <v>37</v>
      </c>
      <c r="AE64" s="1263">
        <v>38</v>
      </c>
      <c r="AF64" s="1263">
        <v>38</v>
      </c>
      <c r="AG64" s="1263">
        <v>35</v>
      </c>
      <c r="AH64" s="1559">
        <v>46</v>
      </c>
      <c r="AI64" s="1560">
        <f>'Non-marital births'!H65</f>
        <v>40</v>
      </c>
      <c r="AJ64" s="1270">
        <f t="shared" si="16"/>
        <v>0.41666666666666669</v>
      </c>
      <c r="AK64" s="1271">
        <f t="shared" si="17"/>
        <v>0.32941176470588235</v>
      </c>
      <c r="AL64" s="1271">
        <f t="shared" si="18"/>
        <v>0.25301204819277107</v>
      </c>
      <c r="AM64" s="1271">
        <f t="shared" si="19"/>
        <v>0.40789473684210525</v>
      </c>
      <c r="AN64" s="1271">
        <f t="shared" si="20"/>
        <v>0.38157894736842107</v>
      </c>
      <c r="AO64" s="1271">
        <f t="shared" si="21"/>
        <v>0.47887323943661969</v>
      </c>
      <c r="AP64" s="1271">
        <f t="shared" si="22"/>
        <v>0.37804878048780488</v>
      </c>
      <c r="AQ64" s="1271">
        <f t="shared" si="23"/>
        <v>0.34666666666666668</v>
      </c>
      <c r="AR64" s="1271">
        <f t="shared" si="24"/>
        <v>0.41176470588235292</v>
      </c>
      <c r="AS64" s="1271">
        <f t="shared" si="25"/>
        <v>0.42708333333333331</v>
      </c>
      <c r="AT64" s="1271">
        <f t="shared" si="26"/>
        <v>0.42528735632183906</v>
      </c>
      <c r="AU64" s="1271">
        <f t="shared" si="27"/>
        <v>0.43181818181818182</v>
      </c>
      <c r="AV64" s="1271">
        <f t="shared" si="28"/>
        <v>0.46913580246913578</v>
      </c>
      <c r="AW64" s="1271">
        <f t="shared" si="29"/>
        <v>0.37234042553191488</v>
      </c>
      <c r="AX64" s="1552">
        <f t="shared" si="30"/>
        <v>0.46464646464646464</v>
      </c>
      <c r="AY64" s="1554">
        <f>'Non-marital births'!L65</f>
        <v>0.50632911392405067</v>
      </c>
    </row>
    <row r="65" spans="1:51" s="142" customFormat="1" ht="15.75" customHeight="1" x14ac:dyDescent="0.2">
      <c r="A65" s="149" t="s">
        <v>152</v>
      </c>
      <c r="B65" s="189" t="s">
        <v>153</v>
      </c>
      <c r="C65" s="150" t="s">
        <v>268</v>
      </c>
      <c r="D65" s="1239">
        <v>791</v>
      </c>
      <c r="E65" s="1240">
        <v>814</v>
      </c>
      <c r="F65" s="1241">
        <v>822</v>
      </c>
      <c r="G65" s="1240">
        <v>782</v>
      </c>
      <c r="H65" s="1241">
        <v>779</v>
      </c>
      <c r="I65" s="1240">
        <v>832</v>
      </c>
      <c r="J65" s="1241">
        <v>840</v>
      </c>
      <c r="K65" s="1240">
        <v>821</v>
      </c>
      <c r="L65" s="1254">
        <v>887</v>
      </c>
      <c r="M65" s="1254">
        <v>967</v>
      </c>
      <c r="N65" s="1254">
        <v>895</v>
      </c>
      <c r="O65" s="1254">
        <v>840</v>
      </c>
      <c r="P65" s="1255">
        <v>877</v>
      </c>
      <c r="Q65" s="1255">
        <v>891</v>
      </c>
      <c r="R65" s="1556">
        <v>961</v>
      </c>
      <c r="S65" s="1557">
        <f>'Non-marital births'!D66</f>
        <v>867</v>
      </c>
      <c r="T65" s="1262">
        <v>168</v>
      </c>
      <c r="U65" s="1263">
        <v>168</v>
      </c>
      <c r="V65" s="1263">
        <v>196</v>
      </c>
      <c r="W65" s="1263">
        <v>158</v>
      </c>
      <c r="X65" s="1263">
        <v>162</v>
      </c>
      <c r="Y65" s="1263">
        <v>196</v>
      </c>
      <c r="Z65" s="1263">
        <v>193</v>
      </c>
      <c r="AA65" s="1263">
        <v>218</v>
      </c>
      <c r="AB65" s="1263">
        <v>216</v>
      </c>
      <c r="AC65" s="1263">
        <v>265</v>
      </c>
      <c r="AD65" s="1263">
        <v>265</v>
      </c>
      <c r="AE65" s="1263">
        <v>245</v>
      </c>
      <c r="AF65" s="1263">
        <v>243</v>
      </c>
      <c r="AG65" s="1263">
        <v>247</v>
      </c>
      <c r="AH65" s="1559">
        <v>240</v>
      </c>
      <c r="AI65" s="1560">
        <f>'Non-marital births'!H66</f>
        <v>245</v>
      </c>
      <c r="AJ65" s="1270">
        <f t="shared" si="16"/>
        <v>0.21238938053097345</v>
      </c>
      <c r="AK65" s="1271">
        <f t="shared" si="17"/>
        <v>0.20638820638820637</v>
      </c>
      <c r="AL65" s="1271">
        <f t="shared" si="18"/>
        <v>0.23844282238442821</v>
      </c>
      <c r="AM65" s="1271">
        <f t="shared" si="19"/>
        <v>0.20204603580562661</v>
      </c>
      <c r="AN65" s="1271">
        <f t="shared" si="20"/>
        <v>0.2079589216944801</v>
      </c>
      <c r="AO65" s="1271">
        <f t="shared" si="21"/>
        <v>0.23557692307692307</v>
      </c>
      <c r="AP65" s="1271">
        <f t="shared" si="22"/>
        <v>0.22976190476190475</v>
      </c>
      <c r="AQ65" s="1271">
        <f t="shared" si="23"/>
        <v>0.26552984165651644</v>
      </c>
      <c r="AR65" s="1271">
        <f t="shared" si="24"/>
        <v>0.24351747463359638</v>
      </c>
      <c r="AS65" s="1271">
        <f t="shared" si="25"/>
        <v>0.27404343329886244</v>
      </c>
      <c r="AT65" s="1271">
        <f t="shared" si="26"/>
        <v>0.29608938547486036</v>
      </c>
      <c r="AU65" s="1271">
        <f t="shared" si="27"/>
        <v>0.29166666666666669</v>
      </c>
      <c r="AV65" s="1271">
        <f t="shared" si="28"/>
        <v>0.27708095781071834</v>
      </c>
      <c r="AW65" s="1271">
        <f t="shared" si="29"/>
        <v>0.2772166105499439</v>
      </c>
      <c r="AX65" s="1552">
        <f t="shared" si="30"/>
        <v>0.2497398543184183</v>
      </c>
      <c r="AY65" s="1554">
        <f>'Non-marital births'!L66</f>
        <v>0.28258362168396772</v>
      </c>
    </row>
    <row r="66" spans="1:51" s="142" customFormat="1" ht="15.75" customHeight="1" x14ac:dyDescent="0.2">
      <c r="A66" s="149" t="s">
        <v>154</v>
      </c>
      <c r="B66" s="189" t="s">
        <v>155</v>
      </c>
      <c r="C66" s="150" t="s">
        <v>265</v>
      </c>
      <c r="D66" s="1239">
        <v>181</v>
      </c>
      <c r="E66" s="1240">
        <v>160</v>
      </c>
      <c r="F66" s="1241">
        <v>158</v>
      </c>
      <c r="G66" s="1240">
        <v>155</v>
      </c>
      <c r="H66" s="1241">
        <v>147</v>
      </c>
      <c r="I66" s="1240">
        <v>164</v>
      </c>
      <c r="J66" s="1241">
        <v>154</v>
      </c>
      <c r="K66" s="1240">
        <v>147</v>
      </c>
      <c r="L66" s="1254">
        <v>143</v>
      </c>
      <c r="M66" s="1254">
        <v>159</v>
      </c>
      <c r="N66" s="1254">
        <v>168</v>
      </c>
      <c r="O66" s="1254">
        <v>141</v>
      </c>
      <c r="P66" s="1255">
        <v>146</v>
      </c>
      <c r="Q66" s="1255">
        <v>125</v>
      </c>
      <c r="R66" s="1556">
        <v>137</v>
      </c>
      <c r="S66" s="1557">
        <f>'Non-marital births'!D67</f>
        <v>125</v>
      </c>
      <c r="T66" s="1262">
        <v>63</v>
      </c>
      <c r="U66" s="1263">
        <v>49</v>
      </c>
      <c r="V66" s="1263">
        <v>68</v>
      </c>
      <c r="W66" s="1263">
        <v>48</v>
      </c>
      <c r="X66" s="1263">
        <v>47</v>
      </c>
      <c r="Y66" s="1263">
        <v>56</v>
      </c>
      <c r="Z66" s="1263">
        <v>48</v>
      </c>
      <c r="AA66" s="1263">
        <v>56</v>
      </c>
      <c r="AB66" s="1263">
        <v>53</v>
      </c>
      <c r="AC66" s="1263">
        <v>77</v>
      </c>
      <c r="AD66" s="1263">
        <v>63</v>
      </c>
      <c r="AE66" s="1263">
        <v>66</v>
      </c>
      <c r="AF66" s="1263">
        <v>57</v>
      </c>
      <c r="AG66" s="1263">
        <v>54</v>
      </c>
      <c r="AH66" s="1559">
        <v>52</v>
      </c>
      <c r="AI66" s="1560">
        <f>'Non-marital births'!H67</f>
        <v>52</v>
      </c>
      <c r="AJ66" s="1270">
        <f t="shared" si="16"/>
        <v>0.34806629834254144</v>
      </c>
      <c r="AK66" s="1271">
        <f t="shared" si="17"/>
        <v>0.30625000000000002</v>
      </c>
      <c r="AL66" s="1271">
        <f t="shared" si="18"/>
        <v>0.43037974683544306</v>
      </c>
      <c r="AM66" s="1271">
        <f t="shared" si="19"/>
        <v>0.30967741935483872</v>
      </c>
      <c r="AN66" s="1271">
        <f t="shared" si="20"/>
        <v>0.31972789115646261</v>
      </c>
      <c r="AO66" s="1271">
        <f t="shared" si="21"/>
        <v>0.34146341463414637</v>
      </c>
      <c r="AP66" s="1271">
        <f t="shared" si="22"/>
        <v>0.31168831168831168</v>
      </c>
      <c r="AQ66" s="1271">
        <f t="shared" si="23"/>
        <v>0.38095238095238093</v>
      </c>
      <c r="AR66" s="1271">
        <f t="shared" si="24"/>
        <v>0.37062937062937062</v>
      </c>
      <c r="AS66" s="1271">
        <f t="shared" si="25"/>
        <v>0.48427672955974843</v>
      </c>
      <c r="AT66" s="1271">
        <f t="shared" si="26"/>
        <v>0.375</v>
      </c>
      <c r="AU66" s="1271">
        <f t="shared" si="27"/>
        <v>0.46808510638297873</v>
      </c>
      <c r="AV66" s="1271">
        <f t="shared" si="28"/>
        <v>0.3904109589041096</v>
      </c>
      <c r="AW66" s="1271">
        <f t="shared" si="29"/>
        <v>0.432</v>
      </c>
      <c r="AX66" s="1552">
        <f t="shared" si="30"/>
        <v>0.37956204379562042</v>
      </c>
      <c r="AY66" s="1554">
        <f>'Non-marital births'!L67</f>
        <v>0.41599999999999998</v>
      </c>
    </row>
    <row r="67" spans="1:51" s="142" customFormat="1" ht="15.75" customHeight="1" x14ac:dyDescent="0.2">
      <c r="A67" s="149" t="s">
        <v>156</v>
      </c>
      <c r="B67" s="189" t="s">
        <v>157</v>
      </c>
      <c r="C67" s="150" t="s">
        <v>266</v>
      </c>
      <c r="D67" s="1239">
        <v>140</v>
      </c>
      <c r="E67" s="1240">
        <v>135</v>
      </c>
      <c r="F67" s="1241">
        <v>157</v>
      </c>
      <c r="G67" s="1240">
        <v>137</v>
      </c>
      <c r="H67" s="1241">
        <v>159</v>
      </c>
      <c r="I67" s="1240">
        <v>141</v>
      </c>
      <c r="J67" s="1241">
        <v>175</v>
      </c>
      <c r="K67" s="1240">
        <v>174</v>
      </c>
      <c r="L67" s="1254">
        <v>172</v>
      </c>
      <c r="M67" s="1254">
        <v>180</v>
      </c>
      <c r="N67" s="1254">
        <v>156</v>
      </c>
      <c r="O67" s="1254">
        <v>172</v>
      </c>
      <c r="P67" s="1255">
        <v>191</v>
      </c>
      <c r="Q67" s="1255">
        <v>191</v>
      </c>
      <c r="R67" s="1556">
        <v>190</v>
      </c>
      <c r="S67" s="1557">
        <f>'Non-marital births'!D68</f>
        <v>164</v>
      </c>
      <c r="T67" s="1262">
        <v>34</v>
      </c>
      <c r="U67" s="1263">
        <v>28</v>
      </c>
      <c r="V67" s="1263">
        <v>29</v>
      </c>
      <c r="W67" s="1263">
        <v>32</v>
      </c>
      <c r="X67" s="1263">
        <v>39</v>
      </c>
      <c r="Y67" s="1263">
        <v>23</v>
      </c>
      <c r="Z67" s="1263">
        <v>35</v>
      </c>
      <c r="AA67" s="1263">
        <v>43</v>
      </c>
      <c r="AB67" s="1263">
        <v>42</v>
      </c>
      <c r="AC67" s="1263">
        <v>44</v>
      </c>
      <c r="AD67" s="1263">
        <v>45</v>
      </c>
      <c r="AE67" s="1263">
        <v>53</v>
      </c>
      <c r="AF67" s="1263">
        <v>60</v>
      </c>
      <c r="AG67" s="1263">
        <v>49</v>
      </c>
      <c r="AH67" s="1559">
        <v>49</v>
      </c>
      <c r="AI67" s="1560">
        <f>'Non-marital births'!H68</f>
        <v>46</v>
      </c>
      <c r="AJ67" s="1270">
        <f t="shared" si="16"/>
        <v>0.24285714285714285</v>
      </c>
      <c r="AK67" s="1271">
        <f t="shared" si="17"/>
        <v>0.2074074074074074</v>
      </c>
      <c r="AL67" s="1271">
        <f t="shared" si="18"/>
        <v>0.18471337579617833</v>
      </c>
      <c r="AM67" s="1271">
        <f t="shared" si="19"/>
        <v>0.23357664233576642</v>
      </c>
      <c r="AN67" s="1271">
        <f t="shared" si="20"/>
        <v>0.24528301886792453</v>
      </c>
      <c r="AO67" s="1271">
        <f t="shared" si="21"/>
        <v>0.16312056737588654</v>
      </c>
      <c r="AP67" s="1271">
        <f t="shared" si="22"/>
        <v>0.2</v>
      </c>
      <c r="AQ67" s="1271">
        <f t="shared" si="23"/>
        <v>0.2471264367816092</v>
      </c>
      <c r="AR67" s="1271">
        <f t="shared" si="24"/>
        <v>0.2441860465116279</v>
      </c>
      <c r="AS67" s="1271">
        <f t="shared" si="25"/>
        <v>0.24444444444444444</v>
      </c>
      <c r="AT67" s="1271">
        <f t="shared" si="26"/>
        <v>0.28846153846153844</v>
      </c>
      <c r="AU67" s="1271">
        <f t="shared" si="27"/>
        <v>0.30813953488372092</v>
      </c>
      <c r="AV67" s="1271">
        <f t="shared" si="28"/>
        <v>0.31413612565445026</v>
      </c>
      <c r="AW67" s="1271">
        <f t="shared" si="29"/>
        <v>0.25654450261780104</v>
      </c>
      <c r="AX67" s="1552">
        <f t="shared" si="30"/>
        <v>0.25789473684210529</v>
      </c>
      <c r="AY67" s="1554">
        <f>'Non-marital births'!L68</f>
        <v>0.28048780487804881</v>
      </c>
    </row>
    <row r="68" spans="1:51" s="142" customFormat="1" ht="15.75" customHeight="1" x14ac:dyDescent="0.2">
      <c r="A68" s="149" t="s">
        <v>162</v>
      </c>
      <c r="B68" s="189" t="s">
        <v>163</v>
      </c>
      <c r="C68" s="150" t="s">
        <v>264</v>
      </c>
      <c r="D68" s="1239">
        <v>147</v>
      </c>
      <c r="E68" s="1240">
        <v>188</v>
      </c>
      <c r="F68" s="1241">
        <v>151</v>
      </c>
      <c r="G68" s="1240">
        <v>188</v>
      </c>
      <c r="H68" s="1241">
        <v>135</v>
      </c>
      <c r="I68" s="1240">
        <v>166</v>
      </c>
      <c r="J68" s="1241">
        <v>162</v>
      </c>
      <c r="K68" s="1240">
        <v>165</v>
      </c>
      <c r="L68" s="1254">
        <v>165</v>
      </c>
      <c r="M68" s="1254">
        <v>173</v>
      </c>
      <c r="N68" s="1254">
        <v>165</v>
      </c>
      <c r="O68" s="1254">
        <v>128</v>
      </c>
      <c r="P68" s="1255">
        <v>159</v>
      </c>
      <c r="Q68" s="1255">
        <v>162</v>
      </c>
      <c r="R68" s="1556">
        <v>118</v>
      </c>
      <c r="S68" s="1557">
        <f>'Non-marital births'!D69</f>
        <v>145</v>
      </c>
      <c r="T68" s="1262">
        <v>87</v>
      </c>
      <c r="U68" s="1263">
        <v>94</v>
      </c>
      <c r="V68" s="1263">
        <v>93</v>
      </c>
      <c r="W68" s="1263">
        <v>102</v>
      </c>
      <c r="X68" s="1263">
        <v>82</v>
      </c>
      <c r="Y68" s="1263">
        <v>85</v>
      </c>
      <c r="Z68" s="1263">
        <v>86</v>
      </c>
      <c r="AA68" s="1263">
        <v>100</v>
      </c>
      <c r="AB68" s="1263">
        <v>103</v>
      </c>
      <c r="AC68" s="1263">
        <v>100</v>
      </c>
      <c r="AD68" s="1263">
        <v>103</v>
      </c>
      <c r="AE68" s="1263">
        <v>77</v>
      </c>
      <c r="AF68" s="1263">
        <v>95</v>
      </c>
      <c r="AG68" s="1263">
        <v>110</v>
      </c>
      <c r="AH68" s="1559">
        <v>69</v>
      </c>
      <c r="AI68" s="1560">
        <f>'Non-marital births'!H69</f>
        <v>84</v>
      </c>
      <c r="AJ68" s="1270">
        <f t="shared" si="16"/>
        <v>0.59183673469387754</v>
      </c>
      <c r="AK68" s="1271">
        <f t="shared" si="17"/>
        <v>0.5</v>
      </c>
      <c r="AL68" s="1271">
        <f t="shared" si="18"/>
        <v>0.61589403973509937</v>
      </c>
      <c r="AM68" s="1271">
        <f t="shared" si="19"/>
        <v>0.54255319148936165</v>
      </c>
      <c r="AN68" s="1271">
        <f t="shared" si="20"/>
        <v>0.6074074074074074</v>
      </c>
      <c r="AO68" s="1271">
        <f t="shared" si="21"/>
        <v>0.51204819277108438</v>
      </c>
      <c r="AP68" s="1271">
        <f t="shared" si="22"/>
        <v>0.53086419753086422</v>
      </c>
      <c r="AQ68" s="1271">
        <f t="shared" si="23"/>
        <v>0.60606060606060608</v>
      </c>
      <c r="AR68" s="1271">
        <f t="shared" si="24"/>
        <v>0.62424242424242427</v>
      </c>
      <c r="AS68" s="1271">
        <f t="shared" si="25"/>
        <v>0.5780346820809249</v>
      </c>
      <c r="AT68" s="1271">
        <f t="shared" si="26"/>
        <v>0.62424242424242427</v>
      </c>
      <c r="AU68" s="1271">
        <f t="shared" si="27"/>
        <v>0.6015625</v>
      </c>
      <c r="AV68" s="1271">
        <f t="shared" si="28"/>
        <v>0.59748427672955973</v>
      </c>
      <c r="AW68" s="1271">
        <f t="shared" si="29"/>
        <v>0.67901234567901236</v>
      </c>
      <c r="AX68" s="1552">
        <f t="shared" si="30"/>
        <v>0.5847457627118644</v>
      </c>
      <c r="AY68" s="1554">
        <f>'Non-marital births'!L69</f>
        <v>0.57931034482758625</v>
      </c>
    </row>
    <row r="69" spans="1:51" s="142" customFormat="1" ht="15.75" customHeight="1" x14ac:dyDescent="0.2">
      <c r="A69" s="149" t="s">
        <v>164</v>
      </c>
      <c r="B69" s="189" t="s">
        <v>165</v>
      </c>
      <c r="C69" s="150" t="s">
        <v>266</v>
      </c>
      <c r="D69" s="1239">
        <v>95</v>
      </c>
      <c r="E69" s="1240">
        <v>118</v>
      </c>
      <c r="F69" s="1241">
        <v>99</v>
      </c>
      <c r="G69" s="1240">
        <v>124</v>
      </c>
      <c r="H69" s="1241">
        <v>108</v>
      </c>
      <c r="I69" s="1240">
        <v>97</v>
      </c>
      <c r="J69" s="1241">
        <v>109</v>
      </c>
      <c r="K69" s="1240">
        <v>121</v>
      </c>
      <c r="L69" s="1254">
        <v>110</v>
      </c>
      <c r="M69" s="1254">
        <v>105</v>
      </c>
      <c r="N69" s="1254">
        <v>101</v>
      </c>
      <c r="O69" s="1254">
        <v>111</v>
      </c>
      <c r="P69" s="1255">
        <v>103</v>
      </c>
      <c r="Q69" s="1255">
        <v>90</v>
      </c>
      <c r="R69" s="1556">
        <v>96</v>
      </c>
      <c r="S69" s="1557">
        <f>'Non-marital births'!D70</f>
        <v>85</v>
      </c>
      <c r="T69" s="1262">
        <v>42</v>
      </c>
      <c r="U69" s="1263">
        <v>54</v>
      </c>
      <c r="V69" s="1263">
        <v>47</v>
      </c>
      <c r="W69" s="1263">
        <v>60</v>
      </c>
      <c r="X69" s="1263">
        <v>62</v>
      </c>
      <c r="Y69" s="1263">
        <v>50</v>
      </c>
      <c r="Z69" s="1263">
        <v>50</v>
      </c>
      <c r="AA69" s="1263">
        <v>63</v>
      </c>
      <c r="AB69" s="1263">
        <v>60</v>
      </c>
      <c r="AC69" s="1263">
        <v>62</v>
      </c>
      <c r="AD69" s="1263">
        <v>57</v>
      </c>
      <c r="AE69" s="1263">
        <v>67</v>
      </c>
      <c r="AF69" s="1263">
        <v>55</v>
      </c>
      <c r="AG69" s="1263">
        <v>51</v>
      </c>
      <c r="AH69" s="1559">
        <v>55</v>
      </c>
      <c r="AI69" s="1560">
        <f>'Non-marital births'!H70</f>
        <v>47</v>
      </c>
      <c r="AJ69" s="1270">
        <f t="shared" ref="AJ69:AJ100" si="31">T69/D69</f>
        <v>0.44210526315789472</v>
      </c>
      <c r="AK69" s="1271">
        <f t="shared" si="17"/>
        <v>0.4576271186440678</v>
      </c>
      <c r="AL69" s="1271">
        <f t="shared" si="18"/>
        <v>0.47474747474747475</v>
      </c>
      <c r="AM69" s="1271">
        <f t="shared" si="19"/>
        <v>0.4838709677419355</v>
      </c>
      <c r="AN69" s="1271">
        <f t="shared" si="20"/>
        <v>0.57407407407407407</v>
      </c>
      <c r="AO69" s="1271">
        <f t="shared" si="21"/>
        <v>0.51546391752577314</v>
      </c>
      <c r="AP69" s="1271">
        <f t="shared" si="22"/>
        <v>0.45871559633027525</v>
      </c>
      <c r="AQ69" s="1271">
        <f t="shared" si="23"/>
        <v>0.52066115702479343</v>
      </c>
      <c r="AR69" s="1271">
        <f t="shared" si="24"/>
        <v>0.54545454545454541</v>
      </c>
      <c r="AS69" s="1271">
        <f t="shared" si="25"/>
        <v>0.59047619047619049</v>
      </c>
      <c r="AT69" s="1271">
        <f t="shared" si="26"/>
        <v>0.5643564356435643</v>
      </c>
      <c r="AU69" s="1271">
        <f t="shared" si="27"/>
        <v>0.60360360360360366</v>
      </c>
      <c r="AV69" s="1271">
        <f t="shared" si="28"/>
        <v>0.53398058252427183</v>
      </c>
      <c r="AW69" s="1271">
        <f t="shared" si="29"/>
        <v>0.56666666666666665</v>
      </c>
      <c r="AX69" s="1552">
        <f t="shared" si="30"/>
        <v>0.57291666666666663</v>
      </c>
      <c r="AY69" s="1554">
        <f>'Non-marital births'!L70</f>
        <v>0.55294117647058827</v>
      </c>
    </row>
    <row r="70" spans="1:51" s="142" customFormat="1" ht="15.75" customHeight="1" x14ac:dyDescent="0.2">
      <c r="A70" s="149" t="s">
        <v>168</v>
      </c>
      <c r="B70" s="189" t="s">
        <v>169</v>
      </c>
      <c r="C70" s="150" t="s">
        <v>266</v>
      </c>
      <c r="D70" s="1239">
        <v>165</v>
      </c>
      <c r="E70" s="1240">
        <v>193</v>
      </c>
      <c r="F70" s="1241">
        <v>188</v>
      </c>
      <c r="G70" s="1240">
        <v>163</v>
      </c>
      <c r="H70" s="1241">
        <v>196</v>
      </c>
      <c r="I70" s="1240">
        <v>162</v>
      </c>
      <c r="J70" s="1241">
        <v>184</v>
      </c>
      <c r="K70" s="1240">
        <v>181</v>
      </c>
      <c r="L70" s="1254">
        <v>171</v>
      </c>
      <c r="M70" s="1254">
        <v>161</v>
      </c>
      <c r="N70" s="1254">
        <v>192</v>
      </c>
      <c r="O70" s="1254">
        <v>184</v>
      </c>
      <c r="P70" s="1255">
        <v>159</v>
      </c>
      <c r="Q70" s="1255">
        <v>165</v>
      </c>
      <c r="R70" s="1556">
        <v>187</v>
      </c>
      <c r="S70" s="1557">
        <f>'Non-marital births'!D71</f>
        <v>183</v>
      </c>
      <c r="T70" s="1262">
        <v>73</v>
      </c>
      <c r="U70" s="1263">
        <v>91</v>
      </c>
      <c r="V70" s="1263">
        <v>88</v>
      </c>
      <c r="W70" s="1263">
        <v>79</v>
      </c>
      <c r="X70" s="1263">
        <v>94</v>
      </c>
      <c r="Y70" s="1263">
        <v>78</v>
      </c>
      <c r="Z70" s="1263">
        <v>77</v>
      </c>
      <c r="AA70" s="1263">
        <v>79</v>
      </c>
      <c r="AB70" s="1263">
        <v>92</v>
      </c>
      <c r="AC70" s="1263">
        <v>84</v>
      </c>
      <c r="AD70" s="1263">
        <v>116</v>
      </c>
      <c r="AE70" s="1263">
        <v>106</v>
      </c>
      <c r="AF70" s="1263">
        <v>84</v>
      </c>
      <c r="AG70" s="1263">
        <v>91</v>
      </c>
      <c r="AH70" s="1559">
        <v>112</v>
      </c>
      <c r="AI70" s="1560">
        <f>'Non-marital births'!H71</f>
        <v>102</v>
      </c>
      <c r="AJ70" s="1270">
        <f t="shared" si="31"/>
        <v>0.44242424242424244</v>
      </c>
      <c r="AK70" s="1271">
        <f t="shared" ref="AK70:AK101" si="32">U70/E70</f>
        <v>0.47150259067357514</v>
      </c>
      <c r="AL70" s="1271">
        <f t="shared" ref="AL70:AL101" si="33">V70/F70</f>
        <v>0.46808510638297873</v>
      </c>
      <c r="AM70" s="1271">
        <f t="shared" ref="AM70:AM101" si="34">W70/G70</f>
        <v>0.48466257668711654</v>
      </c>
      <c r="AN70" s="1271">
        <f t="shared" ref="AN70:AN101" si="35">X70/H70</f>
        <v>0.47959183673469385</v>
      </c>
      <c r="AO70" s="1271">
        <f t="shared" ref="AO70:AO101" si="36">Y70/I70</f>
        <v>0.48148148148148145</v>
      </c>
      <c r="AP70" s="1271">
        <f t="shared" ref="AP70:AP101" si="37">Z70/J70</f>
        <v>0.41847826086956524</v>
      </c>
      <c r="AQ70" s="1271">
        <f t="shared" ref="AQ70:AQ101" si="38">AA70/K70</f>
        <v>0.43646408839779005</v>
      </c>
      <c r="AR70" s="1271">
        <f t="shared" ref="AR70:AR101" si="39">AB70/L70</f>
        <v>0.53801169590643272</v>
      </c>
      <c r="AS70" s="1271">
        <f t="shared" ref="AS70:AS101" si="40">AC70/M70</f>
        <v>0.52173913043478259</v>
      </c>
      <c r="AT70" s="1271">
        <f t="shared" ref="AT70:AT101" si="41">AD70/N70</f>
        <v>0.60416666666666663</v>
      </c>
      <c r="AU70" s="1271">
        <f t="shared" ref="AU70:AU101" si="42">AE70/O70</f>
        <v>0.57608695652173914</v>
      </c>
      <c r="AV70" s="1271">
        <f t="shared" ref="AV70:AV101" si="43">AF70/P70</f>
        <v>0.52830188679245282</v>
      </c>
      <c r="AW70" s="1271">
        <f t="shared" ref="AW70:AW101" si="44">AG70/Q70</f>
        <v>0.55151515151515151</v>
      </c>
      <c r="AX70" s="1552">
        <f t="shared" ref="AX70:AX101" si="45">AH70/R70</f>
        <v>0.59893048128342241</v>
      </c>
      <c r="AY70" s="1554">
        <f>'Non-marital births'!L71</f>
        <v>0.55737704918032782</v>
      </c>
    </row>
    <row r="71" spans="1:51" s="142" customFormat="1" ht="15.75" customHeight="1" x14ac:dyDescent="0.2">
      <c r="A71" s="149" t="s">
        <v>170</v>
      </c>
      <c r="B71" s="189" t="s">
        <v>171</v>
      </c>
      <c r="C71" s="150" t="s">
        <v>267</v>
      </c>
      <c r="D71" s="1239">
        <v>307</v>
      </c>
      <c r="E71" s="1240">
        <v>339</v>
      </c>
      <c r="F71" s="1241">
        <v>324</v>
      </c>
      <c r="G71" s="1240">
        <v>302</v>
      </c>
      <c r="H71" s="1241">
        <v>324</v>
      </c>
      <c r="I71" s="1240">
        <v>301</v>
      </c>
      <c r="J71" s="1241">
        <v>355</v>
      </c>
      <c r="K71" s="1240">
        <v>381</v>
      </c>
      <c r="L71" s="1254">
        <v>374</v>
      </c>
      <c r="M71" s="1254">
        <v>410</v>
      </c>
      <c r="N71" s="1254">
        <v>419</v>
      </c>
      <c r="O71" s="1254">
        <v>351</v>
      </c>
      <c r="P71" s="1255">
        <v>390</v>
      </c>
      <c r="Q71" s="1255">
        <v>413</v>
      </c>
      <c r="R71" s="1556">
        <v>369</v>
      </c>
      <c r="S71" s="1557">
        <f>'Non-marital births'!D72</f>
        <v>378</v>
      </c>
      <c r="T71" s="1262">
        <v>105</v>
      </c>
      <c r="U71" s="1263">
        <v>107</v>
      </c>
      <c r="V71" s="1263">
        <v>122</v>
      </c>
      <c r="W71" s="1263">
        <v>109</v>
      </c>
      <c r="X71" s="1263">
        <v>115</v>
      </c>
      <c r="Y71" s="1263">
        <v>104</v>
      </c>
      <c r="Z71" s="1263">
        <v>117</v>
      </c>
      <c r="AA71" s="1263">
        <v>133</v>
      </c>
      <c r="AB71" s="1263">
        <v>120</v>
      </c>
      <c r="AC71" s="1263">
        <v>148</v>
      </c>
      <c r="AD71" s="1263">
        <v>161</v>
      </c>
      <c r="AE71" s="1263">
        <v>133</v>
      </c>
      <c r="AF71" s="1263">
        <v>144</v>
      </c>
      <c r="AG71" s="1263">
        <v>159</v>
      </c>
      <c r="AH71" s="1559">
        <v>135</v>
      </c>
      <c r="AI71" s="1560">
        <f>'Non-marital births'!H72</f>
        <v>156</v>
      </c>
      <c r="AJ71" s="1270">
        <f t="shared" si="31"/>
        <v>0.34201954397394135</v>
      </c>
      <c r="AK71" s="1271">
        <f t="shared" si="32"/>
        <v>0.31563421828908556</v>
      </c>
      <c r="AL71" s="1271">
        <f t="shared" si="33"/>
        <v>0.37654320987654322</v>
      </c>
      <c r="AM71" s="1271">
        <f t="shared" si="34"/>
        <v>0.36092715231788081</v>
      </c>
      <c r="AN71" s="1271">
        <f t="shared" si="35"/>
        <v>0.35493827160493829</v>
      </c>
      <c r="AO71" s="1271">
        <f t="shared" si="36"/>
        <v>0.34551495016611294</v>
      </c>
      <c r="AP71" s="1271">
        <f t="shared" si="37"/>
        <v>0.3295774647887324</v>
      </c>
      <c r="AQ71" s="1271">
        <f t="shared" si="38"/>
        <v>0.34908136482939633</v>
      </c>
      <c r="AR71" s="1271">
        <f t="shared" si="39"/>
        <v>0.32085561497326204</v>
      </c>
      <c r="AS71" s="1271">
        <f t="shared" si="40"/>
        <v>0.36097560975609755</v>
      </c>
      <c r="AT71" s="1271">
        <f t="shared" si="41"/>
        <v>0.38424821002386633</v>
      </c>
      <c r="AU71" s="1271">
        <f t="shared" si="42"/>
        <v>0.37891737891737892</v>
      </c>
      <c r="AV71" s="1271">
        <f t="shared" si="43"/>
        <v>0.36923076923076925</v>
      </c>
      <c r="AW71" s="1271">
        <f t="shared" si="44"/>
        <v>0.38498789346246975</v>
      </c>
      <c r="AX71" s="1552">
        <f t="shared" si="45"/>
        <v>0.36585365853658536</v>
      </c>
      <c r="AY71" s="1554">
        <f>'Non-marital births'!L72</f>
        <v>0.41269841269841268</v>
      </c>
    </row>
    <row r="72" spans="1:51" s="142" customFormat="1" ht="15.75" customHeight="1" x14ac:dyDescent="0.2">
      <c r="A72" s="149" t="s">
        <v>172</v>
      </c>
      <c r="B72" s="189" t="s">
        <v>173</v>
      </c>
      <c r="C72" s="150" t="s">
        <v>267</v>
      </c>
      <c r="D72" s="1239">
        <v>245</v>
      </c>
      <c r="E72" s="1240">
        <v>256</v>
      </c>
      <c r="F72" s="1241">
        <v>266</v>
      </c>
      <c r="G72" s="1240">
        <v>274</v>
      </c>
      <c r="H72" s="1241">
        <v>284</v>
      </c>
      <c r="I72" s="1240">
        <v>278</v>
      </c>
      <c r="J72" s="1241">
        <v>276</v>
      </c>
      <c r="K72" s="1240">
        <v>252</v>
      </c>
      <c r="L72" s="1254">
        <v>278</v>
      </c>
      <c r="M72" s="1254">
        <v>225</v>
      </c>
      <c r="N72" s="1254">
        <v>264</v>
      </c>
      <c r="O72" s="1254">
        <v>243</v>
      </c>
      <c r="P72" s="1255">
        <v>233</v>
      </c>
      <c r="Q72" s="1255">
        <v>229</v>
      </c>
      <c r="R72" s="1556">
        <v>232</v>
      </c>
      <c r="S72" s="1557">
        <f>'Non-marital births'!D73</f>
        <v>236</v>
      </c>
      <c r="T72" s="1262">
        <v>95</v>
      </c>
      <c r="U72" s="1263">
        <v>90</v>
      </c>
      <c r="V72" s="1263">
        <v>94</v>
      </c>
      <c r="W72" s="1263">
        <v>102</v>
      </c>
      <c r="X72" s="1263">
        <v>101</v>
      </c>
      <c r="Y72" s="1263">
        <v>94</v>
      </c>
      <c r="Z72" s="1263">
        <v>107</v>
      </c>
      <c r="AA72" s="1263">
        <v>92</v>
      </c>
      <c r="AB72" s="1263">
        <v>115</v>
      </c>
      <c r="AC72" s="1263">
        <v>88</v>
      </c>
      <c r="AD72" s="1263">
        <v>122</v>
      </c>
      <c r="AE72" s="1263">
        <v>106</v>
      </c>
      <c r="AF72" s="1263">
        <v>95</v>
      </c>
      <c r="AG72" s="1263">
        <v>117</v>
      </c>
      <c r="AH72" s="1559">
        <v>123</v>
      </c>
      <c r="AI72" s="1560">
        <f>'Non-marital births'!H73</f>
        <v>117</v>
      </c>
      <c r="AJ72" s="1270">
        <f t="shared" si="31"/>
        <v>0.38775510204081631</v>
      </c>
      <c r="AK72" s="1271">
        <f t="shared" si="32"/>
        <v>0.3515625</v>
      </c>
      <c r="AL72" s="1271">
        <f t="shared" si="33"/>
        <v>0.35338345864661652</v>
      </c>
      <c r="AM72" s="1271">
        <f t="shared" si="34"/>
        <v>0.37226277372262773</v>
      </c>
      <c r="AN72" s="1271">
        <f t="shared" si="35"/>
        <v>0.35563380281690143</v>
      </c>
      <c r="AO72" s="1271">
        <f t="shared" si="36"/>
        <v>0.33812949640287771</v>
      </c>
      <c r="AP72" s="1271">
        <f t="shared" si="37"/>
        <v>0.38768115942028986</v>
      </c>
      <c r="AQ72" s="1271">
        <f t="shared" si="38"/>
        <v>0.36507936507936506</v>
      </c>
      <c r="AR72" s="1271">
        <f t="shared" si="39"/>
        <v>0.41366906474820142</v>
      </c>
      <c r="AS72" s="1271">
        <f t="shared" si="40"/>
        <v>0.39111111111111113</v>
      </c>
      <c r="AT72" s="1271">
        <f t="shared" si="41"/>
        <v>0.4621212121212121</v>
      </c>
      <c r="AU72" s="1271">
        <f t="shared" si="42"/>
        <v>0.43621399176954734</v>
      </c>
      <c r="AV72" s="1271">
        <f t="shared" si="43"/>
        <v>0.40772532188841204</v>
      </c>
      <c r="AW72" s="1271">
        <f t="shared" si="44"/>
        <v>0.51091703056768556</v>
      </c>
      <c r="AX72" s="1552">
        <f t="shared" si="45"/>
        <v>0.53017241379310343</v>
      </c>
      <c r="AY72" s="1554">
        <f>'Non-marital births'!L73</f>
        <v>0.49576271186440679</v>
      </c>
    </row>
    <row r="73" spans="1:51" s="142" customFormat="1" ht="15.75" customHeight="1" x14ac:dyDescent="0.2">
      <c r="A73" s="149" t="s">
        <v>174</v>
      </c>
      <c r="B73" s="189" t="s">
        <v>175</v>
      </c>
      <c r="C73" s="150" t="s">
        <v>268</v>
      </c>
      <c r="D73" s="1239">
        <v>192</v>
      </c>
      <c r="E73" s="1240">
        <v>183</v>
      </c>
      <c r="F73" s="1241">
        <v>171</v>
      </c>
      <c r="G73" s="1240">
        <v>160</v>
      </c>
      <c r="H73" s="1241">
        <v>169</v>
      </c>
      <c r="I73" s="1240">
        <v>170</v>
      </c>
      <c r="J73" s="1241">
        <v>184</v>
      </c>
      <c r="K73" s="1240">
        <v>189</v>
      </c>
      <c r="L73" s="1254">
        <v>174</v>
      </c>
      <c r="M73" s="1254">
        <v>154</v>
      </c>
      <c r="N73" s="1254">
        <v>173</v>
      </c>
      <c r="O73" s="1254">
        <v>143</v>
      </c>
      <c r="P73" s="1255">
        <v>173</v>
      </c>
      <c r="Q73" s="1255">
        <v>143</v>
      </c>
      <c r="R73" s="1556">
        <v>156</v>
      </c>
      <c r="S73" s="1557">
        <f>'Non-marital births'!D74</f>
        <v>130</v>
      </c>
      <c r="T73" s="1262">
        <v>55</v>
      </c>
      <c r="U73" s="1263">
        <v>38</v>
      </c>
      <c r="V73" s="1263">
        <v>29</v>
      </c>
      <c r="W73" s="1263">
        <v>48</v>
      </c>
      <c r="X73" s="1263">
        <v>48</v>
      </c>
      <c r="Y73" s="1263">
        <v>44</v>
      </c>
      <c r="Z73" s="1263">
        <v>46</v>
      </c>
      <c r="AA73" s="1263">
        <v>57</v>
      </c>
      <c r="AB73" s="1263">
        <v>50</v>
      </c>
      <c r="AC73" s="1263">
        <v>39</v>
      </c>
      <c r="AD73" s="1263">
        <v>48</v>
      </c>
      <c r="AE73" s="1263">
        <v>54</v>
      </c>
      <c r="AF73" s="1263">
        <v>57</v>
      </c>
      <c r="AG73" s="1263">
        <v>54</v>
      </c>
      <c r="AH73" s="1559">
        <v>58</v>
      </c>
      <c r="AI73" s="1560">
        <f>'Non-marital births'!H74</f>
        <v>52</v>
      </c>
      <c r="AJ73" s="1270">
        <f t="shared" si="31"/>
        <v>0.28645833333333331</v>
      </c>
      <c r="AK73" s="1271">
        <f t="shared" si="32"/>
        <v>0.20765027322404372</v>
      </c>
      <c r="AL73" s="1271">
        <f t="shared" si="33"/>
        <v>0.16959064327485379</v>
      </c>
      <c r="AM73" s="1271">
        <f t="shared" si="34"/>
        <v>0.3</v>
      </c>
      <c r="AN73" s="1271">
        <f t="shared" si="35"/>
        <v>0.28402366863905326</v>
      </c>
      <c r="AO73" s="1271">
        <f t="shared" si="36"/>
        <v>0.25882352941176473</v>
      </c>
      <c r="AP73" s="1271">
        <f t="shared" si="37"/>
        <v>0.25</v>
      </c>
      <c r="AQ73" s="1271">
        <f t="shared" si="38"/>
        <v>0.30158730158730157</v>
      </c>
      <c r="AR73" s="1271">
        <f t="shared" si="39"/>
        <v>0.28735632183908044</v>
      </c>
      <c r="AS73" s="1271">
        <f t="shared" si="40"/>
        <v>0.25324675324675322</v>
      </c>
      <c r="AT73" s="1271">
        <f t="shared" si="41"/>
        <v>0.2774566473988439</v>
      </c>
      <c r="AU73" s="1271">
        <f t="shared" si="42"/>
        <v>0.3776223776223776</v>
      </c>
      <c r="AV73" s="1271">
        <f t="shared" si="43"/>
        <v>0.32947976878612717</v>
      </c>
      <c r="AW73" s="1271">
        <f t="shared" si="44"/>
        <v>0.3776223776223776</v>
      </c>
      <c r="AX73" s="1552">
        <f t="shared" si="45"/>
        <v>0.37179487179487181</v>
      </c>
      <c r="AY73" s="1554">
        <f>'Non-marital births'!L74</f>
        <v>0.4</v>
      </c>
    </row>
    <row r="74" spans="1:51" s="142" customFormat="1" ht="15.75" customHeight="1" x14ac:dyDescent="0.2">
      <c r="A74" s="149" t="s">
        <v>178</v>
      </c>
      <c r="B74" s="189" t="s">
        <v>179</v>
      </c>
      <c r="C74" s="150" t="s">
        <v>265</v>
      </c>
      <c r="D74" s="1239">
        <v>671</v>
      </c>
      <c r="E74" s="1240">
        <v>753</v>
      </c>
      <c r="F74" s="1241">
        <v>749</v>
      </c>
      <c r="G74" s="1240">
        <v>699</v>
      </c>
      <c r="H74" s="1241">
        <v>658</v>
      </c>
      <c r="I74" s="1240">
        <v>674</v>
      </c>
      <c r="J74" s="1241">
        <v>652</v>
      </c>
      <c r="K74" s="1240">
        <v>665</v>
      </c>
      <c r="L74" s="1254">
        <v>644</v>
      </c>
      <c r="M74" s="1254">
        <v>638</v>
      </c>
      <c r="N74" s="1254">
        <v>622</v>
      </c>
      <c r="O74" s="1254">
        <v>574</v>
      </c>
      <c r="P74" s="1255">
        <v>508</v>
      </c>
      <c r="Q74" s="1255">
        <v>450</v>
      </c>
      <c r="R74" s="1556">
        <v>540</v>
      </c>
      <c r="S74" s="1557">
        <f>'Non-marital births'!D75</f>
        <v>477</v>
      </c>
      <c r="T74" s="1262">
        <v>204</v>
      </c>
      <c r="U74" s="1263">
        <v>252</v>
      </c>
      <c r="V74" s="1263">
        <v>249</v>
      </c>
      <c r="W74" s="1263">
        <v>223</v>
      </c>
      <c r="X74" s="1263">
        <v>216</v>
      </c>
      <c r="Y74" s="1263">
        <v>233</v>
      </c>
      <c r="Z74" s="1263">
        <v>234</v>
      </c>
      <c r="AA74" s="1263">
        <v>271</v>
      </c>
      <c r="AB74" s="1263">
        <v>261</v>
      </c>
      <c r="AC74" s="1263">
        <v>285</v>
      </c>
      <c r="AD74" s="1263">
        <v>248</v>
      </c>
      <c r="AE74" s="1263">
        <v>241</v>
      </c>
      <c r="AF74" s="1263">
        <v>216</v>
      </c>
      <c r="AG74" s="1263">
        <v>196</v>
      </c>
      <c r="AH74" s="1559">
        <v>244</v>
      </c>
      <c r="AI74" s="1560">
        <f>'Non-marital births'!H75</f>
        <v>188</v>
      </c>
      <c r="AJ74" s="1270">
        <f t="shared" si="31"/>
        <v>0.30402384500745155</v>
      </c>
      <c r="AK74" s="1271">
        <f t="shared" si="32"/>
        <v>0.33466135458167329</v>
      </c>
      <c r="AL74" s="1271">
        <f t="shared" si="33"/>
        <v>0.33244325767690253</v>
      </c>
      <c r="AM74" s="1271">
        <f t="shared" si="34"/>
        <v>0.31902718168812588</v>
      </c>
      <c r="AN74" s="1271">
        <f t="shared" si="35"/>
        <v>0.32826747720364741</v>
      </c>
      <c r="AO74" s="1271">
        <f t="shared" si="36"/>
        <v>0.3456973293768546</v>
      </c>
      <c r="AP74" s="1271">
        <f t="shared" si="37"/>
        <v>0.35889570552147237</v>
      </c>
      <c r="AQ74" s="1271">
        <f t="shared" si="38"/>
        <v>0.40751879699248122</v>
      </c>
      <c r="AR74" s="1271">
        <f t="shared" si="39"/>
        <v>0.40527950310559008</v>
      </c>
      <c r="AS74" s="1271">
        <f t="shared" si="40"/>
        <v>0.44670846394984326</v>
      </c>
      <c r="AT74" s="1271">
        <f t="shared" si="41"/>
        <v>0.3987138263665595</v>
      </c>
      <c r="AU74" s="1271">
        <f t="shared" si="42"/>
        <v>0.41986062717770034</v>
      </c>
      <c r="AV74" s="1271">
        <f t="shared" si="43"/>
        <v>0.42519685039370081</v>
      </c>
      <c r="AW74" s="1271">
        <f t="shared" si="44"/>
        <v>0.43555555555555553</v>
      </c>
      <c r="AX74" s="1552">
        <f t="shared" si="45"/>
        <v>0.45185185185185184</v>
      </c>
      <c r="AY74" s="1554">
        <f>'Non-marital births'!L75</f>
        <v>0.3941299790356394</v>
      </c>
    </row>
    <row r="75" spans="1:51" s="142" customFormat="1" ht="15.75" customHeight="1" x14ac:dyDescent="0.2">
      <c r="A75" s="149" t="s">
        <v>182</v>
      </c>
      <c r="B75" s="189" t="s">
        <v>183</v>
      </c>
      <c r="C75" s="150" t="s">
        <v>266</v>
      </c>
      <c r="D75" s="1239">
        <v>246</v>
      </c>
      <c r="E75" s="1240">
        <v>263</v>
      </c>
      <c r="F75" s="1241">
        <v>259</v>
      </c>
      <c r="G75" s="1240">
        <v>270</v>
      </c>
      <c r="H75" s="1241">
        <v>279</v>
      </c>
      <c r="I75" s="1240">
        <v>264</v>
      </c>
      <c r="J75" s="1241">
        <v>259</v>
      </c>
      <c r="K75" s="1240">
        <v>282</v>
      </c>
      <c r="L75" s="1254">
        <v>247</v>
      </c>
      <c r="M75" s="1254">
        <v>254</v>
      </c>
      <c r="N75" s="1254">
        <v>265</v>
      </c>
      <c r="O75" s="1254">
        <v>243</v>
      </c>
      <c r="P75" s="1255">
        <v>223</v>
      </c>
      <c r="Q75" s="1255">
        <v>233</v>
      </c>
      <c r="R75" s="1556">
        <v>245</v>
      </c>
      <c r="S75" s="1557">
        <f>'Non-marital births'!D76</f>
        <v>215</v>
      </c>
      <c r="T75" s="1262">
        <v>44</v>
      </c>
      <c r="U75" s="1263">
        <v>50</v>
      </c>
      <c r="V75" s="1263">
        <v>46</v>
      </c>
      <c r="W75" s="1263">
        <v>40</v>
      </c>
      <c r="X75" s="1263">
        <v>44</v>
      </c>
      <c r="Y75" s="1263">
        <v>46</v>
      </c>
      <c r="Z75" s="1263">
        <v>45</v>
      </c>
      <c r="AA75" s="1263">
        <v>45</v>
      </c>
      <c r="AB75" s="1263">
        <v>44</v>
      </c>
      <c r="AC75" s="1263">
        <v>58</v>
      </c>
      <c r="AD75" s="1263">
        <v>63</v>
      </c>
      <c r="AE75" s="1263">
        <v>54</v>
      </c>
      <c r="AF75" s="1263">
        <v>59</v>
      </c>
      <c r="AG75" s="1263">
        <v>63</v>
      </c>
      <c r="AH75" s="1559">
        <v>67</v>
      </c>
      <c r="AI75" s="1560">
        <f>'Non-marital births'!H76</f>
        <v>55</v>
      </c>
      <c r="AJ75" s="1270">
        <f t="shared" si="31"/>
        <v>0.17886178861788618</v>
      </c>
      <c r="AK75" s="1271">
        <f t="shared" si="32"/>
        <v>0.19011406844106463</v>
      </c>
      <c r="AL75" s="1271">
        <f t="shared" si="33"/>
        <v>0.17760617760617761</v>
      </c>
      <c r="AM75" s="1271">
        <f t="shared" si="34"/>
        <v>0.14814814814814814</v>
      </c>
      <c r="AN75" s="1271">
        <f t="shared" si="35"/>
        <v>0.15770609318996415</v>
      </c>
      <c r="AO75" s="1271">
        <f t="shared" si="36"/>
        <v>0.17424242424242425</v>
      </c>
      <c r="AP75" s="1271">
        <f t="shared" si="37"/>
        <v>0.17374517374517376</v>
      </c>
      <c r="AQ75" s="1271">
        <f t="shared" si="38"/>
        <v>0.15957446808510639</v>
      </c>
      <c r="AR75" s="1271">
        <f t="shared" si="39"/>
        <v>0.17813765182186234</v>
      </c>
      <c r="AS75" s="1271">
        <f t="shared" si="40"/>
        <v>0.2283464566929134</v>
      </c>
      <c r="AT75" s="1271">
        <f t="shared" si="41"/>
        <v>0.23773584905660378</v>
      </c>
      <c r="AU75" s="1271">
        <f t="shared" si="42"/>
        <v>0.22222222222222221</v>
      </c>
      <c r="AV75" s="1271">
        <f t="shared" si="43"/>
        <v>0.26457399103139012</v>
      </c>
      <c r="AW75" s="1271">
        <f t="shared" si="44"/>
        <v>0.27038626609442062</v>
      </c>
      <c r="AX75" s="1552">
        <f t="shared" si="45"/>
        <v>0.27346938775510204</v>
      </c>
      <c r="AY75" s="1554">
        <f>'Non-marital births'!L76</f>
        <v>0.2558139534883721</v>
      </c>
    </row>
    <row r="76" spans="1:51" s="142" customFormat="1" ht="15.75" customHeight="1" x14ac:dyDescent="0.2">
      <c r="A76" s="149" t="s">
        <v>184</v>
      </c>
      <c r="B76" s="189" t="s">
        <v>185</v>
      </c>
      <c r="C76" s="150" t="s">
        <v>266</v>
      </c>
      <c r="D76" s="1239">
        <v>206</v>
      </c>
      <c r="E76" s="1240">
        <v>211</v>
      </c>
      <c r="F76" s="1241">
        <v>216</v>
      </c>
      <c r="G76" s="1240">
        <v>232</v>
      </c>
      <c r="H76" s="1241">
        <v>195</v>
      </c>
      <c r="I76" s="1240">
        <v>186</v>
      </c>
      <c r="J76" s="1241">
        <v>203</v>
      </c>
      <c r="K76" s="1240">
        <v>195</v>
      </c>
      <c r="L76" s="1254">
        <v>185</v>
      </c>
      <c r="M76" s="1254">
        <v>215</v>
      </c>
      <c r="N76" s="1254">
        <v>215</v>
      </c>
      <c r="O76" s="1254">
        <v>208</v>
      </c>
      <c r="P76" s="1255">
        <v>221</v>
      </c>
      <c r="Q76" s="1255">
        <v>203</v>
      </c>
      <c r="R76" s="1556">
        <v>204</v>
      </c>
      <c r="S76" s="1557">
        <f>'Non-marital births'!D77</f>
        <v>205</v>
      </c>
      <c r="T76" s="1262">
        <v>92</v>
      </c>
      <c r="U76" s="1263">
        <v>93</v>
      </c>
      <c r="V76" s="1263">
        <v>84</v>
      </c>
      <c r="W76" s="1263">
        <v>94</v>
      </c>
      <c r="X76" s="1263">
        <v>92</v>
      </c>
      <c r="Y76" s="1263">
        <v>84</v>
      </c>
      <c r="Z76" s="1263">
        <v>99</v>
      </c>
      <c r="AA76" s="1263">
        <v>101</v>
      </c>
      <c r="AB76" s="1263">
        <v>98</v>
      </c>
      <c r="AC76" s="1263">
        <v>109</v>
      </c>
      <c r="AD76" s="1263">
        <v>127</v>
      </c>
      <c r="AE76" s="1263">
        <v>104</v>
      </c>
      <c r="AF76" s="1263">
        <v>123</v>
      </c>
      <c r="AG76" s="1263">
        <v>104</v>
      </c>
      <c r="AH76" s="1559">
        <v>118</v>
      </c>
      <c r="AI76" s="1560">
        <f>'Non-marital births'!H77</f>
        <v>97</v>
      </c>
      <c r="AJ76" s="1270">
        <f t="shared" si="31"/>
        <v>0.44660194174757284</v>
      </c>
      <c r="AK76" s="1271">
        <f t="shared" si="32"/>
        <v>0.44075829383886256</v>
      </c>
      <c r="AL76" s="1271">
        <f t="shared" si="33"/>
        <v>0.3888888888888889</v>
      </c>
      <c r="AM76" s="1271">
        <f t="shared" si="34"/>
        <v>0.40517241379310343</v>
      </c>
      <c r="AN76" s="1271">
        <f t="shared" si="35"/>
        <v>0.47179487179487178</v>
      </c>
      <c r="AO76" s="1271">
        <f t="shared" si="36"/>
        <v>0.45161290322580644</v>
      </c>
      <c r="AP76" s="1271">
        <f t="shared" si="37"/>
        <v>0.48768472906403942</v>
      </c>
      <c r="AQ76" s="1271">
        <f t="shared" si="38"/>
        <v>0.517948717948718</v>
      </c>
      <c r="AR76" s="1271">
        <f t="shared" si="39"/>
        <v>0.52972972972972976</v>
      </c>
      <c r="AS76" s="1271">
        <f t="shared" si="40"/>
        <v>0.50697674418604655</v>
      </c>
      <c r="AT76" s="1271">
        <f t="shared" si="41"/>
        <v>0.59069767441860466</v>
      </c>
      <c r="AU76" s="1271">
        <f t="shared" si="42"/>
        <v>0.5</v>
      </c>
      <c r="AV76" s="1271">
        <f t="shared" si="43"/>
        <v>0.5565610859728507</v>
      </c>
      <c r="AW76" s="1271">
        <f t="shared" si="44"/>
        <v>0.51231527093596063</v>
      </c>
      <c r="AX76" s="1552">
        <f t="shared" si="45"/>
        <v>0.57843137254901966</v>
      </c>
      <c r="AY76" s="1554">
        <f>'Non-marital births'!L77</f>
        <v>0.47317073170731705</v>
      </c>
    </row>
    <row r="77" spans="1:51" s="142" customFormat="1" ht="15.75" customHeight="1" x14ac:dyDescent="0.2">
      <c r="A77" s="149" t="s">
        <v>186</v>
      </c>
      <c r="B77" s="189" t="s">
        <v>187</v>
      </c>
      <c r="C77" s="150" t="s">
        <v>264</v>
      </c>
      <c r="D77" s="1239">
        <v>345</v>
      </c>
      <c r="E77" s="1240">
        <v>378</v>
      </c>
      <c r="F77" s="1241">
        <v>406</v>
      </c>
      <c r="G77" s="1240">
        <v>379</v>
      </c>
      <c r="H77" s="1241">
        <v>348</v>
      </c>
      <c r="I77" s="1240">
        <v>388</v>
      </c>
      <c r="J77" s="1241">
        <v>368</v>
      </c>
      <c r="K77" s="1240">
        <v>326</v>
      </c>
      <c r="L77" s="1254">
        <v>356</v>
      </c>
      <c r="M77" s="1254">
        <v>375</v>
      </c>
      <c r="N77" s="1254">
        <v>369</v>
      </c>
      <c r="O77" s="1254">
        <v>403</v>
      </c>
      <c r="P77" s="1255">
        <v>344</v>
      </c>
      <c r="Q77" s="1255">
        <v>327</v>
      </c>
      <c r="R77" s="1556">
        <v>344</v>
      </c>
      <c r="S77" s="1557">
        <f>'Non-marital births'!D78</f>
        <v>310</v>
      </c>
      <c r="T77" s="1262">
        <v>80</v>
      </c>
      <c r="U77" s="1263">
        <v>92</v>
      </c>
      <c r="V77" s="1263">
        <v>88</v>
      </c>
      <c r="W77" s="1263">
        <v>83</v>
      </c>
      <c r="X77" s="1263">
        <v>94</v>
      </c>
      <c r="Y77" s="1263">
        <v>98</v>
      </c>
      <c r="Z77" s="1263">
        <v>98</v>
      </c>
      <c r="AA77" s="1263">
        <v>79</v>
      </c>
      <c r="AB77" s="1263">
        <v>91</v>
      </c>
      <c r="AC77" s="1263">
        <v>129</v>
      </c>
      <c r="AD77" s="1263">
        <v>116</v>
      </c>
      <c r="AE77" s="1263">
        <v>120</v>
      </c>
      <c r="AF77" s="1263">
        <v>92</v>
      </c>
      <c r="AG77" s="1263">
        <v>90</v>
      </c>
      <c r="AH77" s="1559">
        <v>115</v>
      </c>
      <c r="AI77" s="1560">
        <f>'Non-marital births'!H78</f>
        <v>92</v>
      </c>
      <c r="AJ77" s="1270">
        <f t="shared" si="31"/>
        <v>0.2318840579710145</v>
      </c>
      <c r="AK77" s="1271">
        <f t="shared" si="32"/>
        <v>0.24338624338624337</v>
      </c>
      <c r="AL77" s="1271">
        <f t="shared" si="33"/>
        <v>0.21674876847290642</v>
      </c>
      <c r="AM77" s="1271">
        <f t="shared" si="34"/>
        <v>0.21899736147757257</v>
      </c>
      <c r="AN77" s="1271">
        <f t="shared" si="35"/>
        <v>0.27011494252873564</v>
      </c>
      <c r="AO77" s="1271">
        <f t="shared" si="36"/>
        <v>0.25257731958762886</v>
      </c>
      <c r="AP77" s="1271">
        <f t="shared" si="37"/>
        <v>0.26630434782608697</v>
      </c>
      <c r="AQ77" s="1271">
        <f t="shared" si="38"/>
        <v>0.24233128834355827</v>
      </c>
      <c r="AR77" s="1271">
        <f t="shared" si="39"/>
        <v>0.2556179775280899</v>
      </c>
      <c r="AS77" s="1271">
        <f t="shared" si="40"/>
        <v>0.34399999999999997</v>
      </c>
      <c r="AT77" s="1271">
        <f t="shared" si="41"/>
        <v>0.3143631436314363</v>
      </c>
      <c r="AU77" s="1271">
        <f t="shared" si="42"/>
        <v>0.29776674937965258</v>
      </c>
      <c r="AV77" s="1271">
        <f t="shared" si="43"/>
        <v>0.26744186046511625</v>
      </c>
      <c r="AW77" s="1271">
        <f t="shared" si="44"/>
        <v>0.27522935779816515</v>
      </c>
      <c r="AX77" s="1552">
        <f t="shared" si="45"/>
        <v>0.33430232558139533</v>
      </c>
      <c r="AY77" s="1554">
        <f>'Non-marital births'!L78</f>
        <v>0.29677419354838708</v>
      </c>
    </row>
    <row r="78" spans="1:51" s="142" customFormat="1" ht="15.75" customHeight="1" x14ac:dyDescent="0.2">
      <c r="A78" s="149" t="s">
        <v>188</v>
      </c>
      <c r="B78" s="189" t="s">
        <v>189</v>
      </c>
      <c r="C78" s="150" t="s">
        <v>267</v>
      </c>
      <c r="D78" s="1239">
        <v>4640</v>
      </c>
      <c r="E78" s="1240">
        <v>4716</v>
      </c>
      <c r="F78" s="1241">
        <v>5046</v>
      </c>
      <c r="G78" s="1240">
        <v>5466</v>
      </c>
      <c r="H78" s="1241">
        <v>5655</v>
      </c>
      <c r="I78" s="1240">
        <v>5958</v>
      </c>
      <c r="J78" s="1241">
        <v>6445</v>
      </c>
      <c r="K78" s="1240">
        <v>6626</v>
      </c>
      <c r="L78" s="1254">
        <v>7042</v>
      </c>
      <c r="M78" s="1254">
        <v>6797</v>
      </c>
      <c r="N78" s="1254">
        <v>6397</v>
      </c>
      <c r="O78" s="1254">
        <v>6622</v>
      </c>
      <c r="P78" s="1255">
        <v>6647</v>
      </c>
      <c r="Q78" s="1255">
        <v>6691</v>
      </c>
      <c r="R78" s="1556">
        <v>6873</v>
      </c>
      <c r="S78" s="1557">
        <f>'Non-marital births'!D79</f>
        <v>6791</v>
      </c>
      <c r="T78" s="1262">
        <v>1099</v>
      </c>
      <c r="U78" s="1263">
        <v>1172</v>
      </c>
      <c r="V78" s="1263">
        <v>1249</v>
      </c>
      <c r="W78" s="1263">
        <v>1336</v>
      </c>
      <c r="X78" s="1263">
        <v>1322</v>
      </c>
      <c r="Y78" s="1263">
        <v>1525</v>
      </c>
      <c r="Z78" s="1263">
        <v>1656</v>
      </c>
      <c r="AA78" s="1263">
        <v>1824</v>
      </c>
      <c r="AB78" s="1263">
        <v>2185</v>
      </c>
      <c r="AC78" s="1263">
        <v>2087</v>
      </c>
      <c r="AD78" s="1263">
        <v>1809</v>
      </c>
      <c r="AE78" s="1263">
        <v>1932</v>
      </c>
      <c r="AF78" s="1263">
        <v>1985</v>
      </c>
      <c r="AG78" s="1263">
        <v>1985</v>
      </c>
      <c r="AH78" s="1559">
        <v>2043</v>
      </c>
      <c r="AI78" s="1560">
        <f>'Non-marital births'!H79</f>
        <v>1947</v>
      </c>
      <c r="AJ78" s="1270">
        <f t="shared" si="31"/>
        <v>0.23685344827586208</v>
      </c>
      <c r="AK78" s="1271">
        <f t="shared" si="32"/>
        <v>0.24851569126378287</v>
      </c>
      <c r="AL78" s="1271">
        <f t="shared" si="33"/>
        <v>0.24752279032897345</v>
      </c>
      <c r="AM78" s="1271">
        <f t="shared" si="34"/>
        <v>0.24442005122575924</v>
      </c>
      <c r="AN78" s="1271">
        <f t="shared" si="35"/>
        <v>0.23377541998231655</v>
      </c>
      <c r="AO78" s="1271">
        <f t="shared" si="36"/>
        <v>0.25595837529372273</v>
      </c>
      <c r="AP78" s="1271">
        <f t="shared" si="37"/>
        <v>0.25694336695112491</v>
      </c>
      <c r="AQ78" s="1271">
        <f t="shared" si="38"/>
        <v>0.27527920313914883</v>
      </c>
      <c r="AR78" s="1271">
        <f t="shared" si="39"/>
        <v>0.31028117012212442</v>
      </c>
      <c r="AS78" s="1271">
        <f t="shared" si="40"/>
        <v>0.30704722671766954</v>
      </c>
      <c r="AT78" s="1271">
        <f t="shared" si="41"/>
        <v>0.28278880725340005</v>
      </c>
      <c r="AU78" s="1271">
        <f t="shared" si="42"/>
        <v>0.29175475687103591</v>
      </c>
      <c r="AV78" s="1271">
        <f t="shared" si="43"/>
        <v>0.29863096133594103</v>
      </c>
      <c r="AW78" s="1271">
        <f t="shared" si="44"/>
        <v>0.29666716484830369</v>
      </c>
      <c r="AX78" s="1552">
        <f t="shared" si="45"/>
        <v>0.29725010912265387</v>
      </c>
      <c r="AY78" s="1554">
        <f>'Non-marital births'!L79</f>
        <v>0.2867029892504786</v>
      </c>
    </row>
    <row r="79" spans="1:51" s="142" customFormat="1" ht="15.75" customHeight="1" x14ac:dyDescent="0.2">
      <c r="A79" s="149" t="s">
        <v>190</v>
      </c>
      <c r="B79" s="189" t="s">
        <v>191</v>
      </c>
      <c r="C79" s="150" t="s">
        <v>268</v>
      </c>
      <c r="D79" s="1239">
        <v>419</v>
      </c>
      <c r="E79" s="1240">
        <v>383</v>
      </c>
      <c r="F79" s="1241">
        <v>411</v>
      </c>
      <c r="G79" s="1240">
        <v>369</v>
      </c>
      <c r="H79" s="1241">
        <v>324</v>
      </c>
      <c r="I79" s="1240">
        <v>338</v>
      </c>
      <c r="J79" s="1241">
        <v>345</v>
      </c>
      <c r="K79" s="1240">
        <v>344</v>
      </c>
      <c r="L79" s="1254">
        <v>336</v>
      </c>
      <c r="M79" s="1254">
        <v>358</v>
      </c>
      <c r="N79" s="1254">
        <v>362</v>
      </c>
      <c r="O79" s="1254">
        <v>321</v>
      </c>
      <c r="P79" s="1255">
        <v>281</v>
      </c>
      <c r="Q79" s="1255">
        <v>288</v>
      </c>
      <c r="R79" s="1556">
        <v>348</v>
      </c>
      <c r="S79" s="1557">
        <f>'Non-marital births'!D80</f>
        <v>316</v>
      </c>
      <c r="T79" s="1262">
        <v>120</v>
      </c>
      <c r="U79" s="1263">
        <v>111</v>
      </c>
      <c r="V79" s="1263">
        <v>125</v>
      </c>
      <c r="W79" s="1263">
        <v>115</v>
      </c>
      <c r="X79" s="1263">
        <v>112</v>
      </c>
      <c r="Y79" s="1263">
        <v>115</v>
      </c>
      <c r="Z79" s="1263">
        <v>106</v>
      </c>
      <c r="AA79" s="1263">
        <v>129</v>
      </c>
      <c r="AB79" s="1263">
        <v>124</v>
      </c>
      <c r="AC79" s="1263">
        <v>155</v>
      </c>
      <c r="AD79" s="1263">
        <v>149</v>
      </c>
      <c r="AE79" s="1263">
        <v>144</v>
      </c>
      <c r="AF79" s="1263">
        <v>116</v>
      </c>
      <c r="AG79" s="1263">
        <v>120</v>
      </c>
      <c r="AH79" s="1559">
        <v>147</v>
      </c>
      <c r="AI79" s="1560">
        <f>'Non-marital births'!H80</f>
        <v>157</v>
      </c>
      <c r="AJ79" s="1270">
        <f t="shared" si="31"/>
        <v>0.28639618138424822</v>
      </c>
      <c r="AK79" s="1271">
        <f t="shared" si="32"/>
        <v>0.28981723237597912</v>
      </c>
      <c r="AL79" s="1271">
        <f t="shared" si="33"/>
        <v>0.30413625304136255</v>
      </c>
      <c r="AM79" s="1271">
        <f t="shared" si="34"/>
        <v>0.31165311653116529</v>
      </c>
      <c r="AN79" s="1271">
        <f t="shared" si="35"/>
        <v>0.34567901234567899</v>
      </c>
      <c r="AO79" s="1271">
        <f t="shared" si="36"/>
        <v>0.34023668639053256</v>
      </c>
      <c r="AP79" s="1271">
        <f t="shared" si="37"/>
        <v>0.30724637681159422</v>
      </c>
      <c r="AQ79" s="1271">
        <f t="shared" si="38"/>
        <v>0.375</v>
      </c>
      <c r="AR79" s="1271">
        <f t="shared" si="39"/>
        <v>0.36904761904761907</v>
      </c>
      <c r="AS79" s="1271">
        <f t="shared" si="40"/>
        <v>0.43296089385474862</v>
      </c>
      <c r="AT79" s="1271">
        <f t="shared" si="41"/>
        <v>0.41160220994475138</v>
      </c>
      <c r="AU79" s="1271">
        <f t="shared" si="42"/>
        <v>0.44859813084112149</v>
      </c>
      <c r="AV79" s="1271">
        <f t="shared" si="43"/>
        <v>0.41281138790035588</v>
      </c>
      <c r="AW79" s="1271">
        <f t="shared" si="44"/>
        <v>0.41666666666666669</v>
      </c>
      <c r="AX79" s="1552">
        <f t="shared" si="45"/>
        <v>0.42241379310344829</v>
      </c>
      <c r="AY79" s="1554">
        <f>'Non-marital births'!L80</f>
        <v>0.49683544303797467</v>
      </c>
    </row>
    <row r="80" spans="1:51" s="142" customFormat="1" ht="15.75" customHeight="1" x14ac:dyDescent="0.2">
      <c r="A80" s="149" t="s">
        <v>194</v>
      </c>
      <c r="B80" s="189" t="s">
        <v>195</v>
      </c>
      <c r="C80" s="150" t="s">
        <v>267</v>
      </c>
      <c r="D80" s="1239">
        <v>89</v>
      </c>
      <c r="E80" s="1240">
        <v>105</v>
      </c>
      <c r="F80" s="1241">
        <v>98</v>
      </c>
      <c r="G80" s="1240">
        <v>79</v>
      </c>
      <c r="H80" s="1241">
        <v>77</v>
      </c>
      <c r="I80" s="1240">
        <v>64</v>
      </c>
      <c r="J80" s="1241">
        <v>79</v>
      </c>
      <c r="K80" s="1240">
        <v>69</v>
      </c>
      <c r="L80" s="1254">
        <v>72</v>
      </c>
      <c r="M80" s="1254">
        <v>68</v>
      </c>
      <c r="N80" s="1254">
        <v>77</v>
      </c>
      <c r="O80" s="1254">
        <v>70</v>
      </c>
      <c r="P80" s="1255">
        <v>67</v>
      </c>
      <c r="Q80" s="1255">
        <v>55</v>
      </c>
      <c r="R80" s="1556">
        <v>56</v>
      </c>
      <c r="S80" s="1557">
        <f>'Non-marital births'!D81</f>
        <v>47</v>
      </c>
      <c r="T80" s="1262">
        <v>18</v>
      </c>
      <c r="U80" s="1263">
        <v>23</v>
      </c>
      <c r="V80" s="1263">
        <v>15</v>
      </c>
      <c r="W80" s="1263">
        <v>16</v>
      </c>
      <c r="X80" s="1263">
        <v>21</v>
      </c>
      <c r="Y80" s="1263">
        <v>12</v>
      </c>
      <c r="Z80" s="1263">
        <v>23</v>
      </c>
      <c r="AA80" s="1263">
        <v>22</v>
      </c>
      <c r="AB80" s="1263">
        <v>30</v>
      </c>
      <c r="AC80" s="1263">
        <v>23</v>
      </c>
      <c r="AD80" s="1263">
        <v>29</v>
      </c>
      <c r="AE80" s="1263">
        <v>22</v>
      </c>
      <c r="AF80" s="1263">
        <v>20</v>
      </c>
      <c r="AG80" s="1263">
        <v>28</v>
      </c>
      <c r="AH80" s="1559">
        <v>17</v>
      </c>
      <c r="AI80" s="1560">
        <f>'Non-marital births'!H81</f>
        <v>17</v>
      </c>
      <c r="AJ80" s="1270">
        <f t="shared" si="31"/>
        <v>0.20224719101123595</v>
      </c>
      <c r="AK80" s="1271">
        <f t="shared" si="32"/>
        <v>0.21904761904761905</v>
      </c>
      <c r="AL80" s="1271">
        <f t="shared" si="33"/>
        <v>0.15306122448979592</v>
      </c>
      <c r="AM80" s="1271">
        <f t="shared" si="34"/>
        <v>0.20253164556962025</v>
      </c>
      <c r="AN80" s="1271">
        <f t="shared" si="35"/>
        <v>0.27272727272727271</v>
      </c>
      <c r="AO80" s="1271">
        <f t="shared" si="36"/>
        <v>0.1875</v>
      </c>
      <c r="AP80" s="1271">
        <f t="shared" si="37"/>
        <v>0.29113924050632911</v>
      </c>
      <c r="AQ80" s="1271">
        <f t="shared" si="38"/>
        <v>0.3188405797101449</v>
      </c>
      <c r="AR80" s="1271">
        <f t="shared" si="39"/>
        <v>0.41666666666666669</v>
      </c>
      <c r="AS80" s="1271">
        <f t="shared" si="40"/>
        <v>0.33823529411764708</v>
      </c>
      <c r="AT80" s="1271">
        <f t="shared" si="41"/>
        <v>0.37662337662337664</v>
      </c>
      <c r="AU80" s="1271">
        <f t="shared" si="42"/>
        <v>0.31428571428571428</v>
      </c>
      <c r="AV80" s="1271">
        <f t="shared" si="43"/>
        <v>0.29850746268656714</v>
      </c>
      <c r="AW80" s="1271">
        <f t="shared" si="44"/>
        <v>0.50909090909090904</v>
      </c>
      <c r="AX80" s="1552">
        <f t="shared" si="45"/>
        <v>0.30357142857142855</v>
      </c>
      <c r="AY80" s="1554">
        <f>'Non-marital births'!L81</f>
        <v>0.36170212765957449</v>
      </c>
    </row>
    <row r="81" spans="1:51" s="142" customFormat="1" ht="15.75" customHeight="1" x14ac:dyDescent="0.2">
      <c r="A81" s="149" t="s">
        <v>198</v>
      </c>
      <c r="B81" s="189" t="s">
        <v>272</v>
      </c>
      <c r="C81" s="150" t="s">
        <v>266</v>
      </c>
      <c r="D81" s="1239">
        <v>71</v>
      </c>
      <c r="E81" s="1240">
        <v>79</v>
      </c>
      <c r="F81" s="1241">
        <v>81</v>
      </c>
      <c r="G81" s="1240">
        <v>77</v>
      </c>
      <c r="H81" s="1241">
        <v>92</v>
      </c>
      <c r="I81" s="1240">
        <v>82</v>
      </c>
      <c r="J81" s="1241">
        <v>95</v>
      </c>
      <c r="K81" s="1240">
        <v>90</v>
      </c>
      <c r="L81" s="1254">
        <v>95</v>
      </c>
      <c r="M81" s="1254">
        <v>123</v>
      </c>
      <c r="N81" s="1254">
        <v>69</v>
      </c>
      <c r="O81" s="1254">
        <v>76</v>
      </c>
      <c r="P81" s="1255">
        <v>75</v>
      </c>
      <c r="Q81" s="1255">
        <v>71</v>
      </c>
      <c r="R81" s="1556">
        <v>72</v>
      </c>
      <c r="S81" s="1557">
        <f>'Non-marital births'!D82</f>
        <v>72</v>
      </c>
      <c r="T81" s="1262">
        <v>27</v>
      </c>
      <c r="U81" s="1263">
        <v>35</v>
      </c>
      <c r="V81" s="1263">
        <v>33</v>
      </c>
      <c r="W81" s="1263">
        <v>38</v>
      </c>
      <c r="X81" s="1263">
        <v>41</v>
      </c>
      <c r="Y81" s="1263">
        <v>27</v>
      </c>
      <c r="Z81" s="1263">
        <v>43</v>
      </c>
      <c r="AA81" s="1263">
        <v>36</v>
      </c>
      <c r="AB81" s="1263">
        <v>52</v>
      </c>
      <c r="AC81" s="1263">
        <v>54</v>
      </c>
      <c r="AD81" s="1263">
        <v>26</v>
      </c>
      <c r="AE81" s="1263">
        <v>40</v>
      </c>
      <c r="AF81" s="1263">
        <v>34</v>
      </c>
      <c r="AG81" s="1263">
        <v>29</v>
      </c>
      <c r="AH81" s="1559">
        <v>41</v>
      </c>
      <c r="AI81" s="1560">
        <f>'Non-marital births'!H82</f>
        <v>33</v>
      </c>
      <c r="AJ81" s="1270">
        <f t="shared" si="31"/>
        <v>0.38028169014084506</v>
      </c>
      <c r="AK81" s="1271">
        <f t="shared" si="32"/>
        <v>0.44303797468354428</v>
      </c>
      <c r="AL81" s="1271">
        <f t="shared" si="33"/>
        <v>0.40740740740740738</v>
      </c>
      <c r="AM81" s="1271">
        <f t="shared" si="34"/>
        <v>0.4935064935064935</v>
      </c>
      <c r="AN81" s="1271">
        <f t="shared" si="35"/>
        <v>0.44565217391304346</v>
      </c>
      <c r="AO81" s="1271">
        <f t="shared" si="36"/>
        <v>0.32926829268292684</v>
      </c>
      <c r="AP81" s="1271">
        <f t="shared" si="37"/>
        <v>0.45263157894736844</v>
      </c>
      <c r="AQ81" s="1271">
        <f t="shared" si="38"/>
        <v>0.4</v>
      </c>
      <c r="AR81" s="1271">
        <f t="shared" si="39"/>
        <v>0.54736842105263162</v>
      </c>
      <c r="AS81" s="1271">
        <f t="shared" si="40"/>
        <v>0.43902439024390244</v>
      </c>
      <c r="AT81" s="1271">
        <f t="shared" si="41"/>
        <v>0.37681159420289856</v>
      </c>
      <c r="AU81" s="1271">
        <f t="shared" si="42"/>
        <v>0.52631578947368418</v>
      </c>
      <c r="AV81" s="1271">
        <f t="shared" si="43"/>
        <v>0.45333333333333331</v>
      </c>
      <c r="AW81" s="1271">
        <f t="shared" si="44"/>
        <v>0.40845070422535212</v>
      </c>
      <c r="AX81" s="1552">
        <f t="shared" si="45"/>
        <v>0.56944444444444442</v>
      </c>
      <c r="AY81" s="1554">
        <f>'Non-marital births'!L82</f>
        <v>0.45833333333333331</v>
      </c>
    </row>
    <row r="82" spans="1:51" s="142" customFormat="1" ht="15.75" customHeight="1" x14ac:dyDescent="0.2">
      <c r="A82" s="149" t="s">
        <v>202</v>
      </c>
      <c r="B82" s="189" t="s">
        <v>301</v>
      </c>
      <c r="C82" s="150" t="s">
        <v>265</v>
      </c>
      <c r="D82" s="1239">
        <v>1112</v>
      </c>
      <c r="E82" s="1240">
        <v>1094</v>
      </c>
      <c r="F82" s="1241">
        <v>1130</v>
      </c>
      <c r="G82" s="1240">
        <v>1246</v>
      </c>
      <c r="H82" s="1241">
        <v>1239</v>
      </c>
      <c r="I82" s="1240">
        <v>1126</v>
      </c>
      <c r="J82" s="1241">
        <v>1621</v>
      </c>
      <c r="K82" s="1240">
        <v>1292</v>
      </c>
      <c r="L82" s="1254">
        <v>1249</v>
      </c>
      <c r="M82" s="1254">
        <v>1130</v>
      </c>
      <c r="N82" s="1254">
        <v>1133</v>
      </c>
      <c r="O82" s="1254">
        <v>1158</v>
      </c>
      <c r="P82" s="1255">
        <v>1045</v>
      </c>
      <c r="Q82" s="1255">
        <v>1128</v>
      </c>
      <c r="R82" s="1556">
        <v>1085</v>
      </c>
      <c r="S82" s="1557">
        <f>'Non-marital births'!D83</f>
        <v>1108</v>
      </c>
      <c r="T82" s="1262">
        <v>210</v>
      </c>
      <c r="U82" s="1263">
        <v>245</v>
      </c>
      <c r="V82" s="1263">
        <v>256</v>
      </c>
      <c r="W82" s="1263">
        <v>359</v>
      </c>
      <c r="X82" s="1263">
        <v>305</v>
      </c>
      <c r="Y82" s="1263">
        <v>297</v>
      </c>
      <c r="Z82" s="1263">
        <v>491</v>
      </c>
      <c r="AA82" s="1263">
        <v>385</v>
      </c>
      <c r="AB82" s="1263">
        <v>372</v>
      </c>
      <c r="AC82" s="1263">
        <v>325</v>
      </c>
      <c r="AD82" s="1263">
        <v>381</v>
      </c>
      <c r="AE82" s="1263">
        <v>359</v>
      </c>
      <c r="AF82" s="1263">
        <v>326</v>
      </c>
      <c r="AG82" s="1263">
        <v>357</v>
      </c>
      <c r="AH82" s="1559">
        <v>361</v>
      </c>
      <c r="AI82" s="1560">
        <f>'Non-marital births'!H83</f>
        <v>368</v>
      </c>
      <c r="AJ82" s="1270">
        <f t="shared" si="31"/>
        <v>0.18884892086330934</v>
      </c>
      <c r="AK82" s="1271">
        <f t="shared" si="32"/>
        <v>0.22394881170018283</v>
      </c>
      <c r="AL82" s="1271">
        <f t="shared" si="33"/>
        <v>0.22654867256637168</v>
      </c>
      <c r="AM82" s="1271">
        <f t="shared" si="34"/>
        <v>0.2881219903691814</v>
      </c>
      <c r="AN82" s="1271">
        <f t="shared" si="35"/>
        <v>0.24616626311541565</v>
      </c>
      <c r="AO82" s="1271">
        <f t="shared" si="36"/>
        <v>0.26376554174067496</v>
      </c>
      <c r="AP82" s="1271">
        <f t="shared" si="37"/>
        <v>0.3028994447871684</v>
      </c>
      <c r="AQ82" s="1271">
        <f t="shared" si="38"/>
        <v>0.29798761609907121</v>
      </c>
      <c r="AR82" s="1271">
        <f t="shared" si="39"/>
        <v>0.29783827061649321</v>
      </c>
      <c r="AS82" s="1271">
        <f t="shared" si="40"/>
        <v>0.28761061946902655</v>
      </c>
      <c r="AT82" s="1271">
        <f t="shared" si="41"/>
        <v>0.33627537511032657</v>
      </c>
      <c r="AU82" s="1271">
        <f t="shared" si="42"/>
        <v>0.31001727115716754</v>
      </c>
      <c r="AV82" s="1271">
        <f t="shared" si="43"/>
        <v>0.31196172248803827</v>
      </c>
      <c r="AW82" s="1271">
        <f t="shared" si="44"/>
        <v>0.31648936170212766</v>
      </c>
      <c r="AX82" s="1552">
        <f t="shared" si="45"/>
        <v>0.33271889400921661</v>
      </c>
      <c r="AY82" s="1554">
        <f>'Non-marital births'!L83</f>
        <v>0.33212996389891697</v>
      </c>
    </row>
    <row r="83" spans="1:51" s="142" customFormat="1" ht="15.75" customHeight="1" x14ac:dyDescent="0.2">
      <c r="A83" s="149" t="s">
        <v>204</v>
      </c>
      <c r="B83" s="189" t="s">
        <v>293</v>
      </c>
      <c r="C83" s="150" t="s">
        <v>265</v>
      </c>
      <c r="D83" s="1239">
        <v>330</v>
      </c>
      <c r="E83" s="1240">
        <v>351</v>
      </c>
      <c r="F83" s="1241">
        <v>346</v>
      </c>
      <c r="G83" s="1240">
        <v>324</v>
      </c>
      <c r="H83" s="1241">
        <v>308</v>
      </c>
      <c r="I83" s="1240">
        <v>331</v>
      </c>
      <c r="J83" s="1241">
        <v>348</v>
      </c>
      <c r="K83" s="1240">
        <v>345</v>
      </c>
      <c r="L83" s="1254">
        <v>328</v>
      </c>
      <c r="M83" s="1254">
        <v>390</v>
      </c>
      <c r="N83" s="1254">
        <v>322</v>
      </c>
      <c r="O83" s="1254">
        <v>329</v>
      </c>
      <c r="P83" s="1255">
        <v>304</v>
      </c>
      <c r="Q83" s="1255">
        <v>305</v>
      </c>
      <c r="R83" s="1556">
        <v>352</v>
      </c>
      <c r="S83" s="1557">
        <f>'Non-marital births'!D84</f>
        <v>320</v>
      </c>
      <c r="T83" s="1262">
        <v>107</v>
      </c>
      <c r="U83" s="1263">
        <v>88</v>
      </c>
      <c r="V83" s="1263">
        <v>86</v>
      </c>
      <c r="W83" s="1263">
        <v>94</v>
      </c>
      <c r="X83" s="1263">
        <v>105</v>
      </c>
      <c r="Y83" s="1263">
        <v>105</v>
      </c>
      <c r="Z83" s="1263">
        <v>130</v>
      </c>
      <c r="AA83" s="1263">
        <v>131</v>
      </c>
      <c r="AB83" s="1263">
        <v>108</v>
      </c>
      <c r="AC83" s="1263">
        <v>131</v>
      </c>
      <c r="AD83" s="1263">
        <v>119</v>
      </c>
      <c r="AE83" s="1263">
        <v>123</v>
      </c>
      <c r="AF83" s="1263">
        <v>103</v>
      </c>
      <c r="AG83" s="1263">
        <v>121</v>
      </c>
      <c r="AH83" s="1559">
        <v>138</v>
      </c>
      <c r="AI83" s="1560">
        <f>'Non-marital births'!H84</f>
        <v>125</v>
      </c>
      <c r="AJ83" s="1270">
        <f t="shared" si="31"/>
        <v>0.32424242424242422</v>
      </c>
      <c r="AK83" s="1271">
        <f t="shared" si="32"/>
        <v>0.25071225071225073</v>
      </c>
      <c r="AL83" s="1271">
        <f t="shared" si="33"/>
        <v>0.24855491329479767</v>
      </c>
      <c r="AM83" s="1271">
        <f t="shared" si="34"/>
        <v>0.29012345679012347</v>
      </c>
      <c r="AN83" s="1271">
        <f t="shared" si="35"/>
        <v>0.34090909090909088</v>
      </c>
      <c r="AO83" s="1271">
        <f t="shared" si="36"/>
        <v>0.31722054380664655</v>
      </c>
      <c r="AP83" s="1271">
        <f t="shared" si="37"/>
        <v>0.37356321839080459</v>
      </c>
      <c r="AQ83" s="1271">
        <f t="shared" si="38"/>
        <v>0.37971014492753624</v>
      </c>
      <c r="AR83" s="1271">
        <f t="shared" si="39"/>
        <v>0.32926829268292684</v>
      </c>
      <c r="AS83" s="1271">
        <f t="shared" si="40"/>
        <v>0.33589743589743587</v>
      </c>
      <c r="AT83" s="1271">
        <f t="shared" si="41"/>
        <v>0.36956521739130432</v>
      </c>
      <c r="AU83" s="1271">
        <f t="shared" si="42"/>
        <v>0.37386018237082069</v>
      </c>
      <c r="AV83" s="1271">
        <f t="shared" si="43"/>
        <v>0.33881578947368424</v>
      </c>
      <c r="AW83" s="1271">
        <f t="shared" si="44"/>
        <v>0.39672131147540984</v>
      </c>
      <c r="AX83" s="1552">
        <f t="shared" si="45"/>
        <v>0.39204545454545453</v>
      </c>
      <c r="AY83" s="1554">
        <f>'Non-marital births'!L84</f>
        <v>0.390625</v>
      </c>
    </row>
    <row r="84" spans="1:51" s="142" customFormat="1" ht="15.75" customHeight="1" x14ac:dyDescent="0.2">
      <c r="A84" s="149" t="s">
        <v>206</v>
      </c>
      <c r="B84" s="189" t="s">
        <v>294</v>
      </c>
      <c r="C84" s="150" t="s">
        <v>267</v>
      </c>
      <c r="D84" s="1239">
        <v>1184</v>
      </c>
      <c r="E84" s="1240">
        <v>1312</v>
      </c>
      <c r="F84" s="1241">
        <v>1309</v>
      </c>
      <c r="G84" s="1240">
        <v>1347</v>
      </c>
      <c r="H84" s="1241">
        <v>1404</v>
      </c>
      <c r="I84" s="1240">
        <v>1364</v>
      </c>
      <c r="J84" s="1241">
        <v>1426</v>
      </c>
      <c r="K84" s="1240">
        <v>1423</v>
      </c>
      <c r="L84" s="1254">
        <v>1432</v>
      </c>
      <c r="M84" s="1254">
        <v>1427</v>
      </c>
      <c r="N84" s="1254">
        <v>1340</v>
      </c>
      <c r="O84" s="1254">
        <v>1385</v>
      </c>
      <c r="P84" s="1255">
        <v>1414</v>
      </c>
      <c r="Q84" s="1255">
        <v>1363</v>
      </c>
      <c r="R84" s="1556">
        <v>1392</v>
      </c>
      <c r="S84" s="1557">
        <f>'Non-marital births'!D85</f>
        <v>1363</v>
      </c>
      <c r="T84" s="1262">
        <v>346</v>
      </c>
      <c r="U84" s="1263">
        <v>390</v>
      </c>
      <c r="V84" s="1263">
        <v>390</v>
      </c>
      <c r="W84" s="1263">
        <v>379</v>
      </c>
      <c r="X84" s="1263">
        <v>391</v>
      </c>
      <c r="Y84" s="1263">
        <v>423</v>
      </c>
      <c r="Z84" s="1263">
        <v>460</v>
      </c>
      <c r="AA84" s="1263">
        <v>499</v>
      </c>
      <c r="AB84" s="1263">
        <v>493</v>
      </c>
      <c r="AC84" s="1263">
        <v>484</v>
      </c>
      <c r="AD84" s="1263">
        <v>489</v>
      </c>
      <c r="AE84" s="1263">
        <v>498</v>
      </c>
      <c r="AF84" s="1263">
        <v>508</v>
      </c>
      <c r="AG84" s="1263">
        <v>472</v>
      </c>
      <c r="AH84" s="1559">
        <v>474</v>
      </c>
      <c r="AI84" s="1560">
        <f>'Non-marital births'!H85</f>
        <v>442</v>
      </c>
      <c r="AJ84" s="1270">
        <f t="shared" si="31"/>
        <v>0.29222972972972971</v>
      </c>
      <c r="AK84" s="1271">
        <f t="shared" si="32"/>
        <v>0.2972560975609756</v>
      </c>
      <c r="AL84" s="1271">
        <f t="shared" si="33"/>
        <v>0.29793735676088617</v>
      </c>
      <c r="AM84" s="1271">
        <f t="shared" si="34"/>
        <v>0.28136599851521898</v>
      </c>
      <c r="AN84" s="1271">
        <f t="shared" si="35"/>
        <v>0.27849002849002846</v>
      </c>
      <c r="AO84" s="1271">
        <f t="shared" si="36"/>
        <v>0.31011730205278593</v>
      </c>
      <c r="AP84" s="1271">
        <f t="shared" si="37"/>
        <v>0.32258064516129031</v>
      </c>
      <c r="AQ84" s="1271">
        <f t="shared" si="38"/>
        <v>0.35066760365425159</v>
      </c>
      <c r="AR84" s="1271">
        <f t="shared" si="39"/>
        <v>0.34427374301675978</v>
      </c>
      <c r="AS84" s="1271">
        <f t="shared" si="40"/>
        <v>0.33917309039943938</v>
      </c>
      <c r="AT84" s="1271">
        <f t="shared" si="41"/>
        <v>0.36492537313432838</v>
      </c>
      <c r="AU84" s="1271">
        <f t="shared" si="42"/>
        <v>0.35956678700361011</v>
      </c>
      <c r="AV84" s="1271">
        <f t="shared" si="43"/>
        <v>0.35926449787835929</v>
      </c>
      <c r="AW84" s="1271">
        <f t="shared" si="44"/>
        <v>0.34629493763756419</v>
      </c>
      <c r="AX84" s="1552">
        <f t="shared" si="45"/>
        <v>0.34051724137931033</v>
      </c>
      <c r="AY84" s="1554">
        <f>'Non-marital births'!L85</f>
        <v>0.32428466617754953</v>
      </c>
    </row>
    <row r="85" spans="1:51" s="142" customFormat="1" ht="15.75" customHeight="1" x14ac:dyDescent="0.2">
      <c r="A85" s="149" t="s">
        <v>208</v>
      </c>
      <c r="B85" s="189" t="s">
        <v>209</v>
      </c>
      <c r="C85" s="150" t="s">
        <v>268</v>
      </c>
      <c r="D85" s="1239">
        <v>293</v>
      </c>
      <c r="E85" s="1240">
        <v>327</v>
      </c>
      <c r="F85" s="1241">
        <v>275</v>
      </c>
      <c r="G85" s="1240">
        <v>319</v>
      </c>
      <c r="H85" s="1241">
        <v>305</v>
      </c>
      <c r="I85" s="1240">
        <v>312</v>
      </c>
      <c r="J85" s="1241">
        <v>262</v>
      </c>
      <c r="K85" s="1240">
        <v>304</v>
      </c>
      <c r="L85" s="1254">
        <v>284</v>
      </c>
      <c r="M85" s="1254">
        <v>298</v>
      </c>
      <c r="N85" s="1254">
        <v>339</v>
      </c>
      <c r="O85" s="1254">
        <v>303</v>
      </c>
      <c r="P85" s="1255">
        <v>278</v>
      </c>
      <c r="Q85" s="1255">
        <v>263</v>
      </c>
      <c r="R85" s="1556">
        <v>277</v>
      </c>
      <c r="S85" s="1557">
        <f>'Non-marital births'!D86</f>
        <v>297</v>
      </c>
      <c r="T85" s="1262">
        <v>63</v>
      </c>
      <c r="U85" s="1263">
        <v>83</v>
      </c>
      <c r="V85" s="1263">
        <v>63</v>
      </c>
      <c r="W85" s="1263">
        <v>76</v>
      </c>
      <c r="X85" s="1263">
        <v>67</v>
      </c>
      <c r="Y85" s="1263">
        <v>74</v>
      </c>
      <c r="Z85" s="1263">
        <v>56</v>
      </c>
      <c r="AA85" s="1263">
        <v>70</v>
      </c>
      <c r="AB85" s="1263">
        <v>80</v>
      </c>
      <c r="AC85" s="1263">
        <v>84</v>
      </c>
      <c r="AD85" s="1263">
        <v>100</v>
      </c>
      <c r="AE85" s="1263">
        <v>94</v>
      </c>
      <c r="AF85" s="1263">
        <v>98</v>
      </c>
      <c r="AG85" s="1263">
        <v>93</v>
      </c>
      <c r="AH85" s="1559">
        <v>88</v>
      </c>
      <c r="AI85" s="1560">
        <f>'Non-marital births'!H86</f>
        <v>107</v>
      </c>
      <c r="AJ85" s="1270">
        <f t="shared" si="31"/>
        <v>0.21501706484641639</v>
      </c>
      <c r="AK85" s="1271">
        <f t="shared" si="32"/>
        <v>0.25382262996941896</v>
      </c>
      <c r="AL85" s="1271">
        <f t="shared" si="33"/>
        <v>0.2290909090909091</v>
      </c>
      <c r="AM85" s="1271">
        <f t="shared" si="34"/>
        <v>0.23824451410658307</v>
      </c>
      <c r="AN85" s="1271">
        <f t="shared" si="35"/>
        <v>0.21967213114754097</v>
      </c>
      <c r="AO85" s="1271">
        <f t="shared" si="36"/>
        <v>0.23717948717948717</v>
      </c>
      <c r="AP85" s="1271">
        <f t="shared" si="37"/>
        <v>0.21374045801526717</v>
      </c>
      <c r="AQ85" s="1271">
        <f t="shared" si="38"/>
        <v>0.23026315789473684</v>
      </c>
      <c r="AR85" s="1271">
        <f t="shared" si="39"/>
        <v>0.28169014084507044</v>
      </c>
      <c r="AS85" s="1271">
        <f t="shared" si="40"/>
        <v>0.28187919463087246</v>
      </c>
      <c r="AT85" s="1271">
        <f t="shared" si="41"/>
        <v>0.29498525073746312</v>
      </c>
      <c r="AU85" s="1271">
        <f t="shared" si="42"/>
        <v>0.31023102310231021</v>
      </c>
      <c r="AV85" s="1271">
        <f t="shared" si="43"/>
        <v>0.35251798561151076</v>
      </c>
      <c r="AW85" s="1271">
        <f t="shared" si="44"/>
        <v>0.35361216730038025</v>
      </c>
      <c r="AX85" s="1552">
        <f t="shared" si="45"/>
        <v>0.3176895306859206</v>
      </c>
      <c r="AY85" s="1554">
        <f>'Non-marital births'!L86</f>
        <v>0.36026936026936029</v>
      </c>
    </row>
    <row r="86" spans="1:51" s="142" customFormat="1" ht="15.75" customHeight="1" x14ac:dyDescent="0.2">
      <c r="A86" s="149" t="s">
        <v>210</v>
      </c>
      <c r="B86" s="189" t="s">
        <v>211</v>
      </c>
      <c r="C86" s="150" t="s">
        <v>268</v>
      </c>
      <c r="D86" s="1239">
        <v>246</v>
      </c>
      <c r="E86" s="1240">
        <v>233</v>
      </c>
      <c r="F86" s="1241">
        <v>248</v>
      </c>
      <c r="G86" s="1240">
        <v>217</v>
      </c>
      <c r="H86" s="1241">
        <v>215</v>
      </c>
      <c r="I86" s="1240">
        <v>215</v>
      </c>
      <c r="J86" s="1241">
        <v>225</v>
      </c>
      <c r="K86" s="1240">
        <v>217</v>
      </c>
      <c r="L86" s="1254">
        <v>241</v>
      </c>
      <c r="M86" s="1254">
        <v>207</v>
      </c>
      <c r="N86" s="1254">
        <v>229</v>
      </c>
      <c r="O86" s="1254">
        <v>224</v>
      </c>
      <c r="P86" s="1255">
        <v>222</v>
      </c>
      <c r="Q86" s="1255">
        <v>205</v>
      </c>
      <c r="R86" s="1556">
        <v>194</v>
      </c>
      <c r="S86" s="1557">
        <f>'Non-marital births'!D87</f>
        <v>194</v>
      </c>
      <c r="T86" s="1262">
        <v>57</v>
      </c>
      <c r="U86" s="1263">
        <v>51</v>
      </c>
      <c r="V86" s="1263">
        <v>54</v>
      </c>
      <c r="W86" s="1263">
        <v>52</v>
      </c>
      <c r="X86" s="1263">
        <v>58</v>
      </c>
      <c r="Y86" s="1263">
        <v>39</v>
      </c>
      <c r="Z86" s="1263">
        <v>47</v>
      </c>
      <c r="AA86" s="1263">
        <v>58</v>
      </c>
      <c r="AB86" s="1263">
        <v>66</v>
      </c>
      <c r="AC86" s="1263">
        <v>69</v>
      </c>
      <c r="AD86" s="1263">
        <v>71</v>
      </c>
      <c r="AE86" s="1263">
        <v>75</v>
      </c>
      <c r="AF86" s="1263">
        <v>77</v>
      </c>
      <c r="AG86" s="1263">
        <v>93</v>
      </c>
      <c r="AH86" s="1559">
        <v>73</v>
      </c>
      <c r="AI86" s="1560">
        <f>'Non-marital births'!H87</f>
        <v>77</v>
      </c>
      <c r="AJ86" s="1270">
        <f t="shared" si="31"/>
        <v>0.23170731707317074</v>
      </c>
      <c r="AK86" s="1271">
        <f t="shared" si="32"/>
        <v>0.21888412017167383</v>
      </c>
      <c r="AL86" s="1271">
        <f t="shared" si="33"/>
        <v>0.21774193548387097</v>
      </c>
      <c r="AM86" s="1271">
        <f t="shared" si="34"/>
        <v>0.23963133640552994</v>
      </c>
      <c r="AN86" s="1271">
        <f t="shared" si="35"/>
        <v>0.26976744186046514</v>
      </c>
      <c r="AO86" s="1271">
        <f t="shared" si="36"/>
        <v>0.18139534883720931</v>
      </c>
      <c r="AP86" s="1271">
        <f t="shared" si="37"/>
        <v>0.2088888888888889</v>
      </c>
      <c r="AQ86" s="1271">
        <f t="shared" si="38"/>
        <v>0.26728110599078342</v>
      </c>
      <c r="AR86" s="1271">
        <f t="shared" si="39"/>
        <v>0.27385892116182575</v>
      </c>
      <c r="AS86" s="1271">
        <f t="shared" si="40"/>
        <v>0.33333333333333331</v>
      </c>
      <c r="AT86" s="1271">
        <f t="shared" si="41"/>
        <v>0.31004366812227074</v>
      </c>
      <c r="AU86" s="1271">
        <f t="shared" si="42"/>
        <v>0.33482142857142855</v>
      </c>
      <c r="AV86" s="1271">
        <f t="shared" si="43"/>
        <v>0.34684684684684686</v>
      </c>
      <c r="AW86" s="1271">
        <f t="shared" si="44"/>
        <v>0.45365853658536587</v>
      </c>
      <c r="AX86" s="1552">
        <f t="shared" si="45"/>
        <v>0.37628865979381443</v>
      </c>
      <c r="AY86" s="1554">
        <f>'Non-marital births'!L87</f>
        <v>0.39690721649484534</v>
      </c>
    </row>
    <row r="87" spans="1:51" s="142" customFormat="1" ht="15.75" customHeight="1" x14ac:dyDescent="0.2">
      <c r="A87" s="149" t="s">
        <v>212</v>
      </c>
      <c r="B87" s="189" t="s">
        <v>213</v>
      </c>
      <c r="C87" s="150" t="s">
        <v>267</v>
      </c>
      <c r="D87" s="1239">
        <v>384</v>
      </c>
      <c r="E87" s="1240">
        <v>375</v>
      </c>
      <c r="F87" s="1241">
        <v>399</v>
      </c>
      <c r="G87" s="1240">
        <v>459</v>
      </c>
      <c r="H87" s="1241">
        <v>412</v>
      </c>
      <c r="I87" s="1240">
        <v>455</v>
      </c>
      <c r="J87" s="1241">
        <v>462</v>
      </c>
      <c r="K87" s="1240">
        <v>480</v>
      </c>
      <c r="L87" s="1254">
        <v>537</v>
      </c>
      <c r="M87" s="1254">
        <v>538</v>
      </c>
      <c r="N87" s="1254">
        <v>491</v>
      </c>
      <c r="O87" s="1254">
        <v>455</v>
      </c>
      <c r="P87" s="1255">
        <v>485</v>
      </c>
      <c r="Q87" s="1255">
        <v>464</v>
      </c>
      <c r="R87" s="1556">
        <v>482</v>
      </c>
      <c r="S87" s="1557">
        <f>'Non-marital births'!D88</f>
        <v>456</v>
      </c>
      <c r="T87" s="1262">
        <v>132</v>
      </c>
      <c r="U87" s="1263">
        <v>101</v>
      </c>
      <c r="V87" s="1263">
        <v>108</v>
      </c>
      <c r="W87" s="1263">
        <v>150</v>
      </c>
      <c r="X87" s="1263">
        <v>142</v>
      </c>
      <c r="Y87" s="1263">
        <v>158</v>
      </c>
      <c r="Z87" s="1263">
        <v>159</v>
      </c>
      <c r="AA87" s="1263">
        <v>175</v>
      </c>
      <c r="AB87" s="1263">
        <v>217</v>
      </c>
      <c r="AC87" s="1263">
        <v>201</v>
      </c>
      <c r="AD87" s="1263">
        <v>191</v>
      </c>
      <c r="AE87" s="1263">
        <v>181</v>
      </c>
      <c r="AF87" s="1263">
        <v>207</v>
      </c>
      <c r="AG87" s="1263">
        <v>171</v>
      </c>
      <c r="AH87" s="1559">
        <v>194</v>
      </c>
      <c r="AI87" s="1560">
        <f>'Non-marital births'!H88</f>
        <v>187</v>
      </c>
      <c r="AJ87" s="1270">
        <f t="shared" si="31"/>
        <v>0.34375</v>
      </c>
      <c r="AK87" s="1271">
        <f t="shared" si="32"/>
        <v>0.26933333333333331</v>
      </c>
      <c r="AL87" s="1271">
        <f t="shared" si="33"/>
        <v>0.27067669172932329</v>
      </c>
      <c r="AM87" s="1271">
        <f t="shared" si="34"/>
        <v>0.32679738562091504</v>
      </c>
      <c r="AN87" s="1271">
        <f t="shared" si="35"/>
        <v>0.3446601941747573</v>
      </c>
      <c r="AO87" s="1271">
        <f t="shared" si="36"/>
        <v>0.34725274725274724</v>
      </c>
      <c r="AP87" s="1271">
        <f t="shared" si="37"/>
        <v>0.34415584415584416</v>
      </c>
      <c r="AQ87" s="1271">
        <f t="shared" si="38"/>
        <v>0.36458333333333331</v>
      </c>
      <c r="AR87" s="1271">
        <f t="shared" si="39"/>
        <v>0.40409683426443205</v>
      </c>
      <c r="AS87" s="1271">
        <f t="shared" si="40"/>
        <v>0.37360594795539032</v>
      </c>
      <c r="AT87" s="1271">
        <f t="shared" si="41"/>
        <v>0.38900203665987781</v>
      </c>
      <c r="AU87" s="1271">
        <f t="shared" si="42"/>
        <v>0.39780219780219778</v>
      </c>
      <c r="AV87" s="1271">
        <f t="shared" si="43"/>
        <v>0.42680412371134019</v>
      </c>
      <c r="AW87" s="1271">
        <f t="shared" si="44"/>
        <v>0.36853448275862066</v>
      </c>
      <c r="AX87" s="1552">
        <f t="shared" si="45"/>
        <v>0.40248962655601661</v>
      </c>
      <c r="AY87" s="1554">
        <f>'Non-marital births'!L88</f>
        <v>0.41008771929824561</v>
      </c>
    </row>
    <row r="88" spans="1:51" s="142" customFormat="1" ht="15.75" customHeight="1" x14ac:dyDescent="0.2">
      <c r="A88" s="149" t="s">
        <v>214</v>
      </c>
      <c r="B88" s="189" t="s">
        <v>215</v>
      </c>
      <c r="C88" s="150" t="s">
        <v>268</v>
      </c>
      <c r="D88" s="1239">
        <v>351</v>
      </c>
      <c r="E88" s="1240">
        <v>365</v>
      </c>
      <c r="F88" s="1241">
        <v>361</v>
      </c>
      <c r="G88" s="1240">
        <v>356</v>
      </c>
      <c r="H88" s="1241">
        <v>320</v>
      </c>
      <c r="I88" s="1240">
        <v>352</v>
      </c>
      <c r="J88" s="1241">
        <v>296</v>
      </c>
      <c r="K88" s="1240">
        <v>347</v>
      </c>
      <c r="L88" s="1254">
        <v>370</v>
      </c>
      <c r="M88" s="1254">
        <v>351</v>
      </c>
      <c r="N88" s="1254">
        <v>369</v>
      </c>
      <c r="O88" s="1254">
        <v>321</v>
      </c>
      <c r="P88" s="1255">
        <v>316</v>
      </c>
      <c r="Q88" s="1255">
        <v>327</v>
      </c>
      <c r="R88" s="1556">
        <v>287</v>
      </c>
      <c r="S88" s="1557">
        <f>'Non-marital births'!D89</f>
        <v>324</v>
      </c>
      <c r="T88" s="1262">
        <v>94</v>
      </c>
      <c r="U88" s="1263">
        <v>102</v>
      </c>
      <c r="V88" s="1263">
        <v>94</v>
      </c>
      <c r="W88" s="1263">
        <v>92</v>
      </c>
      <c r="X88" s="1263">
        <v>94</v>
      </c>
      <c r="Y88" s="1263">
        <v>129</v>
      </c>
      <c r="Z88" s="1263">
        <v>83</v>
      </c>
      <c r="AA88" s="1263">
        <v>110</v>
      </c>
      <c r="AB88" s="1263">
        <v>141</v>
      </c>
      <c r="AC88" s="1263">
        <v>144</v>
      </c>
      <c r="AD88" s="1263">
        <v>155</v>
      </c>
      <c r="AE88" s="1263">
        <v>137</v>
      </c>
      <c r="AF88" s="1263">
        <v>147</v>
      </c>
      <c r="AG88" s="1263">
        <v>156</v>
      </c>
      <c r="AH88" s="1559">
        <v>128</v>
      </c>
      <c r="AI88" s="1560">
        <f>'Non-marital births'!H89</f>
        <v>125</v>
      </c>
      <c r="AJ88" s="1270">
        <f t="shared" si="31"/>
        <v>0.26780626780626782</v>
      </c>
      <c r="AK88" s="1271">
        <f t="shared" si="32"/>
        <v>0.27945205479452057</v>
      </c>
      <c r="AL88" s="1271">
        <f t="shared" si="33"/>
        <v>0.26038781163434904</v>
      </c>
      <c r="AM88" s="1271">
        <f t="shared" si="34"/>
        <v>0.25842696629213485</v>
      </c>
      <c r="AN88" s="1271">
        <f t="shared" si="35"/>
        <v>0.29375000000000001</v>
      </c>
      <c r="AO88" s="1271">
        <f t="shared" si="36"/>
        <v>0.36647727272727271</v>
      </c>
      <c r="AP88" s="1271">
        <f t="shared" si="37"/>
        <v>0.28040540540540543</v>
      </c>
      <c r="AQ88" s="1271">
        <f t="shared" si="38"/>
        <v>0.31700288184438041</v>
      </c>
      <c r="AR88" s="1271">
        <f t="shared" si="39"/>
        <v>0.38108108108108107</v>
      </c>
      <c r="AS88" s="1271">
        <f t="shared" si="40"/>
        <v>0.41025641025641024</v>
      </c>
      <c r="AT88" s="1271">
        <f t="shared" si="41"/>
        <v>0.42005420054200543</v>
      </c>
      <c r="AU88" s="1271">
        <f t="shared" si="42"/>
        <v>0.42679127725856697</v>
      </c>
      <c r="AV88" s="1271">
        <f t="shared" si="43"/>
        <v>0.4651898734177215</v>
      </c>
      <c r="AW88" s="1271">
        <f t="shared" si="44"/>
        <v>0.47706422018348627</v>
      </c>
      <c r="AX88" s="1552">
        <f t="shared" si="45"/>
        <v>0.44599303135888502</v>
      </c>
      <c r="AY88" s="1554">
        <f>'Non-marital births'!L89</f>
        <v>0.38580246913580246</v>
      </c>
    </row>
    <row r="89" spans="1:51" s="142" customFormat="1" ht="15.75" customHeight="1" x14ac:dyDescent="0.2">
      <c r="A89" s="149" t="s">
        <v>216</v>
      </c>
      <c r="B89" s="189" t="s">
        <v>217</v>
      </c>
      <c r="C89" s="150" t="s">
        <v>264</v>
      </c>
      <c r="D89" s="1239">
        <v>184</v>
      </c>
      <c r="E89" s="1240">
        <v>179</v>
      </c>
      <c r="F89" s="1241">
        <v>160</v>
      </c>
      <c r="G89" s="1240">
        <v>207</v>
      </c>
      <c r="H89" s="1241">
        <v>133</v>
      </c>
      <c r="I89" s="1240">
        <v>172</v>
      </c>
      <c r="J89" s="1241">
        <v>172</v>
      </c>
      <c r="K89" s="1240">
        <v>149</v>
      </c>
      <c r="L89" s="1254">
        <v>183</v>
      </c>
      <c r="M89" s="1254">
        <v>171</v>
      </c>
      <c r="N89" s="1254">
        <v>205</v>
      </c>
      <c r="O89" s="1254">
        <v>169</v>
      </c>
      <c r="P89" s="1255">
        <v>144</v>
      </c>
      <c r="Q89" s="1255">
        <v>133</v>
      </c>
      <c r="R89" s="1556">
        <v>141</v>
      </c>
      <c r="S89" s="1557">
        <f>'Non-marital births'!D90</f>
        <v>136</v>
      </c>
      <c r="T89" s="1262">
        <v>70</v>
      </c>
      <c r="U89" s="1263">
        <v>69</v>
      </c>
      <c r="V89" s="1263">
        <v>68</v>
      </c>
      <c r="W89" s="1263">
        <v>84</v>
      </c>
      <c r="X89" s="1263">
        <v>49</v>
      </c>
      <c r="Y89" s="1263">
        <v>63</v>
      </c>
      <c r="Z89" s="1263">
        <v>71</v>
      </c>
      <c r="AA89" s="1263">
        <v>59</v>
      </c>
      <c r="AB89" s="1263">
        <v>90</v>
      </c>
      <c r="AC89" s="1263">
        <v>84</v>
      </c>
      <c r="AD89" s="1263">
        <v>97</v>
      </c>
      <c r="AE89" s="1263">
        <v>88</v>
      </c>
      <c r="AF89" s="1263">
        <v>61</v>
      </c>
      <c r="AG89" s="1263">
        <v>61</v>
      </c>
      <c r="AH89" s="1559">
        <v>60</v>
      </c>
      <c r="AI89" s="1560">
        <f>'Non-marital births'!H90</f>
        <v>73</v>
      </c>
      <c r="AJ89" s="1270">
        <f t="shared" si="31"/>
        <v>0.38043478260869568</v>
      </c>
      <c r="AK89" s="1271">
        <f t="shared" si="32"/>
        <v>0.38547486033519551</v>
      </c>
      <c r="AL89" s="1271">
        <f t="shared" si="33"/>
        <v>0.42499999999999999</v>
      </c>
      <c r="AM89" s="1271">
        <f t="shared" si="34"/>
        <v>0.40579710144927539</v>
      </c>
      <c r="AN89" s="1271">
        <f t="shared" si="35"/>
        <v>0.36842105263157893</v>
      </c>
      <c r="AO89" s="1271">
        <f t="shared" si="36"/>
        <v>0.36627906976744184</v>
      </c>
      <c r="AP89" s="1271">
        <f t="shared" si="37"/>
        <v>0.41279069767441862</v>
      </c>
      <c r="AQ89" s="1271">
        <f t="shared" si="38"/>
        <v>0.39597315436241609</v>
      </c>
      <c r="AR89" s="1271">
        <f t="shared" si="39"/>
        <v>0.49180327868852458</v>
      </c>
      <c r="AS89" s="1271">
        <f t="shared" si="40"/>
        <v>0.49122807017543857</v>
      </c>
      <c r="AT89" s="1271">
        <f t="shared" si="41"/>
        <v>0.47317073170731705</v>
      </c>
      <c r="AU89" s="1271">
        <f t="shared" si="42"/>
        <v>0.52071005917159763</v>
      </c>
      <c r="AV89" s="1271">
        <f t="shared" si="43"/>
        <v>0.4236111111111111</v>
      </c>
      <c r="AW89" s="1271">
        <f t="shared" si="44"/>
        <v>0.45864661654135336</v>
      </c>
      <c r="AX89" s="1552">
        <f t="shared" si="45"/>
        <v>0.42553191489361702</v>
      </c>
      <c r="AY89" s="1554">
        <f>'Non-marital births'!L90</f>
        <v>0.53676470588235292</v>
      </c>
    </row>
    <row r="90" spans="1:51" s="142" customFormat="1" ht="15.75" customHeight="1" x14ac:dyDescent="0.2">
      <c r="A90" s="149" t="s">
        <v>218</v>
      </c>
      <c r="B90" s="189" t="s">
        <v>219</v>
      </c>
      <c r="C90" s="150" t="s">
        <v>267</v>
      </c>
      <c r="D90" s="1239">
        <v>1194</v>
      </c>
      <c r="E90" s="1240">
        <v>1149</v>
      </c>
      <c r="F90" s="1241">
        <v>1309</v>
      </c>
      <c r="G90" s="1240">
        <v>1472</v>
      </c>
      <c r="H90" s="1241">
        <v>1617</v>
      </c>
      <c r="I90" s="1240">
        <v>1597</v>
      </c>
      <c r="J90" s="1241">
        <v>1706</v>
      </c>
      <c r="K90" s="1240">
        <v>1638</v>
      </c>
      <c r="L90" s="1254">
        <v>1749</v>
      </c>
      <c r="M90" s="1254">
        <v>1717</v>
      </c>
      <c r="N90" s="1254">
        <v>1673</v>
      </c>
      <c r="O90" s="1254">
        <v>1552</v>
      </c>
      <c r="P90" s="1255">
        <v>1595</v>
      </c>
      <c r="Q90" s="1255">
        <v>1559</v>
      </c>
      <c r="R90" s="1556">
        <v>1494</v>
      </c>
      <c r="S90" s="1557">
        <f>'Non-marital births'!D91</f>
        <v>1512</v>
      </c>
      <c r="T90" s="1262">
        <v>293</v>
      </c>
      <c r="U90" s="1263">
        <v>330</v>
      </c>
      <c r="V90" s="1263">
        <v>363</v>
      </c>
      <c r="W90" s="1263">
        <v>394</v>
      </c>
      <c r="X90" s="1263">
        <v>427</v>
      </c>
      <c r="Y90" s="1263">
        <v>418</v>
      </c>
      <c r="Z90" s="1263">
        <v>477</v>
      </c>
      <c r="AA90" s="1263">
        <v>497</v>
      </c>
      <c r="AB90" s="1263">
        <v>539</v>
      </c>
      <c r="AC90" s="1263">
        <v>628</v>
      </c>
      <c r="AD90" s="1263">
        <v>616</v>
      </c>
      <c r="AE90" s="1263">
        <v>561</v>
      </c>
      <c r="AF90" s="1263">
        <v>580</v>
      </c>
      <c r="AG90" s="1263">
        <v>573</v>
      </c>
      <c r="AH90" s="1559">
        <v>534</v>
      </c>
      <c r="AI90" s="1560">
        <f>'Non-marital births'!H91</f>
        <v>537</v>
      </c>
      <c r="AJ90" s="1270">
        <f t="shared" si="31"/>
        <v>0.24539363484087101</v>
      </c>
      <c r="AK90" s="1271">
        <f t="shared" si="32"/>
        <v>0.28720626631853785</v>
      </c>
      <c r="AL90" s="1271">
        <f t="shared" si="33"/>
        <v>0.27731092436974791</v>
      </c>
      <c r="AM90" s="1271">
        <f t="shared" si="34"/>
        <v>0.26766304347826086</v>
      </c>
      <c r="AN90" s="1271">
        <f t="shared" si="35"/>
        <v>0.26406926406926406</v>
      </c>
      <c r="AO90" s="1271">
        <f t="shared" si="36"/>
        <v>0.26174076393237322</v>
      </c>
      <c r="AP90" s="1271">
        <f t="shared" si="37"/>
        <v>0.27960140679953105</v>
      </c>
      <c r="AQ90" s="1271">
        <f t="shared" si="38"/>
        <v>0.3034188034188034</v>
      </c>
      <c r="AR90" s="1271">
        <f t="shared" si="39"/>
        <v>0.3081761006289308</v>
      </c>
      <c r="AS90" s="1271">
        <f t="shared" si="40"/>
        <v>0.36575422248107164</v>
      </c>
      <c r="AT90" s="1271">
        <f t="shared" si="41"/>
        <v>0.3682008368200837</v>
      </c>
      <c r="AU90" s="1271">
        <f t="shared" si="42"/>
        <v>0.36146907216494845</v>
      </c>
      <c r="AV90" s="1271">
        <f t="shared" si="43"/>
        <v>0.36363636363636365</v>
      </c>
      <c r="AW90" s="1271">
        <f t="shared" si="44"/>
        <v>0.36754329698524696</v>
      </c>
      <c r="AX90" s="1552">
        <f t="shared" si="45"/>
        <v>0.35742971887550201</v>
      </c>
      <c r="AY90" s="1554">
        <f>'Non-marital births'!L91</f>
        <v>0.35515873015873017</v>
      </c>
    </row>
    <row r="91" spans="1:51" s="142" customFormat="1" ht="15.75" customHeight="1" x14ac:dyDescent="0.2">
      <c r="A91" s="149" t="s">
        <v>220</v>
      </c>
      <c r="B91" s="189" t="s">
        <v>221</v>
      </c>
      <c r="C91" s="150" t="s">
        <v>267</v>
      </c>
      <c r="D91" s="1239">
        <v>1293</v>
      </c>
      <c r="E91" s="1240">
        <v>1255</v>
      </c>
      <c r="F91" s="1241">
        <v>1379</v>
      </c>
      <c r="G91" s="1240">
        <v>1426</v>
      </c>
      <c r="H91" s="1241">
        <v>1531</v>
      </c>
      <c r="I91" s="1240">
        <v>1567</v>
      </c>
      <c r="J91" s="1241">
        <v>1621</v>
      </c>
      <c r="K91" s="1240">
        <v>1616</v>
      </c>
      <c r="L91" s="1254">
        <v>1694</v>
      </c>
      <c r="M91" s="1254">
        <v>1741</v>
      </c>
      <c r="N91" s="1254">
        <v>1693</v>
      </c>
      <c r="O91" s="1254">
        <v>1698</v>
      </c>
      <c r="P91" s="1255">
        <v>1671</v>
      </c>
      <c r="Q91" s="1255">
        <v>1683</v>
      </c>
      <c r="R91" s="1556">
        <v>1662</v>
      </c>
      <c r="S91" s="1557">
        <f>'Non-marital births'!D92</f>
        <v>1713</v>
      </c>
      <c r="T91" s="1262">
        <v>309</v>
      </c>
      <c r="U91" s="1263">
        <v>297</v>
      </c>
      <c r="V91" s="1263">
        <v>332</v>
      </c>
      <c r="W91" s="1263">
        <v>349</v>
      </c>
      <c r="X91" s="1263">
        <v>371</v>
      </c>
      <c r="Y91" s="1263">
        <v>401</v>
      </c>
      <c r="Z91" s="1263">
        <v>410</v>
      </c>
      <c r="AA91" s="1263">
        <v>440</v>
      </c>
      <c r="AB91" s="1263">
        <v>498</v>
      </c>
      <c r="AC91" s="1263">
        <v>522</v>
      </c>
      <c r="AD91" s="1263">
        <v>497</v>
      </c>
      <c r="AE91" s="1263">
        <v>521</v>
      </c>
      <c r="AF91" s="1263">
        <v>481</v>
      </c>
      <c r="AG91" s="1263">
        <v>522</v>
      </c>
      <c r="AH91" s="1559">
        <v>491</v>
      </c>
      <c r="AI91" s="1560">
        <f>'Non-marital births'!H92</f>
        <v>483</v>
      </c>
      <c r="AJ91" s="1270">
        <f t="shared" si="31"/>
        <v>0.23897911832946636</v>
      </c>
      <c r="AK91" s="1271">
        <f t="shared" si="32"/>
        <v>0.23665338645418327</v>
      </c>
      <c r="AL91" s="1271">
        <f t="shared" si="33"/>
        <v>0.24075416968817984</v>
      </c>
      <c r="AM91" s="1271">
        <f t="shared" si="34"/>
        <v>0.2447405329593268</v>
      </c>
      <c r="AN91" s="1271">
        <f t="shared" si="35"/>
        <v>0.24232527759634226</v>
      </c>
      <c r="AO91" s="1271">
        <f t="shared" si="36"/>
        <v>0.25590299936183791</v>
      </c>
      <c r="AP91" s="1271">
        <f t="shared" si="37"/>
        <v>0.25293028994447869</v>
      </c>
      <c r="AQ91" s="1271">
        <f t="shared" si="38"/>
        <v>0.2722772277227723</v>
      </c>
      <c r="AR91" s="1271">
        <f t="shared" si="39"/>
        <v>0.29397874852420308</v>
      </c>
      <c r="AS91" s="1271">
        <f t="shared" si="40"/>
        <v>0.29982768523836878</v>
      </c>
      <c r="AT91" s="1271">
        <f t="shared" si="41"/>
        <v>0.29356172474896636</v>
      </c>
      <c r="AU91" s="1271">
        <f t="shared" si="42"/>
        <v>0.30683156654888105</v>
      </c>
      <c r="AV91" s="1271">
        <f t="shared" si="43"/>
        <v>0.28785158587672055</v>
      </c>
      <c r="AW91" s="1271">
        <f t="shared" si="44"/>
        <v>0.31016042780748665</v>
      </c>
      <c r="AX91" s="1552">
        <f t="shared" si="45"/>
        <v>0.29542719614921781</v>
      </c>
      <c r="AY91" s="1554">
        <f>'Non-marital births'!L92</f>
        <v>0.28196147110332748</v>
      </c>
    </row>
    <row r="92" spans="1:51" s="142" customFormat="1" ht="15.75" customHeight="1" x14ac:dyDescent="0.2">
      <c r="A92" s="149" t="s">
        <v>224</v>
      </c>
      <c r="B92" s="189" t="s">
        <v>225</v>
      </c>
      <c r="C92" s="150" t="s">
        <v>264</v>
      </c>
      <c r="D92" s="1239">
        <v>62</v>
      </c>
      <c r="E92" s="1240">
        <v>67</v>
      </c>
      <c r="F92" s="1241">
        <v>79</v>
      </c>
      <c r="G92" s="1240">
        <v>77</v>
      </c>
      <c r="H92" s="1241">
        <v>64</v>
      </c>
      <c r="I92" s="1240">
        <v>71</v>
      </c>
      <c r="J92" s="1241">
        <v>64</v>
      </c>
      <c r="K92" s="1240">
        <v>52</v>
      </c>
      <c r="L92" s="1254">
        <v>85</v>
      </c>
      <c r="M92" s="1254">
        <v>69</v>
      </c>
      <c r="N92" s="1254">
        <v>73</v>
      </c>
      <c r="O92" s="1254">
        <v>78</v>
      </c>
      <c r="P92" s="1255">
        <v>57</v>
      </c>
      <c r="Q92" s="1255">
        <v>58</v>
      </c>
      <c r="R92" s="1556">
        <v>64</v>
      </c>
      <c r="S92" s="1557">
        <f>'Non-marital births'!D93</f>
        <v>60</v>
      </c>
      <c r="T92" s="1262">
        <v>27</v>
      </c>
      <c r="U92" s="1263">
        <v>30</v>
      </c>
      <c r="V92" s="1263">
        <v>35</v>
      </c>
      <c r="W92" s="1263">
        <v>42</v>
      </c>
      <c r="X92" s="1263">
        <v>31</v>
      </c>
      <c r="Y92" s="1263">
        <v>31</v>
      </c>
      <c r="Z92" s="1263">
        <v>28</v>
      </c>
      <c r="AA92" s="1263">
        <v>24</v>
      </c>
      <c r="AB92" s="1263">
        <v>40</v>
      </c>
      <c r="AC92" s="1263">
        <v>28</v>
      </c>
      <c r="AD92" s="1263">
        <v>30</v>
      </c>
      <c r="AE92" s="1263">
        <v>41</v>
      </c>
      <c r="AF92" s="1263">
        <v>32</v>
      </c>
      <c r="AG92" s="1263">
        <v>28</v>
      </c>
      <c r="AH92" s="1559">
        <v>33</v>
      </c>
      <c r="AI92" s="1560">
        <f>'Non-marital births'!H93</f>
        <v>31</v>
      </c>
      <c r="AJ92" s="1270">
        <f t="shared" si="31"/>
        <v>0.43548387096774194</v>
      </c>
      <c r="AK92" s="1271">
        <f t="shared" si="32"/>
        <v>0.44776119402985076</v>
      </c>
      <c r="AL92" s="1271">
        <f t="shared" si="33"/>
        <v>0.44303797468354428</v>
      </c>
      <c r="AM92" s="1271">
        <f t="shared" si="34"/>
        <v>0.54545454545454541</v>
      </c>
      <c r="AN92" s="1271">
        <f t="shared" si="35"/>
        <v>0.484375</v>
      </c>
      <c r="AO92" s="1271">
        <f t="shared" si="36"/>
        <v>0.43661971830985913</v>
      </c>
      <c r="AP92" s="1271">
        <f t="shared" si="37"/>
        <v>0.4375</v>
      </c>
      <c r="AQ92" s="1271">
        <f t="shared" si="38"/>
        <v>0.46153846153846156</v>
      </c>
      <c r="AR92" s="1271">
        <f t="shared" si="39"/>
        <v>0.47058823529411764</v>
      </c>
      <c r="AS92" s="1271">
        <f t="shared" si="40"/>
        <v>0.40579710144927539</v>
      </c>
      <c r="AT92" s="1271">
        <f t="shared" si="41"/>
        <v>0.41095890410958902</v>
      </c>
      <c r="AU92" s="1271">
        <f t="shared" si="42"/>
        <v>0.52564102564102566</v>
      </c>
      <c r="AV92" s="1271">
        <f t="shared" si="43"/>
        <v>0.56140350877192979</v>
      </c>
      <c r="AW92" s="1271">
        <f t="shared" si="44"/>
        <v>0.48275862068965519</v>
      </c>
      <c r="AX92" s="1552">
        <f t="shared" si="45"/>
        <v>0.515625</v>
      </c>
      <c r="AY92" s="1554">
        <f>'Non-marital births'!L93</f>
        <v>0.51666666666666672</v>
      </c>
    </row>
    <row r="93" spans="1:51" s="142" customFormat="1" ht="15.75" customHeight="1" x14ac:dyDescent="0.2">
      <c r="A93" s="149" t="s">
        <v>226</v>
      </c>
      <c r="B93" s="189" t="s">
        <v>227</v>
      </c>
      <c r="C93" s="150" t="s">
        <v>264</v>
      </c>
      <c r="D93" s="1239">
        <v>114</v>
      </c>
      <c r="E93" s="1240">
        <v>130</v>
      </c>
      <c r="F93" s="1241">
        <v>138</v>
      </c>
      <c r="G93" s="1240">
        <v>112</v>
      </c>
      <c r="H93" s="1241">
        <v>115</v>
      </c>
      <c r="I93" s="1240">
        <v>114</v>
      </c>
      <c r="J93" s="1241">
        <v>123</v>
      </c>
      <c r="K93" s="1240">
        <v>119</v>
      </c>
      <c r="L93" s="1254">
        <v>106</v>
      </c>
      <c r="M93" s="1254">
        <v>130</v>
      </c>
      <c r="N93" s="1254">
        <v>116</v>
      </c>
      <c r="O93" s="1254">
        <v>117</v>
      </c>
      <c r="P93" s="1255">
        <v>95</v>
      </c>
      <c r="Q93" s="1255">
        <v>126</v>
      </c>
      <c r="R93" s="1556">
        <v>101</v>
      </c>
      <c r="S93" s="1557">
        <f>'Non-marital births'!D94</f>
        <v>97</v>
      </c>
      <c r="T93" s="1262">
        <v>55</v>
      </c>
      <c r="U93" s="1263">
        <v>65</v>
      </c>
      <c r="V93" s="1263">
        <v>79</v>
      </c>
      <c r="W93" s="1263">
        <v>61</v>
      </c>
      <c r="X93" s="1263">
        <v>65</v>
      </c>
      <c r="Y93" s="1263">
        <v>62</v>
      </c>
      <c r="Z93" s="1263">
        <v>65</v>
      </c>
      <c r="AA93" s="1263">
        <v>74</v>
      </c>
      <c r="AB93" s="1263">
        <v>62</v>
      </c>
      <c r="AC93" s="1263">
        <v>70</v>
      </c>
      <c r="AD93" s="1263">
        <v>68</v>
      </c>
      <c r="AE93" s="1263">
        <v>71</v>
      </c>
      <c r="AF93" s="1263">
        <v>57</v>
      </c>
      <c r="AG93" s="1263">
        <v>75</v>
      </c>
      <c r="AH93" s="1559">
        <v>63</v>
      </c>
      <c r="AI93" s="1560">
        <f>'Non-marital births'!H94</f>
        <v>63</v>
      </c>
      <c r="AJ93" s="1270">
        <f t="shared" si="31"/>
        <v>0.48245614035087719</v>
      </c>
      <c r="AK93" s="1271">
        <f t="shared" si="32"/>
        <v>0.5</v>
      </c>
      <c r="AL93" s="1271">
        <f t="shared" si="33"/>
        <v>0.57246376811594202</v>
      </c>
      <c r="AM93" s="1271">
        <f t="shared" si="34"/>
        <v>0.5446428571428571</v>
      </c>
      <c r="AN93" s="1271">
        <f t="shared" si="35"/>
        <v>0.56521739130434778</v>
      </c>
      <c r="AO93" s="1271">
        <f t="shared" si="36"/>
        <v>0.54385964912280704</v>
      </c>
      <c r="AP93" s="1271">
        <f t="shared" si="37"/>
        <v>0.52845528455284552</v>
      </c>
      <c r="AQ93" s="1271">
        <f t="shared" si="38"/>
        <v>0.62184873949579833</v>
      </c>
      <c r="AR93" s="1271">
        <f t="shared" si="39"/>
        <v>0.58490566037735847</v>
      </c>
      <c r="AS93" s="1271">
        <f t="shared" si="40"/>
        <v>0.53846153846153844</v>
      </c>
      <c r="AT93" s="1271">
        <f t="shared" si="41"/>
        <v>0.58620689655172409</v>
      </c>
      <c r="AU93" s="1271">
        <f t="shared" si="42"/>
        <v>0.60683760683760679</v>
      </c>
      <c r="AV93" s="1271">
        <f t="shared" si="43"/>
        <v>0.6</v>
      </c>
      <c r="AW93" s="1271">
        <f t="shared" si="44"/>
        <v>0.59523809523809523</v>
      </c>
      <c r="AX93" s="1552">
        <f t="shared" si="45"/>
        <v>0.62376237623762376</v>
      </c>
      <c r="AY93" s="1554">
        <f>'Non-marital births'!L94</f>
        <v>0.64948453608247425</v>
      </c>
    </row>
    <row r="94" spans="1:51" s="142" customFormat="1" ht="15.75" customHeight="1" x14ac:dyDescent="0.2">
      <c r="A94" s="149" t="s">
        <v>228</v>
      </c>
      <c r="B94" s="189" t="s">
        <v>229</v>
      </c>
      <c r="C94" s="150" t="s">
        <v>268</v>
      </c>
      <c r="D94" s="1239">
        <v>472</v>
      </c>
      <c r="E94" s="1240">
        <v>489</v>
      </c>
      <c r="F94" s="1241">
        <v>421</v>
      </c>
      <c r="G94" s="1240">
        <v>447</v>
      </c>
      <c r="H94" s="1241">
        <v>467</v>
      </c>
      <c r="I94" s="1240">
        <v>494</v>
      </c>
      <c r="J94" s="1241">
        <v>469</v>
      </c>
      <c r="K94" s="1240">
        <v>467</v>
      </c>
      <c r="L94" s="1254">
        <v>473</v>
      </c>
      <c r="M94" s="1254">
        <v>468</v>
      </c>
      <c r="N94" s="1254">
        <v>470</v>
      </c>
      <c r="O94" s="1254">
        <v>482</v>
      </c>
      <c r="P94" s="1255">
        <v>490</v>
      </c>
      <c r="Q94" s="1255">
        <v>418</v>
      </c>
      <c r="R94" s="1556">
        <v>457</v>
      </c>
      <c r="S94" s="1557">
        <f>'Non-marital births'!D95</f>
        <v>447</v>
      </c>
      <c r="T94" s="1262">
        <v>126</v>
      </c>
      <c r="U94" s="1263">
        <v>138</v>
      </c>
      <c r="V94" s="1263">
        <v>111</v>
      </c>
      <c r="W94" s="1263">
        <v>113</v>
      </c>
      <c r="X94" s="1263">
        <v>126</v>
      </c>
      <c r="Y94" s="1263">
        <v>143</v>
      </c>
      <c r="Z94" s="1263">
        <v>132</v>
      </c>
      <c r="AA94" s="1263">
        <v>135</v>
      </c>
      <c r="AB94" s="1263">
        <v>151</v>
      </c>
      <c r="AC94" s="1263">
        <v>159</v>
      </c>
      <c r="AD94" s="1263">
        <v>154</v>
      </c>
      <c r="AE94" s="1263">
        <v>169</v>
      </c>
      <c r="AF94" s="1263">
        <v>184</v>
      </c>
      <c r="AG94" s="1263">
        <v>152</v>
      </c>
      <c r="AH94" s="1559">
        <v>164</v>
      </c>
      <c r="AI94" s="1560">
        <f>'Non-marital births'!H95</f>
        <v>170</v>
      </c>
      <c r="AJ94" s="1270">
        <f t="shared" si="31"/>
        <v>0.26694915254237289</v>
      </c>
      <c r="AK94" s="1271">
        <f t="shared" si="32"/>
        <v>0.2822085889570552</v>
      </c>
      <c r="AL94" s="1271">
        <f t="shared" si="33"/>
        <v>0.26365795724465557</v>
      </c>
      <c r="AM94" s="1271">
        <f t="shared" si="34"/>
        <v>0.25279642058165547</v>
      </c>
      <c r="AN94" s="1271">
        <f t="shared" si="35"/>
        <v>0.26980728051391861</v>
      </c>
      <c r="AO94" s="1271">
        <f t="shared" si="36"/>
        <v>0.28947368421052633</v>
      </c>
      <c r="AP94" s="1271">
        <f t="shared" si="37"/>
        <v>0.28144989339019189</v>
      </c>
      <c r="AQ94" s="1271">
        <f t="shared" si="38"/>
        <v>0.28907922912205569</v>
      </c>
      <c r="AR94" s="1271">
        <f t="shared" si="39"/>
        <v>0.31923890063424948</v>
      </c>
      <c r="AS94" s="1271">
        <f t="shared" si="40"/>
        <v>0.33974358974358976</v>
      </c>
      <c r="AT94" s="1271">
        <f t="shared" si="41"/>
        <v>0.32765957446808508</v>
      </c>
      <c r="AU94" s="1271">
        <f t="shared" si="42"/>
        <v>0.35062240663900412</v>
      </c>
      <c r="AV94" s="1271">
        <f t="shared" si="43"/>
        <v>0.37551020408163266</v>
      </c>
      <c r="AW94" s="1271">
        <f t="shared" si="44"/>
        <v>0.36363636363636365</v>
      </c>
      <c r="AX94" s="1552">
        <f t="shared" si="45"/>
        <v>0.35886214442013131</v>
      </c>
      <c r="AY94" s="1554">
        <f>'Non-marital births'!L95</f>
        <v>0.38031319910514544</v>
      </c>
    </row>
    <row r="95" spans="1:51" s="142" customFormat="1" ht="15.75" customHeight="1" x14ac:dyDescent="0.2">
      <c r="A95" s="149" t="s">
        <v>232</v>
      </c>
      <c r="B95" s="189" t="s">
        <v>233</v>
      </c>
      <c r="C95" s="150" t="s">
        <v>267</v>
      </c>
      <c r="D95" s="1239">
        <v>399</v>
      </c>
      <c r="E95" s="1240">
        <v>442</v>
      </c>
      <c r="F95" s="1241">
        <v>426</v>
      </c>
      <c r="G95" s="1240">
        <v>425</v>
      </c>
      <c r="H95" s="1241">
        <v>437</v>
      </c>
      <c r="I95" s="1240">
        <v>481</v>
      </c>
      <c r="J95" s="1241">
        <v>445</v>
      </c>
      <c r="K95" s="1240">
        <v>508</v>
      </c>
      <c r="L95" s="1254">
        <v>520</v>
      </c>
      <c r="M95" s="1254">
        <v>522</v>
      </c>
      <c r="N95" s="1254">
        <v>505</v>
      </c>
      <c r="O95" s="1254">
        <v>454</v>
      </c>
      <c r="P95" s="1255">
        <v>430</v>
      </c>
      <c r="Q95" s="1255">
        <v>432</v>
      </c>
      <c r="R95" s="1556">
        <v>460</v>
      </c>
      <c r="S95" s="1557">
        <f>'Non-marital births'!D96</f>
        <v>476</v>
      </c>
      <c r="T95" s="1262">
        <v>119</v>
      </c>
      <c r="U95" s="1263">
        <v>125</v>
      </c>
      <c r="V95" s="1263">
        <v>141</v>
      </c>
      <c r="W95" s="1263">
        <v>142</v>
      </c>
      <c r="X95" s="1263">
        <v>157</v>
      </c>
      <c r="Y95" s="1263">
        <v>157</v>
      </c>
      <c r="Z95" s="1263">
        <v>140</v>
      </c>
      <c r="AA95" s="1263">
        <v>173</v>
      </c>
      <c r="AB95" s="1263">
        <v>196</v>
      </c>
      <c r="AC95" s="1263">
        <v>205</v>
      </c>
      <c r="AD95" s="1263">
        <v>197</v>
      </c>
      <c r="AE95" s="1263">
        <v>185</v>
      </c>
      <c r="AF95" s="1263">
        <v>163</v>
      </c>
      <c r="AG95" s="1263">
        <v>189</v>
      </c>
      <c r="AH95" s="1559">
        <v>191</v>
      </c>
      <c r="AI95" s="1560">
        <f>'Non-marital births'!H96</f>
        <v>187</v>
      </c>
      <c r="AJ95" s="1270">
        <f t="shared" si="31"/>
        <v>0.2982456140350877</v>
      </c>
      <c r="AK95" s="1271">
        <f t="shared" si="32"/>
        <v>0.28280542986425339</v>
      </c>
      <c r="AL95" s="1271">
        <f t="shared" si="33"/>
        <v>0.33098591549295775</v>
      </c>
      <c r="AM95" s="1271">
        <f t="shared" si="34"/>
        <v>0.33411764705882352</v>
      </c>
      <c r="AN95" s="1271">
        <f t="shared" si="35"/>
        <v>0.35926773455377575</v>
      </c>
      <c r="AO95" s="1271">
        <f t="shared" si="36"/>
        <v>0.32640332640332642</v>
      </c>
      <c r="AP95" s="1271">
        <f t="shared" si="37"/>
        <v>0.3146067415730337</v>
      </c>
      <c r="AQ95" s="1271">
        <f t="shared" si="38"/>
        <v>0.34055118110236221</v>
      </c>
      <c r="AR95" s="1271">
        <f t="shared" si="39"/>
        <v>0.37692307692307692</v>
      </c>
      <c r="AS95" s="1271">
        <f t="shared" si="40"/>
        <v>0.39272030651340994</v>
      </c>
      <c r="AT95" s="1271">
        <f t="shared" si="41"/>
        <v>0.39009900990099011</v>
      </c>
      <c r="AU95" s="1271">
        <f t="shared" si="42"/>
        <v>0.40748898678414097</v>
      </c>
      <c r="AV95" s="1271">
        <f t="shared" si="43"/>
        <v>0.37906976744186044</v>
      </c>
      <c r="AW95" s="1271">
        <f t="shared" si="44"/>
        <v>0.4375</v>
      </c>
      <c r="AX95" s="1552">
        <f t="shared" si="45"/>
        <v>0.41521739130434782</v>
      </c>
      <c r="AY95" s="1554">
        <f>'Non-marital births'!L96</f>
        <v>0.39285714285714285</v>
      </c>
    </row>
    <row r="96" spans="1:51" s="142" customFormat="1" ht="15.75" customHeight="1" x14ac:dyDescent="0.2">
      <c r="A96" s="149" t="s">
        <v>234</v>
      </c>
      <c r="B96" s="189" t="s">
        <v>235</v>
      </c>
      <c r="C96" s="150" t="s">
        <v>268</v>
      </c>
      <c r="D96" s="1239">
        <v>538</v>
      </c>
      <c r="E96" s="1240">
        <v>501</v>
      </c>
      <c r="F96" s="1241">
        <v>492</v>
      </c>
      <c r="G96" s="1240">
        <v>541</v>
      </c>
      <c r="H96" s="1241">
        <v>547</v>
      </c>
      <c r="I96" s="1240">
        <v>508</v>
      </c>
      <c r="J96" s="1241">
        <v>495</v>
      </c>
      <c r="K96" s="1240">
        <v>526</v>
      </c>
      <c r="L96" s="1254">
        <v>491</v>
      </c>
      <c r="M96" s="1254">
        <v>551</v>
      </c>
      <c r="N96" s="1254">
        <v>536</v>
      </c>
      <c r="O96" s="1254">
        <v>517</v>
      </c>
      <c r="P96" s="1255">
        <v>510</v>
      </c>
      <c r="Q96" s="1255">
        <v>539</v>
      </c>
      <c r="R96" s="1556">
        <v>513</v>
      </c>
      <c r="S96" s="1557">
        <f>'Non-marital births'!D97</f>
        <v>488</v>
      </c>
      <c r="T96" s="1262">
        <v>134</v>
      </c>
      <c r="U96" s="1263">
        <v>107</v>
      </c>
      <c r="V96" s="1263">
        <v>107</v>
      </c>
      <c r="W96" s="1263">
        <v>126</v>
      </c>
      <c r="X96" s="1263">
        <v>136</v>
      </c>
      <c r="Y96" s="1263">
        <v>111</v>
      </c>
      <c r="Z96" s="1263">
        <v>127</v>
      </c>
      <c r="AA96" s="1263">
        <v>155</v>
      </c>
      <c r="AB96" s="1263">
        <v>147</v>
      </c>
      <c r="AC96" s="1263">
        <v>183</v>
      </c>
      <c r="AD96" s="1263">
        <v>175</v>
      </c>
      <c r="AE96" s="1263">
        <v>175</v>
      </c>
      <c r="AF96" s="1263">
        <v>164</v>
      </c>
      <c r="AG96" s="1263">
        <v>197</v>
      </c>
      <c r="AH96" s="1559">
        <v>186</v>
      </c>
      <c r="AI96" s="1560">
        <f>'Non-marital births'!H97</f>
        <v>173</v>
      </c>
      <c r="AJ96" s="1270">
        <f t="shared" si="31"/>
        <v>0.24907063197026022</v>
      </c>
      <c r="AK96" s="1271">
        <f t="shared" si="32"/>
        <v>0.21357285429141717</v>
      </c>
      <c r="AL96" s="1271">
        <f t="shared" si="33"/>
        <v>0.21747967479674796</v>
      </c>
      <c r="AM96" s="1271">
        <f t="shared" si="34"/>
        <v>0.23290203327171904</v>
      </c>
      <c r="AN96" s="1271">
        <f t="shared" si="35"/>
        <v>0.24862888482632542</v>
      </c>
      <c r="AO96" s="1271">
        <f t="shared" si="36"/>
        <v>0.21850393700787402</v>
      </c>
      <c r="AP96" s="1271">
        <f t="shared" si="37"/>
        <v>0.25656565656565655</v>
      </c>
      <c r="AQ96" s="1271">
        <f t="shared" si="38"/>
        <v>0.29467680608365021</v>
      </c>
      <c r="AR96" s="1271">
        <f t="shared" si="39"/>
        <v>0.29938900203665986</v>
      </c>
      <c r="AS96" s="1271">
        <f t="shared" si="40"/>
        <v>0.33212341197822143</v>
      </c>
      <c r="AT96" s="1271">
        <f t="shared" si="41"/>
        <v>0.32649253731343286</v>
      </c>
      <c r="AU96" s="1271">
        <f t="shared" si="42"/>
        <v>0.33849129593810445</v>
      </c>
      <c r="AV96" s="1271">
        <f t="shared" si="43"/>
        <v>0.32156862745098042</v>
      </c>
      <c r="AW96" s="1271">
        <f t="shared" si="44"/>
        <v>0.36549165120593691</v>
      </c>
      <c r="AX96" s="1552">
        <f t="shared" si="45"/>
        <v>0.36257309941520466</v>
      </c>
      <c r="AY96" s="1554">
        <f>'Non-marital births'!L97</f>
        <v>0.35450819672131145</v>
      </c>
    </row>
    <row r="97" spans="1:51" s="142" customFormat="1" ht="15.75" customHeight="1" x14ac:dyDescent="0.2">
      <c r="A97" s="149" t="s">
        <v>236</v>
      </c>
      <c r="B97" s="189" t="s">
        <v>237</v>
      </c>
      <c r="C97" s="150" t="s">
        <v>266</v>
      </c>
      <c r="D97" s="1239">
        <v>204</v>
      </c>
      <c r="E97" s="1240">
        <v>201</v>
      </c>
      <c r="F97" s="1241">
        <v>168</v>
      </c>
      <c r="G97" s="1240">
        <v>184</v>
      </c>
      <c r="H97" s="1241">
        <v>204</v>
      </c>
      <c r="I97" s="1240">
        <v>173</v>
      </c>
      <c r="J97" s="1241">
        <v>179</v>
      </c>
      <c r="K97" s="1240">
        <v>183</v>
      </c>
      <c r="L97" s="1254">
        <v>188</v>
      </c>
      <c r="M97" s="1254">
        <v>207</v>
      </c>
      <c r="N97" s="1254">
        <v>194</v>
      </c>
      <c r="O97" s="1254">
        <v>193</v>
      </c>
      <c r="P97" s="1255">
        <v>181</v>
      </c>
      <c r="Q97" s="1255">
        <v>184</v>
      </c>
      <c r="R97" s="1556">
        <v>192</v>
      </c>
      <c r="S97" s="1557">
        <f>'Non-marital births'!D98</f>
        <v>186</v>
      </c>
      <c r="T97" s="1262">
        <v>98</v>
      </c>
      <c r="U97" s="1263">
        <v>107</v>
      </c>
      <c r="V97" s="1263">
        <v>92</v>
      </c>
      <c r="W97" s="1263">
        <v>94</v>
      </c>
      <c r="X97" s="1263">
        <v>108</v>
      </c>
      <c r="Y97" s="1263">
        <v>84</v>
      </c>
      <c r="Z97" s="1263">
        <v>96</v>
      </c>
      <c r="AA97" s="1263">
        <v>102</v>
      </c>
      <c r="AB97" s="1263">
        <v>96</v>
      </c>
      <c r="AC97" s="1263">
        <v>110</v>
      </c>
      <c r="AD97" s="1263">
        <v>103</v>
      </c>
      <c r="AE97" s="1263">
        <v>124</v>
      </c>
      <c r="AF97" s="1263">
        <v>100</v>
      </c>
      <c r="AG97" s="1263">
        <v>93</v>
      </c>
      <c r="AH97" s="1559">
        <v>100</v>
      </c>
      <c r="AI97" s="1560">
        <f>'Non-marital births'!H98</f>
        <v>109</v>
      </c>
      <c r="AJ97" s="1270">
        <f t="shared" si="31"/>
        <v>0.48039215686274511</v>
      </c>
      <c r="AK97" s="1271">
        <f t="shared" si="32"/>
        <v>0.53233830845771146</v>
      </c>
      <c r="AL97" s="1271">
        <f t="shared" si="33"/>
        <v>0.54761904761904767</v>
      </c>
      <c r="AM97" s="1271">
        <f t="shared" si="34"/>
        <v>0.51086956521739135</v>
      </c>
      <c r="AN97" s="1271">
        <f t="shared" si="35"/>
        <v>0.52941176470588236</v>
      </c>
      <c r="AO97" s="1271">
        <f t="shared" si="36"/>
        <v>0.48554913294797686</v>
      </c>
      <c r="AP97" s="1271">
        <f t="shared" si="37"/>
        <v>0.53631284916201116</v>
      </c>
      <c r="AQ97" s="1271">
        <f t="shared" si="38"/>
        <v>0.55737704918032782</v>
      </c>
      <c r="AR97" s="1271">
        <f t="shared" si="39"/>
        <v>0.51063829787234039</v>
      </c>
      <c r="AS97" s="1271">
        <f t="shared" si="40"/>
        <v>0.53140096618357491</v>
      </c>
      <c r="AT97" s="1271">
        <f t="shared" si="41"/>
        <v>0.53092783505154639</v>
      </c>
      <c r="AU97" s="1271">
        <f t="shared" si="42"/>
        <v>0.6424870466321243</v>
      </c>
      <c r="AV97" s="1271">
        <f t="shared" si="43"/>
        <v>0.5524861878453039</v>
      </c>
      <c r="AW97" s="1271">
        <f t="shared" si="44"/>
        <v>0.50543478260869568</v>
      </c>
      <c r="AX97" s="1552">
        <f t="shared" si="45"/>
        <v>0.52083333333333337</v>
      </c>
      <c r="AY97" s="1554">
        <f>'Non-marital births'!L98</f>
        <v>0.58602150537634412</v>
      </c>
    </row>
    <row r="98" spans="1:51" s="142" customFormat="1" ht="15.75" customHeight="1" x14ac:dyDescent="0.2">
      <c r="A98" s="149" t="s">
        <v>242</v>
      </c>
      <c r="B98" s="189" t="s">
        <v>243</v>
      </c>
      <c r="C98" s="150" t="s">
        <v>268</v>
      </c>
      <c r="D98" s="1239">
        <v>559</v>
      </c>
      <c r="E98" s="1240">
        <v>485</v>
      </c>
      <c r="F98" s="1241">
        <v>510</v>
      </c>
      <c r="G98" s="1240">
        <v>504</v>
      </c>
      <c r="H98" s="1241">
        <v>504</v>
      </c>
      <c r="I98" s="1240">
        <v>489</v>
      </c>
      <c r="J98" s="1241">
        <v>502</v>
      </c>
      <c r="K98" s="1240">
        <v>464</v>
      </c>
      <c r="L98" s="1254">
        <v>481</v>
      </c>
      <c r="M98" s="1254">
        <v>498</v>
      </c>
      <c r="N98" s="1254">
        <v>498</v>
      </c>
      <c r="O98" s="1254">
        <v>524</v>
      </c>
      <c r="P98" s="1255">
        <v>457</v>
      </c>
      <c r="Q98" s="1255">
        <v>396</v>
      </c>
      <c r="R98" s="1556">
        <v>419</v>
      </c>
      <c r="S98" s="1557">
        <f>'Non-marital births'!D99</f>
        <v>450</v>
      </c>
      <c r="T98" s="1262">
        <v>173</v>
      </c>
      <c r="U98" s="1263">
        <v>141</v>
      </c>
      <c r="V98" s="1263">
        <v>152</v>
      </c>
      <c r="W98" s="1263">
        <v>153</v>
      </c>
      <c r="X98" s="1263">
        <v>163</v>
      </c>
      <c r="Y98" s="1263">
        <v>158</v>
      </c>
      <c r="Z98" s="1263">
        <v>174</v>
      </c>
      <c r="AA98" s="1263">
        <v>169</v>
      </c>
      <c r="AB98" s="1263">
        <v>164</v>
      </c>
      <c r="AC98" s="1263">
        <v>190</v>
      </c>
      <c r="AD98" s="1263">
        <v>184</v>
      </c>
      <c r="AE98" s="1263">
        <v>204</v>
      </c>
      <c r="AF98" s="1263">
        <v>211</v>
      </c>
      <c r="AG98" s="1263">
        <v>159</v>
      </c>
      <c r="AH98" s="1559">
        <v>183</v>
      </c>
      <c r="AI98" s="1560">
        <f>'Non-marital births'!H99</f>
        <v>196</v>
      </c>
      <c r="AJ98" s="1270">
        <f t="shared" si="31"/>
        <v>0.30948121645796062</v>
      </c>
      <c r="AK98" s="1271">
        <f t="shared" si="32"/>
        <v>0.2907216494845361</v>
      </c>
      <c r="AL98" s="1271">
        <f t="shared" si="33"/>
        <v>0.29803921568627451</v>
      </c>
      <c r="AM98" s="1271">
        <f t="shared" si="34"/>
        <v>0.30357142857142855</v>
      </c>
      <c r="AN98" s="1271">
        <f t="shared" si="35"/>
        <v>0.32341269841269843</v>
      </c>
      <c r="AO98" s="1271">
        <f t="shared" si="36"/>
        <v>0.32310838445807771</v>
      </c>
      <c r="AP98" s="1271">
        <f t="shared" si="37"/>
        <v>0.34661354581673309</v>
      </c>
      <c r="AQ98" s="1271">
        <f t="shared" si="38"/>
        <v>0.36422413793103448</v>
      </c>
      <c r="AR98" s="1271">
        <f t="shared" si="39"/>
        <v>0.34095634095634098</v>
      </c>
      <c r="AS98" s="1271">
        <f t="shared" si="40"/>
        <v>0.38152610441767071</v>
      </c>
      <c r="AT98" s="1271">
        <f t="shared" si="41"/>
        <v>0.36947791164658633</v>
      </c>
      <c r="AU98" s="1271">
        <f t="shared" si="42"/>
        <v>0.38931297709923662</v>
      </c>
      <c r="AV98" s="1271">
        <f t="shared" si="43"/>
        <v>0.46170678336980309</v>
      </c>
      <c r="AW98" s="1271">
        <f t="shared" si="44"/>
        <v>0.40151515151515149</v>
      </c>
      <c r="AX98" s="1552">
        <f t="shared" si="45"/>
        <v>0.43675417661097854</v>
      </c>
      <c r="AY98" s="1554">
        <f>'Non-marital births'!L99</f>
        <v>0.43555555555555553</v>
      </c>
    </row>
    <row r="99" spans="1:51" s="142" customFormat="1" ht="15.75" customHeight="1" x14ac:dyDescent="0.2">
      <c r="A99" s="149" t="s">
        <v>244</v>
      </c>
      <c r="B99" s="189" t="s">
        <v>245</v>
      </c>
      <c r="C99" s="150" t="s">
        <v>268</v>
      </c>
      <c r="D99" s="1239">
        <v>276</v>
      </c>
      <c r="E99" s="1240">
        <v>340</v>
      </c>
      <c r="F99" s="1241">
        <v>336</v>
      </c>
      <c r="G99" s="1240">
        <v>315</v>
      </c>
      <c r="H99" s="1241">
        <v>325</v>
      </c>
      <c r="I99" s="1240">
        <v>333</v>
      </c>
      <c r="J99" s="1241">
        <v>332</v>
      </c>
      <c r="K99" s="1240">
        <v>328</v>
      </c>
      <c r="L99" s="1254">
        <v>333</v>
      </c>
      <c r="M99" s="1254">
        <v>321</v>
      </c>
      <c r="N99" s="1254">
        <v>290</v>
      </c>
      <c r="O99" s="1254">
        <v>278</v>
      </c>
      <c r="P99" s="1255">
        <v>281</v>
      </c>
      <c r="Q99" s="1255">
        <v>310</v>
      </c>
      <c r="R99" s="1556">
        <v>293</v>
      </c>
      <c r="S99" s="1557">
        <f>'Non-marital births'!D100</f>
        <v>271</v>
      </c>
      <c r="T99" s="1262">
        <v>74</v>
      </c>
      <c r="U99" s="1263">
        <v>78</v>
      </c>
      <c r="V99" s="1263">
        <v>74</v>
      </c>
      <c r="W99" s="1263">
        <v>84</v>
      </c>
      <c r="X99" s="1263">
        <v>89</v>
      </c>
      <c r="Y99" s="1263">
        <v>95</v>
      </c>
      <c r="Z99" s="1263">
        <v>106</v>
      </c>
      <c r="AA99" s="1263">
        <v>98</v>
      </c>
      <c r="AB99" s="1263">
        <v>108</v>
      </c>
      <c r="AC99" s="1263">
        <v>113</v>
      </c>
      <c r="AD99" s="1263">
        <v>112</v>
      </c>
      <c r="AE99" s="1263">
        <v>105</v>
      </c>
      <c r="AF99" s="1263">
        <v>96</v>
      </c>
      <c r="AG99" s="1263">
        <v>127</v>
      </c>
      <c r="AH99" s="1559">
        <v>134</v>
      </c>
      <c r="AI99" s="1560">
        <f>'Non-marital births'!H100</f>
        <v>111</v>
      </c>
      <c r="AJ99" s="1270">
        <f t="shared" si="31"/>
        <v>0.26811594202898553</v>
      </c>
      <c r="AK99" s="1271">
        <f t="shared" si="32"/>
        <v>0.22941176470588234</v>
      </c>
      <c r="AL99" s="1271">
        <f t="shared" si="33"/>
        <v>0.22023809523809523</v>
      </c>
      <c r="AM99" s="1271">
        <f t="shared" si="34"/>
        <v>0.26666666666666666</v>
      </c>
      <c r="AN99" s="1271">
        <f t="shared" si="35"/>
        <v>0.27384615384615385</v>
      </c>
      <c r="AO99" s="1271">
        <f t="shared" si="36"/>
        <v>0.28528528528528529</v>
      </c>
      <c r="AP99" s="1271">
        <f t="shared" si="37"/>
        <v>0.31927710843373491</v>
      </c>
      <c r="AQ99" s="1271">
        <f t="shared" si="38"/>
        <v>0.29878048780487804</v>
      </c>
      <c r="AR99" s="1271">
        <f t="shared" si="39"/>
        <v>0.32432432432432434</v>
      </c>
      <c r="AS99" s="1271">
        <f t="shared" si="40"/>
        <v>0.35202492211838005</v>
      </c>
      <c r="AT99" s="1271">
        <f t="shared" si="41"/>
        <v>0.38620689655172413</v>
      </c>
      <c r="AU99" s="1271">
        <f t="shared" si="42"/>
        <v>0.37769784172661869</v>
      </c>
      <c r="AV99" s="1271">
        <f t="shared" si="43"/>
        <v>0.34163701067615659</v>
      </c>
      <c r="AW99" s="1271">
        <f t="shared" si="44"/>
        <v>0.4096774193548387</v>
      </c>
      <c r="AX99" s="1552">
        <f t="shared" si="45"/>
        <v>0.45733788395904434</v>
      </c>
      <c r="AY99" s="1554">
        <f>'Non-marital births'!L100</f>
        <v>0.40959409594095941</v>
      </c>
    </row>
    <row r="100" spans="1:51" s="142" customFormat="1" ht="15.75" customHeight="1" x14ac:dyDescent="0.2">
      <c r="A100" s="149" t="s">
        <v>246</v>
      </c>
      <c r="B100" s="189" t="s">
        <v>247</v>
      </c>
      <c r="C100" s="150" t="s">
        <v>264</v>
      </c>
      <c r="D100" s="1239">
        <v>648</v>
      </c>
      <c r="E100" s="1240">
        <v>744</v>
      </c>
      <c r="F100" s="1241">
        <v>823</v>
      </c>
      <c r="G100" s="1240">
        <v>712</v>
      </c>
      <c r="H100" s="1241">
        <v>683</v>
      </c>
      <c r="I100" s="1240">
        <v>670</v>
      </c>
      <c r="J100" s="1241">
        <v>676</v>
      </c>
      <c r="K100" s="1240">
        <v>623</v>
      </c>
      <c r="L100" s="1254">
        <v>633</v>
      </c>
      <c r="M100" s="1254">
        <v>682</v>
      </c>
      <c r="N100" s="1254">
        <v>670</v>
      </c>
      <c r="O100" s="1254">
        <v>702</v>
      </c>
      <c r="P100" s="1255">
        <v>668</v>
      </c>
      <c r="Q100" s="1255">
        <v>678</v>
      </c>
      <c r="R100" s="1556">
        <v>658</v>
      </c>
      <c r="S100" s="1557">
        <f>'Non-marital births'!D101</f>
        <v>701</v>
      </c>
      <c r="T100" s="1262">
        <v>114</v>
      </c>
      <c r="U100" s="1263">
        <v>150</v>
      </c>
      <c r="V100" s="1263">
        <v>176</v>
      </c>
      <c r="W100" s="1263">
        <v>149</v>
      </c>
      <c r="X100" s="1263">
        <v>120</v>
      </c>
      <c r="Y100" s="1263">
        <v>125</v>
      </c>
      <c r="Z100" s="1263">
        <v>145</v>
      </c>
      <c r="AA100" s="1263">
        <v>120</v>
      </c>
      <c r="AB100" s="1263">
        <v>143</v>
      </c>
      <c r="AC100" s="1263">
        <v>136</v>
      </c>
      <c r="AD100" s="1263">
        <v>162</v>
      </c>
      <c r="AE100" s="1263">
        <v>158</v>
      </c>
      <c r="AF100" s="1263">
        <v>140</v>
      </c>
      <c r="AG100" s="1263">
        <v>163</v>
      </c>
      <c r="AH100" s="1559">
        <v>142</v>
      </c>
      <c r="AI100" s="1560">
        <f>'Non-marital births'!H101</f>
        <v>157</v>
      </c>
      <c r="AJ100" s="1270">
        <f t="shared" si="31"/>
        <v>0.17592592592592593</v>
      </c>
      <c r="AK100" s="1271">
        <f t="shared" si="32"/>
        <v>0.20161290322580644</v>
      </c>
      <c r="AL100" s="1271">
        <f t="shared" si="33"/>
        <v>0.21385176184690158</v>
      </c>
      <c r="AM100" s="1271">
        <f t="shared" si="34"/>
        <v>0.20926966292134833</v>
      </c>
      <c r="AN100" s="1271">
        <f t="shared" si="35"/>
        <v>0.17569546120058566</v>
      </c>
      <c r="AO100" s="1271">
        <f t="shared" si="36"/>
        <v>0.18656716417910449</v>
      </c>
      <c r="AP100" s="1271">
        <f t="shared" si="37"/>
        <v>0.21449704142011836</v>
      </c>
      <c r="AQ100" s="1271">
        <f t="shared" si="38"/>
        <v>0.1926163723916533</v>
      </c>
      <c r="AR100" s="1271">
        <f t="shared" si="39"/>
        <v>0.2259083728278041</v>
      </c>
      <c r="AS100" s="1271">
        <f t="shared" si="40"/>
        <v>0.19941348973607037</v>
      </c>
      <c r="AT100" s="1271">
        <f t="shared" si="41"/>
        <v>0.2417910447761194</v>
      </c>
      <c r="AU100" s="1271">
        <f t="shared" si="42"/>
        <v>0.22507122507122507</v>
      </c>
      <c r="AV100" s="1271">
        <f t="shared" si="43"/>
        <v>0.20958083832335328</v>
      </c>
      <c r="AW100" s="1271">
        <f t="shared" si="44"/>
        <v>0.24041297935103245</v>
      </c>
      <c r="AX100" s="1552">
        <f t="shared" si="45"/>
        <v>0.21580547112462006</v>
      </c>
      <c r="AY100" s="1554">
        <f>'Non-marital births'!L101</f>
        <v>0.2239657631954351</v>
      </c>
    </row>
    <row r="101" spans="1:51" s="142" customFormat="1" ht="15.75" customHeight="1" x14ac:dyDescent="0.2">
      <c r="A101" s="149" t="s">
        <v>14</v>
      </c>
      <c r="B101" s="189" t="s">
        <v>15</v>
      </c>
      <c r="C101" s="150" t="s">
        <v>267</v>
      </c>
      <c r="D101" s="1239">
        <v>2110</v>
      </c>
      <c r="E101" s="1240">
        <v>2125</v>
      </c>
      <c r="F101" s="1241">
        <v>2432</v>
      </c>
      <c r="G101" s="1240">
        <v>2424</v>
      </c>
      <c r="H101" s="1241">
        <v>2208</v>
      </c>
      <c r="I101" s="1240">
        <v>2333</v>
      </c>
      <c r="J101" s="1241">
        <v>2375</v>
      </c>
      <c r="K101" s="1240">
        <v>2451</v>
      </c>
      <c r="L101" s="1254">
        <v>2436</v>
      </c>
      <c r="M101" s="1254">
        <v>2525</v>
      </c>
      <c r="N101" s="1254">
        <v>2595</v>
      </c>
      <c r="O101" s="1254">
        <v>2558</v>
      </c>
      <c r="P101" s="1255">
        <v>2667</v>
      </c>
      <c r="Q101" s="1255">
        <v>2632</v>
      </c>
      <c r="R101" s="1556">
        <v>2763</v>
      </c>
      <c r="S101" s="1557">
        <f>'Non-marital births'!D102</f>
        <v>2727</v>
      </c>
      <c r="T101" s="1262">
        <v>566</v>
      </c>
      <c r="U101" s="1263">
        <v>654</v>
      </c>
      <c r="V101" s="1263">
        <v>699</v>
      </c>
      <c r="W101" s="1263">
        <v>693</v>
      </c>
      <c r="X101" s="1263">
        <v>586</v>
      </c>
      <c r="Y101" s="1263">
        <v>632</v>
      </c>
      <c r="Z101" s="1263">
        <v>644</v>
      </c>
      <c r="AA101" s="1263">
        <v>739</v>
      </c>
      <c r="AB101" s="1263">
        <v>739</v>
      </c>
      <c r="AC101" s="1263">
        <v>789</v>
      </c>
      <c r="AD101" s="1263">
        <v>760</v>
      </c>
      <c r="AE101" s="1263">
        <v>751</v>
      </c>
      <c r="AF101" s="1263">
        <v>729</v>
      </c>
      <c r="AG101" s="1263">
        <v>746</v>
      </c>
      <c r="AH101" s="1559">
        <v>677</v>
      </c>
      <c r="AI101" s="1560">
        <f>'Non-marital births'!H102</f>
        <v>626</v>
      </c>
      <c r="AJ101" s="1270">
        <f t="shared" ref="AJ101:AJ125" si="46">T101/D101</f>
        <v>0.26824644549763033</v>
      </c>
      <c r="AK101" s="1271">
        <f t="shared" si="32"/>
        <v>0.30776470588235294</v>
      </c>
      <c r="AL101" s="1271">
        <f t="shared" si="33"/>
        <v>0.28741776315789475</v>
      </c>
      <c r="AM101" s="1271">
        <f t="shared" si="34"/>
        <v>0.28589108910891087</v>
      </c>
      <c r="AN101" s="1271">
        <f t="shared" si="35"/>
        <v>0.26539855072463769</v>
      </c>
      <c r="AO101" s="1271">
        <f t="shared" si="36"/>
        <v>0.27089584226318048</v>
      </c>
      <c r="AP101" s="1271">
        <f t="shared" si="37"/>
        <v>0.2711578947368421</v>
      </c>
      <c r="AQ101" s="1271">
        <f t="shared" si="38"/>
        <v>0.30150958792329663</v>
      </c>
      <c r="AR101" s="1271">
        <f t="shared" si="39"/>
        <v>0.30336617405582922</v>
      </c>
      <c r="AS101" s="1271">
        <f t="shared" si="40"/>
        <v>0.31247524752475248</v>
      </c>
      <c r="AT101" s="1271">
        <f t="shared" si="41"/>
        <v>0.2928709055876686</v>
      </c>
      <c r="AU101" s="1271">
        <f t="shared" si="42"/>
        <v>0.2935887412040657</v>
      </c>
      <c r="AV101" s="1271">
        <f t="shared" si="43"/>
        <v>0.27334083239595053</v>
      </c>
      <c r="AW101" s="1271">
        <f t="shared" si="44"/>
        <v>0.28343465045592703</v>
      </c>
      <c r="AX101" s="1552">
        <f t="shared" si="45"/>
        <v>0.24502352515381831</v>
      </c>
      <c r="AY101" s="1554">
        <f>'Non-marital births'!L102</f>
        <v>0.22955628896222954</v>
      </c>
    </row>
    <row r="102" spans="1:51" s="142" customFormat="1" ht="15.75" customHeight="1" x14ac:dyDescent="0.2">
      <c r="A102" s="149" t="s">
        <v>34</v>
      </c>
      <c r="B102" s="189" t="s">
        <v>35</v>
      </c>
      <c r="C102" s="150" t="s">
        <v>268</v>
      </c>
      <c r="D102" s="1239">
        <v>188</v>
      </c>
      <c r="E102" s="1240">
        <v>221</v>
      </c>
      <c r="F102" s="1241">
        <v>211</v>
      </c>
      <c r="G102" s="1240">
        <v>194</v>
      </c>
      <c r="H102" s="1241">
        <v>190</v>
      </c>
      <c r="I102" s="1240">
        <v>162</v>
      </c>
      <c r="J102" s="1241">
        <v>209</v>
      </c>
      <c r="K102" s="1240">
        <v>185</v>
      </c>
      <c r="L102" s="1254">
        <v>205</v>
      </c>
      <c r="M102" s="1254">
        <v>219</v>
      </c>
      <c r="N102" s="1254">
        <v>217</v>
      </c>
      <c r="O102" s="1254">
        <v>218</v>
      </c>
      <c r="P102" s="1255">
        <v>208</v>
      </c>
      <c r="Q102" s="1255">
        <v>143</v>
      </c>
      <c r="R102" s="1556">
        <v>173</v>
      </c>
      <c r="S102" s="1557">
        <f>'Non-marital births'!D103</f>
        <v>200</v>
      </c>
      <c r="T102" s="1262">
        <v>58</v>
      </c>
      <c r="U102" s="1263">
        <v>69</v>
      </c>
      <c r="V102" s="1263">
        <v>67</v>
      </c>
      <c r="W102" s="1263">
        <v>71</v>
      </c>
      <c r="X102" s="1263">
        <v>73</v>
      </c>
      <c r="Y102" s="1263">
        <v>60</v>
      </c>
      <c r="Z102" s="1263">
        <v>80</v>
      </c>
      <c r="AA102" s="1263">
        <v>85</v>
      </c>
      <c r="AB102" s="1263">
        <v>82</v>
      </c>
      <c r="AC102" s="1263">
        <v>104</v>
      </c>
      <c r="AD102" s="1263">
        <v>103</v>
      </c>
      <c r="AE102" s="1263">
        <v>127</v>
      </c>
      <c r="AF102" s="1263">
        <v>112</v>
      </c>
      <c r="AG102" s="1263">
        <v>66</v>
      </c>
      <c r="AH102" s="1559">
        <v>96</v>
      </c>
      <c r="AI102" s="1560">
        <f>'Non-marital births'!H103</f>
        <v>102</v>
      </c>
      <c r="AJ102" s="1270">
        <f t="shared" si="46"/>
        <v>0.30851063829787234</v>
      </c>
      <c r="AK102" s="1271">
        <f t="shared" ref="AK102:AK125" si="47">U102/E102</f>
        <v>0.31221719457013575</v>
      </c>
      <c r="AL102" s="1271">
        <f t="shared" ref="AL102:AL125" si="48">V102/F102</f>
        <v>0.31753554502369669</v>
      </c>
      <c r="AM102" s="1271">
        <f t="shared" ref="AM102:AM125" si="49">W102/G102</f>
        <v>0.36597938144329895</v>
      </c>
      <c r="AN102" s="1271">
        <f t="shared" ref="AN102:AN125" si="50">X102/H102</f>
        <v>0.38421052631578945</v>
      </c>
      <c r="AO102" s="1271">
        <f t="shared" ref="AO102:AO125" si="51">Y102/I102</f>
        <v>0.37037037037037035</v>
      </c>
      <c r="AP102" s="1271">
        <f t="shared" ref="AP102:AP125" si="52">Z102/J102</f>
        <v>0.38277511961722488</v>
      </c>
      <c r="AQ102" s="1271">
        <f t="shared" ref="AQ102:AQ125" si="53">AA102/K102</f>
        <v>0.45945945945945948</v>
      </c>
      <c r="AR102" s="1271">
        <f t="shared" ref="AR102:AR125" si="54">AB102/L102</f>
        <v>0.4</v>
      </c>
      <c r="AS102" s="1271">
        <f t="shared" ref="AS102:AS125" si="55">AC102/M102</f>
        <v>0.47488584474885842</v>
      </c>
      <c r="AT102" s="1271">
        <f t="shared" ref="AT102:AT125" si="56">AD102/N102</f>
        <v>0.47465437788018433</v>
      </c>
      <c r="AU102" s="1271">
        <f t="shared" ref="AU102:AU125" si="57">AE102/O102</f>
        <v>0.58256880733944949</v>
      </c>
      <c r="AV102" s="1271">
        <f t="shared" ref="AV102:AV125" si="58">AF102/P102</f>
        <v>0.53846153846153844</v>
      </c>
      <c r="AW102" s="1271">
        <f t="shared" ref="AW102:AW125" si="59">AG102/Q102</f>
        <v>0.46153846153846156</v>
      </c>
      <c r="AX102" s="1552">
        <f t="shared" ref="AX102:AX125" si="60">AH102/R102</f>
        <v>0.55491329479768781</v>
      </c>
      <c r="AY102" s="1554">
        <f>'Non-marital births'!L103</f>
        <v>0.51</v>
      </c>
    </row>
    <row r="103" spans="1:51" s="142" customFormat="1" ht="15.75" customHeight="1" x14ac:dyDescent="0.2">
      <c r="A103" s="149" t="s">
        <v>52</v>
      </c>
      <c r="B103" s="189" t="s">
        <v>53</v>
      </c>
      <c r="C103" s="150" t="s">
        <v>265</v>
      </c>
      <c r="D103" s="1239">
        <v>471</v>
      </c>
      <c r="E103" s="1240">
        <v>489</v>
      </c>
      <c r="F103" s="1241">
        <v>550</v>
      </c>
      <c r="G103" s="1240">
        <v>494</v>
      </c>
      <c r="H103" s="1241">
        <v>491</v>
      </c>
      <c r="I103" s="1240">
        <v>531</v>
      </c>
      <c r="J103" s="1241">
        <v>472</v>
      </c>
      <c r="K103" s="1240">
        <v>525</v>
      </c>
      <c r="L103" s="1254">
        <v>498</v>
      </c>
      <c r="M103" s="1254">
        <v>546</v>
      </c>
      <c r="N103" s="1254">
        <v>597</v>
      </c>
      <c r="O103" s="1254">
        <v>571</v>
      </c>
      <c r="P103" s="1255">
        <v>548</v>
      </c>
      <c r="Q103" s="1255">
        <v>499</v>
      </c>
      <c r="R103" s="1556">
        <v>575</v>
      </c>
      <c r="S103" s="1557">
        <f>'Non-marital births'!D104</f>
        <v>612</v>
      </c>
      <c r="T103" s="1262">
        <v>192</v>
      </c>
      <c r="U103" s="1263">
        <v>196</v>
      </c>
      <c r="V103" s="1263">
        <v>235</v>
      </c>
      <c r="W103" s="1263">
        <v>186</v>
      </c>
      <c r="X103" s="1263">
        <v>189</v>
      </c>
      <c r="Y103" s="1263">
        <v>190</v>
      </c>
      <c r="Z103" s="1263">
        <v>201</v>
      </c>
      <c r="AA103" s="1263">
        <v>218</v>
      </c>
      <c r="AB103" s="1263">
        <v>221</v>
      </c>
      <c r="AC103" s="1263">
        <v>260</v>
      </c>
      <c r="AD103" s="1263">
        <v>261</v>
      </c>
      <c r="AE103" s="1263">
        <v>240</v>
      </c>
      <c r="AF103" s="1263">
        <v>193</v>
      </c>
      <c r="AG103" s="1263">
        <v>175</v>
      </c>
      <c r="AH103" s="1559">
        <v>192</v>
      </c>
      <c r="AI103" s="1560">
        <f>'Non-marital births'!H104</f>
        <v>206</v>
      </c>
      <c r="AJ103" s="1270">
        <f t="shared" si="46"/>
        <v>0.40764331210191085</v>
      </c>
      <c r="AK103" s="1271">
        <f t="shared" si="47"/>
        <v>0.40081799591002043</v>
      </c>
      <c r="AL103" s="1271">
        <f t="shared" si="48"/>
        <v>0.42727272727272725</v>
      </c>
      <c r="AM103" s="1271">
        <f t="shared" si="49"/>
        <v>0.37651821862348178</v>
      </c>
      <c r="AN103" s="1271">
        <f t="shared" si="50"/>
        <v>0.38492871690427699</v>
      </c>
      <c r="AO103" s="1271">
        <f t="shared" si="51"/>
        <v>0.35781544256120529</v>
      </c>
      <c r="AP103" s="1271">
        <f t="shared" si="52"/>
        <v>0.42584745762711862</v>
      </c>
      <c r="AQ103" s="1271">
        <f t="shared" si="53"/>
        <v>0.41523809523809524</v>
      </c>
      <c r="AR103" s="1271">
        <f t="shared" si="54"/>
        <v>0.44377510040160645</v>
      </c>
      <c r="AS103" s="1271">
        <f t="shared" si="55"/>
        <v>0.47619047619047616</v>
      </c>
      <c r="AT103" s="1271">
        <f t="shared" si="56"/>
        <v>0.43718592964824121</v>
      </c>
      <c r="AU103" s="1271">
        <f t="shared" si="57"/>
        <v>0.42031523642732049</v>
      </c>
      <c r="AV103" s="1271">
        <f t="shared" si="58"/>
        <v>0.3521897810218978</v>
      </c>
      <c r="AW103" s="1271">
        <f t="shared" si="59"/>
        <v>0.35070140280561124</v>
      </c>
      <c r="AX103" s="1552">
        <f t="shared" si="60"/>
        <v>0.3339130434782609</v>
      </c>
      <c r="AY103" s="1554">
        <f>'Non-marital births'!L104</f>
        <v>0.33660130718954251</v>
      </c>
    </row>
    <row r="104" spans="1:51" s="142" customFormat="1" ht="15.75" customHeight="1" x14ac:dyDescent="0.2">
      <c r="A104" s="149" t="s">
        <v>54</v>
      </c>
      <c r="B104" s="189" t="s">
        <v>55</v>
      </c>
      <c r="C104" s="150" t="s">
        <v>264</v>
      </c>
      <c r="D104" s="1239">
        <v>2818</v>
      </c>
      <c r="E104" s="1240">
        <v>2805</v>
      </c>
      <c r="F104" s="1241">
        <v>2834</v>
      </c>
      <c r="G104" s="1240">
        <v>2741</v>
      </c>
      <c r="H104" s="1241">
        <v>2744</v>
      </c>
      <c r="I104" s="1240">
        <v>2860</v>
      </c>
      <c r="J104" s="1241">
        <v>2975</v>
      </c>
      <c r="K104" s="1240">
        <v>2896</v>
      </c>
      <c r="L104" s="1254">
        <v>2920</v>
      </c>
      <c r="M104" s="1254">
        <v>2996</v>
      </c>
      <c r="N104" s="1254">
        <v>2892</v>
      </c>
      <c r="O104" s="1254">
        <v>2785</v>
      </c>
      <c r="P104" s="1255">
        <v>2830</v>
      </c>
      <c r="Q104" s="1255">
        <v>2748</v>
      </c>
      <c r="R104" s="1556">
        <v>2805</v>
      </c>
      <c r="S104" s="1557">
        <f>'Non-marital births'!D105</f>
        <v>2785</v>
      </c>
      <c r="T104" s="1262">
        <v>848</v>
      </c>
      <c r="U104" s="1263">
        <v>905</v>
      </c>
      <c r="V104" s="1263">
        <v>877</v>
      </c>
      <c r="W104" s="1263">
        <v>894</v>
      </c>
      <c r="X104" s="1263">
        <v>926</v>
      </c>
      <c r="Y104" s="1263">
        <v>940</v>
      </c>
      <c r="Z104" s="1263">
        <v>982</v>
      </c>
      <c r="AA104" s="1263">
        <v>939</v>
      </c>
      <c r="AB104" s="1263">
        <v>994</v>
      </c>
      <c r="AC104" s="1263">
        <v>1084</v>
      </c>
      <c r="AD104" s="1263">
        <v>1080</v>
      </c>
      <c r="AE104" s="1263">
        <v>1123</v>
      </c>
      <c r="AF104" s="1263">
        <v>1104</v>
      </c>
      <c r="AG104" s="1263">
        <v>1077</v>
      </c>
      <c r="AH104" s="1559">
        <v>1053</v>
      </c>
      <c r="AI104" s="1560">
        <f>'Non-marital births'!H105</f>
        <v>992</v>
      </c>
      <c r="AJ104" s="1270">
        <f t="shared" si="46"/>
        <v>0.30092264017033354</v>
      </c>
      <c r="AK104" s="1271">
        <f t="shared" si="47"/>
        <v>0.32263814616755793</v>
      </c>
      <c r="AL104" s="1271">
        <f t="shared" si="48"/>
        <v>0.30945659844742412</v>
      </c>
      <c r="AM104" s="1271">
        <f t="shared" si="49"/>
        <v>0.32615833637358627</v>
      </c>
      <c r="AN104" s="1271">
        <f t="shared" si="50"/>
        <v>0.33746355685131196</v>
      </c>
      <c r="AO104" s="1271">
        <f t="shared" si="51"/>
        <v>0.32867132867132864</v>
      </c>
      <c r="AP104" s="1271">
        <f t="shared" si="52"/>
        <v>0.3300840336134454</v>
      </c>
      <c r="AQ104" s="1271">
        <f t="shared" si="53"/>
        <v>0.32424033149171272</v>
      </c>
      <c r="AR104" s="1271">
        <f t="shared" si="54"/>
        <v>0.34041095890410961</v>
      </c>
      <c r="AS104" s="1271">
        <f t="shared" si="55"/>
        <v>0.36181575433911883</v>
      </c>
      <c r="AT104" s="1271">
        <f t="shared" si="56"/>
        <v>0.37344398340248963</v>
      </c>
      <c r="AU104" s="1271">
        <f t="shared" si="57"/>
        <v>0.40323159784560142</v>
      </c>
      <c r="AV104" s="1271">
        <f t="shared" si="58"/>
        <v>0.39010600706713783</v>
      </c>
      <c r="AW104" s="1271">
        <f t="shared" si="59"/>
        <v>0.39192139737991266</v>
      </c>
      <c r="AX104" s="1552">
        <f t="shared" si="60"/>
        <v>0.3754010695187166</v>
      </c>
      <c r="AY104" s="1554">
        <f>'Non-marital births'!L105</f>
        <v>0.35619389587073608</v>
      </c>
    </row>
    <row r="105" spans="1:51" s="142" customFormat="1" ht="15.75" customHeight="1" x14ac:dyDescent="0.2">
      <c r="A105" s="149" t="s">
        <v>66</v>
      </c>
      <c r="B105" s="189" t="s">
        <v>67</v>
      </c>
      <c r="C105" s="150" t="s">
        <v>265</v>
      </c>
      <c r="D105" s="1239">
        <v>686</v>
      </c>
      <c r="E105" s="1240">
        <v>588</v>
      </c>
      <c r="F105" s="1241">
        <v>585</v>
      </c>
      <c r="G105" s="1240">
        <v>589</v>
      </c>
      <c r="H105" s="1241">
        <v>588</v>
      </c>
      <c r="I105" s="1240">
        <v>583</v>
      </c>
      <c r="J105" s="1241">
        <v>568</v>
      </c>
      <c r="K105" s="1240">
        <v>583</v>
      </c>
      <c r="L105" s="1254">
        <v>650</v>
      </c>
      <c r="M105" s="1254">
        <v>566</v>
      </c>
      <c r="N105" s="1254">
        <v>636</v>
      </c>
      <c r="O105" s="1254">
        <v>640</v>
      </c>
      <c r="P105" s="1255">
        <v>557</v>
      </c>
      <c r="Q105" s="1255">
        <v>585</v>
      </c>
      <c r="R105" s="1556">
        <v>601</v>
      </c>
      <c r="S105" s="1557">
        <f>'Non-marital births'!D106</f>
        <v>587</v>
      </c>
      <c r="T105" s="1262">
        <v>379</v>
      </c>
      <c r="U105" s="1263">
        <v>345</v>
      </c>
      <c r="V105" s="1263">
        <v>325</v>
      </c>
      <c r="W105" s="1263">
        <v>334</v>
      </c>
      <c r="X105" s="1263">
        <v>345</v>
      </c>
      <c r="Y105" s="1263">
        <v>322</v>
      </c>
      <c r="Z105" s="1263">
        <v>350</v>
      </c>
      <c r="AA105" s="1263">
        <v>336</v>
      </c>
      <c r="AB105" s="1263">
        <v>404</v>
      </c>
      <c r="AC105" s="1263">
        <v>378</v>
      </c>
      <c r="AD105" s="1263">
        <v>412</v>
      </c>
      <c r="AE105" s="1263">
        <v>417</v>
      </c>
      <c r="AF105" s="1263">
        <v>369</v>
      </c>
      <c r="AG105" s="1263">
        <v>370</v>
      </c>
      <c r="AH105" s="1559">
        <v>385</v>
      </c>
      <c r="AI105" s="1560">
        <f>'Non-marital births'!H106</f>
        <v>374</v>
      </c>
      <c r="AJ105" s="1270">
        <f t="shared" si="46"/>
        <v>0.55247813411078717</v>
      </c>
      <c r="AK105" s="1271">
        <f t="shared" si="47"/>
        <v>0.58673469387755106</v>
      </c>
      <c r="AL105" s="1271">
        <f t="shared" si="48"/>
        <v>0.55555555555555558</v>
      </c>
      <c r="AM105" s="1271">
        <f t="shared" si="49"/>
        <v>0.56706281833616301</v>
      </c>
      <c r="AN105" s="1271">
        <f t="shared" si="50"/>
        <v>0.58673469387755106</v>
      </c>
      <c r="AO105" s="1271">
        <f t="shared" si="51"/>
        <v>0.55231560891938247</v>
      </c>
      <c r="AP105" s="1271">
        <f t="shared" si="52"/>
        <v>0.61619718309859151</v>
      </c>
      <c r="AQ105" s="1271">
        <f t="shared" si="53"/>
        <v>0.57632933104631223</v>
      </c>
      <c r="AR105" s="1271">
        <f t="shared" si="54"/>
        <v>0.62153846153846148</v>
      </c>
      <c r="AS105" s="1271">
        <f t="shared" si="55"/>
        <v>0.66784452296819785</v>
      </c>
      <c r="AT105" s="1271">
        <f t="shared" si="56"/>
        <v>0.64779874213836475</v>
      </c>
      <c r="AU105" s="1271">
        <f t="shared" si="57"/>
        <v>0.65156250000000004</v>
      </c>
      <c r="AV105" s="1271">
        <f t="shared" si="58"/>
        <v>0.66247755834829447</v>
      </c>
      <c r="AW105" s="1271">
        <f t="shared" si="59"/>
        <v>0.63247863247863245</v>
      </c>
      <c r="AX105" s="1552">
        <f t="shared" si="60"/>
        <v>0.6405990016638935</v>
      </c>
      <c r="AY105" s="1554">
        <f>'Non-marital births'!L106</f>
        <v>0.63713798977853497</v>
      </c>
    </row>
    <row r="106" spans="1:51" s="142" customFormat="1" ht="15.75" customHeight="1" x14ac:dyDescent="0.2">
      <c r="A106" s="149" t="s">
        <v>82</v>
      </c>
      <c r="B106" s="189" t="s">
        <v>83</v>
      </c>
      <c r="C106" s="150" t="s">
        <v>264</v>
      </c>
      <c r="D106" s="1239">
        <v>92</v>
      </c>
      <c r="E106" s="1240">
        <v>102</v>
      </c>
      <c r="F106" s="1241">
        <v>114</v>
      </c>
      <c r="G106" s="1240">
        <v>128</v>
      </c>
      <c r="H106" s="1241">
        <v>137</v>
      </c>
      <c r="I106" s="1240">
        <v>145</v>
      </c>
      <c r="J106" s="1241">
        <v>154</v>
      </c>
      <c r="K106" s="1240">
        <v>150</v>
      </c>
      <c r="L106" s="1254">
        <v>168</v>
      </c>
      <c r="M106" s="1254">
        <v>156</v>
      </c>
      <c r="N106" s="1254">
        <v>133</v>
      </c>
      <c r="O106" s="1254">
        <v>133</v>
      </c>
      <c r="P106" s="1255">
        <v>147</v>
      </c>
      <c r="Q106" s="1255">
        <v>167</v>
      </c>
      <c r="R106" s="1556">
        <v>154</v>
      </c>
      <c r="S106" s="1557">
        <f>'Non-marital births'!D107</f>
        <v>167</v>
      </c>
      <c r="T106" s="1262">
        <v>51</v>
      </c>
      <c r="U106" s="1263">
        <v>60</v>
      </c>
      <c r="V106" s="1263">
        <v>67</v>
      </c>
      <c r="W106" s="1263">
        <v>62</v>
      </c>
      <c r="X106" s="1263">
        <v>67</v>
      </c>
      <c r="Y106" s="1263">
        <v>78</v>
      </c>
      <c r="Z106" s="1263">
        <v>88</v>
      </c>
      <c r="AA106" s="1263">
        <v>81</v>
      </c>
      <c r="AB106" s="1263">
        <v>93</v>
      </c>
      <c r="AC106" s="1263">
        <v>95</v>
      </c>
      <c r="AD106" s="1263">
        <v>74</v>
      </c>
      <c r="AE106" s="1263">
        <v>92</v>
      </c>
      <c r="AF106" s="1263">
        <v>98</v>
      </c>
      <c r="AG106" s="1263">
        <v>111</v>
      </c>
      <c r="AH106" s="1559">
        <v>93</v>
      </c>
      <c r="AI106" s="1560">
        <f>'Non-marital births'!H107</f>
        <v>101</v>
      </c>
      <c r="AJ106" s="1270">
        <f t="shared" si="46"/>
        <v>0.55434782608695654</v>
      </c>
      <c r="AK106" s="1271">
        <f t="shared" si="47"/>
        <v>0.58823529411764708</v>
      </c>
      <c r="AL106" s="1271">
        <f t="shared" si="48"/>
        <v>0.58771929824561409</v>
      </c>
      <c r="AM106" s="1271">
        <f t="shared" si="49"/>
        <v>0.484375</v>
      </c>
      <c r="AN106" s="1271">
        <f t="shared" si="50"/>
        <v>0.48905109489051096</v>
      </c>
      <c r="AO106" s="1271">
        <f t="shared" si="51"/>
        <v>0.53793103448275859</v>
      </c>
      <c r="AP106" s="1271">
        <f t="shared" si="52"/>
        <v>0.5714285714285714</v>
      </c>
      <c r="AQ106" s="1271">
        <f t="shared" si="53"/>
        <v>0.54</v>
      </c>
      <c r="AR106" s="1271">
        <f t="shared" si="54"/>
        <v>0.5535714285714286</v>
      </c>
      <c r="AS106" s="1271">
        <f t="shared" si="55"/>
        <v>0.60897435897435892</v>
      </c>
      <c r="AT106" s="1271">
        <f t="shared" si="56"/>
        <v>0.55639097744360899</v>
      </c>
      <c r="AU106" s="1271">
        <f t="shared" si="57"/>
        <v>0.69172932330827064</v>
      </c>
      <c r="AV106" s="1271">
        <f t="shared" si="58"/>
        <v>0.66666666666666663</v>
      </c>
      <c r="AW106" s="1271">
        <f t="shared" si="59"/>
        <v>0.66467065868263475</v>
      </c>
      <c r="AX106" s="1552">
        <f t="shared" si="60"/>
        <v>0.60389610389610393</v>
      </c>
      <c r="AY106" s="1554">
        <f>'Non-marital births'!L107</f>
        <v>0.60479041916167664</v>
      </c>
    </row>
    <row r="107" spans="1:51" s="142" customFormat="1" ht="15.75" customHeight="1" x14ac:dyDescent="0.2">
      <c r="A107" s="149" t="s">
        <v>88</v>
      </c>
      <c r="B107" s="189" t="s">
        <v>89</v>
      </c>
      <c r="C107" s="150" t="s">
        <v>267</v>
      </c>
      <c r="D107" s="1239">
        <v>302</v>
      </c>
      <c r="E107" s="1240">
        <v>384</v>
      </c>
      <c r="F107" s="1241">
        <v>395</v>
      </c>
      <c r="G107" s="1240">
        <v>352</v>
      </c>
      <c r="H107" s="1241">
        <v>356</v>
      </c>
      <c r="I107" s="1240">
        <v>380</v>
      </c>
      <c r="J107" s="1241">
        <v>397</v>
      </c>
      <c r="K107" s="1240">
        <v>369</v>
      </c>
      <c r="L107" s="1254">
        <v>406</v>
      </c>
      <c r="M107" s="1254">
        <v>413</v>
      </c>
      <c r="N107" s="1254">
        <v>371</v>
      </c>
      <c r="O107" s="1254">
        <v>393</v>
      </c>
      <c r="P107" s="1255">
        <v>385</v>
      </c>
      <c r="Q107" s="1255">
        <v>411</v>
      </c>
      <c r="R107" s="1556">
        <v>425</v>
      </c>
      <c r="S107" s="1557">
        <f>'Non-marital births'!D108</f>
        <v>417</v>
      </c>
      <c r="T107" s="1262">
        <v>146</v>
      </c>
      <c r="U107" s="1263">
        <v>178</v>
      </c>
      <c r="V107" s="1263">
        <v>155</v>
      </c>
      <c r="W107" s="1263">
        <v>164</v>
      </c>
      <c r="X107" s="1263">
        <v>173</v>
      </c>
      <c r="Y107" s="1263">
        <v>190</v>
      </c>
      <c r="Z107" s="1263">
        <v>222</v>
      </c>
      <c r="AA107" s="1263">
        <v>206</v>
      </c>
      <c r="AB107" s="1263">
        <v>229</v>
      </c>
      <c r="AC107" s="1263">
        <v>223</v>
      </c>
      <c r="AD107" s="1263">
        <v>216</v>
      </c>
      <c r="AE107" s="1263">
        <v>197</v>
      </c>
      <c r="AF107" s="1263">
        <v>209</v>
      </c>
      <c r="AG107" s="1263">
        <v>220</v>
      </c>
      <c r="AH107" s="1559">
        <v>203</v>
      </c>
      <c r="AI107" s="1560">
        <f>'Non-marital births'!H108</f>
        <v>206</v>
      </c>
      <c r="AJ107" s="1270">
        <f t="shared" si="46"/>
        <v>0.48344370860927155</v>
      </c>
      <c r="AK107" s="1271">
        <f t="shared" si="47"/>
        <v>0.46354166666666669</v>
      </c>
      <c r="AL107" s="1271">
        <f t="shared" si="48"/>
        <v>0.39240506329113922</v>
      </c>
      <c r="AM107" s="1271">
        <f t="shared" si="49"/>
        <v>0.46590909090909088</v>
      </c>
      <c r="AN107" s="1271">
        <f t="shared" si="50"/>
        <v>0.4859550561797753</v>
      </c>
      <c r="AO107" s="1271">
        <f t="shared" si="51"/>
        <v>0.5</v>
      </c>
      <c r="AP107" s="1271">
        <f t="shared" si="52"/>
        <v>0.55919395465994959</v>
      </c>
      <c r="AQ107" s="1271">
        <f t="shared" si="53"/>
        <v>0.5582655826558266</v>
      </c>
      <c r="AR107" s="1271">
        <f t="shared" si="54"/>
        <v>0.56403940886699511</v>
      </c>
      <c r="AS107" s="1271">
        <f t="shared" si="55"/>
        <v>0.53995157384987891</v>
      </c>
      <c r="AT107" s="1271">
        <f t="shared" si="56"/>
        <v>0.58221024258760112</v>
      </c>
      <c r="AU107" s="1271">
        <f t="shared" si="57"/>
        <v>0.50127226463104324</v>
      </c>
      <c r="AV107" s="1271">
        <f t="shared" si="58"/>
        <v>0.54285714285714282</v>
      </c>
      <c r="AW107" s="1271">
        <f t="shared" si="59"/>
        <v>0.53527980535279807</v>
      </c>
      <c r="AX107" s="1552">
        <f t="shared" si="60"/>
        <v>0.47764705882352942</v>
      </c>
      <c r="AY107" s="1554">
        <f>'Non-marital births'!L108</f>
        <v>0.49400479616306953</v>
      </c>
    </row>
    <row r="108" spans="1:51" s="142" customFormat="1" ht="15.75" customHeight="1" x14ac:dyDescent="0.2">
      <c r="A108" s="149" t="s">
        <v>90</v>
      </c>
      <c r="B108" s="189" t="s">
        <v>91</v>
      </c>
      <c r="C108" s="150" t="s">
        <v>268</v>
      </c>
      <c r="D108" s="1239">
        <v>116</v>
      </c>
      <c r="E108" s="1240">
        <v>117</v>
      </c>
      <c r="F108" s="1241">
        <v>127</v>
      </c>
      <c r="G108" s="1240">
        <v>110</v>
      </c>
      <c r="H108" s="1241">
        <v>111</v>
      </c>
      <c r="I108" s="1240">
        <v>88</v>
      </c>
      <c r="J108" s="1241">
        <v>85</v>
      </c>
      <c r="K108" s="1240">
        <v>78</v>
      </c>
      <c r="L108" s="1254">
        <v>77</v>
      </c>
      <c r="M108" s="1254">
        <v>91</v>
      </c>
      <c r="N108" s="1254">
        <v>83</v>
      </c>
      <c r="O108" s="1254">
        <v>127</v>
      </c>
      <c r="P108" s="1255">
        <v>132</v>
      </c>
      <c r="Q108" s="1255">
        <v>111</v>
      </c>
      <c r="R108" s="1556">
        <v>122</v>
      </c>
      <c r="S108" s="1557">
        <f>'Non-marital births'!D109</f>
        <v>100</v>
      </c>
      <c r="T108" s="1262">
        <v>50</v>
      </c>
      <c r="U108" s="1263">
        <v>38</v>
      </c>
      <c r="V108" s="1263">
        <v>51</v>
      </c>
      <c r="W108" s="1263">
        <v>54</v>
      </c>
      <c r="X108" s="1263">
        <v>57</v>
      </c>
      <c r="Y108" s="1263">
        <v>48</v>
      </c>
      <c r="Z108" s="1263">
        <v>45</v>
      </c>
      <c r="AA108" s="1263">
        <v>39</v>
      </c>
      <c r="AB108" s="1263">
        <v>39</v>
      </c>
      <c r="AC108" s="1263">
        <v>55</v>
      </c>
      <c r="AD108" s="1263">
        <v>48</v>
      </c>
      <c r="AE108" s="1263">
        <v>81</v>
      </c>
      <c r="AF108" s="1263">
        <v>70</v>
      </c>
      <c r="AG108" s="1263">
        <v>51</v>
      </c>
      <c r="AH108" s="1559">
        <v>64</v>
      </c>
      <c r="AI108" s="1560">
        <f>'Non-marital births'!H109</f>
        <v>49</v>
      </c>
      <c r="AJ108" s="1270">
        <f t="shared" si="46"/>
        <v>0.43103448275862066</v>
      </c>
      <c r="AK108" s="1271">
        <f t="shared" si="47"/>
        <v>0.3247863247863248</v>
      </c>
      <c r="AL108" s="1271">
        <f t="shared" si="48"/>
        <v>0.40157480314960631</v>
      </c>
      <c r="AM108" s="1271">
        <f t="shared" si="49"/>
        <v>0.49090909090909091</v>
      </c>
      <c r="AN108" s="1271">
        <f t="shared" si="50"/>
        <v>0.51351351351351349</v>
      </c>
      <c r="AO108" s="1271">
        <f t="shared" si="51"/>
        <v>0.54545454545454541</v>
      </c>
      <c r="AP108" s="1271">
        <f t="shared" si="52"/>
        <v>0.52941176470588236</v>
      </c>
      <c r="AQ108" s="1271">
        <f t="shared" si="53"/>
        <v>0.5</v>
      </c>
      <c r="AR108" s="1271">
        <f t="shared" si="54"/>
        <v>0.50649350649350644</v>
      </c>
      <c r="AS108" s="1271">
        <f t="shared" si="55"/>
        <v>0.60439560439560436</v>
      </c>
      <c r="AT108" s="1271">
        <f t="shared" si="56"/>
        <v>0.57831325301204817</v>
      </c>
      <c r="AU108" s="1271">
        <f t="shared" si="57"/>
        <v>0.63779527559055116</v>
      </c>
      <c r="AV108" s="1271">
        <f t="shared" si="58"/>
        <v>0.53030303030303028</v>
      </c>
      <c r="AW108" s="1271">
        <f t="shared" si="59"/>
        <v>0.45945945945945948</v>
      </c>
      <c r="AX108" s="1552">
        <f t="shared" si="60"/>
        <v>0.52459016393442626</v>
      </c>
      <c r="AY108" s="1554">
        <f>'Non-marital births'!L109</f>
        <v>0.49</v>
      </c>
    </row>
    <row r="109" spans="1:51" s="142" customFormat="1" ht="15.75" customHeight="1" x14ac:dyDescent="0.2">
      <c r="A109" s="149" t="s">
        <v>106</v>
      </c>
      <c r="B109" s="189" t="s">
        <v>107</v>
      </c>
      <c r="C109" s="150" t="s">
        <v>264</v>
      </c>
      <c r="D109" s="1239">
        <v>2038</v>
      </c>
      <c r="E109" s="1240">
        <v>2026</v>
      </c>
      <c r="F109" s="1241">
        <v>2023</v>
      </c>
      <c r="G109" s="1240">
        <v>1927</v>
      </c>
      <c r="H109" s="1241">
        <v>1867</v>
      </c>
      <c r="I109" s="1240">
        <v>1810</v>
      </c>
      <c r="J109" s="1241">
        <v>1977</v>
      </c>
      <c r="K109" s="1240">
        <v>2026</v>
      </c>
      <c r="L109" s="1254">
        <v>2122</v>
      </c>
      <c r="M109" s="1254">
        <v>2135</v>
      </c>
      <c r="N109" s="1254">
        <v>1978</v>
      </c>
      <c r="O109" s="1254">
        <v>1936</v>
      </c>
      <c r="P109" s="1255">
        <v>1794</v>
      </c>
      <c r="Q109" s="1255">
        <v>1729</v>
      </c>
      <c r="R109" s="1556">
        <v>1825</v>
      </c>
      <c r="S109" s="1557">
        <f>'Non-marital births'!D110</f>
        <v>1817</v>
      </c>
      <c r="T109" s="1262">
        <v>818</v>
      </c>
      <c r="U109" s="1263">
        <v>857</v>
      </c>
      <c r="V109" s="1263">
        <v>845</v>
      </c>
      <c r="W109" s="1263">
        <v>834</v>
      </c>
      <c r="X109" s="1263">
        <v>814</v>
      </c>
      <c r="Y109" s="1263">
        <v>777</v>
      </c>
      <c r="Z109" s="1263">
        <v>877</v>
      </c>
      <c r="AA109" s="1263">
        <v>865</v>
      </c>
      <c r="AB109" s="1263">
        <v>883</v>
      </c>
      <c r="AC109" s="1263">
        <v>927</v>
      </c>
      <c r="AD109" s="1263">
        <v>881</v>
      </c>
      <c r="AE109" s="1263">
        <v>866</v>
      </c>
      <c r="AF109" s="1263">
        <v>821</v>
      </c>
      <c r="AG109" s="1263">
        <v>808</v>
      </c>
      <c r="AH109" s="1559">
        <v>861</v>
      </c>
      <c r="AI109" s="1560">
        <f>'Non-marital births'!H110</f>
        <v>856</v>
      </c>
      <c r="AJ109" s="1270">
        <f t="shared" si="46"/>
        <v>0.40137389597644751</v>
      </c>
      <c r="AK109" s="1271">
        <f t="shared" si="47"/>
        <v>0.42300098716683121</v>
      </c>
      <c r="AL109" s="1271">
        <f t="shared" si="48"/>
        <v>0.41769649036085021</v>
      </c>
      <c r="AM109" s="1271">
        <f t="shared" si="49"/>
        <v>0.43279709392838611</v>
      </c>
      <c r="AN109" s="1271">
        <f t="shared" si="50"/>
        <v>0.43599357257632565</v>
      </c>
      <c r="AO109" s="1271">
        <f t="shared" si="51"/>
        <v>0.42928176795580109</v>
      </c>
      <c r="AP109" s="1271">
        <f t="shared" si="52"/>
        <v>0.44360141628730398</v>
      </c>
      <c r="AQ109" s="1271">
        <f t="shared" si="53"/>
        <v>0.4269496544916091</v>
      </c>
      <c r="AR109" s="1271">
        <f t="shared" si="54"/>
        <v>0.4161168708765316</v>
      </c>
      <c r="AS109" s="1271">
        <f t="shared" si="55"/>
        <v>0.43419203747072599</v>
      </c>
      <c r="AT109" s="1271">
        <f t="shared" si="56"/>
        <v>0.44539939332659251</v>
      </c>
      <c r="AU109" s="1271">
        <f t="shared" si="57"/>
        <v>0.44731404958677684</v>
      </c>
      <c r="AV109" s="1271">
        <f t="shared" si="58"/>
        <v>0.4576365663322185</v>
      </c>
      <c r="AW109" s="1271">
        <f t="shared" si="59"/>
        <v>0.46732215153267787</v>
      </c>
      <c r="AX109" s="1552">
        <f t="shared" si="60"/>
        <v>0.47178082191780824</v>
      </c>
      <c r="AY109" s="1554">
        <f>'Non-marital births'!L110</f>
        <v>0.47110621904237754</v>
      </c>
    </row>
    <row r="110" spans="1:51" s="142" customFormat="1" ht="15.75" customHeight="1" x14ac:dyDescent="0.2">
      <c r="A110" s="149" t="s">
        <v>116</v>
      </c>
      <c r="B110" s="189" t="s">
        <v>117</v>
      </c>
      <c r="C110" s="150" t="s">
        <v>266</v>
      </c>
      <c r="D110" s="1239">
        <v>365</v>
      </c>
      <c r="E110" s="1240">
        <v>332</v>
      </c>
      <c r="F110" s="1241">
        <v>371</v>
      </c>
      <c r="G110" s="1240">
        <v>355</v>
      </c>
      <c r="H110" s="1241">
        <v>334</v>
      </c>
      <c r="I110" s="1240">
        <v>339</v>
      </c>
      <c r="J110" s="1241">
        <v>336</v>
      </c>
      <c r="K110" s="1240">
        <v>334</v>
      </c>
      <c r="L110" s="1254">
        <v>404</v>
      </c>
      <c r="M110" s="1254">
        <v>396</v>
      </c>
      <c r="N110" s="1254">
        <v>382</v>
      </c>
      <c r="O110" s="1254">
        <v>413</v>
      </c>
      <c r="P110" s="1255">
        <v>385</v>
      </c>
      <c r="Q110" s="1255">
        <v>339</v>
      </c>
      <c r="R110" s="1556">
        <v>367</v>
      </c>
      <c r="S110" s="1557">
        <f>'Non-marital births'!D111</f>
        <v>383</v>
      </c>
      <c r="T110" s="1262">
        <v>193</v>
      </c>
      <c r="U110" s="1263">
        <v>190</v>
      </c>
      <c r="V110" s="1263">
        <v>209</v>
      </c>
      <c r="W110" s="1263">
        <v>177</v>
      </c>
      <c r="X110" s="1263">
        <v>189</v>
      </c>
      <c r="Y110" s="1263">
        <v>216</v>
      </c>
      <c r="Z110" s="1263">
        <v>198</v>
      </c>
      <c r="AA110" s="1263">
        <v>203</v>
      </c>
      <c r="AB110" s="1263">
        <v>247</v>
      </c>
      <c r="AC110" s="1263">
        <v>248</v>
      </c>
      <c r="AD110" s="1263">
        <v>229</v>
      </c>
      <c r="AE110" s="1263">
        <v>285</v>
      </c>
      <c r="AF110" s="1263">
        <v>252</v>
      </c>
      <c r="AG110" s="1263">
        <v>232</v>
      </c>
      <c r="AH110" s="1559">
        <v>232</v>
      </c>
      <c r="AI110" s="1560">
        <f>'Non-marital births'!H111</f>
        <v>252</v>
      </c>
      <c r="AJ110" s="1270">
        <f t="shared" si="46"/>
        <v>0.52876712328767128</v>
      </c>
      <c r="AK110" s="1271">
        <f t="shared" si="47"/>
        <v>0.57228915662650603</v>
      </c>
      <c r="AL110" s="1271">
        <f t="shared" si="48"/>
        <v>0.56334231805929924</v>
      </c>
      <c r="AM110" s="1271">
        <f t="shared" si="49"/>
        <v>0.49859154929577465</v>
      </c>
      <c r="AN110" s="1271">
        <f t="shared" si="50"/>
        <v>0.56586826347305386</v>
      </c>
      <c r="AO110" s="1271">
        <f t="shared" si="51"/>
        <v>0.63716814159292035</v>
      </c>
      <c r="AP110" s="1271">
        <f t="shared" si="52"/>
        <v>0.5892857142857143</v>
      </c>
      <c r="AQ110" s="1271">
        <f t="shared" si="53"/>
        <v>0.60778443113772451</v>
      </c>
      <c r="AR110" s="1271">
        <f t="shared" si="54"/>
        <v>0.61138613861386137</v>
      </c>
      <c r="AS110" s="1271">
        <f t="shared" si="55"/>
        <v>0.6262626262626263</v>
      </c>
      <c r="AT110" s="1271">
        <f t="shared" si="56"/>
        <v>0.59947643979057597</v>
      </c>
      <c r="AU110" s="1271">
        <f t="shared" si="57"/>
        <v>0.69007263922518158</v>
      </c>
      <c r="AV110" s="1271">
        <f t="shared" si="58"/>
        <v>0.65454545454545454</v>
      </c>
      <c r="AW110" s="1271">
        <f t="shared" si="59"/>
        <v>0.68436578171091444</v>
      </c>
      <c r="AX110" s="1552">
        <f t="shared" si="60"/>
        <v>0.63215258855585832</v>
      </c>
      <c r="AY110" s="1554">
        <f>'Non-marital births'!L111</f>
        <v>0.65796344647519578</v>
      </c>
    </row>
    <row r="111" spans="1:51" s="142" customFormat="1" ht="15.75" customHeight="1" x14ac:dyDescent="0.2">
      <c r="A111" s="149" t="s">
        <v>138</v>
      </c>
      <c r="B111" s="189" t="s">
        <v>139</v>
      </c>
      <c r="C111" s="150" t="s">
        <v>265</v>
      </c>
      <c r="D111" s="1239">
        <v>738</v>
      </c>
      <c r="E111" s="1240">
        <v>792</v>
      </c>
      <c r="F111" s="1241">
        <v>845</v>
      </c>
      <c r="G111" s="1240">
        <v>834</v>
      </c>
      <c r="H111" s="1241">
        <v>887</v>
      </c>
      <c r="I111" s="1241">
        <v>861</v>
      </c>
      <c r="J111" s="1241">
        <v>831</v>
      </c>
      <c r="K111" s="1240">
        <v>945</v>
      </c>
      <c r="L111" s="1254">
        <v>964</v>
      </c>
      <c r="M111" s="1254">
        <v>1115</v>
      </c>
      <c r="N111" s="1254">
        <v>1038</v>
      </c>
      <c r="O111" s="1254">
        <v>1023</v>
      </c>
      <c r="P111" s="1255">
        <v>1124</v>
      </c>
      <c r="Q111" s="1255">
        <v>1074</v>
      </c>
      <c r="R111" s="1556">
        <v>1062</v>
      </c>
      <c r="S111" s="1557">
        <f>'Non-marital births'!D112</f>
        <v>1147</v>
      </c>
      <c r="T111" s="1262">
        <v>329</v>
      </c>
      <c r="U111" s="1263">
        <v>331</v>
      </c>
      <c r="V111" s="1263">
        <v>375</v>
      </c>
      <c r="W111" s="1263">
        <v>379</v>
      </c>
      <c r="X111" s="1263">
        <v>413</v>
      </c>
      <c r="Y111" s="1263">
        <v>384</v>
      </c>
      <c r="Z111" s="1263">
        <v>362</v>
      </c>
      <c r="AA111" s="1263">
        <v>445</v>
      </c>
      <c r="AB111" s="1263">
        <v>441</v>
      </c>
      <c r="AC111" s="1263">
        <v>519</v>
      </c>
      <c r="AD111" s="1263">
        <v>473</v>
      </c>
      <c r="AE111" s="1263">
        <v>456</v>
      </c>
      <c r="AF111" s="1263">
        <v>495</v>
      </c>
      <c r="AG111" s="1263">
        <v>458</v>
      </c>
      <c r="AH111" s="1559">
        <v>444</v>
      </c>
      <c r="AI111" s="1560">
        <f>'Non-marital births'!H112</f>
        <v>467</v>
      </c>
      <c r="AJ111" s="1270">
        <f t="shared" si="46"/>
        <v>0.44579945799457993</v>
      </c>
      <c r="AK111" s="1271">
        <f t="shared" si="47"/>
        <v>0.41792929292929293</v>
      </c>
      <c r="AL111" s="1271">
        <f t="shared" si="48"/>
        <v>0.4437869822485207</v>
      </c>
      <c r="AM111" s="1271">
        <f t="shared" si="49"/>
        <v>0.45443645083932854</v>
      </c>
      <c r="AN111" s="1271">
        <f t="shared" si="50"/>
        <v>0.46561443066516345</v>
      </c>
      <c r="AO111" s="1271">
        <f t="shared" si="51"/>
        <v>0.44599303135888502</v>
      </c>
      <c r="AP111" s="1271">
        <f t="shared" si="52"/>
        <v>0.43561973525872444</v>
      </c>
      <c r="AQ111" s="1271">
        <f t="shared" si="53"/>
        <v>0.47089947089947087</v>
      </c>
      <c r="AR111" s="1271">
        <f t="shared" si="54"/>
        <v>0.45746887966804978</v>
      </c>
      <c r="AS111" s="1271">
        <f t="shared" si="55"/>
        <v>0.4654708520179372</v>
      </c>
      <c r="AT111" s="1271">
        <f t="shared" si="56"/>
        <v>0.45568400770712908</v>
      </c>
      <c r="AU111" s="1271">
        <f t="shared" si="57"/>
        <v>0.44574780058651026</v>
      </c>
      <c r="AV111" s="1271">
        <f t="shared" si="58"/>
        <v>0.44039145907473309</v>
      </c>
      <c r="AW111" s="1271">
        <f t="shared" si="59"/>
        <v>0.42644320297951582</v>
      </c>
      <c r="AX111" s="1552">
        <f t="shared" si="60"/>
        <v>0.41807909604519772</v>
      </c>
      <c r="AY111" s="1554">
        <f>'Non-marital births'!L112</f>
        <v>0.4071490845684394</v>
      </c>
    </row>
    <row r="112" spans="1:51" s="142" customFormat="1" ht="15.75" customHeight="1" x14ac:dyDescent="0.2">
      <c r="A112" s="149" t="s">
        <v>142</v>
      </c>
      <c r="B112" s="189" t="s">
        <v>273</v>
      </c>
      <c r="C112" s="150" t="s">
        <v>267</v>
      </c>
      <c r="D112" s="1239">
        <v>647</v>
      </c>
      <c r="E112" s="1240">
        <v>684</v>
      </c>
      <c r="F112" s="1241">
        <v>772</v>
      </c>
      <c r="G112" s="1240">
        <v>678</v>
      </c>
      <c r="H112" s="1241">
        <v>683</v>
      </c>
      <c r="I112" s="1240">
        <v>686</v>
      </c>
      <c r="J112" s="1241">
        <v>638</v>
      </c>
      <c r="K112" s="1240">
        <v>686</v>
      </c>
      <c r="L112" s="1254">
        <v>767</v>
      </c>
      <c r="M112" s="1254">
        <v>657</v>
      </c>
      <c r="N112" s="1254">
        <v>548</v>
      </c>
      <c r="O112" s="1254">
        <v>580</v>
      </c>
      <c r="P112" s="1255">
        <v>670</v>
      </c>
      <c r="Q112" s="1255">
        <v>721</v>
      </c>
      <c r="R112" s="1556">
        <v>755</v>
      </c>
      <c r="S112" s="1557">
        <f>'Non-marital births'!D113</f>
        <v>759</v>
      </c>
      <c r="T112" s="1262">
        <v>164</v>
      </c>
      <c r="U112" s="1263">
        <v>195</v>
      </c>
      <c r="V112" s="1263">
        <v>221</v>
      </c>
      <c r="W112" s="1263">
        <v>202</v>
      </c>
      <c r="X112" s="1263">
        <v>205</v>
      </c>
      <c r="Y112" s="1263">
        <v>235</v>
      </c>
      <c r="Z112" s="1263">
        <v>232</v>
      </c>
      <c r="AA112" s="1263">
        <v>248</v>
      </c>
      <c r="AB112" s="1263">
        <v>365</v>
      </c>
      <c r="AC112" s="1263">
        <v>293</v>
      </c>
      <c r="AD112" s="1263">
        <v>231</v>
      </c>
      <c r="AE112" s="1263">
        <v>237</v>
      </c>
      <c r="AF112" s="1263">
        <v>292</v>
      </c>
      <c r="AG112" s="1263">
        <v>292</v>
      </c>
      <c r="AH112" s="1559">
        <v>313</v>
      </c>
      <c r="AI112" s="1560">
        <f>'Non-marital births'!H113</f>
        <v>298</v>
      </c>
      <c r="AJ112" s="1270">
        <f t="shared" si="46"/>
        <v>0.25347758887171562</v>
      </c>
      <c r="AK112" s="1271">
        <f t="shared" si="47"/>
        <v>0.28508771929824561</v>
      </c>
      <c r="AL112" s="1271">
        <f t="shared" si="48"/>
        <v>0.28626943005181349</v>
      </c>
      <c r="AM112" s="1271">
        <f t="shared" si="49"/>
        <v>0.29793510324483774</v>
      </c>
      <c r="AN112" s="1271">
        <f t="shared" si="50"/>
        <v>0.3001464128843338</v>
      </c>
      <c r="AO112" s="1271">
        <f t="shared" si="51"/>
        <v>0.3425655976676385</v>
      </c>
      <c r="AP112" s="1271">
        <f t="shared" si="52"/>
        <v>0.36363636363636365</v>
      </c>
      <c r="AQ112" s="1271">
        <f t="shared" si="53"/>
        <v>0.36151603498542273</v>
      </c>
      <c r="AR112" s="1271">
        <f t="shared" si="54"/>
        <v>0.47588005215123858</v>
      </c>
      <c r="AS112" s="1271">
        <f t="shared" si="55"/>
        <v>0.44596651445966512</v>
      </c>
      <c r="AT112" s="1271">
        <f t="shared" si="56"/>
        <v>0.42153284671532848</v>
      </c>
      <c r="AU112" s="1271">
        <f t="shared" si="57"/>
        <v>0.4086206896551724</v>
      </c>
      <c r="AV112" s="1271">
        <f t="shared" si="58"/>
        <v>0.43582089552238806</v>
      </c>
      <c r="AW112" s="1271">
        <f t="shared" si="59"/>
        <v>0.40499306518723993</v>
      </c>
      <c r="AX112" s="1552">
        <f t="shared" si="60"/>
        <v>0.41456953642384103</v>
      </c>
      <c r="AY112" s="1554">
        <f>'Non-marital births'!L113</f>
        <v>0.39262187088274042</v>
      </c>
    </row>
    <row r="113" spans="1:51" s="142" customFormat="1" ht="15.75" customHeight="1" x14ac:dyDescent="0.2">
      <c r="A113" s="149" t="s">
        <v>144</v>
      </c>
      <c r="B113" s="189" t="s">
        <v>145</v>
      </c>
      <c r="C113" s="150" t="s">
        <v>267</v>
      </c>
      <c r="D113" s="1239">
        <v>183</v>
      </c>
      <c r="E113" s="1240">
        <v>207</v>
      </c>
      <c r="F113" s="1241">
        <v>208</v>
      </c>
      <c r="G113" s="1240">
        <v>208</v>
      </c>
      <c r="H113" s="1241">
        <v>241</v>
      </c>
      <c r="I113" s="1240">
        <v>215</v>
      </c>
      <c r="J113" s="1241">
        <v>294</v>
      </c>
      <c r="K113" s="1240">
        <v>277</v>
      </c>
      <c r="L113" s="1254">
        <v>322</v>
      </c>
      <c r="M113" s="1254">
        <v>235</v>
      </c>
      <c r="N113" s="1254">
        <v>226</v>
      </c>
      <c r="O113" s="1254">
        <v>228</v>
      </c>
      <c r="P113" s="1255">
        <v>21</v>
      </c>
      <c r="Q113" s="1255">
        <v>66</v>
      </c>
      <c r="R113" s="1556">
        <v>20</v>
      </c>
      <c r="S113" s="1557">
        <f>'Non-marital births'!D114</f>
        <v>19</v>
      </c>
      <c r="T113" s="1262">
        <v>52</v>
      </c>
      <c r="U113" s="1263">
        <v>48</v>
      </c>
      <c r="V113" s="1263">
        <v>49</v>
      </c>
      <c r="W113" s="1263">
        <v>48</v>
      </c>
      <c r="X113" s="1263">
        <v>56</v>
      </c>
      <c r="Y113" s="1263">
        <v>58</v>
      </c>
      <c r="Z113" s="1263">
        <v>106</v>
      </c>
      <c r="AA113" s="1263">
        <v>114</v>
      </c>
      <c r="AB113" s="1263">
        <v>134</v>
      </c>
      <c r="AC113" s="1263">
        <v>93</v>
      </c>
      <c r="AD113" s="1263">
        <v>86</v>
      </c>
      <c r="AE113" s="1263">
        <v>83</v>
      </c>
      <c r="AF113" s="1263">
        <v>7</v>
      </c>
      <c r="AG113" s="1263">
        <v>23</v>
      </c>
      <c r="AH113" s="1559">
        <v>6</v>
      </c>
      <c r="AI113" s="1560">
        <f>'Non-marital births'!H114</f>
        <v>4</v>
      </c>
      <c r="AJ113" s="1270">
        <f t="shared" si="46"/>
        <v>0.28415300546448086</v>
      </c>
      <c r="AK113" s="1271">
        <f t="shared" si="47"/>
        <v>0.2318840579710145</v>
      </c>
      <c r="AL113" s="1271">
        <f t="shared" si="48"/>
        <v>0.23557692307692307</v>
      </c>
      <c r="AM113" s="1271">
        <f t="shared" si="49"/>
        <v>0.23076923076923078</v>
      </c>
      <c r="AN113" s="1271">
        <f t="shared" si="50"/>
        <v>0.23236514522821577</v>
      </c>
      <c r="AO113" s="1271">
        <f t="shared" si="51"/>
        <v>0.26976744186046514</v>
      </c>
      <c r="AP113" s="1271">
        <f t="shared" si="52"/>
        <v>0.36054421768707484</v>
      </c>
      <c r="AQ113" s="1271">
        <f t="shared" si="53"/>
        <v>0.41155234657039713</v>
      </c>
      <c r="AR113" s="1271">
        <f t="shared" si="54"/>
        <v>0.41614906832298137</v>
      </c>
      <c r="AS113" s="1271">
        <f t="shared" si="55"/>
        <v>0.39574468085106385</v>
      </c>
      <c r="AT113" s="1271">
        <f t="shared" si="56"/>
        <v>0.38053097345132741</v>
      </c>
      <c r="AU113" s="1271">
        <f t="shared" si="57"/>
        <v>0.36403508771929827</v>
      </c>
      <c r="AV113" s="1271">
        <f t="shared" si="58"/>
        <v>0.33333333333333331</v>
      </c>
      <c r="AW113" s="1271">
        <f t="shared" si="59"/>
        <v>0.34848484848484851</v>
      </c>
      <c r="AX113" s="1552">
        <f t="shared" si="60"/>
        <v>0.3</v>
      </c>
      <c r="AY113" s="1554">
        <f>'Non-marital births'!L114</f>
        <v>0.21052631578947367</v>
      </c>
    </row>
    <row r="114" spans="1:51" s="142" customFormat="1" ht="15.75" customHeight="1" x14ac:dyDescent="0.2">
      <c r="A114" s="149" t="s">
        <v>158</v>
      </c>
      <c r="B114" s="189" t="s">
        <v>159</v>
      </c>
      <c r="C114" s="150" t="s">
        <v>264</v>
      </c>
      <c r="D114" s="1239">
        <v>3124</v>
      </c>
      <c r="E114" s="1240">
        <v>3183</v>
      </c>
      <c r="F114" s="1241">
        <v>3126</v>
      </c>
      <c r="G114" s="1240">
        <v>3194</v>
      </c>
      <c r="H114" s="1241">
        <v>3170</v>
      </c>
      <c r="I114" s="1240">
        <v>3212</v>
      </c>
      <c r="J114" s="1241">
        <v>3206</v>
      </c>
      <c r="K114" s="1240">
        <v>3223</v>
      </c>
      <c r="L114" s="1254">
        <v>3233</v>
      </c>
      <c r="M114" s="1254">
        <v>3231</v>
      </c>
      <c r="N114" s="1254">
        <v>3271</v>
      </c>
      <c r="O114" s="1254">
        <v>3206</v>
      </c>
      <c r="P114" s="1255">
        <v>3012</v>
      </c>
      <c r="Q114" s="1255">
        <v>3049</v>
      </c>
      <c r="R114" s="1556">
        <v>2905</v>
      </c>
      <c r="S114" s="1557">
        <f>'Non-marital births'!D115</f>
        <v>2856</v>
      </c>
      <c r="T114" s="1262">
        <v>1309</v>
      </c>
      <c r="U114" s="1263">
        <v>1329</v>
      </c>
      <c r="V114" s="1263">
        <v>1376</v>
      </c>
      <c r="W114" s="1263">
        <v>1407</v>
      </c>
      <c r="X114" s="1263">
        <v>1360</v>
      </c>
      <c r="Y114" s="1263">
        <v>1436</v>
      </c>
      <c r="Z114" s="1263">
        <v>1406</v>
      </c>
      <c r="AA114" s="1263">
        <v>1441</v>
      </c>
      <c r="AB114" s="1263">
        <v>1517</v>
      </c>
      <c r="AC114" s="1263">
        <v>1582</v>
      </c>
      <c r="AD114" s="1263">
        <v>1618</v>
      </c>
      <c r="AE114" s="1263">
        <v>1524</v>
      </c>
      <c r="AF114" s="1263">
        <v>1461</v>
      </c>
      <c r="AG114" s="1263">
        <v>1516</v>
      </c>
      <c r="AH114" s="1559">
        <v>1463</v>
      </c>
      <c r="AI114" s="1560">
        <f>'Non-marital births'!H115</f>
        <v>1406</v>
      </c>
      <c r="AJ114" s="1270">
        <f t="shared" si="46"/>
        <v>0.41901408450704225</v>
      </c>
      <c r="AK114" s="1271">
        <f t="shared" si="47"/>
        <v>0.41753063147973613</v>
      </c>
      <c r="AL114" s="1271">
        <f t="shared" si="48"/>
        <v>0.44017914267434421</v>
      </c>
      <c r="AM114" s="1271">
        <f t="shared" si="49"/>
        <v>0.44051346274264247</v>
      </c>
      <c r="AN114" s="1271">
        <f t="shared" si="50"/>
        <v>0.42902208201892744</v>
      </c>
      <c r="AO114" s="1271">
        <f t="shared" si="51"/>
        <v>0.44707347447073476</v>
      </c>
      <c r="AP114" s="1271">
        <f t="shared" si="52"/>
        <v>0.43855271366188397</v>
      </c>
      <c r="AQ114" s="1271">
        <f t="shared" si="53"/>
        <v>0.44709897610921501</v>
      </c>
      <c r="AR114" s="1271">
        <f t="shared" si="54"/>
        <v>0.46922363130219608</v>
      </c>
      <c r="AS114" s="1271">
        <f t="shared" si="55"/>
        <v>0.48963169297431136</v>
      </c>
      <c r="AT114" s="1271">
        <f t="shared" si="56"/>
        <v>0.4946499541424641</v>
      </c>
      <c r="AU114" s="1271">
        <f t="shared" si="57"/>
        <v>0.47535870243293826</v>
      </c>
      <c r="AV114" s="1271">
        <f t="shared" si="58"/>
        <v>0.48505976095617531</v>
      </c>
      <c r="AW114" s="1271">
        <f t="shared" si="59"/>
        <v>0.49721220072154804</v>
      </c>
      <c r="AX114" s="1552">
        <f t="shared" si="60"/>
        <v>0.5036144578313253</v>
      </c>
      <c r="AY114" s="1554">
        <f>'Non-marital births'!L115</f>
        <v>0.49229691876750703</v>
      </c>
    </row>
    <row r="115" spans="1:51" s="142" customFormat="1" ht="15.75" customHeight="1" x14ac:dyDescent="0.2">
      <c r="A115" s="149" t="s">
        <v>160</v>
      </c>
      <c r="B115" s="189" t="s">
        <v>161</v>
      </c>
      <c r="C115" s="150" t="s">
        <v>264</v>
      </c>
      <c r="D115" s="1239">
        <v>4018</v>
      </c>
      <c r="E115" s="1240">
        <v>3843</v>
      </c>
      <c r="F115" s="1241">
        <v>3984</v>
      </c>
      <c r="G115" s="1240">
        <v>4015</v>
      </c>
      <c r="H115" s="1241">
        <v>4119</v>
      </c>
      <c r="I115" s="1240">
        <v>3942</v>
      </c>
      <c r="J115" s="1241">
        <v>4094</v>
      </c>
      <c r="K115" s="1240">
        <v>4097</v>
      </c>
      <c r="L115" s="1254">
        <v>4036</v>
      </c>
      <c r="M115" s="1254">
        <v>4159</v>
      </c>
      <c r="N115" s="1254">
        <v>4088</v>
      </c>
      <c r="O115" s="1254">
        <v>3842</v>
      </c>
      <c r="P115" s="1255">
        <v>3791</v>
      </c>
      <c r="Q115" s="1255">
        <v>3718</v>
      </c>
      <c r="R115" s="1556">
        <v>3773</v>
      </c>
      <c r="S115" s="1557">
        <f>'Non-marital births'!D116</f>
        <v>3705</v>
      </c>
      <c r="T115" s="1262">
        <v>2011</v>
      </c>
      <c r="U115" s="1263">
        <v>1894</v>
      </c>
      <c r="V115" s="1263">
        <v>1876</v>
      </c>
      <c r="W115" s="1263">
        <v>2026</v>
      </c>
      <c r="X115" s="1263">
        <v>2003</v>
      </c>
      <c r="Y115" s="1263">
        <v>1887</v>
      </c>
      <c r="Z115" s="1263">
        <v>1877</v>
      </c>
      <c r="AA115" s="1263">
        <v>1937</v>
      </c>
      <c r="AB115" s="1263">
        <v>1873</v>
      </c>
      <c r="AC115" s="1263">
        <v>2019</v>
      </c>
      <c r="AD115" s="1263">
        <v>2103</v>
      </c>
      <c r="AE115" s="1263">
        <v>1892</v>
      </c>
      <c r="AF115" s="1263">
        <v>1946</v>
      </c>
      <c r="AG115" s="1263">
        <v>1893</v>
      </c>
      <c r="AH115" s="1559">
        <v>1908</v>
      </c>
      <c r="AI115" s="1560">
        <f>'Non-marital births'!H116</f>
        <v>1782</v>
      </c>
      <c r="AJ115" s="1270">
        <f t="shared" si="46"/>
        <v>0.50049776007964164</v>
      </c>
      <c r="AK115" s="1271">
        <f t="shared" si="47"/>
        <v>0.49284413218839446</v>
      </c>
      <c r="AL115" s="1271">
        <f t="shared" si="48"/>
        <v>0.47088353413654621</v>
      </c>
      <c r="AM115" s="1271">
        <f t="shared" si="49"/>
        <v>0.50460772104607721</v>
      </c>
      <c r="AN115" s="1271">
        <f t="shared" si="50"/>
        <v>0.48628307841709151</v>
      </c>
      <c r="AO115" s="1271">
        <f t="shared" si="51"/>
        <v>0.4786910197869102</v>
      </c>
      <c r="AP115" s="1271">
        <f t="shared" si="52"/>
        <v>0.45847581827063993</v>
      </c>
      <c r="AQ115" s="1271">
        <f t="shared" si="53"/>
        <v>0.47278496460824992</v>
      </c>
      <c r="AR115" s="1271">
        <f t="shared" si="54"/>
        <v>0.46407333994053518</v>
      </c>
      <c r="AS115" s="1271">
        <f t="shared" si="55"/>
        <v>0.48545323395046885</v>
      </c>
      <c r="AT115" s="1271">
        <f t="shared" si="56"/>
        <v>0.51443248532289632</v>
      </c>
      <c r="AU115" s="1271">
        <f t="shared" si="57"/>
        <v>0.49245184799583552</v>
      </c>
      <c r="AV115" s="1271">
        <f t="shared" si="58"/>
        <v>0.5133210234766552</v>
      </c>
      <c r="AW115" s="1271">
        <f t="shared" si="59"/>
        <v>0.50914470145239377</v>
      </c>
      <c r="AX115" s="1552">
        <f t="shared" si="60"/>
        <v>0.50569838324940364</v>
      </c>
      <c r="AY115" s="1554">
        <f>'Non-marital births'!L116</f>
        <v>0.48097165991902835</v>
      </c>
    </row>
    <row r="116" spans="1:51" s="142" customFormat="1" ht="15.75" customHeight="1" x14ac:dyDescent="0.2">
      <c r="A116" s="149" t="s">
        <v>166</v>
      </c>
      <c r="B116" s="189" t="s">
        <v>167</v>
      </c>
      <c r="C116" s="150" t="s">
        <v>268</v>
      </c>
      <c r="D116" s="1239">
        <v>45</v>
      </c>
      <c r="E116" s="1240">
        <v>59</v>
      </c>
      <c r="F116" s="1241">
        <v>62</v>
      </c>
      <c r="G116" s="1240">
        <v>39</v>
      </c>
      <c r="H116" s="1241">
        <v>23</v>
      </c>
      <c r="I116" s="1240">
        <v>43</v>
      </c>
      <c r="J116" s="1241">
        <v>37</v>
      </c>
      <c r="K116" s="1240">
        <v>30</v>
      </c>
      <c r="L116" s="1254">
        <v>36</v>
      </c>
      <c r="M116" s="1254">
        <v>45</v>
      </c>
      <c r="N116" s="1254">
        <v>41</v>
      </c>
      <c r="O116" s="1254">
        <v>62</v>
      </c>
      <c r="P116" s="1255">
        <v>77</v>
      </c>
      <c r="Q116" s="1255">
        <v>58</v>
      </c>
      <c r="R116" s="1556">
        <v>60</v>
      </c>
      <c r="S116" s="1557">
        <f>'Non-marital births'!D117</f>
        <v>59</v>
      </c>
      <c r="T116" s="1262">
        <v>16</v>
      </c>
      <c r="U116" s="1263">
        <v>19</v>
      </c>
      <c r="V116" s="1263">
        <v>18</v>
      </c>
      <c r="W116" s="1263">
        <v>13</v>
      </c>
      <c r="X116" s="1263">
        <v>12</v>
      </c>
      <c r="Y116" s="1263">
        <v>22</v>
      </c>
      <c r="Z116" s="1263">
        <v>24</v>
      </c>
      <c r="AA116" s="1263">
        <v>16</v>
      </c>
      <c r="AB116" s="1263">
        <v>18</v>
      </c>
      <c r="AC116" s="1263">
        <v>23</v>
      </c>
      <c r="AD116" s="1263">
        <v>19</v>
      </c>
      <c r="AE116" s="1263">
        <v>30</v>
      </c>
      <c r="AF116" s="1263">
        <v>35</v>
      </c>
      <c r="AG116" s="1263">
        <v>29</v>
      </c>
      <c r="AH116" s="1559">
        <v>35</v>
      </c>
      <c r="AI116" s="1560">
        <f>'Non-marital births'!H117</f>
        <v>27</v>
      </c>
      <c r="AJ116" s="1270">
        <f t="shared" si="46"/>
        <v>0.35555555555555557</v>
      </c>
      <c r="AK116" s="1271">
        <f t="shared" si="47"/>
        <v>0.32203389830508472</v>
      </c>
      <c r="AL116" s="1271">
        <f t="shared" si="48"/>
        <v>0.29032258064516131</v>
      </c>
      <c r="AM116" s="1271">
        <f t="shared" si="49"/>
        <v>0.33333333333333331</v>
      </c>
      <c r="AN116" s="1271">
        <f t="shared" si="50"/>
        <v>0.52173913043478259</v>
      </c>
      <c r="AO116" s="1271">
        <f t="shared" si="51"/>
        <v>0.51162790697674421</v>
      </c>
      <c r="AP116" s="1271">
        <f t="shared" si="52"/>
        <v>0.64864864864864868</v>
      </c>
      <c r="AQ116" s="1271">
        <f t="shared" si="53"/>
        <v>0.53333333333333333</v>
      </c>
      <c r="AR116" s="1271">
        <f t="shared" si="54"/>
        <v>0.5</v>
      </c>
      <c r="AS116" s="1271">
        <f t="shared" si="55"/>
        <v>0.51111111111111107</v>
      </c>
      <c r="AT116" s="1271">
        <f t="shared" si="56"/>
        <v>0.46341463414634149</v>
      </c>
      <c r="AU116" s="1271">
        <f t="shared" si="57"/>
        <v>0.4838709677419355</v>
      </c>
      <c r="AV116" s="1271">
        <f t="shared" si="58"/>
        <v>0.45454545454545453</v>
      </c>
      <c r="AW116" s="1271">
        <f t="shared" si="59"/>
        <v>0.5</v>
      </c>
      <c r="AX116" s="1552">
        <f t="shared" si="60"/>
        <v>0.58333333333333337</v>
      </c>
      <c r="AY116" s="1554">
        <f>'Non-marital births'!L117</f>
        <v>0.4576271186440678</v>
      </c>
    </row>
    <row r="117" spans="1:51" s="142" customFormat="1" ht="15.75" customHeight="1" x14ac:dyDescent="0.2">
      <c r="A117" s="149" t="s">
        <v>176</v>
      </c>
      <c r="B117" s="189" t="s">
        <v>177</v>
      </c>
      <c r="C117" s="150" t="s">
        <v>266</v>
      </c>
      <c r="D117" s="1239">
        <v>572</v>
      </c>
      <c r="E117" s="1240">
        <v>551</v>
      </c>
      <c r="F117" s="1241">
        <v>526</v>
      </c>
      <c r="G117" s="1240">
        <v>555</v>
      </c>
      <c r="H117" s="1241">
        <v>530</v>
      </c>
      <c r="I117" s="1240">
        <v>543</v>
      </c>
      <c r="J117" s="1241">
        <v>528</v>
      </c>
      <c r="K117" s="1240">
        <v>492</v>
      </c>
      <c r="L117" s="1254">
        <v>568</v>
      </c>
      <c r="M117" s="1254">
        <v>652</v>
      </c>
      <c r="N117" s="1254">
        <v>603</v>
      </c>
      <c r="O117" s="1254">
        <v>667</v>
      </c>
      <c r="P117" s="1255">
        <v>699</v>
      </c>
      <c r="Q117" s="1255">
        <v>659</v>
      </c>
      <c r="R117" s="1556">
        <v>612</v>
      </c>
      <c r="S117" s="1557">
        <f>'Non-marital births'!D118</f>
        <v>721</v>
      </c>
      <c r="T117" s="1262">
        <v>376</v>
      </c>
      <c r="U117" s="1263">
        <v>380</v>
      </c>
      <c r="V117" s="1263">
        <v>385</v>
      </c>
      <c r="W117" s="1263">
        <v>393</v>
      </c>
      <c r="X117" s="1263">
        <v>377</v>
      </c>
      <c r="Y117" s="1263">
        <v>394</v>
      </c>
      <c r="Z117" s="1263">
        <v>381</v>
      </c>
      <c r="AA117" s="1263">
        <v>362</v>
      </c>
      <c r="AB117" s="1263">
        <v>388</v>
      </c>
      <c r="AC117" s="1263">
        <v>457</v>
      </c>
      <c r="AD117" s="1263">
        <v>453</v>
      </c>
      <c r="AE117" s="1263">
        <v>498</v>
      </c>
      <c r="AF117" s="1263">
        <v>529</v>
      </c>
      <c r="AG117" s="1263">
        <v>489</v>
      </c>
      <c r="AH117" s="1559">
        <v>471</v>
      </c>
      <c r="AI117" s="1560">
        <f>'Non-marital births'!H118</f>
        <v>510</v>
      </c>
      <c r="AJ117" s="1270">
        <f t="shared" si="46"/>
        <v>0.65734265734265729</v>
      </c>
      <c r="AK117" s="1271">
        <f t="shared" si="47"/>
        <v>0.68965517241379315</v>
      </c>
      <c r="AL117" s="1271">
        <f t="shared" si="48"/>
        <v>0.73193916349809884</v>
      </c>
      <c r="AM117" s="1271">
        <f t="shared" si="49"/>
        <v>0.70810810810810809</v>
      </c>
      <c r="AN117" s="1271">
        <f t="shared" si="50"/>
        <v>0.71132075471698109</v>
      </c>
      <c r="AO117" s="1271">
        <f t="shared" si="51"/>
        <v>0.72559852670349911</v>
      </c>
      <c r="AP117" s="1271">
        <f t="shared" si="52"/>
        <v>0.72159090909090906</v>
      </c>
      <c r="AQ117" s="1271">
        <f t="shared" si="53"/>
        <v>0.73577235772357719</v>
      </c>
      <c r="AR117" s="1271">
        <f t="shared" si="54"/>
        <v>0.68309859154929575</v>
      </c>
      <c r="AS117" s="1271">
        <f t="shared" si="55"/>
        <v>0.70092024539877296</v>
      </c>
      <c r="AT117" s="1271">
        <f t="shared" si="56"/>
        <v>0.75124378109452739</v>
      </c>
      <c r="AU117" s="1271">
        <f t="shared" si="57"/>
        <v>0.74662668665667165</v>
      </c>
      <c r="AV117" s="1271">
        <f t="shared" si="58"/>
        <v>0.75679542203147354</v>
      </c>
      <c r="AW117" s="1271">
        <f t="shared" si="59"/>
        <v>0.74203338391502272</v>
      </c>
      <c r="AX117" s="1552">
        <f t="shared" si="60"/>
        <v>0.76960784313725494</v>
      </c>
      <c r="AY117" s="1554">
        <f>'Non-marital births'!L118</f>
        <v>0.70735090152565883</v>
      </c>
    </row>
    <row r="118" spans="1:51" s="142" customFormat="1" ht="15.75" customHeight="1" x14ac:dyDescent="0.2">
      <c r="A118" s="149" t="s">
        <v>180</v>
      </c>
      <c r="B118" s="189" t="s">
        <v>181</v>
      </c>
      <c r="C118" s="150" t="s">
        <v>264</v>
      </c>
      <c r="D118" s="1239">
        <v>1644</v>
      </c>
      <c r="E118" s="1240">
        <v>1604</v>
      </c>
      <c r="F118" s="1241">
        <v>1544</v>
      </c>
      <c r="G118" s="1240">
        <v>1585</v>
      </c>
      <c r="H118" s="1241">
        <v>1539</v>
      </c>
      <c r="I118" s="1240">
        <v>1597</v>
      </c>
      <c r="J118" s="1241">
        <v>1647</v>
      </c>
      <c r="K118" s="1240">
        <v>1620</v>
      </c>
      <c r="L118" s="1254">
        <v>1744</v>
      </c>
      <c r="M118" s="1254">
        <v>1642</v>
      </c>
      <c r="N118" s="1254">
        <v>1555</v>
      </c>
      <c r="O118" s="1254">
        <v>1623</v>
      </c>
      <c r="P118" s="1255">
        <v>1590</v>
      </c>
      <c r="Q118" s="1255">
        <v>1580</v>
      </c>
      <c r="R118" s="1556">
        <v>1534</v>
      </c>
      <c r="S118" s="1557">
        <f>'Non-marital births'!D119</f>
        <v>1551</v>
      </c>
      <c r="T118" s="1262">
        <v>865</v>
      </c>
      <c r="U118" s="1263">
        <v>847</v>
      </c>
      <c r="V118" s="1263">
        <v>819</v>
      </c>
      <c r="W118" s="1263">
        <v>852</v>
      </c>
      <c r="X118" s="1263">
        <v>795</v>
      </c>
      <c r="Y118" s="1263">
        <v>791</v>
      </c>
      <c r="Z118" s="1263">
        <v>828</v>
      </c>
      <c r="AA118" s="1263">
        <v>815</v>
      </c>
      <c r="AB118" s="1263">
        <v>907</v>
      </c>
      <c r="AC118" s="1263">
        <v>850</v>
      </c>
      <c r="AD118" s="1263">
        <v>844</v>
      </c>
      <c r="AE118" s="1263">
        <v>904</v>
      </c>
      <c r="AF118" s="1263">
        <v>845</v>
      </c>
      <c r="AG118" s="1263">
        <v>898</v>
      </c>
      <c r="AH118" s="1559">
        <v>835</v>
      </c>
      <c r="AI118" s="1560">
        <f>'Non-marital births'!H119</f>
        <v>850</v>
      </c>
      <c r="AJ118" s="1270">
        <f t="shared" si="46"/>
        <v>0.52615571776155723</v>
      </c>
      <c r="AK118" s="1271">
        <f t="shared" si="47"/>
        <v>0.52805486284289271</v>
      </c>
      <c r="AL118" s="1271">
        <f t="shared" si="48"/>
        <v>0.53044041450777202</v>
      </c>
      <c r="AM118" s="1271">
        <f t="shared" si="49"/>
        <v>0.53753943217665612</v>
      </c>
      <c r="AN118" s="1271">
        <f t="shared" si="50"/>
        <v>0.51656920077972712</v>
      </c>
      <c r="AO118" s="1271">
        <f t="shared" si="51"/>
        <v>0.49530369442705074</v>
      </c>
      <c r="AP118" s="1271">
        <f t="shared" si="52"/>
        <v>0.50273224043715847</v>
      </c>
      <c r="AQ118" s="1271">
        <f t="shared" si="53"/>
        <v>0.50308641975308643</v>
      </c>
      <c r="AR118" s="1271">
        <f t="shared" si="54"/>
        <v>0.52006880733944949</v>
      </c>
      <c r="AS118" s="1271">
        <f t="shared" si="55"/>
        <v>0.51766138855054811</v>
      </c>
      <c r="AT118" s="1271">
        <f t="shared" si="56"/>
        <v>0.54276527331189706</v>
      </c>
      <c r="AU118" s="1271">
        <f t="shared" si="57"/>
        <v>0.55699322242760319</v>
      </c>
      <c r="AV118" s="1271">
        <f t="shared" si="58"/>
        <v>0.53144654088050314</v>
      </c>
      <c r="AW118" s="1271">
        <f t="shared" si="59"/>
        <v>0.56835443037974687</v>
      </c>
      <c r="AX118" s="1552">
        <f t="shared" si="60"/>
        <v>0.54432855280312908</v>
      </c>
      <c r="AY118" s="1554">
        <f>'Non-marital births'!L119</f>
        <v>0.54803352675693107</v>
      </c>
    </row>
    <row r="119" spans="1:51" s="142" customFormat="1" ht="15.75" customHeight="1" x14ac:dyDescent="0.2">
      <c r="A119" s="149" t="s">
        <v>192</v>
      </c>
      <c r="B119" s="189" t="s">
        <v>193</v>
      </c>
      <c r="C119" s="150" t="s">
        <v>268</v>
      </c>
      <c r="D119" s="1239">
        <v>123</v>
      </c>
      <c r="E119" s="1240">
        <v>146</v>
      </c>
      <c r="F119" s="1241">
        <v>159</v>
      </c>
      <c r="G119" s="1240">
        <v>135</v>
      </c>
      <c r="H119" s="1241">
        <v>127</v>
      </c>
      <c r="I119" s="1240">
        <v>126</v>
      </c>
      <c r="J119" s="1241">
        <v>111</v>
      </c>
      <c r="K119" s="1240">
        <v>129</v>
      </c>
      <c r="L119" s="1254">
        <v>139</v>
      </c>
      <c r="M119" s="1254">
        <v>149</v>
      </c>
      <c r="N119" s="1254">
        <v>127</v>
      </c>
      <c r="O119" s="1254">
        <v>133</v>
      </c>
      <c r="P119" s="1255">
        <v>139</v>
      </c>
      <c r="Q119" s="1255">
        <v>136</v>
      </c>
      <c r="R119" s="1556">
        <v>143</v>
      </c>
      <c r="S119" s="1557">
        <f>'Non-marital births'!D120</f>
        <v>160</v>
      </c>
      <c r="T119" s="1262">
        <v>47</v>
      </c>
      <c r="U119" s="1263">
        <v>39</v>
      </c>
      <c r="V119" s="1263">
        <v>53</v>
      </c>
      <c r="W119" s="1263">
        <v>37</v>
      </c>
      <c r="X119" s="1263">
        <v>40</v>
      </c>
      <c r="Y119" s="1263">
        <v>41</v>
      </c>
      <c r="Z119" s="1263">
        <v>42</v>
      </c>
      <c r="AA119" s="1263">
        <v>43</v>
      </c>
      <c r="AB119" s="1263">
        <v>55</v>
      </c>
      <c r="AC119" s="1263">
        <v>45</v>
      </c>
      <c r="AD119" s="1263">
        <v>50</v>
      </c>
      <c r="AE119" s="1263">
        <v>48</v>
      </c>
      <c r="AF119" s="1263">
        <v>68</v>
      </c>
      <c r="AG119" s="1263">
        <v>57</v>
      </c>
      <c r="AH119" s="1559">
        <v>67</v>
      </c>
      <c r="AI119" s="1560">
        <f>'Non-marital births'!H120</f>
        <v>65</v>
      </c>
      <c r="AJ119" s="1270">
        <f t="shared" si="46"/>
        <v>0.38211382113821141</v>
      </c>
      <c r="AK119" s="1271">
        <f t="shared" si="47"/>
        <v>0.26712328767123289</v>
      </c>
      <c r="AL119" s="1271">
        <f t="shared" si="48"/>
        <v>0.33333333333333331</v>
      </c>
      <c r="AM119" s="1271">
        <f t="shared" si="49"/>
        <v>0.27407407407407408</v>
      </c>
      <c r="AN119" s="1271">
        <f t="shared" si="50"/>
        <v>0.31496062992125984</v>
      </c>
      <c r="AO119" s="1271">
        <f t="shared" si="51"/>
        <v>0.32539682539682541</v>
      </c>
      <c r="AP119" s="1271">
        <f t="shared" si="52"/>
        <v>0.3783783783783784</v>
      </c>
      <c r="AQ119" s="1271">
        <f t="shared" si="53"/>
        <v>0.33333333333333331</v>
      </c>
      <c r="AR119" s="1271">
        <f t="shared" si="54"/>
        <v>0.39568345323741005</v>
      </c>
      <c r="AS119" s="1271">
        <f t="shared" si="55"/>
        <v>0.30201342281879195</v>
      </c>
      <c r="AT119" s="1271">
        <f t="shared" si="56"/>
        <v>0.39370078740157483</v>
      </c>
      <c r="AU119" s="1271">
        <f t="shared" si="57"/>
        <v>0.36090225563909772</v>
      </c>
      <c r="AV119" s="1271">
        <f t="shared" si="58"/>
        <v>0.48920863309352519</v>
      </c>
      <c r="AW119" s="1271">
        <f t="shared" si="59"/>
        <v>0.41911764705882354</v>
      </c>
      <c r="AX119" s="1552">
        <f t="shared" si="60"/>
        <v>0.46853146853146854</v>
      </c>
      <c r="AY119" s="1554">
        <f>'Non-marital births'!L120</f>
        <v>0.40625</v>
      </c>
    </row>
    <row r="120" spans="1:51" s="142" customFormat="1" ht="15.75" customHeight="1" x14ac:dyDescent="0.2">
      <c r="A120" s="149" t="s">
        <v>196</v>
      </c>
      <c r="B120" s="189" t="s">
        <v>197</v>
      </c>
      <c r="C120" s="150" t="s">
        <v>266</v>
      </c>
      <c r="D120" s="1239">
        <v>2847</v>
      </c>
      <c r="E120" s="1240">
        <v>2934</v>
      </c>
      <c r="F120" s="1241">
        <v>3057</v>
      </c>
      <c r="G120" s="1240">
        <v>3134</v>
      </c>
      <c r="H120" s="1241">
        <v>3081</v>
      </c>
      <c r="I120" s="1240">
        <v>3069</v>
      </c>
      <c r="J120" s="1241">
        <v>3005</v>
      </c>
      <c r="K120" s="1240">
        <v>3023</v>
      </c>
      <c r="L120" s="1254">
        <v>3032</v>
      </c>
      <c r="M120" s="1254">
        <v>3312</v>
      </c>
      <c r="N120" s="1254">
        <v>3306</v>
      </c>
      <c r="O120" s="1254">
        <v>3195</v>
      </c>
      <c r="P120" s="1255">
        <v>2958</v>
      </c>
      <c r="Q120" s="1255">
        <v>2981</v>
      </c>
      <c r="R120" s="1556">
        <v>2939</v>
      </c>
      <c r="S120" s="1557">
        <f>'Non-marital births'!D121</f>
        <v>2837</v>
      </c>
      <c r="T120" s="1262">
        <v>1822</v>
      </c>
      <c r="U120" s="1263">
        <v>1733</v>
      </c>
      <c r="V120" s="1263">
        <v>1876</v>
      </c>
      <c r="W120" s="1263">
        <v>1899</v>
      </c>
      <c r="X120" s="1263">
        <v>1848</v>
      </c>
      <c r="Y120" s="1263">
        <v>1866</v>
      </c>
      <c r="Z120" s="1263">
        <v>1833</v>
      </c>
      <c r="AA120" s="1263">
        <v>1849</v>
      </c>
      <c r="AB120" s="1263">
        <v>1892</v>
      </c>
      <c r="AC120" s="1263">
        <v>2104</v>
      </c>
      <c r="AD120" s="1263">
        <v>2105</v>
      </c>
      <c r="AE120" s="1263">
        <v>2061</v>
      </c>
      <c r="AF120" s="1263">
        <v>1908</v>
      </c>
      <c r="AG120" s="1263">
        <v>1905</v>
      </c>
      <c r="AH120" s="1559">
        <v>1885</v>
      </c>
      <c r="AI120" s="1560">
        <f>'Non-marital births'!H121</f>
        <v>1828</v>
      </c>
      <c r="AJ120" s="1270">
        <f t="shared" si="46"/>
        <v>0.6399719002458728</v>
      </c>
      <c r="AK120" s="1271">
        <f t="shared" si="47"/>
        <v>0.59066121336059985</v>
      </c>
      <c r="AL120" s="1271">
        <f t="shared" si="48"/>
        <v>0.61367353614654896</v>
      </c>
      <c r="AM120" s="1271">
        <f t="shared" si="49"/>
        <v>0.60593490746649648</v>
      </c>
      <c r="AN120" s="1271">
        <f t="shared" si="50"/>
        <v>0.59980525803310614</v>
      </c>
      <c r="AO120" s="1271">
        <f t="shared" si="51"/>
        <v>0.6080156402737048</v>
      </c>
      <c r="AP120" s="1271">
        <f t="shared" si="52"/>
        <v>0.60998336106489182</v>
      </c>
      <c r="AQ120" s="1271">
        <f t="shared" si="53"/>
        <v>0.61164406218987766</v>
      </c>
      <c r="AR120" s="1271">
        <f t="shared" si="54"/>
        <v>0.62401055408970973</v>
      </c>
      <c r="AS120" s="1271">
        <f t="shared" si="55"/>
        <v>0.63526570048309183</v>
      </c>
      <c r="AT120" s="1271">
        <f t="shared" si="56"/>
        <v>0.63672111312764668</v>
      </c>
      <c r="AU120" s="1271">
        <f t="shared" si="57"/>
        <v>0.6450704225352113</v>
      </c>
      <c r="AV120" s="1271">
        <f t="shared" si="58"/>
        <v>0.64503042596348881</v>
      </c>
      <c r="AW120" s="1271">
        <f t="shared" si="59"/>
        <v>0.63904729956390471</v>
      </c>
      <c r="AX120" s="1552">
        <f t="shared" si="60"/>
        <v>0.64137461721674038</v>
      </c>
      <c r="AY120" s="1554">
        <f>'Non-marital births'!L121</f>
        <v>0.64434261543884386</v>
      </c>
    </row>
    <row r="121" spans="1:51" s="142" customFormat="1" ht="15.75" customHeight="1" x14ac:dyDescent="0.2">
      <c r="A121" s="149" t="s">
        <v>200</v>
      </c>
      <c r="B121" s="189" t="s">
        <v>201</v>
      </c>
      <c r="C121" s="150" t="s">
        <v>265</v>
      </c>
      <c r="D121" s="1239">
        <v>1350</v>
      </c>
      <c r="E121" s="1240">
        <v>1380</v>
      </c>
      <c r="F121" s="1241">
        <v>1356</v>
      </c>
      <c r="G121" s="1240">
        <v>1276</v>
      </c>
      <c r="H121" s="1241">
        <v>1114</v>
      </c>
      <c r="I121" s="1240">
        <v>1331</v>
      </c>
      <c r="J121" s="1241">
        <v>950</v>
      </c>
      <c r="K121" s="1240">
        <v>1202</v>
      </c>
      <c r="L121" s="1254">
        <v>1422</v>
      </c>
      <c r="M121" s="1254">
        <v>1583</v>
      </c>
      <c r="N121" s="1254">
        <v>1587</v>
      </c>
      <c r="O121" s="1254">
        <v>1541</v>
      </c>
      <c r="P121" s="1255">
        <v>1453</v>
      </c>
      <c r="Q121" s="1255">
        <v>1492</v>
      </c>
      <c r="R121" s="1556">
        <v>1492</v>
      </c>
      <c r="S121" s="1557">
        <f>'Non-marital births'!D122</f>
        <v>1495</v>
      </c>
      <c r="T121" s="1262">
        <v>618</v>
      </c>
      <c r="U121" s="1263">
        <v>620</v>
      </c>
      <c r="V121" s="1263">
        <v>654</v>
      </c>
      <c r="W121" s="1263">
        <v>565</v>
      </c>
      <c r="X121" s="1263">
        <v>563</v>
      </c>
      <c r="Y121" s="1263">
        <v>642</v>
      </c>
      <c r="Z121" s="1263">
        <v>487</v>
      </c>
      <c r="AA121" s="1263">
        <v>629</v>
      </c>
      <c r="AB121" s="1263">
        <v>774</v>
      </c>
      <c r="AC121" s="1263">
        <v>902</v>
      </c>
      <c r="AD121" s="1263">
        <v>911</v>
      </c>
      <c r="AE121" s="1263">
        <v>857</v>
      </c>
      <c r="AF121" s="1263">
        <v>815</v>
      </c>
      <c r="AG121" s="1263">
        <v>840</v>
      </c>
      <c r="AH121" s="1559">
        <v>843</v>
      </c>
      <c r="AI121" s="1560">
        <f>'Non-marital births'!H122</f>
        <v>836</v>
      </c>
      <c r="AJ121" s="1270">
        <f t="shared" si="46"/>
        <v>0.45777777777777778</v>
      </c>
      <c r="AK121" s="1271">
        <f t="shared" si="47"/>
        <v>0.44927536231884058</v>
      </c>
      <c r="AL121" s="1271">
        <f t="shared" si="48"/>
        <v>0.48230088495575218</v>
      </c>
      <c r="AM121" s="1271">
        <f t="shared" si="49"/>
        <v>0.44278996865203762</v>
      </c>
      <c r="AN121" s="1271">
        <f t="shared" si="50"/>
        <v>0.50538599640933568</v>
      </c>
      <c r="AO121" s="1271">
        <f t="shared" si="51"/>
        <v>0.48234410217881291</v>
      </c>
      <c r="AP121" s="1271">
        <f t="shared" si="52"/>
        <v>0.51263157894736844</v>
      </c>
      <c r="AQ121" s="1271">
        <f t="shared" si="53"/>
        <v>0.52329450915141429</v>
      </c>
      <c r="AR121" s="1271">
        <f t="shared" si="54"/>
        <v>0.54430379746835444</v>
      </c>
      <c r="AS121" s="1271">
        <f t="shared" si="55"/>
        <v>0.56980416929879973</v>
      </c>
      <c r="AT121" s="1271">
        <f t="shared" si="56"/>
        <v>0.5740390674228103</v>
      </c>
      <c r="AU121" s="1271">
        <f t="shared" si="57"/>
        <v>0.55613238157040878</v>
      </c>
      <c r="AV121" s="1271">
        <f t="shared" si="58"/>
        <v>0.56090846524432214</v>
      </c>
      <c r="AW121" s="1271">
        <f t="shared" si="59"/>
        <v>0.5630026809651475</v>
      </c>
      <c r="AX121" s="1552">
        <f t="shared" si="60"/>
        <v>0.56501340482573725</v>
      </c>
      <c r="AY121" s="1554">
        <f>'Non-marital births'!L122</f>
        <v>0.5591973244147157</v>
      </c>
    </row>
    <row r="122" spans="1:51" s="142" customFormat="1" ht="15.75" customHeight="1" x14ac:dyDescent="0.2">
      <c r="A122" s="149" t="s">
        <v>222</v>
      </c>
      <c r="B122" s="189" t="s">
        <v>223</v>
      </c>
      <c r="C122" s="150" t="s">
        <v>264</v>
      </c>
      <c r="D122" s="1239">
        <v>884</v>
      </c>
      <c r="E122" s="1240">
        <v>938</v>
      </c>
      <c r="F122" s="1241">
        <v>1008</v>
      </c>
      <c r="G122" s="1240">
        <v>953</v>
      </c>
      <c r="H122" s="1241">
        <v>1058</v>
      </c>
      <c r="I122" s="1240">
        <v>1087</v>
      </c>
      <c r="J122" s="1241">
        <v>1186</v>
      </c>
      <c r="K122" s="1240">
        <v>1180</v>
      </c>
      <c r="L122" s="1254">
        <v>1190</v>
      </c>
      <c r="M122" s="1254">
        <v>1205</v>
      </c>
      <c r="N122" s="1254">
        <v>1090</v>
      </c>
      <c r="O122" s="1254">
        <v>1158</v>
      </c>
      <c r="P122" s="1255">
        <v>1108</v>
      </c>
      <c r="Q122" s="1255">
        <v>1117</v>
      </c>
      <c r="R122" s="1556">
        <v>1087</v>
      </c>
      <c r="S122" s="1557">
        <f>'Non-marital births'!D123</f>
        <v>1091</v>
      </c>
      <c r="T122" s="1262">
        <v>404</v>
      </c>
      <c r="U122" s="1263">
        <v>370</v>
      </c>
      <c r="V122" s="1263">
        <v>370</v>
      </c>
      <c r="W122" s="1263">
        <v>370</v>
      </c>
      <c r="X122" s="1263">
        <v>398</v>
      </c>
      <c r="Y122" s="1263">
        <v>395</v>
      </c>
      <c r="Z122" s="1263">
        <v>408</v>
      </c>
      <c r="AA122" s="1263">
        <v>417</v>
      </c>
      <c r="AB122" s="1263">
        <v>435</v>
      </c>
      <c r="AC122" s="1263">
        <v>453</v>
      </c>
      <c r="AD122" s="1263">
        <v>445</v>
      </c>
      <c r="AE122" s="1263">
        <v>495</v>
      </c>
      <c r="AF122" s="1263">
        <v>480</v>
      </c>
      <c r="AG122" s="1263">
        <v>435</v>
      </c>
      <c r="AH122" s="1559">
        <v>447</v>
      </c>
      <c r="AI122" s="1560">
        <f>'Non-marital births'!H123</f>
        <v>413</v>
      </c>
      <c r="AJ122" s="1270">
        <f t="shared" si="46"/>
        <v>0.45701357466063347</v>
      </c>
      <c r="AK122" s="1271">
        <f t="shared" si="47"/>
        <v>0.39445628997867804</v>
      </c>
      <c r="AL122" s="1271">
        <f t="shared" si="48"/>
        <v>0.36706349206349204</v>
      </c>
      <c r="AM122" s="1271">
        <f t="shared" si="49"/>
        <v>0.3882476390346275</v>
      </c>
      <c r="AN122" s="1271">
        <f t="shared" si="50"/>
        <v>0.37618147448015121</v>
      </c>
      <c r="AO122" s="1271">
        <f t="shared" si="51"/>
        <v>0.36338546458141674</v>
      </c>
      <c r="AP122" s="1271">
        <f t="shared" si="52"/>
        <v>0.34401349072512649</v>
      </c>
      <c r="AQ122" s="1271">
        <f t="shared" si="53"/>
        <v>0.35338983050847456</v>
      </c>
      <c r="AR122" s="1271">
        <f t="shared" si="54"/>
        <v>0.36554621848739494</v>
      </c>
      <c r="AS122" s="1271">
        <f t="shared" si="55"/>
        <v>0.37593360995850622</v>
      </c>
      <c r="AT122" s="1271">
        <f t="shared" si="56"/>
        <v>0.40825688073394495</v>
      </c>
      <c r="AU122" s="1271">
        <f t="shared" si="57"/>
        <v>0.42746113989637308</v>
      </c>
      <c r="AV122" s="1271">
        <f t="shared" si="58"/>
        <v>0.43321299638989169</v>
      </c>
      <c r="AW122" s="1271">
        <f t="shared" si="59"/>
        <v>0.38943598925693823</v>
      </c>
      <c r="AX122" s="1552">
        <f t="shared" si="60"/>
        <v>0.41122355105795766</v>
      </c>
      <c r="AY122" s="1554">
        <f>'Non-marital births'!L123</f>
        <v>0.3785517873510541</v>
      </c>
    </row>
    <row r="123" spans="1:51" s="142" customFormat="1" ht="15.75" customHeight="1" x14ac:dyDescent="0.2">
      <c r="A123" s="149" t="s">
        <v>230</v>
      </c>
      <c r="B123" s="189" t="s">
        <v>231</v>
      </c>
      <c r="C123" s="150" t="s">
        <v>264</v>
      </c>
      <c r="D123" s="1239">
        <v>6363</v>
      </c>
      <c r="E123" s="1240">
        <v>6201</v>
      </c>
      <c r="F123" s="1241">
        <v>6455</v>
      </c>
      <c r="G123" s="1240">
        <v>6173</v>
      </c>
      <c r="H123" s="1241">
        <v>6234</v>
      </c>
      <c r="I123" s="1240">
        <v>6370</v>
      </c>
      <c r="J123" s="1241">
        <v>6665</v>
      </c>
      <c r="K123" s="1240">
        <v>6382</v>
      </c>
      <c r="L123" s="1254">
        <v>6567</v>
      </c>
      <c r="M123" s="1254">
        <v>6513</v>
      </c>
      <c r="N123" s="1254">
        <v>6341</v>
      </c>
      <c r="O123" s="1254">
        <v>6324</v>
      </c>
      <c r="P123" s="1255">
        <v>6143</v>
      </c>
      <c r="Q123" s="1255">
        <v>6249</v>
      </c>
      <c r="R123" s="1556">
        <v>6270</v>
      </c>
      <c r="S123" s="1557">
        <f>'Non-marital births'!D124</f>
        <v>6003</v>
      </c>
      <c r="T123" s="1262">
        <v>1644</v>
      </c>
      <c r="U123" s="1263">
        <v>1644</v>
      </c>
      <c r="V123" s="1263">
        <v>1750</v>
      </c>
      <c r="W123" s="1263">
        <v>1808</v>
      </c>
      <c r="X123" s="1263">
        <v>1790</v>
      </c>
      <c r="Y123" s="1263">
        <v>1762</v>
      </c>
      <c r="Z123" s="1263">
        <v>1886</v>
      </c>
      <c r="AA123" s="1263">
        <v>1820</v>
      </c>
      <c r="AB123" s="1263">
        <v>2001</v>
      </c>
      <c r="AC123" s="1263">
        <v>1983</v>
      </c>
      <c r="AD123" s="1263">
        <v>2018</v>
      </c>
      <c r="AE123" s="1263">
        <v>2077</v>
      </c>
      <c r="AF123" s="1263">
        <v>1955</v>
      </c>
      <c r="AG123" s="1263">
        <v>1934</v>
      </c>
      <c r="AH123" s="1559">
        <v>2021</v>
      </c>
      <c r="AI123" s="1560">
        <f>'Non-marital births'!H124</f>
        <v>1852</v>
      </c>
      <c r="AJ123" s="1270">
        <f t="shared" si="46"/>
        <v>0.25836869401225837</v>
      </c>
      <c r="AK123" s="1271">
        <f t="shared" si="47"/>
        <v>0.26511852926947266</v>
      </c>
      <c r="AL123" s="1271">
        <f t="shared" si="48"/>
        <v>0.2711076684740511</v>
      </c>
      <c r="AM123" s="1271">
        <f t="shared" si="49"/>
        <v>0.29288838490199254</v>
      </c>
      <c r="AN123" s="1271">
        <f t="shared" si="50"/>
        <v>0.287135065768367</v>
      </c>
      <c r="AO123" s="1271">
        <f t="shared" si="51"/>
        <v>0.27660910518053378</v>
      </c>
      <c r="AP123" s="1271">
        <f t="shared" si="52"/>
        <v>0.28297074268567141</v>
      </c>
      <c r="AQ123" s="1271">
        <f t="shared" si="53"/>
        <v>0.28517706048260733</v>
      </c>
      <c r="AR123" s="1271">
        <f t="shared" si="54"/>
        <v>0.30470534490634993</v>
      </c>
      <c r="AS123" s="1271">
        <f t="shared" si="55"/>
        <v>0.30446798710271766</v>
      </c>
      <c r="AT123" s="1271">
        <f t="shared" si="56"/>
        <v>0.3182463333859013</v>
      </c>
      <c r="AU123" s="1271">
        <f t="shared" si="57"/>
        <v>0.32843137254901961</v>
      </c>
      <c r="AV123" s="1271">
        <f t="shared" si="58"/>
        <v>0.31824841282760868</v>
      </c>
      <c r="AW123" s="1271">
        <f t="shared" si="59"/>
        <v>0.30948951832293164</v>
      </c>
      <c r="AX123" s="1552">
        <f t="shared" si="60"/>
        <v>0.32232854864433813</v>
      </c>
      <c r="AY123" s="1554">
        <f>'Non-marital births'!L124</f>
        <v>0.30851241046143596</v>
      </c>
    </row>
    <row r="124" spans="1:51" s="142" customFormat="1" ht="15.75" customHeight="1" x14ac:dyDescent="0.2">
      <c r="A124" s="149" t="s">
        <v>238</v>
      </c>
      <c r="B124" s="189" t="s">
        <v>239</v>
      </c>
      <c r="C124" s="150" t="s">
        <v>264</v>
      </c>
      <c r="D124" s="1239">
        <v>144</v>
      </c>
      <c r="E124" s="1240">
        <v>72</v>
      </c>
      <c r="F124" s="1241">
        <v>59</v>
      </c>
      <c r="G124" s="1240">
        <v>96</v>
      </c>
      <c r="H124" s="1241">
        <v>129</v>
      </c>
      <c r="I124" s="1240">
        <v>188</v>
      </c>
      <c r="J124" s="1241">
        <v>172</v>
      </c>
      <c r="K124" s="1240">
        <v>233</v>
      </c>
      <c r="L124" s="1254">
        <v>192</v>
      </c>
      <c r="M124" s="1254">
        <v>161</v>
      </c>
      <c r="N124" s="1254">
        <v>186</v>
      </c>
      <c r="O124" s="1254">
        <v>142</v>
      </c>
      <c r="P124" s="1255">
        <v>86</v>
      </c>
      <c r="Q124" s="1255">
        <v>80</v>
      </c>
      <c r="R124" s="1556">
        <v>91</v>
      </c>
      <c r="S124" s="1557">
        <f>'Non-marital births'!D125</f>
        <v>79</v>
      </c>
      <c r="T124" s="1262">
        <v>50</v>
      </c>
      <c r="U124" s="1263">
        <v>26</v>
      </c>
      <c r="V124" s="1263">
        <v>18</v>
      </c>
      <c r="W124" s="1263">
        <v>29</v>
      </c>
      <c r="X124" s="1263">
        <v>35</v>
      </c>
      <c r="Y124" s="1263">
        <v>70</v>
      </c>
      <c r="Z124" s="1263">
        <v>48</v>
      </c>
      <c r="AA124" s="1263">
        <v>75</v>
      </c>
      <c r="AB124" s="1263">
        <v>72</v>
      </c>
      <c r="AC124" s="1263">
        <v>61</v>
      </c>
      <c r="AD124" s="1263">
        <v>70</v>
      </c>
      <c r="AE124" s="1263">
        <v>58</v>
      </c>
      <c r="AF124" s="1263">
        <v>32</v>
      </c>
      <c r="AG124" s="1263">
        <v>31</v>
      </c>
      <c r="AH124" s="1559">
        <v>38</v>
      </c>
      <c r="AI124" s="1560">
        <f>'Non-marital births'!H125</f>
        <v>31</v>
      </c>
      <c r="AJ124" s="1270">
        <f t="shared" si="46"/>
        <v>0.34722222222222221</v>
      </c>
      <c r="AK124" s="1271">
        <f t="shared" si="47"/>
        <v>0.3611111111111111</v>
      </c>
      <c r="AL124" s="1271">
        <f t="shared" si="48"/>
        <v>0.30508474576271188</v>
      </c>
      <c r="AM124" s="1271">
        <f t="shared" si="49"/>
        <v>0.30208333333333331</v>
      </c>
      <c r="AN124" s="1271">
        <f t="shared" si="50"/>
        <v>0.27131782945736432</v>
      </c>
      <c r="AO124" s="1271">
        <f t="shared" si="51"/>
        <v>0.37234042553191488</v>
      </c>
      <c r="AP124" s="1271">
        <f t="shared" si="52"/>
        <v>0.27906976744186046</v>
      </c>
      <c r="AQ124" s="1271">
        <f t="shared" si="53"/>
        <v>0.32188841201716739</v>
      </c>
      <c r="AR124" s="1271">
        <f t="shared" si="54"/>
        <v>0.375</v>
      </c>
      <c r="AS124" s="1271">
        <f t="shared" si="55"/>
        <v>0.37888198757763975</v>
      </c>
      <c r="AT124" s="1271">
        <f t="shared" si="56"/>
        <v>0.37634408602150538</v>
      </c>
      <c r="AU124" s="1271">
        <f t="shared" si="57"/>
        <v>0.40845070422535212</v>
      </c>
      <c r="AV124" s="1271">
        <f t="shared" si="58"/>
        <v>0.37209302325581395</v>
      </c>
      <c r="AW124" s="1271">
        <f t="shared" si="59"/>
        <v>0.38750000000000001</v>
      </c>
      <c r="AX124" s="1552">
        <f t="shared" si="60"/>
        <v>0.4175824175824176</v>
      </c>
      <c r="AY124" s="1554">
        <f>'Non-marital births'!L125</f>
        <v>0.39240506329113922</v>
      </c>
    </row>
    <row r="125" spans="1:51" s="142" customFormat="1" ht="15.75" customHeight="1" x14ac:dyDescent="0.2">
      <c r="A125" s="155" t="s">
        <v>240</v>
      </c>
      <c r="B125" s="191" t="s">
        <v>241</v>
      </c>
      <c r="C125" s="156" t="s">
        <v>267</v>
      </c>
      <c r="D125" s="1242">
        <v>312</v>
      </c>
      <c r="E125" s="1243">
        <v>313</v>
      </c>
      <c r="F125" s="1244">
        <v>335</v>
      </c>
      <c r="G125" s="1243">
        <v>373</v>
      </c>
      <c r="H125" s="1244">
        <v>348</v>
      </c>
      <c r="I125" s="1243">
        <v>398</v>
      </c>
      <c r="J125" s="1244">
        <v>413</v>
      </c>
      <c r="K125" s="1243">
        <v>435</v>
      </c>
      <c r="L125" s="1256">
        <v>434</v>
      </c>
      <c r="M125" s="1256">
        <v>495</v>
      </c>
      <c r="N125" s="1256">
        <v>404</v>
      </c>
      <c r="O125" s="1256">
        <v>392</v>
      </c>
      <c r="P125" s="1255">
        <v>446</v>
      </c>
      <c r="Q125" s="1255">
        <v>404</v>
      </c>
      <c r="R125" s="1556">
        <v>403</v>
      </c>
      <c r="S125" s="1557">
        <f>'Non-marital births'!D126</f>
        <v>347</v>
      </c>
      <c r="T125" s="1262">
        <v>125</v>
      </c>
      <c r="U125" s="1263">
        <v>134</v>
      </c>
      <c r="V125" s="1263">
        <v>132</v>
      </c>
      <c r="W125" s="1263">
        <v>143</v>
      </c>
      <c r="X125" s="1263">
        <v>173</v>
      </c>
      <c r="Y125" s="1263">
        <v>174</v>
      </c>
      <c r="Z125" s="1263">
        <v>198</v>
      </c>
      <c r="AA125" s="1263">
        <v>208</v>
      </c>
      <c r="AB125" s="1263">
        <v>217</v>
      </c>
      <c r="AC125" s="1263">
        <v>274</v>
      </c>
      <c r="AD125" s="1263">
        <v>212</v>
      </c>
      <c r="AE125" s="1263">
        <v>208</v>
      </c>
      <c r="AF125" s="1263">
        <v>241</v>
      </c>
      <c r="AG125" s="1263">
        <v>194</v>
      </c>
      <c r="AH125" s="1559">
        <v>200</v>
      </c>
      <c r="AI125" s="1560">
        <f>'Non-marital births'!H126</f>
        <v>180</v>
      </c>
      <c r="AJ125" s="1270">
        <f t="shared" si="46"/>
        <v>0.40064102564102566</v>
      </c>
      <c r="AK125" s="1271">
        <f t="shared" si="47"/>
        <v>0.4281150159744409</v>
      </c>
      <c r="AL125" s="1271">
        <f t="shared" si="48"/>
        <v>0.39402985074626867</v>
      </c>
      <c r="AM125" s="1271">
        <f t="shared" si="49"/>
        <v>0.38337801608579086</v>
      </c>
      <c r="AN125" s="1271">
        <f t="shared" si="50"/>
        <v>0.49712643678160917</v>
      </c>
      <c r="AO125" s="1271">
        <f t="shared" si="51"/>
        <v>0.43718592964824121</v>
      </c>
      <c r="AP125" s="1271">
        <f t="shared" si="52"/>
        <v>0.47941888619854722</v>
      </c>
      <c r="AQ125" s="1271">
        <f t="shared" si="53"/>
        <v>0.47816091954022988</v>
      </c>
      <c r="AR125" s="1271">
        <f t="shared" si="54"/>
        <v>0.5</v>
      </c>
      <c r="AS125" s="1271">
        <f t="shared" si="55"/>
        <v>0.55353535353535355</v>
      </c>
      <c r="AT125" s="1271">
        <f t="shared" si="56"/>
        <v>0.52475247524752477</v>
      </c>
      <c r="AU125" s="1271">
        <f t="shared" si="57"/>
        <v>0.53061224489795922</v>
      </c>
      <c r="AV125" s="1271">
        <f t="shared" si="58"/>
        <v>0.54035874439461884</v>
      </c>
      <c r="AW125" s="1271">
        <f t="shared" si="59"/>
        <v>0.48019801980198018</v>
      </c>
      <c r="AX125" s="1552">
        <f t="shared" si="60"/>
        <v>0.49627791563275436</v>
      </c>
      <c r="AY125" s="1554">
        <f>'Non-marital births'!L126</f>
        <v>0.51873198847262247</v>
      </c>
    </row>
    <row r="126" spans="1:51" s="142" customFormat="1" ht="15.75" customHeight="1" x14ac:dyDescent="0.2">
      <c r="A126" s="283"/>
      <c r="B126" s="236"/>
      <c r="C126" s="284"/>
      <c r="D126" s="152"/>
      <c r="E126" s="151"/>
      <c r="F126" s="152"/>
      <c r="G126" s="285"/>
      <c r="H126" s="152"/>
      <c r="I126" s="151"/>
      <c r="J126" s="152"/>
      <c r="K126" s="151"/>
      <c r="L126" s="286"/>
      <c r="M126" s="286"/>
      <c r="N126" s="286"/>
      <c r="O126" s="286"/>
    </row>
    <row r="127" spans="1:51" s="142" customFormat="1" ht="15.75" customHeight="1" x14ac:dyDescent="0.2">
      <c r="A127" s="283" t="s">
        <v>266</v>
      </c>
      <c r="B127" s="236"/>
      <c r="C127" s="284"/>
      <c r="D127" s="1275">
        <v>14861</v>
      </c>
      <c r="E127" s="1276">
        <v>14898</v>
      </c>
      <c r="F127" s="1277">
        <v>15254</v>
      </c>
      <c r="G127" s="1276">
        <v>15253</v>
      </c>
      <c r="H127" s="1277">
        <v>15425</v>
      </c>
      <c r="I127" s="1276">
        <v>15516</v>
      </c>
      <c r="J127" s="1277">
        <v>16039</v>
      </c>
      <c r="K127" s="1276">
        <v>16219</v>
      </c>
      <c r="L127" s="1248">
        <v>16766</v>
      </c>
      <c r="M127" s="1248">
        <v>17109</v>
      </c>
      <c r="N127" s="1248">
        <v>16642</v>
      </c>
      <c r="O127" s="1248">
        <v>16614</v>
      </c>
      <c r="P127" s="1263">
        <v>15936</v>
      </c>
      <c r="Q127" s="1263">
        <v>15784</v>
      </c>
      <c r="R127" s="1559">
        <v>15814</v>
      </c>
      <c r="S127" s="1560">
        <f>'Non-marital births'!D128</f>
        <v>15776</v>
      </c>
      <c r="T127" s="1262">
        <v>5447</v>
      </c>
      <c r="U127" s="1263">
        <v>5289</v>
      </c>
      <c r="V127" s="1263">
        <v>5609</v>
      </c>
      <c r="W127" s="1263">
        <v>5598</v>
      </c>
      <c r="X127" s="1263">
        <v>5730</v>
      </c>
      <c r="Y127" s="1263">
        <v>5905</v>
      </c>
      <c r="Z127" s="1263">
        <v>6071</v>
      </c>
      <c r="AA127" s="1263">
        <v>6314</v>
      </c>
      <c r="AB127" s="1263">
        <v>6689</v>
      </c>
      <c r="AC127" s="1263">
        <v>7088</v>
      </c>
      <c r="AD127" s="1263">
        <v>7257</v>
      </c>
      <c r="AE127" s="1263">
        <v>7331</v>
      </c>
      <c r="AF127" s="1263">
        <v>7026</v>
      </c>
      <c r="AG127" s="1263">
        <v>6938</v>
      </c>
      <c r="AH127" s="1559">
        <v>7073</v>
      </c>
      <c r="AI127" s="1560">
        <f>'Non-marital births'!H128</f>
        <v>6932</v>
      </c>
      <c r="AJ127" s="1270">
        <f t="shared" ref="AJ127:AJ131" si="61">T127/D127</f>
        <v>0.36652984321378101</v>
      </c>
      <c r="AK127" s="1271">
        <f t="shared" ref="AK127:AK131" si="62">U127/E127</f>
        <v>0.35501409585179217</v>
      </c>
      <c r="AL127" s="1271">
        <f t="shared" ref="AL127:AL131" si="63">V127/F127</f>
        <v>0.36770683099514884</v>
      </c>
      <c r="AM127" s="1271">
        <f t="shared" ref="AM127:AM131" si="64">W127/G127</f>
        <v>0.36700976857011736</v>
      </c>
      <c r="AN127" s="1271">
        <f t="shared" ref="AN127:AN131" si="65">X127/H127</f>
        <v>0.37147487844408428</v>
      </c>
      <c r="AO127" s="1271">
        <f t="shared" ref="AO127:AO131" si="66">Y127/I127</f>
        <v>0.38057489043567932</v>
      </c>
      <c r="AP127" s="1271">
        <f t="shared" ref="AP127:AP131" si="67">Z127/J127</f>
        <v>0.37851487000436435</v>
      </c>
      <c r="AQ127" s="1271">
        <f t="shared" ref="AQ127:AQ131" si="68">AA127/K127</f>
        <v>0.3892965041001295</v>
      </c>
      <c r="AR127" s="1271">
        <f t="shared" ref="AR127:AR131" si="69">AB127/L127</f>
        <v>0.39896218537516404</v>
      </c>
      <c r="AS127" s="1271">
        <f t="shared" ref="AS127:AS131" si="70">AC127/M127</f>
        <v>0.41428487930329067</v>
      </c>
      <c r="AT127" s="1271">
        <f t="shared" ref="AT127:AT131" si="71">AD127/N127</f>
        <v>0.43606537675760126</v>
      </c>
      <c r="AU127" s="1271">
        <f t="shared" ref="AU127:AU131" si="72">AE127/O127</f>
        <v>0.44125436378957505</v>
      </c>
      <c r="AV127" s="1271">
        <f t="shared" ref="AV127:AV131" si="73">AF127/P127</f>
        <v>0.44088855421686746</v>
      </c>
      <c r="AW127" s="1271">
        <f t="shared" ref="AW127:AW131" si="74">AG127/Q127</f>
        <v>0.43955904713634059</v>
      </c>
      <c r="AX127" s="1552">
        <f t="shared" ref="AX127:AX131" si="75">AH127/R127</f>
        <v>0.44726191981788288</v>
      </c>
      <c r="AY127" s="1554">
        <f>'Non-marital births'!L128</f>
        <v>0.43940162271805272</v>
      </c>
    </row>
    <row r="128" spans="1:51" s="142" customFormat="1" ht="15.75" customHeight="1" x14ac:dyDescent="0.2">
      <c r="A128" s="283" t="s">
        <v>264</v>
      </c>
      <c r="B128" s="236"/>
      <c r="C128" s="284"/>
      <c r="D128" s="1275">
        <v>24881</v>
      </c>
      <c r="E128" s="1276">
        <v>24733</v>
      </c>
      <c r="F128" s="1277">
        <v>25322</v>
      </c>
      <c r="G128" s="1276">
        <v>24848</v>
      </c>
      <c r="H128" s="1277">
        <v>24919</v>
      </c>
      <c r="I128" s="1276">
        <v>25143</v>
      </c>
      <c r="J128" s="1277">
        <v>26101</v>
      </c>
      <c r="K128" s="1276">
        <v>25645</v>
      </c>
      <c r="L128" s="1248">
        <v>26221</v>
      </c>
      <c r="M128" s="1248">
        <v>26325</v>
      </c>
      <c r="N128" s="1248">
        <v>25712</v>
      </c>
      <c r="O128" s="1248">
        <v>25179</v>
      </c>
      <c r="P128" s="1263">
        <v>24458</v>
      </c>
      <c r="Q128" s="1263">
        <v>24427</v>
      </c>
      <c r="R128" s="1559">
        <v>24262</v>
      </c>
      <c r="S128" s="1560">
        <f>'Non-marital births'!D129</f>
        <v>23830</v>
      </c>
      <c r="T128" s="1262">
        <v>9291</v>
      </c>
      <c r="U128" s="1263">
        <v>9330</v>
      </c>
      <c r="V128" s="1263">
        <v>9472</v>
      </c>
      <c r="W128" s="1263">
        <v>9748</v>
      </c>
      <c r="X128" s="1263">
        <v>9595</v>
      </c>
      <c r="Y128" s="1263">
        <v>9540</v>
      </c>
      <c r="Z128" s="1263">
        <v>9892</v>
      </c>
      <c r="AA128" s="1263">
        <v>9869</v>
      </c>
      <c r="AB128" s="1263">
        <v>10432</v>
      </c>
      <c r="AC128" s="1263">
        <v>10719</v>
      </c>
      <c r="AD128" s="1263">
        <v>10880</v>
      </c>
      <c r="AE128" s="1263">
        <v>10686</v>
      </c>
      <c r="AF128" s="1263">
        <v>10343</v>
      </c>
      <c r="AG128" s="1263">
        <v>10366</v>
      </c>
      <c r="AH128" s="1559">
        <v>10274</v>
      </c>
      <c r="AI128" s="1560">
        <f>'Non-marital births'!H129</f>
        <v>9828</v>
      </c>
      <c r="AJ128" s="1270">
        <f t="shared" si="61"/>
        <v>0.37341746714360358</v>
      </c>
      <c r="AK128" s="1271">
        <f t="shared" si="62"/>
        <v>0.37722880362269035</v>
      </c>
      <c r="AL128" s="1271">
        <f t="shared" si="63"/>
        <v>0.37406208040439143</v>
      </c>
      <c r="AM128" s="1271">
        <f t="shared" si="64"/>
        <v>0.3923052157115261</v>
      </c>
      <c r="AN128" s="1271">
        <f t="shared" si="65"/>
        <v>0.38504755407520364</v>
      </c>
      <c r="AO128" s="1271">
        <f t="shared" si="66"/>
        <v>0.37942966233146402</v>
      </c>
      <c r="AP128" s="1271">
        <f t="shared" si="67"/>
        <v>0.37898931075437725</v>
      </c>
      <c r="AQ128" s="1271">
        <f t="shared" si="68"/>
        <v>0.38483135114057321</v>
      </c>
      <c r="AR128" s="1271">
        <f t="shared" si="69"/>
        <v>0.39784905228633538</v>
      </c>
      <c r="AS128" s="1271">
        <f t="shared" si="70"/>
        <v>0.40717948717948715</v>
      </c>
      <c r="AT128" s="1271">
        <f t="shared" si="71"/>
        <v>0.42314872433105166</v>
      </c>
      <c r="AU128" s="1271">
        <f t="shared" si="72"/>
        <v>0.42440128678660788</v>
      </c>
      <c r="AV128" s="1271">
        <f t="shared" si="73"/>
        <v>0.42288821653446723</v>
      </c>
      <c r="AW128" s="1271">
        <f t="shared" si="74"/>
        <v>0.42436647971506941</v>
      </c>
      <c r="AX128" s="1552">
        <f t="shared" si="75"/>
        <v>0.42346055560135193</v>
      </c>
      <c r="AY128" s="1554">
        <f>'Non-marital births'!L129</f>
        <v>0.41242131766680656</v>
      </c>
    </row>
    <row r="129" spans="1:51" s="142" customFormat="1" ht="15.75" customHeight="1" x14ac:dyDescent="0.2">
      <c r="A129" s="283" t="s">
        <v>267</v>
      </c>
      <c r="B129" s="236"/>
      <c r="C129" s="284"/>
      <c r="D129" s="1275">
        <v>35694</v>
      </c>
      <c r="E129" s="1276">
        <v>36681</v>
      </c>
      <c r="F129" s="1277">
        <v>39163</v>
      </c>
      <c r="G129" s="1276">
        <v>40025</v>
      </c>
      <c r="H129" s="1277">
        <v>40777</v>
      </c>
      <c r="I129" s="1276">
        <v>41403</v>
      </c>
      <c r="J129" s="1277">
        <v>43538</v>
      </c>
      <c r="K129" s="1276">
        <v>44159</v>
      </c>
      <c r="L129" s="1248">
        <v>44509</v>
      </c>
      <c r="M129" s="1248">
        <v>45402</v>
      </c>
      <c r="N129" s="1248">
        <v>44861</v>
      </c>
      <c r="O129" s="1248">
        <v>44477</v>
      </c>
      <c r="P129" s="1263">
        <v>44469</v>
      </c>
      <c r="Q129" s="1263">
        <v>44386</v>
      </c>
      <c r="R129" s="1559">
        <v>44671</v>
      </c>
      <c r="S129" s="1560">
        <f>'Non-marital births'!D130</f>
        <v>44465</v>
      </c>
      <c r="T129" s="1262">
        <v>7391</v>
      </c>
      <c r="U129" s="1263">
        <v>7770</v>
      </c>
      <c r="V129" s="1263">
        <v>8404</v>
      </c>
      <c r="W129" s="1263">
        <v>8597</v>
      </c>
      <c r="X129" s="1263">
        <v>8836</v>
      </c>
      <c r="Y129" s="1263">
        <v>9086</v>
      </c>
      <c r="Z129" s="1263">
        <v>9941</v>
      </c>
      <c r="AA129" s="1263">
        <v>10729</v>
      </c>
      <c r="AB129" s="1263">
        <v>12002</v>
      </c>
      <c r="AC129" s="1263">
        <v>12592</v>
      </c>
      <c r="AD129" s="1263">
        <v>12218</v>
      </c>
      <c r="AE129" s="1263">
        <v>11948</v>
      </c>
      <c r="AF129" s="1263">
        <v>11781</v>
      </c>
      <c r="AG129" s="1263">
        <v>11754</v>
      </c>
      <c r="AH129" s="1559">
        <v>11526</v>
      </c>
      <c r="AI129" s="1560">
        <f>'Non-marital births'!H130</f>
        <v>11125</v>
      </c>
      <c r="AJ129" s="1270">
        <f t="shared" si="61"/>
        <v>0.20706561326833642</v>
      </c>
      <c r="AK129" s="1271">
        <f t="shared" si="62"/>
        <v>0.21182628608816553</v>
      </c>
      <c r="AL129" s="1271">
        <f t="shared" si="63"/>
        <v>0.21459030207083216</v>
      </c>
      <c r="AM129" s="1271">
        <f t="shared" si="64"/>
        <v>0.21479075577763898</v>
      </c>
      <c r="AN129" s="1271">
        <f t="shared" si="65"/>
        <v>0.21669078156804081</v>
      </c>
      <c r="AO129" s="1271">
        <f t="shared" si="66"/>
        <v>0.21945269666449291</v>
      </c>
      <c r="AP129" s="1271">
        <f t="shared" si="67"/>
        <v>0.22832927557535945</v>
      </c>
      <c r="AQ129" s="1271">
        <f t="shared" si="68"/>
        <v>0.24296292941416245</v>
      </c>
      <c r="AR129" s="1271">
        <f t="shared" si="69"/>
        <v>0.26965332854029522</v>
      </c>
      <c r="AS129" s="1271">
        <f t="shared" si="70"/>
        <v>0.27734461036958724</v>
      </c>
      <c r="AT129" s="1271">
        <f t="shared" si="71"/>
        <v>0.27235237734334944</v>
      </c>
      <c r="AU129" s="1271">
        <f t="shared" si="72"/>
        <v>0.26863322616183644</v>
      </c>
      <c r="AV129" s="1271">
        <f t="shared" si="73"/>
        <v>0.26492612831410645</v>
      </c>
      <c r="AW129" s="1271">
        <f t="shared" si="74"/>
        <v>0.26481322939665658</v>
      </c>
      <c r="AX129" s="1552">
        <f t="shared" si="75"/>
        <v>0.25801974435315977</v>
      </c>
      <c r="AY129" s="1554">
        <f>'Non-marital births'!L130</f>
        <v>0.2501967839874058</v>
      </c>
    </row>
    <row r="130" spans="1:51" s="142" customFormat="1" ht="15.75" customHeight="1" x14ac:dyDescent="0.2">
      <c r="A130" s="283" t="s">
        <v>265</v>
      </c>
      <c r="B130" s="236"/>
      <c r="C130" s="284"/>
      <c r="D130" s="1275">
        <v>12551</v>
      </c>
      <c r="E130" s="1276">
        <v>12673</v>
      </c>
      <c r="F130" s="1277">
        <v>12972</v>
      </c>
      <c r="G130" s="1276">
        <v>12464</v>
      </c>
      <c r="H130" s="1277">
        <v>12174</v>
      </c>
      <c r="I130" s="1276">
        <v>12548</v>
      </c>
      <c r="J130" s="1277">
        <v>12297</v>
      </c>
      <c r="K130" s="1276">
        <v>12569</v>
      </c>
      <c r="L130" s="1248">
        <v>12953</v>
      </c>
      <c r="M130" s="1248">
        <v>13375</v>
      </c>
      <c r="N130" s="1248">
        <v>13243</v>
      </c>
      <c r="O130" s="1248">
        <v>12806</v>
      </c>
      <c r="P130" s="1263">
        <v>12220</v>
      </c>
      <c r="Q130" s="1263">
        <v>12304</v>
      </c>
      <c r="R130" s="1559">
        <v>12217</v>
      </c>
      <c r="S130" s="1560">
        <f>'Non-marital births'!D131</f>
        <v>12297</v>
      </c>
      <c r="T130" s="1262">
        <v>4302</v>
      </c>
      <c r="U130" s="1263">
        <v>4338</v>
      </c>
      <c r="V130" s="1263">
        <v>4562</v>
      </c>
      <c r="W130" s="1263">
        <v>4439</v>
      </c>
      <c r="X130" s="1263">
        <v>4429</v>
      </c>
      <c r="Y130" s="1263">
        <v>4560</v>
      </c>
      <c r="Z130" s="1263">
        <v>4642</v>
      </c>
      <c r="AA130" s="1263">
        <v>4964</v>
      </c>
      <c r="AB130" s="1263">
        <v>5262</v>
      </c>
      <c r="AC130" s="1263">
        <v>5732</v>
      </c>
      <c r="AD130" s="1263">
        <v>5718</v>
      </c>
      <c r="AE130" s="1263">
        <v>5446</v>
      </c>
      <c r="AF130" s="1263">
        <v>5163</v>
      </c>
      <c r="AG130" s="1263">
        <v>5213</v>
      </c>
      <c r="AH130" s="1559">
        <v>5201</v>
      </c>
      <c r="AI130" s="1560">
        <f>'Non-marital births'!H131</f>
        <v>5256</v>
      </c>
      <c r="AJ130" s="1270">
        <f t="shared" si="61"/>
        <v>0.34276153294558204</v>
      </c>
      <c r="AK130" s="1271">
        <f t="shared" si="62"/>
        <v>0.34230253294405427</v>
      </c>
      <c r="AL130" s="1271">
        <f t="shared" si="63"/>
        <v>0.3516805427073697</v>
      </c>
      <c r="AM130" s="1271">
        <f t="shared" si="64"/>
        <v>0.3561456996148909</v>
      </c>
      <c r="AN130" s="1271">
        <f t="shared" si="65"/>
        <v>0.36380811565631677</v>
      </c>
      <c r="AO130" s="1271">
        <f t="shared" si="66"/>
        <v>0.36340452661778772</v>
      </c>
      <c r="AP130" s="1271">
        <f t="shared" si="67"/>
        <v>0.37749044482394079</v>
      </c>
      <c r="AQ130" s="1271">
        <f t="shared" si="68"/>
        <v>0.39493993157769114</v>
      </c>
      <c r="AR130" s="1271">
        <f t="shared" si="69"/>
        <v>0.4062379371574153</v>
      </c>
      <c r="AS130" s="1271">
        <f t="shared" si="70"/>
        <v>0.4285607476635514</v>
      </c>
      <c r="AT130" s="1271">
        <f t="shared" si="71"/>
        <v>0.43177527750509703</v>
      </c>
      <c r="AU130" s="1271">
        <f t="shared" si="72"/>
        <v>0.42526940496642202</v>
      </c>
      <c r="AV130" s="1271">
        <f t="shared" si="73"/>
        <v>0.42250409165302782</v>
      </c>
      <c r="AW130" s="1271">
        <f t="shared" si="74"/>
        <v>0.42368335500650195</v>
      </c>
      <c r="AX130" s="1552">
        <f t="shared" si="75"/>
        <v>0.42571826143897845</v>
      </c>
      <c r="AY130" s="1554">
        <f>'Non-marital births'!L131</f>
        <v>0.42742132227372531</v>
      </c>
    </row>
    <row r="131" spans="1:51" s="142" customFormat="1" ht="15.75" customHeight="1" x14ac:dyDescent="0.2">
      <c r="A131" s="283" t="s">
        <v>268</v>
      </c>
      <c r="B131" s="236"/>
      <c r="C131" s="284"/>
      <c r="D131" s="1275">
        <v>6127</v>
      </c>
      <c r="E131" s="1276">
        <v>6222</v>
      </c>
      <c r="F131" s="1277">
        <v>6151</v>
      </c>
      <c r="G131" s="1276">
        <v>5941</v>
      </c>
      <c r="H131" s="1277">
        <v>5940</v>
      </c>
      <c r="I131" s="1276">
        <v>5951</v>
      </c>
      <c r="J131" s="1277">
        <v>5855</v>
      </c>
      <c r="K131" s="1276">
        <v>5896</v>
      </c>
      <c r="L131" s="1248">
        <v>6025</v>
      </c>
      <c r="M131" s="1248">
        <v>6206</v>
      </c>
      <c r="N131" s="1248">
        <v>6120</v>
      </c>
      <c r="O131" s="1248">
        <v>5903</v>
      </c>
      <c r="P131" s="1263">
        <v>5851</v>
      </c>
      <c r="Q131" s="1263">
        <v>5624</v>
      </c>
      <c r="R131" s="1559">
        <v>5847</v>
      </c>
      <c r="S131" s="1560">
        <f>'Non-marital births'!D132</f>
        <v>5608</v>
      </c>
      <c r="T131" s="1262">
        <v>1626</v>
      </c>
      <c r="U131" s="1263">
        <v>1578</v>
      </c>
      <c r="V131" s="1263">
        <v>1587</v>
      </c>
      <c r="W131" s="1263">
        <v>1540</v>
      </c>
      <c r="X131" s="1263">
        <v>1633</v>
      </c>
      <c r="Y131" s="1263">
        <v>1678</v>
      </c>
      <c r="Z131" s="1263">
        <v>1644</v>
      </c>
      <c r="AA131" s="1263">
        <v>1805</v>
      </c>
      <c r="AB131" s="1263">
        <v>1905</v>
      </c>
      <c r="AC131" s="1263">
        <v>2150</v>
      </c>
      <c r="AD131" s="1263">
        <v>2128</v>
      </c>
      <c r="AE131" s="1263">
        <v>2197</v>
      </c>
      <c r="AF131" s="1263">
        <v>2219</v>
      </c>
      <c r="AG131" s="1263">
        <v>2119</v>
      </c>
      <c r="AH131" s="1559">
        <v>2197</v>
      </c>
      <c r="AI131" s="1560">
        <f>'Non-marital births'!H132</f>
        <v>2147</v>
      </c>
      <c r="AJ131" s="1270">
        <f t="shared" si="61"/>
        <v>0.26538273216908764</v>
      </c>
      <c r="AK131" s="1271">
        <f t="shared" si="62"/>
        <v>0.25361620057859208</v>
      </c>
      <c r="AL131" s="1271">
        <f t="shared" si="63"/>
        <v>0.25800682815802306</v>
      </c>
      <c r="AM131" s="1271">
        <f t="shared" si="64"/>
        <v>0.25921562026594852</v>
      </c>
      <c r="AN131" s="1271">
        <f t="shared" si="65"/>
        <v>0.27491582491582489</v>
      </c>
      <c r="AO131" s="1271">
        <f t="shared" si="66"/>
        <v>0.28196941690472188</v>
      </c>
      <c r="AP131" s="1271">
        <f t="shared" si="67"/>
        <v>0.28078565328778821</v>
      </c>
      <c r="AQ131" s="1271">
        <f t="shared" si="68"/>
        <v>0.30613975576662145</v>
      </c>
      <c r="AR131" s="1271">
        <f t="shared" si="69"/>
        <v>0.31618257261410787</v>
      </c>
      <c r="AS131" s="1271">
        <f t="shared" si="70"/>
        <v>0.34643893006767645</v>
      </c>
      <c r="AT131" s="1271">
        <f t="shared" si="71"/>
        <v>0.34771241830065358</v>
      </c>
      <c r="AU131" s="1271">
        <f t="shared" si="72"/>
        <v>0.37218363543960697</v>
      </c>
      <c r="AV131" s="1271">
        <f t="shared" si="73"/>
        <v>0.37925141001538198</v>
      </c>
      <c r="AW131" s="1271">
        <f t="shared" si="74"/>
        <v>0.37677809388335703</v>
      </c>
      <c r="AX131" s="1552">
        <f t="shared" si="75"/>
        <v>0.37574824696425518</v>
      </c>
      <c r="AY131" s="1554">
        <f>'Non-marital births'!L132</f>
        <v>0.38284593437945791</v>
      </c>
    </row>
    <row r="132" spans="1:51" s="142" customFormat="1" ht="15.75" customHeight="1" x14ac:dyDescent="0.2">
      <c r="A132" s="283"/>
      <c r="B132" s="236"/>
      <c r="C132" s="284"/>
      <c r="D132" s="152"/>
      <c r="E132" s="151"/>
      <c r="F132" s="152"/>
      <c r="G132" s="285"/>
      <c r="H132" s="152"/>
      <c r="I132" s="151"/>
      <c r="J132" s="152"/>
      <c r="K132" s="151"/>
      <c r="L132" s="286"/>
      <c r="M132" s="286"/>
      <c r="N132" s="286"/>
      <c r="O132" s="286"/>
    </row>
    <row r="133" spans="1:51" ht="18" customHeight="1" x14ac:dyDescent="0.25">
      <c r="A133" s="2087" t="s">
        <v>659</v>
      </c>
      <c r="B133" s="2087"/>
      <c r="C133" s="2087"/>
      <c r="D133" s="2087"/>
      <c r="E133" s="2087"/>
      <c r="F133" s="2087"/>
      <c r="G133" s="2087"/>
    </row>
    <row r="134" spans="1:51" s="185" customFormat="1" ht="12.75" x14ac:dyDescent="0.2">
      <c r="A134" s="185" t="s">
        <v>248</v>
      </c>
    </row>
    <row r="135" spans="1:51" s="185" customFormat="1" ht="12.75" x14ac:dyDescent="0.2">
      <c r="A135" s="192" t="s">
        <v>249</v>
      </c>
      <c r="B135" s="170" t="s">
        <v>250</v>
      </c>
    </row>
  </sheetData>
  <autoFilter ref="A4:C125"/>
  <sortState ref="A6:AV125">
    <sortCondition ref="A6:A125"/>
  </sortState>
  <mergeCells count="5">
    <mergeCell ref="A133:G133"/>
    <mergeCell ref="E2:G2"/>
    <mergeCell ref="D3:S3"/>
    <mergeCell ref="T3:AI3"/>
    <mergeCell ref="AJ3:AY3"/>
  </mergeCells>
  <hyperlinks>
    <hyperlink ref="B135" r:id="rId1"/>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Y135"/>
  <sheetViews>
    <sheetView workbookViewId="0">
      <pane xSplit="3" ySplit="5" topLeftCell="M112" activePane="bottomRight" state="frozen"/>
      <selection pane="topRight" activeCell="D1" sqref="D1"/>
      <selection pane="bottomLeft" activeCell="A6" sqref="A6"/>
      <selection pane="bottomRight" activeCell="S127" sqref="S127:S131"/>
    </sheetView>
  </sheetViews>
  <sheetFormatPr defaultRowHeight="15.75" x14ac:dyDescent="0.25"/>
  <cols>
    <col min="1" max="1" width="7.75" style="134" customWidth="1"/>
    <col min="2" max="2" width="28.625" style="158" customWidth="1"/>
    <col min="3" max="3" width="10" style="158" customWidth="1"/>
    <col min="4" max="4" width="8.25" style="158" customWidth="1"/>
    <col min="5" max="7" width="8.25" style="157" customWidth="1"/>
    <col min="8" max="11" width="8.25" style="134" customWidth="1"/>
    <col min="12" max="15" width="8.25" style="135" customWidth="1"/>
    <col min="16" max="19" width="8.25" style="134" customWidth="1"/>
    <col min="20" max="16384" width="9" style="134"/>
  </cols>
  <sheetData>
    <row r="1" spans="1:51" x14ac:dyDescent="0.25">
      <c r="A1" s="313" t="s">
        <v>1144</v>
      </c>
      <c r="B1" s="313"/>
      <c r="C1" s="313"/>
      <c r="D1" s="313"/>
      <c r="E1" s="313"/>
      <c r="F1" s="313"/>
      <c r="G1" s="313"/>
      <c r="H1" s="313"/>
      <c r="I1" s="314"/>
      <c r="J1" s="314"/>
      <c r="K1" s="314"/>
      <c r="L1" s="314"/>
      <c r="M1" s="314"/>
      <c r="N1" s="314"/>
      <c r="O1" s="314"/>
    </row>
    <row r="2" spans="1:51" ht="9.75" customHeight="1" x14ac:dyDescent="0.25">
      <c r="A2" s="96"/>
      <c r="B2" s="136"/>
      <c r="C2" s="136"/>
      <c r="D2" s="136"/>
      <c r="E2" s="2100"/>
      <c r="F2" s="2100"/>
      <c r="G2" s="2100"/>
    </row>
    <row r="3" spans="1:51" ht="15.75" customHeight="1" x14ac:dyDescent="0.25">
      <c r="A3" s="96"/>
      <c r="B3" s="136"/>
      <c r="C3" s="136"/>
      <c r="D3" s="2101" t="s">
        <v>902</v>
      </c>
      <c r="E3" s="2101"/>
      <c r="F3" s="2101"/>
      <c r="G3" s="2101"/>
      <c r="H3" s="2101"/>
      <c r="I3" s="2101"/>
      <c r="J3" s="2101"/>
      <c r="K3" s="2101"/>
      <c r="L3" s="2101"/>
      <c r="M3" s="2101"/>
      <c r="N3" s="2101"/>
      <c r="O3" s="2101"/>
      <c r="P3" s="2101"/>
      <c r="Q3" s="2101"/>
      <c r="R3" s="2101"/>
      <c r="S3" s="2101"/>
      <c r="T3" s="2102" t="s">
        <v>1145</v>
      </c>
      <c r="U3" s="2102"/>
      <c r="V3" s="2102"/>
      <c r="W3" s="2102"/>
      <c r="X3" s="2102"/>
      <c r="Y3" s="2102"/>
      <c r="Z3" s="2102"/>
      <c r="AA3" s="2102"/>
      <c r="AB3" s="2102"/>
      <c r="AC3" s="2102"/>
      <c r="AD3" s="2102"/>
      <c r="AE3" s="2102"/>
      <c r="AF3" s="2102"/>
      <c r="AG3" s="2102"/>
      <c r="AH3" s="2102"/>
      <c r="AI3" s="2102"/>
      <c r="AJ3" s="2103" t="s">
        <v>903</v>
      </c>
      <c r="AK3" s="2103"/>
      <c r="AL3" s="2103"/>
      <c r="AM3" s="2103"/>
      <c r="AN3" s="2103"/>
      <c r="AO3" s="2103"/>
      <c r="AP3" s="2103"/>
      <c r="AQ3" s="2103"/>
      <c r="AR3" s="2103"/>
      <c r="AS3" s="2103"/>
      <c r="AT3" s="2103"/>
      <c r="AU3" s="2103"/>
      <c r="AV3" s="2103"/>
      <c r="AW3" s="2103"/>
      <c r="AX3" s="2103"/>
    </row>
    <row r="4" spans="1:51" s="142" customFormat="1" ht="15" customHeight="1" x14ac:dyDescent="0.2">
      <c r="A4" s="1247" t="s">
        <v>4</v>
      </c>
      <c r="B4" s="1246" t="s">
        <v>5</v>
      </c>
      <c r="C4" s="1246" t="s">
        <v>251</v>
      </c>
      <c r="D4" s="1257">
        <v>1998</v>
      </c>
      <c r="E4" s="1258">
        <v>1999</v>
      </c>
      <c r="F4" s="1258">
        <v>2000</v>
      </c>
      <c r="G4" s="1258">
        <v>2001</v>
      </c>
      <c r="H4" s="1258">
        <v>2002</v>
      </c>
      <c r="I4" s="1258">
        <v>2003</v>
      </c>
      <c r="J4" s="1258">
        <v>2004</v>
      </c>
      <c r="K4" s="1258">
        <v>2005</v>
      </c>
      <c r="L4" s="1258">
        <v>2006</v>
      </c>
      <c r="M4" s="1258">
        <v>2007</v>
      </c>
      <c r="N4" s="1258">
        <v>2008</v>
      </c>
      <c r="O4" s="1259">
        <v>2009</v>
      </c>
      <c r="P4" s="1260">
        <v>2010</v>
      </c>
      <c r="Q4" s="1260">
        <v>2011</v>
      </c>
      <c r="R4" s="1549">
        <v>2012</v>
      </c>
      <c r="S4" s="1261">
        <v>2013</v>
      </c>
      <c r="T4" s="1267">
        <v>1998</v>
      </c>
      <c r="U4" s="1260">
        <v>1999</v>
      </c>
      <c r="V4" s="1260">
        <v>2000</v>
      </c>
      <c r="W4" s="1260">
        <v>2001</v>
      </c>
      <c r="X4" s="1260">
        <v>2002</v>
      </c>
      <c r="Y4" s="1260">
        <v>2003</v>
      </c>
      <c r="Z4" s="1260">
        <v>2004</v>
      </c>
      <c r="AA4" s="1260">
        <v>2005</v>
      </c>
      <c r="AB4" s="1260">
        <v>2006</v>
      </c>
      <c r="AC4" s="1260">
        <v>2007</v>
      </c>
      <c r="AD4" s="1260">
        <v>2008</v>
      </c>
      <c r="AE4" s="1260">
        <v>2009</v>
      </c>
      <c r="AF4" s="1260">
        <v>2010</v>
      </c>
      <c r="AG4" s="1260">
        <v>2011</v>
      </c>
      <c r="AH4" s="1549">
        <v>2012</v>
      </c>
      <c r="AI4" s="1261">
        <v>2013</v>
      </c>
      <c r="AJ4" s="1267">
        <v>1998</v>
      </c>
      <c r="AK4" s="1260">
        <v>1999</v>
      </c>
      <c r="AL4" s="1260">
        <v>2000</v>
      </c>
      <c r="AM4" s="1260">
        <v>2001</v>
      </c>
      <c r="AN4" s="1260">
        <v>2002</v>
      </c>
      <c r="AO4" s="1260">
        <v>2003</v>
      </c>
      <c r="AP4" s="1260">
        <v>2004</v>
      </c>
      <c r="AQ4" s="1260">
        <v>2005</v>
      </c>
      <c r="AR4" s="1260">
        <v>2006</v>
      </c>
      <c r="AS4" s="1260">
        <v>2007</v>
      </c>
      <c r="AT4" s="1260">
        <v>2008</v>
      </c>
      <c r="AU4" s="1260">
        <v>2009</v>
      </c>
      <c r="AV4" s="1260">
        <v>2010</v>
      </c>
      <c r="AW4" s="1260">
        <v>2011</v>
      </c>
      <c r="AX4" s="1549">
        <v>2012</v>
      </c>
      <c r="AY4" s="1570">
        <v>2013</v>
      </c>
    </row>
    <row r="5" spans="1:51" s="142" customFormat="1" ht="15.75" customHeight="1" x14ac:dyDescent="0.2">
      <c r="A5" s="146" t="s">
        <v>8</v>
      </c>
      <c r="B5" s="147" t="s">
        <v>9</v>
      </c>
      <c r="C5" s="148"/>
      <c r="D5" s="1249">
        <v>10102</v>
      </c>
      <c r="E5" s="1250">
        <v>10090</v>
      </c>
      <c r="F5" s="1250">
        <v>9803</v>
      </c>
      <c r="G5" s="1250">
        <v>9577</v>
      </c>
      <c r="H5" s="1250">
        <v>9195</v>
      </c>
      <c r="I5" s="1250">
        <v>8941</v>
      </c>
      <c r="J5" s="1250">
        <v>8914</v>
      </c>
      <c r="K5" s="1250">
        <v>8905</v>
      </c>
      <c r="L5" s="1251">
        <v>9196</v>
      </c>
      <c r="M5" s="1251">
        <v>9306</v>
      </c>
      <c r="N5" s="1251">
        <v>8902</v>
      </c>
      <c r="O5" s="1251">
        <v>8284</v>
      </c>
      <c r="P5" s="1252">
        <v>7444</v>
      </c>
      <c r="Q5" s="1252">
        <v>6572</v>
      </c>
      <c r="R5" s="1555">
        <v>6134</v>
      </c>
      <c r="S5" s="1253">
        <f>'Teen births'!D5</f>
        <v>5316</v>
      </c>
      <c r="T5" s="1264">
        <v>459326</v>
      </c>
      <c r="U5" s="1265">
        <v>465568</v>
      </c>
      <c r="V5" s="1265">
        <v>478240</v>
      </c>
      <c r="W5" s="1265">
        <v>486425</v>
      </c>
      <c r="X5" s="1265">
        <v>492384</v>
      </c>
      <c r="Y5" s="1265">
        <v>499398</v>
      </c>
      <c r="Z5" s="1265">
        <v>503412</v>
      </c>
      <c r="AA5" s="1265">
        <v>506205</v>
      </c>
      <c r="AB5" s="1265">
        <v>502344</v>
      </c>
      <c r="AC5" s="1265">
        <v>505848</v>
      </c>
      <c r="AD5" s="1265">
        <v>503210</v>
      </c>
      <c r="AE5" s="1265">
        <v>505976</v>
      </c>
      <c r="AF5" s="1265">
        <v>519085</v>
      </c>
      <c r="AG5" s="1265">
        <v>517392</v>
      </c>
      <c r="AH5" s="1558">
        <v>517793</v>
      </c>
      <c r="AI5" s="1266">
        <f>'Teen births'!H5</f>
        <v>518354</v>
      </c>
      <c r="AJ5" s="1290">
        <f>IF(T5=0,"NA",(D5/T5)*1000)</f>
        <v>21.993094229370861</v>
      </c>
      <c r="AK5" s="1291">
        <f t="shared" ref="AK5:AY5" si="0">IF(U5=0,"NA",(E5/U5)*1000)</f>
        <v>21.672451714894493</v>
      </c>
      <c r="AL5" s="1291">
        <f t="shared" si="0"/>
        <v>20.498076279692203</v>
      </c>
      <c r="AM5" s="1291">
        <f t="shared" si="0"/>
        <v>19.688543968751606</v>
      </c>
      <c r="AN5" s="1291">
        <f t="shared" si="0"/>
        <v>18.674449210372391</v>
      </c>
      <c r="AO5" s="1291">
        <f t="shared" si="0"/>
        <v>17.903555881281065</v>
      </c>
      <c r="AP5" s="1291">
        <f t="shared" si="0"/>
        <v>17.707166297187989</v>
      </c>
      <c r="AQ5" s="1291">
        <f t="shared" si="0"/>
        <v>17.591687162315662</v>
      </c>
      <c r="AR5" s="1291">
        <f t="shared" si="0"/>
        <v>18.306180625228926</v>
      </c>
      <c r="AS5" s="1291">
        <f t="shared" si="0"/>
        <v>18.39683066850121</v>
      </c>
      <c r="AT5" s="1291">
        <f t="shared" si="0"/>
        <v>17.690427455734188</v>
      </c>
      <c r="AU5" s="1291">
        <f t="shared" si="0"/>
        <v>16.372318054611284</v>
      </c>
      <c r="AV5" s="1291">
        <f t="shared" si="0"/>
        <v>14.340618588477803</v>
      </c>
      <c r="AW5" s="1291">
        <f t="shared" si="0"/>
        <v>12.702167795404645</v>
      </c>
      <c r="AX5" s="1567">
        <f t="shared" si="0"/>
        <v>11.846432840922917</v>
      </c>
      <c r="AY5" s="1571">
        <f t="shared" si="0"/>
        <v>10.25553965050911</v>
      </c>
    </row>
    <row r="6" spans="1:51" s="142" customFormat="1" ht="15.75" customHeight="1" x14ac:dyDescent="0.2">
      <c r="A6" s="149" t="s">
        <v>10</v>
      </c>
      <c r="B6" s="188" t="s">
        <v>11</v>
      </c>
      <c r="C6" s="150" t="s">
        <v>264</v>
      </c>
      <c r="D6" s="1239">
        <v>67</v>
      </c>
      <c r="E6" s="1240">
        <v>81</v>
      </c>
      <c r="F6" s="1241">
        <v>86</v>
      </c>
      <c r="G6" s="1240">
        <v>60</v>
      </c>
      <c r="H6" s="1241">
        <v>85</v>
      </c>
      <c r="I6" s="1240">
        <v>87</v>
      </c>
      <c r="J6" s="1241">
        <v>74</v>
      </c>
      <c r="K6" s="1240">
        <v>86</v>
      </c>
      <c r="L6" s="1254">
        <v>79</v>
      </c>
      <c r="M6" s="1254">
        <v>89</v>
      </c>
      <c r="N6" s="1254">
        <v>76</v>
      </c>
      <c r="O6" s="1254">
        <v>49</v>
      </c>
      <c r="P6" s="1255">
        <v>53</v>
      </c>
      <c r="Q6" s="1255">
        <v>43</v>
      </c>
      <c r="R6" s="1556">
        <v>32</v>
      </c>
      <c r="S6" s="1557">
        <f>'Teen births'!D6</f>
        <v>23</v>
      </c>
      <c r="T6" s="1262">
        <v>2001</v>
      </c>
      <c r="U6" s="1263">
        <v>1999</v>
      </c>
      <c r="V6" s="1263">
        <v>2471</v>
      </c>
      <c r="W6" s="1263">
        <v>2535</v>
      </c>
      <c r="X6" s="1263">
        <v>2552</v>
      </c>
      <c r="Y6" s="1263">
        <v>2605</v>
      </c>
      <c r="Z6" s="1263">
        <v>2554</v>
      </c>
      <c r="AA6" s="1263">
        <v>2515</v>
      </c>
      <c r="AB6" s="1263">
        <v>2448</v>
      </c>
      <c r="AC6" s="1263">
        <v>2363</v>
      </c>
      <c r="AD6" s="1263">
        <v>2319</v>
      </c>
      <c r="AE6" s="1263">
        <v>2273</v>
      </c>
      <c r="AF6" s="1263">
        <v>1817</v>
      </c>
      <c r="AG6" s="1263">
        <v>1793</v>
      </c>
      <c r="AH6" s="1559">
        <v>1757</v>
      </c>
      <c r="AI6" s="1560">
        <f>'Teen births'!H6</f>
        <v>1736</v>
      </c>
      <c r="AJ6" s="1292">
        <f t="shared" ref="AJ6:AJ69" si="1">IF(T6=0,"NA",(D6/T6)*1000)</f>
        <v>33.483258370814596</v>
      </c>
      <c r="AK6" s="1293">
        <f t="shared" ref="AK6:AK69" si="2">IF(U6=0,"NA",(E6/U6)*1000)</f>
        <v>40.520260130065033</v>
      </c>
      <c r="AL6" s="1293">
        <f t="shared" ref="AL6:AL69" si="3">IF(V6=0,"NA",(F6/V6)*1000)</f>
        <v>34.803723188992308</v>
      </c>
      <c r="AM6" s="1293">
        <f t="shared" ref="AM6:AM69" si="4">IF(W6=0,"NA",(G6/W6)*1000)</f>
        <v>23.668639053254438</v>
      </c>
      <c r="AN6" s="1293">
        <f t="shared" ref="AN6:AN69" si="5">IF(X6=0,"NA",(H6/X6)*1000)</f>
        <v>33.307210031347964</v>
      </c>
      <c r="AO6" s="1293">
        <f t="shared" ref="AO6:AO69" si="6">IF(Y6=0,"NA",(I6/Y6)*1000)</f>
        <v>33.397312859884835</v>
      </c>
      <c r="AP6" s="1293">
        <f t="shared" ref="AP6:AP69" si="7">IF(Z6=0,"NA",(J6/Z6)*1000)</f>
        <v>28.974158183241972</v>
      </c>
      <c r="AQ6" s="1293">
        <f t="shared" ref="AQ6:AQ69" si="8">IF(AA6=0,"NA",(K6/AA6)*1000)</f>
        <v>34.194831013916499</v>
      </c>
      <c r="AR6" s="1293">
        <f t="shared" ref="AR6:AR69" si="9">IF(AB6=0,"NA",(L6/AB6)*1000)</f>
        <v>32.271241830065364</v>
      </c>
      <c r="AS6" s="1293">
        <f t="shared" ref="AS6:AS69" si="10">IF(AC6=0,"NA",(M6/AC6)*1000)</f>
        <v>37.663986457892513</v>
      </c>
      <c r="AT6" s="1293">
        <f t="shared" ref="AT6:AT69" si="11">IF(AD6=0,"NA",(N6/AD6)*1000)</f>
        <v>32.77274687365243</v>
      </c>
      <c r="AU6" s="1293">
        <f t="shared" ref="AU6:AU69" si="12">IF(AE6=0,"NA",(O6/AE6)*1000)</f>
        <v>21.557413110426747</v>
      </c>
      <c r="AV6" s="1293">
        <f t="shared" ref="AV6:AV69" si="13">IF(AF6=0,"NA",(P6/AF6)*1000)</f>
        <v>29.168959823885526</v>
      </c>
      <c r="AW6" s="1293">
        <f t="shared" ref="AW6:AW69" si="14">IF(AG6=0,"NA",(Q6/AG6)*1000)</f>
        <v>23.982152816508645</v>
      </c>
      <c r="AX6" s="1568">
        <f t="shared" ref="AX6:AX69" si="15">IF(AH6=0,"NA",(R6/AH6)*1000)</f>
        <v>18.212862834376779</v>
      </c>
      <c r="AY6" s="1572">
        <f t="shared" ref="AY6:AY69" si="16">IF(AI6=0,"NA",(S6/AI6)*1000)</f>
        <v>13.248847926267281</v>
      </c>
    </row>
    <row r="7" spans="1:51" s="142" customFormat="1" ht="15.75" customHeight="1" x14ac:dyDescent="0.2">
      <c r="A7" s="149" t="s">
        <v>12</v>
      </c>
      <c r="B7" s="189" t="s">
        <v>13</v>
      </c>
      <c r="C7" s="150" t="s">
        <v>265</v>
      </c>
      <c r="D7" s="1239">
        <v>77</v>
      </c>
      <c r="E7" s="1240">
        <v>79</v>
      </c>
      <c r="F7" s="1241">
        <v>66</v>
      </c>
      <c r="G7" s="1240">
        <v>65</v>
      </c>
      <c r="H7" s="1241">
        <v>61</v>
      </c>
      <c r="I7" s="1240">
        <v>62</v>
      </c>
      <c r="J7" s="1241">
        <v>50</v>
      </c>
      <c r="K7" s="1240">
        <v>60</v>
      </c>
      <c r="L7" s="1254">
        <v>72</v>
      </c>
      <c r="M7" s="1254">
        <v>72</v>
      </c>
      <c r="N7" s="1254">
        <v>70</v>
      </c>
      <c r="O7" s="1254">
        <v>52</v>
      </c>
      <c r="P7" s="1255">
        <v>56</v>
      </c>
      <c r="Q7" s="1255">
        <v>38</v>
      </c>
      <c r="R7" s="1556">
        <v>40</v>
      </c>
      <c r="S7" s="1557">
        <f>'Teen births'!D7</f>
        <v>32</v>
      </c>
      <c r="T7" s="1262">
        <v>6219</v>
      </c>
      <c r="U7" s="1263">
        <v>6381</v>
      </c>
      <c r="V7" s="1263">
        <v>5216</v>
      </c>
      <c r="W7" s="1263">
        <v>5412</v>
      </c>
      <c r="X7" s="1263">
        <v>5524</v>
      </c>
      <c r="Y7" s="1263">
        <v>7381</v>
      </c>
      <c r="Z7" s="1263">
        <v>7374</v>
      </c>
      <c r="AA7" s="1263">
        <v>7398</v>
      </c>
      <c r="AB7" s="1263">
        <v>7290</v>
      </c>
      <c r="AC7" s="1263">
        <v>7247</v>
      </c>
      <c r="AD7" s="1263">
        <v>7138</v>
      </c>
      <c r="AE7" s="1263">
        <v>7239</v>
      </c>
      <c r="AF7" s="1263">
        <v>7598</v>
      </c>
      <c r="AG7" s="1263">
        <v>7757</v>
      </c>
      <c r="AH7" s="1559">
        <v>7849</v>
      </c>
      <c r="AI7" s="1560">
        <f>'Teen births'!H7</f>
        <v>7732</v>
      </c>
      <c r="AJ7" s="1292">
        <f t="shared" si="1"/>
        <v>12.381411802540601</v>
      </c>
      <c r="AK7" s="1293">
        <f t="shared" si="2"/>
        <v>12.380504623099828</v>
      </c>
      <c r="AL7" s="1293">
        <f t="shared" si="3"/>
        <v>12.653374233128835</v>
      </c>
      <c r="AM7" s="1293">
        <f t="shared" si="4"/>
        <v>12.010347376201034</v>
      </c>
      <c r="AN7" s="1293">
        <f t="shared" si="5"/>
        <v>11.042722664735699</v>
      </c>
      <c r="AO7" s="1293">
        <f t="shared" si="6"/>
        <v>8.3999458068012469</v>
      </c>
      <c r="AP7" s="1293">
        <f t="shared" si="7"/>
        <v>6.7805804176837539</v>
      </c>
      <c r="AQ7" s="1293">
        <f t="shared" si="8"/>
        <v>8.1103000811030004</v>
      </c>
      <c r="AR7" s="1293">
        <f t="shared" si="9"/>
        <v>9.8765432098765427</v>
      </c>
      <c r="AS7" s="1293">
        <f t="shared" si="10"/>
        <v>9.9351455774803377</v>
      </c>
      <c r="AT7" s="1293">
        <f t="shared" si="11"/>
        <v>9.8066685346035314</v>
      </c>
      <c r="AU7" s="1293">
        <f t="shared" si="12"/>
        <v>7.1833126122392592</v>
      </c>
      <c r="AV7" s="1293">
        <f t="shared" si="13"/>
        <v>7.3703606212161095</v>
      </c>
      <c r="AW7" s="1293">
        <f t="shared" si="14"/>
        <v>4.898801082892871</v>
      </c>
      <c r="AX7" s="1568">
        <f t="shared" si="15"/>
        <v>5.0961905975283477</v>
      </c>
      <c r="AY7" s="1572">
        <f t="shared" si="16"/>
        <v>4.1386445938954992</v>
      </c>
    </row>
    <row r="8" spans="1:51" s="142" customFormat="1" ht="15.75" customHeight="1" x14ac:dyDescent="0.2">
      <c r="A8" s="149" t="s">
        <v>16</v>
      </c>
      <c r="B8" s="189" t="s">
        <v>297</v>
      </c>
      <c r="C8" s="150" t="s">
        <v>265</v>
      </c>
      <c r="D8" s="1239">
        <v>37</v>
      </c>
      <c r="E8" s="1240">
        <v>40</v>
      </c>
      <c r="F8" s="1241">
        <v>30</v>
      </c>
      <c r="G8" s="1240">
        <v>24</v>
      </c>
      <c r="H8" s="1241">
        <v>21</v>
      </c>
      <c r="I8" s="1240">
        <v>21</v>
      </c>
      <c r="J8" s="1241">
        <v>33</v>
      </c>
      <c r="K8" s="1240">
        <v>22</v>
      </c>
      <c r="L8" s="1254">
        <v>35</v>
      </c>
      <c r="M8" s="1254">
        <v>31</v>
      </c>
      <c r="N8" s="1254">
        <v>36</v>
      </c>
      <c r="O8" s="1254">
        <v>20</v>
      </c>
      <c r="P8" s="1255">
        <v>22</v>
      </c>
      <c r="Q8" s="1255">
        <v>24</v>
      </c>
      <c r="R8" s="1556">
        <v>23</v>
      </c>
      <c r="S8" s="1557">
        <f>'Teen births'!D8</f>
        <v>12</v>
      </c>
      <c r="T8" s="1262">
        <v>1395</v>
      </c>
      <c r="U8" s="1263">
        <v>1375</v>
      </c>
      <c r="V8" s="1263">
        <v>1332</v>
      </c>
      <c r="W8" s="1263">
        <v>1321</v>
      </c>
      <c r="X8" s="1263">
        <v>1302</v>
      </c>
      <c r="Y8" s="1263">
        <v>1311</v>
      </c>
      <c r="Z8" s="1263">
        <v>1326</v>
      </c>
      <c r="AA8" s="1263">
        <v>1339</v>
      </c>
      <c r="AB8" s="1263">
        <v>1323</v>
      </c>
      <c r="AC8" s="1263">
        <v>1326</v>
      </c>
      <c r="AD8" s="1263">
        <v>1304</v>
      </c>
      <c r="AE8" s="1263">
        <v>1311</v>
      </c>
      <c r="AF8" s="1263">
        <v>1340</v>
      </c>
      <c r="AG8" s="1263">
        <v>1316</v>
      </c>
      <c r="AH8" s="1559">
        <v>1324</v>
      </c>
      <c r="AI8" s="1560">
        <f>'Teen births'!H8</f>
        <v>1295</v>
      </c>
      <c r="AJ8" s="1294">
        <f t="shared" si="1"/>
        <v>26.523297491039425</v>
      </c>
      <c r="AK8" s="1295">
        <f t="shared" si="2"/>
        <v>29.09090909090909</v>
      </c>
      <c r="AL8" s="1295">
        <f t="shared" si="3"/>
        <v>22.522522522522522</v>
      </c>
      <c r="AM8" s="1295">
        <f t="shared" si="4"/>
        <v>18.168054504163514</v>
      </c>
      <c r="AN8" s="1295">
        <f t="shared" si="5"/>
        <v>16.129032258064516</v>
      </c>
      <c r="AO8" s="1295">
        <f t="shared" si="6"/>
        <v>16.018306636155607</v>
      </c>
      <c r="AP8" s="1295">
        <f t="shared" si="7"/>
        <v>24.886877828054295</v>
      </c>
      <c r="AQ8" s="1295">
        <f t="shared" si="8"/>
        <v>16.430171769977594</v>
      </c>
      <c r="AR8" s="1295">
        <f t="shared" si="9"/>
        <v>26.455026455026452</v>
      </c>
      <c r="AS8" s="1295">
        <f t="shared" si="10"/>
        <v>23.378582202111613</v>
      </c>
      <c r="AT8" s="1295">
        <f t="shared" si="11"/>
        <v>27.607361963190183</v>
      </c>
      <c r="AU8" s="1295">
        <f t="shared" si="12"/>
        <v>15.255530129672005</v>
      </c>
      <c r="AV8" s="1295">
        <f t="shared" si="13"/>
        <v>16.417910447761194</v>
      </c>
      <c r="AW8" s="1295">
        <f t="shared" si="14"/>
        <v>18.237082066869299</v>
      </c>
      <c r="AX8" s="1569">
        <f t="shared" si="15"/>
        <v>17.371601208459214</v>
      </c>
      <c r="AY8" s="1572">
        <f t="shared" si="16"/>
        <v>9.2664092664092657</v>
      </c>
    </row>
    <row r="9" spans="1:51" s="142" customFormat="1" ht="15.75" customHeight="1" x14ac:dyDescent="0.2">
      <c r="A9" s="149" t="s">
        <v>18</v>
      </c>
      <c r="B9" s="189" t="s">
        <v>19</v>
      </c>
      <c r="C9" s="150" t="s">
        <v>266</v>
      </c>
      <c r="D9" s="1239">
        <v>18</v>
      </c>
      <c r="E9" s="1240">
        <v>12</v>
      </c>
      <c r="F9" s="1241">
        <v>24</v>
      </c>
      <c r="G9" s="1240">
        <v>21</v>
      </c>
      <c r="H9" s="1241">
        <v>15</v>
      </c>
      <c r="I9" s="1240">
        <v>15</v>
      </c>
      <c r="J9" s="1241">
        <v>19</v>
      </c>
      <c r="K9" s="1240">
        <v>18</v>
      </c>
      <c r="L9" s="1254">
        <v>16</v>
      </c>
      <c r="M9" s="1254">
        <v>21</v>
      </c>
      <c r="N9" s="1254">
        <v>16</v>
      </c>
      <c r="O9" s="1254">
        <v>20</v>
      </c>
      <c r="P9" s="1255">
        <v>15</v>
      </c>
      <c r="Q9" s="1255">
        <v>6</v>
      </c>
      <c r="R9" s="1556">
        <v>14</v>
      </c>
      <c r="S9" s="1557">
        <f>'Teen births'!D9</f>
        <v>9</v>
      </c>
      <c r="T9" s="1262">
        <v>617</v>
      </c>
      <c r="U9" s="1263">
        <v>616</v>
      </c>
      <c r="V9" s="1263">
        <v>772</v>
      </c>
      <c r="W9" s="1263">
        <v>790</v>
      </c>
      <c r="X9" s="1263">
        <v>790</v>
      </c>
      <c r="Y9" s="1263">
        <v>770</v>
      </c>
      <c r="Z9" s="1263">
        <v>776</v>
      </c>
      <c r="AA9" s="1263">
        <v>762</v>
      </c>
      <c r="AB9" s="1263">
        <v>772</v>
      </c>
      <c r="AC9" s="1263">
        <v>752</v>
      </c>
      <c r="AD9" s="1263">
        <v>750</v>
      </c>
      <c r="AE9" s="1263">
        <v>807</v>
      </c>
      <c r="AF9" s="1263">
        <v>771</v>
      </c>
      <c r="AG9" s="1263">
        <v>762</v>
      </c>
      <c r="AH9" s="1559">
        <v>754</v>
      </c>
      <c r="AI9" s="1560">
        <f>'Teen births'!H9</f>
        <v>745</v>
      </c>
      <c r="AJ9" s="1294">
        <f t="shared" si="1"/>
        <v>29.173419773095624</v>
      </c>
      <c r="AK9" s="1295">
        <f t="shared" si="2"/>
        <v>19.480519480519479</v>
      </c>
      <c r="AL9" s="1295">
        <f t="shared" si="3"/>
        <v>31.088082901554404</v>
      </c>
      <c r="AM9" s="1295">
        <f t="shared" si="4"/>
        <v>26.582278481012658</v>
      </c>
      <c r="AN9" s="1295">
        <f t="shared" si="5"/>
        <v>18.9873417721519</v>
      </c>
      <c r="AO9" s="1295">
        <f t="shared" si="6"/>
        <v>19.480519480519479</v>
      </c>
      <c r="AP9" s="1295">
        <f t="shared" si="7"/>
        <v>24.484536082474225</v>
      </c>
      <c r="AQ9" s="1295">
        <f t="shared" si="8"/>
        <v>23.622047244094489</v>
      </c>
      <c r="AR9" s="1295">
        <f t="shared" si="9"/>
        <v>20.725388601036268</v>
      </c>
      <c r="AS9" s="1295">
        <f t="shared" si="10"/>
        <v>27.925531914893615</v>
      </c>
      <c r="AT9" s="1295">
        <f t="shared" si="11"/>
        <v>21.333333333333332</v>
      </c>
      <c r="AU9" s="1295">
        <f t="shared" si="12"/>
        <v>24.783147459727388</v>
      </c>
      <c r="AV9" s="1295">
        <f t="shared" si="13"/>
        <v>19.45525291828794</v>
      </c>
      <c r="AW9" s="1295">
        <f t="shared" si="14"/>
        <v>7.8740157480314963</v>
      </c>
      <c r="AX9" s="1569">
        <f t="shared" si="15"/>
        <v>18.567639257294431</v>
      </c>
      <c r="AY9" s="1572">
        <f t="shared" si="16"/>
        <v>12.080536912751677</v>
      </c>
    </row>
    <row r="10" spans="1:51" s="142" customFormat="1" ht="15.75" customHeight="1" x14ac:dyDescent="0.2">
      <c r="A10" s="149" t="s">
        <v>20</v>
      </c>
      <c r="B10" s="189" t="s">
        <v>21</v>
      </c>
      <c r="C10" s="150" t="s">
        <v>265</v>
      </c>
      <c r="D10" s="1239">
        <v>36</v>
      </c>
      <c r="E10" s="1240">
        <v>43</v>
      </c>
      <c r="F10" s="1241">
        <v>46</v>
      </c>
      <c r="G10" s="1240">
        <v>39</v>
      </c>
      <c r="H10" s="1241">
        <v>41</v>
      </c>
      <c r="I10" s="1240">
        <v>39</v>
      </c>
      <c r="J10" s="1241">
        <v>42</v>
      </c>
      <c r="K10" s="1240">
        <v>35</v>
      </c>
      <c r="L10" s="1254">
        <v>35</v>
      </c>
      <c r="M10" s="1254">
        <v>40</v>
      </c>
      <c r="N10" s="1254">
        <v>51</v>
      </c>
      <c r="O10" s="1254">
        <v>46</v>
      </c>
      <c r="P10" s="1255">
        <v>45</v>
      </c>
      <c r="Q10" s="1255">
        <v>30</v>
      </c>
      <c r="R10" s="1556">
        <v>35</v>
      </c>
      <c r="S10" s="1557">
        <f>'Teen births'!D10</f>
        <v>24</v>
      </c>
      <c r="T10" s="1262">
        <v>2061</v>
      </c>
      <c r="U10" s="1263">
        <v>2058</v>
      </c>
      <c r="V10" s="1263">
        <v>2437</v>
      </c>
      <c r="W10" s="1263">
        <v>2446</v>
      </c>
      <c r="X10" s="1263">
        <v>2438</v>
      </c>
      <c r="Y10" s="1263">
        <v>2410</v>
      </c>
      <c r="Z10" s="1263">
        <v>2436</v>
      </c>
      <c r="AA10" s="1263">
        <v>2404</v>
      </c>
      <c r="AB10" s="1263">
        <v>2362</v>
      </c>
      <c r="AC10" s="1263">
        <v>2395</v>
      </c>
      <c r="AD10" s="1263">
        <v>2394</v>
      </c>
      <c r="AE10" s="1263">
        <v>2420</v>
      </c>
      <c r="AF10" s="1263">
        <v>2249</v>
      </c>
      <c r="AG10" s="1263">
        <v>2188</v>
      </c>
      <c r="AH10" s="1559">
        <v>2114</v>
      </c>
      <c r="AI10" s="1560">
        <f>'Teen births'!H10</f>
        <v>2054</v>
      </c>
      <c r="AJ10" s="1294">
        <f t="shared" si="1"/>
        <v>17.467248908296941</v>
      </c>
      <c r="AK10" s="1295">
        <f t="shared" si="2"/>
        <v>20.894071914480079</v>
      </c>
      <c r="AL10" s="1295">
        <f t="shared" si="3"/>
        <v>18.875666803446862</v>
      </c>
      <c r="AM10" s="1295">
        <f t="shared" si="4"/>
        <v>15.944399018806214</v>
      </c>
      <c r="AN10" s="1295">
        <f t="shared" si="5"/>
        <v>16.817063166529941</v>
      </c>
      <c r="AO10" s="1295">
        <f t="shared" si="6"/>
        <v>16.182572614107887</v>
      </c>
      <c r="AP10" s="1295">
        <f t="shared" si="7"/>
        <v>17.241379310344826</v>
      </c>
      <c r="AQ10" s="1295">
        <f t="shared" si="8"/>
        <v>14.559068219633943</v>
      </c>
      <c r="AR10" s="1295">
        <f t="shared" si="9"/>
        <v>14.817950889077053</v>
      </c>
      <c r="AS10" s="1295">
        <f t="shared" si="10"/>
        <v>16.701461377870562</v>
      </c>
      <c r="AT10" s="1295">
        <f t="shared" si="11"/>
        <v>21.303258145363408</v>
      </c>
      <c r="AU10" s="1295">
        <f t="shared" si="12"/>
        <v>19.008264462809915</v>
      </c>
      <c r="AV10" s="1295">
        <f t="shared" si="13"/>
        <v>20.008892841262782</v>
      </c>
      <c r="AW10" s="1295">
        <f t="shared" si="14"/>
        <v>13.711151736745887</v>
      </c>
      <c r="AX10" s="1569">
        <f t="shared" si="15"/>
        <v>16.556291390728479</v>
      </c>
      <c r="AY10" s="1572">
        <f t="shared" si="16"/>
        <v>11.684518013631937</v>
      </c>
    </row>
    <row r="11" spans="1:51" s="142" customFormat="1" ht="15.75" customHeight="1" x14ac:dyDescent="0.2">
      <c r="A11" s="149" t="s">
        <v>22</v>
      </c>
      <c r="B11" s="189" t="s">
        <v>23</v>
      </c>
      <c r="C11" s="150" t="s">
        <v>265</v>
      </c>
      <c r="D11" s="1239">
        <v>19</v>
      </c>
      <c r="E11" s="1240">
        <v>23</v>
      </c>
      <c r="F11" s="1241">
        <v>21</v>
      </c>
      <c r="G11" s="1240">
        <v>20</v>
      </c>
      <c r="H11" s="1241">
        <v>21</v>
      </c>
      <c r="I11" s="1240">
        <v>23</v>
      </c>
      <c r="J11" s="1241">
        <v>22</v>
      </c>
      <c r="K11" s="1240">
        <v>20</v>
      </c>
      <c r="L11" s="1254">
        <v>21</v>
      </c>
      <c r="M11" s="1254">
        <v>17</v>
      </c>
      <c r="N11" s="1254">
        <v>20</v>
      </c>
      <c r="O11" s="1254">
        <v>15</v>
      </c>
      <c r="P11" s="1255">
        <v>19</v>
      </c>
      <c r="Q11" s="1255">
        <v>17</v>
      </c>
      <c r="R11" s="1556">
        <v>16</v>
      </c>
      <c r="S11" s="1557">
        <f>'Teen births'!D11</f>
        <v>11</v>
      </c>
      <c r="T11" s="1262">
        <v>853</v>
      </c>
      <c r="U11" s="1263">
        <v>848</v>
      </c>
      <c r="V11" s="1263">
        <v>907</v>
      </c>
      <c r="W11" s="1263">
        <v>924</v>
      </c>
      <c r="X11" s="1263">
        <v>912</v>
      </c>
      <c r="Y11" s="1263">
        <v>900</v>
      </c>
      <c r="Z11" s="1263">
        <v>894</v>
      </c>
      <c r="AA11" s="1263">
        <v>894</v>
      </c>
      <c r="AB11" s="1263">
        <v>873</v>
      </c>
      <c r="AC11" s="1263">
        <v>856</v>
      </c>
      <c r="AD11" s="1263">
        <v>861</v>
      </c>
      <c r="AE11" s="1263">
        <v>875</v>
      </c>
      <c r="AF11" s="1263">
        <v>902</v>
      </c>
      <c r="AG11" s="1263">
        <v>905</v>
      </c>
      <c r="AH11" s="1559">
        <v>907</v>
      </c>
      <c r="AI11" s="1560">
        <f>'Teen births'!H11</f>
        <v>908</v>
      </c>
      <c r="AJ11" s="1294">
        <f t="shared" si="1"/>
        <v>22.274325908558033</v>
      </c>
      <c r="AK11" s="1295">
        <f t="shared" si="2"/>
        <v>27.122641509433961</v>
      </c>
      <c r="AL11" s="1295">
        <f t="shared" si="3"/>
        <v>23.153252480705625</v>
      </c>
      <c r="AM11" s="1295">
        <f t="shared" si="4"/>
        <v>21.645021645021643</v>
      </c>
      <c r="AN11" s="1295">
        <f t="shared" si="5"/>
        <v>23.026315789473681</v>
      </c>
      <c r="AO11" s="1295">
        <f t="shared" si="6"/>
        <v>25.555555555555557</v>
      </c>
      <c r="AP11" s="1295">
        <f t="shared" si="7"/>
        <v>24.608501118568235</v>
      </c>
      <c r="AQ11" s="1295">
        <f t="shared" si="8"/>
        <v>22.371364653243848</v>
      </c>
      <c r="AR11" s="1295">
        <f t="shared" si="9"/>
        <v>24.054982817869416</v>
      </c>
      <c r="AS11" s="1295">
        <f t="shared" si="10"/>
        <v>19.859813084112147</v>
      </c>
      <c r="AT11" s="1295">
        <f t="shared" si="11"/>
        <v>23.228803716608596</v>
      </c>
      <c r="AU11" s="1295">
        <f t="shared" si="12"/>
        <v>17.142857142857142</v>
      </c>
      <c r="AV11" s="1295">
        <f t="shared" si="13"/>
        <v>21.064301552106432</v>
      </c>
      <c r="AW11" s="1295">
        <f t="shared" si="14"/>
        <v>18.784530386740332</v>
      </c>
      <c r="AX11" s="1569">
        <f t="shared" si="15"/>
        <v>17.640573318632857</v>
      </c>
      <c r="AY11" s="1572">
        <f t="shared" si="16"/>
        <v>12.114537444933921</v>
      </c>
    </row>
    <row r="12" spans="1:51" s="142" customFormat="1" ht="15.75" customHeight="1" x14ac:dyDescent="0.2">
      <c r="A12" s="149" t="s">
        <v>24</v>
      </c>
      <c r="B12" s="189" t="s">
        <v>25</v>
      </c>
      <c r="C12" s="150" t="s">
        <v>267</v>
      </c>
      <c r="D12" s="1239">
        <v>156</v>
      </c>
      <c r="E12" s="1240">
        <v>138</v>
      </c>
      <c r="F12" s="1241">
        <v>130</v>
      </c>
      <c r="G12" s="1240">
        <v>127</v>
      </c>
      <c r="H12" s="1241">
        <v>103</v>
      </c>
      <c r="I12" s="1240">
        <v>91</v>
      </c>
      <c r="J12" s="1241">
        <v>111</v>
      </c>
      <c r="K12" s="1240">
        <v>76</v>
      </c>
      <c r="L12" s="1254">
        <v>89</v>
      </c>
      <c r="M12" s="1254">
        <v>80</v>
      </c>
      <c r="N12" s="1254">
        <v>93</v>
      </c>
      <c r="O12" s="1254">
        <v>65</v>
      </c>
      <c r="P12" s="1255">
        <v>63</v>
      </c>
      <c r="Q12" s="1255">
        <v>53</v>
      </c>
      <c r="R12" s="1556">
        <v>54</v>
      </c>
      <c r="S12" s="1557">
        <f>'Teen births'!D12</f>
        <v>45</v>
      </c>
      <c r="T12" s="1262">
        <v>7605</v>
      </c>
      <c r="U12" s="1263">
        <v>7799</v>
      </c>
      <c r="V12" s="1263">
        <v>7262</v>
      </c>
      <c r="W12" s="1263">
        <v>7188</v>
      </c>
      <c r="X12" s="1263">
        <v>7052</v>
      </c>
      <c r="Y12" s="1263">
        <v>6856</v>
      </c>
      <c r="Z12" s="1263">
        <v>7103</v>
      </c>
      <c r="AA12" s="1263">
        <v>7207</v>
      </c>
      <c r="AB12" s="1263">
        <v>7185</v>
      </c>
      <c r="AC12" s="1263">
        <v>8003</v>
      </c>
      <c r="AD12" s="1263">
        <v>8243</v>
      </c>
      <c r="AE12" s="1263">
        <v>7024</v>
      </c>
      <c r="AF12" s="1263">
        <v>6996</v>
      </c>
      <c r="AG12" s="1263">
        <v>7434</v>
      </c>
      <c r="AH12" s="1559">
        <v>7787</v>
      </c>
      <c r="AI12" s="1560">
        <f>'Teen births'!H12</f>
        <v>8051</v>
      </c>
      <c r="AJ12" s="1294">
        <f t="shared" si="1"/>
        <v>20.512820512820515</v>
      </c>
      <c r="AK12" s="1295">
        <f t="shared" si="2"/>
        <v>17.694576227721502</v>
      </c>
      <c r="AL12" s="1295">
        <f t="shared" si="3"/>
        <v>17.901404571743321</v>
      </c>
      <c r="AM12" s="1295">
        <f t="shared" si="4"/>
        <v>17.66833611574847</v>
      </c>
      <c r="AN12" s="1295">
        <f t="shared" si="5"/>
        <v>14.605785592739648</v>
      </c>
      <c r="AO12" s="1295">
        <f t="shared" si="6"/>
        <v>13.273045507584598</v>
      </c>
      <c r="AP12" s="1295">
        <f t="shared" si="7"/>
        <v>15.627199774743065</v>
      </c>
      <c r="AQ12" s="1295">
        <f t="shared" si="8"/>
        <v>10.545303177466351</v>
      </c>
      <c r="AR12" s="1295">
        <f t="shared" si="9"/>
        <v>12.386917188587335</v>
      </c>
      <c r="AS12" s="1295">
        <f t="shared" si="10"/>
        <v>9.9962514057228535</v>
      </c>
      <c r="AT12" s="1295">
        <f t="shared" si="11"/>
        <v>11.282300133446562</v>
      </c>
      <c r="AU12" s="1295">
        <f t="shared" si="12"/>
        <v>9.2539863325740317</v>
      </c>
      <c r="AV12" s="1295">
        <f t="shared" si="13"/>
        <v>9.0051457975986278</v>
      </c>
      <c r="AW12" s="1295">
        <f t="shared" si="14"/>
        <v>7.12940543449018</v>
      </c>
      <c r="AX12" s="1569">
        <f t="shared" si="15"/>
        <v>6.9346346474894052</v>
      </c>
      <c r="AY12" s="1572">
        <f t="shared" si="16"/>
        <v>5.5893677803999502</v>
      </c>
    </row>
    <row r="13" spans="1:51" s="142" customFormat="1" ht="15.75" customHeight="1" x14ac:dyDescent="0.2">
      <c r="A13" s="149" t="s">
        <v>26</v>
      </c>
      <c r="B13" s="189" t="s">
        <v>298</v>
      </c>
      <c r="C13" s="150" t="s">
        <v>265</v>
      </c>
      <c r="D13" s="1239">
        <v>146</v>
      </c>
      <c r="E13" s="1240">
        <v>154</v>
      </c>
      <c r="F13" s="1241">
        <v>155</v>
      </c>
      <c r="G13" s="1240">
        <v>147</v>
      </c>
      <c r="H13" s="1241">
        <v>159</v>
      </c>
      <c r="I13" s="1240">
        <v>164</v>
      </c>
      <c r="J13" s="1241">
        <v>162</v>
      </c>
      <c r="K13" s="1240">
        <v>153</v>
      </c>
      <c r="L13" s="1254">
        <v>139</v>
      </c>
      <c r="M13" s="1254">
        <v>162</v>
      </c>
      <c r="N13" s="1254">
        <v>161</v>
      </c>
      <c r="O13" s="1254">
        <v>146</v>
      </c>
      <c r="P13" s="1255">
        <v>131</v>
      </c>
      <c r="Q13" s="1255">
        <v>113</v>
      </c>
      <c r="R13" s="1556">
        <v>104</v>
      </c>
      <c r="S13" s="1557">
        <f>'Teen births'!D13</f>
        <v>80</v>
      </c>
      <c r="T13" s="1262">
        <v>6768</v>
      </c>
      <c r="U13" s="1263">
        <v>6812</v>
      </c>
      <c r="V13" s="1263">
        <v>7100</v>
      </c>
      <c r="W13" s="1263">
        <v>7139</v>
      </c>
      <c r="X13" s="1263">
        <v>7238</v>
      </c>
      <c r="Y13" s="1263">
        <v>7351</v>
      </c>
      <c r="Z13" s="1263">
        <v>7420</v>
      </c>
      <c r="AA13" s="1263">
        <v>7292</v>
      </c>
      <c r="AB13" s="1263">
        <v>7099</v>
      </c>
      <c r="AC13" s="1263">
        <v>7050</v>
      </c>
      <c r="AD13" s="1263">
        <v>6992</v>
      </c>
      <c r="AE13" s="1263">
        <v>7223</v>
      </c>
      <c r="AF13" s="1263">
        <v>7305</v>
      </c>
      <c r="AG13" s="1263">
        <v>7164</v>
      </c>
      <c r="AH13" s="1559">
        <v>7006</v>
      </c>
      <c r="AI13" s="1560">
        <f>'Teen births'!H13</f>
        <v>7109</v>
      </c>
      <c r="AJ13" s="1294">
        <f t="shared" si="1"/>
        <v>21.57210401891253</v>
      </c>
      <c r="AK13" s="1295">
        <f t="shared" si="2"/>
        <v>22.607163828537875</v>
      </c>
      <c r="AL13" s="1295">
        <f t="shared" si="3"/>
        <v>21.830985915492956</v>
      </c>
      <c r="AM13" s="1295">
        <f t="shared" si="4"/>
        <v>20.591119204370358</v>
      </c>
      <c r="AN13" s="1295">
        <f t="shared" si="5"/>
        <v>21.967394307819841</v>
      </c>
      <c r="AO13" s="1295">
        <f t="shared" si="6"/>
        <v>22.309889810910082</v>
      </c>
      <c r="AP13" s="1295">
        <f t="shared" si="7"/>
        <v>21.832884097035041</v>
      </c>
      <c r="AQ13" s="1295">
        <f t="shared" si="8"/>
        <v>20.981897970378494</v>
      </c>
      <c r="AR13" s="1295">
        <f t="shared" si="9"/>
        <v>19.580222566558668</v>
      </c>
      <c r="AS13" s="1295">
        <f t="shared" si="10"/>
        <v>22.978723404255319</v>
      </c>
      <c r="AT13" s="1295">
        <f t="shared" si="11"/>
        <v>23.026315789473681</v>
      </c>
      <c r="AU13" s="1295">
        <f t="shared" si="12"/>
        <v>20.213207808389868</v>
      </c>
      <c r="AV13" s="1295">
        <f t="shared" si="13"/>
        <v>17.932922655715263</v>
      </c>
      <c r="AW13" s="1295">
        <f t="shared" si="14"/>
        <v>15.773310999441653</v>
      </c>
      <c r="AX13" s="1569">
        <f t="shared" si="15"/>
        <v>14.844419069369112</v>
      </c>
      <c r="AY13" s="1572">
        <f t="shared" si="16"/>
        <v>11.253340835560557</v>
      </c>
    </row>
    <row r="14" spans="1:51" s="142" customFormat="1" ht="15.75" customHeight="1" x14ac:dyDescent="0.2">
      <c r="A14" s="149" t="s">
        <v>27</v>
      </c>
      <c r="B14" s="189" t="s">
        <v>28</v>
      </c>
      <c r="C14" s="150" t="s">
        <v>265</v>
      </c>
      <c r="D14" s="1239">
        <v>6</v>
      </c>
      <c r="E14" s="1240">
        <v>2</v>
      </c>
      <c r="F14" s="1241">
        <v>2</v>
      </c>
      <c r="G14" s="1240">
        <v>1</v>
      </c>
      <c r="H14" s="1241">
        <v>1</v>
      </c>
      <c r="I14" s="1240">
        <v>2</v>
      </c>
      <c r="J14" s="1241">
        <v>1</v>
      </c>
      <c r="K14" s="1240">
        <v>1</v>
      </c>
      <c r="L14" s="1254">
        <v>1</v>
      </c>
      <c r="M14" s="1254">
        <v>1</v>
      </c>
      <c r="N14" s="1254">
        <v>4</v>
      </c>
      <c r="O14" s="1254">
        <v>1</v>
      </c>
      <c r="P14" s="1255">
        <v>6</v>
      </c>
      <c r="Q14" s="1255">
        <v>1</v>
      </c>
      <c r="R14" s="1556">
        <v>4</v>
      </c>
      <c r="S14" s="1557">
        <f>'Teen births'!D14</f>
        <v>5</v>
      </c>
      <c r="T14" s="1262">
        <v>229</v>
      </c>
      <c r="U14" s="1263">
        <v>225</v>
      </c>
      <c r="V14" s="1263">
        <v>302</v>
      </c>
      <c r="W14" s="1263">
        <v>298</v>
      </c>
      <c r="X14" s="1263">
        <v>306</v>
      </c>
      <c r="Y14" s="1263">
        <v>307</v>
      </c>
      <c r="Z14" s="1263">
        <v>302</v>
      </c>
      <c r="AA14" s="1263">
        <v>301</v>
      </c>
      <c r="AB14" s="1263">
        <v>290</v>
      </c>
      <c r="AC14" s="1263">
        <v>267</v>
      </c>
      <c r="AD14" s="1263">
        <v>249</v>
      </c>
      <c r="AE14" s="1263">
        <v>272</v>
      </c>
      <c r="AF14" s="1263">
        <v>255</v>
      </c>
      <c r="AG14" s="1263">
        <v>247</v>
      </c>
      <c r="AH14" s="1559">
        <v>260</v>
      </c>
      <c r="AI14" s="1560">
        <f>'Teen births'!H14</f>
        <v>228</v>
      </c>
      <c r="AJ14" s="1294">
        <f t="shared" si="1"/>
        <v>26.200873362445414</v>
      </c>
      <c r="AK14" s="1295">
        <f t="shared" si="2"/>
        <v>8.8888888888888893</v>
      </c>
      <c r="AL14" s="1295">
        <f t="shared" si="3"/>
        <v>6.6225165562913908</v>
      </c>
      <c r="AM14" s="1295">
        <f t="shared" si="4"/>
        <v>3.3557046979865772</v>
      </c>
      <c r="AN14" s="1295">
        <f t="shared" si="5"/>
        <v>3.2679738562091503</v>
      </c>
      <c r="AO14" s="1295">
        <f t="shared" si="6"/>
        <v>6.5146579804560263</v>
      </c>
      <c r="AP14" s="1295">
        <f t="shared" si="7"/>
        <v>3.3112582781456954</v>
      </c>
      <c r="AQ14" s="1295">
        <f t="shared" si="8"/>
        <v>3.3222591362126246</v>
      </c>
      <c r="AR14" s="1295">
        <f t="shared" si="9"/>
        <v>3.4482758620689653</v>
      </c>
      <c r="AS14" s="1295">
        <f t="shared" si="10"/>
        <v>3.7453183520599249</v>
      </c>
      <c r="AT14" s="1295">
        <f t="shared" si="11"/>
        <v>16.064257028112447</v>
      </c>
      <c r="AU14" s="1295">
        <f t="shared" si="12"/>
        <v>3.6764705882352939</v>
      </c>
      <c r="AV14" s="1295">
        <f t="shared" si="13"/>
        <v>23.52941176470588</v>
      </c>
      <c r="AW14" s="1295">
        <f t="shared" si="14"/>
        <v>4.048582995951417</v>
      </c>
      <c r="AX14" s="1569">
        <f t="shared" si="15"/>
        <v>15.384615384615385</v>
      </c>
      <c r="AY14" s="1572">
        <f t="shared" si="16"/>
        <v>21.929824561403507</v>
      </c>
    </row>
    <row r="15" spans="1:51" s="142" customFormat="1" ht="15.75" customHeight="1" x14ac:dyDescent="0.2">
      <c r="A15" s="149" t="s">
        <v>29</v>
      </c>
      <c r="B15" s="189" t="s">
        <v>941</v>
      </c>
      <c r="C15" s="150" t="s">
        <v>265</v>
      </c>
      <c r="D15" s="1239">
        <v>70</v>
      </c>
      <c r="E15" s="1240">
        <v>58</v>
      </c>
      <c r="F15" s="1241">
        <v>70</v>
      </c>
      <c r="G15" s="1240">
        <v>52</v>
      </c>
      <c r="H15" s="1241">
        <v>68</v>
      </c>
      <c r="I15" s="1240">
        <v>63</v>
      </c>
      <c r="J15" s="1241">
        <v>73</v>
      </c>
      <c r="K15" s="1240">
        <v>60</v>
      </c>
      <c r="L15" s="1254">
        <v>66</v>
      </c>
      <c r="M15" s="1254">
        <v>64</v>
      </c>
      <c r="N15" s="1254">
        <v>69</v>
      </c>
      <c r="O15" s="1254">
        <v>69</v>
      </c>
      <c r="P15" s="1255">
        <v>45</v>
      </c>
      <c r="Q15" s="1255">
        <v>59</v>
      </c>
      <c r="R15" s="1556">
        <v>44</v>
      </c>
      <c r="S15" s="1557">
        <f>'Teen births'!D15</f>
        <v>39</v>
      </c>
      <c r="T15" s="1262">
        <v>3511</v>
      </c>
      <c r="U15" s="1263">
        <v>3547</v>
      </c>
      <c r="V15" s="1263">
        <v>4207</v>
      </c>
      <c r="W15" s="1263">
        <v>4351</v>
      </c>
      <c r="X15" s="1263">
        <v>4474</v>
      </c>
      <c r="Y15" s="1263">
        <v>4552</v>
      </c>
      <c r="Z15" s="1263">
        <v>4610</v>
      </c>
      <c r="AA15" s="1263">
        <v>4536</v>
      </c>
      <c r="AB15" s="1263">
        <v>4477</v>
      </c>
      <c r="AC15" s="1263">
        <v>4422</v>
      </c>
      <c r="AD15" s="1263">
        <v>4347</v>
      </c>
      <c r="AE15" s="1263">
        <v>4815</v>
      </c>
      <c r="AF15" s="1263">
        <v>4789</v>
      </c>
      <c r="AG15" s="1263">
        <v>4775</v>
      </c>
      <c r="AH15" s="1559">
        <v>4701</v>
      </c>
      <c r="AI15" s="1560">
        <f>'Teen births'!H15</f>
        <v>4693</v>
      </c>
      <c r="AJ15" s="1294">
        <f t="shared" si="1"/>
        <v>19.937339789233835</v>
      </c>
      <c r="AK15" s="1295">
        <f t="shared" si="2"/>
        <v>16.351846630955738</v>
      </c>
      <c r="AL15" s="1295">
        <f t="shared" si="3"/>
        <v>16.638935108153078</v>
      </c>
      <c r="AM15" s="1295">
        <f t="shared" si="4"/>
        <v>11.951275568834751</v>
      </c>
      <c r="AN15" s="1295">
        <f t="shared" si="5"/>
        <v>15.198927134555209</v>
      </c>
      <c r="AO15" s="1295">
        <f t="shared" si="6"/>
        <v>13.840070298769772</v>
      </c>
      <c r="AP15" s="1295">
        <f t="shared" si="7"/>
        <v>15.835140997830802</v>
      </c>
      <c r="AQ15" s="1295">
        <f t="shared" si="8"/>
        <v>13.227513227513226</v>
      </c>
      <c r="AR15" s="1295">
        <f t="shared" si="9"/>
        <v>14.742014742014742</v>
      </c>
      <c r="AS15" s="1295">
        <f t="shared" si="10"/>
        <v>14.473089099954771</v>
      </c>
      <c r="AT15" s="1295">
        <f t="shared" si="11"/>
        <v>15.873015873015872</v>
      </c>
      <c r="AU15" s="1295">
        <f t="shared" si="12"/>
        <v>14.330218068535824</v>
      </c>
      <c r="AV15" s="1295">
        <f t="shared" si="13"/>
        <v>9.3965337231154731</v>
      </c>
      <c r="AW15" s="1295">
        <f t="shared" si="14"/>
        <v>12.356020942408378</v>
      </c>
      <c r="AX15" s="1569">
        <f t="shared" si="15"/>
        <v>9.3597106998510959</v>
      </c>
      <c r="AY15" s="1572">
        <f t="shared" si="16"/>
        <v>8.310249307479225</v>
      </c>
    </row>
    <row r="16" spans="1:51" s="142" customFormat="1" ht="15.75" customHeight="1" x14ac:dyDescent="0.2">
      <c r="A16" s="149" t="s">
        <v>30</v>
      </c>
      <c r="B16" s="189" t="s">
        <v>31</v>
      </c>
      <c r="C16" s="150" t="s">
        <v>268</v>
      </c>
      <c r="D16" s="1239">
        <v>5</v>
      </c>
      <c r="E16" s="1240">
        <v>5</v>
      </c>
      <c r="F16" s="1241">
        <v>7</v>
      </c>
      <c r="G16" s="1240">
        <v>7</v>
      </c>
      <c r="H16" s="1241">
        <v>4</v>
      </c>
      <c r="I16" s="1240">
        <v>1</v>
      </c>
      <c r="J16" s="1241">
        <v>2</v>
      </c>
      <c r="K16" s="1240">
        <v>4</v>
      </c>
      <c r="L16" s="1254">
        <v>5</v>
      </c>
      <c r="M16" s="1254">
        <v>6</v>
      </c>
      <c r="N16" s="1254">
        <v>9</v>
      </c>
      <c r="O16" s="1254">
        <v>2</v>
      </c>
      <c r="P16" s="1255">
        <v>8</v>
      </c>
      <c r="Q16" s="1255">
        <v>10</v>
      </c>
      <c r="R16" s="1556">
        <v>7</v>
      </c>
      <c r="S16" s="1557">
        <f>'Teen births'!D16</f>
        <v>2</v>
      </c>
      <c r="T16" s="1262">
        <v>391</v>
      </c>
      <c r="U16" s="1263">
        <v>385</v>
      </c>
      <c r="V16" s="1263">
        <v>375</v>
      </c>
      <c r="W16" s="1263">
        <v>377</v>
      </c>
      <c r="X16" s="1263">
        <v>369</v>
      </c>
      <c r="Y16" s="1263">
        <v>373</v>
      </c>
      <c r="Z16" s="1263">
        <v>370</v>
      </c>
      <c r="AA16" s="1263">
        <v>356</v>
      </c>
      <c r="AB16" s="1263">
        <v>334</v>
      </c>
      <c r="AC16" s="1263">
        <v>330</v>
      </c>
      <c r="AD16" s="1263">
        <v>326</v>
      </c>
      <c r="AE16" s="1263">
        <v>355</v>
      </c>
      <c r="AF16" s="1263">
        <v>347</v>
      </c>
      <c r="AG16" s="1263">
        <v>328</v>
      </c>
      <c r="AH16" s="1559">
        <v>313</v>
      </c>
      <c r="AI16" s="1560">
        <f>'Teen births'!H16</f>
        <v>319</v>
      </c>
      <c r="AJ16" s="1294">
        <f t="shared" si="1"/>
        <v>12.787723785166239</v>
      </c>
      <c r="AK16" s="1295">
        <f t="shared" si="2"/>
        <v>12.987012987012989</v>
      </c>
      <c r="AL16" s="1295">
        <f t="shared" si="3"/>
        <v>18.666666666666668</v>
      </c>
      <c r="AM16" s="1295">
        <f t="shared" si="4"/>
        <v>18.567639257294431</v>
      </c>
      <c r="AN16" s="1295">
        <f t="shared" si="5"/>
        <v>10.840108401084011</v>
      </c>
      <c r="AO16" s="1295">
        <f t="shared" si="6"/>
        <v>2.6809651474530831</v>
      </c>
      <c r="AP16" s="1295">
        <f t="shared" si="7"/>
        <v>5.4054054054054053</v>
      </c>
      <c r="AQ16" s="1295">
        <f t="shared" si="8"/>
        <v>11.235955056179774</v>
      </c>
      <c r="AR16" s="1295">
        <f t="shared" si="9"/>
        <v>14.970059880239521</v>
      </c>
      <c r="AS16" s="1295">
        <f t="shared" si="10"/>
        <v>18.18181818181818</v>
      </c>
      <c r="AT16" s="1295">
        <f t="shared" si="11"/>
        <v>27.607361963190183</v>
      </c>
      <c r="AU16" s="1295">
        <f t="shared" si="12"/>
        <v>5.6338028169014089</v>
      </c>
      <c r="AV16" s="1295">
        <f t="shared" si="13"/>
        <v>23.054755043227665</v>
      </c>
      <c r="AW16" s="1295">
        <f t="shared" si="14"/>
        <v>30.487804878048781</v>
      </c>
      <c r="AX16" s="1569">
        <f t="shared" si="15"/>
        <v>22.364217252396166</v>
      </c>
      <c r="AY16" s="1572">
        <f t="shared" si="16"/>
        <v>6.2695924764890281</v>
      </c>
    </row>
    <row r="17" spans="1:51" s="142" customFormat="1" ht="15.75" customHeight="1" x14ac:dyDescent="0.2">
      <c r="A17" s="149" t="s">
        <v>32</v>
      </c>
      <c r="B17" s="189" t="s">
        <v>33</v>
      </c>
      <c r="C17" s="150" t="s">
        <v>265</v>
      </c>
      <c r="D17" s="1239">
        <v>32</v>
      </c>
      <c r="E17" s="1240">
        <v>23</v>
      </c>
      <c r="F17" s="1241">
        <v>23</v>
      </c>
      <c r="G17" s="1240">
        <v>17</v>
      </c>
      <c r="H17" s="1241">
        <v>28</v>
      </c>
      <c r="I17" s="1240">
        <v>21</v>
      </c>
      <c r="J17" s="1241">
        <v>15</v>
      </c>
      <c r="K17" s="1240">
        <v>24</v>
      </c>
      <c r="L17" s="1254">
        <v>14</v>
      </c>
      <c r="M17" s="1254">
        <v>24</v>
      </c>
      <c r="N17" s="1254">
        <v>17</v>
      </c>
      <c r="O17" s="1254">
        <v>21</v>
      </c>
      <c r="P17" s="1255">
        <v>16</v>
      </c>
      <c r="Q17" s="1255">
        <v>12</v>
      </c>
      <c r="R17" s="1556">
        <v>8</v>
      </c>
      <c r="S17" s="1557">
        <f>'Teen births'!D17</f>
        <v>12</v>
      </c>
      <c r="T17" s="1262">
        <v>1630</v>
      </c>
      <c r="U17" s="1263">
        <v>1615</v>
      </c>
      <c r="V17" s="1263">
        <v>1975</v>
      </c>
      <c r="W17" s="1263">
        <v>2019</v>
      </c>
      <c r="X17" s="1263">
        <v>2052</v>
      </c>
      <c r="Y17" s="1263">
        <v>2037</v>
      </c>
      <c r="Z17" s="1263">
        <v>2052</v>
      </c>
      <c r="AA17" s="1263">
        <v>2023</v>
      </c>
      <c r="AB17" s="1263">
        <v>1959</v>
      </c>
      <c r="AC17" s="1263">
        <v>1874</v>
      </c>
      <c r="AD17" s="1263">
        <v>1859</v>
      </c>
      <c r="AE17" s="1263">
        <v>2066</v>
      </c>
      <c r="AF17" s="1263">
        <v>2106</v>
      </c>
      <c r="AG17" s="1263">
        <v>2083</v>
      </c>
      <c r="AH17" s="1559">
        <v>2131</v>
      </c>
      <c r="AI17" s="1560">
        <f>'Teen births'!H17</f>
        <v>2079</v>
      </c>
      <c r="AJ17" s="1294">
        <f t="shared" si="1"/>
        <v>19.631901840490798</v>
      </c>
      <c r="AK17" s="1295">
        <f t="shared" si="2"/>
        <v>14.241486068111454</v>
      </c>
      <c r="AL17" s="1295">
        <f t="shared" si="3"/>
        <v>11.645569620253164</v>
      </c>
      <c r="AM17" s="1295">
        <f t="shared" si="4"/>
        <v>8.4200099058940072</v>
      </c>
      <c r="AN17" s="1295">
        <f t="shared" si="5"/>
        <v>13.64522417153996</v>
      </c>
      <c r="AO17" s="1295">
        <f t="shared" si="6"/>
        <v>10.309278350515465</v>
      </c>
      <c r="AP17" s="1295">
        <f t="shared" si="7"/>
        <v>7.3099415204678362</v>
      </c>
      <c r="AQ17" s="1295">
        <f t="shared" si="8"/>
        <v>11.863568956994563</v>
      </c>
      <c r="AR17" s="1295">
        <f t="shared" si="9"/>
        <v>7.1465033180193975</v>
      </c>
      <c r="AS17" s="1295">
        <f t="shared" si="10"/>
        <v>12.8068303094984</v>
      </c>
      <c r="AT17" s="1295">
        <f t="shared" si="11"/>
        <v>9.1447014523937593</v>
      </c>
      <c r="AU17" s="1295">
        <f t="shared" si="12"/>
        <v>10.164569215876089</v>
      </c>
      <c r="AV17" s="1295">
        <f t="shared" si="13"/>
        <v>7.5973409306742647</v>
      </c>
      <c r="AW17" s="1295">
        <f t="shared" si="14"/>
        <v>5.7609217474795971</v>
      </c>
      <c r="AX17" s="1569">
        <f t="shared" si="15"/>
        <v>3.7541060534960109</v>
      </c>
      <c r="AY17" s="1572">
        <f t="shared" si="16"/>
        <v>5.7720057720057723</v>
      </c>
    </row>
    <row r="18" spans="1:51" s="142" customFormat="1" ht="15.75" customHeight="1" x14ac:dyDescent="0.2">
      <c r="A18" s="149" t="s">
        <v>36</v>
      </c>
      <c r="B18" s="189" t="s">
        <v>37</v>
      </c>
      <c r="C18" s="150" t="s">
        <v>264</v>
      </c>
      <c r="D18" s="1239">
        <v>43</v>
      </c>
      <c r="E18" s="1240">
        <v>24</v>
      </c>
      <c r="F18" s="1241">
        <v>30</v>
      </c>
      <c r="G18" s="1240">
        <v>41</v>
      </c>
      <c r="H18" s="1241">
        <v>31</v>
      </c>
      <c r="I18" s="1240">
        <v>30</v>
      </c>
      <c r="J18" s="1241">
        <v>31</v>
      </c>
      <c r="K18" s="1240">
        <v>31</v>
      </c>
      <c r="L18" s="1254">
        <v>18</v>
      </c>
      <c r="M18" s="1254">
        <v>30</v>
      </c>
      <c r="N18" s="1254">
        <v>29</v>
      </c>
      <c r="O18" s="1254">
        <v>17</v>
      </c>
      <c r="P18" s="1255">
        <v>26</v>
      </c>
      <c r="Q18" s="1255">
        <v>18</v>
      </c>
      <c r="R18" s="1556">
        <v>22</v>
      </c>
      <c r="S18" s="1557">
        <f>'Teen births'!D18</f>
        <v>14</v>
      </c>
      <c r="T18" s="1262">
        <v>1225</v>
      </c>
      <c r="U18" s="1263">
        <v>1218</v>
      </c>
      <c r="V18" s="1263">
        <v>1186</v>
      </c>
      <c r="W18" s="1263">
        <v>1152</v>
      </c>
      <c r="X18" s="1263">
        <v>1123</v>
      </c>
      <c r="Y18" s="1263">
        <v>1134</v>
      </c>
      <c r="Z18" s="1263">
        <v>1091</v>
      </c>
      <c r="AA18" s="1263">
        <v>1057</v>
      </c>
      <c r="AB18" s="1263">
        <v>1050</v>
      </c>
      <c r="AC18" s="1263">
        <v>1074</v>
      </c>
      <c r="AD18" s="1263">
        <v>1056</v>
      </c>
      <c r="AE18" s="1263">
        <v>1024</v>
      </c>
      <c r="AF18" s="1263">
        <v>1022</v>
      </c>
      <c r="AG18" s="1263">
        <v>971</v>
      </c>
      <c r="AH18" s="1559">
        <v>948</v>
      </c>
      <c r="AI18" s="1560">
        <f>'Teen births'!H18</f>
        <v>904</v>
      </c>
      <c r="AJ18" s="1294">
        <f t="shared" si="1"/>
        <v>35.102040816326529</v>
      </c>
      <c r="AK18" s="1295">
        <f t="shared" si="2"/>
        <v>19.704433497536947</v>
      </c>
      <c r="AL18" s="1295">
        <f t="shared" si="3"/>
        <v>25.295109612141651</v>
      </c>
      <c r="AM18" s="1295">
        <f t="shared" si="4"/>
        <v>35.590277777777779</v>
      </c>
      <c r="AN18" s="1295">
        <f t="shared" si="5"/>
        <v>27.604630454140697</v>
      </c>
      <c r="AO18" s="1295">
        <f t="shared" si="6"/>
        <v>26.455026455026452</v>
      </c>
      <c r="AP18" s="1295">
        <f t="shared" si="7"/>
        <v>28.41429880843263</v>
      </c>
      <c r="AQ18" s="1295">
        <f t="shared" si="8"/>
        <v>29.3282876064333</v>
      </c>
      <c r="AR18" s="1295">
        <f t="shared" si="9"/>
        <v>17.142857142857142</v>
      </c>
      <c r="AS18" s="1295">
        <f t="shared" si="10"/>
        <v>27.932960893854748</v>
      </c>
      <c r="AT18" s="1295">
        <f t="shared" si="11"/>
        <v>27.462121212121211</v>
      </c>
      <c r="AU18" s="1295">
        <f t="shared" si="12"/>
        <v>16.6015625</v>
      </c>
      <c r="AV18" s="1295">
        <f t="shared" si="13"/>
        <v>25.440313111545986</v>
      </c>
      <c r="AW18" s="1295">
        <f t="shared" si="14"/>
        <v>18.537590113285273</v>
      </c>
      <c r="AX18" s="1569">
        <f t="shared" si="15"/>
        <v>23.206751054852322</v>
      </c>
      <c r="AY18" s="1572">
        <f t="shared" si="16"/>
        <v>15.486725663716815</v>
      </c>
    </row>
    <row r="19" spans="1:51" s="142" customFormat="1" ht="15.75" customHeight="1" x14ac:dyDescent="0.2">
      <c r="A19" s="149" t="s">
        <v>38</v>
      </c>
      <c r="B19" s="189" t="s">
        <v>39</v>
      </c>
      <c r="C19" s="150" t="s">
        <v>268</v>
      </c>
      <c r="D19" s="1239">
        <v>59</v>
      </c>
      <c r="E19" s="1240">
        <v>48</v>
      </c>
      <c r="F19" s="1241">
        <v>49</v>
      </c>
      <c r="G19" s="1240">
        <v>50</v>
      </c>
      <c r="H19" s="1241">
        <v>29</v>
      </c>
      <c r="I19" s="1240">
        <v>37</v>
      </c>
      <c r="J19" s="1241">
        <v>29</v>
      </c>
      <c r="K19" s="1240">
        <v>32</v>
      </c>
      <c r="L19" s="1254">
        <v>29</v>
      </c>
      <c r="M19" s="1254">
        <v>34</v>
      </c>
      <c r="N19" s="1254">
        <v>34</v>
      </c>
      <c r="O19" s="1254">
        <v>33</v>
      </c>
      <c r="P19" s="1255">
        <v>31</v>
      </c>
      <c r="Q19" s="1255">
        <v>27</v>
      </c>
      <c r="R19" s="1556">
        <v>26</v>
      </c>
      <c r="S19" s="1557">
        <f>'Teen births'!D19</f>
        <v>24</v>
      </c>
      <c r="T19" s="1262">
        <v>1989</v>
      </c>
      <c r="U19" s="1263">
        <v>1905</v>
      </c>
      <c r="V19" s="1263">
        <v>1762</v>
      </c>
      <c r="W19" s="1263">
        <v>1705</v>
      </c>
      <c r="X19" s="1263">
        <v>1622</v>
      </c>
      <c r="Y19" s="1263">
        <v>1538</v>
      </c>
      <c r="Z19" s="1263">
        <v>1504</v>
      </c>
      <c r="AA19" s="1263">
        <v>1437</v>
      </c>
      <c r="AB19" s="1263">
        <v>1397</v>
      </c>
      <c r="AC19" s="1263">
        <v>1345</v>
      </c>
      <c r="AD19" s="1263">
        <v>1287</v>
      </c>
      <c r="AE19" s="1263">
        <v>1254</v>
      </c>
      <c r="AF19" s="1263">
        <v>1284</v>
      </c>
      <c r="AG19" s="1263">
        <v>1206</v>
      </c>
      <c r="AH19" s="1559">
        <v>1207</v>
      </c>
      <c r="AI19" s="1560">
        <f>'Teen births'!H19</f>
        <v>1179</v>
      </c>
      <c r="AJ19" s="1294">
        <f t="shared" si="1"/>
        <v>29.663147310206131</v>
      </c>
      <c r="AK19" s="1295">
        <f t="shared" si="2"/>
        <v>25.196850393700785</v>
      </c>
      <c r="AL19" s="1295">
        <f t="shared" si="3"/>
        <v>27.809307604994324</v>
      </c>
      <c r="AM19" s="1295">
        <f t="shared" si="4"/>
        <v>29.325513196480941</v>
      </c>
      <c r="AN19" s="1295">
        <f t="shared" si="5"/>
        <v>17.879161528976571</v>
      </c>
      <c r="AO19" s="1295">
        <f t="shared" si="6"/>
        <v>24.057217165149545</v>
      </c>
      <c r="AP19" s="1295">
        <f t="shared" si="7"/>
        <v>19.281914893617021</v>
      </c>
      <c r="AQ19" s="1295">
        <f t="shared" si="8"/>
        <v>22.268615170494087</v>
      </c>
      <c r="AR19" s="1295">
        <f t="shared" si="9"/>
        <v>20.758768790264853</v>
      </c>
      <c r="AS19" s="1295">
        <f t="shared" si="10"/>
        <v>25.278810408921935</v>
      </c>
      <c r="AT19" s="1295">
        <f t="shared" si="11"/>
        <v>26.418026418026418</v>
      </c>
      <c r="AU19" s="1295">
        <f t="shared" si="12"/>
        <v>26.315789473684209</v>
      </c>
      <c r="AV19" s="1295">
        <f t="shared" si="13"/>
        <v>24.143302180685357</v>
      </c>
      <c r="AW19" s="1295">
        <f t="shared" si="14"/>
        <v>22.388059701492537</v>
      </c>
      <c r="AX19" s="1569">
        <f t="shared" si="15"/>
        <v>21.541010770505384</v>
      </c>
      <c r="AY19" s="1572">
        <f t="shared" si="16"/>
        <v>20.356234096692113</v>
      </c>
    </row>
    <row r="20" spans="1:51" s="142" customFormat="1" ht="15.75" customHeight="1" x14ac:dyDescent="0.2">
      <c r="A20" s="149" t="s">
        <v>40</v>
      </c>
      <c r="B20" s="189" t="s">
        <v>41</v>
      </c>
      <c r="C20" s="150" t="s">
        <v>266</v>
      </c>
      <c r="D20" s="1239">
        <v>20</v>
      </c>
      <c r="E20" s="1240">
        <v>18</v>
      </c>
      <c r="F20" s="1241">
        <v>12</v>
      </c>
      <c r="G20" s="1240">
        <v>30</v>
      </c>
      <c r="H20" s="1241">
        <v>26</v>
      </c>
      <c r="I20" s="1240">
        <v>21</v>
      </c>
      <c r="J20" s="1241">
        <v>24</v>
      </c>
      <c r="K20" s="1240">
        <v>13</v>
      </c>
      <c r="L20" s="1254">
        <v>27</v>
      </c>
      <c r="M20" s="1254">
        <v>25</v>
      </c>
      <c r="N20" s="1254">
        <v>26</v>
      </c>
      <c r="O20" s="1254">
        <v>23</v>
      </c>
      <c r="P20" s="1255">
        <v>20</v>
      </c>
      <c r="Q20" s="1255">
        <v>14</v>
      </c>
      <c r="R20" s="1556">
        <v>14</v>
      </c>
      <c r="S20" s="1557">
        <f>'Teen births'!D20</f>
        <v>5</v>
      </c>
      <c r="T20" s="1262">
        <v>838</v>
      </c>
      <c r="U20" s="1263">
        <v>842</v>
      </c>
      <c r="V20" s="1263">
        <v>1031</v>
      </c>
      <c r="W20" s="1263">
        <v>1061</v>
      </c>
      <c r="X20" s="1263">
        <v>1065</v>
      </c>
      <c r="Y20" s="1263">
        <v>1074</v>
      </c>
      <c r="Z20" s="1263">
        <v>1053</v>
      </c>
      <c r="AA20" s="1263">
        <v>990</v>
      </c>
      <c r="AB20" s="1263">
        <v>936</v>
      </c>
      <c r="AC20" s="1263">
        <v>902</v>
      </c>
      <c r="AD20" s="1263">
        <v>874</v>
      </c>
      <c r="AE20" s="1263">
        <v>890</v>
      </c>
      <c r="AF20" s="1263">
        <v>934</v>
      </c>
      <c r="AG20" s="1263">
        <v>886</v>
      </c>
      <c r="AH20" s="1559">
        <v>832</v>
      </c>
      <c r="AI20" s="1560">
        <f>'Teen births'!H20</f>
        <v>805</v>
      </c>
      <c r="AJ20" s="1294">
        <f t="shared" si="1"/>
        <v>23.866348448687351</v>
      </c>
      <c r="AK20" s="1295">
        <f t="shared" si="2"/>
        <v>21.377672209026127</v>
      </c>
      <c r="AL20" s="1295">
        <f t="shared" si="3"/>
        <v>11.639185257032008</v>
      </c>
      <c r="AM20" s="1295">
        <f t="shared" si="4"/>
        <v>28.275212064090482</v>
      </c>
      <c r="AN20" s="1295">
        <f t="shared" si="5"/>
        <v>24.413145539906104</v>
      </c>
      <c r="AO20" s="1295">
        <f t="shared" si="6"/>
        <v>19.553072625698324</v>
      </c>
      <c r="AP20" s="1295">
        <f t="shared" si="7"/>
        <v>22.792022792022792</v>
      </c>
      <c r="AQ20" s="1295">
        <f t="shared" si="8"/>
        <v>13.131313131313131</v>
      </c>
      <c r="AR20" s="1295">
        <f t="shared" si="9"/>
        <v>28.846153846153847</v>
      </c>
      <c r="AS20" s="1295">
        <f t="shared" si="10"/>
        <v>27.716186252771621</v>
      </c>
      <c r="AT20" s="1295">
        <f t="shared" si="11"/>
        <v>29.748283752860413</v>
      </c>
      <c r="AU20" s="1295">
        <f t="shared" si="12"/>
        <v>25.842696629213481</v>
      </c>
      <c r="AV20" s="1295">
        <f t="shared" si="13"/>
        <v>21.413276231263382</v>
      </c>
      <c r="AW20" s="1295">
        <f t="shared" si="14"/>
        <v>15.80135440180587</v>
      </c>
      <c r="AX20" s="1569">
        <f t="shared" si="15"/>
        <v>16.826923076923077</v>
      </c>
      <c r="AY20" s="1572">
        <f t="shared" si="16"/>
        <v>6.2111801242236018</v>
      </c>
    </row>
    <row r="21" spans="1:51" s="142" customFormat="1" ht="15.75" customHeight="1" x14ac:dyDescent="0.2">
      <c r="A21" s="149" t="s">
        <v>42</v>
      </c>
      <c r="B21" s="189" t="s">
        <v>43</v>
      </c>
      <c r="C21" s="150" t="s">
        <v>265</v>
      </c>
      <c r="D21" s="1239">
        <v>92</v>
      </c>
      <c r="E21" s="1240">
        <v>95</v>
      </c>
      <c r="F21" s="1241">
        <v>93</v>
      </c>
      <c r="G21" s="1240">
        <v>69</v>
      </c>
      <c r="H21" s="1241">
        <v>63</v>
      </c>
      <c r="I21" s="1240">
        <v>65</v>
      </c>
      <c r="J21" s="1241">
        <v>74</v>
      </c>
      <c r="K21" s="1240">
        <v>75</v>
      </c>
      <c r="L21" s="1254">
        <v>53</v>
      </c>
      <c r="M21" s="1254">
        <v>67</v>
      </c>
      <c r="N21" s="1254">
        <v>55</v>
      </c>
      <c r="O21" s="1254">
        <v>50</v>
      </c>
      <c r="P21" s="1255">
        <v>55</v>
      </c>
      <c r="Q21" s="1255">
        <v>62</v>
      </c>
      <c r="R21" s="1556">
        <v>41</v>
      </c>
      <c r="S21" s="1557">
        <f>'Teen births'!D21</f>
        <v>36</v>
      </c>
      <c r="T21" s="1262">
        <v>2940</v>
      </c>
      <c r="U21" s="1263">
        <v>2902</v>
      </c>
      <c r="V21" s="1263">
        <v>3326</v>
      </c>
      <c r="W21" s="1263">
        <v>3304</v>
      </c>
      <c r="X21" s="1263">
        <v>3308</v>
      </c>
      <c r="Y21" s="1263">
        <v>3327</v>
      </c>
      <c r="Z21" s="1263">
        <v>3345</v>
      </c>
      <c r="AA21" s="1263">
        <v>3432</v>
      </c>
      <c r="AB21" s="1263">
        <v>3318</v>
      </c>
      <c r="AC21" s="1263">
        <v>3311</v>
      </c>
      <c r="AD21" s="1263">
        <v>3240</v>
      </c>
      <c r="AE21" s="1263">
        <v>3311</v>
      </c>
      <c r="AF21" s="1263">
        <v>3610</v>
      </c>
      <c r="AG21" s="1263">
        <v>3465</v>
      </c>
      <c r="AH21" s="1559">
        <v>3420</v>
      </c>
      <c r="AI21" s="1560">
        <f>'Teen births'!H21</f>
        <v>3349</v>
      </c>
      <c r="AJ21" s="1294">
        <f t="shared" si="1"/>
        <v>31.292517006802726</v>
      </c>
      <c r="AK21" s="1295">
        <f t="shared" si="2"/>
        <v>32.736044107512058</v>
      </c>
      <c r="AL21" s="1295">
        <f t="shared" si="3"/>
        <v>27.961515333734216</v>
      </c>
      <c r="AM21" s="1295">
        <f t="shared" si="4"/>
        <v>20.883777239709442</v>
      </c>
      <c r="AN21" s="1295">
        <f t="shared" si="5"/>
        <v>19.044740024183799</v>
      </c>
      <c r="AO21" s="1295">
        <f t="shared" si="6"/>
        <v>19.537120529005108</v>
      </c>
      <c r="AP21" s="1295">
        <f t="shared" si="7"/>
        <v>22.122571001494766</v>
      </c>
      <c r="AQ21" s="1295">
        <f t="shared" si="8"/>
        <v>21.853146853146853</v>
      </c>
      <c r="AR21" s="1295">
        <f t="shared" si="9"/>
        <v>15.973477998794452</v>
      </c>
      <c r="AS21" s="1295">
        <f t="shared" si="10"/>
        <v>20.23557837511326</v>
      </c>
      <c r="AT21" s="1295">
        <f t="shared" si="11"/>
        <v>16.975308641975307</v>
      </c>
      <c r="AU21" s="1295">
        <f t="shared" si="12"/>
        <v>15.101177891875567</v>
      </c>
      <c r="AV21" s="1295">
        <f t="shared" si="13"/>
        <v>15.235457063711912</v>
      </c>
      <c r="AW21" s="1295">
        <f t="shared" si="14"/>
        <v>17.893217893217894</v>
      </c>
      <c r="AX21" s="1569">
        <f t="shared" si="15"/>
        <v>11.988304093567251</v>
      </c>
      <c r="AY21" s="1572">
        <f t="shared" si="16"/>
        <v>10.749477455957003</v>
      </c>
    </row>
    <row r="22" spans="1:51" s="142" customFormat="1" ht="15.75" customHeight="1" x14ac:dyDescent="0.2">
      <c r="A22" s="149" t="s">
        <v>44</v>
      </c>
      <c r="B22" s="189" t="s">
        <v>45</v>
      </c>
      <c r="C22" s="150" t="s">
        <v>266</v>
      </c>
      <c r="D22" s="1239">
        <v>29</v>
      </c>
      <c r="E22" s="1240">
        <v>41</v>
      </c>
      <c r="F22" s="1241">
        <v>40</v>
      </c>
      <c r="G22" s="1240">
        <v>39</v>
      </c>
      <c r="H22" s="1241">
        <v>36</v>
      </c>
      <c r="I22" s="1240">
        <v>37</v>
      </c>
      <c r="J22" s="1241">
        <v>40</v>
      </c>
      <c r="K22" s="1240">
        <v>45</v>
      </c>
      <c r="L22" s="1254">
        <v>38</v>
      </c>
      <c r="M22" s="1254">
        <v>40</v>
      </c>
      <c r="N22" s="1254">
        <v>37</v>
      </c>
      <c r="O22" s="1254">
        <v>47</v>
      </c>
      <c r="P22" s="1255">
        <v>27</v>
      </c>
      <c r="Q22" s="1255">
        <v>41</v>
      </c>
      <c r="R22" s="1556">
        <v>33</v>
      </c>
      <c r="S22" s="1557">
        <f>'Teen births'!D22</f>
        <v>28</v>
      </c>
      <c r="T22" s="1262">
        <v>1348</v>
      </c>
      <c r="U22" s="1263">
        <v>1350</v>
      </c>
      <c r="V22" s="1263">
        <v>1481</v>
      </c>
      <c r="W22" s="1263">
        <v>1501</v>
      </c>
      <c r="X22" s="1263">
        <v>1514</v>
      </c>
      <c r="Y22" s="1263">
        <v>1539</v>
      </c>
      <c r="Z22" s="1263">
        <v>1584</v>
      </c>
      <c r="AA22" s="1263">
        <v>1635</v>
      </c>
      <c r="AB22" s="1263">
        <v>1659</v>
      </c>
      <c r="AC22" s="1263">
        <v>1636</v>
      </c>
      <c r="AD22" s="1263">
        <v>1624</v>
      </c>
      <c r="AE22" s="1263">
        <v>1643</v>
      </c>
      <c r="AF22" s="1263">
        <v>1736</v>
      </c>
      <c r="AG22" s="1263">
        <v>1729</v>
      </c>
      <c r="AH22" s="1559">
        <v>1754</v>
      </c>
      <c r="AI22" s="1560">
        <f>'Teen births'!H22</f>
        <v>1723</v>
      </c>
      <c r="AJ22" s="1294">
        <f t="shared" si="1"/>
        <v>21.513353115727003</v>
      </c>
      <c r="AK22" s="1295">
        <f t="shared" si="2"/>
        <v>30.37037037037037</v>
      </c>
      <c r="AL22" s="1295">
        <f t="shared" si="3"/>
        <v>27.008777852802162</v>
      </c>
      <c r="AM22" s="1295">
        <f t="shared" si="4"/>
        <v>25.982678214523652</v>
      </c>
      <c r="AN22" s="1295">
        <f t="shared" si="5"/>
        <v>23.778071334214001</v>
      </c>
      <c r="AO22" s="1295">
        <f t="shared" si="6"/>
        <v>24.041585445094217</v>
      </c>
      <c r="AP22" s="1295">
        <f t="shared" si="7"/>
        <v>25.252525252525253</v>
      </c>
      <c r="AQ22" s="1295">
        <f t="shared" si="8"/>
        <v>27.522935779816514</v>
      </c>
      <c r="AR22" s="1295">
        <f t="shared" si="9"/>
        <v>22.905364677516577</v>
      </c>
      <c r="AS22" s="1295">
        <f t="shared" si="10"/>
        <v>24.44987775061125</v>
      </c>
      <c r="AT22" s="1295">
        <f t="shared" si="11"/>
        <v>22.783251231527093</v>
      </c>
      <c r="AU22" s="1295">
        <f t="shared" si="12"/>
        <v>28.606208155812539</v>
      </c>
      <c r="AV22" s="1295">
        <f t="shared" si="13"/>
        <v>15.552995391705069</v>
      </c>
      <c r="AW22" s="1295">
        <f t="shared" si="14"/>
        <v>23.713128976286871</v>
      </c>
      <c r="AX22" s="1569">
        <f t="shared" si="15"/>
        <v>18.81413911060433</v>
      </c>
      <c r="AY22" s="1572">
        <f t="shared" si="16"/>
        <v>16.250725478816019</v>
      </c>
    </row>
    <row r="23" spans="1:51" s="142" customFormat="1" ht="15.75" customHeight="1" x14ac:dyDescent="0.2">
      <c r="A23" s="149" t="s">
        <v>46</v>
      </c>
      <c r="B23" s="189" t="s">
        <v>47</v>
      </c>
      <c r="C23" s="150" t="s">
        <v>268</v>
      </c>
      <c r="D23" s="1239">
        <v>33</v>
      </c>
      <c r="E23" s="1240">
        <v>40</v>
      </c>
      <c r="F23" s="1241">
        <v>42</v>
      </c>
      <c r="G23" s="1240">
        <v>34</v>
      </c>
      <c r="H23" s="1241">
        <v>36</v>
      </c>
      <c r="I23" s="1240">
        <v>35</v>
      </c>
      <c r="J23" s="1241">
        <v>35</v>
      </c>
      <c r="K23" s="1240">
        <v>33</v>
      </c>
      <c r="L23" s="1254">
        <v>45</v>
      </c>
      <c r="M23" s="1254">
        <v>42</v>
      </c>
      <c r="N23" s="1254">
        <v>39</v>
      </c>
      <c r="O23" s="1254">
        <v>38</v>
      </c>
      <c r="P23" s="1255">
        <v>33</v>
      </c>
      <c r="Q23" s="1255">
        <v>22</v>
      </c>
      <c r="R23" s="1556">
        <v>35</v>
      </c>
      <c r="S23" s="1557">
        <f>'Teen births'!D23</f>
        <v>32</v>
      </c>
      <c r="T23" s="1262">
        <v>1455</v>
      </c>
      <c r="U23" s="1263">
        <v>1430</v>
      </c>
      <c r="V23" s="1263">
        <v>1639</v>
      </c>
      <c r="W23" s="1263">
        <v>1646</v>
      </c>
      <c r="X23" s="1263">
        <v>1616</v>
      </c>
      <c r="Y23" s="1263">
        <v>1630</v>
      </c>
      <c r="Z23" s="1263">
        <v>1631</v>
      </c>
      <c r="AA23" s="1263">
        <v>1607</v>
      </c>
      <c r="AB23" s="1263">
        <v>1606</v>
      </c>
      <c r="AC23" s="1263">
        <v>1572</v>
      </c>
      <c r="AD23" s="1263">
        <v>1554</v>
      </c>
      <c r="AE23" s="1263">
        <v>1596</v>
      </c>
      <c r="AF23" s="1263">
        <v>1704</v>
      </c>
      <c r="AG23" s="1263">
        <v>1653</v>
      </c>
      <c r="AH23" s="1559">
        <v>1632</v>
      </c>
      <c r="AI23" s="1560">
        <f>'Teen births'!H23</f>
        <v>1651</v>
      </c>
      <c r="AJ23" s="1294">
        <f t="shared" si="1"/>
        <v>22.680412371134018</v>
      </c>
      <c r="AK23" s="1295">
        <f t="shared" si="2"/>
        <v>27.972027972027973</v>
      </c>
      <c r="AL23" s="1295">
        <f t="shared" si="3"/>
        <v>25.625381330079318</v>
      </c>
      <c r="AM23" s="1295">
        <f t="shared" si="4"/>
        <v>20.656136087484814</v>
      </c>
      <c r="AN23" s="1295">
        <f t="shared" si="5"/>
        <v>22.277227722772277</v>
      </c>
      <c r="AO23" s="1295">
        <f t="shared" si="6"/>
        <v>21.472392638036812</v>
      </c>
      <c r="AP23" s="1295">
        <f t="shared" si="7"/>
        <v>21.459227467811157</v>
      </c>
      <c r="AQ23" s="1295">
        <f t="shared" si="8"/>
        <v>20.535158680771623</v>
      </c>
      <c r="AR23" s="1295">
        <f t="shared" si="9"/>
        <v>28.019925280199253</v>
      </c>
      <c r="AS23" s="1295">
        <f t="shared" si="10"/>
        <v>26.717557251908396</v>
      </c>
      <c r="AT23" s="1295">
        <f t="shared" si="11"/>
        <v>25.096525096525095</v>
      </c>
      <c r="AU23" s="1295">
        <f t="shared" si="12"/>
        <v>23.809523809523807</v>
      </c>
      <c r="AV23" s="1295">
        <f t="shared" si="13"/>
        <v>19.366197183098588</v>
      </c>
      <c r="AW23" s="1295">
        <f t="shared" si="14"/>
        <v>13.309134906231096</v>
      </c>
      <c r="AX23" s="1569">
        <f t="shared" si="15"/>
        <v>21.446078431372548</v>
      </c>
      <c r="AY23" s="1572">
        <f t="shared" si="16"/>
        <v>19.382192610539068</v>
      </c>
    </row>
    <row r="24" spans="1:51" s="142" customFormat="1" ht="15.75" customHeight="1" x14ac:dyDescent="0.2">
      <c r="A24" s="149" t="s">
        <v>48</v>
      </c>
      <c r="B24" s="189" t="s">
        <v>269</v>
      </c>
      <c r="C24" s="150" t="s">
        <v>266</v>
      </c>
      <c r="D24" s="1239">
        <v>10</v>
      </c>
      <c r="E24" s="1240">
        <v>13</v>
      </c>
      <c r="F24" s="1241">
        <v>12</v>
      </c>
      <c r="G24" s="1240">
        <v>14</v>
      </c>
      <c r="H24" s="1241">
        <v>8</v>
      </c>
      <c r="I24" s="1240">
        <v>7</v>
      </c>
      <c r="J24" s="1241">
        <v>7</v>
      </c>
      <c r="K24" s="1240">
        <v>8</v>
      </c>
      <c r="L24" s="1254">
        <v>9</v>
      </c>
      <c r="M24" s="1254">
        <v>2</v>
      </c>
      <c r="N24" s="1254">
        <v>5</v>
      </c>
      <c r="O24" s="1254">
        <v>3</v>
      </c>
      <c r="P24" s="1255">
        <v>5</v>
      </c>
      <c r="Q24" s="1255">
        <v>3</v>
      </c>
      <c r="R24" s="1556">
        <v>4</v>
      </c>
      <c r="S24" s="1557">
        <f>'Teen births'!D24</f>
        <v>2</v>
      </c>
      <c r="T24" s="1262">
        <v>400</v>
      </c>
      <c r="U24" s="1263">
        <v>398</v>
      </c>
      <c r="V24" s="1263">
        <v>461</v>
      </c>
      <c r="W24" s="1263">
        <v>435</v>
      </c>
      <c r="X24" s="1263">
        <v>429</v>
      </c>
      <c r="Y24" s="1263">
        <v>431</v>
      </c>
      <c r="Z24" s="1263">
        <v>394</v>
      </c>
      <c r="AA24" s="1263">
        <v>384</v>
      </c>
      <c r="AB24" s="1263">
        <v>384</v>
      </c>
      <c r="AC24" s="1263">
        <v>373</v>
      </c>
      <c r="AD24" s="1263">
        <v>383</v>
      </c>
      <c r="AE24" s="1263">
        <v>361</v>
      </c>
      <c r="AF24" s="1263">
        <v>370</v>
      </c>
      <c r="AG24" s="1263">
        <v>375</v>
      </c>
      <c r="AH24" s="1559">
        <v>333</v>
      </c>
      <c r="AI24" s="1560">
        <f>'Teen births'!H24</f>
        <v>323</v>
      </c>
      <c r="AJ24" s="1294">
        <f t="shared" si="1"/>
        <v>25</v>
      </c>
      <c r="AK24" s="1295">
        <f t="shared" si="2"/>
        <v>32.663316582914575</v>
      </c>
      <c r="AL24" s="1295">
        <f t="shared" si="3"/>
        <v>26.030368763557483</v>
      </c>
      <c r="AM24" s="1295">
        <f t="shared" si="4"/>
        <v>32.183908045977013</v>
      </c>
      <c r="AN24" s="1295">
        <f t="shared" si="5"/>
        <v>18.648018648018649</v>
      </c>
      <c r="AO24" s="1295">
        <f t="shared" si="6"/>
        <v>16.241299303944317</v>
      </c>
      <c r="AP24" s="1295">
        <f t="shared" si="7"/>
        <v>17.766497461928935</v>
      </c>
      <c r="AQ24" s="1295">
        <f t="shared" si="8"/>
        <v>20.833333333333332</v>
      </c>
      <c r="AR24" s="1295">
        <f t="shared" si="9"/>
        <v>23.4375</v>
      </c>
      <c r="AS24" s="1295">
        <f t="shared" si="10"/>
        <v>5.3619302949061662</v>
      </c>
      <c r="AT24" s="1295">
        <f t="shared" si="11"/>
        <v>13.054830287206265</v>
      </c>
      <c r="AU24" s="1295">
        <f t="shared" si="12"/>
        <v>8.310249307479225</v>
      </c>
      <c r="AV24" s="1295">
        <f t="shared" si="13"/>
        <v>13.513513513513514</v>
      </c>
      <c r="AW24" s="1295">
        <f t="shared" si="14"/>
        <v>8</v>
      </c>
      <c r="AX24" s="1569">
        <f t="shared" si="15"/>
        <v>12.012012012012011</v>
      </c>
      <c r="AY24" s="1572">
        <f t="shared" si="16"/>
        <v>6.1919504643962853</v>
      </c>
    </row>
    <row r="25" spans="1:51" s="142" customFormat="1" ht="15.75" customHeight="1" x14ac:dyDescent="0.2">
      <c r="A25" s="149" t="s">
        <v>50</v>
      </c>
      <c r="B25" s="189" t="s">
        <v>51</v>
      </c>
      <c r="C25" s="150" t="s">
        <v>265</v>
      </c>
      <c r="D25" s="1239">
        <v>23</v>
      </c>
      <c r="E25" s="1240">
        <v>27</v>
      </c>
      <c r="F25" s="1241">
        <v>23</v>
      </c>
      <c r="G25" s="1240">
        <v>26</v>
      </c>
      <c r="H25" s="1241">
        <v>17</v>
      </c>
      <c r="I25" s="1240">
        <v>13</v>
      </c>
      <c r="J25" s="1241">
        <v>21</v>
      </c>
      <c r="K25" s="1240">
        <v>15</v>
      </c>
      <c r="L25" s="1254">
        <v>10</v>
      </c>
      <c r="M25" s="1254">
        <v>24</v>
      </c>
      <c r="N25" s="1254">
        <v>22</v>
      </c>
      <c r="O25" s="1254">
        <v>18</v>
      </c>
      <c r="P25" s="1255">
        <v>12</v>
      </c>
      <c r="Q25" s="1255">
        <v>19</v>
      </c>
      <c r="R25" s="1556">
        <v>17</v>
      </c>
      <c r="S25" s="1557">
        <f>'Teen births'!D25</f>
        <v>15</v>
      </c>
      <c r="T25" s="1262">
        <v>762</v>
      </c>
      <c r="U25" s="1263">
        <v>755</v>
      </c>
      <c r="V25" s="1263">
        <v>875</v>
      </c>
      <c r="W25" s="1263">
        <v>890</v>
      </c>
      <c r="X25" s="1263">
        <v>895</v>
      </c>
      <c r="Y25" s="1263">
        <v>889</v>
      </c>
      <c r="Z25" s="1263">
        <v>866</v>
      </c>
      <c r="AA25" s="1263">
        <v>888</v>
      </c>
      <c r="AB25" s="1263">
        <v>843</v>
      </c>
      <c r="AC25" s="1263">
        <v>821</v>
      </c>
      <c r="AD25" s="1263">
        <v>785</v>
      </c>
      <c r="AE25" s="1263">
        <v>783</v>
      </c>
      <c r="AF25" s="1263">
        <v>863</v>
      </c>
      <c r="AG25" s="1263">
        <v>814</v>
      </c>
      <c r="AH25" s="1559">
        <v>773</v>
      </c>
      <c r="AI25" s="1560">
        <f>'Teen births'!H25</f>
        <v>756</v>
      </c>
      <c r="AJ25" s="1294">
        <f t="shared" si="1"/>
        <v>30.183727034120736</v>
      </c>
      <c r="AK25" s="1295">
        <f t="shared" si="2"/>
        <v>35.76158940397351</v>
      </c>
      <c r="AL25" s="1295">
        <f t="shared" si="3"/>
        <v>26.285714285714288</v>
      </c>
      <c r="AM25" s="1295">
        <f t="shared" si="4"/>
        <v>29.213483146067418</v>
      </c>
      <c r="AN25" s="1295">
        <f t="shared" si="5"/>
        <v>18.994413407821231</v>
      </c>
      <c r="AO25" s="1295">
        <f t="shared" si="6"/>
        <v>14.623172103487065</v>
      </c>
      <c r="AP25" s="1295">
        <f t="shared" si="7"/>
        <v>24.24942263279446</v>
      </c>
      <c r="AQ25" s="1295">
        <f t="shared" si="8"/>
        <v>16.891891891891891</v>
      </c>
      <c r="AR25" s="1295">
        <f t="shared" si="9"/>
        <v>11.862396204033214</v>
      </c>
      <c r="AS25" s="1295">
        <f t="shared" si="10"/>
        <v>29.232643118148598</v>
      </c>
      <c r="AT25" s="1295">
        <f t="shared" si="11"/>
        <v>28.02547770700637</v>
      </c>
      <c r="AU25" s="1295">
        <f t="shared" si="12"/>
        <v>22.988505747126435</v>
      </c>
      <c r="AV25" s="1295">
        <f t="shared" si="13"/>
        <v>13.904982618771726</v>
      </c>
      <c r="AW25" s="1295">
        <f t="shared" si="14"/>
        <v>23.341523341523342</v>
      </c>
      <c r="AX25" s="1569">
        <f t="shared" si="15"/>
        <v>21.992238033635189</v>
      </c>
      <c r="AY25" s="1572">
        <f t="shared" si="16"/>
        <v>19.841269841269842</v>
      </c>
    </row>
    <row r="26" spans="1:51" s="142" customFormat="1" ht="15.75" customHeight="1" x14ac:dyDescent="0.2">
      <c r="A26" s="149" t="s">
        <v>56</v>
      </c>
      <c r="B26" s="189" t="s">
        <v>295</v>
      </c>
      <c r="C26" s="150" t="s">
        <v>266</v>
      </c>
      <c r="D26" s="1239">
        <v>292</v>
      </c>
      <c r="E26" s="1240">
        <v>266</v>
      </c>
      <c r="F26" s="1241">
        <v>276</v>
      </c>
      <c r="G26" s="1240">
        <v>262</v>
      </c>
      <c r="H26" s="1241">
        <v>236</v>
      </c>
      <c r="I26" s="1240">
        <v>273</v>
      </c>
      <c r="J26" s="1241">
        <v>269</v>
      </c>
      <c r="K26" s="1240">
        <v>282</v>
      </c>
      <c r="L26" s="1254">
        <v>284</v>
      </c>
      <c r="M26" s="1254">
        <v>298</v>
      </c>
      <c r="N26" s="1254">
        <v>251</v>
      </c>
      <c r="O26" s="1254">
        <v>274</v>
      </c>
      <c r="P26" s="1255">
        <v>247</v>
      </c>
      <c r="Q26" s="1255">
        <v>250</v>
      </c>
      <c r="R26" s="1556">
        <v>234</v>
      </c>
      <c r="S26" s="1557">
        <f>'Teen births'!D26</f>
        <v>179</v>
      </c>
      <c r="T26" s="1262">
        <v>19556</v>
      </c>
      <c r="U26" s="1263">
        <v>19846</v>
      </c>
      <c r="V26" s="1263">
        <v>21786</v>
      </c>
      <c r="W26" s="1263">
        <v>22558</v>
      </c>
      <c r="X26" s="1263">
        <v>22878</v>
      </c>
      <c r="Y26" s="1263">
        <v>23226</v>
      </c>
      <c r="Z26" s="1263">
        <v>23494</v>
      </c>
      <c r="AA26" s="1263">
        <v>23339</v>
      </c>
      <c r="AB26" s="1263">
        <v>23173</v>
      </c>
      <c r="AC26" s="1263">
        <v>23273</v>
      </c>
      <c r="AD26" s="1263">
        <v>23024</v>
      </c>
      <c r="AE26" s="1263">
        <v>24677</v>
      </c>
      <c r="AF26" s="1263">
        <v>25150</v>
      </c>
      <c r="AG26" s="1263">
        <v>25241</v>
      </c>
      <c r="AH26" s="1559">
        <v>25417</v>
      </c>
      <c r="AI26" s="1560">
        <f>'Teen births'!H26</f>
        <v>25329</v>
      </c>
      <c r="AJ26" s="1294">
        <f t="shared" si="1"/>
        <v>14.93147883002659</v>
      </c>
      <c r="AK26" s="1295">
        <f t="shared" si="2"/>
        <v>13.40320467600524</v>
      </c>
      <c r="AL26" s="1295">
        <f t="shared" si="3"/>
        <v>12.668686312310658</v>
      </c>
      <c r="AM26" s="1295">
        <f t="shared" si="4"/>
        <v>11.614504831988651</v>
      </c>
      <c r="AN26" s="1295">
        <f t="shared" si="5"/>
        <v>10.31558702683801</v>
      </c>
      <c r="AO26" s="1295">
        <f t="shared" si="6"/>
        <v>11.754068716094032</v>
      </c>
      <c r="AP26" s="1295">
        <f t="shared" si="7"/>
        <v>11.449731846428875</v>
      </c>
      <c r="AQ26" s="1295">
        <f t="shared" si="8"/>
        <v>12.082779896310896</v>
      </c>
      <c r="AR26" s="1295">
        <f t="shared" si="9"/>
        <v>12.25564234238122</v>
      </c>
      <c r="AS26" s="1295">
        <f t="shared" si="10"/>
        <v>12.804537446826796</v>
      </c>
      <c r="AT26" s="1295">
        <f t="shared" si="11"/>
        <v>10.901667824878388</v>
      </c>
      <c r="AU26" s="1295">
        <f t="shared" si="12"/>
        <v>11.103456660047819</v>
      </c>
      <c r="AV26" s="1295">
        <f t="shared" si="13"/>
        <v>9.821073558648111</v>
      </c>
      <c r="AW26" s="1295">
        <f t="shared" si="14"/>
        <v>9.904520423121113</v>
      </c>
      <c r="AX26" s="1569">
        <f t="shared" si="15"/>
        <v>9.2064366368965658</v>
      </c>
      <c r="AY26" s="1572">
        <f t="shared" si="16"/>
        <v>7.0669983023411902</v>
      </c>
    </row>
    <row r="27" spans="1:51" s="142" customFormat="1" ht="15.75" customHeight="1" x14ac:dyDescent="0.2">
      <c r="A27" s="149" t="s">
        <v>58</v>
      </c>
      <c r="B27" s="189" t="s">
        <v>59</v>
      </c>
      <c r="C27" s="150" t="s">
        <v>267</v>
      </c>
      <c r="D27" s="1239">
        <v>11</v>
      </c>
      <c r="E27" s="1240">
        <v>15</v>
      </c>
      <c r="F27" s="1241">
        <v>12</v>
      </c>
      <c r="G27" s="1240">
        <v>12</v>
      </c>
      <c r="H27" s="1241">
        <v>11</v>
      </c>
      <c r="I27" s="1240">
        <v>8</v>
      </c>
      <c r="J27" s="1241">
        <v>11</v>
      </c>
      <c r="K27" s="1240">
        <v>8</v>
      </c>
      <c r="L27" s="1254">
        <v>17</v>
      </c>
      <c r="M27" s="1254">
        <v>11</v>
      </c>
      <c r="N27" s="1254">
        <v>6</v>
      </c>
      <c r="O27" s="1254">
        <v>6</v>
      </c>
      <c r="P27" s="1255">
        <v>14</v>
      </c>
      <c r="Q27" s="1255">
        <v>7</v>
      </c>
      <c r="R27" s="1556">
        <v>10</v>
      </c>
      <c r="S27" s="1557">
        <f>'Teen births'!D27</f>
        <v>7</v>
      </c>
      <c r="T27" s="1262">
        <v>799</v>
      </c>
      <c r="U27" s="1263">
        <v>812</v>
      </c>
      <c r="V27" s="1263">
        <v>788</v>
      </c>
      <c r="W27" s="1263">
        <v>830</v>
      </c>
      <c r="X27" s="1263">
        <v>856</v>
      </c>
      <c r="Y27" s="1263">
        <v>892</v>
      </c>
      <c r="Z27" s="1263">
        <v>912</v>
      </c>
      <c r="AA27" s="1263">
        <v>941</v>
      </c>
      <c r="AB27" s="1263">
        <v>935</v>
      </c>
      <c r="AC27" s="1263">
        <v>919</v>
      </c>
      <c r="AD27" s="1263">
        <v>885</v>
      </c>
      <c r="AE27" s="1263">
        <v>938</v>
      </c>
      <c r="AF27" s="1263">
        <v>925</v>
      </c>
      <c r="AG27" s="1263">
        <v>964</v>
      </c>
      <c r="AH27" s="1559">
        <v>970</v>
      </c>
      <c r="AI27" s="1560">
        <f>'Teen births'!H27</f>
        <v>912</v>
      </c>
      <c r="AJ27" s="1294">
        <f t="shared" si="1"/>
        <v>13.767209011264081</v>
      </c>
      <c r="AK27" s="1295">
        <f t="shared" si="2"/>
        <v>18.47290640394089</v>
      </c>
      <c r="AL27" s="1295">
        <f t="shared" si="3"/>
        <v>15.228426395939087</v>
      </c>
      <c r="AM27" s="1295">
        <f t="shared" si="4"/>
        <v>14.457831325301205</v>
      </c>
      <c r="AN27" s="1295">
        <f t="shared" si="5"/>
        <v>12.850467289719626</v>
      </c>
      <c r="AO27" s="1295">
        <f t="shared" si="6"/>
        <v>8.9686098654708513</v>
      </c>
      <c r="AP27" s="1295">
        <f t="shared" si="7"/>
        <v>12.06140350877193</v>
      </c>
      <c r="AQ27" s="1295">
        <f t="shared" si="8"/>
        <v>8.501594048884165</v>
      </c>
      <c r="AR27" s="1295">
        <f t="shared" si="9"/>
        <v>18.18181818181818</v>
      </c>
      <c r="AS27" s="1295">
        <f t="shared" si="10"/>
        <v>11.969532100108813</v>
      </c>
      <c r="AT27" s="1295">
        <f t="shared" si="11"/>
        <v>6.7796610169491522</v>
      </c>
      <c r="AU27" s="1295">
        <f t="shared" si="12"/>
        <v>6.3965884861407245</v>
      </c>
      <c r="AV27" s="1295">
        <f t="shared" si="13"/>
        <v>15.135135135135135</v>
      </c>
      <c r="AW27" s="1295">
        <f t="shared" si="14"/>
        <v>7.2614107883817427</v>
      </c>
      <c r="AX27" s="1569">
        <f t="shared" si="15"/>
        <v>10.309278350515465</v>
      </c>
      <c r="AY27" s="1572">
        <f t="shared" si="16"/>
        <v>7.6754385964912277</v>
      </c>
    </row>
    <row r="28" spans="1:51" s="142" customFormat="1" ht="15.75" customHeight="1" x14ac:dyDescent="0.2">
      <c r="A28" s="149" t="s">
        <v>60</v>
      </c>
      <c r="B28" s="189" t="s">
        <v>61</v>
      </c>
      <c r="C28" s="150" t="s">
        <v>265</v>
      </c>
      <c r="D28" s="1239">
        <v>11</v>
      </c>
      <c r="E28" s="1240">
        <v>7</v>
      </c>
      <c r="F28" s="1241">
        <v>5</v>
      </c>
      <c r="G28" s="1240">
        <v>5</v>
      </c>
      <c r="H28" s="1241">
        <v>3</v>
      </c>
      <c r="I28" s="1240">
        <v>4</v>
      </c>
      <c r="J28" s="1241">
        <v>2</v>
      </c>
      <c r="K28" s="1240">
        <v>4</v>
      </c>
      <c r="L28" s="1254">
        <v>5</v>
      </c>
      <c r="M28" s="1254">
        <v>4</v>
      </c>
      <c r="N28" s="1254">
        <v>5</v>
      </c>
      <c r="O28" s="1254">
        <v>10</v>
      </c>
      <c r="P28" s="1255">
        <v>3</v>
      </c>
      <c r="Q28" s="1255">
        <v>4</v>
      </c>
      <c r="R28" s="1556">
        <v>3</v>
      </c>
      <c r="S28" s="1557">
        <f>'Teen births'!D28</f>
        <v>10</v>
      </c>
      <c r="T28" s="1262">
        <v>250</v>
      </c>
      <c r="U28" s="1263">
        <v>248</v>
      </c>
      <c r="V28" s="1263">
        <v>304</v>
      </c>
      <c r="W28" s="1263">
        <v>329</v>
      </c>
      <c r="X28" s="1263">
        <v>329</v>
      </c>
      <c r="Y28" s="1263">
        <v>331</v>
      </c>
      <c r="Z28" s="1263">
        <v>339</v>
      </c>
      <c r="AA28" s="1263">
        <v>342</v>
      </c>
      <c r="AB28" s="1263">
        <v>341</v>
      </c>
      <c r="AC28" s="1263">
        <v>321</v>
      </c>
      <c r="AD28" s="1263">
        <v>314</v>
      </c>
      <c r="AE28" s="1263">
        <v>304</v>
      </c>
      <c r="AF28" s="1263">
        <v>325</v>
      </c>
      <c r="AG28" s="1263">
        <v>323</v>
      </c>
      <c r="AH28" s="1559">
        <v>317</v>
      </c>
      <c r="AI28" s="1560">
        <f>'Teen births'!H28</f>
        <v>319</v>
      </c>
      <c r="AJ28" s="1294">
        <f t="shared" si="1"/>
        <v>44</v>
      </c>
      <c r="AK28" s="1295">
        <f t="shared" si="2"/>
        <v>28.225806451612904</v>
      </c>
      <c r="AL28" s="1295">
        <f t="shared" si="3"/>
        <v>16.44736842105263</v>
      </c>
      <c r="AM28" s="1295">
        <f t="shared" si="4"/>
        <v>15.197568389057752</v>
      </c>
      <c r="AN28" s="1295">
        <f t="shared" si="5"/>
        <v>9.1185410334346493</v>
      </c>
      <c r="AO28" s="1295">
        <f t="shared" si="6"/>
        <v>12.084592145015106</v>
      </c>
      <c r="AP28" s="1295">
        <f t="shared" si="7"/>
        <v>5.8997050147492622</v>
      </c>
      <c r="AQ28" s="1295">
        <f t="shared" si="8"/>
        <v>11.695906432748536</v>
      </c>
      <c r="AR28" s="1295">
        <f t="shared" si="9"/>
        <v>14.66275659824047</v>
      </c>
      <c r="AS28" s="1295">
        <f t="shared" si="10"/>
        <v>12.461059190031152</v>
      </c>
      <c r="AT28" s="1295">
        <f t="shared" si="11"/>
        <v>15.923566878980891</v>
      </c>
      <c r="AU28" s="1295">
        <f t="shared" si="12"/>
        <v>32.89473684210526</v>
      </c>
      <c r="AV28" s="1295">
        <f t="shared" si="13"/>
        <v>9.2307692307692317</v>
      </c>
      <c r="AW28" s="1295">
        <f t="shared" si="14"/>
        <v>12.383900928792571</v>
      </c>
      <c r="AX28" s="1569">
        <f t="shared" si="15"/>
        <v>9.4637223974763405</v>
      </c>
      <c r="AY28" s="1572">
        <f t="shared" si="16"/>
        <v>31.347962382445139</v>
      </c>
    </row>
    <row r="29" spans="1:51" s="142" customFormat="1" ht="15.75" customHeight="1" x14ac:dyDescent="0.2">
      <c r="A29" s="149" t="s">
        <v>62</v>
      </c>
      <c r="B29" s="189" t="s">
        <v>63</v>
      </c>
      <c r="C29" s="150" t="s">
        <v>267</v>
      </c>
      <c r="D29" s="1239">
        <v>69</v>
      </c>
      <c r="E29" s="1240">
        <v>53</v>
      </c>
      <c r="F29" s="1241">
        <v>65</v>
      </c>
      <c r="G29" s="1240">
        <v>45</v>
      </c>
      <c r="H29" s="1241">
        <v>45</v>
      </c>
      <c r="I29" s="1240">
        <v>59</v>
      </c>
      <c r="J29" s="1241">
        <v>51</v>
      </c>
      <c r="K29" s="1240">
        <v>54</v>
      </c>
      <c r="L29" s="1254">
        <v>63</v>
      </c>
      <c r="M29" s="1254">
        <v>67</v>
      </c>
      <c r="N29" s="1254">
        <v>61</v>
      </c>
      <c r="O29" s="1254">
        <v>55</v>
      </c>
      <c r="P29" s="1255">
        <v>48</v>
      </c>
      <c r="Q29" s="1255">
        <v>44</v>
      </c>
      <c r="R29" s="1556">
        <v>48</v>
      </c>
      <c r="S29" s="1557">
        <f>'Teen births'!D29</f>
        <v>33</v>
      </c>
      <c r="T29" s="1262">
        <v>2245</v>
      </c>
      <c r="U29" s="1263">
        <v>2294</v>
      </c>
      <c r="V29" s="1263">
        <v>2384</v>
      </c>
      <c r="W29" s="1263">
        <v>2513</v>
      </c>
      <c r="X29" s="1263">
        <v>2570</v>
      </c>
      <c r="Y29" s="1263">
        <v>2674</v>
      </c>
      <c r="Z29" s="1263">
        <v>2765</v>
      </c>
      <c r="AA29" s="1263">
        <v>2841</v>
      </c>
      <c r="AB29" s="1263">
        <v>2885</v>
      </c>
      <c r="AC29" s="1263">
        <v>2878</v>
      </c>
      <c r="AD29" s="1263">
        <v>2846</v>
      </c>
      <c r="AE29" s="1263">
        <v>3047</v>
      </c>
      <c r="AF29" s="1263">
        <v>3118</v>
      </c>
      <c r="AG29" s="1263">
        <v>3137</v>
      </c>
      <c r="AH29" s="1559">
        <v>3228</v>
      </c>
      <c r="AI29" s="1560">
        <f>'Teen births'!H29</f>
        <v>3240</v>
      </c>
      <c r="AJ29" s="1294">
        <f t="shared" si="1"/>
        <v>30.734966592427618</v>
      </c>
      <c r="AK29" s="1295">
        <f t="shared" si="2"/>
        <v>23.103748910200522</v>
      </c>
      <c r="AL29" s="1295">
        <f t="shared" si="3"/>
        <v>27.265100671140939</v>
      </c>
      <c r="AM29" s="1295">
        <f t="shared" si="4"/>
        <v>17.906884202148827</v>
      </c>
      <c r="AN29" s="1295">
        <f t="shared" si="5"/>
        <v>17.509727626459146</v>
      </c>
      <c r="AO29" s="1295">
        <f t="shared" si="6"/>
        <v>22.064323111443532</v>
      </c>
      <c r="AP29" s="1295">
        <f t="shared" si="7"/>
        <v>18.44484629294756</v>
      </c>
      <c r="AQ29" s="1295">
        <f t="shared" si="8"/>
        <v>19.00739176346357</v>
      </c>
      <c r="AR29" s="1295">
        <f t="shared" si="9"/>
        <v>21.837088388214905</v>
      </c>
      <c r="AS29" s="1295">
        <f t="shared" si="10"/>
        <v>23.280055594162611</v>
      </c>
      <c r="AT29" s="1295">
        <f t="shared" si="11"/>
        <v>21.433591004919187</v>
      </c>
      <c r="AU29" s="1295">
        <f t="shared" si="12"/>
        <v>18.050541516245488</v>
      </c>
      <c r="AV29" s="1295">
        <f t="shared" si="13"/>
        <v>15.394483643361129</v>
      </c>
      <c r="AW29" s="1295">
        <f t="shared" si="14"/>
        <v>14.026139623844438</v>
      </c>
      <c r="AX29" s="1569">
        <f t="shared" si="15"/>
        <v>14.869888475836431</v>
      </c>
      <c r="AY29" s="1572">
        <f t="shared" si="16"/>
        <v>10.185185185185187</v>
      </c>
    </row>
    <row r="30" spans="1:51" s="142" customFormat="1" ht="15.75" customHeight="1" x14ac:dyDescent="0.2">
      <c r="A30" s="149" t="s">
        <v>64</v>
      </c>
      <c r="B30" s="189" t="s">
        <v>65</v>
      </c>
      <c r="C30" s="150" t="s">
        <v>266</v>
      </c>
      <c r="D30" s="1239">
        <v>17</v>
      </c>
      <c r="E30" s="1240">
        <v>13</v>
      </c>
      <c r="F30" s="1241">
        <v>8</v>
      </c>
      <c r="G30" s="1240">
        <v>21</v>
      </c>
      <c r="H30" s="1241">
        <v>13</v>
      </c>
      <c r="I30" s="1240">
        <v>19</v>
      </c>
      <c r="J30" s="1241">
        <v>13</v>
      </c>
      <c r="K30" s="1240">
        <v>11</v>
      </c>
      <c r="L30" s="1254">
        <v>8</v>
      </c>
      <c r="M30" s="1254">
        <v>11</v>
      </c>
      <c r="N30" s="1254">
        <v>5</v>
      </c>
      <c r="O30" s="1254">
        <v>10</v>
      </c>
      <c r="P30" s="1255">
        <v>12</v>
      </c>
      <c r="Q30" s="1255">
        <v>11</v>
      </c>
      <c r="R30" s="1556">
        <v>8</v>
      </c>
      <c r="S30" s="1557">
        <f>'Teen births'!D30</f>
        <v>3</v>
      </c>
      <c r="T30" s="1262">
        <v>558</v>
      </c>
      <c r="U30" s="1263">
        <v>558</v>
      </c>
      <c r="V30" s="1263">
        <v>585</v>
      </c>
      <c r="W30" s="1263">
        <v>597</v>
      </c>
      <c r="X30" s="1263">
        <v>604</v>
      </c>
      <c r="Y30" s="1263">
        <v>618</v>
      </c>
      <c r="Z30" s="1263">
        <v>622</v>
      </c>
      <c r="AA30" s="1263">
        <v>630</v>
      </c>
      <c r="AB30" s="1263">
        <v>610</v>
      </c>
      <c r="AC30" s="1263">
        <v>608</v>
      </c>
      <c r="AD30" s="1263">
        <v>612</v>
      </c>
      <c r="AE30" s="1263">
        <v>645</v>
      </c>
      <c r="AF30" s="1263">
        <v>666</v>
      </c>
      <c r="AG30" s="1263">
        <v>637</v>
      </c>
      <c r="AH30" s="1559">
        <v>617</v>
      </c>
      <c r="AI30" s="1560">
        <f>'Teen births'!H30</f>
        <v>590</v>
      </c>
      <c r="AJ30" s="1294">
        <f t="shared" si="1"/>
        <v>30.465949820788531</v>
      </c>
      <c r="AK30" s="1295">
        <f t="shared" si="2"/>
        <v>23.297491039426525</v>
      </c>
      <c r="AL30" s="1295">
        <f t="shared" si="3"/>
        <v>13.675213675213675</v>
      </c>
      <c r="AM30" s="1295">
        <f t="shared" si="4"/>
        <v>35.175879396984925</v>
      </c>
      <c r="AN30" s="1295">
        <f t="shared" si="5"/>
        <v>21.523178807947019</v>
      </c>
      <c r="AO30" s="1295">
        <f t="shared" si="6"/>
        <v>30.744336569579286</v>
      </c>
      <c r="AP30" s="1295">
        <f t="shared" si="7"/>
        <v>20.90032154340836</v>
      </c>
      <c r="AQ30" s="1295">
        <f t="shared" si="8"/>
        <v>17.460317460317462</v>
      </c>
      <c r="AR30" s="1295">
        <f t="shared" si="9"/>
        <v>13.114754098360656</v>
      </c>
      <c r="AS30" s="1295">
        <f t="shared" si="10"/>
        <v>18.092105263157894</v>
      </c>
      <c r="AT30" s="1295">
        <f t="shared" si="11"/>
        <v>8.169934640522877</v>
      </c>
      <c r="AU30" s="1295">
        <f t="shared" si="12"/>
        <v>15.503875968992247</v>
      </c>
      <c r="AV30" s="1295">
        <f t="shared" si="13"/>
        <v>18.018018018018019</v>
      </c>
      <c r="AW30" s="1295">
        <f t="shared" si="14"/>
        <v>17.26844583987441</v>
      </c>
      <c r="AX30" s="1569">
        <f t="shared" si="15"/>
        <v>12.965964343598054</v>
      </c>
      <c r="AY30" s="1572">
        <f t="shared" si="16"/>
        <v>5.0847457627118642</v>
      </c>
    </row>
    <row r="31" spans="1:51" s="142" customFormat="1" ht="15.75" customHeight="1" x14ac:dyDescent="0.2">
      <c r="A31" s="149" t="s">
        <v>68</v>
      </c>
      <c r="B31" s="189" t="s">
        <v>69</v>
      </c>
      <c r="C31" s="150" t="s">
        <v>268</v>
      </c>
      <c r="D31" s="1239">
        <v>29</v>
      </c>
      <c r="E31" s="1240">
        <v>29</v>
      </c>
      <c r="F31" s="1241">
        <v>20</v>
      </c>
      <c r="G31" s="1240">
        <v>14</v>
      </c>
      <c r="H31" s="1241">
        <v>24</v>
      </c>
      <c r="I31" s="1240">
        <v>19</v>
      </c>
      <c r="J31" s="1241">
        <v>20</v>
      </c>
      <c r="K31" s="1240">
        <v>21</v>
      </c>
      <c r="L31" s="1254">
        <v>27</v>
      </c>
      <c r="M31" s="1254">
        <v>27</v>
      </c>
      <c r="N31" s="1254">
        <v>22</v>
      </c>
      <c r="O31" s="1254">
        <v>24</v>
      </c>
      <c r="P31" s="1255">
        <v>25</v>
      </c>
      <c r="Q31" s="1255">
        <v>27</v>
      </c>
      <c r="R31" s="1556">
        <v>20</v>
      </c>
      <c r="S31" s="1557">
        <f>'Teen births'!D31</f>
        <v>20</v>
      </c>
      <c r="T31" s="1262">
        <v>1107</v>
      </c>
      <c r="U31" s="1263">
        <v>1063</v>
      </c>
      <c r="V31" s="1263">
        <v>1096</v>
      </c>
      <c r="W31" s="1263">
        <v>1040</v>
      </c>
      <c r="X31" s="1263">
        <v>1015</v>
      </c>
      <c r="Y31" s="1263">
        <v>999</v>
      </c>
      <c r="Z31" s="1263">
        <v>975</v>
      </c>
      <c r="AA31" s="1263">
        <v>962</v>
      </c>
      <c r="AB31" s="1263">
        <v>917</v>
      </c>
      <c r="AC31" s="1263">
        <v>875</v>
      </c>
      <c r="AD31" s="1263">
        <v>879</v>
      </c>
      <c r="AE31" s="1263">
        <v>905</v>
      </c>
      <c r="AF31" s="1263">
        <v>959</v>
      </c>
      <c r="AG31" s="1263">
        <v>905</v>
      </c>
      <c r="AH31" s="1559">
        <v>887</v>
      </c>
      <c r="AI31" s="1560">
        <f>'Teen births'!H31</f>
        <v>864</v>
      </c>
      <c r="AJ31" s="1294">
        <f t="shared" si="1"/>
        <v>26.196928635953029</v>
      </c>
      <c r="AK31" s="1295">
        <f t="shared" si="2"/>
        <v>27.281279397930383</v>
      </c>
      <c r="AL31" s="1295">
        <f t="shared" si="3"/>
        <v>18.248175182481749</v>
      </c>
      <c r="AM31" s="1295">
        <f t="shared" si="4"/>
        <v>13.461538461538462</v>
      </c>
      <c r="AN31" s="1295">
        <f t="shared" si="5"/>
        <v>23.645320197044338</v>
      </c>
      <c r="AO31" s="1295">
        <f t="shared" si="6"/>
        <v>19.019019019019019</v>
      </c>
      <c r="AP31" s="1295">
        <f t="shared" si="7"/>
        <v>20.512820512820515</v>
      </c>
      <c r="AQ31" s="1295">
        <f t="shared" si="8"/>
        <v>21.829521829521831</v>
      </c>
      <c r="AR31" s="1295">
        <f t="shared" si="9"/>
        <v>29.443838604143945</v>
      </c>
      <c r="AS31" s="1295">
        <f t="shared" si="10"/>
        <v>30.857142857142858</v>
      </c>
      <c r="AT31" s="1295">
        <f t="shared" si="11"/>
        <v>25.028441410693972</v>
      </c>
      <c r="AU31" s="1295">
        <f t="shared" si="12"/>
        <v>26.519337016574585</v>
      </c>
      <c r="AV31" s="1295">
        <f t="shared" si="13"/>
        <v>26.068821689259646</v>
      </c>
      <c r="AW31" s="1295">
        <f t="shared" si="14"/>
        <v>29.834254143646408</v>
      </c>
      <c r="AX31" s="1569">
        <f t="shared" si="15"/>
        <v>22.547914317925592</v>
      </c>
      <c r="AY31" s="1572">
        <f t="shared" si="16"/>
        <v>23.148148148148145</v>
      </c>
    </row>
    <row r="32" spans="1:51" s="142" customFormat="1" ht="15.75" customHeight="1" x14ac:dyDescent="0.2">
      <c r="A32" s="149" t="s">
        <v>70</v>
      </c>
      <c r="B32" s="189" t="s">
        <v>71</v>
      </c>
      <c r="C32" s="150" t="s">
        <v>264</v>
      </c>
      <c r="D32" s="1239">
        <v>30</v>
      </c>
      <c r="E32" s="1240">
        <v>33</v>
      </c>
      <c r="F32" s="1241">
        <v>29</v>
      </c>
      <c r="G32" s="1240">
        <v>33</v>
      </c>
      <c r="H32" s="1241">
        <v>32</v>
      </c>
      <c r="I32" s="1240">
        <v>33</v>
      </c>
      <c r="J32" s="1241">
        <v>32</v>
      </c>
      <c r="K32" s="1240">
        <v>28</v>
      </c>
      <c r="L32" s="1254">
        <v>41</v>
      </c>
      <c r="M32" s="1254">
        <v>37</v>
      </c>
      <c r="N32" s="1254">
        <v>35</v>
      </c>
      <c r="O32" s="1254">
        <v>20</v>
      </c>
      <c r="P32" s="1255">
        <v>29</v>
      </c>
      <c r="Q32" s="1255">
        <v>31</v>
      </c>
      <c r="R32" s="1556">
        <v>25</v>
      </c>
      <c r="S32" s="1557">
        <f>'Teen births'!D32</f>
        <v>16</v>
      </c>
      <c r="T32" s="1262">
        <v>1476</v>
      </c>
      <c r="U32" s="1263">
        <v>1476</v>
      </c>
      <c r="V32" s="1263">
        <v>1587</v>
      </c>
      <c r="W32" s="1263">
        <v>1614</v>
      </c>
      <c r="X32" s="1263">
        <v>1639</v>
      </c>
      <c r="Y32" s="1263">
        <v>1700</v>
      </c>
      <c r="Z32" s="1263">
        <v>1740</v>
      </c>
      <c r="AA32" s="1263">
        <v>1738</v>
      </c>
      <c r="AB32" s="1263">
        <v>1688</v>
      </c>
      <c r="AC32" s="1263">
        <v>1664</v>
      </c>
      <c r="AD32" s="1263">
        <v>1662</v>
      </c>
      <c r="AE32" s="1263">
        <v>1816</v>
      </c>
      <c r="AF32" s="1263">
        <v>1897</v>
      </c>
      <c r="AG32" s="1263">
        <v>1828</v>
      </c>
      <c r="AH32" s="1559">
        <v>1830</v>
      </c>
      <c r="AI32" s="1560">
        <f>'Teen births'!H32</f>
        <v>1741</v>
      </c>
      <c r="AJ32" s="1294">
        <f t="shared" si="1"/>
        <v>20.325203252032519</v>
      </c>
      <c r="AK32" s="1295">
        <f t="shared" si="2"/>
        <v>22.357723577235774</v>
      </c>
      <c r="AL32" s="1295">
        <f t="shared" si="3"/>
        <v>18.273471959672339</v>
      </c>
      <c r="AM32" s="1295">
        <f t="shared" si="4"/>
        <v>20.446096654275092</v>
      </c>
      <c r="AN32" s="1295">
        <f t="shared" si="5"/>
        <v>19.524100061012813</v>
      </c>
      <c r="AO32" s="1295">
        <f t="shared" si="6"/>
        <v>19.411764705882355</v>
      </c>
      <c r="AP32" s="1295">
        <f t="shared" si="7"/>
        <v>18.390804597701148</v>
      </c>
      <c r="AQ32" s="1295">
        <f t="shared" si="8"/>
        <v>16.11047180667434</v>
      </c>
      <c r="AR32" s="1295">
        <f t="shared" si="9"/>
        <v>24.289099526066352</v>
      </c>
      <c r="AS32" s="1295">
        <f t="shared" si="10"/>
        <v>22.235576923076923</v>
      </c>
      <c r="AT32" s="1295">
        <f t="shared" si="11"/>
        <v>21.0589651022864</v>
      </c>
      <c r="AU32" s="1295">
        <f t="shared" si="12"/>
        <v>11.013215859030838</v>
      </c>
      <c r="AV32" s="1295">
        <f t="shared" si="13"/>
        <v>15.287295730100158</v>
      </c>
      <c r="AW32" s="1295">
        <f t="shared" si="14"/>
        <v>16.958424507658645</v>
      </c>
      <c r="AX32" s="1569">
        <f t="shared" si="15"/>
        <v>13.66120218579235</v>
      </c>
      <c r="AY32" s="1572">
        <f t="shared" si="16"/>
        <v>9.1901206203331416</v>
      </c>
    </row>
    <row r="33" spans="1:51" s="142" customFormat="1" ht="15.75" customHeight="1" x14ac:dyDescent="0.2">
      <c r="A33" s="149" t="s">
        <v>72</v>
      </c>
      <c r="B33" s="189" t="s">
        <v>73</v>
      </c>
      <c r="C33" s="150" t="s">
        <v>266</v>
      </c>
      <c r="D33" s="1239">
        <v>16</v>
      </c>
      <c r="E33" s="1240">
        <v>17</v>
      </c>
      <c r="F33" s="1241">
        <v>25</v>
      </c>
      <c r="G33" s="1240">
        <v>7</v>
      </c>
      <c r="H33" s="1241">
        <v>17</v>
      </c>
      <c r="I33" s="1240">
        <v>19</v>
      </c>
      <c r="J33" s="1241">
        <v>12</v>
      </c>
      <c r="K33" s="1240">
        <v>11</v>
      </c>
      <c r="L33" s="1254">
        <v>24</v>
      </c>
      <c r="M33" s="1254">
        <v>14</v>
      </c>
      <c r="N33" s="1254">
        <v>22</v>
      </c>
      <c r="O33" s="1254">
        <v>23</v>
      </c>
      <c r="P33" s="1255">
        <v>18</v>
      </c>
      <c r="Q33" s="1255">
        <v>14</v>
      </c>
      <c r="R33" s="1556">
        <v>17</v>
      </c>
      <c r="S33" s="1557">
        <f>'Teen births'!D33</f>
        <v>6</v>
      </c>
      <c r="T33" s="1262">
        <v>569</v>
      </c>
      <c r="U33" s="1263">
        <v>566</v>
      </c>
      <c r="V33" s="1263">
        <v>653</v>
      </c>
      <c r="W33" s="1263">
        <v>688</v>
      </c>
      <c r="X33" s="1263">
        <v>689</v>
      </c>
      <c r="Y33" s="1263">
        <v>720</v>
      </c>
      <c r="Z33" s="1263">
        <v>719</v>
      </c>
      <c r="AA33" s="1263">
        <v>699</v>
      </c>
      <c r="AB33" s="1263">
        <v>670</v>
      </c>
      <c r="AC33" s="1263">
        <v>654</v>
      </c>
      <c r="AD33" s="1263">
        <v>635</v>
      </c>
      <c r="AE33" s="1263">
        <v>670</v>
      </c>
      <c r="AF33" s="1263">
        <v>771</v>
      </c>
      <c r="AG33" s="1263">
        <v>775</v>
      </c>
      <c r="AH33" s="1559">
        <v>739</v>
      </c>
      <c r="AI33" s="1560">
        <f>'Teen births'!H33</f>
        <v>696</v>
      </c>
      <c r="AJ33" s="1294">
        <f t="shared" si="1"/>
        <v>28.119507908611599</v>
      </c>
      <c r="AK33" s="1295">
        <f t="shared" si="2"/>
        <v>30.035335689045933</v>
      </c>
      <c r="AL33" s="1295">
        <f t="shared" si="3"/>
        <v>38.28483920367534</v>
      </c>
      <c r="AM33" s="1295">
        <f t="shared" si="4"/>
        <v>10.174418604651164</v>
      </c>
      <c r="AN33" s="1295">
        <f t="shared" si="5"/>
        <v>24.673439767779392</v>
      </c>
      <c r="AO33" s="1295">
        <f t="shared" si="6"/>
        <v>26.388888888888889</v>
      </c>
      <c r="AP33" s="1295">
        <f t="shared" si="7"/>
        <v>16.689847009735743</v>
      </c>
      <c r="AQ33" s="1295">
        <f t="shared" si="8"/>
        <v>15.736766809728183</v>
      </c>
      <c r="AR33" s="1295">
        <f t="shared" si="9"/>
        <v>35.820895522388064</v>
      </c>
      <c r="AS33" s="1295">
        <f t="shared" si="10"/>
        <v>21.406727828746178</v>
      </c>
      <c r="AT33" s="1295">
        <f t="shared" si="11"/>
        <v>34.645669291338585</v>
      </c>
      <c r="AU33" s="1295">
        <f t="shared" si="12"/>
        <v>34.328358208955223</v>
      </c>
      <c r="AV33" s="1295">
        <f t="shared" si="13"/>
        <v>23.346303501945524</v>
      </c>
      <c r="AW33" s="1295">
        <f t="shared" si="14"/>
        <v>18.06451612903226</v>
      </c>
      <c r="AX33" s="1569">
        <f t="shared" si="15"/>
        <v>23.004059539918806</v>
      </c>
      <c r="AY33" s="1572">
        <f t="shared" si="16"/>
        <v>8.6206896551724128</v>
      </c>
    </row>
    <row r="34" spans="1:51" s="142" customFormat="1" ht="15.75" customHeight="1" x14ac:dyDescent="0.2">
      <c r="A34" s="149" t="s">
        <v>74</v>
      </c>
      <c r="B34" s="189" t="s">
        <v>609</v>
      </c>
      <c r="C34" s="150" t="s">
        <v>267</v>
      </c>
      <c r="D34" s="1239">
        <v>542</v>
      </c>
      <c r="E34" s="1240">
        <v>588</v>
      </c>
      <c r="F34" s="1241">
        <v>616</v>
      </c>
      <c r="G34" s="1240">
        <v>584</v>
      </c>
      <c r="H34" s="1241">
        <v>565</v>
      </c>
      <c r="I34" s="1240">
        <v>547</v>
      </c>
      <c r="J34" s="1241">
        <v>571</v>
      </c>
      <c r="K34" s="1240">
        <v>596</v>
      </c>
      <c r="L34" s="1254">
        <v>626</v>
      </c>
      <c r="M34" s="1254">
        <v>591</v>
      </c>
      <c r="N34" s="1254">
        <v>583</v>
      </c>
      <c r="O34" s="1254">
        <v>504</v>
      </c>
      <c r="P34" s="1255">
        <v>394</v>
      </c>
      <c r="Q34" s="1255">
        <v>399</v>
      </c>
      <c r="R34" s="1556">
        <v>381</v>
      </c>
      <c r="S34" s="1557">
        <f>'Teen births'!D34</f>
        <v>314</v>
      </c>
      <c r="T34" s="1262">
        <v>64605</v>
      </c>
      <c r="U34" s="1263">
        <v>65953</v>
      </c>
      <c r="V34" s="1263">
        <v>63467</v>
      </c>
      <c r="W34" s="1263">
        <v>66451</v>
      </c>
      <c r="X34" s="1263">
        <v>67592</v>
      </c>
      <c r="Y34" s="1263">
        <v>67911</v>
      </c>
      <c r="Z34" s="1263">
        <v>67862</v>
      </c>
      <c r="AA34" s="1263">
        <v>68131</v>
      </c>
      <c r="AB34" s="1263">
        <v>67569</v>
      </c>
      <c r="AC34" s="1263">
        <v>68401</v>
      </c>
      <c r="AD34" s="1263">
        <v>67702</v>
      </c>
      <c r="AE34" s="1263">
        <v>67346</v>
      </c>
      <c r="AF34" s="1263">
        <v>69287</v>
      </c>
      <c r="AG34" s="1263">
        <v>70994</v>
      </c>
      <c r="AH34" s="1559">
        <v>72210</v>
      </c>
      <c r="AI34" s="1560">
        <f>'Teen births'!H34</f>
        <v>73224</v>
      </c>
      <c r="AJ34" s="1294">
        <f t="shared" si="1"/>
        <v>8.3894435415215529</v>
      </c>
      <c r="AK34" s="1295">
        <f t="shared" si="2"/>
        <v>8.9154397828756835</v>
      </c>
      <c r="AL34" s="1295">
        <f t="shared" si="3"/>
        <v>9.7058313769360449</v>
      </c>
      <c r="AM34" s="1295">
        <f t="shared" si="4"/>
        <v>8.7884305729033425</v>
      </c>
      <c r="AN34" s="1295">
        <f t="shared" si="5"/>
        <v>8.3589773937744098</v>
      </c>
      <c r="AO34" s="1295">
        <f t="shared" si="6"/>
        <v>8.0546597752941356</v>
      </c>
      <c r="AP34" s="1295">
        <f t="shared" si="7"/>
        <v>8.4141345672099259</v>
      </c>
      <c r="AQ34" s="1295">
        <f t="shared" si="8"/>
        <v>8.7478534000675179</v>
      </c>
      <c r="AR34" s="1295">
        <f t="shared" si="9"/>
        <v>9.2646035904038833</v>
      </c>
      <c r="AS34" s="1295">
        <f t="shared" si="10"/>
        <v>8.6402245581204955</v>
      </c>
      <c r="AT34" s="1295">
        <f t="shared" si="11"/>
        <v>8.6112670231307789</v>
      </c>
      <c r="AU34" s="1295">
        <f t="shared" si="12"/>
        <v>7.4837406824458768</v>
      </c>
      <c r="AV34" s="1295">
        <f t="shared" si="13"/>
        <v>5.6864924156046586</v>
      </c>
      <c r="AW34" s="1295">
        <f t="shared" si="14"/>
        <v>5.6201932557680934</v>
      </c>
      <c r="AX34" s="1569">
        <f t="shared" si="15"/>
        <v>5.2762775238886581</v>
      </c>
      <c r="AY34" s="1572">
        <f t="shared" si="16"/>
        <v>4.2882115153501585</v>
      </c>
    </row>
    <row r="35" spans="1:51" s="142" customFormat="1" ht="15.75" customHeight="1" x14ac:dyDescent="0.2">
      <c r="A35" s="149" t="s">
        <v>76</v>
      </c>
      <c r="B35" s="189" t="s">
        <v>77</v>
      </c>
      <c r="C35" s="150" t="s">
        <v>267</v>
      </c>
      <c r="D35" s="1239">
        <v>46</v>
      </c>
      <c r="E35" s="1240">
        <v>67</v>
      </c>
      <c r="F35" s="1241">
        <v>57</v>
      </c>
      <c r="G35" s="1240">
        <v>63</v>
      </c>
      <c r="H35" s="1241">
        <v>60</v>
      </c>
      <c r="I35" s="1240">
        <v>48</v>
      </c>
      <c r="J35" s="1241">
        <v>54</v>
      </c>
      <c r="K35" s="1240">
        <v>59</v>
      </c>
      <c r="L35" s="1254">
        <v>63</v>
      </c>
      <c r="M35" s="1254">
        <v>62</v>
      </c>
      <c r="N35" s="1254">
        <v>55</v>
      </c>
      <c r="O35" s="1254">
        <v>40</v>
      </c>
      <c r="P35" s="1255">
        <v>53</v>
      </c>
      <c r="Q35" s="1255">
        <v>46</v>
      </c>
      <c r="R35" s="1556">
        <v>41</v>
      </c>
      <c r="S35" s="1557">
        <f>'Teen births'!D35</f>
        <v>26</v>
      </c>
      <c r="T35" s="1262">
        <v>4252</v>
      </c>
      <c r="U35" s="1263">
        <v>4388</v>
      </c>
      <c r="V35" s="1263">
        <v>4115</v>
      </c>
      <c r="W35" s="1263">
        <v>4312</v>
      </c>
      <c r="X35" s="1263">
        <v>4406</v>
      </c>
      <c r="Y35" s="1263">
        <v>4509</v>
      </c>
      <c r="Z35" s="1263">
        <v>4593</v>
      </c>
      <c r="AA35" s="1263">
        <v>4642</v>
      </c>
      <c r="AB35" s="1263">
        <v>4576</v>
      </c>
      <c r="AC35" s="1263">
        <v>4481</v>
      </c>
      <c r="AD35" s="1263">
        <v>4420</v>
      </c>
      <c r="AE35" s="1263">
        <v>4799</v>
      </c>
      <c r="AF35" s="1263">
        <v>4732</v>
      </c>
      <c r="AG35" s="1263">
        <v>4740</v>
      </c>
      <c r="AH35" s="1559">
        <v>4722</v>
      </c>
      <c r="AI35" s="1560">
        <f>'Teen births'!H35</f>
        <v>4699</v>
      </c>
      <c r="AJ35" s="1294">
        <f t="shared" si="1"/>
        <v>10.818438381937911</v>
      </c>
      <c r="AK35" s="1295">
        <f t="shared" si="2"/>
        <v>15.268915223336371</v>
      </c>
      <c r="AL35" s="1295">
        <f t="shared" si="3"/>
        <v>13.85176184690158</v>
      </c>
      <c r="AM35" s="1295">
        <f t="shared" si="4"/>
        <v>14.61038961038961</v>
      </c>
      <c r="AN35" s="1295">
        <f t="shared" si="5"/>
        <v>13.617793917385384</v>
      </c>
      <c r="AO35" s="1295">
        <f t="shared" si="6"/>
        <v>10.645375914836993</v>
      </c>
      <c r="AP35" s="1295">
        <f t="shared" si="7"/>
        <v>11.757021554539516</v>
      </c>
      <c r="AQ35" s="1295">
        <f t="shared" si="8"/>
        <v>12.710038776389487</v>
      </c>
      <c r="AR35" s="1295">
        <f t="shared" si="9"/>
        <v>13.767482517482518</v>
      </c>
      <c r="AS35" s="1295">
        <f t="shared" si="10"/>
        <v>13.83619727739344</v>
      </c>
      <c r="AT35" s="1295">
        <f t="shared" si="11"/>
        <v>12.443438914027148</v>
      </c>
      <c r="AU35" s="1295">
        <f t="shared" si="12"/>
        <v>8.3350698062096278</v>
      </c>
      <c r="AV35" s="1295">
        <f t="shared" si="13"/>
        <v>11.200338123415046</v>
      </c>
      <c r="AW35" s="1295">
        <f t="shared" si="14"/>
        <v>9.7046413502109719</v>
      </c>
      <c r="AX35" s="1569">
        <f t="shared" si="15"/>
        <v>8.6827615417196107</v>
      </c>
      <c r="AY35" s="1572">
        <f t="shared" si="16"/>
        <v>5.5330921472653758</v>
      </c>
    </row>
    <row r="36" spans="1:51" s="142" customFormat="1" ht="15.75" customHeight="1" x14ac:dyDescent="0.2">
      <c r="A36" s="149" t="s">
        <v>78</v>
      </c>
      <c r="B36" s="189" t="s">
        <v>79</v>
      </c>
      <c r="C36" s="150" t="s">
        <v>268</v>
      </c>
      <c r="D36" s="1239">
        <v>16</v>
      </c>
      <c r="E36" s="1240">
        <v>20</v>
      </c>
      <c r="F36" s="1241">
        <v>15</v>
      </c>
      <c r="G36" s="1240">
        <v>18</v>
      </c>
      <c r="H36" s="1241">
        <v>11</v>
      </c>
      <c r="I36" s="1240">
        <v>13</v>
      </c>
      <c r="J36" s="1241">
        <v>9</v>
      </c>
      <c r="K36" s="1240">
        <v>11</v>
      </c>
      <c r="L36" s="1254">
        <v>13</v>
      </c>
      <c r="M36" s="1254">
        <v>12</v>
      </c>
      <c r="N36" s="1254">
        <v>12</v>
      </c>
      <c r="O36" s="1254">
        <v>18</v>
      </c>
      <c r="P36" s="1255">
        <v>14</v>
      </c>
      <c r="Q36" s="1255">
        <v>14</v>
      </c>
      <c r="R36" s="1556">
        <v>11</v>
      </c>
      <c r="S36" s="1557">
        <f>'Teen births'!D36</f>
        <v>12</v>
      </c>
      <c r="T36" s="1262">
        <v>726</v>
      </c>
      <c r="U36" s="1263">
        <v>721</v>
      </c>
      <c r="V36" s="1263">
        <v>838</v>
      </c>
      <c r="W36" s="1263">
        <v>854</v>
      </c>
      <c r="X36" s="1263">
        <v>866</v>
      </c>
      <c r="Y36" s="1263">
        <v>877</v>
      </c>
      <c r="Z36" s="1263">
        <v>892</v>
      </c>
      <c r="AA36" s="1263">
        <v>900</v>
      </c>
      <c r="AB36" s="1263">
        <v>900</v>
      </c>
      <c r="AC36" s="1263">
        <v>879</v>
      </c>
      <c r="AD36" s="1263">
        <v>866</v>
      </c>
      <c r="AE36" s="1263">
        <v>871</v>
      </c>
      <c r="AF36" s="1263">
        <v>910</v>
      </c>
      <c r="AG36" s="1263">
        <v>906</v>
      </c>
      <c r="AH36" s="1559">
        <v>911</v>
      </c>
      <c r="AI36" s="1560">
        <f>'Teen births'!H36</f>
        <v>892</v>
      </c>
      <c r="AJ36" s="1294">
        <f t="shared" si="1"/>
        <v>22.03856749311295</v>
      </c>
      <c r="AK36" s="1295">
        <f t="shared" si="2"/>
        <v>27.739251040221916</v>
      </c>
      <c r="AL36" s="1295">
        <f t="shared" si="3"/>
        <v>17.899761336515514</v>
      </c>
      <c r="AM36" s="1295">
        <f t="shared" si="4"/>
        <v>21.07728337236534</v>
      </c>
      <c r="AN36" s="1295">
        <f t="shared" si="5"/>
        <v>12.702078521939953</v>
      </c>
      <c r="AO36" s="1295">
        <f t="shared" si="6"/>
        <v>14.823261117445838</v>
      </c>
      <c r="AP36" s="1295">
        <f t="shared" si="7"/>
        <v>10.089686098654708</v>
      </c>
      <c r="AQ36" s="1295">
        <f t="shared" si="8"/>
        <v>12.222222222222223</v>
      </c>
      <c r="AR36" s="1295">
        <f t="shared" si="9"/>
        <v>14.444444444444445</v>
      </c>
      <c r="AS36" s="1295">
        <f t="shared" si="10"/>
        <v>13.651877133105803</v>
      </c>
      <c r="AT36" s="1295">
        <f t="shared" si="11"/>
        <v>13.856812933025404</v>
      </c>
      <c r="AU36" s="1295">
        <f t="shared" si="12"/>
        <v>20.66590126291619</v>
      </c>
      <c r="AV36" s="1295">
        <f t="shared" si="13"/>
        <v>15.384615384615385</v>
      </c>
      <c r="AW36" s="1295">
        <f t="shared" si="14"/>
        <v>15.452538631346579</v>
      </c>
      <c r="AX36" s="1569">
        <f t="shared" si="15"/>
        <v>12.074643249176729</v>
      </c>
      <c r="AY36" s="1572">
        <f t="shared" si="16"/>
        <v>13.45291479820628</v>
      </c>
    </row>
    <row r="37" spans="1:51" s="142" customFormat="1" ht="15.75" customHeight="1" x14ac:dyDescent="0.2">
      <c r="A37" s="149" t="s">
        <v>80</v>
      </c>
      <c r="B37" s="189" t="s">
        <v>81</v>
      </c>
      <c r="C37" s="150" t="s">
        <v>266</v>
      </c>
      <c r="D37" s="1239">
        <v>15</v>
      </c>
      <c r="E37" s="1240">
        <v>22</v>
      </c>
      <c r="F37" s="1241">
        <v>13</v>
      </c>
      <c r="G37" s="1240">
        <v>13</v>
      </c>
      <c r="H37" s="1241">
        <v>30</v>
      </c>
      <c r="I37" s="1240">
        <v>20</v>
      </c>
      <c r="J37" s="1241">
        <v>22</v>
      </c>
      <c r="K37" s="1240">
        <v>21</v>
      </c>
      <c r="L37" s="1254">
        <v>16</v>
      </c>
      <c r="M37" s="1254">
        <v>20</v>
      </c>
      <c r="N37" s="1254">
        <v>22</v>
      </c>
      <c r="O37" s="1254">
        <v>14</v>
      </c>
      <c r="P37" s="1255">
        <v>16</v>
      </c>
      <c r="Q37" s="1255">
        <v>10</v>
      </c>
      <c r="R37" s="1556">
        <v>11</v>
      </c>
      <c r="S37" s="1557">
        <f>'Teen births'!D37</f>
        <v>12</v>
      </c>
      <c r="T37" s="1262">
        <v>941</v>
      </c>
      <c r="U37" s="1263">
        <v>960</v>
      </c>
      <c r="V37" s="1263">
        <v>1180</v>
      </c>
      <c r="W37" s="1263">
        <v>1261</v>
      </c>
      <c r="X37" s="1263">
        <v>1339</v>
      </c>
      <c r="Y37" s="1263">
        <v>1422</v>
      </c>
      <c r="Z37" s="1263">
        <v>1484</v>
      </c>
      <c r="AA37" s="1263">
        <v>1560</v>
      </c>
      <c r="AB37" s="1263">
        <v>1565</v>
      </c>
      <c r="AC37" s="1263">
        <v>1564</v>
      </c>
      <c r="AD37" s="1263">
        <v>1596</v>
      </c>
      <c r="AE37" s="1263">
        <v>1579</v>
      </c>
      <c r="AF37" s="1263">
        <v>1600</v>
      </c>
      <c r="AG37" s="1263">
        <v>1642</v>
      </c>
      <c r="AH37" s="1559">
        <v>1606</v>
      </c>
      <c r="AI37" s="1560">
        <f>'Teen births'!H37</f>
        <v>1626</v>
      </c>
      <c r="AJ37" s="1294">
        <f t="shared" si="1"/>
        <v>15.940488841657812</v>
      </c>
      <c r="AK37" s="1295">
        <f t="shared" si="2"/>
        <v>22.916666666666664</v>
      </c>
      <c r="AL37" s="1295">
        <f t="shared" si="3"/>
        <v>11.016949152542372</v>
      </c>
      <c r="AM37" s="1295">
        <f t="shared" si="4"/>
        <v>10.309278350515465</v>
      </c>
      <c r="AN37" s="1295">
        <f t="shared" si="5"/>
        <v>22.404779686333082</v>
      </c>
      <c r="AO37" s="1295">
        <f t="shared" si="6"/>
        <v>14.064697609001406</v>
      </c>
      <c r="AP37" s="1295">
        <f t="shared" si="7"/>
        <v>14.824797843665769</v>
      </c>
      <c r="AQ37" s="1295">
        <f t="shared" si="8"/>
        <v>13.461538461538462</v>
      </c>
      <c r="AR37" s="1295">
        <f t="shared" si="9"/>
        <v>10.223642172523961</v>
      </c>
      <c r="AS37" s="1295">
        <f t="shared" si="10"/>
        <v>12.787723785166239</v>
      </c>
      <c r="AT37" s="1295">
        <f t="shared" si="11"/>
        <v>13.784461152882205</v>
      </c>
      <c r="AU37" s="1295">
        <f t="shared" si="12"/>
        <v>8.8663711209626346</v>
      </c>
      <c r="AV37" s="1295">
        <f t="shared" si="13"/>
        <v>10</v>
      </c>
      <c r="AW37" s="1295">
        <f t="shared" si="14"/>
        <v>6.0901339829476244</v>
      </c>
      <c r="AX37" s="1569">
        <f t="shared" si="15"/>
        <v>6.8493150684931505</v>
      </c>
      <c r="AY37" s="1572">
        <f t="shared" si="16"/>
        <v>7.3800738007380069</v>
      </c>
    </row>
    <row r="38" spans="1:51" s="142" customFormat="1" ht="15.75" customHeight="1" x14ac:dyDescent="0.2">
      <c r="A38" s="149" t="s">
        <v>84</v>
      </c>
      <c r="B38" s="189" t="s">
        <v>85</v>
      </c>
      <c r="C38" s="150" t="s">
        <v>265</v>
      </c>
      <c r="D38" s="1239">
        <v>58</v>
      </c>
      <c r="E38" s="1240">
        <v>68</v>
      </c>
      <c r="F38" s="1241">
        <v>74</v>
      </c>
      <c r="G38" s="1240">
        <v>62</v>
      </c>
      <c r="H38" s="1241">
        <v>60</v>
      </c>
      <c r="I38" s="1240">
        <v>65</v>
      </c>
      <c r="J38" s="1241">
        <v>53</v>
      </c>
      <c r="K38" s="1240">
        <v>55</v>
      </c>
      <c r="L38" s="1254">
        <v>76</v>
      </c>
      <c r="M38" s="1254">
        <v>60</v>
      </c>
      <c r="N38" s="1254">
        <v>88</v>
      </c>
      <c r="O38" s="1254">
        <v>65</v>
      </c>
      <c r="P38" s="1255">
        <v>59</v>
      </c>
      <c r="Q38" s="1255">
        <v>57</v>
      </c>
      <c r="R38" s="1556">
        <v>51</v>
      </c>
      <c r="S38" s="1557">
        <f>'Teen births'!D38</f>
        <v>38</v>
      </c>
      <c r="T38" s="1262">
        <v>2903</v>
      </c>
      <c r="U38" s="1263">
        <v>2913</v>
      </c>
      <c r="V38" s="1263">
        <v>3101</v>
      </c>
      <c r="W38" s="1263">
        <v>3148</v>
      </c>
      <c r="X38" s="1263">
        <v>3180</v>
      </c>
      <c r="Y38" s="1263">
        <v>3246</v>
      </c>
      <c r="Z38" s="1263">
        <v>3280</v>
      </c>
      <c r="AA38" s="1263">
        <v>3253</v>
      </c>
      <c r="AB38" s="1263">
        <v>3190</v>
      </c>
      <c r="AC38" s="1263">
        <v>3167</v>
      </c>
      <c r="AD38" s="1263">
        <v>3148</v>
      </c>
      <c r="AE38" s="1263">
        <v>3238</v>
      </c>
      <c r="AF38" s="1263">
        <v>3518</v>
      </c>
      <c r="AG38" s="1263">
        <v>3545</v>
      </c>
      <c r="AH38" s="1559">
        <v>3478</v>
      </c>
      <c r="AI38" s="1560">
        <f>'Teen births'!H38</f>
        <v>3416</v>
      </c>
      <c r="AJ38" s="1294">
        <f t="shared" si="1"/>
        <v>19.979331725800893</v>
      </c>
      <c r="AK38" s="1295">
        <f t="shared" si="2"/>
        <v>23.34363199450738</v>
      </c>
      <c r="AL38" s="1295">
        <f t="shared" si="3"/>
        <v>23.863269912931312</v>
      </c>
      <c r="AM38" s="1295">
        <f t="shared" si="4"/>
        <v>19.695044472681065</v>
      </c>
      <c r="AN38" s="1295">
        <f t="shared" si="5"/>
        <v>18.867924528301884</v>
      </c>
      <c r="AO38" s="1295">
        <f t="shared" si="6"/>
        <v>20.024645717806528</v>
      </c>
      <c r="AP38" s="1295">
        <f t="shared" si="7"/>
        <v>16.158536585365855</v>
      </c>
      <c r="AQ38" s="1295">
        <f t="shared" si="8"/>
        <v>16.907470027666768</v>
      </c>
      <c r="AR38" s="1295">
        <f t="shared" si="9"/>
        <v>23.824451410658305</v>
      </c>
      <c r="AS38" s="1295">
        <f t="shared" si="10"/>
        <v>18.945374171139882</v>
      </c>
      <c r="AT38" s="1295">
        <f t="shared" si="11"/>
        <v>27.954256670902161</v>
      </c>
      <c r="AU38" s="1295">
        <f t="shared" si="12"/>
        <v>20.074119827053735</v>
      </c>
      <c r="AV38" s="1295">
        <f t="shared" si="13"/>
        <v>16.770892552586698</v>
      </c>
      <c r="AW38" s="1295">
        <f t="shared" si="14"/>
        <v>16.078984485190411</v>
      </c>
      <c r="AX38" s="1569">
        <f t="shared" si="15"/>
        <v>14.663599769982749</v>
      </c>
      <c r="AY38" s="1572">
        <f t="shared" si="16"/>
        <v>11.124121779859484</v>
      </c>
    </row>
    <row r="39" spans="1:51" s="142" customFormat="1" ht="15.75" customHeight="1" x14ac:dyDescent="0.2">
      <c r="A39" s="149" t="s">
        <v>86</v>
      </c>
      <c r="B39" s="189" t="s">
        <v>87</v>
      </c>
      <c r="C39" s="150" t="s">
        <v>267</v>
      </c>
      <c r="D39" s="1239">
        <v>89</v>
      </c>
      <c r="E39" s="1240">
        <v>81</v>
      </c>
      <c r="F39" s="1241">
        <v>90</v>
      </c>
      <c r="G39" s="1240">
        <v>81</v>
      </c>
      <c r="H39" s="1241">
        <v>75</v>
      </c>
      <c r="I39" s="1240">
        <v>88</v>
      </c>
      <c r="J39" s="1241">
        <v>75</v>
      </c>
      <c r="K39" s="1240">
        <v>99</v>
      </c>
      <c r="L39" s="1254">
        <v>81</v>
      </c>
      <c r="M39" s="1254">
        <v>103</v>
      </c>
      <c r="N39" s="1254">
        <v>89</v>
      </c>
      <c r="O39" s="1254">
        <v>96</v>
      </c>
      <c r="P39" s="1255">
        <v>74</v>
      </c>
      <c r="Q39" s="1255">
        <v>84</v>
      </c>
      <c r="R39" s="1556">
        <v>56</v>
      </c>
      <c r="S39" s="1557">
        <f>'Teen births'!D39</f>
        <v>47</v>
      </c>
      <c r="T39" s="1262">
        <v>3704</v>
      </c>
      <c r="U39" s="1263">
        <v>3779</v>
      </c>
      <c r="V39" s="1263">
        <v>4091</v>
      </c>
      <c r="W39" s="1263">
        <v>4162</v>
      </c>
      <c r="X39" s="1263">
        <v>4289</v>
      </c>
      <c r="Y39" s="1263">
        <v>4403</v>
      </c>
      <c r="Z39" s="1263">
        <v>4510</v>
      </c>
      <c r="AA39" s="1263">
        <v>4593</v>
      </c>
      <c r="AB39" s="1263">
        <v>4559</v>
      </c>
      <c r="AC39" s="1263">
        <v>4524</v>
      </c>
      <c r="AD39" s="1263">
        <v>4519</v>
      </c>
      <c r="AE39" s="1263">
        <v>5053</v>
      </c>
      <c r="AF39" s="1263">
        <v>5417</v>
      </c>
      <c r="AG39" s="1263">
        <v>5426</v>
      </c>
      <c r="AH39" s="1559">
        <v>5367</v>
      </c>
      <c r="AI39" s="1560">
        <f>'Teen births'!H39</f>
        <v>5392</v>
      </c>
      <c r="AJ39" s="1294">
        <f t="shared" si="1"/>
        <v>24.028077753779698</v>
      </c>
      <c r="AK39" s="1295">
        <f t="shared" si="2"/>
        <v>21.434241862926697</v>
      </c>
      <c r="AL39" s="1295">
        <f t="shared" si="3"/>
        <v>21.999511121975068</v>
      </c>
      <c r="AM39" s="1295">
        <f t="shared" si="4"/>
        <v>19.461797212878423</v>
      </c>
      <c r="AN39" s="1295">
        <f t="shared" si="5"/>
        <v>17.486593611564466</v>
      </c>
      <c r="AO39" s="1295">
        <f t="shared" si="6"/>
        <v>19.986372927549397</v>
      </c>
      <c r="AP39" s="1295">
        <f t="shared" si="7"/>
        <v>16.62971175166297</v>
      </c>
      <c r="AQ39" s="1295">
        <f t="shared" si="8"/>
        <v>21.554539516655783</v>
      </c>
      <c r="AR39" s="1295">
        <f t="shared" si="9"/>
        <v>17.767054178547927</v>
      </c>
      <c r="AS39" s="1295">
        <f t="shared" si="10"/>
        <v>22.767462422634836</v>
      </c>
      <c r="AT39" s="1295">
        <f t="shared" si="11"/>
        <v>19.694622704138084</v>
      </c>
      <c r="AU39" s="1295">
        <f t="shared" si="12"/>
        <v>18.998614684345934</v>
      </c>
      <c r="AV39" s="1295">
        <f t="shared" si="13"/>
        <v>13.660697803212111</v>
      </c>
      <c r="AW39" s="1295">
        <f t="shared" si="14"/>
        <v>15.481017323995577</v>
      </c>
      <c r="AX39" s="1569">
        <f t="shared" si="15"/>
        <v>10.434134525805851</v>
      </c>
      <c r="AY39" s="1572">
        <f t="shared" si="16"/>
        <v>8.7166172106824931</v>
      </c>
    </row>
    <row r="40" spans="1:51" s="142" customFormat="1" ht="15.75" customHeight="1" x14ac:dyDescent="0.2">
      <c r="A40" s="149" t="s">
        <v>92</v>
      </c>
      <c r="B40" s="189" t="s">
        <v>93</v>
      </c>
      <c r="C40" s="150" t="s">
        <v>268</v>
      </c>
      <c r="D40" s="1239">
        <v>32</v>
      </c>
      <c r="E40" s="1240">
        <v>24</v>
      </c>
      <c r="F40" s="1241">
        <v>32</v>
      </c>
      <c r="G40" s="1240">
        <v>23</v>
      </c>
      <c r="H40" s="1241">
        <v>26</v>
      </c>
      <c r="I40" s="1240">
        <v>20</v>
      </c>
      <c r="J40" s="1241">
        <v>23</v>
      </c>
      <c r="K40" s="1240">
        <v>9</v>
      </c>
      <c r="L40" s="1254">
        <v>20</v>
      </c>
      <c r="M40" s="1254">
        <v>25</v>
      </c>
      <c r="N40" s="1254">
        <v>28</v>
      </c>
      <c r="O40" s="1254">
        <v>22</v>
      </c>
      <c r="P40" s="1255">
        <v>27</v>
      </c>
      <c r="Q40" s="1255">
        <v>17</v>
      </c>
      <c r="R40" s="1556">
        <v>20</v>
      </c>
      <c r="S40" s="1557">
        <f>'Teen births'!D40</f>
        <v>8</v>
      </c>
      <c r="T40" s="1262">
        <v>905</v>
      </c>
      <c r="U40" s="1263">
        <v>889</v>
      </c>
      <c r="V40" s="1263">
        <v>977</v>
      </c>
      <c r="W40" s="1263">
        <v>982</v>
      </c>
      <c r="X40" s="1263">
        <v>990</v>
      </c>
      <c r="Y40" s="1263">
        <v>991</v>
      </c>
      <c r="Z40" s="1263">
        <v>999</v>
      </c>
      <c r="AA40" s="1263">
        <v>992</v>
      </c>
      <c r="AB40" s="1263">
        <v>972</v>
      </c>
      <c r="AC40" s="1263">
        <v>956</v>
      </c>
      <c r="AD40" s="1263">
        <v>931</v>
      </c>
      <c r="AE40" s="1263">
        <v>985</v>
      </c>
      <c r="AF40" s="1263">
        <v>1027</v>
      </c>
      <c r="AG40" s="1263">
        <v>970</v>
      </c>
      <c r="AH40" s="1559">
        <v>972</v>
      </c>
      <c r="AI40" s="1560">
        <f>'Teen births'!H40</f>
        <v>1021</v>
      </c>
      <c r="AJ40" s="1294">
        <f t="shared" si="1"/>
        <v>35.35911602209945</v>
      </c>
      <c r="AK40" s="1295">
        <f t="shared" si="2"/>
        <v>26.996625421822273</v>
      </c>
      <c r="AL40" s="1295">
        <f t="shared" si="3"/>
        <v>32.753326509723642</v>
      </c>
      <c r="AM40" s="1295">
        <f t="shared" si="4"/>
        <v>23.421588594704684</v>
      </c>
      <c r="AN40" s="1295">
        <f t="shared" si="5"/>
        <v>26.262626262626263</v>
      </c>
      <c r="AO40" s="1295">
        <f t="shared" si="6"/>
        <v>20.181634712411707</v>
      </c>
      <c r="AP40" s="1295">
        <f t="shared" si="7"/>
        <v>23.023023023023026</v>
      </c>
      <c r="AQ40" s="1295">
        <f t="shared" si="8"/>
        <v>9.0725806451612918</v>
      </c>
      <c r="AR40" s="1295">
        <f t="shared" si="9"/>
        <v>20.5761316872428</v>
      </c>
      <c r="AS40" s="1295">
        <f t="shared" si="10"/>
        <v>26.15062761506276</v>
      </c>
      <c r="AT40" s="1295">
        <f t="shared" si="11"/>
        <v>30.075187969924812</v>
      </c>
      <c r="AU40" s="1295">
        <f t="shared" si="12"/>
        <v>22.335025380710658</v>
      </c>
      <c r="AV40" s="1295">
        <f t="shared" si="13"/>
        <v>26.29016553067186</v>
      </c>
      <c r="AW40" s="1295">
        <f t="shared" si="14"/>
        <v>17.52577319587629</v>
      </c>
      <c r="AX40" s="1569">
        <f t="shared" si="15"/>
        <v>20.5761316872428</v>
      </c>
      <c r="AY40" s="1572">
        <f t="shared" si="16"/>
        <v>7.8354554358472086</v>
      </c>
    </row>
    <row r="41" spans="1:51" s="142" customFormat="1" ht="15.75" customHeight="1" x14ac:dyDescent="0.2">
      <c r="A41" s="149" t="s">
        <v>94</v>
      </c>
      <c r="B41" s="189" t="s">
        <v>95</v>
      </c>
      <c r="C41" s="150" t="s">
        <v>264</v>
      </c>
      <c r="D41" s="1239">
        <v>50</v>
      </c>
      <c r="E41" s="1240">
        <v>42</v>
      </c>
      <c r="F41" s="1241">
        <v>41</v>
      </c>
      <c r="G41" s="1240">
        <v>39</v>
      </c>
      <c r="H41" s="1241">
        <v>47</v>
      </c>
      <c r="I41" s="1240">
        <v>36</v>
      </c>
      <c r="J41" s="1241">
        <v>48</v>
      </c>
      <c r="K41" s="1240">
        <v>31</v>
      </c>
      <c r="L41" s="1254">
        <v>38</v>
      </c>
      <c r="M41" s="1254">
        <v>37</v>
      </c>
      <c r="N41" s="1254">
        <v>30</v>
      </c>
      <c r="O41" s="1254">
        <v>28</v>
      </c>
      <c r="P41" s="1255">
        <v>33</v>
      </c>
      <c r="Q41" s="1255">
        <v>28</v>
      </c>
      <c r="R41" s="1556">
        <v>26</v>
      </c>
      <c r="S41" s="1557">
        <f>'Teen births'!D41</f>
        <v>21</v>
      </c>
      <c r="T41" s="1262">
        <v>2873</v>
      </c>
      <c r="U41" s="1263">
        <v>2967</v>
      </c>
      <c r="V41" s="1263">
        <v>2600</v>
      </c>
      <c r="W41" s="1263">
        <v>2649</v>
      </c>
      <c r="X41" s="1263">
        <v>2649</v>
      </c>
      <c r="Y41" s="1263">
        <v>2660</v>
      </c>
      <c r="Z41" s="1263">
        <v>2679</v>
      </c>
      <c r="AA41" s="1263">
        <v>2623</v>
      </c>
      <c r="AB41" s="1263">
        <v>2521</v>
      </c>
      <c r="AC41" s="1263">
        <v>2476</v>
      </c>
      <c r="AD41" s="1263">
        <v>2424</v>
      </c>
      <c r="AE41" s="1263">
        <v>2565</v>
      </c>
      <c r="AF41" s="1263">
        <v>2374</v>
      </c>
      <c r="AG41" s="1263">
        <v>2313</v>
      </c>
      <c r="AH41" s="1559">
        <v>2240</v>
      </c>
      <c r="AI41" s="1560">
        <f>'Teen births'!H41</f>
        <v>2127</v>
      </c>
      <c r="AJ41" s="1294">
        <f t="shared" si="1"/>
        <v>17.40341106856944</v>
      </c>
      <c r="AK41" s="1295">
        <f t="shared" si="2"/>
        <v>14.155712841253791</v>
      </c>
      <c r="AL41" s="1295">
        <f t="shared" si="3"/>
        <v>15.769230769230768</v>
      </c>
      <c r="AM41" s="1295">
        <f t="shared" si="4"/>
        <v>14.722536806342015</v>
      </c>
      <c r="AN41" s="1295">
        <f t="shared" si="5"/>
        <v>17.742544356360892</v>
      </c>
      <c r="AO41" s="1295">
        <f t="shared" si="6"/>
        <v>13.533834586466165</v>
      </c>
      <c r="AP41" s="1295">
        <f t="shared" si="7"/>
        <v>17.917133258678611</v>
      </c>
      <c r="AQ41" s="1295">
        <f t="shared" si="8"/>
        <v>11.818528402592451</v>
      </c>
      <c r="AR41" s="1295">
        <f t="shared" si="9"/>
        <v>15.073383577945261</v>
      </c>
      <c r="AS41" s="1295">
        <f t="shared" si="10"/>
        <v>14.94345718901454</v>
      </c>
      <c r="AT41" s="1295">
        <f t="shared" si="11"/>
        <v>12.376237623762377</v>
      </c>
      <c r="AU41" s="1295">
        <f t="shared" si="12"/>
        <v>10.91617933723197</v>
      </c>
      <c r="AV41" s="1295">
        <f t="shared" si="13"/>
        <v>13.900589721988204</v>
      </c>
      <c r="AW41" s="1295">
        <f t="shared" si="14"/>
        <v>12.105490704712494</v>
      </c>
      <c r="AX41" s="1569">
        <f t="shared" si="15"/>
        <v>11.607142857142858</v>
      </c>
      <c r="AY41" s="1572">
        <f t="shared" si="16"/>
        <v>9.873060648801129</v>
      </c>
    </row>
    <row r="42" spans="1:51" s="142" customFormat="1" ht="15.75" customHeight="1" x14ac:dyDescent="0.2">
      <c r="A42" s="149" t="s">
        <v>96</v>
      </c>
      <c r="B42" s="189" t="s">
        <v>97</v>
      </c>
      <c r="C42" s="150" t="s">
        <v>266</v>
      </c>
      <c r="D42" s="1239">
        <v>13</v>
      </c>
      <c r="E42" s="1240">
        <v>10</v>
      </c>
      <c r="F42" s="1241">
        <v>12</v>
      </c>
      <c r="G42" s="1240">
        <v>12</v>
      </c>
      <c r="H42" s="1241">
        <v>8</v>
      </c>
      <c r="I42" s="1240">
        <v>8</v>
      </c>
      <c r="J42" s="1241">
        <v>4</v>
      </c>
      <c r="K42" s="1240">
        <v>11</v>
      </c>
      <c r="L42" s="1254">
        <v>16</v>
      </c>
      <c r="M42" s="1254">
        <v>7</v>
      </c>
      <c r="N42" s="1254">
        <v>10</v>
      </c>
      <c r="O42" s="1254">
        <v>10</v>
      </c>
      <c r="P42" s="1255">
        <v>8</v>
      </c>
      <c r="Q42" s="1255">
        <v>4</v>
      </c>
      <c r="R42" s="1556">
        <v>4</v>
      </c>
      <c r="S42" s="1557">
        <f>'Teen births'!D42</f>
        <v>7</v>
      </c>
      <c r="T42" s="1262">
        <v>862</v>
      </c>
      <c r="U42" s="1263">
        <v>874</v>
      </c>
      <c r="V42" s="1263">
        <v>934</v>
      </c>
      <c r="W42" s="1263">
        <v>967</v>
      </c>
      <c r="X42" s="1263">
        <v>999</v>
      </c>
      <c r="Y42" s="1263">
        <v>1030</v>
      </c>
      <c r="Z42" s="1263">
        <v>1055</v>
      </c>
      <c r="AA42" s="1263">
        <v>1067</v>
      </c>
      <c r="AB42" s="1263">
        <v>1097</v>
      </c>
      <c r="AC42" s="1263">
        <v>1116</v>
      </c>
      <c r="AD42" s="1263">
        <v>1103</v>
      </c>
      <c r="AE42" s="1263">
        <v>1163</v>
      </c>
      <c r="AF42" s="1263">
        <v>1204</v>
      </c>
      <c r="AG42" s="1263">
        <v>1229</v>
      </c>
      <c r="AH42" s="1559">
        <v>1258</v>
      </c>
      <c r="AI42" s="1560">
        <f>'Teen births'!H42</f>
        <v>1271</v>
      </c>
      <c r="AJ42" s="1294">
        <f t="shared" si="1"/>
        <v>15.081206496519721</v>
      </c>
      <c r="AK42" s="1295">
        <f t="shared" si="2"/>
        <v>11.441647597254004</v>
      </c>
      <c r="AL42" s="1295">
        <f t="shared" si="3"/>
        <v>12.847965738758029</v>
      </c>
      <c r="AM42" s="1295">
        <f t="shared" si="4"/>
        <v>12.409513960703205</v>
      </c>
      <c r="AN42" s="1295">
        <f t="shared" si="5"/>
        <v>8.0080080080080087</v>
      </c>
      <c r="AO42" s="1295">
        <f t="shared" si="6"/>
        <v>7.766990291262136</v>
      </c>
      <c r="AP42" s="1295">
        <f t="shared" si="7"/>
        <v>3.7914691943127963</v>
      </c>
      <c r="AQ42" s="1295">
        <f t="shared" si="8"/>
        <v>10.309278350515465</v>
      </c>
      <c r="AR42" s="1295">
        <f t="shared" si="9"/>
        <v>14.585232452142206</v>
      </c>
      <c r="AS42" s="1295">
        <f t="shared" si="10"/>
        <v>6.2724014336917566</v>
      </c>
      <c r="AT42" s="1295">
        <f t="shared" si="11"/>
        <v>9.0661831368993653</v>
      </c>
      <c r="AU42" s="1295">
        <f t="shared" si="12"/>
        <v>8.5984522785898534</v>
      </c>
      <c r="AV42" s="1295">
        <f t="shared" si="13"/>
        <v>6.6445182724252492</v>
      </c>
      <c r="AW42" s="1295">
        <f t="shared" si="14"/>
        <v>3.2546786004882016</v>
      </c>
      <c r="AX42" s="1569">
        <f t="shared" si="15"/>
        <v>3.1796502384737679</v>
      </c>
      <c r="AY42" s="1572">
        <f t="shared" si="16"/>
        <v>5.5074744295830058</v>
      </c>
    </row>
    <row r="43" spans="1:51" s="142" customFormat="1" ht="15.75" customHeight="1" x14ac:dyDescent="0.2">
      <c r="A43" s="149" t="s">
        <v>98</v>
      </c>
      <c r="B43" s="189" t="s">
        <v>99</v>
      </c>
      <c r="C43" s="150" t="s">
        <v>268</v>
      </c>
      <c r="D43" s="1239">
        <v>28</v>
      </c>
      <c r="E43" s="1240">
        <v>22</v>
      </c>
      <c r="F43" s="1241">
        <v>22</v>
      </c>
      <c r="G43" s="1240">
        <v>18</v>
      </c>
      <c r="H43" s="1241">
        <v>22</v>
      </c>
      <c r="I43" s="1240">
        <v>17</v>
      </c>
      <c r="J43" s="1241">
        <v>20</v>
      </c>
      <c r="K43" s="1240">
        <v>23</v>
      </c>
      <c r="L43" s="1254">
        <v>28</v>
      </c>
      <c r="M43" s="1254">
        <v>26</v>
      </c>
      <c r="N43" s="1254">
        <v>26</v>
      </c>
      <c r="O43" s="1254">
        <v>17</v>
      </c>
      <c r="P43" s="1255">
        <v>22</v>
      </c>
      <c r="Q43" s="1255">
        <v>13</v>
      </c>
      <c r="R43" s="1556">
        <v>12</v>
      </c>
      <c r="S43" s="1557">
        <f>'Teen births'!D43</f>
        <v>20</v>
      </c>
      <c r="T43" s="1262">
        <v>950</v>
      </c>
      <c r="U43" s="1263">
        <v>935</v>
      </c>
      <c r="V43" s="1263">
        <v>950</v>
      </c>
      <c r="W43" s="1263">
        <v>974</v>
      </c>
      <c r="X43" s="1263">
        <v>962</v>
      </c>
      <c r="Y43" s="1263">
        <v>974</v>
      </c>
      <c r="Z43" s="1263">
        <v>986</v>
      </c>
      <c r="AA43" s="1263">
        <v>965</v>
      </c>
      <c r="AB43" s="1263">
        <v>933</v>
      </c>
      <c r="AC43" s="1263">
        <v>906</v>
      </c>
      <c r="AD43" s="1263">
        <v>884</v>
      </c>
      <c r="AE43" s="1263">
        <v>895</v>
      </c>
      <c r="AF43" s="1263">
        <v>930</v>
      </c>
      <c r="AG43" s="1263">
        <v>883</v>
      </c>
      <c r="AH43" s="1559">
        <v>836</v>
      </c>
      <c r="AI43" s="1560">
        <f>'Teen births'!H43</f>
        <v>821</v>
      </c>
      <c r="AJ43" s="1294">
        <f t="shared" si="1"/>
        <v>29.473684210526315</v>
      </c>
      <c r="AK43" s="1295">
        <f t="shared" si="2"/>
        <v>23.52941176470588</v>
      </c>
      <c r="AL43" s="1295">
        <f t="shared" si="3"/>
        <v>23.157894736842106</v>
      </c>
      <c r="AM43" s="1295">
        <f t="shared" si="4"/>
        <v>18.480492813141684</v>
      </c>
      <c r="AN43" s="1295">
        <f t="shared" si="5"/>
        <v>22.869022869022871</v>
      </c>
      <c r="AO43" s="1295">
        <f t="shared" si="6"/>
        <v>17.453798767967143</v>
      </c>
      <c r="AP43" s="1295">
        <f t="shared" si="7"/>
        <v>20.28397565922921</v>
      </c>
      <c r="AQ43" s="1295">
        <f t="shared" si="8"/>
        <v>23.834196891191709</v>
      </c>
      <c r="AR43" s="1295">
        <f t="shared" si="9"/>
        <v>30.010718113612004</v>
      </c>
      <c r="AS43" s="1295">
        <f t="shared" si="10"/>
        <v>28.697571743929359</v>
      </c>
      <c r="AT43" s="1295">
        <f t="shared" si="11"/>
        <v>29.411764705882351</v>
      </c>
      <c r="AU43" s="1295">
        <f t="shared" si="12"/>
        <v>18.994413407821231</v>
      </c>
      <c r="AV43" s="1295">
        <f t="shared" si="13"/>
        <v>23.655913978494624</v>
      </c>
      <c r="AW43" s="1295">
        <f t="shared" si="14"/>
        <v>14.722536806342015</v>
      </c>
      <c r="AX43" s="1569">
        <f t="shared" si="15"/>
        <v>14.354066985645934</v>
      </c>
      <c r="AY43" s="1572">
        <f t="shared" si="16"/>
        <v>24.360535931790498</v>
      </c>
    </row>
    <row r="44" spans="1:51" s="142" customFormat="1" ht="15.75" customHeight="1" x14ac:dyDescent="0.2">
      <c r="A44" s="149" t="s">
        <v>100</v>
      </c>
      <c r="B44" s="189" t="s">
        <v>101</v>
      </c>
      <c r="C44" s="150" t="s">
        <v>267</v>
      </c>
      <c r="D44" s="1239">
        <v>22</v>
      </c>
      <c r="E44" s="1240">
        <v>22</v>
      </c>
      <c r="F44" s="1241">
        <v>25</v>
      </c>
      <c r="G44" s="1240">
        <v>27</v>
      </c>
      <c r="H44" s="1241">
        <v>29</v>
      </c>
      <c r="I44" s="1240">
        <v>30</v>
      </c>
      <c r="J44" s="1241">
        <v>21</v>
      </c>
      <c r="K44" s="1240">
        <v>26</v>
      </c>
      <c r="L44" s="1254">
        <v>38</v>
      </c>
      <c r="M44" s="1254">
        <v>18</v>
      </c>
      <c r="N44" s="1254">
        <v>20</v>
      </c>
      <c r="O44" s="1254">
        <v>16</v>
      </c>
      <c r="P44" s="1255">
        <v>11</v>
      </c>
      <c r="Q44" s="1255">
        <v>20</v>
      </c>
      <c r="R44" s="1556">
        <v>6</v>
      </c>
      <c r="S44" s="1557">
        <f>'Teen births'!D44</f>
        <v>10</v>
      </c>
      <c r="T44" s="1262">
        <v>811</v>
      </c>
      <c r="U44" s="1263">
        <v>832</v>
      </c>
      <c r="V44" s="1263">
        <v>1020</v>
      </c>
      <c r="W44" s="1263">
        <v>1063</v>
      </c>
      <c r="X44" s="1263">
        <v>1120</v>
      </c>
      <c r="Y44" s="1263">
        <v>1166</v>
      </c>
      <c r="Z44" s="1263">
        <v>1209</v>
      </c>
      <c r="AA44" s="1263">
        <v>1231</v>
      </c>
      <c r="AB44" s="1263">
        <v>1215</v>
      </c>
      <c r="AC44" s="1263">
        <v>1203</v>
      </c>
      <c r="AD44" s="1263">
        <v>1175</v>
      </c>
      <c r="AE44" s="1263">
        <v>1170</v>
      </c>
      <c r="AF44" s="1263">
        <v>1104</v>
      </c>
      <c r="AG44" s="1263">
        <v>1113</v>
      </c>
      <c r="AH44" s="1559">
        <v>1090</v>
      </c>
      <c r="AI44" s="1560">
        <f>'Teen births'!H44</f>
        <v>1078</v>
      </c>
      <c r="AJ44" s="1294">
        <f t="shared" si="1"/>
        <v>27.127003699136868</v>
      </c>
      <c r="AK44" s="1295">
        <f t="shared" si="2"/>
        <v>26.442307692307693</v>
      </c>
      <c r="AL44" s="1295">
        <f t="shared" si="3"/>
        <v>24.509803921568626</v>
      </c>
      <c r="AM44" s="1295">
        <f t="shared" si="4"/>
        <v>25.399811853245531</v>
      </c>
      <c r="AN44" s="1295">
        <f t="shared" si="5"/>
        <v>25.892857142857146</v>
      </c>
      <c r="AO44" s="1295">
        <f t="shared" si="6"/>
        <v>25.728987993138936</v>
      </c>
      <c r="AP44" s="1295">
        <f t="shared" si="7"/>
        <v>17.369727047146402</v>
      </c>
      <c r="AQ44" s="1295">
        <f t="shared" si="8"/>
        <v>21.121039805036556</v>
      </c>
      <c r="AR44" s="1295">
        <f t="shared" si="9"/>
        <v>31.275720164609055</v>
      </c>
      <c r="AS44" s="1295">
        <f t="shared" si="10"/>
        <v>14.962593516209475</v>
      </c>
      <c r="AT44" s="1295">
        <f t="shared" si="11"/>
        <v>17.021276595744681</v>
      </c>
      <c r="AU44" s="1295">
        <f t="shared" si="12"/>
        <v>13.675213675213675</v>
      </c>
      <c r="AV44" s="1295">
        <f t="shared" si="13"/>
        <v>9.9637681159420275</v>
      </c>
      <c r="AW44" s="1295">
        <f t="shared" si="14"/>
        <v>17.969451931716083</v>
      </c>
      <c r="AX44" s="1569">
        <f t="shared" si="15"/>
        <v>5.5045871559633035</v>
      </c>
      <c r="AY44" s="1572">
        <f t="shared" si="16"/>
        <v>9.2764378478664202</v>
      </c>
    </row>
    <row r="45" spans="1:51" s="142" customFormat="1" ht="15.75" customHeight="1" x14ac:dyDescent="0.2">
      <c r="A45" s="149" t="s">
        <v>102</v>
      </c>
      <c r="B45" s="189" t="s">
        <v>282</v>
      </c>
      <c r="C45" s="150" t="s">
        <v>264</v>
      </c>
      <c r="D45" s="1239">
        <v>32</v>
      </c>
      <c r="E45" s="1240">
        <v>31</v>
      </c>
      <c r="F45" s="1241">
        <v>31</v>
      </c>
      <c r="G45" s="1240">
        <v>25</v>
      </c>
      <c r="H45" s="1241">
        <v>45</v>
      </c>
      <c r="I45" s="1240">
        <v>23</v>
      </c>
      <c r="J45" s="1241">
        <v>25</v>
      </c>
      <c r="K45" s="1240">
        <v>39</v>
      </c>
      <c r="L45" s="1254">
        <v>44</v>
      </c>
      <c r="M45" s="1254">
        <v>42</v>
      </c>
      <c r="N45" s="1254">
        <v>44</v>
      </c>
      <c r="O45" s="1254">
        <v>31</v>
      </c>
      <c r="P45" s="1255">
        <v>38</v>
      </c>
      <c r="Q45" s="1255">
        <v>33</v>
      </c>
      <c r="R45" s="1556">
        <v>21</v>
      </c>
      <c r="S45" s="1557">
        <f>'Teen births'!D45</f>
        <v>25</v>
      </c>
      <c r="T45" s="1262">
        <v>994</v>
      </c>
      <c r="U45" s="1263">
        <v>991</v>
      </c>
      <c r="V45" s="1263">
        <v>1043</v>
      </c>
      <c r="W45" s="1263">
        <v>992</v>
      </c>
      <c r="X45" s="1263">
        <v>1005</v>
      </c>
      <c r="Y45" s="1263">
        <v>1011</v>
      </c>
      <c r="Z45" s="1263">
        <v>979</v>
      </c>
      <c r="AA45" s="1263">
        <v>936</v>
      </c>
      <c r="AB45" s="1263">
        <v>921</v>
      </c>
      <c r="AC45" s="1263">
        <v>882</v>
      </c>
      <c r="AD45" s="1263">
        <v>843</v>
      </c>
      <c r="AE45" s="1263">
        <v>916</v>
      </c>
      <c r="AF45" s="1263">
        <v>966</v>
      </c>
      <c r="AG45" s="1263">
        <v>946</v>
      </c>
      <c r="AH45" s="1559">
        <v>936</v>
      </c>
      <c r="AI45" s="1560">
        <f>'Teen births'!H45</f>
        <v>919</v>
      </c>
      <c r="AJ45" s="1294">
        <f t="shared" si="1"/>
        <v>32.193158953722339</v>
      </c>
      <c r="AK45" s="1295">
        <f t="shared" si="2"/>
        <v>31.281533804238141</v>
      </c>
      <c r="AL45" s="1295">
        <f t="shared" si="3"/>
        <v>29.721955896452542</v>
      </c>
      <c r="AM45" s="1295">
        <f t="shared" si="4"/>
        <v>25.201612903225804</v>
      </c>
      <c r="AN45" s="1295">
        <f t="shared" si="5"/>
        <v>44.776119402985074</v>
      </c>
      <c r="AO45" s="1295">
        <f t="shared" si="6"/>
        <v>22.74975272007913</v>
      </c>
      <c r="AP45" s="1295">
        <f t="shared" si="7"/>
        <v>25.536261491317671</v>
      </c>
      <c r="AQ45" s="1295">
        <f t="shared" si="8"/>
        <v>41.666666666666664</v>
      </c>
      <c r="AR45" s="1295">
        <f t="shared" si="9"/>
        <v>47.774158523344191</v>
      </c>
      <c r="AS45" s="1295">
        <f t="shared" si="10"/>
        <v>47.619047619047613</v>
      </c>
      <c r="AT45" s="1295">
        <f t="shared" si="11"/>
        <v>52.194543297746144</v>
      </c>
      <c r="AU45" s="1295">
        <f t="shared" si="12"/>
        <v>33.842794759825331</v>
      </c>
      <c r="AV45" s="1295">
        <f t="shared" si="13"/>
        <v>39.337474120082817</v>
      </c>
      <c r="AW45" s="1295">
        <f t="shared" si="14"/>
        <v>34.883720930232556</v>
      </c>
      <c r="AX45" s="1569">
        <f t="shared" si="15"/>
        <v>22.435897435897434</v>
      </c>
      <c r="AY45" s="1572">
        <f t="shared" si="16"/>
        <v>27.20348204570185</v>
      </c>
    </row>
    <row r="46" spans="1:51" s="142" customFormat="1" ht="15.75" customHeight="1" x14ac:dyDescent="0.2">
      <c r="A46" s="149" t="s">
        <v>104</v>
      </c>
      <c r="B46" s="189" t="s">
        <v>105</v>
      </c>
      <c r="C46" s="150" t="s">
        <v>265</v>
      </c>
      <c r="D46" s="1239">
        <v>65</v>
      </c>
      <c r="E46" s="1240">
        <v>84</v>
      </c>
      <c r="F46" s="1241">
        <v>68</v>
      </c>
      <c r="G46" s="1240">
        <v>51</v>
      </c>
      <c r="H46" s="1241">
        <v>55</v>
      </c>
      <c r="I46" s="1240">
        <v>69</v>
      </c>
      <c r="J46" s="1241">
        <v>66</v>
      </c>
      <c r="K46" s="1240">
        <v>44</v>
      </c>
      <c r="L46" s="1254">
        <v>52</v>
      </c>
      <c r="M46" s="1254">
        <v>65</v>
      </c>
      <c r="N46" s="1254">
        <v>54</v>
      </c>
      <c r="O46" s="1254">
        <v>51</v>
      </c>
      <c r="P46" s="1255">
        <v>52</v>
      </c>
      <c r="Q46" s="1255">
        <v>42</v>
      </c>
      <c r="R46" s="1556">
        <v>41</v>
      </c>
      <c r="S46" s="1557">
        <f>'Teen births'!D46</f>
        <v>52</v>
      </c>
      <c r="T46" s="1262">
        <v>2265</v>
      </c>
      <c r="U46" s="1263">
        <v>2235</v>
      </c>
      <c r="V46" s="1263">
        <v>2309</v>
      </c>
      <c r="W46" s="1263">
        <v>2286</v>
      </c>
      <c r="X46" s="1263">
        <v>2314</v>
      </c>
      <c r="Y46" s="1263">
        <v>2318</v>
      </c>
      <c r="Z46" s="1263">
        <v>2301</v>
      </c>
      <c r="AA46" s="1263">
        <v>2296</v>
      </c>
      <c r="AB46" s="1263">
        <v>2289</v>
      </c>
      <c r="AC46" s="1263">
        <v>2214</v>
      </c>
      <c r="AD46" s="1263">
        <v>2180</v>
      </c>
      <c r="AE46" s="1263">
        <v>2173</v>
      </c>
      <c r="AF46" s="1263">
        <v>2305</v>
      </c>
      <c r="AG46" s="1263">
        <v>2282</v>
      </c>
      <c r="AH46" s="1559">
        <v>2250</v>
      </c>
      <c r="AI46" s="1560">
        <f>'Teen births'!H46</f>
        <v>2139</v>
      </c>
      <c r="AJ46" s="1294">
        <f t="shared" si="1"/>
        <v>28.697571743929359</v>
      </c>
      <c r="AK46" s="1295">
        <f t="shared" si="2"/>
        <v>37.583892617449663</v>
      </c>
      <c r="AL46" s="1295">
        <f t="shared" si="3"/>
        <v>29.449978345604158</v>
      </c>
      <c r="AM46" s="1295">
        <f t="shared" si="4"/>
        <v>22.309711286089239</v>
      </c>
      <c r="AN46" s="1295">
        <f t="shared" si="5"/>
        <v>23.76836646499568</v>
      </c>
      <c r="AO46" s="1295">
        <f t="shared" si="6"/>
        <v>29.767040552200172</v>
      </c>
      <c r="AP46" s="1295">
        <f t="shared" si="7"/>
        <v>28.683181225554105</v>
      </c>
      <c r="AQ46" s="1295">
        <f t="shared" si="8"/>
        <v>19.16376306620209</v>
      </c>
      <c r="AR46" s="1295">
        <f t="shared" si="9"/>
        <v>22.717343818261249</v>
      </c>
      <c r="AS46" s="1295">
        <f t="shared" si="10"/>
        <v>29.358626919602528</v>
      </c>
      <c r="AT46" s="1295">
        <f t="shared" si="11"/>
        <v>24.770642201834864</v>
      </c>
      <c r="AU46" s="1295">
        <f t="shared" si="12"/>
        <v>23.469857340082832</v>
      </c>
      <c r="AV46" s="1295">
        <f t="shared" si="13"/>
        <v>22.559652928416487</v>
      </c>
      <c r="AW46" s="1295">
        <f t="shared" si="14"/>
        <v>18.404907975460123</v>
      </c>
      <c r="AX46" s="1569">
        <f t="shared" si="15"/>
        <v>18.222222222222221</v>
      </c>
      <c r="AY46" s="1572">
        <f t="shared" si="16"/>
        <v>24.310425432445069</v>
      </c>
    </row>
    <row r="47" spans="1:51" s="142" customFormat="1" ht="15.75" customHeight="1" x14ac:dyDescent="0.2">
      <c r="A47" s="149" t="s">
        <v>108</v>
      </c>
      <c r="B47" s="189" t="s">
        <v>109</v>
      </c>
      <c r="C47" s="150" t="s">
        <v>266</v>
      </c>
      <c r="D47" s="1239">
        <v>59</v>
      </c>
      <c r="E47" s="1240">
        <v>64</v>
      </c>
      <c r="F47" s="1241">
        <v>56</v>
      </c>
      <c r="G47" s="1240">
        <v>45</v>
      </c>
      <c r="H47" s="1241">
        <v>49</v>
      </c>
      <c r="I47" s="1240">
        <v>39</v>
      </c>
      <c r="J47" s="1241">
        <v>50</v>
      </c>
      <c r="K47" s="1240">
        <v>57</v>
      </c>
      <c r="L47" s="1254">
        <v>68</v>
      </c>
      <c r="M47" s="1254">
        <v>54</v>
      </c>
      <c r="N47" s="1254">
        <v>62</v>
      </c>
      <c r="O47" s="1254">
        <v>66</v>
      </c>
      <c r="P47" s="1255">
        <v>48</v>
      </c>
      <c r="Q47" s="1255">
        <v>41</v>
      </c>
      <c r="R47" s="1556">
        <v>39</v>
      </c>
      <c r="S47" s="1557">
        <f>'Teen births'!D47</f>
        <v>45</v>
      </c>
      <c r="T47" s="1262">
        <v>5327</v>
      </c>
      <c r="U47" s="1263">
        <v>5453</v>
      </c>
      <c r="V47" s="1263">
        <v>6290</v>
      </c>
      <c r="W47" s="1263">
        <v>6618</v>
      </c>
      <c r="X47" s="1263">
        <v>6797</v>
      </c>
      <c r="Y47" s="1263">
        <v>6917</v>
      </c>
      <c r="Z47" s="1263">
        <v>7073</v>
      </c>
      <c r="AA47" s="1263">
        <v>7144</v>
      </c>
      <c r="AB47" s="1263">
        <v>7059</v>
      </c>
      <c r="AC47" s="1263">
        <v>6982</v>
      </c>
      <c r="AD47" s="1263">
        <v>6835</v>
      </c>
      <c r="AE47" s="1263">
        <v>7327</v>
      </c>
      <c r="AF47" s="1263">
        <v>7287</v>
      </c>
      <c r="AG47" s="1263">
        <v>7272</v>
      </c>
      <c r="AH47" s="1559">
        <v>7304</v>
      </c>
      <c r="AI47" s="1560">
        <f>'Teen births'!H47</f>
        <v>7330</v>
      </c>
      <c r="AJ47" s="1294">
        <f t="shared" si="1"/>
        <v>11.075652337150366</v>
      </c>
      <c r="AK47" s="1295">
        <f t="shared" si="2"/>
        <v>11.736658719970658</v>
      </c>
      <c r="AL47" s="1295">
        <f t="shared" si="3"/>
        <v>8.9030206677265511</v>
      </c>
      <c r="AM47" s="1295">
        <f t="shared" si="4"/>
        <v>6.799637352674524</v>
      </c>
      <c r="AN47" s="1295">
        <f t="shared" si="5"/>
        <v>7.2090628218331618</v>
      </c>
      <c r="AO47" s="1295">
        <f t="shared" si="6"/>
        <v>5.6382824924100037</v>
      </c>
      <c r="AP47" s="1295">
        <f t="shared" si="7"/>
        <v>7.0691361515622795</v>
      </c>
      <c r="AQ47" s="1295">
        <f t="shared" si="8"/>
        <v>7.9787234042553186</v>
      </c>
      <c r="AR47" s="1295">
        <f t="shared" si="9"/>
        <v>9.6330925060206827</v>
      </c>
      <c r="AS47" s="1295">
        <f t="shared" si="10"/>
        <v>7.7341735892294468</v>
      </c>
      <c r="AT47" s="1295">
        <f t="shared" si="11"/>
        <v>9.0709583028529615</v>
      </c>
      <c r="AU47" s="1295">
        <f t="shared" si="12"/>
        <v>9.0077794458850828</v>
      </c>
      <c r="AV47" s="1295">
        <f t="shared" si="13"/>
        <v>6.5870728694936185</v>
      </c>
      <c r="AW47" s="1295">
        <f t="shared" si="14"/>
        <v>5.6380638063806376</v>
      </c>
      <c r="AX47" s="1569">
        <f t="shared" si="15"/>
        <v>5.3395399780941952</v>
      </c>
      <c r="AY47" s="1572">
        <f t="shared" si="16"/>
        <v>6.1391541609822644</v>
      </c>
    </row>
    <row r="48" spans="1:51" s="142" customFormat="1" ht="15.75" customHeight="1" x14ac:dyDescent="0.2">
      <c r="A48" s="149" t="s">
        <v>110</v>
      </c>
      <c r="B48" s="189" t="s">
        <v>111</v>
      </c>
      <c r="C48" s="150" t="s">
        <v>266</v>
      </c>
      <c r="D48" s="1239">
        <v>278</v>
      </c>
      <c r="E48" s="1240">
        <v>299</v>
      </c>
      <c r="F48" s="1241">
        <v>288</v>
      </c>
      <c r="G48" s="1240">
        <v>232</v>
      </c>
      <c r="H48" s="1241">
        <v>241</v>
      </c>
      <c r="I48" s="1240">
        <v>251</v>
      </c>
      <c r="J48" s="1241">
        <v>246</v>
      </c>
      <c r="K48" s="1240">
        <v>255</v>
      </c>
      <c r="L48" s="1254">
        <v>288</v>
      </c>
      <c r="M48" s="1254">
        <v>250</v>
      </c>
      <c r="N48" s="1254">
        <v>277</v>
      </c>
      <c r="O48" s="1254">
        <v>261</v>
      </c>
      <c r="P48" s="1255">
        <v>229</v>
      </c>
      <c r="Q48" s="1255">
        <v>193</v>
      </c>
      <c r="R48" s="1556">
        <v>171</v>
      </c>
      <c r="S48" s="1557">
        <f>'Teen births'!D48</f>
        <v>156</v>
      </c>
      <c r="T48" s="1262">
        <v>14928</v>
      </c>
      <c r="U48" s="1263">
        <v>15182</v>
      </c>
      <c r="V48" s="1263">
        <v>16294</v>
      </c>
      <c r="W48" s="1263">
        <v>16692</v>
      </c>
      <c r="X48" s="1263">
        <v>17018</v>
      </c>
      <c r="Y48" s="1263">
        <v>17379</v>
      </c>
      <c r="Z48" s="1263">
        <v>17843</v>
      </c>
      <c r="AA48" s="1263">
        <v>18146</v>
      </c>
      <c r="AB48" s="1263">
        <v>18174</v>
      </c>
      <c r="AC48" s="1263">
        <v>18477</v>
      </c>
      <c r="AD48" s="1263">
        <v>18441</v>
      </c>
      <c r="AE48" s="1263">
        <v>18333</v>
      </c>
      <c r="AF48" s="1263">
        <v>19484</v>
      </c>
      <c r="AG48" s="1263">
        <v>19490</v>
      </c>
      <c r="AH48" s="1559">
        <v>19605</v>
      </c>
      <c r="AI48" s="1560">
        <f>'Teen births'!H48</f>
        <v>19774</v>
      </c>
      <c r="AJ48" s="1294">
        <f t="shared" si="1"/>
        <v>18.622722400857448</v>
      </c>
      <c r="AK48" s="1295">
        <f t="shared" si="2"/>
        <v>19.694374917665655</v>
      </c>
      <c r="AL48" s="1295">
        <f t="shared" si="3"/>
        <v>17.675217871609181</v>
      </c>
      <c r="AM48" s="1295">
        <f t="shared" si="4"/>
        <v>13.898873711957823</v>
      </c>
      <c r="AN48" s="1295">
        <f t="shared" si="5"/>
        <v>14.161476084146198</v>
      </c>
      <c r="AO48" s="1295">
        <f t="shared" si="6"/>
        <v>14.442718223142874</v>
      </c>
      <c r="AP48" s="1295">
        <f t="shared" si="7"/>
        <v>13.786919240038111</v>
      </c>
      <c r="AQ48" s="1295">
        <f t="shared" si="8"/>
        <v>14.052683787060509</v>
      </c>
      <c r="AR48" s="1295">
        <f t="shared" si="9"/>
        <v>15.846814130075934</v>
      </c>
      <c r="AS48" s="1295">
        <f t="shared" si="10"/>
        <v>13.530335011094873</v>
      </c>
      <c r="AT48" s="1295">
        <f t="shared" si="11"/>
        <v>15.020877392766119</v>
      </c>
      <c r="AU48" s="1295">
        <f t="shared" si="12"/>
        <v>14.236622484045164</v>
      </c>
      <c r="AV48" s="1295">
        <f t="shared" si="13"/>
        <v>11.753233422295216</v>
      </c>
      <c r="AW48" s="1295">
        <f t="shared" si="14"/>
        <v>9.9025141097998972</v>
      </c>
      <c r="AX48" s="1569">
        <f t="shared" si="15"/>
        <v>8.7222647283856158</v>
      </c>
      <c r="AY48" s="1572">
        <f t="shared" si="16"/>
        <v>7.8891473652270667</v>
      </c>
    </row>
    <row r="49" spans="1:51" s="142" customFormat="1" ht="15.75" customHeight="1" x14ac:dyDescent="0.2">
      <c r="A49" s="149" t="s">
        <v>112</v>
      </c>
      <c r="B49" s="189" t="s">
        <v>300</v>
      </c>
      <c r="C49" s="150" t="s">
        <v>265</v>
      </c>
      <c r="D49" s="1239">
        <v>143</v>
      </c>
      <c r="E49" s="1240">
        <v>146</v>
      </c>
      <c r="F49" s="1241">
        <v>129</v>
      </c>
      <c r="G49" s="1240">
        <v>137</v>
      </c>
      <c r="H49" s="1241">
        <v>134</v>
      </c>
      <c r="I49" s="1240">
        <v>135</v>
      </c>
      <c r="J49" s="1241">
        <v>122</v>
      </c>
      <c r="K49" s="1240">
        <v>126</v>
      </c>
      <c r="L49" s="1254">
        <v>161</v>
      </c>
      <c r="M49" s="1254">
        <v>167</v>
      </c>
      <c r="N49" s="1254">
        <v>127</v>
      </c>
      <c r="O49" s="1254">
        <v>122</v>
      </c>
      <c r="P49" s="1255">
        <v>95</v>
      </c>
      <c r="Q49" s="1255">
        <v>82</v>
      </c>
      <c r="R49" s="1556">
        <v>71</v>
      </c>
      <c r="S49" s="1557">
        <f>'Teen births'!D49</f>
        <v>70</v>
      </c>
      <c r="T49" s="1262">
        <v>4535</v>
      </c>
      <c r="U49" s="1263">
        <v>4514</v>
      </c>
      <c r="V49" s="1263">
        <v>4685</v>
      </c>
      <c r="W49" s="1263">
        <v>4609</v>
      </c>
      <c r="X49" s="1263">
        <v>4566</v>
      </c>
      <c r="Y49" s="1263">
        <v>4484</v>
      </c>
      <c r="Z49" s="1263">
        <v>4445</v>
      </c>
      <c r="AA49" s="1263">
        <v>4461</v>
      </c>
      <c r="AB49" s="1263">
        <v>4357</v>
      </c>
      <c r="AC49" s="1263">
        <v>4171</v>
      </c>
      <c r="AD49" s="1263">
        <v>4053</v>
      </c>
      <c r="AE49" s="1263">
        <v>3913</v>
      </c>
      <c r="AF49" s="1263">
        <v>3941</v>
      </c>
      <c r="AG49" s="1263">
        <v>3777</v>
      </c>
      <c r="AH49" s="1559">
        <v>3765</v>
      </c>
      <c r="AI49" s="1560">
        <f>'Teen births'!H49</f>
        <v>3706</v>
      </c>
      <c r="AJ49" s="1294">
        <f t="shared" si="1"/>
        <v>31.532524807056227</v>
      </c>
      <c r="AK49" s="1295">
        <f t="shared" si="2"/>
        <v>32.343819229065133</v>
      </c>
      <c r="AL49" s="1295">
        <f t="shared" si="3"/>
        <v>27.534685165421557</v>
      </c>
      <c r="AM49" s="1295">
        <f t="shared" si="4"/>
        <v>29.724452158819698</v>
      </c>
      <c r="AN49" s="1295">
        <f t="shared" si="5"/>
        <v>29.347349978098993</v>
      </c>
      <c r="AO49" s="1295">
        <f t="shared" si="6"/>
        <v>30.107047279214985</v>
      </c>
      <c r="AP49" s="1295">
        <f t="shared" si="7"/>
        <v>27.446569178852645</v>
      </c>
      <c r="AQ49" s="1295">
        <f t="shared" si="8"/>
        <v>28.244788164088771</v>
      </c>
      <c r="AR49" s="1295">
        <f t="shared" si="9"/>
        <v>36.952031214138167</v>
      </c>
      <c r="AS49" s="1295">
        <f t="shared" si="10"/>
        <v>40.038360105490291</v>
      </c>
      <c r="AT49" s="1295">
        <f t="shared" si="11"/>
        <v>31.334813718233406</v>
      </c>
      <c r="AU49" s="1295">
        <f t="shared" si="12"/>
        <v>31.178124201380015</v>
      </c>
      <c r="AV49" s="1295">
        <f t="shared" si="13"/>
        <v>24.105556965237248</v>
      </c>
      <c r="AW49" s="1295">
        <f t="shared" si="14"/>
        <v>21.710352131321155</v>
      </c>
      <c r="AX49" s="1569">
        <f t="shared" si="15"/>
        <v>18.857901726427624</v>
      </c>
      <c r="AY49" s="1572">
        <f t="shared" si="16"/>
        <v>18.888289260658393</v>
      </c>
    </row>
    <row r="50" spans="1:51" s="142" customFormat="1" ht="15.75" customHeight="1" x14ac:dyDescent="0.2">
      <c r="A50" s="149" t="s">
        <v>114</v>
      </c>
      <c r="B50" s="189" t="s">
        <v>115</v>
      </c>
      <c r="C50" s="150" t="s">
        <v>265</v>
      </c>
      <c r="D50" s="1239">
        <v>0</v>
      </c>
      <c r="E50" s="1240">
        <v>0</v>
      </c>
      <c r="F50" s="1241">
        <v>0</v>
      </c>
      <c r="G50" s="1240">
        <v>0</v>
      </c>
      <c r="H50" s="1241">
        <v>1</v>
      </c>
      <c r="I50" s="1240">
        <v>0</v>
      </c>
      <c r="J50" s="1241">
        <v>1</v>
      </c>
      <c r="K50" s="1240">
        <v>1</v>
      </c>
      <c r="L50" s="1254">
        <v>0</v>
      </c>
      <c r="M50" s="1254">
        <v>0</v>
      </c>
      <c r="N50" s="1254">
        <v>2</v>
      </c>
      <c r="O50" s="1254">
        <v>0</v>
      </c>
      <c r="P50" s="1255">
        <v>0</v>
      </c>
      <c r="Q50" s="1255">
        <v>0</v>
      </c>
      <c r="R50" s="1556">
        <v>0</v>
      </c>
      <c r="S50" s="1557">
        <f>'Teen births'!D50</f>
        <v>0</v>
      </c>
      <c r="T50" s="1262">
        <v>133</v>
      </c>
      <c r="U50" s="1263">
        <v>130</v>
      </c>
      <c r="V50" s="1263">
        <v>143</v>
      </c>
      <c r="W50" s="1263">
        <v>150</v>
      </c>
      <c r="X50" s="1263">
        <v>151</v>
      </c>
      <c r="Y50" s="1263">
        <v>157</v>
      </c>
      <c r="Z50" s="1263">
        <v>149</v>
      </c>
      <c r="AA50" s="1263">
        <v>138</v>
      </c>
      <c r="AB50" s="1263">
        <v>135</v>
      </c>
      <c r="AC50" s="1263">
        <v>122</v>
      </c>
      <c r="AD50" s="1263">
        <v>119</v>
      </c>
      <c r="AE50" s="1263">
        <v>129</v>
      </c>
      <c r="AF50" s="1263">
        <v>114</v>
      </c>
      <c r="AG50" s="1263">
        <v>108</v>
      </c>
      <c r="AH50" s="1559">
        <v>99</v>
      </c>
      <c r="AI50" s="1560">
        <f>'Teen births'!H50</f>
        <v>93</v>
      </c>
      <c r="AJ50" s="1294">
        <f t="shared" si="1"/>
        <v>0</v>
      </c>
      <c r="AK50" s="1295">
        <f t="shared" si="2"/>
        <v>0</v>
      </c>
      <c r="AL50" s="1295">
        <f t="shared" si="3"/>
        <v>0</v>
      </c>
      <c r="AM50" s="1295">
        <f t="shared" si="4"/>
        <v>0</v>
      </c>
      <c r="AN50" s="1295">
        <f t="shared" si="5"/>
        <v>6.6225165562913908</v>
      </c>
      <c r="AO50" s="1295">
        <f t="shared" si="6"/>
        <v>0</v>
      </c>
      <c r="AP50" s="1295">
        <f t="shared" si="7"/>
        <v>6.7114093959731544</v>
      </c>
      <c r="AQ50" s="1295">
        <f t="shared" si="8"/>
        <v>7.2463768115942031</v>
      </c>
      <c r="AR50" s="1295">
        <f t="shared" si="9"/>
        <v>0</v>
      </c>
      <c r="AS50" s="1295">
        <f t="shared" si="10"/>
        <v>0</v>
      </c>
      <c r="AT50" s="1295">
        <f t="shared" si="11"/>
        <v>16.806722689075631</v>
      </c>
      <c r="AU50" s="1295">
        <f t="shared" si="12"/>
        <v>0</v>
      </c>
      <c r="AV50" s="1295">
        <f t="shared" si="13"/>
        <v>0</v>
      </c>
      <c r="AW50" s="1295">
        <f t="shared" si="14"/>
        <v>0</v>
      </c>
      <c r="AX50" s="1569">
        <f t="shared" si="15"/>
        <v>0</v>
      </c>
      <c r="AY50" s="1572">
        <f t="shared" si="16"/>
        <v>0</v>
      </c>
    </row>
    <row r="51" spans="1:51" s="142" customFormat="1" ht="15.75" customHeight="1" x14ac:dyDescent="0.2">
      <c r="A51" s="149" t="s">
        <v>118</v>
      </c>
      <c r="B51" s="189" t="s">
        <v>270</v>
      </c>
      <c r="C51" s="150" t="s">
        <v>264</v>
      </c>
      <c r="D51" s="1239">
        <v>39</v>
      </c>
      <c r="E51" s="1240">
        <v>43</v>
      </c>
      <c r="F51" s="1241">
        <v>35</v>
      </c>
      <c r="G51" s="1240">
        <v>31</v>
      </c>
      <c r="H51" s="1241">
        <v>44</v>
      </c>
      <c r="I51" s="1240">
        <v>40</v>
      </c>
      <c r="J51" s="1241">
        <v>34</v>
      </c>
      <c r="K51" s="1240">
        <v>40</v>
      </c>
      <c r="L51" s="1254">
        <v>33</v>
      </c>
      <c r="M51" s="1254">
        <v>26</v>
      </c>
      <c r="N51" s="1254">
        <v>24</v>
      </c>
      <c r="O51" s="1254">
        <v>32</v>
      </c>
      <c r="P51" s="1255">
        <v>25</v>
      </c>
      <c r="Q51" s="1255">
        <v>19</v>
      </c>
      <c r="R51" s="1556">
        <v>12</v>
      </c>
      <c r="S51" s="1557">
        <f>'Teen births'!D51</f>
        <v>14</v>
      </c>
      <c r="T51" s="1262">
        <v>1977</v>
      </c>
      <c r="U51" s="1263">
        <v>2019</v>
      </c>
      <c r="V51" s="1263">
        <v>1978</v>
      </c>
      <c r="W51" s="1263">
        <v>2030</v>
      </c>
      <c r="X51" s="1263">
        <v>2088</v>
      </c>
      <c r="Y51" s="1263">
        <v>2152</v>
      </c>
      <c r="Z51" s="1263">
        <v>2176</v>
      </c>
      <c r="AA51" s="1263">
        <v>2177</v>
      </c>
      <c r="AB51" s="1263">
        <v>2183</v>
      </c>
      <c r="AC51" s="1263">
        <v>2180</v>
      </c>
      <c r="AD51" s="1263">
        <v>2162</v>
      </c>
      <c r="AE51" s="1263">
        <v>2336</v>
      </c>
      <c r="AF51" s="1263">
        <v>2303</v>
      </c>
      <c r="AG51" s="1263">
        <v>2240</v>
      </c>
      <c r="AH51" s="1559">
        <v>2216</v>
      </c>
      <c r="AI51" s="1560">
        <f>'Teen births'!H51</f>
        <v>2194</v>
      </c>
      <c r="AJ51" s="1294">
        <f t="shared" si="1"/>
        <v>19.726858877086492</v>
      </c>
      <c r="AK51" s="1295">
        <f t="shared" si="2"/>
        <v>21.297672114908369</v>
      </c>
      <c r="AL51" s="1295">
        <f t="shared" si="3"/>
        <v>17.694641051567242</v>
      </c>
      <c r="AM51" s="1295">
        <f t="shared" si="4"/>
        <v>15.270935960591133</v>
      </c>
      <c r="AN51" s="1295">
        <f t="shared" si="5"/>
        <v>21.072796934865902</v>
      </c>
      <c r="AO51" s="1295">
        <f t="shared" si="6"/>
        <v>18.587360594795541</v>
      </c>
      <c r="AP51" s="1295">
        <f t="shared" si="7"/>
        <v>15.625</v>
      </c>
      <c r="AQ51" s="1295">
        <f t="shared" si="8"/>
        <v>18.373909049150207</v>
      </c>
      <c r="AR51" s="1295">
        <f t="shared" si="9"/>
        <v>15.116811726981219</v>
      </c>
      <c r="AS51" s="1295">
        <f t="shared" si="10"/>
        <v>11.926605504587156</v>
      </c>
      <c r="AT51" s="1295">
        <f t="shared" si="11"/>
        <v>11.100832562442182</v>
      </c>
      <c r="AU51" s="1295">
        <f t="shared" si="12"/>
        <v>13.698630136986301</v>
      </c>
      <c r="AV51" s="1295">
        <f t="shared" si="13"/>
        <v>10.855405992184108</v>
      </c>
      <c r="AW51" s="1295">
        <f t="shared" si="14"/>
        <v>8.4821428571428559</v>
      </c>
      <c r="AX51" s="1569">
        <f t="shared" si="15"/>
        <v>5.4151624548736459</v>
      </c>
      <c r="AY51" s="1572">
        <f t="shared" si="16"/>
        <v>6.381039197812215</v>
      </c>
    </row>
    <row r="52" spans="1:51" s="142" customFormat="1" ht="15.75" customHeight="1" x14ac:dyDescent="0.2">
      <c r="A52" s="149" t="s">
        <v>120</v>
      </c>
      <c r="B52" s="189" t="s">
        <v>121</v>
      </c>
      <c r="C52" s="150" t="s">
        <v>264</v>
      </c>
      <c r="D52" s="1239">
        <v>36</v>
      </c>
      <c r="E52" s="1240">
        <v>50</v>
      </c>
      <c r="F52" s="1241">
        <v>44</v>
      </c>
      <c r="G52" s="1240">
        <v>36</v>
      </c>
      <c r="H52" s="1241">
        <v>37</v>
      </c>
      <c r="I52" s="1240">
        <v>31</v>
      </c>
      <c r="J52" s="1241">
        <v>36</v>
      </c>
      <c r="K52" s="1240">
        <v>45</v>
      </c>
      <c r="L52" s="1254">
        <v>48</v>
      </c>
      <c r="M52" s="1254">
        <v>37</v>
      </c>
      <c r="N52" s="1254">
        <v>42</v>
      </c>
      <c r="O52" s="1254">
        <v>43</v>
      </c>
      <c r="P52" s="1255">
        <v>49</v>
      </c>
      <c r="Q52" s="1255">
        <v>41</v>
      </c>
      <c r="R52" s="1556">
        <v>36</v>
      </c>
      <c r="S52" s="1557">
        <f>'Teen births'!D52</f>
        <v>33</v>
      </c>
      <c r="T52" s="1262">
        <v>2769</v>
      </c>
      <c r="U52" s="1263">
        <v>2829</v>
      </c>
      <c r="V52" s="1263">
        <v>3000</v>
      </c>
      <c r="W52" s="1263">
        <v>3181</v>
      </c>
      <c r="X52" s="1263">
        <v>3293</v>
      </c>
      <c r="Y52" s="1263">
        <v>3365</v>
      </c>
      <c r="Z52" s="1263">
        <v>3483</v>
      </c>
      <c r="AA52" s="1263">
        <v>3470</v>
      </c>
      <c r="AB52" s="1263">
        <v>3452</v>
      </c>
      <c r="AC52" s="1263">
        <v>3519</v>
      </c>
      <c r="AD52" s="1263">
        <v>3505</v>
      </c>
      <c r="AE52" s="1263">
        <v>3940</v>
      </c>
      <c r="AF52" s="1263">
        <v>4025</v>
      </c>
      <c r="AG52" s="1263">
        <v>4099</v>
      </c>
      <c r="AH52" s="1559">
        <v>4102</v>
      </c>
      <c r="AI52" s="1560">
        <f>'Teen births'!H52</f>
        <v>4220</v>
      </c>
      <c r="AJ52" s="1294">
        <f t="shared" si="1"/>
        <v>13.001083423618635</v>
      </c>
      <c r="AK52" s="1295">
        <f t="shared" si="2"/>
        <v>17.674089784376108</v>
      </c>
      <c r="AL52" s="1295">
        <f t="shared" si="3"/>
        <v>14.666666666666666</v>
      </c>
      <c r="AM52" s="1295">
        <f t="shared" si="4"/>
        <v>11.317195850361522</v>
      </c>
      <c r="AN52" s="1295">
        <f t="shared" si="5"/>
        <v>11.235955056179774</v>
      </c>
      <c r="AO52" s="1295">
        <f t="shared" si="6"/>
        <v>9.212481426448738</v>
      </c>
      <c r="AP52" s="1295">
        <f t="shared" si="7"/>
        <v>10.335917312661499</v>
      </c>
      <c r="AQ52" s="1295">
        <f t="shared" si="8"/>
        <v>12.968299711815563</v>
      </c>
      <c r="AR52" s="1295">
        <f t="shared" si="9"/>
        <v>13.904982618771726</v>
      </c>
      <c r="AS52" s="1295">
        <f t="shared" si="10"/>
        <v>10.514350667803352</v>
      </c>
      <c r="AT52" s="1295">
        <f t="shared" si="11"/>
        <v>11.982881597717546</v>
      </c>
      <c r="AU52" s="1295">
        <f t="shared" si="12"/>
        <v>10.913705583756345</v>
      </c>
      <c r="AV52" s="1295">
        <f t="shared" si="13"/>
        <v>12.17391304347826</v>
      </c>
      <c r="AW52" s="1295">
        <f t="shared" si="14"/>
        <v>10.00243961941937</v>
      </c>
      <c r="AX52" s="1569">
        <f t="shared" si="15"/>
        <v>8.7762067284251586</v>
      </c>
      <c r="AY52" s="1572">
        <f t="shared" si="16"/>
        <v>7.8199052132701414</v>
      </c>
    </row>
    <row r="53" spans="1:51" s="142" customFormat="1" ht="15.75" customHeight="1" x14ac:dyDescent="0.2">
      <c r="A53" s="149" t="s">
        <v>122</v>
      </c>
      <c r="B53" s="189" t="s">
        <v>271</v>
      </c>
      <c r="C53" s="150" t="s">
        <v>266</v>
      </c>
      <c r="D53" s="1239">
        <v>9</v>
      </c>
      <c r="E53" s="1240">
        <v>6</v>
      </c>
      <c r="F53" s="1241">
        <v>12</v>
      </c>
      <c r="G53" s="1240">
        <v>1</v>
      </c>
      <c r="H53" s="1241">
        <v>8</v>
      </c>
      <c r="I53" s="1240">
        <v>8</v>
      </c>
      <c r="J53" s="1241">
        <v>9</v>
      </c>
      <c r="K53" s="1240">
        <v>10</v>
      </c>
      <c r="L53" s="1254">
        <v>15</v>
      </c>
      <c r="M53" s="1254">
        <v>7</v>
      </c>
      <c r="N53" s="1254">
        <v>13</v>
      </c>
      <c r="O53" s="1254">
        <v>4</v>
      </c>
      <c r="P53" s="1255">
        <v>8</v>
      </c>
      <c r="Q53" s="1255">
        <v>7</v>
      </c>
      <c r="R53" s="1556">
        <v>7</v>
      </c>
      <c r="S53" s="1557">
        <f>'Teen births'!D53</f>
        <v>7</v>
      </c>
      <c r="T53" s="1262">
        <v>408</v>
      </c>
      <c r="U53" s="1263">
        <v>405</v>
      </c>
      <c r="V53" s="1263">
        <v>411</v>
      </c>
      <c r="W53" s="1263">
        <v>405</v>
      </c>
      <c r="X53" s="1263">
        <v>401</v>
      </c>
      <c r="Y53" s="1263">
        <v>405</v>
      </c>
      <c r="Z53" s="1263">
        <v>404</v>
      </c>
      <c r="AA53" s="1263">
        <v>392</v>
      </c>
      <c r="AB53" s="1263">
        <v>393</v>
      </c>
      <c r="AC53" s="1263">
        <v>364</v>
      </c>
      <c r="AD53" s="1263">
        <v>355</v>
      </c>
      <c r="AE53" s="1263">
        <v>372</v>
      </c>
      <c r="AF53" s="1263">
        <v>388</v>
      </c>
      <c r="AG53" s="1263">
        <v>367</v>
      </c>
      <c r="AH53" s="1559">
        <v>366</v>
      </c>
      <c r="AI53" s="1560">
        <f>'Teen births'!H53</f>
        <v>386</v>
      </c>
      <c r="AJ53" s="1294">
        <f t="shared" si="1"/>
        <v>22.058823529411764</v>
      </c>
      <c r="AK53" s="1295">
        <f t="shared" si="2"/>
        <v>14.814814814814815</v>
      </c>
      <c r="AL53" s="1295">
        <f t="shared" si="3"/>
        <v>29.197080291970803</v>
      </c>
      <c r="AM53" s="1295">
        <f t="shared" si="4"/>
        <v>2.4691358024691357</v>
      </c>
      <c r="AN53" s="1295">
        <f t="shared" si="5"/>
        <v>19.950124688279303</v>
      </c>
      <c r="AO53" s="1295">
        <f t="shared" si="6"/>
        <v>19.753086419753085</v>
      </c>
      <c r="AP53" s="1295">
        <f t="shared" si="7"/>
        <v>22.277227722772277</v>
      </c>
      <c r="AQ53" s="1295">
        <f t="shared" si="8"/>
        <v>25.510204081632654</v>
      </c>
      <c r="AR53" s="1295">
        <f t="shared" si="9"/>
        <v>38.167938931297712</v>
      </c>
      <c r="AS53" s="1295">
        <f t="shared" si="10"/>
        <v>19.230769230769234</v>
      </c>
      <c r="AT53" s="1295">
        <f t="shared" si="11"/>
        <v>36.619718309859152</v>
      </c>
      <c r="AU53" s="1295">
        <f t="shared" si="12"/>
        <v>10.752688172043012</v>
      </c>
      <c r="AV53" s="1295">
        <f t="shared" si="13"/>
        <v>20.618556701030929</v>
      </c>
      <c r="AW53" s="1295">
        <f t="shared" si="14"/>
        <v>19.073569482288828</v>
      </c>
      <c r="AX53" s="1569">
        <f t="shared" si="15"/>
        <v>19.125683060109289</v>
      </c>
      <c r="AY53" s="1572">
        <f t="shared" si="16"/>
        <v>18.134715025906733</v>
      </c>
    </row>
    <row r="54" spans="1:51" s="142" customFormat="1" ht="15.75" customHeight="1" x14ac:dyDescent="0.2">
      <c r="A54" s="149" t="s">
        <v>124</v>
      </c>
      <c r="B54" s="189" t="s">
        <v>125</v>
      </c>
      <c r="C54" s="150" t="s">
        <v>267</v>
      </c>
      <c r="D54" s="1239">
        <v>25</v>
      </c>
      <c r="E54" s="1240">
        <v>25</v>
      </c>
      <c r="F54" s="1241">
        <v>26</v>
      </c>
      <c r="G54" s="1240">
        <v>27</v>
      </c>
      <c r="H54" s="1241">
        <v>29</v>
      </c>
      <c r="I54" s="1240">
        <v>35</v>
      </c>
      <c r="J54" s="1241">
        <v>29</v>
      </c>
      <c r="K54" s="1240">
        <v>26</v>
      </c>
      <c r="L54" s="1254">
        <v>20</v>
      </c>
      <c r="M54" s="1254">
        <v>24</v>
      </c>
      <c r="N54" s="1254">
        <v>38</v>
      </c>
      <c r="O54" s="1254">
        <v>20</v>
      </c>
      <c r="P54" s="1255">
        <v>18</v>
      </c>
      <c r="Q54" s="1255">
        <v>23</v>
      </c>
      <c r="R54" s="1556">
        <v>28</v>
      </c>
      <c r="S54" s="1557">
        <f>'Teen births'!D54</f>
        <v>14</v>
      </c>
      <c r="T54" s="1262">
        <v>1213</v>
      </c>
      <c r="U54" s="1263">
        <v>1245</v>
      </c>
      <c r="V54" s="1263">
        <v>1181</v>
      </c>
      <c r="W54" s="1263">
        <v>1228</v>
      </c>
      <c r="X54" s="1263">
        <v>1241</v>
      </c>
      <c r="Y54" s="1263">
        <v>1277</v>
      </c>
      <c r="Z54" s="1263">
        <v>1354</v>
      </c>
      <c r="AA54" s="1263">
        <v>1400</v>
      </c>
      <c r="AB54" s="1263">
        <v>1446</v>
      </c>
      <c r="AC54" s="1263">
        <v>1517</v>
      </c>
      <c r="AD54" s="1263">
        <v>1526</v>
      </c>
      <c r="AE54" s="1263">
        <v>1679</v>
      </c>
      <c r="AF54" s="1263">
        <v>1660</v>
      </c>
      <c r="AG54" s="1263">
        <v>1718</v>
      </c>
      <c r="AH54" s="1559">
        <v>1687</v>
      </c>
      <c r="AI54" s="1560">
        <f>'Teen births'!H54</f>
        <v>1716</v>
      </c>
      <c r="AJ54" s="1294">
        <f t="shared" si="1"/>
        <v>20.610057708161584</v>
      </c>
      <c r="AK54" s="1295">
        <f t="shared" si="2"/>
        <v>20.080321285140563</v>
      </c>
      <c r="AL54" s="1295">
        <f t="shared" si="3"/>
        <v>22.01524132091448</v>
      </c>
      <c r="AM54" s="1295">
        <f t="shared" si="4"/>
        <v>21.986970684039086</v>
      </c>
      <c r="AN54" s="1295">
        <f t="shared" si="5"/>
        <v>23.368251410153103</v>
      </c>
      <c r="AO54" s="1295">
        <f t="shared" si="6"/>
        <v>27.4079874706343</v>
      </c>
      <c r="AP54" s="1295">
        <f t="shared" si="7"/>
        <v>21.418020679468242</v>
      </c>
      <c r="AQ54" s="1295">
        <f t="shared" si="8"/>
        <v>18.571428571428573</v>
      </c>
      <c r="AR54" s="1295">
        <f t="shared" si="9"/>
        <v>13.831258644536652</v>
      </c>
      <c r="AS54" s="1295">
        <f t="shared" si="10"/>
        <v>15.820698747528017</v>
      </c>
      <c r="AT54" s="1295">
        <f t="shared" si="11"/>
        <v>24.901703800786368</v>
      </c>
      <c r="AU54" s="1295">
        <f t="shared" si="12"/>
        <v>11.911852293031567</v>
      </c>
      <c r="AV54" s="1295">
        <f t="shared" si="13"/>
        <v>10.843373493975903</v>
      </c>
      <c r="AW54" s="1295">
        <f t="shared" si="14"/>
        <v>13.387660069848661</v>
      </c>
      <c r="AX54" s="1569">
        <f t="shared" si="15"/>
        <v>16.597510373443985</v>
      </c>
      <c r="AY54" s="1572">
        <f t="shared" si="16"/>
        <v>8.1585081585081589</v>
      </c>
    </row>
    <row r="55" spans="1:51" s="142" customFormat="1" ht="15.75" customHeight="1" x14ac:dyDescent="0.2">
      <c r="A55" s="149" t="s">
        <v>126</v>
      </c>
      <c r="B55" s="189" t="s">
        <v>127</v>
      </c>
      <c r="C55" s="150" t="s">
        <v>266</v>
      </c>
      <c r="D55" s="1239">
        <v>17</v>
      </c>
      <c r="E55" s="1240">
        <v>18</v>
      </c>
      <c r="F55" s="1241">
        <v>30</v>
      </c>
      <c r="G55" s="1240">
        <v>11</v>
      </c>
      <c r="H55" s="1241">
        <v>18</v>
      </c>
      <c r="I55" s="1240">
        <v>15</v>
      </c>
      <c r="J55" s="1241">
        <v>17</v>
      </c>
      <c r="K55" s="1240">
        <v>12</v>
      </c>
      <c r="L55" s="1254">
        <v>10</v>
      </c>
      <c r="M55" s="1254">
        <v>14</v>
      </c>
      <c r="N55" s="1254">
        <v>13</v>
      </c>
      <c r="O55" s="1254">
        <v>23</v>
      </c>
      <c r="P55" s="1255">
        <v>17</v>
      </c>
      <c r="Q55" s="1255">
        <v>13</v>
      </c>
      <c r="R55" s="1556">
        <v>7</v>
      </c>
      <c r="S55" s="1557">
        <f>'Teen births'!D55</f>
        <v>10</v>
      </c>
      <c r="T55" s="1262">
        <v>882</v>
      </c>
      <c r="U55" s="1263">
        <v>898</v>
      </c>
      <c r="V55" s="1263">
        <v>895</v>
      </c>
      <c r="W55" s="1263">
        <v>914</v>
      </c>
      <c r="X55" s="1263">
        <v>934</v>
      </c>
      <c r="Y55" s="1263">
        <v>944</v>
      </c>
      <c r="Z55" s="1263">
        <v>943</v>
      </c>
      <c r="AA55" s="1263">
        <v>961</v>
      </c>
      <c r="AB55" s="1263">
        <v>962</v>
      </c>
      <c r="AC55" s="1263">
        <v>981</v>
      </c>
      <c r="AD55" s="1263">
        <v>974</v>
      </c>
      <c r="AE55" s="1263">
        <v>1081</v>
      </c>
      <c r="AF55" s="1263">
        <v>1069</v>
      </c>
      <c r="AG55" s="1263">
        <v>1075</v>
      </c>
      <c r="AH55" s="1559">
        <v>1032</v>
      </c>
      <c r="AI55" s="1560">
        <f>'Teen births'!H55</f>
        <v>1020</v>
      </c>
      <c r="AJ55" s="1294">
        <f t="shared" si="1"/>
        <v>19.274376417233558</v>
      </c>
      <c r="AK55" s="1295">
        <f t="shared" si="2"/>
        <v>20.044543429844101</v>
      </c>
      <c r="AL55" s="1295">
        <f t="shared" si="3"/>
        <v>33.519553072625698</v>
      </c>
      <c r="AM55" s="1295">
        <f t="shared" si="4"/>
        <v>12.035010940919038</v>
      </c>
      <c r="AN55" s="1295">
        <f t="shared" si="5"/>
        <v>19.271948608137045</v>
      </c>
      <c r="AO55" s="1295">
        <f t="shared" si="6"/>
        <v>15.889830508474576</v>
      </c>
      <c r="AP55" s="1295">
        <f t="shared" si="7"/>
        <v>18.027571580063629</v>
      </c>
      <c r="AQ55" s="1295">
        <f t="shared" si="8"/>
        <v>12.486992715920914</v>
      </c>
      <c r="AR55" s="1295">
        <f t="shared" si="9"/>
        <v>10.395010395010395</v>
      </c>
      <c r="AS55" s="1295">
        <f t="shared" si="10"/>
        <v>14.271151885830784</v>
      </c>
      <c r="AT55" s="1295">
        <f t="shared" si="11"/>
        <v>13.347022587268993</v>
      </c>
      <c r="AU55" s="1295">
        <f t="shared" si="12"/>
        <v>21.276595744680851</v>
      </c>
      <c r="AV55" s="1295">
        <f t="shared" si="13"/>
        <v>15.902712815715622</v>
      </c>
      <c r="AW55" s="1295">
        <f t="shared" si="14"/>
        <v>12.093023255813954</v>
      </c>
      <c r="AX55" s="1569">
        <f t="shared" si="15"/>
        <v>6.7829457364341081</v>
      </c>
      <c r="AY55" s="1572">
        <f t="shared" si="16"/>
        <v>9.8039215686274517</v>
      </c>
    </row>
    <row r="56" spans="1:51" s="142" customFormat="1" ht="15.75" customHeight="1" x14ac:dyDescent="0.2">
      <c r="A56" s="149" t="s">
        <v>128</v>
      </c>
      <c r="B56" s="189" t="s">
        <v>129</v>
      </c>
      <c r="C56" s="150" t="s">
        <v>266</v>
      </c>
      <c r="D56" s="1239">
        <v>22</v>
      </c>
      <c r="E56" s="1240">
        <v>19</v>
      </c>
      <c r="F56" s="1241">
        <v>23</v>
      </c>
      <c r="G56" s="1240">
        <v>25</v>
      </c>
      <c r="H56" s="1241">
        <v>20</v>
      </c>
      <c r="I56" s="1240">
        <v>12</v>
      </c>
      <c r="J56" s="1241">
        <v>16</v>
      </c>
      <c r="K56" s="1240">
        <v>13</v>
      </c>
      <c r="L56" s="1254">
        <v>11</v>
      </c>
      <c r="M56" s="1254">
        <v>12</v>
      </c>
      <c r="N56" s="1254">
        <v>9</v>
      </c>
      <c r="O56" s="1254">
        <v>9</v>
      </c>
      <c r="P56" s="1255">
        <v>9</v>
      </c>
      <c r="Q56" s="1255">
        <v>12</v>
      </c>
      <c r="R56" s="1556">
        <v>4</v>
      </c>
      <c r="S56" s="1557">
        <f>'Teen births'!D56</f>
        <v>8</v>
      </c>
      <c r="T56" s="1262">
        <v>651</v>
      </c>
      <c r="U56" s="1263">
        <v>656</v>
      </c>
      <c r="V56" s="1263">
        <v>639</v>
      </c>
      <c r="W56" s="1263">
        <v>651</v>
      </c>
      <c r="X56" s="1263">
        <v>638</v>
      </c>
      <c r="Y56" s="1263">
        <v>627</v>
      </c>
      <c r="Z56" s="1263">
        <v>598</v>
      </c>
      <c r="AA56" s="1263">
        <v>557</v>
      </c>
      <c r="AB56" s="1263">
        <v>532</v>
      </c>
      <c r="AC56" s="1263">
        <v>531</v>
      </c>
      <c r="AD56" s="1263">
        <v>512</v>
      </c>
      <c r="AE56" s="1263">
        <v>494</v>
      </c>
      <c r="AF56" s="1263">
        <v>510</v>
      </c>
      <c r="AG56" s="1263">
        <v>505</v>
      </c>
      <c r="AH56" s="1559">
        <v>480</v>
      </c>
      <c r="AI56" s="1560">
        <f>'Teen births'!H56</f>
        <v>474</v>
      </c>
      <c r="AJ56" s="1294">
        <f t="shared" si="1"/>
        <v>33.794162826420894</v>
      </c>
      <c r="AK56" s="1295">
        <f t="shared" si="2"/>
        <v>28.963414634146343</v>
      </c>
      <c r="AL56" s="1295">
        <f t="shared" si="3"/>
        <v>35.993740219092331</v>
      </c>
      <c r="AM56" s="1295">
        <f t="shared" si="4"/>
        <v>38.402457757296467</v>
      </c>
      <c r="AN56" s="1295">
        <f t="shared" si="5"/>
        <v>31.347962382445139</v>
      </c>
      <c r="AO56" s="1295">
        <f t="shared" si="6"/>
        <v>19.138755980861244</v>
      </c>
      <c r="AP56" s="1295">
        <f t="shared" si="7"/>
        <v>26.755852842809364</v>
      </c>
      <c r="AQ56" s="1295">
        <f t="shared" si="8"/>
        <v>23.339317773788149</v>
      </c>
      <c r="AR56" s="1295">
        <f t="shared" si="9"/>
        <v>20.676691729323306</v>
      </c>
      <c r="AS56" s="1295">
        <f t="shared" si="10"/>
        <v>22.598870056497177</v>
      </c>
      <c r="AT56" s="1295">
        <f t="shared" si="11"/>
        <v>17.578125</v>
      </c>
      <c r="AU56" s="1295">
        <f t="shared" si="12"/>
        <v>18.218623481781375</v>
      </c>
      <c r="AV56" s="1295">
        <f t="shared" si="13"/>
        <v>17.647058823529413</v>
      </c>
      <c r="AW56" s="1295">
        <f t="shared" si="14"/>
        <v>23.762376237623762</v>
      </c>
      <c r="AX56" s="1569">
        <f t="shared" si="15"/>
        <v>8.3333333333333339</v>
      </c>
      <c r="AY56" s="1572">
        <f t="shared" si="16"/>
        <v>16.877637130801688</v>
      </c>
    </row>
    <row r="57" spans="1:51" s="142" customFormat="1" ht="15.75" customHeight="1" x14ac:dyDescent="0.2">
      <c r="A57" s="149" t="s">
        <v>130</v>
      </c>
      <c r="B57" s="189" t="s">
        <v>131</v>
      </c>
      <c r="C57" s="150" t="s">
        <v>268</v>
      </c>
      <c r="D57" s="1239">
        <v>52</v>
      </c>
      <c r="E57" s="1240">
        <v>41</v>
      </c>
      <c r="F57" s="1241">
        <v>37</v>
      </c>
      <c r="G57" s="1240">
        <v>28</v>
      </c>
      <c r="H57" s="1241">
        <v>31</v>
      </c>
      <c r="I57" s="1240">
        <v>33</v>
      </c>
      <c r="J57" s="1241">
        <v>38</v>
      </c>
      <c r="K57" s="1240">
        <v>37</v>
      </c>
      <c r="L57" s="1254">
        <v>40</v>
      </c>
      <c r="M57" s="1254">
        <v>50</v>
      </c>
      <c r="N57" s="1254">
        <v>37</v>
      </c>
      <c r="O57" s="1254">
        <v>40</v>
      </c>
      <c r="P57" s="1255">
        <v>42</v>
      </c>
      <c r="Q57" s="1255">
        <v>38</v>
      </c>
      <c r="R57" s="1556">
        <v>42</v>
      </c>
      <c r="S57" s="1557">
        <f>'Teen births'!D57</f>
        <v>25</v>
      </c>
      <c r="T57" s="1262">
        <v>1639</v>
      </c>
      <c r="U57" s="1263">
        <v>1597</v>
      </c>
      <c r="V57" s="1263">
        <v>1533</v>
      </c>
      <c r="W57" s="1263">
        <v>1505</v>
      </c>
      <c r="X57" s="1263">
        <v>1496</v>
      </c>
      <c r="Y57" s="1263">
        <v>1501</v>
      </c>
      <c r="Z57" s="1263">
        <v>1494</v>
      </c>
      <c r="AA57" s="1263">
        <v>1487</v>
      </c>
      <c r="AB57" s="1263">
        <v>1427</v>
      </c>
      <c r="AC57" s="1263">
        <v>1382</v>
      </c>
      <c r="AD57" s="1263">
        <v>1342</v>
      </c>
      <c r="AE57" s="1263">
        <v>1427</v>
      </c>
      <c r="AF57" s="1263">
        <v>1452</v>
      </c>
      <c r="AG57" s="1263">
        <v>1382</v>
      </c>
      <c r="AH57" s="1559">
        <v>1350</v>
      </c>
      <c r="AI57" s="1560">
        <f>'Teen births'!H57</f>
        <v>1280</v>
      </c>
      <c r="AJ57" s="1294">
        <f t="shared" si="1"/>
        <v>31.726662599145818</v>
      </c>
      <c r="AK57" s="1295">
        <f t="shared" si="2"/>
        <v>25.673137132122733</v>
      </c>
      <c r="AL57" s="1295">
        <f t="shared" si="3"/>
        <v>24.135681669928243</v>
      </c>
      <c r="AM57" s="1295">
        <f t="shared" si="4"/>
        <v>18.604651162790699</v>
      </c>
      <c r="AN57" s="1295">
        <f t="shared" si="5"/>
        <v>20.72192513368984</v>
      </c>
      <c r="AO57" s="1295">
        <f t="shared" si="6"/>
        <v>21.985343104596936</v>
      </c>
      <c r="AP57" s="1295">
        <f t="shared" si="7"/>
        <v>25.435073627844712</v>
      </c>
      <c r="AQ57" s="1295">
        <f t="shared" si="8"/>
        <v>24.882313382649631</v>
      </c>
      <c r="AR57" s="1295">
        <f t="shared" si="9"/>
        <v>28.030833917309039</v>
      </c>
      <c r="AS57" s="1295">
        <f t="shared" si="10"/>
        <v>36.179450072358897</v>
      </c>
      <c r="AT57" s="1295">
        <f t="shared" si="11"/>
        <v>27.570789865871834</v>
      </c>
      <c r="AU57" s="1295">
        <f t="shared" si="12"/>
        <v>28.030833917309039</v>
      </c>
      <c r="AV57" s="1295">
        <f t="shared" si="13"/>
        <v>28.925619834710744</v>
      </c>
      <c r="AW57" s="1295">
        <f t="shared" si="14"/>
        <v>27.496382054992765</v>
      </c>
      <c r="AX57" s="1569">
        <f t="shared" si="15"/>
        <v>31.111111111111111</v>
      </c>
      <c r="AY57" s="1572">
        <f t="shared" si="16"/>
        <v>19.53125</v>
      </c>
    </row>
    <row r="58" spans="1:51" s="142" customFormat="1" ht="15.75" customHeight="1" x14ac:dyDescent="0.2">
      <c r="A58" s="149" t="s">
        <v>132</v>
      </c>
      <c r="B58" s="189" t="s">
        <v>133</v>
      </c>
      <c r="C58" s="150" t="s">
        <v>267</v>
      </c>
      <c r="D58" s="1239">
        <v>91</v>
      </c>
      <c r="E58" s="1240">
        <v>107</v>
      </c>
      <c r="F58" s="1241">
        <v>105</v>
      </c>
      <c r="G58" s="1240">
        <v>93</v>
      </c>
      <c r="H58" s="1241">
        <v>103</v>
      </c>
      <c r="I58" s="1240">
        <v>88</v>
      </c>
      <c r="J58" s="1241">
        <v>120</v>
      </c>
      <c r="K58" s="1240">
        <v>117</v>
      </c>
      <c r="L58" s="1254">
        <v>125</v>
      </c>
      <c r="M58" s="1254">
        <v>146</v>
      </c>
      <c r="N58" s="1254">
        <v>110</v>
      </c>
      <c r="O58" s="1254">
        <v>110</v>
      </c>
      <c r="P58" s="1255">
        <v>95</v>
      </c>
      <c r="Q58" s="1255">
        <v>82</v>
      </c>
      <c r="R58" s="1556">
        <v>109</v>
      </c>
      <c r="S58" s="1557">
        <f>'Teen births'!D58</f>
        <v>85</v>
      </c>
      <c r="T58" s="1262">
        <v>7056</v>
      </c>
      <c r="U58" s="1263">
        <v>7253</v>
      </c>
      <c r="V58" s="1263">
        <v>10496</v>
      </c>
      <c r="W58" s="1263">
        <v>12325</v>
      </c>
      <c r="X58" s="1263">
        <v>13499</v>
      </c>
      <c r="Y58" s="1263">
        <v>14909</v>
      </c>
      <c r="Z58" s="1263">
        <v>16258</v>
      </c>
      <c r="AA58" s="1263">
        <v>17149</v>
      </c>
      <c r="AB58" s="1263">
        <v>17671</v>
      </c>
      <c r="AC58" s="1263">
        <v>18501</v>
      </c>
      <c r="AD58" s="1263">
        <v>19322</v>
      </c>
      <c r="AE58" s="1263">
        <v>20223</v>
      </c>
      <c r="AF58" s="1263">
        <v>21819</v>
      </c>
      <c r="AG58" s="1263">
        <v>23326</v>
      </c>
      <c r="AH58" s="1559">
        <v>24410</v>
      </c>
      <c r="AI58" s="1560">
        <f>'Teen births'!H58</f>
        <v>26063</v>
      </c>
      <c r="AJ58" s="1294">
        <f t="shared" si="1"/>
        <v>12.896825396825395</v>
      </c>
      <c r="AK58" s="1295">
        <f t="shared" si="2"/>
        <v>14.752516200193023</v>
      </c>
      <c r="AL58" s="1295">
        <f t="shared" si="3"/>
        <v>10.003810975609756</v>
      </c>
      <c r="AM58" s="1295">
        <f t="shared" si="4"/>
        <v>7.5456389452332662</v>
      </c>
      <c r="AN58" s="1295">
        <f t="shared" si="5"/>
        <v>7.6301948292466104</v>
      </c>
      <c r="AO58" s="1295">
        <f t="shared" si="6"/>
        <v>5.9024750150915555</v>
      </c>
      <c r="AP58" s="1295">
        <f t="shared" si="7"/>
        <v>7.3809816705621847</v>
      </c>
      <c r="AQ58" s="1295">
        <f t="shared" si="8"/>
        <v>6.8225552510350465</v>
      </c>
      <c r="AR58" s="1295">
        <f t="shared" si="9"/>
        <v>7.073736630637768</v>
      </c>
      <c r="AS58" s="1295">
        <f t="shared" si="10"/>
        <v>7.8914653261985839</v>
      </c>
      <c r="AT58" s="1295">
        <f t="shared" si="11"/>
        <v>5.6929924438463928</v>
      </c>
      <c r="AU58" s="1295">
        <f t="shared" si="12"/>
        <v>5.4393512337437571</v>
      </c>
      <c r="AV58" s="1295">
        <f t="shared" si="13"/>
        <v>4.3540033915394831</v>
      </c>
      <c r="AW58" s="1295">
        <f t="shared" si="14"/>
        <v>3.5153905513161279</v>
      </c>
      <c r="AX58" s="1569">
        <f t="shared" si="15"/>
        <v>4.4653830397378131</v>
      </c>
      <c r="AY58" s="1572">
        <f t="shared" si="16"/>
        <v>3.2613283198403868</v>
      </c>
    </row>
    <row r="59" spans="1:51" s="142" customFormat="1" ht="15.75" customHeight="1" x14ac:dyDescent="0.2">
      <c r="A59" s="149" t="s">
        <v>134</v>
      </c>
      <c r="B59" s="189" t="s">
        <v>135</v>
      </c>
      <c r="C59" s="150" t="s">
        <v>267</v>
      </c>
      <c r="D59" s="1239">
        <v>53</v>
      </c>
      <c r="E59" s="1240">
        <v>42</v>
      </c>
      <c r="F59" s="1241">
        <v>46</v>
      </c>
      <c r="G59" s="1240">
        <v>45</v>
      </c>
      <c r="H59" s="1241">
        <v>40</v>
      </c>
      <c r="I59" s="1240">
        <v>37</v>
      </c>
      <c r="J59" s="1241">
        <v>36</v>
      </c>
      <c r="K59" s="1240">
        <v>37</v>
      </c>
      <c r="L59" s="1254">
        <v>46</v>
      </c>
      <c r="M59" s="1254">
        <v>40</v>
      </c>
      <c r="N59" s="1254">
        <v>40</v>
      </c>
      <c r="O59" s="1254">
        <v>34</v>
      </c>
      <c r="P59" s="1255">
        <v>40</v>
      </c>
      <c r="Q59" s="1255">
        <v>27</v>
      </c>
      <c r="R59" s="1556">
        <v>29</v>
      </c>
      <c r="S59" s="1557">
        <f>'Teen births'!D59</f>
        <v>25</v>
      </c>
      <c r="T59" s="1262">
        <v>1489</v>
      </c>
      <c r="U59" s="1263">
        <v>1508</v>
      </c>
      <c r="V59" s="1263">
        <v>1675</v>
      </c>
      <c r="W59" s="1263">
        <v>1731</v>
      </c>
      <c r="X59" s="1263">
        <v>1791</v>
      </c>
      <c r="Y59" s="1263">
        <v>1852</v>
      </c>
      <c r="Z59" s="1263">
        <v>1882</v>
      </c>
      <c r="AA59" s="1263">
        <v>1913</v>
      </c>
      <c r="AB59" s="1263">
        <v>1892</v>
      </c>
      <c r="AC59" s="1263">
        <v>1847</v>
      </c>
      <c r="AD59" s="1263">
        <v>1881</v>
      </c>
      <c r="AE59" s="1263">
        <v>1976</v>
      </c>
      <c r="AF59" s="1263">
        <v>1944</v>
      </c>
      <c r="AG59" s="1263">
        <v>1897</v>
      </c>
      <c r="AH59" s="1559">
        <v>1858</v>
      </c>
      <c r="AI59" s="1560">
        <f>'Teen births'!H59</f>
        <v>1861</v>
      </c>
      <c r="AJ59" s="1294">
        <f t="shared" si="1"/>
        <v>35.594358629952985</v>
      </c>
      <c r="AK59" s="1295">
        <f t="shared" si="2"/>
        <v>27.851458885941646</v>
      </c>
      <c r="AL59" s="1295">
        <f t="shared" si="3"/>
        <v>27.46268656716418</v>
      </c>
      <c r="AM59" s="1295">
        <f t="shared" si="4"/>
        <v>25.996533795493935</v>
      </c>
      <c r="AN59" s="1295">
        <f t="shared" si="5"/>
        <v>22.333891680625349</v>
      </c>
      <c r="AO59" s="1295">
        <f t="shared" si="6"/>
        <v>19.978401727861769</v>
      </c>
      <c r="AP59" s="1295">
        <f t="shared" si="7"/>
        <v>19.128586609989373</v>
      </c>
      <c r="AQ59" s="1295">
        <f t="shared" si="8"/>
        <v>19.341348667015161</v>
      </c>
      <c r="AR59" s="1295">
        <f t="shared" si="9"/>
        <v>24.312896405919663</v>
      </c>
      <c r="AS59" s="1295">
        <f t="shared" si="10"/>
        <v>21.656740660530588</v>
      </c>
      <c r="AT59" s="1295">
        <f t="shared" si="11"/>
        <v>21.26528442317916</v>
      </c>
      <c r="AU59" s="1295">
        <f t="shared" si="12"/>
        <v>17.206477732793523</v>
      </c>
      <c r="AV59" s="1295">
        <f t="shared" si="13"/>
        <v>20.5761316872428</v>
      </c>
      <c r="AW59" s="1295">
        <f t="shared" si="14"/>
        <v>14.232999472851873</v>
      </c>
      <c r="AX59" s="1569">
        <f t="shared" si="15"/>
        <v>15.608180839612487</v>
      </c>
      <c r="AY59" s="1572">
        <f t="shared" si="16"/>
        <v>13.433637829124127</v>
      </c>
    </row>
    <row r="60" spans="1:51" s="142" customFormat="1" ht="15.75" customHeight="1" x14ac:dyDescent="0.2">
      <c r="A60" s="149" t="s">
        <v>136</v>
      </c>
      <c r="B60" s="189" t="s">
        <v>137</v>
      </c>
      <c r="C60" s="150" t="s">
        <v>266</v>
      </c>
      <c r="D60" s="1239">
        <v>27</v>
      </c>
      <c r="E60" s="1240">
        <v>20</v>
      </c>
      <c r="F60" s="1241">
        <v>13</v>
      </c>
      <c r="G60" s="1240">
        <v>14</v>
      </c>
      <c r="H60" s="1241">
        <v>17</v>
      </c>
      <c r="I60" s="1240">
        <v>20</v>
      </c>
      <c r="J60" s="1241">
        <v>18</v>
      </c>
      <c r="K60" s="1240">
        <v>29</v>
      </c>
      <c r="L60" s="1254">
        <v>24</v>
      </c>
      <c r="M60" s="1254">
        <v>17</v>
      </c>
      <c r="N60" s="1254">
        <v>19</v>
      </c>
      <c r="O60" s="1254">
        <v>16</v>
      </c>
      <c r="P60" s="1255">
        <v>21</v>
      </c>
      <c r="Q60" s="1255">
        <v>16</v>
      </c>
      <c r="R60" s="1556">
        <v>22</v>
      </c>
      <c r="S60" s="1557">
        <f>'Teen births'!D60</f>
        <v>7</v>
      </c>
      <c r="T60" s="1262">
        <v>769</v>
      </c>
      <c r="U60" s="1263">
        <v>770</v>
      </c>
      <c r="V60" s="1263">
        <v>821</v>
      </c>
      <c r="W60" s="1263">
        <v>830</v>
      </c>
      <c r="X60" s="1263">
        <v>835</v>
      </c>
      <c r="Y60" s="1263">
        <v>805</v>
      </c>
      <c r="Z60" s="1263">
        <v>784</v>
      </c>
      <c r="AA60" s="1263">
        <v>791</v>
      </c>
      <c r="AB60" s="1263">
        <v>749</v>
      </c>
      <c r="AC60" s="1263">
        <v>697</v>
      </c>
      <c r="AD60" s="1263">
        <v>669</v>
      </c>
      <c r="AE60" s="1263">
        <v>674</v>
      </c>
      <c r="AF60" s="1263">
        <v>689</v>
      </c>
      <c r="AG60" s="1263">
        <v>662</v>
      </c>
      <c r="AH60" s="1559">
        <v>652</v>
      </c>
      <c r="AI60" s="1560">
        <f>'Teen births'!H60</f>
        <v>627</v>
      </c>
      <c r="AJ60" s="1294">
        <f t="shared" si="1"/>
        <v>35.110533159947984</v>
      </c>
      <c r="AK60" s="1295">
        <f t="shared" si="2"/>
        <v>25.974025974025977</v>
      </c>
      <c r="AL60" s="1295">
        <f t="shared" si="3"/>
        <v>15.834348355663822</v>
      </c>
      <c r="AM60" s="1295">
        <f t="shared" si="4"/>
        <v>16.867469879518072</v>
      </c>
      <c r="AN60" s="1295">
        <f t="shared" si="5"/>
        <v>20.359281437125748</v>
      </c>
      <c r="AO60" s="1295">
        <f t="shared" si="6"/>
        <v>24.844720496894407</v>
      </c>
      <c r="AP60" s="1295">
        <f t="shared" si="7"/>
        <v>22.95918367346939</v>
      </c>
      <c r="AQ60" s="1295">
        <f t="shared" si="8"/>
        <v>36.662452591656134</v>
      </c>
      <c r="AR60" s="1295">
        <f t="shared" si="9"/>
        <v>32.042723631508679</v>
      </c>
      <c r="AS60" s="1295">
        <f t="shared" si="10"/>
        <v>24.390243902439025</v>
      </c>
      <c r="AT60" s="1295">
        <f t="shared" si="11"/>
        <v>28.400597907324364</v>
      </c>
      <c r="AU60" s="1295">
        <f t="shared" si="12"/>
        <v>23.738872403560833</v>
      </c>
      <c r="AV60" s="1295">
        <f t="shared" si="13"/>
        <v>30.478955007256896</v>
      </c>
      <c r="AW60" s="1295">
        <f t="shared" si="14"/>
        <v>24.169184290030213</v>
      </c>
      <c r="AX60" s="1569">
        <f t="shared" si="15"/>
        <v>33.742331288343557</v>
      </c>
      <c r="AY60" s="1572">
        <f t="shared" si="16"/>
        <v>11.164274322169058</v>
      </c>
    </row>
    <row r="61" spans="1:51" s="142" customFormat="1" ht="15.75" customHeight="1" x14ac:dyDescent="0.2">
      <c r="A61" s="149" t="s">
        <v>140</v>
      </c>
      <c r="B61" s="189" t="s">
        <v>141</v>
      </c>
      <c r="C61" s="150" t="s">
        <v>267</v>
      </c>
      <c r="D61" s="1239">
        <v>8</v>
      </c>
      <c r="E61" s="1240">
        <v>15</v>
      </c>
      <c r="F61" s="1241">
        <v>15</v>
      </c>
      <c r="G61" s="1240">
        <v>23</v>
      </c>
      <c r="H61" s="1241">
        <v>8</v>
      </c>
      <c r="I61" s="1240">
        <v>12</v>
      </c>
      <c r="J61" s="1241">
        <v>16</v>
      </c>
      <c r="K61" s="1240">
        <v>20</v>
      </c>
      <c r="L61" s="1254">
        <v>20</v>
      </c>
      <c r="M61" s="1254">
        <v>14</v>
      </c>
      <c r="N61" s="1254">
        <v>14</v>
      </c>
      <c r="O61" s="1254">
        <v>13</v>
      </c>
      <c r="P61" s="1255">
        <v>9</v>
      </c>
      <c r="Q61" s="1255">
        <v>8</v>
      </c>
      <c r="R61" s="1556">
        <v>11</v>
      </c>
      <c r="S61" s="1557">
        <f>'Teen births'!D61</f>
        <v>4</v>
      </c>
      <c r="T61" s="1262">
        <v>889</v>
      </c>
      <c r="U61" s="1263">
        <v>902</v>
      </c>
      <c r="V61" s="1263">
        <v>871</v>
      </c>
      <c r="W61" s="1263">
        <v>895</v>
      </c>
      <c r="X61" s="1263">
        <v>910</v>
      </c>
      <c r="Y61" s="1263">
        <v>918</v>
      </c>
      <c r="Z61" s="1263">
        <v>908</v>
      </c>
      <c r="AA61" s="1263">
        <v>902</v>
      </c>
      <c r="AB61" s="1263">
        <v>884</v>
      </c>
      <c r="AC61" s="1263">
        <v>875</v>
      </c>
      <c r="AD61" s="1263">
        <v>863</v>
      </c>
      <c r="AE61" s="1263">
        <v>891</v>
      </c>
      <c r="AF61" s="1263">
        <v>834</v>
      </c>
      <c r="AG61" s="1263">
        <v>827</v>
      </c>
      <c r="AH61" s="1559">
        <v>838</v>
      </c>
      <c r="AI61" s="1560">
        <f>'Teen births'!H61</f>
        <v>832</v>
      </c>
      <c r="AJ61" s="1294">
        <f t="shared" si="1"/>
        <v>8.9988751406074243</v>
      </c>
      <c r="AK61" s="1295">
        <f t="shared" si="2"/>
        <v>16.62971175166297</v>
      </c>
      <c r="AL61" s="1295">
        <f t="shared" si="3"/>
        <v>17.221584385763489</v>
      </c>
      <c r="AM61" s="1295">
        <f t="shared" si="4"/>
        <v>25.69832402234637</v>
      </c>
      <c r="AN61" s="1295">
        <f t="shared" si="5"/>
        <v>8.791208791208792</v>
      </c>
      <c r="AO61" s="1295">
        <f t="shared" si="6"/>
        <v>13.071895424836601</v>
      </c>
      <c r="AP61" s="1295">
        <f t="shared" si="7"/>
        <v>17.621145374449341</v>
      </c>
      <c r="AQ61" s="1295">
        <f t="shared" si="8"/>
        <v>22.172949002217297</v>
      </c>
      <c r="AR61" s="1295">
        <f t="shared" si="9"/>
        <v>22.624434389140269</v>
      </c>
      <c r="AS61" s="1295">
        <f t="shared" si="10"/>
        <v>16</v>
      </c>
      <c r="AT61" s="1295">
        <f t="shared" si="11"/>
        <v>16.222479721900346</v>
      </c>
      <c r="AU61" s="1295">
        <f t="shared" si="12"/>
        <v>14.590347923681257</v>
      </c>
      <c r="AV61" s="1295">
        <f t="shared" si="13"/>
        <v>10.791366906474821</v>
      </c>
      <c r="AW61" s="1295">
        <f t="shared" si="14"/>
        <v>9.6735187424425622</v>
      </c>
      <c r="AX61" s="1569">
        <f t="shared" si="15"/>
        <v>13.126491646778042</v>
      </c>
      <c r="AY61" s="1572">
        <f t="shared" si="16"/>
        <v>4.8076923076923084</v>
      </c>
    </row>
    <row r="62" spans="1:51" s="142" customFormat="1" ht="15.75" customHeight="1" x14ac:dyDescent="0.2">
      <c r="A62" s="149" t="s">
        <v>146</v>
      </c>
      <c r="B62" s="189" t="s">
        <v>147</v>
      </c>
      <c r="C62" s="150" t="s">
        <v>264</v>
      </c>
      <c r="D62" s="1239">
        <v>10</v>
      </c>
      <c r="E62" s="1240">
        <v>5</v>
      </c>
      <c r="F62" s="1241">
        <v>10</v>
      </c>
      <c r="G62" s="1240">
        <v>7</v>
      </c>
      <c r="H62" s="1241">
        <v>8</v>
      </c>
      <c r="I62" s="1240">
        <v>6</v>
      </c>
      <c r="J62" s="1241">
        <v>5</v>
      </c>
      <c r="K62" s="1240">
        <v>6</v>
      </c>
      <c r="L62" s="1254">
        <v>9</v>
      </c>
      <c r="M62" s="1254">
        <v>5</v>
      </c>
      <c r="N62" s="1254">
        <v>9</v>
      </c>
      <c r="O62" s="1254">
        <v>5</v>
      </c>
      <c r="P62" s="1255">
        <v>2</v>
      </c>
      <c r="Q62" s="1255">
        <v>5</v>
      </c>
      <c r="R62" s="1556">
        <v>2</v>
      </c>
      <c r="S62" s="1557">
        <f>'Teen births'!D62</f>
        <v>3</v>
      </c>
      <c r="T62" s="1262">
        <v>505</v>
      </c>
      <c r="U62" s="1263">
        <v>511</v>
      </c>
      <c r="V62" s="1263">
        <v>520</v>
      </c>
      <c r="W62" s="1263">
        <v>535</v>
      </c>
      <c r="X62" s="1263">
        <v>533</v>
      </c>
      <c r="Y62" s="1263">
        <v>525</v>
      </c>
      <c r="Z62" s="1263">
        <v>528</v>
      </c>
      <c r="AA62" s="1263">
        <v>510</v>
      </c>
      <c r="AB62" s="1263">
        <v>515</v>
      </c>
      <c r="AC62" s="1263">
        <v>483</v>
      </c>
      <c r="AD62" s="1263">
        <v>485</v>
      </c>
      <c r="AE62" s="1263">
        <v>509</v>
      </c>
      <c r="AF62" s="1263">
        <v>502</v>
      </c>
      <c r="AG62" s="1263">
        <v>499</v>
      </c>
      <c r="AH62" s="1559">
        <v>502</v>
      </c>
      <c r="AI62" s="1560">
        <f>'Teen births'!H62</f>
        <v>509</v>
      </c>
      <c r="AJ62" s="1294">
        <f t="shared" si="1"/>
        <v>19.801980198019802</v>
      </c>
      <c r="AK62" s="1295">
        <f t="shared" si="2"/>
        <v>9.7847358121330714</v>
      </c>
      <c r="AL62" s="1295">
        <f t="shared" si="3"/>
        <v>19.230769230769234</v>
      </c>
      <c r="AM62" s="1295">
        <f t="shared" si="4"/>
        <v>13.084112149532711</v>
      </c>
      <c r="AN62" s="1295">
        <f t="shared" si="5"/>
        <v>15.0093808630394</v>
      </c>
      <c r="AO62" s="1295">
        <f t="shared" si="6"/>
        <v>11.428571428571429</v>
      </c>
      <c r="AP62" s="1295">
        <f t="shared" si="7"/>
        <v>9.4696969696969706</v>
      </c>
      <c r="AQ62" s="1295">
        <f t="shared" si="8"/>
        <v>11.76470588235294</v>
      </c>
      <c r="AR62" s="1295">
        <f t="shared" si="9"/>
        <v>17.475728155339805</v>
      </c>
      <c r="AS62" s="1295">
        <f t="shared" si="10"/>
        <v>10.351966873706004</v>
      </c>
      <c r="AT62" s="1295">
        <f t="shared" si="11"/>
        <v>18.556701030927837</v>
      </c>
      <c r="AU62" s="1295">
        <f t="shared" si="12"/>
        <v>9.8231827111984273</v>
      </c>
      <c r="AV62" s="1295">
        <f t="shared" si="13"/>
        <v>3.9840637450199203</v>
      </c>
      <c r="AW62" s="1295">
        <f t="shared" si="14"/>
        <v>10.020040080160321</v>
      </c>
      <c r="AX62" s="1569">
        <f t="shared" si="15"/>
        <v>3.9840637450199203</v>
      </c>
      <c r="AY62" s="1572">
        <f t="shared" si="16"/>
        <v>5.8939096267190569</v>
      </c>
    </row>
    <row r="63" spans="1:51" s="142" customFormat="1" ht="15.75" customHeight="1" x14ac:dyDescent="0.2">
      <c r="A63" s="149" t="s">
        <v>148</v>
      </c>
      <c r="B63" s="189" t="s">
        <v>149</v>
      </c>
      <c r="C63" s="150" t="s">
        <v>265</v>
      </c>
      <c r="D63" s="1239">
        <v>70</v>
      </c>
      <c r="E63" s="1240">
        <v>57</v>
      </c>
      <c r="F63" s="1241">
        <v>52</v>
      </c>
      <c r="G63" s="1240">
        <v>57</v>
      </c>
      <c r="H63" s="1241">
        <v>58</v>
      </c>
      <c r="I63" s="1240">
        <v>63</v>
      </c>
      <c r="J63" s="1241">
        <v>43</v>
      </c>
      <c r="K63" s="1240">
        <v>45</v>
      </c>
      <c r="L63" s="1254">
        <v>43</v>
      </c>
      <c r="M63" s="1254">
        <v>37</v>
      </c>
      <c r="N63" s="1254">
        <v>53</v>
      </c>
      <c r="O63" s="1254">
        <v>50</v>
      </c>
      <c r="P63" s="1255">
        <v>36</v>
      </c>
      <c r="Q63" s="1255">
        <v>33</v>
      </c>
      <c r="R63" s="1556">
        <v>35</v>
      </c>
      <c r="S63" s="1557">
        <f>'Teen births'!D63</f>
        <v>23</v>
      </c>
      <c r="T63" s="1262">
        <v>1765</v>
      </c>
      <c r="U63" s="1263">
        <v>1747</v>
      </c>
      <c r="V63" s="1263">
        <v>1975</v>
      </c>
      <c r="W63" s="1263">
        <v>2008</v>
      </c>
      <c r="X63" s="1263">
        <v>1965</v>
      </c>
      <c r="Y63" s="1263">
        <v>1958</v>
      </c>
      <c r="Z63" s="1263">
        <v>1928</v>
      </c>
      <c r="AA63" s="1263">
        <v>1942</v>
      </c>
      <c r="AB63" s="1263">
        <v>1905</v>
      </c>
      <c r="AC63" s="1263">
        <v>1865</v>
      </c>
      <c r="AD63" s="1263">
        <v>1828</v>
      </c>
      <c r="AE63" s="1263">
        <v>1798</v>
      </c>
      <c r="AF63" s="1263">
        <v>1836</v>
      </c>
      <c r="AG63" s="1263">
        <v>1819</v>
      </c>
      <c r="AH63" s="1559">
        <v>1779</v>
      </c>
      <c r="AI63" s="1560">
        <f>'Teen births'!H63</f>
        <v>1768</v>
      </c>
      <c r="AJ63" s="1294">
        <f t="shared" si="1"/>
        <v>39.660056657223798</v>
      </c>
      <c r="AK63" s="1295">
        <f t="shared" si="2"/>
        <v>32.627361190612476</v>
      </c>
      <c r="AL63" s="1295">
        <f t="shared" si="3"/>
        <v>26.329113924050631</v>
      </c>
      <c r="AM63" s="1295">
        <f t="shared" si="4"/>
        <v>28.386454183266931</v>
      </c>
      <c r="AN63" s="1295">
        <f t="shared" si="5"/>
        <v>29.516539440203562</v>
      </c>
      <c r="AO63" s="1295">
        <f t="shared" si="6"/>
        <v>32.175689479060267</v>
      </c>
      <c r="AP63" s="1295">
        <f t="shared" si="7"/>
        <v>22.302904564315352</v>
      </c>
      <c r="AQ63" s="1295">
        <f t="shared" si="8"/>
        <v>23.171987641606592</v>
      </c>
      <c r="AR63" s="1295">
        <f t="shared" si="9"/>
        <v>22.57217847769029</v>
      </c>
      <c r="AS63" s="1295">
        <f t="shared" si="10"/>
        <v>19.839142091152816</v>
      </c>
      <c r="AT63" s="1295">
        <f t="shared" si="11"/>
        <v>28.993435448577682</v>
      </c>
      <c r="AU63" s="1295">
        <f t="shared" si="12"/>
        <v>27.808676307007786</v>
      </c>
      <c r="AV63" s="1295">
        <f t="shared" si="13"/>
        <v>19.607843137254903</v>
      </c>
      <c r="AW63" s="1295">
        <f t="shared" si="14"/>
        <v>18.141836173721828</v>
      </c>
      <c r="AX63" s="1569">
        <f t="shared" si="15"/>
        <v>19.673974142776839</v>
      </c>
      <c r="AY63" s="1572">
        <f t="shared" si="16"/>
        <v>13.009049773755656</v>
      </c>
    </row>
    <row r="64" spans="1:51" s="142" customFormat="1" ht="15.75" customHeight="1" x14ac:dyDescent="0.2">
      <c r="A64" s="149" t="s">
        <v>150</v>
      </c>
      <c r="B64" s="189" t="s">
        <v>151</v>
      </c>
      <c r="C64" s="150" t="s">
        <v>266</v>
      </c>
      <c r="D64" s="1239">
        <v>10</v>
      </c>
      <c r="E64" s="1240">
        <v>16</v>
      </c>
      <c r="F64" s="1241">
        <v>5</v>
      </c>
      <c r="G64" s="1240">
        <v>12</v>
      </c>
      <c r="H64" s="1241">
        <v>11</v>
      </c>
      <c r="I64" s="1240">
        <v>13</v>
      </c>
      <c r="J64" s="1241">
        <v>7</v>
      </c>
      <c r="K64" s="1240">
        <v>9</v>
      </c>
      <c r="L64" s="1254">
        <v>7</v>
      </c>
      <c r="M64" s="1254">
        <v>17</v>
      </c>
      <c r="N64" s="1254">
        <v>8</v>
      </c>
      <c r="O64" s="1254">
        <v>9</v>
      </c>
      <c r="P64" s="1255">
        <v>6</v>
      </c>
      <c r="Q64" s="1255">
        <v>6</v>
      </c>
      <c r="R64" s="1556">
        <v>4</v>
      </c>
      <c r="S64" s="1557">
        <f>'Teen births'!D64</f>
        <v>10</v>
      </c>
      <c r="T64" s="1262">
        <v>521</v>
      </c>
      <c r="U64" s="1263">
        <v>530</v>
      </c>
      <c r="V64" s="1263">
        <v>583</v>
      </c>
      <c r="W64" s="1263">
        <v>603</v>
      </c>
      <c r="X64" s="1263">
        <v>618</v>
      </c>
      <c r="Y64" s="1263">
        <v>620</v>
      </c>
      <c r="Z64" s="1263">
        <v>616</v>
      </c>
      <c r="AA64" s="1263">
        <v>604</v>
      </c>
      <c r="AB64" s="1263">
        <v>593</v>
      </c>
      <c r="AC64" s="1263">
        <v>562</v>
      </c>
      <c r="AD64" s="1263">
        <v>546</v>
      </c>
      <c r="AE64" s="1263">
        <v>521</v>
      </c>
      <c r="AF64" s="1263">
        <v>501</v>
      </c>
      <c r="AG64" s="1263">
        <v>494</v>
      </c>
      <c r="AH64" s="1559">
        <v>472</v>
      </c>
      <c r="AI64" s="1560">
        <f>'Teen births'!H64</f>
        <v>459</v>
      </c>
      <c r="AJ64" s="1294">
        <f t="shared" si="1"/>
        <v>19.193857965451055</v>
      </c>
      <c r="AK64" s="1295">
        <f t="shared" si="2"/>
        <v>30.188679245283019</v>
      </c>
      <c r="AL64" s="1295">
        <f t="shared" si="3"/>
        <v>8.5763293310463133</v>
      </c>
      <c r="AM64" s="1295">
        <f t="shared" si="4"/>
        <v>19.900497512437809</v>
      </c>
      <c r="AN64" s="1295">
        <f t="shared" si="5"/>
        <v>17.79935275080906</v>
      </c>
      <c r="AO64" s="1295">
        <f t="shared" si="6"/>
        <v>20.967741935483872</v>
      </c>
      <c r="AP64" s="1295">
        <f t="shared" si="7"/>
        <v>11.363636363636363</v>
      </c>
      <c r="AQ64" s="1295">
        <f t="shared" si="8"/>
        <v>14.900662251655628</v>
      </c>
      <c r="AR64" s="1295">
        <f t="shared" si="9"/>
        <v>11.804384485666104</v>
      </c>
      <c r="AS64" s="1295">
        <f t="shared" si="10"/>
        <v>30.249110320284696</v>
      </c>
      <c r="AT64" s="1295">
        <f t="shared" si="11"/>
        <v>14.652014652014651</v>
      </c>
      <c r="AU64" s="1295">
        <f t="shared" si="12"/>
        <v>17.274472168905952</v>
      </c>
      <c r="AV64" s="1295">
        <f t="shared" si="13"/>
        <v>11.976047904191617</v>
      </c>
      <c r="AW64" s="1295">
        <f t="shared" si="14"/>
        <v>12.145748987854251</v>
      </c>
      <c r="AX64" s="1569">
        <f t="shared" si="15"/>
        <v>8.4745762711864412</v>
      </c>
      <c r="AY64" s="1572">
        <f t="shared" si="16"/>
        <v>21.786492374727668</v>
      </c>
    </row>
    <row r="65" spans="1:51" s="142" customFormat="1" ht="15.75" customHeight="1" x14ac:dyDescent="0.2">
      <c r="A65" s="149" t="s">
        <v>152</v>
      </c>
      <c r="B65" s="189" t="s">
        <v>153</v>
      </c>
      <c r="C65" s="150" t="s">
        <v>268</v>
      </c>
      <c r="D65" s="1239">
        <v>58</v>
      </c>
      <c r="E65" s="1240">
        <v>71</v>
      </c>
      <c r="F65" s="1241">
        <v>94</v>
      </c>
      <c r="G65" s="1240">
        <v>53</v>
      </c>
      <c r="H65" s="1241">
        <v>56</v>
      </c>
      <c r="I65" s="1240">
        <v>67</v>
      </c>
      <c r="J65" s="1241">
        <v>75</v>
      </c>
      <c r="K65" s="1240">
        <v>81</v>
      </c>
      <c r="L65" s="1254">
        <v>49</v>
      </c>
      <c r="M65" s="1254">
        <v>79</v>
      </c>
      <c r="N65" s="1254">
        <v>106</v>
      </c>
      <c r="O65" s="1254">
        <v>66</v>
      </c>
      <c r="P65" s="1255">
        <v>60</v>
      </c>
      <c r="Q65" s="1255">
        <v>51</v>
      </c>
      <c r="R65" s="1556">
        <v>54</v>
      </c>
      <c r="S65" s="1557">
        <f>'Teen births'!D65</f>
        <v>56</v>
      </c>
      <c r="T65" s="1262">
        <v>6434</v>
      </c>
      <c r="U65" s="1263">
        <v>6481</v>
      </c>
      <c r="V65" s="1263">
        <v>6679</v>
      </c>
      <c r="W65" s="1263">
        <v>6151</v>
      </c>
      <c r="X65" s="1263">
        <v>6161</v>
      </c>
      <c r="Y65" s="1263">
        <v>6015</v>
      </c>
      <c r="Z65" s="1263">
        <v>5988</v>
      </c>
      <c r="AA65" s="1263">
        <v>6272</v>
      </c>
      <c r="AB65" s="1263">
        <v>6553</v>
      </c>
      <c r="AC65" s="1263">
        <v>6799</v>
      </c>
      <c r="AD65" s="1263">
        <v>6886</v>
      </c>
      <c r="AE65" s="1263">
        <v>7131</v>
      </c>
      <c r="AF65" s="1263">
        <v>7319</v>
      </c>
      <c r="AG65" s="1263">
        <v>7096</v>
      </c>
      <c r="AH65" s="1559">
        <v>6757</v>
      </c>
      <c r="AI65" s="1560">
        <f>'Teen births'!H65</f>
        <v>6914</v>
      </c>
      <c r="AJ65" s="1294">
        <f t="shared" si="1"/>
        <v>9.0146098849860117</v>
      </c>
      <c r="AK65" s="1295">
        <f t="shared" si="2"/>
        <v>10.955099521678754</v>
      </c>
      <c r="AL65" s="1295">
        <f t="shared" si="3"/>
        <v>14.073963168138942</v>
      </c>
      <c r="AM65" s="1295">
        <f t="shared" si="4"/>
        <v>8.6164851243700209</v>
      </c>
      <c r="AN65" s="1295">
        <f t="shared" si="5"/>
        <v>9.0894335335172869</v>
      </c>
      <c r="AO65" s="1295">
        <f t="shared" si="6"/>
        <v>11.138819617622611</v>
      </c>
      <c r="AP65" s="1295">
        <f t="shared" si="7"/>
        <v>12.525050100200401</v>
      </c>
      <c r="AQ65" s="1295">
        <f t="shared" si="8"/>
        <v>12.914540816326531</v>
      </c>
      <c r="AR65" s="1295">
        <f t="shared" si="9"/>
        <v>7.4774912253929502</v>
      </c>
      <c r="AS65" s="1295">
        <f t="shared" si="10"/>
        <v>11.619355787615826</v>
      </c>
      <c r="AT65" s="1295">
        <f t="shared" si="11"/>
        <v>15.393552134766193</v>
      </c>
      <c r="AU65" s="1295">
        <f t="shared" si="12"/>
        <v>9.2553639040807738</v>
      </c>
      <c r="AV65" s="1295">
        <f t="shared" si="13"/>
        <v>8.1978412351414125</v>
      </c>
      <c r="AW65" s="1295">
        <f t="shared" si="14"/>
        <v>7.1871476888387829</v>
      </c>
      <c r="AX65" s="1569">
        <f t="shared" si="15"/>
        <v>7.9917122983572586</v>
      </c>
      <c r="AY65" s="1572">
        <f t="shared" si="16"/>
        <v>8.099508244142319</v>
      </c>
    </row>
    <row r="66" spans="1:51" s="142" customFormat="1" ht="15.75" customHeight="1" x14ac:dyDescent="0.2">
      <c r="A66" s="149" t="s">
        <v>154</v>
      </c>
      <c r="B66" s="189" t="s">
        <v>155</v>
      </c>
      <c r="C66" s="150" t="s">
        <v>265</v>
      </c>
      <c r="D66" s="1239">
        <v>33</v>
      </c>
      <c r="E66" s="1240">
        <v>21</v>
      </c>
      <c r="F66" s="1241">
        <v>27</v>
      </c>
      <c r="G66" s="1240">
        <v>21</v>
      </c>
      <c r="H66" s="1241">
        <v>13</v>
      </c>
      <c r="I66" s="1240">
        <v>23</v>
      </c>
      <c r="J66" s="1241">
        <v>10</v>
      </c>
      <c r="K66" s="1240">
        <v>22</v>
      </c>
      <c r="L66" s="1254">
        <v>14</v>
      </c>
      <c r="M66" s="1254">
        <v>21</v>
      </c>
      <c r="N66" s="1254">
        <v>14</v>
      </c>
      <c r="O66" s="1254">
        <v>15</v>
      </c>
      <c r="P66" s="1255">
        <v>11</v>
      </c>
      <c r="Q66" s="1255">
        <v>8</v>
      </c>
      <c r="R66" s="1556">
        <v>8</v>
      </c>
      <c r="S66" s="1557">
        <f>'Teen births'!D66</f>
        <v>9</v>
      </c>
      <c r="T66" s="1262">
        <v>850</v>
      </c>
      <c r="U66" s="1263">
        <v>855</v>
      </c>
      <c r="V66" s="1263">
        <v>907</v>
      </c>
      <c r="W66" s="1263">
        <v>918</v>
      </c>
      <c r="X66" s="1263">
        <v>911</v>
      </c>
      <c r="Y66" s="1263">
        <v>890</v>
      </c>
      <c r="Z66" s="1263">
        <v>877</v>
      </c>
      <c r="AA66" s="1263">
        <v>844</v>
      </c>
      <c r="AB66" s="1263">
        <v>795</v>
      </c>
      <c r="AC66" s="1263">
        <v>764</v>
      </c>
      <c r="AD66" s="1263">
        <v>760</v>
      </c>
      <c r="AE66" s="1263">
        <v>770</v>
      </c>
      <c r="AF66" s="1263">
        <v>796</v>
      </c>
      <c r="AG66" s="1263">
        <v>806</v>
      </c>
      <c r="AH66" s="1559">
        <v>760</v>
      </c>
      <c r="AI66" s="1560">
        <f>'Teen births'!H66</f>
        <v>751</v>
      </c>
      <c r="AJ66" s="1294">
        <f t="shared" si="1"/>
        <v>38.82352941176471</v>
      </c>
      <c r="AK66" s="1295">
        <f t="shared" si="2"/>
        <v>24.561403508771932</v>
      </c>
      <c r="AL66" s="1295">
        <f t="shared" si="3"/>
        <v>29.768467475192942</v>
      </c>
      <c r="AM66" s="1295">
        <f t="shared" si="4"/>
        <v>22.875816993464049</v>
      </c>
      <c r="AN66" s="1295">
        <f t="shared" si="5"/>
        <v>14.270032930845225</v>
      </c>
      <c r="AO66" s="1295">
        <f t="shared" si="6"/>
        <v>25.842696629213481</v>
      </c>
      <c r="AP66" s="1295">
        <f t="shared" si="7"/>
        <v>11.402508551881414</v>
      </c>
      <c r="AQ66" s="1295">
        <f t="shared" si="8"/>
        <v>26.066350710900473</v>
      </c>
      <c r="AR66" s="1295">
        <f t="shared" si="9"/>
        <v>17.610062893081761</v>
      </c>
      <c r="AS66" s="1295">
        <f t="shared" si="10"/>
        <v>27.486910994764401</v>
      </c>
      <c r="AT66" s="1295">
        <f t="shared" si="11"/>
        <v>18.421052631578945</v>
      </c>
      <c r="AU66" s="1295">
        <f t="shared" si="12"/>
        <v>19.480519480519479</v>
      </c>
      <c r="AV66" s="1295">
        <f t="shared" si="13"/>
        <v>13.819095477386936</v>
      </c>
      <c r="AW66" s="1295">
        <f t="shared" si="14"/>
        <v>9.9255583126550864</v>
      </c>
      <c r="AX66" s="1569">
        <f t="shared" si="15"/>
        <v>10.526315789473683</v>
      </c>
      <c r="AY66" s="1572">
        <f t="shared" si="16"/>
        <v>11.984021304926763</v>
      </c>
    </row>
    <row r="67" spans="1:51" s="142" customFormat="1" ht="15.75" customHeight="1" x14ac:dyDescent="0.2">
      <c r="A67" s="149" t="s">
        <v>156</v>
      </c>
      <c r="B67" s="189" t="s">
        <v>157</v>
      </c>
      <c r="C67" s="150" t="s">
        <v>266</v>
      </c>
      <c r="D67" s="1239">
        <v>7</v>
      </c>
      <c r="E67" s="1240">
        <v>13</v>
      </c>
      <c r="F67" s="1241">
        <v>6</v>
      </c>
      <c r="G67" s="1240">
        <v>11</v>
      </c>
      <c r="H67" s="1241">
        <v>16</v>
      </c>
      <c r="I67" s="1240">
        <v>10</v>
      </c>
      <c r="J67" s="1241">
        <v>14</v>
      </c>
      <c r="K67" s="1240">
        <v>10</v>
      </c>
      <c r="L67" s="1254">
        <v>16</v>
      </c>
      <c r="M67" s="1254">
        <v>9</v>
      </c>
      <c r="N67" s="1254">
        <v>11</v>
      </c>
      <c r="O67" s="1254">
        <v>11</v>
      </c>
      <c r="P67" s="1255">
        <v>12</v>
      </c>
      <c r="Q67" s="1255">
        <v>13</v>
      </c>
      <c r="R67" s="1556">
        <v>12</v>
      </c>
      <c r="S67" s="1557">
        <f>'Teen births'!D67</f>
        <v>10</v>
      </c>
      <c r="T67" s="1262">
        <v>748</v>
      </c>
      <c r="U67" s="1263">
        <v>757</v>
      </c>
      <c r="V67" s="1263">
        <v>908</v>
      </c>
      <c r="W67" s="1263">
        <v>951</v>
      </c>
      <c r="X67" s="1263">
        <v>968</v>
      </c>
      <c r="Y67" s="1263">
        <v>1010</v>
      </c>
      <c r="Z67" s="1263">
        <v>1051</v>
      </c>
      <c r="AA67" s="1263">
        <v>1035</v>
      </c>
      <c r="AB67" s="1263">
        <v>1043</v>
      </c>
      <c r="AC67" s="1263">
        <v>1031</v>
      </c>
      <c r="AD67" s="1263">
        <v>1034</v>
      </c>
      <c r="AE67" s="1263">
        <v>1120</v>
      </c>
      <c r="AF67" s="1263">
        <v>1179</v>
      </c>
      <c r="AG67" s="1263">
        <v>1183</v>
      </c>
      <c r="AH67" s="1559">
        <v>1159</v>
      </c>
      <c r="AI67" s="1560">
        <f>'Teen births'!H67</f>
        <v>1181</v>
      </c>
      <c r="AJ67" s="1294">
        <f t="shared" si="1"/>
        <v>9.3582887700534751</v>
      </c>
      <c r="AK67" s="1295">
        <f t="shared" si="2"/>
        <v>17.173051519154559</v>
      </c>
      <c r="AL67" s="1295">
        <f t="shared" si="3"/>
        <v>6.607929515418502</v>
      </c>
      <c r="AM67" s="1295">
        <f t="shared" si="4"/>
        <v>11.566771819137749</v>
      </c>
      <c r="AN67" s="1295">
        <f t="shared" si="5"/>
        <v>16.528925619834713</v>
      </c>
      <c r="AO67" s="1295">
        <f t="shared" si="6"/>
        <v>9.9009900990099009</v>
      </c>
      <c r="AP67" s="1295">
        <f t="shared" si="7"/>
        <v>13.320647002854425</v>
      </c>
      <c r="AQ67" s="1295">
        <f t="shared" si="8"/>
        <v>9.6618357487922708</v>
      </c>
      <c r="AR67" s="1295">
        <f t="shared" si="9"/>
        <v>15.340364333652923</v>
      </c>
      <c r="AS67" s="1295">
        <f t="shared" si="10"/>
        <v>8.7293889427740066</v>
      </c>
      <c r="AT67" s="1295">
        <f t="shared" si="11"/>
        <v>10.638297872340425</v>
      </c>
      <c r="AU67" s="1295">
        <f t="shared" si="12"/>
        <v>9.8214285714285712</v>
      </c>
      <c r="AV67" s="1295">
        <f t="shared" si="13"/>
        <v>10.178117048346056</v>
      </c>
      <c r="AW67" s="1295">
        <f t="shared" si="14"/>
        <v>10.989010989010989</v>
      </c>
      <c r="AX67" s="1569">
        <f t="shared" si="15"/>
        <v>10.353753235547885</v>
      </c>
      <c r="AY67" s="1572">
        <f t="shared" si="16"/>
        <v>8.4674005080440296</v>
      </c>
    </row>
    <row r="68" spans="1:51" s="142" customFormat="1" ht="15.75" customHeight="1" x14ac:dyDescent="0.2">
      <c r="A68" s="149" t="s">
        <v>162</v>
      </c>
      <c r="B68" s="189" t="s">
        <v>163</v>
      </c>
      <c r="C68" s="150" t="s">
        <v>264</v>
      </c>
      <c r="D68" s="1239">
        <v>24</v>
      </c>
      <c r="E68" s="1240">
        <v>30</v>
      </c>
      <c r="F68" s="1241">
        <v>34</v>
      </c>
      <c r="G68" s="1240">
        <v>40</v>
      </c>
      <c r="H68" s="1241">
        <v>29</v>
      </c>
      <c r="I68" s="1240">
        <v>23</v>
      </c>
      <c r="J68" s="1241">
        <v>27</v>
      </c>
      <c r="K68" s="1240">
        <v>26</v>
      </c>
      <c r="L68" s="1254">
        <v>23</v>
      </c>
      <c r="M68" s="1254">
        <v>19</v>
      </c>
      <c r="N68" s="1254">
        <v>32</v>
      </c>
      <c r="O68" s="1254">
        <v>16</v>
      </c>
      <c r="P68" s="1255">
        <v>21</v>
      </c>
      <c r="Q68" s="1255">
        <v>23</v>
      </c>
      <c r="R68" s="1556">
        <v>9</v>
      </c>
      <c r="S68" s="1557">
        <f>'Teen births'!D68</f>
        <v>13</v>
      </c>
      <c r="T68" s="1262">
        <v>894</v>
      </c>
      <c r="U68" s="1263">
        <v>896</v>
      </c>
      <c r="V68" s="1263">
        <v>883</v>
      </c>
      <c r="W68" s="1263">
        <v>888</v>
      </c>
      <c r="X68" s="1263">
        <v>884</v>
      </c>
      <c r="Y68" s="1263">
        <v>910</v>
      </c>
      <c r="Z68" s="1263">
        <v>892</v>
      </c>
      <c r="AA68" s="1263">
        <v>906</v>
      </c>
      <c r="AB68" s="1263">
        <v>884</v>
      </c>
      <c r="AC68" s="1263">
        <v>838</v>
      </c>
      <c r="AD68" s="1263">
        <v>827</v>
      </c>
      <c r="AE68" s="1263">
        <v>802</v>
      </c>
      <c r="AF68" s="1263">
        <v>655</v>
      </c>
      <c r="AG68" s="1263">
        <v>649</v>
      </c>
      <c r="AH68" s="1559">
        <v>606</v>
      </c>
      <c r="AI68" s="1560">
        <f>'Teen births'!H68</f>
        <v>576</v>
      </c>
      <c r="AJ68" s="1294">
        <f t="shared" si="1"/>
        <v>26.845637583892618</v>
      </c>
      <c r="AK68" s="1295">
        <f t="shared" si="2"/>
        <v>33.482142857142854</v>
      </c>
      <c r="AL68" s="1295">
        <f t="shared" si="3"/>
        <v>38.505096262740658</v>
      </c>
      <c r="AM68" s="1295">
        <f t="shared" si="4"/>
        <v>45.045045045045043</v>
      </c>
      <c r="AN68" s="1295">
        <f t="shared" si="5"/>
        <v>32.805429864253398</v>
      </c>
      <c r="AO68" s="1295">
        <f t="shared" si="6"/>
        <v>25.274725274725274</v>
      </c>
      <c r="AP68" s="1295">
        <f t="shared" si="7"/>
        <v>30.269058295964125</v>
      </c>
      <c r="AQ68" s="1295">
        <f t="shared" si="8"/>
        <v>28.697571743929359</v>
      </c>
      <c r="AR68" s="1295">
        <f t="shared" si="9"/>
        <v>26.018099547511312</v>
      </c>
      <c r="AS68" s="1295">
        <f t="shared" si="10"/>
        <v>22.673031026252982</v>
      </c>
      <c r="AT68" s="1295">
        <f t="shared" si="11"/>
        <v>38.694074969770249</v>
      </c>
      <c r="AU68" s="1295">
        <f t="shared" si="12"/>
        <v>19.950124688279303</v>
      </c>
      <c r="AV68" s="1295">
        <f t="shared" si="13"/>
        <v>32.061068702290079</v>
      </c>
      <c r="AW68" s="1295">
        <f t="shared" si="14"/>
        <v>35.439137134052388</v>
      </c>
      <c r="AX68" s="1569">
        <f t="shared" si="15"/>
        <v>14.85148514851485</v>
      </c>
      <c r="AY68" s="1572">
        <f t="shared" si="16"/>
        <v>22.569444444444443</v>
      </c>
    </row>
    <row r="69" spans="1:51" s="142" customFormat="1" ht="15.75" customHeight="1" x14ac:dyDescent="0.2">
      <c r="A69" s="149" t="s">
        <v>164</v>
      </c>
      <c r="B69" s="189" t="s">
        <v>165</v>
      </c>
      <c r="C69" s="150" t="s">
        <v>266</v>
      </c>
      <c r="D69" s="1239">
        <v>14</v>
      </c>
      <c r="E69" s="1240">
        <v>18</v>
      </c>
      <c r="F69" s="1241">
        <v>11</v>
      </c>
      <c r="G69" s="1240">
        <v>27</v>
      </c>
      <c r="H69" s="1241">
        <v>24</v>
      </c>
      <c r="I69" s="1240">
        <v>20</v>
      </c>
      <c r="J69" s="1241">
        <v>14</v>
      </c>
      <c r="K69" s="1240">
        <v>21</v>
      </c>
      <c r="L69" s="1254">
        <v>20</v>
      </c>
      <c r="M69" s="1254">
        <v>20</v>
      </c>
      <c r="N69" s="1254">
        <v>16</v>
      </c>
      <c r="O69" s="1254">
        <v>16</v>
      </c>
      <c r="P69" s="1255">
        <v>13</v>
      </c>
      <c r="Q69" s="1255">
        <v>7</v>
      </c>
      <c r="R69" s="1556">
        <v>4</v>
      </c>
      <c r="S69" s="1557">
        <f>'Teen births'!D69</f>
        <v>9</v>
      </c>
      <c r="T69" s="1262">
        <v>635</v>
      </c>
      <c r="U69" s="1263">
        <v>645</v>
      </c>
      <c r="V69" s="1263">
        <v>654</v>
      </c>
      <c r="W69" s="1263">
        <v>656</v>
      </c>
      <c r="X69" s="1263">
        <v>673</v>
      </c>
      <c r="Y69" s="1263">
        <v>656</v>
      </c>
      <c r="Z69" s="1263">
        <v>660</v>
      </c>
      <c r="AA69" s="1263">
        <v>612</v>
      </c>
      <c r="AB69" s="1263">
        <v>598</v>
      </c>
      <c r="AC69" s="1263">
        <v>607</v>
      </c>
      <c r="AD69" s="1263">
        <v>594</v>
      </c>
      <c r="AE69" s="1263">
        <v>604</v>
      </c>
      <c r="AF69" s="1263">
        <v>540</v>
      </c>
      <c r="AG69" s="1263">
        <v>548</v>
      </c>
      <c r="AH69" s="1559">
        <v>518</v>
      </c>
      <c r="AI69" s="1560">
        <f>'Teen births'!H69</f>
        <v>507</v>
      </c>
      <c r="AJ69" s="1294">
        <f t="shared" si="1"/>
        <v>22.047244094488189</v>
      </c>
      <c r="AK69" s="1295">
        <f t="shared" si="2"/>
        <v>27.906976744186046</v>
      </c>
      <c r="AL69" s="1295">
        <f t="shared" si="3"/>
        <v>16.819571865443425</v>
      </c>
      <c r="AM69" s="1295">
        <f t="shared" si="4"/>
        <v>41.158536585365859</v>
      </c>
      <c r="AN69" s="1295">
        <f t="shared" si="5"/>
        <v>35.661218424962854</v>
      </c>
      <c r="AO69" s="1295">
        <f t="shared" si="6"/>
        <v>30.487804878048781</v>
      </c>
      <c r="AP69" s="1295">
        <f t="shared" si="7"/>
        <v>21.212121212121215</v>
      </c>
      <c r="AQ69" s="1295">
        <f t="shared" si="8"/>
        <v>34.313725490196084</v>
      </c>
      <c r="AR69" s="1295">
        <f t="shared" si="9"/>
        <v>33.444816053511701</v>
      </c>
      <c r="AS69" s="1295">
        <f t="shared" si="10"/>
        <v>32.948929159802304</v>
      </c>
      <c r="AT69" s="1295">
        <f t="shared" si="11"/>
        <v>26.936026936026934</v>
      </c>
      <c r="AU69" s="1295">
        <f t="shared" si="12"/>
        <v>26.490066225165563</v>
      </c>
      <c r="AV69" s="1295">
        <f t="shared" si="13"/>
        <v>24.074074074074073</v>
      </c>
      <c r="AW69" s="1295">
        <f t="shared" si="14"/>
        <v>12.773722627737227</v>
      </c>
      <c r="AX69" s="1569">
        <f t="shared" si="15"/>
        <v>7.7220077220077226</v>
      </c>
      <c r="AY69" s="1572">
        <f t="shared" si="16"/>
        <v>17.751479289940828</v>
      </c>
    </row>
    <row r="70" spans="1:51" s="142" customFormat="1" ht="15.75" customHeight="1" x14ac:dyDescent="0.2">
      <c r="A70" s="149" t="s">
        <v>168</v>
      </c>
      <c r="B70" s="189" t="s">
        <v>169</v>
      </c>
      <c r="C70" s="150" t="s">
        <v>266</v>
      </c>
      <c r="D70" s="1239">
        <v>25</v>
      </c>
      <c r="E70" s="1240">
        <v>41</v>
      </c>
      <c r="F70" s="1241">
        <v>21</v>
      </c>
      <c r="G70" s="1240">
        <v>26</v>
      </c>
      <c r="H70" s="1241">
        <v>28</v>
      </c>
      <c r="I70" s="1240">
        <v>33</v>
      </c>
      <c r="J70" s="1241">
        <v>21</v>
      </c>
      <c r="K70" s="1240">
        <v>26</v>
      </c>
      <c r="L70" s="1254">
        <v>22</v>
      </c>
      <c r="M70" s="1254">
        <v>19</v>
      </c>
      <c r="N70" s="1254">
        <v>31</v>
      </c>
      <c r="O70" s="1254">
        <v>36</v>
      </c>
      <c r="P70" s="1255">
        <v>16</v>
      </c>
      <c r="Q70" s="1255">
        <v>16</v>
      </c>
      <c r="R70" s="1556">
        <v>27</v>
      </c>
      <c r="S70" s="1557">
        <f>'Teen births'!D70</f>
        <v>14</v>
      </c>
      <c r="T70" s="1262">
        <v>905</v>
      </c>
      <c r="U70" s="1263">
        <v>901</v>
      </c>
      <c r="V70" s="1263">
        <v>981</v>
      </c>
      <c r="W70" s="1263">
        <v>995</v>
      </c>
      <c r="X70" s="1263">
        <v>1012</v>
      </c>
      <c r="Y70" s="1263">
        <v>1000</v>
      </c>
      <c r="Z70" s="1263">
        <v>974</v>
      </c>
      <c r="AA70" s="1263">
        <v>927</v>
      </c>
      <c r="AB70" s="1263">
        <v>892</v>
      </c>
      <c r="AC70" s="1263">
        <v>881</v>
      </c>
      <c r="AD70" s="1263">
        <v>872</v>
      </c>
      <c r="AE70" s="1263">
        <v>927</v>
      </c>
      <c r="AF70" s="1263">
        <v>889</v>
      </c>
      <c r="AG70" s="1263">
        <v>866</v>
      </c>
      <c r="AH70" s="1559">
        <v>859</v>
      </c>
      <c r="AI70" s="1560">
        <f>'Teen births'!H70</f>
        <v>836</v>
      </c>
      <c r="AJ70" s="1294">
        <f t="shared" ref="AJ70:AJ125" si="17">IF(T70=0,"NA",(D70/T70)*1000)</f>
        <v>27.624309392265193</v>
      </c>
      <c r="AK70" s="1295">
        <f t="shared" ref="AK70:AK125" si="18">IF(U70=0,"NA",(E70/U70)*1000)</f>
        <v>45.504994450610432</v>
      </c>
      <c r="AL70" s="1295">
        <f t="shared" ref="AL70:AL125" si="19">IF(V70=0,"NA",(F70/V70)*1000)</f>
        <v>21.406727828746178</v>
      </c>
      <c r="AM70" s="1295">
        <f t="shared" ref="AM70:AM125" si="20">IF(W70=0,"NA",(G70/W70)*1000)</f>
        <v>26.13065326633166</v>
      </c>
      <c r="AN70" s="1295">
        <f t="shared" ref="AN70:AN125" si="21">IF(X70=0,"NA",(H70/X70)*1000)</f>
        <v>27.66798418972332</v>
      </c>
      <c r="AO70" s="1295">
        <f t="shared" ref="AO70:AO125" si="22">IF(Y70=0,"NA",(I70/Y70)*1000)</f>
        <v>33</v>
      </c>
      <c r="AP70" s="1295">
        <f t="shared" ref="AP70:AP125" si="23">IF(Z70=0,"NA",(J70/Z70)*1000)</f>
        <v>21.560574948665298</v>
      </c>
      <c r="AQ70" s="1295">
        <f t="shared" ref="AQ70:AQ125" si="24">IF(AA70=0,"NA",(K70/AA70)*1000)</f>
        <v>28.047464940668824</v>
      </c>
      <c r="AR70" s="1295">
        <f t="shared" ref="AR70:AR125" si="25">IF(AB70=0,"NA",(L70/AB70)*1000)</f>
        <v>24.663677130044842</v>
      </c>
      <c r="AS70" s="1295">
        <f t="shared" ref="AS70:AS125" si="26">IF(AC70=0,"NA",(M70/AC70)*1000)</f>
        <v>21.566401816118049</v>
      </c>
      <c r="AT70" s="1295">
        <f t="shared" ref="AT70:AT125" si="27">IF(AD70=0,"NA",(N70/AD70)*1000)</f>
        <v>35.550458715596335</v>
      </c>
      <c r="AU70" s="1295">
        <f t="shared" ref="AU70:AU125" si="28">IF(AE70=0,"NA",(O70/AE70)*1000)</f>
        <v>38.834951456310677</v>
      </c>
      <c r="AV70" s="1295">
        <f t="shared" ref="AV70:AV125" si="29">IF(AF70=0,"NA",(P70/AF70)*1000)</f>
        <v>17.997750281214849</v>
      </c>
      <c r="AW70" s="1295">
        <f t="shared" ref="AW70:AW125" si="30">IF(AG70=0,"NA",(Q70/AG70)*1000)</f>
        <v>18.475750577367204</v>
      </c>
      <c r="AX70" s="1569">
        <f t="shared" ref="AX70:AX125" si="31">IF(AH70=0,"NA",(R70/AH70)*1000)</f>
        <v>31.431897555296857</v>
      </c>
      <c r="AY70" s="1572">
        <f t="shared" ref="AY70:AY125" si="32">IF(AI70=0,"NA",(S70/AI70)*1000)</f>
        <v>16.746411483253588</v>
      </c>
    </row>
    <row r="71" spans="1:51" s="142" customFormat="1" ht="15.75" customHeight="1" x14ac:dyDescent="0.2">
      <c r="A71" s="149" t="s">
        <v>170</v>
      </c>
      <c r="B71" s="189" t="s">
        <v>171</v>
      </c>
      <c r="C71" s="150" t="s">
        <v>267</v>
      </c>
      <c r="D71" s="1239">
        <v>40</v>
      </c>
      <c r="E71" s="1240">
        <v>45</v>
      </c>
      <c r="F71" s="1241">
        <v>35</v>
      </c>
      <c r="G71" s="1240">
        <v>31</v>
      </c>
      <c r="H71" s="1241">
        <v>37</v>
      </c>
      <c r="I71" s="1240">
        <v>42</v>
      </c>
      <c r="J71" s="1241">
        <v>33</v>
      </c>
      <c r="K71" s="1240">
        <v>32</v>
      </c>
      <c r="L71" s="1254">
        <v>35</v>
      </c>
      <c r="M71" s="1254">
        <v>35</v>
      </c>
      <c r="N71" s="1254">
        <v>40</v>
      </c>
      <c r="O71" s="1254">
        <v>28</v>
      </c>
      <c r="P71" s="1255">
        <v>34</v>
      </c>
      <c r="Q71" s="1255">
        <v>35</v>
      </c>
      <c r="R71" s="1556">
        <v>22</v>
      </c>
      <c r="S71" s="1557">
        <f>'Teen births'!D71</f>
        <v>26</v>
      </c>
      <c r="T71" s="1262">
        <v>1515</v>
      </c>
      <c r="U71" s="1263">
        <v>1532</v>
      </c>
      <c r="V71" s="1263">
        <v>1645</v>
      </c>
      <c r="W71" s="1263">
        <v>1664</v>
      </c>
      <c r="X71" s="1263">
        <v>1703</v>
      </c>
      <c r="Y71" s="1263">
        <v>1723</v>
      </c>
      <c r="Z71" s="1263">
        <v>1755</v>
      </c>
      <c r="AA71" s="1263">
        <v>1783</v>
      </c>
      <c r="AB71" s="1263">
        <v>1811</v>
      </c>
      <c r="AC71" s="1263">
        <v>1795</v>
      </c>
      <c r="AD71" s="1263">
        <v>1802</v>
      </c>
      <c r="AE71" s="1263">
        <v>2075</v>
      </c>
      <c r="AF71" s="1263">
        <v>2074</v>
      </c>
      <c r="AG71" s="1263">
        <v>2034</v>
      </c>
      <c r="AH71" s="1559">
        <v>2043</v>
      </c>
      <c r="AI71" s="1560">
        <f>'Teen births'!H71</f>
        <v>2059</v>
      </c>
      <c r="AJ71" s="1294">
        <f t="shared" si="17"/>
        <v>26.402640264026402</v>
      </c>
      <c r="AK71" s="1295">
        <f t="shared" si="18"/>
        <v>29.373368146214101</v>
      </c>
      <c r="AL71" s="1295">
        <f t="shared" si="19"/>
        <v>21.276595744680851</v>
      </c>
      <c r="AM71" s="1295">
        <f t="shared" si="20"/>
        <v>18.629807692307693</v>
      </c>
      <c r="AN71" s="1295">
        <f t="shared" si="21"/>
        <v>21.726365237815617</v>
      </c>
      <c r="AO71" s="1295">
        <f t="shared" si="22"/>
        <v>24.376088218224027</v>
      </c>
      <c r="AP71" s="1295">
        <f t="shared" si="23"/>
        <v>18.803418803418804</v>
      </c>
      <c r="AQ71" s="1295">
        <f t="shared" si="24"/>
        <v>17.947279865395402</v>
      </c>
      <c r="AR71" s="1295">
        <f t="shared" si="25"/>
        <v>19.326339039204861</v>
      </c>
      <c r="AS71" s="1295">
        <f t="shared" si="26"/>
        <v>19.498607242339833</v>
      </c>
      <c r="AT71" s="1295">
        <f t="shared" si="27"/>
        <v>22.197558268590456</v>
      </c>
      <c r="AU71" s="1295">
        <f t="shared" si="28"/>
        <v>13.493975903614457</v>
      </c>
      <c r="AV71" s="1295">
        <f t="shared" si="29"/>
        <v>16.393442622950822</v>
      </c>
      <c r="AW71" s="1295">
        <f t="shared" si="30"/>
        <v>17.207472959685351</v>
      </c>
      <c r="AX71" s="1569">
        <f t="shared" si="31"/>
        <v>10.768477728830151</v>
      </c>
      <c r="AY71" s="1572">
        <f t="shared" si="32"/>
        <v>12.627489072365226</v>
      </c>
    </row>
    <row r="72" spans="1:51" s="142" customFormat="1" ht="15.75" customHeight="1" x14ac:dyDescent="0.2">
      <c r="A72" s="149" t="s">
        <v>172</v>
      </c>
      <c r="B72" s="189" t="s">
        <v>173</v>
      </c>
      <c r="C72" s="150" t="s">
        <v>267</v>
      </c>
      <c r="D72" s="1239">
        <v>43</v>
      </c>
      <c r="E72" s="1240">
        <v>43</v>
      </c>
      <c r="F72" s="1241">
        <v>52</v>
      </c>
      <c r="G72" s="1240">
        <v>45</v>
      </c>
      <c r="H72" s="1241">
        <v>49</v>
      </c>
      <c r="I72" s="1240">
        <v>41</v>
      </c>
      <c r="J72" s="1241">
        <v>45</v>
      </c>
      <c r="K72" s="1240">
        <v>32</v>
      </c>
      <c r="L72" s="1254">
        <v>31</v>
      </c>
      <c r="M72" s="1254">
        <v>32</v>
      </c>
      <c r="N72" s="1254">
        <v>27</v>
      </c>
      <c r="O72" s="1254">
        <v>34</v>
      </c>
      <c r="P72" s="1255">
        <v>26</v>
      </c>
      <c r="Q72" s="1255">
        <v>33</v>
      </c>
      <c r="R72" s="1556">
        <v>26</v>
      </c>
      <c r="S72" s="1557">
        <f>'Teen births'!D72</f>
        <v>23</v>
      </c>
      <c r="T72" s="1262">
        <v>1495</v>
      </c>
      <c r="U72" s="1263">
        <v>1507</v>
      </c>
      <c r="V72" s="1263">
        <v>1495</v>
      </c>
      <c r="W72" s="1263">
        <v>1463</v>
      </c>
      <c r="X72" s="1263">
        <v>1471</v>
      </c>
      <c r="Y72" s="1263">
        <v>1472</v>
      </c>
      <c r="Z72" s="1263">
        <v>1473</v>
      </c>
      <c r="AA72" s="1263">
        <v>1476</v>
      </c>
      <c r="AB72" s="1263">
        <v>1437</v>
      </c>
      <c r="AC72" s="1263">
        <v>1432</v>
      </c>
      <c r="AD72" s="1263">
        <v>1405</v>
      </c>
      <c r="AE72" s="1263">
        <v>1408</v>
      </c>
      <c r="AF72" s="1263">
        <v>1450</v>
      </c>
      <c r="AG72" s="1263">
        <v>1422</v>
      </c>
      <c r="AH72" s="1559">
        <v>1400</v>
      </c>
      <c r="AI72" s="1560">
        <f>'Teen births'!H72</f>
        <v>1364</v>
      </c>
      <c r="AJ72" s="1294">
        <f t="shared" si="17"/>
        <v>28.762541806020067</v>
      </c>
      <c r="AK72" s="1295">
        <f t="shared" si="18"/>
        <v>28.533510285335105</v>
      </c>
      <c r="AL72" s="1295">
        <f t="shared" si="19"/>
        <v>34.782608695652172</v>
      </c>
      <c r="AM72" s="1295">
        <f t="shared" si="20"/>
        <v>30.758714969241282</v>
      </c>
      <c r="AN72" s="1295">
        <f t="shared" si="21"/>
        <v>33.310673011556759</v>
      </c>
      <c r="AO72" s="1295">
        <f t="shared" si="22"/>
        <v>27.853260869565215</v>
      </c>
      <c r="AP72" s="1295">
        <f t="shared" si="23"/>
        <v>30.549898167006109</v>
      </c>
      <c r="AQ72" s="1295">
        <f t="shared" si="24"/>
        <v>21.680216802168022</v>
      </c>
      <c r="AR72" s="1295">
        <f t="shared" si="25"/>
        <v>21.572720946416144</v>
      </c>
      <c r="AS72" s="1295">
        <f t="shared" si="26"/>
        <v>22.346368715083798</v>
      </c>
      <c r="AT72" s="1295">
        <f t="shared" si="27"/>
        <v>19.217081850533805</v>
      </c>
      <c r="AU72" s="1295">
        <f t="shared" si="28"/>
        <v>24.147727272727273</v>
      </c>
      <c r="AV72" s="1295">
        <f t="shared" si="29"/>
        <v>17.931034482758619</v>
      </c>
      <c r="AW72" s="1295">
        <f t="shared" si="30"/>
        <v>23.206751054852322</v>
      </c>
      <c r="AX72" s="1569">
        <f t="shared" si="31"/>
        <v>18.571428571428573</v>
      </c>
      <c r="AY72" s="1572">
        <f t="shared" si="32"/>
        <v>16.862170087976537</v>
      </c>
    </row>
    <row r="73" spans="1:51" s="142" customFormat="1" ht="15.75" customHeight="1" x14ac:dyDescent="0.2">
      <c r="A73" s="149" t="s">
        <v>174</v>
      </c>
      <c r="B73" s="189" t="s">
        <v>175</v>
      </c>
      <c r="C73" s="150" t="s">
        <v>268</v>
      </c>
      <c r="D73" s="1239">
        <v>23</v>
      </c>
      <c r="E73" s="1240">
        <v>29</v>
      </c>
      <c r="F73" s="1241">
        <v>22</v>
      </c>
      <c r="G73" s="1240">
        <v>21</v>
      </c>
      <c r="H73" s="1241">
        <v>24</v>
      </c>
      <c r="I73" s="1240">
        <v>21</v>
      </c>
      <c r="J73" s="1241">
        <v>15</v>
      </c>
      <c r="K73" s="1240">
        <v>28</v>
      </c>
      <c r="L73" s="1254">
        <v>13</v>
      </c>
      <c r="M73" s="1254">
        <v>15</v>
      </c>
      <c r="N73" s="1254">
        <v>21</v>
      </c>
      <c r="O73" s="1254">
        <v>15</v>
      </c>
      <c r="P73" s="1255">
        <v>20</v>
      </c>
      <c r="Q73" s="1255">
        <v>10</v>
      </c>
      <c r="R73" s="1556">
        <v>15</v>
      </c>
      <c r="S73" s="1557">
        <f>'Teen births'!D73</f>
        <v>13</v>
      </c>
      <c r="T73" s="1262">
        <v>1010</v>
      </c>
      <c r="U73" s="1263">
        <v>994</v>
      </c>
      <c r="V73" s="1263">
        <v>1118</v>
      </c>
      <c r="W73" s="1263">
        <v>1112</v>
      </c>
      <c r="X73" s="1263">
        <v>1109</v>
      </c>
      <c r="Y73" s="1263">
        <v>1090</v>
      </c>
      <c r="Z73" s="1263">
        <v>1100</v>
      </c>
      <c r="AA73" s="1263">
        <v>1085</v>
      </c>
      <c r="AB73" s="1263">
        <v>1067</v>
      </c>
      <c r="AC73" s="1263">
        <v>1044</v>
      </c>
      <c r="AD73" s="1263">
        <v>1022</v>
      </c>
      <c r="AE73" s="1263">
        <v>1060</v>
      </c>
      <c r="AF73" s="1263">
        <v>1049</v>
      </c>
      <c r="AG73" s="1263">
        <v>994</v>
      </c>
      <c r="AH73" s="1559">
        <v>1006</v>
      </c>
      <c r="AI73" s="1560">
        <f>'Teen births'!H73</f>
        <v>984</v>
      </c>
      <c r="AJ73" s="1294">
        <f t="shared" si="17"/>
        <v>22.772277227722771</v>
      </c>
      <c r="AK73" s="1295">
        <f t="shared" si="18"/>
        <v>29.175050301810867</v>
      </c>
      <c r="AL73" s="1295">
        <f t="shared" si="19"/>
        <v>19.677996422182471</v>
      </c>
      <c r="AM73" s="1295">
        <f t="shared" si="20"/>
        <v>18.884892086330936</v>
      </c>
      <c r="AN73" s="1295">
        <f t="shared" si="21"/>
        <v>21.641118124436431</v>
      </c>
      <c r="AO73" s="1295">
        <f t="shared" si="22"/>
        <v>19.26605504587156</v>
      </c>
      <c r="AP73" s="1295">
        <f t="shared" si="23"/>
        <v>13.636363636363635</v>
      </c>
      <c r="AQ73" s="1295">
        <f t="shared" si="24"/>
        <v>25.806451612903224</v>
      </c>
      <c r="AR73" s="1295">
        <f t="shared" si="25"/>
        <v>12.183692596063731</v>
      </c>
      <c r="AS73" s="1295">
        <f t="shared" si="26"/>
        <v>14.367816091954023</v>
      </c>
      <c r="AT73" s="1295">
        <f t="shared" si="27"/>
        <v>20.547945205479451</v>
      </c>
      <c r="AU73" s="1295">
        <f t="shared" si="28"/>
        <v>14.150943396226415</v>
      </c>
      <c r="AV73" s="1295">
        <f t="shared" si="29"/>
        <v>19.065776930409914</v>
      </c>
      <c r="AW73" s="1295">
        <f t="shared" si="30"/>
        <v>10.060362173038229</v>
      </c>
      <c r="AX73" s="1569">
        <f t="shared" si="31"/>
        <v>14.910536779324055</v>
      </c>
      <c r="AY73" s="1572">
        <f t="shared" si="32"/>
        <v>13.21138211382114</v>
      </c>
    </row>
    <row r="74" spans="1:51" s="142" customFormat="1" ht="15.75" customHeight="1" x14ac:dyDescent="0.2">
      <c r="A74" s="149" t="s">
        <v>178</v>
      </c>
      <c r="B74" s="189" t="s">
        <v>179</v>
      </c>
      <c r="C74" s="150" t="s">
        <v>265</v>
      </c>
      <c r="D74" s="1239">
        <v>105</v>
      </c>
      <c r="E74" s="1240">
        <v>123</v>
      </c>
      <c r="F74" s="1241">
        <v>115</v>
      </c>
      <c r="G74" s="1240">
        <v>89</v>
      </c>
      <c r="H74" s="1241">
        <v>70</v>
      </c>
      <c r="I74" s="1240">
        <v>92</v>
      </c>
      <c r="J74" s="1241">
        <v>70</v>
      </c>
      <c r="K74" s="1240">
        <v>90</v>
      </c>
      <c r="L74" s="1254">
        <v>68</v>
      </c>
      <c r="M74" s="1254">
        <v>72</v>
      </c>
      <c r="N74" s="1254">
        <v>69</v>
      </c>
      <c r="O74" s="1254">
        <v>63</v>
      </c>
      <c r="P74" s="1255">
        <v>56</v>
      </c>
      <c r="Q74" s="1255">
        <v>42</v>
      </c>
      <c r="R74" s="1556">
        <v>48</v>
      </c>
      <c r="S74" s="1557">
        <f>'Teen births'!D74</f>
        <v>36</v>
      </c>
      <c r="T74" s="1262">
        <v>3613</v>
      </c>
      <c r="U74" s="1263">
        <v>3601</v>
      </c>
      <c r="V74" s="1263">
        <v>4068</v>
      </c>
      <c r="W74" s="1263">
        <v>4021</v>
      </c>
      <c r="X74" s="1263">
        <v>3989</v>
      </c>
      <c r="Y74" s="1263">
        <v>3909</v>
      </c>
      <c r="Z74" s="1263">
        <v>3873</v>
      </c>
      <c r="AA74" s="1263">
        <v>3776</v>
      </c>
      <c r="AB74" s="1263">
        <v>3690</v>
      </c>
      <c r="AC74" s="1263">
        <v>3598</v>
      </c>
      <c r="AD74" s="1263">
        <v>3536</v>
      </c>
      <c r="AE74" s="1263">
        <v>3670</v>
      </c>
      <c r="AF74" s="1263">
        <v>3759</v>
      </c>
      <c r="AG74" s="1263">
        <v>3736</v>
      </c>
      <c r="AH74" s="1559">
        <v>3668</v>
      </c>
      <c r="AI74" s="1560">
        <f>'Teen births'!H74</f>
        <v>3669</v>
      </c>
      <c r="AJ74" s="1294">
        <f t="shared" si="17"/>
        <v>29.061721561029614</v>
      </c>
      <c r="AK74" s="1295">
        <f t="shared" si="18"/>
        <v>34.15717856151069</v>
      </c>
      <c r="AL74" s="1295">
        <f t="shared" si="19"/>
        <v>28.269419862340218</v>
      </c>
      <c r="AM74" s="1295">
        <f t="shared" si="20"/>
        <v>22.133797562795323</v>
      </c>
      <c r="AN74" s="1295">
        <f t="shared" si="21"/>
        <v>17.548257708698923</v>
      </c>
      <c r="AO74" s="1295">
        <f t="shared" si="22"/>
        <v>23.535431056536197</v>
      </c>
      <c r="AP74" s="1295">
        <f t="shared" si="23"/>
        <v>18.073844564936742</v>
      </c>
      <c r="AQ74" s="1295">
        <f t="shared" si="24"/>
        <v>23.834745762711865</v>
      </c>
      <c r="AR74" s="1295">
        <f t="shared" si="25"/>
        <v>18.428184281842821</v>
      </c>
      <c r="AS74" s="1295">
        <f t="shared" si="26"/>
        <v>20.011117287381879</v>
      </c>
      <c r="AT74" s="1295">
        <f t="shared" si="27"/>
        <v>19.513574660633484</v>
      </c>
      <c r="AU74" s="1295">
        <f t="shared" si="28"/>
        <v>17.166212534059945</v>
      </c>
      <c r="AV74" s="1295">
        <f t="shared" si="29"/>
        <v>14.8975791433892</v>
      </c>
      <c r="AW74" s="1295">
        <f t="shared" si="30"/>
        <v>11.241970021413277</v>
      </c>
      <c r="AX74" s="1569">
        <f t="shared" si="31"/>
        <v>13.086150490730644</v>
      </c>
      <c r="AY74" s="1572">
        <f t="shared" si="32"/>
        <v>9.8119378577269014</v>
      </c>
    </row>
    <row r="75" spans="1:51" s="142" customFormat="1" ht="15.75" customHeight="1" x14ac:dyDescent="0.2">
      <c r="A75" s="149" t="s">
        <v>182</v>
      </c>
      <c r="B75" s="189" t="s">
        <v>183</v>
      </c>
      <c r="C75" s="150" t="s">
        <v>266</v>
      </c>
      <c r="D75" s="1239">
        <v>7</v>
      </c>
      <c r="E75" s="1240">
        <v>17</v>
      </c>
      <c r="F75" s="1241">
        <v>20</v>
      </c>
      <c r="G75" s="1240">
        <v>17</v>
      </c>
      <c r="H75" s="1241">
        <v>12</v>
      </c>
      <c r="I75" s="1240">
        <v>12</v>
      </c>
      <c r="J75" s="1241">
        <v>14</v>
      </c>
      <c r="K75" s="1240">
        <v>13</v>
      </c>
      <c r="L75" s="1254">
        <v>11</v>
      </c>
      <c r="M75" s="1254">
        <v>10</v>
      </c>
      <c r="N75" s="1254">
        <v>11</v>
      </c>
      <c r="O75" s="1254">
        <v>7</v>
      </c>
      <c r="P75" s="1255">
        <v>14</v>
      </c>
      <c r="Q75" s="1255">
        <v>8</v>
      </c>
      <c r="R75" s="1556">
        <v>15</v>
      </c>
      <c r="S75" s="1557">
        <f>'Teen births'!D75</f>
        <v>10</v>
      </c>
      <c r="T75" s="1262">
        <v>1014</v>
      </c>
      <c r="U75" s="1263">
        <v>1028</v>
      </c>
      <c r="V75" s="1263">
        <v>1370</v>
      </c>
      <c r="W75" s="1263">
        <v>1429</v>
      </c>
      <c r="X75" s="1263">
        <v>1497</v>
      </c>
      <c r="Y75" s="1263">
        <v>1545</v>
      </c>
      <c r="Z75" s="1263">
        <v>1620</v>
      </c>
      <c r="AA75" s="1263">
        <v>1620</v>
      </c>
      <c r="AB75" s="1263">
        <v>1628</v>
      </c>
      <c r="AC75" s="1263">
        <v>1589</v>
      </c>
      <c r="AD75" s="1263">
        <v>1596</v>
      </c>
      <c r="AE75" s="1263">
        <v>1770</v>
      </c>
      <c r="AF75" s="1263">
        <v>1793</v>
      </c>
      <c r="AG75" s="1263">
        <v>1792</v>
      </c>
      <c r="AH75" s="1559">
        <v>1719</v>
      </c>
      <c r="AI75" s="1560">
        <f>'Teen births'!H75</f>
        <v>1617</v>
      </c>
      <c r="AJ75" s="1294">
        <f t="shared" si="17"/>
        <v>6.9033530571992108</v>
      </c>
      <c r="AK75" s="1295">
        <f t="shared" si="18"/>
        <v>16.536964980544749</v>
      </c>
      <c r="AL75" s="1295">
        <f t="shared" si="19"/>
        <v>14.598540145985401</v>
      </c>
      <c r="AM75" s="1295">
        <f t="shared" si="20"/>
        <v>11.896431070678798</v>
      </c>
      <c r="AN75" s="1295">
        <f t="shared" si="21"/>
        <v>8.0160320641282556</v>
      </c>
      <c r="AO75" s="1295">
        <f t="shared" si="22"/>
        <v>7.766990291262136</v>
      </c>
      <c r="AP75" s="1295">
        <f t="shared" si="23"/>
        <v>8.6419753086419746</v>
      </c>
      <c r="AQ75" s="1295">
        <f t="shared" si="24"/>
        <v>8.0246913580246915</v>
      </c>
      <c r="AR75" s="1295">
        <f t="shared" si="25"/>
        <v>6.756756756756757</v>
      </c>
      <c r="AS75" s="1295">
        <f t="shared" si="26"/>
        <v>6.2932662051604789</v>
      </c>
      <c r="AT75" s="1295">
        <f t="shared" si="27"/>
        <v>6.8922305764411025</v>
      </c>
      <c r="AU75" s="1295">
        <f t="shared" si="28"/>
        <v>3.9548022598870056</v>
      </c>
      <c r="AV75" s="1295">
        <f t="shared" si="29"/>
        <v>7.8081427774679311</v>
      </c>
      <c r="AW75" s="1295">
        <f t="shared" si="30"/>
        <v>4.4642857142857144</v>
      </c>
      <c r="AX75" s="1569">
        <f t="shared" si="31"/>
        <v>8.7260034904013963</v>
      </c>
      <c r="AY75" s="1572">
        <f t="shared" si="32"/>
        <v>6.1842918985776132</v>
      </c>
    </row>
    <row r="76" spans="1:51" s="142" customFormat="1" ht="15.75" customHeight="1" x14ac:dyDescent="0.2">
      <c r="A76" s="149" t="s">
        <v>184</v>
      </c>
      <c r="B76" s="189" t="s">
        <v>185</v>
      </c>
      <c r="C76" s="150" t="s">
        <v>266</v>
      </c>
      <c r="D76" s="1239">
        <v>38</v>
      </c>
      <c r="E76" s="1240">
        <v>37</v>
      </c>
      <c r="F76" s="1241">
        <v>44</v>
      </c>
      <c r="G76" s="1240">
        <v>32</v>
      </c>
      <c r="H76" s="1241">
        <v>25</v>
      </c>
      <c r="I76" s="1240">
        <v>21</v>
      </c>
      <c r="J76" s="1241">
        <v>23</v>
      </c>
      <c r="K76" s="1240">
        <v>26</v>
      </c>
      <c r="L76" s="1254">
        <v>25</v>
      </c>
      <c r="M76" s="1254">
        <v>25</v>
      </c>
      <c r="N76" s="1254">
        <v>34</v>
      </c>
      <c r="O76" s="1254">
        <v>27</v>
      </c>
      <c r="P76" s="1255">
        <v>25</v>
      </c>
      <c r="Q76" s="1255">
        <v>23</v>
      </c>
      <c r="R76" s="1556">
        <v>16</v>
      </c>
      <c r="S76" s="1557">
        <f>'Teen births'!D76</f>
        <v>12</v>
      </c>
      <c r="T76" s="1262">
        <v>1670</v>
      </c>
      <c r="U76" s="1263">
        <v>1667</v>
      </c>
      <c r="V76" s="1263">
        <v>1854</v>
      </c>
      <c r="W76" s="1263">
        <v>1867</v>
      </c>
      <c r="X76" s="1263">
        <v>1910</v>
      </c>
      <c r="Y76" s="1263">
        <v>1933</v>
      </c>
      <c r="Z76" s="1263">
        <v>1924</v>
      </c>
      <c r="AA76" s="1263">
        <v>1890</v>
      </c>
      <c r="AB76" s="1263">
        <v>1875</v>
      </c>
      <c r="AC76" s="1263">
        <v>1936</v>
      </c>
      <c r="AD76" s="1263">
        <v>1978</v>
      </c>
      <c r="AE76" s="1263">
        <v>2049</v>
      </c>
      <c r="AF76" s="1263">
        <v>2030</v>
      </c>
      <c r="AG76" s="1263">
        <v>1994</v>
      </c>
      <c r="AH76" s="1559">
        <v>1969</v>
      </c>
      <c r="AI76" s="1560">
        <f>'Teen births'!H76</f>
        <v>2019</v>
      </c>
      <c r="AJ76" s="1294">
        <f t="shared" si="17"/>
        <v>22.754491017964074</v>
      </c>
      <c r="AK76" s="1295">
        <f t="shared" si="18"/>
        <v>22.195560887822438</v>
      </c>
      <c r="AL76" s="1295">
        <f t="shared" si="19"/>
        <v>23.732470334412085</v>
      </c>
      <c r="AM76" s="1295">
        <f t="shared" si="20"/>
        <v>17.13979646491698</v>
      </c>
      <c r="AN76" s="1295">
        <f t="shared" si="21"/>
        <v>13.089005235602095</v>
      </c>
      <c r="AO76" s="1295">
        <f t="shared" si="22"/>
        <v>10.863942058975685</v>
      </c>
      <c r="AP76" s="1295">
        <f t="shared" si="23"/>
        <v>11.954261954261955</v>
      </c>
      <c r="AQ76" s="1295">
        <f t="shared" si="24"/>
        <v>13.756613756613756</v>
      </c>
      <c r="AR76" s="1295">
        <f t="shared" si="25"/>
        <v>13.333333333333334</v>
      </c>
      <c r="AS76" s="1295">
        <f t="shared" si="26"/>
        <v>12.913223140495868</v>
      </c>
      <c r="AT76" s="1295">
        <f t="shared" si="27"/>
        <v>17.189079878665318</v>
      </c>
      <c r="AU76" s="1295">
        <f t="shared" si="28"/>
        <v>13.177159590043924</v>
      </c>
      <c r="AV76" s="1295">
        <f t="shared" si="29"/>
        <v>12.315270935960593</v>
      </c>
      <c r="AW76" s="1295">
        <f t="shared" si="30"/>
        <v>11.534603811434303</v>
      </c>
      <c r="AX76" s="1569">
        <f t="shared" si="31"/>
        <v>8.1259522600304717</v>
      </c>
      <c r="AY76" s="1572">
        <f t="shared" si="32"/>
        <v>5.9435364041604748</v>
      </c>
    </row>
    <row r="77" spans="1:51" s="142" customFormat="1" ht="15.75" customHeight="1" x14ac:dyDescent="0.2">
      <c r="A77" s="149" t="s">
        <v>186</v>
      </c>
      <c r="B77" s="189" t="s">
        <v>187</v>
      </c>
      <c r="C77" s="150" t="s">
        <v>264</v>
      </c>
      <c r="D77" s="1239">
        <v>29</v>
      </c>
      <c r="E77" s="1240">
        <v>38</v>
      </c>
      <c r="F77" s="1241">
        <v>34</v>
      </c>
      <c r="G77" s="1240">
        <v>29</v>
      </c>
      <c r="H77" s="1241">
        <v>29</v>
      </c>
      <c r="I77" s="1240">
        <v>42</v>
      </c>
      <c r="J77" s="1241">
        <v>37</v>
      </c>
      <c r="K77" s="1240">
        <v>30</v>
      </c>
      <c r="L77" s="1254">
        <v>21</v>
      </c>
      <c r="M77" s="1254">
        <v>32</v>
      </c>
      <c r="N77" s="1254">
        <v>23</v>
      </c>
      <c r="O77" s="1254">
        <v>38</v>
      </c>
      <c r="P77" s="1255">
        <v>30</v>
      </c>
      <c r="Q77" s="1255">
        <v>27</v>
      </c>
      <c r="R77" s="1556">
        <v>24</v>
      </c>
      <c r="S77" s="1557">
        <f>'Teen births'!D77</f>
        <v>19</v>
      </c>
      <c r="T77" s="1262">
        <v>2054</v>
      </c>
      <c r="U77" s="1263">
        <v>2064</v>
      </c>
      <c r="V77" s="1263">
        <v>2544</v>
      </c>
      <c r="W77" s="1263">
        <v>2647</v>
      </c>
      <c r="X77" s="1263">
        <v>2695</v>
      </c>
      <c r="Y77" s="1263">
        <v>2727</v>
      </c>
      <c r="Z77" s="1263">
        <v>2712</v>
      </c>
      <c r="AA77" s="1263">
        <v>2654</v>
      </c>
      <c r="AB77" s="1263">
        <v>2573</v>
      </c>
      <c r="AC77" s="1263">
        <v>2554</v>
      </c>
      <c r="AD77" s="1263">
        <v>2484</v>
      </c>
      <c r="AE77" s="1263">
        <v>2716</v>
      </c>
      <c r="AF77" s="1263">
        <v>2312</v>
      </c>
      <c r="AG77" s="1263">
        <v>2343</v>
      </c>
      <c r="AH77" s="1559">
        <v>2278</v>
      </c>
      <c r="AI77" s="1560">
        <f>'Teen births'!H77</f>
        <v>2237</v>
      </c>
      <c r="AJ77" s="1294">
        <f t="shared" si="17"/>
        <v>14.118792599805257</v>
      </c>
      <c r="AK77" s="1295">
        <f t="shared" si="18"/>
        <v>18.410852713178297</v>
      </c>
      <c r="AL77" s="1295">
        <f t="shared" si="19"/>
        <v>13.364779874213838</v>
      </c>
      <c r="AM77" s="1295">
        <f t="shared" si="20"/>
        <v>10.95579901775595</v>
      </c>
      <c r="AN77" s="1295">
        <f t="shared" si="21"/>
        <v>10.760667903525047</v>
      </c>
      <c r="AO77" s="1295">
        <f t="shared" si="22"/>
        <v>15.401540154015402</v>
      </c>
      <c r="AP77" s="1295">
        <f t="shared" si="23"/>
        <v>13.64306784660767</v>
      </c>
      <c r="AQ77" s="1295">
        <f t="shared" si="24"/>
        <v>11.303692539562924</v>
      </c>
      <c r="AR77" s="1295">
        <f t="shared" si="25"/>
        <v>8.1616789739603579</v>
      </c>
      <c r="AS77" s="1295">
        <f t="shared" si="26"/>
        <v>12.529365700861394</v>
      </c>
      <c r="AT77" s="1295">
        <f t="shared" si="27"/>
        <v>9.2592592592592595</v>
      </c>
      <c r="AU77" s="1295">
        <f t="shared" si="28"/>
        <v>13.991163475699558</v>
      </c>
      <c r="AV77" s="1295">
        <f t="shared" si="29"/>
        <v>12.975778546712801</v>
      </c>
      <c r="AW77" s="1295">
        <f t="shared" si="30"/>
        <v>11.523687580025609</v>
      </c>
      <c r="AX77" s="1569">
        <f t="shared" si="31"/>
        <v>10.535557506584723</v>
      </c>
      <c r="AY77" s="1572">
        <f t="shared" si="32"/>
        <v>8.4935181046043802</v>
      </c>
    </row>
    <row r="78" spans="1:51" s="142" customFormat="1" ht="15.75" customHeight="1" x14ac:dyDescent="0.2">
      <c r="A78" s="149" t="s">
        <v>188</v>
      </c>
      <c r="B78" s="189" t="s">
        <v>189</v>
      </c>
      <c r="C78" s="150" t="s">
        <v>267</v>
      </c>
      <c r="D78" s="1239">
        <v>405</v>
      </c>
      <c r="E78" s="1240">
        <v>426</v>
      </c>
      <c r="F78" s="1241">
        <v>404</v>
      </c>
      <c r="G78" s="1240">
        <v>451</v>
      </c>
      <c r="H78" s="1241">
        <v>420</v>
      </c>
      <c r="I78" s="1240">
        <v>386</v>
      </c>
      <c r="J78" s="1241">
        <v>439</v>
      </c>
      <c r="K78" s="1240">
        <v>447</v>
      </c>
      <c r="L78" s="1254">
        <v>479</v>
      </c>
      <c r="M78" s="1254">
        <v>474</v>
      </c>
      <c r="N78" s="1254">
        <v>408</v>
      </c>
      <c r="O78" s="1254">
        <v>404</v>
      </c>
      <c r="P78" s="1255">
        <v>380</v>
      </c>
      <c r="Q78" s="1255">
        <v>325</v>
      </c>
      <c r="R78" s="1556">
        <v>325</v>
      </c>
      <c r="S78" s="1557">
        <f>'Teen births'!D78</f>
        <v>275</v>
      </c>
      <c r="T78" s="1262">
        <v>19321</v>
      </c>
      <c r="U78" s="1263">
        <v>19752</v>
      </c>
      <c r="V78" s="1263">
        <v>21315</v>
      </c>
      <c r="W78" s="1263">
        <v>22796</v>
      </c>
      <c r="X78" s="1263">
        <v>23735</v>
      </c>
      <c r="Y78" s="1263">
        <v>24592</v>
      </c>
      <c r="Z78" s="1263">
        <v>25136</v>
      </c>
      <c r="AA78" s="1263">
        <v>25705</v>
      </c>
      <c r="AB78" s="1263">
        <v>25596</v>
      </c>
      <c r="AC78" s="1263">
        <v>25690</v>
      </c>
      <c r="AD78" s="1263">
        <v>25773</v>
      </c>
      <c r="AE78" s="1263">
        <v>27037</v>
      </c>
      <c r="AF78" s="1263">
        <v>29106</v>
      </c>
      <c r="AG78" s="1263">
        <v>29815</v>
      </c>
      <c r="AH78" s="1559">
        <v>30602</v>
      </c>
      <c r="AI78" s="1560">
        <f>'Teen births'!H78</f>
        <v>31274</v>
      </c>
      <c r="AJ78" s="1294">
        <f t="shared" si="17"/>
        <v>20.961647947828787</v>
      </c>
      <c r="AK78" s="1295">
        <f t="shared" si="18"/>
        <v>21.567436208991491</v>
      </c>
      <c r="AL78" s="1295">
        <f t="shared" si="19"/>
        <v>18.953788411916491</v>
      </c>
      <c r="AM78" s="1295">
        <f t="shared" si="20"/>
        <v>19.784172661870503</v>
      </c>
      <c r="AN78" s="1295">
        <f t="shared" si="21"/>
        <v>17.69538655993259</v>
      </c>
      <c r="AO78" s="1295">
        <f t="shared" si="22"/>
        <v>15.696161353285619</v>
      </c>
      <c r="AP78" s="1295">
        <f t="shared" si="23"/>
        <v>17.464990451941439</v>
      </c>
      <c r="AQ78" s="1295">
        <f t="shared" si="24"/>
        <v>17.389612915775142</v>
      </c>
      <c r="AR78" s="1295">
        <f t="shared" si="25"/>
        <v>18.713861540865761</v>
      </c>
      <c r="AS78" s="1295">
        <f t="shared" si="26"/>
        <v>18.450759050214092</v>
      </c>
      <c r="AT78" s="1295">
        <f t="shared" si="27"/>
        <v>15.83052031195437</v>
      </c>
      <c r="AU78" s="1295">
        <f t="shared" si="28"/>
        <v>14.942486222583867</v>
      </c>
      <c r="AV78" s="1295">
        <f t="shared" si="29"/>
        <v>13.055727341441626</v>
      </c>
      <c r="AW78" s="1295">
        <f t="shared" si="30"/>
        <v>10.900553412711723</v>
      </c>
      <c r="AX78" s="1569">
        <f t="shared" si="31"/>
        <v>10.620220900594733</v>
      </c>
      <c r="AY78" s="1572">
        <f t="shared" si="32"/>
        <v>8.7932467864679928</v>
      </c>
    </row>
    <row r="79" spans="1:51" s="142" customFormat="1" ht="15.75" customHeight="1" x14ac:dyDescent="0.2">
      <c r="A79" s="149" t="s">
        <v>190</v>
      </c>
      <c r="B79" s="189" t="s">
        <v>191</v>
      </c>
      <c r="C79" s="150" t="s">
        <v>268</v>
      </c>
      <c r="D79" s="1239">
        <v>70</v>
      </c>
      <c r="E79" s="1240">
        <v>58</v>
      </c>
      <c r="F79" s="1241">
        <v>50</v>
      </c>
      <c r="G79" s="1240">
        <v>65</v>
      </c>
      <c r="H79" s="1241">
        <v>47</v>
      </c>
      <c r="I79" s="1240">
        <v>36</v>
      </c>
      <c r="J79" s="1241">
        <v>44</v>
      </c>
      <c r="K79" s="1240">
        <v>47</v>
      </c>
      <c r="L79" s="1254">
        <v>44</v>
      </c>
      <c r="M79" s="1254">
        <v>43</v>
      </c>
      <c r="N79" s="1254">
        <v>51</v>
      </c>
      <c r="O79" s="1254">
        <v>65</v>
      </c>
      <c r="P79" s="1255">
        <v>42</v>
      </c>
      <c r="Q79" s="1255">
        <v>36</v>
      </c>
      <c r="R79" s="1556">
        <v>48</v>
      </c>
      <c r="S79" s="1557">
        <f>'Teen births'!D79</f>
        <v>40</v>
      </c>
      <c r="T79" s="1262">
        <v>1944</v>
      </c>
      <c r="U79" s="1263">
        <v>1894</v>
      </c>
      <c r="V79" s="1263">
        <v>1914</v>
      </c>
      <c r="W79" s="1263">
        <v>1923</v>
      </c>
      <c r="X79" s="1263">
        <v>1907</v>
      </c>
      <c r="Y79" s="1263">
        <v>1920</v>
      </c>
      <c r="Z79" s="1263">
        <v>1900</v>
      </c>
      <c r="AA79" s="1263">
        <v>1846</v>
      </c>
      <c r="AB79" s="1263">
        <v>1830</v>
      </c>
      <c r="AC79" s="1263">
        <v>1810</v>
      </c>
      <c r="AD79" s="1263">
        <v>1813</v>
      </c>
      <c r="AE79" s="1263">
        <v>1821</v>
      </c>
      <c r="AF79" s="1263">
        <v>1908</v>
      </c>
      <c r="AG79" s="1263">
        <v>1826</v>
      </c>
      <c r="AH79" s="1559">
        <v>1805</v>
      </c>
      <c r="AI79" s="1560">
        <f>'Teen births'!H79</f>
        <v>1738</v>
      </c>
      <c r="AJ79" s="1294">
        <f t="shared" si="17"/>
        <v>36.008230452674901</v>
      </c>
      <c r="AK79" s="1295">
        <f t="shared" si="18"/>
        <v>30.623020063357973</v>
      </c>
      <c r="AL79" s="1295">
        <f t="shared" si="19"/>
        <v>26.123301985370951</v>
      </c>
      <c r="AM79" s="1295">
        <f t="shared" si="20"/>
        <v>33.801352054082159</v>
      </c>
      <c r="AN79" s="1295">
        <f t="shared" si="21"/>
        <v>24.646040901940221</v>
      </c>
      <c r="AO79" s="1295">
        <f t="shared" si="22"/>
        <v>18.75</v>
      </c>
      <c r="AP79" s="1295">
        <f t="shared" si="23"/>
        <v>23.157894736842106</v>
      </c>
      <c r="AQ79" s="1295">
        <f t="shared" si="24"/>
        <v>25.460455037919829</v>
      </c>
      <c r="AR79" s="1295">
        <f t="shared" si="25"/>
        <v>24.043715846994537</v>
      </c>
      <c r="AS79" s="1295">
        <f t="shared" si="26"/>
        <v>23.756906077348066</v>
      </c>
      <c r="AT79" s="1295">
        <f t="shared" si="27"/>
        <v>28.130170987313846</v>
      </c>
      <c r="AU79" s="1295">
        <f t="shared" si="28"/>
        <v>35.694673256452504</v>
      </c>
      <c r="AV79" s="1295">
        <f t="shared" si="29"/>
        <v>22.012578616352201</v>
      </c>
      <c r="AW79" s="1295">
        <f t="shared" si="30"/>
        <v>19.715224534501644</v>
      </c>
      <c r="AX79" s="1569">
        <f t="shared" si="31"/>
        <v>26.592797783933516</v>
      </c>
      <c r="AY79" s="1572">
        <f t="shared" si="32"/>
        <v>23.014959723820485</v>
      </c>
    </row>
    <row r="80" spans="1:51" s="142" customFormat="1" ht="15.75" customHeight="1" x14ac:dyDescent="0.2">
      <c r="A80" s="149" t="s">
        <v>194</v>
      </c>
      <c r="B80" s="189" t="s">
        <v>195</v>
      </c>
      <c r="C80" s="150" t="s">
        <v>267</v>
      </c>
      <c r="D80" s="1239">
        <v>8</v>
      </c>
      <c r="E80" s="1240">
        <v>9</v>
      </c>
      <c r="F80" s="1241">
        <v>5</v>
      </c>
      <c r="G80" s="1240">
        <v>11</v>
      </c>
      <c r="H80" s="1241">
        <v>6</v>
      </c>
      <c r="I80" s="1240">
        <v>2</v>
      </c>
      <c r="J80" s="1241">
        <v>4</v>
      </c>
      <c r="K80" s="1240">
        <v>8</v>
      </c>
      <c r="L80" s="1254">
        <v>5</v>
      </c>
      <c r="M80" s="1254">
        <v>6</v>
      </c>
      <c r="N80" s="1254">
        <v>6</v>
      </c>
      <c r="O80" s="1254">
        <v>4</v>
      </c>
      <c r="P80" s="1255">
        <v>3</v>
      </c>
      <c r="Q80" s="1255">
        <v>6</v>
      </c>
      <c r="R80" s="1556">
        <v>4</v>
      </c>
      <c r="S80" s="1557">
        <f>'Teen births'!D80</f>
        <v>1</v>
      </c>
      <c r="T80" s="1262">
        <v>465</v>
      </c>
      <c r="U80" s="1263">
        <v>473</v>
      </c>
      <c r="V80" s="1263">
        <v>462</v>
      </c>
      <c r="W80" s="1263">
        <v>469</v>
      </c>
      <c r="X80" s="1263">
        <v>459</v>
      </c>
      <c r="Y80" s="1263">
        <v>471</v>
      </c>
      <c r="Z80" s="1263">
        <v>476</v>
      </c>
      <c r="AA80" s="1263">
        <v>455</v>
      </c>
      <c r="AB80" s="1263">
        <v>436</v>
      </c>
      <c r="AC80" s="1263">
        <v>415</v>
      </c>
      <c r="AD80" s="1263">
        <v>404</v>
      </c>
      <c r="AE80" s="1263">
        <v>407</v>
      </c>
      <c r="AF80" s="1263">
        <v>438</v>
      </c>
      <c r="AG80" s="1263">
        <v>439</v>
      </c>
      <c r="AH80" s="1559">
        <v>420</v>
      </c>
      <c r="AI80" s="1560">
        <f>'Teen births'!H80</f>
        <v>421</v>
      </c>
      <c r="AJ80" s="1294">
        <f t="shared" si="17"/>
        <v>17.204301075268816</v>
      </c>
      <c r="AK80" s="1295">
        <f t="shared" si="18"/>
        <v>19.027484143763214</v>
      </c>
      <c r="AL80" s="1295">
        <f t="shared" si="19"/>
        <v>10.822510822510822</v>
      </c>
      <c r="AM80" s="1295">
        <f t="shared" si="20"/>
        <v>23.454157782515992</v>
      </c>
      <c r="AN80" s="1295">
        <f t="shared" si="21"/>
        <v>13.071895424836601</v>
      </c>
      <c r="AO80" s="1295">
        <f t="shared" si="22"/>
        <v>4.2462845010615711</v>
      </c>
      <c r="AP80" s="1295">
        <f t="shared" si="23"/>
        <v>8.4033613445378155</v>
      </c>
      <c r="AQ80" s="1295">
        <f t="shared" si="24"/>
        <v>17.582417582417584</v>
      </c>
      <c r="AR80" s="1295">
        <f t="shared" si="25"/>
        <v>11.467889908256881</v>
      </c>
      <c r="AS80" s="1295">
        <f t="shared" si="26"/>
        <v>14.457831325301205</v>
      </c>
      <c r="AT80" s="1295">
        <f t="shared" si="27"/>
        <v>14.85148514851485</v>
      </c>
      <c r="AU80" s="1295">
        <f t="shared" si="28"/>
        <v>9.8280098280098276</v>
      </c>
      <c r="AV80" s="1295">
        <f t="shared" si="29"/>
        <v>6.8493150684931505</v>
      </c>
      <c r="AW80" s="1295">
        <f t="shared" si="30"/>
        <v>13.66742596810934</v>
      </c>
      <c r="AX80" s="1569">
        <f t="shared" si="31"/>
        <v>9.5238095238095255</v>
      </c>
      <c r="AY80" s="1572">
        <f t="shared" si="32"/>
        <v>2.3752969121140142</v>
      </c>
    </row>
    <row r="81" spans="1:51" s="142" customFormat="1" ht="15.75" customHeight="1" x14ac:dyDescent="0.2">
      <c r="A81" s="149" t="s">
        <v>198</v>
      </c>
      <c r="B81" s="189" t="s">
        <v>272</v>
      </c>
      <c r="C81" s="150" t="s">
        <v>266</v>
      </c>
      <c r="D81" s="1239">
        <v>10</v>
      </c>
      <c r="E81" s="1240">
        <v>7</v>
      </c>
      <c r="F81" s="1241">
        <v>12</v>
      </c>
      <c r="G81" s="1240">
        <v>10</v>
      </c>
      <c r="H81" s="1241">
        <v>10</v>
      </c>
      <c r="I81" s="1240">
        <v>8</v>
      </c>
      <c r="J81" s="1241">
        <v>8</v>
      </c>
      <c r="K81" s="1240">
        <v>10</v>
      </c>
      <c r="L81" s="1254">
        <v>11</v>
      </c>
      <c r="M81" s="1254">
        <v>14</v>
      </c>
      <c r="N81" s="1254">
        <v>6</v>
      </c>
      <c r="O81" s="1254">
        <v>12</v>
      </c>
      <c r="P81" s="1255">
        <v>11</v>
      </c>
      <c r="Q81" s="1255">
        <v>6</v>
      </c>
      <c r="R81" s="1556">
        <v>1</v>
      </c>
      <c r="S81" s="1557">
        <f>'Teen births'!D81</f>
        <v>5</v>
      </c>
      <c r="T81" s="1262">
        <v>463</v>
      </c>
      <c r="U81" s="1263">
        <v>468</v>
      </c>
      <c r="V81" s="1263">
        <v>466</v>
      </c>
      <c r="W81" s="1263">
        <v>464</v>
      </c>
      <c r="X81" s="1263">
        <v>462</v>
      </c>
      <c r="Y81" s="1263">
        <v>454</v>
      </c>
      <c r="Z81" s="1263">
        <v>441</v>
      </c>
      <c r="AA81" s="1263">
        <v>394</v>
      </c>
      <c r="AB81" s="1263">
        <v>382</v>
      </c>
      <c r="AC81" s="1263">
        <v>369</v>
      </c>
      <c r="AD81" s="1263">
        <v>366</v>
      </c>
      <c r="AE81" s="1263">
        <v>378</v>
      </c>
      <c r="AF81" s="1263">
        <v>454</v>
      </c>
      <c r="AG81" s="1263">
        <v>435</v>
      </c>
      <c r="AH81" s="1559">
        <v>444</v>
      </c>
      <c r="AI81" s="1560">
        <f>'Teen births'!H81</f>
        <v>419</v>
      </c>
      <c r="AJ81" s="1294">
        <f t="shared" si="17"/>
        <v>21.598272138228939</v>
      </c>
      <c r="AK81" s="1295">
        <f t="shared" si="18"/>
        <v>14.957264957264957</v>
      </c>
      <c r="AL81" s="1295">
        <f t="shared" si="19"/>
        <v>25.751072961373392</v>
      </c>
      <c r="AM81" s="1295">
        <f t="shared" si="20"/>
        <v>21.551724137931036</v>
      </c>
      <c r="AN81" s="1295">
        <f t="shared" si="21"/>
        <v>21.645021645021643</v>
      </c>
      <c r="AO81" s="1295">
        <f t="shared" si="22"/>
        <v>17.621145374449341</v>
      </c>
      <c r="AP81" s="1295">
        <f t="shared" si="23"/>
        <v>18.140589569160998</v>
      </c>
      <c r="AQ81" s="1295">
        <f t="shared" si="24"/>
        <v>25.380710659898476</v>
      </c>
      <c r="AR81" s="1295">
        <f t="shared" si="25"/>
        <v>28.795811518324605</v>
      </c>
      <c r="AS81" s="1295">
        <f t="shared" si="26"/>
        <v>37.940379403794033</v>
      </c>
      <c r="AT81" s="1295">
        <f t="shared" si="27"/>
        <v>16.393442622950822</v>
      </c>
      <c r="AU81" s="1295">
        <f t="shared" si="28"/>
        <v>31.746031746031743</v>
      </c>
      <c r="AV81" s="1295">
        <f t="shared" si="29"/>
        <v>24.229074889867842</v>
      </c>
      <c r="AW81" s="1295">
        <f t="shared" si="30"/>
        <v>13.793103448275861</v>
      </c>
      <c r="AX81" s="1569">
        <f t="shared" si="31"/>
        <v>2.2522522522522523</v>
      </c>
      <c r="AY81" s="1572">
        <f t="shared" si="32"/>
        <v>11.933174224343675</v>
      </c>
    </row>
    <row r="82" spans="1:51" s="142" customFormat="1" ht="15.75" customHeight="1" x14ac:dyDescent="0.2">
      <c r="A82" s="149" t="s">
        <v>202</v>
      </c>
      <c r="B82" s="189" t="s">
        <v>301</v>
      </c>
      <c r="C82" s="150" t="s">
        <v>265</v>
      </c>
      <c r="D82" s="1239">
        <v>83</v>
      </c>
      <c r="E82" s="1240">
        <v>93</v>
      </c>
      <c r="F82" s="1241">
        <v>99</v>
      </c>
      <c r="G82" s="1240">
        <v>123</v>
      </c>
      <c r="H82" s="1241">
        <v>107</v>
      </c>
      <c r="I82" s="1240">
        <v>116</v>
      </c>
      <c r="J82" s="1241">
        <v>150</v>
      </c>
      <c r="K82" s="1240">
        <v>111</v>
      </c>
      <c r="L82" s="1254">
        <v>107</v>
      </c>
      <c r="M82" s="1254">
        <v>78</v>
      </c>
      <c r="N82" s="1254">
        <v>98</v>
      </c>
      <c r="O82" s="1254">
        <v>104</v>
      </c>
      <c r="P82" s="1255">
        <v>85</v>
      </c>
      <c r="Q82" s="1255">
        <v>72</v>
      </c>
      <c r="R82" s="1556">
        <v>65</v>
      </c>
      <c r="S82" s="1557">
        <f>'Teen births'!D82</f>
        <v>68</v>
      </c>
      <c r="T82" s="1262">
        <v>7163</v>
      </c>
      <c r="U82" s="1263">
        <v>7170</v>
      </c>
      <c r="V82" s="1263">
        <v>7461</v>
      </c>
      <c r="W82" s="1263">
        <v>7559</v>
      </c>
      <c r="X82" s="1263">
        <v>7620</v>
      </c>
      <c r="Y82" s="1263">
        <v>7653</v>
      </c>
      <c r="Z82" s="1263">
        <v>7624</v>
      </c>
      <c r="AA82" s="1263">
        <v>7534</v>
      </c>
      <c r="AB82" s="1263">
        <v>7471</v>
      </c>
      <c r="AC82" s="1263">
        <v>7395</v>
      </c>
      <c r="AD82" s="1263">
        <v>7252</v>
      </c>
      <c r="AE82" s="1263">
        <v>7712</v>
      </c>
      <c r="AF82" s="1263">
        <v>7852</v>
      </c>
      <c r="AG82" s="1263">
        <v>7724</v>
      </c>
      <c r="AH82" s="1559">
        <v>7605</v>
      </c>
      <c r="AI82" s="1560">
        <f>'Teen births'!H82</f>
        <v>7659</v>
      </c>
      <c r="AJ82" s="1294">
        <f t="shared" si="17"/>
        <v>11.587323747033366</v>
      </c>
      <c r="AK82" s="1295">
        <f t="shared" si="18"/>
        <v>12.97071129707113</v>
      </c>
      <c r="AL82" s="1295">
        <f t="shared" si="19"/>
        <v>13.268998793727382</v>
      </c>
      <c r="AM82" s="1295">
        <f t="shared" si="20"/>
        <v>16.271993649953696</v>
      </c>
      <c r="AN82" s="1295">
        <f t="shared" si="21"/>
        <v>14.041994750656167</v>
      </c>
      <c r="AO82" s="1295">
        <f t="shared" si="22"/>
        <v>15.157454592970076</v>
      </c>
      <c r="AP82" s="1295">
        <f t="shared" si="23"/>
        <v>19.67471143756558</v>
      </c>
      <c r="AQ82" s="1295">
        <f t="shared" si="24"/>
        <v>14.733209450491106</v>
      </c>
      <c r="AR82" s="1295">
        <f t="shared" si="25"/>
        <v>14.322045241600856</v>
      </c>
      <c r="AS82" s="1295">
        <f t="shared" si="26"/>
        <v>10.547667342799189</v>
      </c>
      <c r="AT82" s="1295">
        <f t="shared" si="27"/>
        <v>13.513513513513514</v>
      </c>
      <c r="AU82" s="1295">
        <f t="shared" si="28"/>
        <v>13.485477178423237</v>
      </c>
      <c r="AV82" s="1295">
        <f t="shared" si="29"/>
        <v>10.825267447784004</v>
      </c>
      <c r="AW82" s="1295">
        <f t="shared" si="30"/>
        <v>9.321595028482653</v>
      </c>
      <c r="AX82" s="1569">
        <f t="shared" si="31"/>
        <v>8.5470085470085486</v>
      </c>
      <c r="AY82" s="1572">
        <f t="shared" si="32"/>
        <v>8.8784436610523567</v>
      </c>
    </row>
    <row r="83" spans="1:51" s="142" customFormat="1" ht="15.75" customHeight="1" x14ac:dyDescent="0.2">
      <c r="A83" s="149" t="s">
        <v>204</v>
      </c>
      <c r="B83" s="189" t="s">
        <v>293</v>
      </c>
      <c r="C83" s="150" t="s">
        <v>265</v>
      </c>
      <c r="D83" s="1239">
        <v>46</v>
      </c>
      <c r="E83" s="1240">
        <v>29</v>
      </c>
      <c r="F83" s="1241">
        <v>31</v>
      </c>
      <c r="G83" s="1240">
        <v>36</v>
      </c>
      <c r="H83" s="1241">
        <v>35</v>
      </c>
      <c r="I83" s="1240">
        <v>32</v>
      </c>
      <c r="J83" s="1241">
        <v>44</v>
      </c>
      <c r="K83" s="1240">
        <v>38</v>
      </c>
      <c r="L83" s="1254">
        <v>28</v>
      </c>
      <c r="M83" s="1254">
        <v>41</v>
      </c>
      <c r="N83" s="1254">
        <v>44</v>
      </c>
      <c r="O83" s="1254">
        <v>44</v>
      </c>
      <c r="P83" s="1255">
        <v>36</v>
      </c>
      <c r="Q83" s="1255">
        <v>33</v>
      </c>
      <c r="R83" s="1556">
        <v>25</v>
      </c>
      <c r="S83" s="1557">
        <f>'Teen births'!D83</f>
        <v>18</v>
      </c>
      <c r="T83" s="1262">
        <v>2089</v>
      </c>
      <c r="U83" s="1263">
        <v>2084</v>
      </c>
      <c r="V83" s="1263">
        <v>2310</v>
      </c>
      <c r="W83" s="1263">
        <v>2279</v>
      </c>
      <c r="X83" s="1263">
        <v>2250</v>
      </c>
      <c r="Y83" s="1263">
        <v>2247</v>
      </c>
      <c r="Z83" s="1263">
        <v>2213</v>
      </c>
      <c r="AA83" s="1263">
        <v>2229</v>
      </c>
      <c r="AB83" s="1263">
        <v>2211</v>
      </c>
      <c r="AC83" s="1263">
        <v>2213</v>
      </c>
      <c r="AD83" s="1263">
        <v>2199</v>
      </c>
      <c r="AE83" s="1263">
        <v>2135</v>
      </c>
      <c r="AF83" s="1263">
        <v>2275</v>
      </c>
      <c r="AG83" s="1263">
        <v>2244</v>
      </c>
      <c r="AH83" s="1559">
        <v>2268</v>
      </c>
      <c r="AI83" s="1560">
        <f>'Teen births'!H83</f>
        <v>2267</v>
      </c>
      <c r="AJ83" s="1294">
        <f t="shared" si="17"/>
        <v>22.020105313547152</v>
      </c>
      <c r="AK83" s="1295">
        <f t="shared" si="18"/>
        <v>13.915547024952014</v>
      </c>
      <c r="AL83" s="1295">
        <f t="shared" si="19"/>
        <v>13.419913419913421</v>
      </c>
      <c r="AM83" s="1295">
        <f t="shared" si="20"/>
        <v>15.796401930671347</v>
      </c>
      <c r="AN83" s="1295">
        <f t="shared" si="21"/>
        <v>15.555555555555555</v>
      </c>
      <c r="AO83" s="1295">
        <f t="shared" si="22"/>
        <v>14.241210502892745</v>
      </c>
      <c r="AP83" s="1295">
        <f t="shared" si="23"/>
        <v>19.882512426570266</v>
      </c>
      <c r="AQ83" s="1295">
        <f t="shared" si="24"/>
        <v>17.048003589053387</v>
      </c>
      <c r="AR83" s="1295">
        <f t="shared" si="25"/>
        <v>12.663952962460424</v>
      </c>
      <c r="AS83" s="1295">
        <f t="shared" si="26"/>
        <v>18.526886579304112</v>
      </c>
      <c r="AT83" s="1295">
        <f t="shared" si="27"/>
        <v>20.009095043201455</v>
      </c>
      <c r="AU83" s="1295">
        <f t="shared" si="28"/>
        <v>20.608899297423889</v>
      </c>
      <c r="AV83" s="1295">
        <f t="shared" si="29"/>
        <v>15.824175824175825</v>
      </c>
      <c r="AW83" s="1295">
        <f t="shared" si="30"/>
        <v>14.705882352941176</v>
      </c>
      <c r="AX83" s="1569">
        <f t="shared" si="31"/>
        <v>11.022927689594356</v>
      </c>
      <c r="AY83" s="1572">
        <f t="shared" si="32"/>
        <v>7.9400088222320235</v>
      </c>
    </row>
    <row r="84" spans="1:51" s="142" customFormat="1" ht="15.75" customHeight="1" x14ac:dyDescent="0.2">
      <c r="A84" s="149" t="s">
        <v>206</v>
      </c>
      <c r="B84" s="189" t="s">
        <v>294</v>
      </c>
      <c r="C84" s="150" t="s">
        <v>267</v>
      </c>
      <c r="D84" s="1239">
        <v>166</v>
      </c>
      <c r="E84" s="1240">
        <v>179</v>
      </c>
      <c r="F84" s="1241">
        <v>150</v>
      </c>
      <c r="G84" s="1240">
        <v>165</v>
      </c>
      <c r="H84" s="1241">
        <v>138</v>
      </c>
      <c r="I84" s="1240">
        <v>160</v>
      </c>
      <c r="J84" s="1241">
        <v>159</v>
      </c>
      <c r="K84" s="1240">
        <v>141</v>
      </c>
      <c r="L84" s="1254">
        <v>155</v>
      </c>
      <c r="M84" s="1254">
        <v>138</v>
      </c>
      <c r="N84" s="1254">
        <v>145</v>
      </c>
      <c r="O84" s="1254">
        <v>120</v>
      </c>
      <c r="P84" s="1255">
        <v>133</v>
      </c>
      <c r="Q84" s="1255">
        <v>124</v>
      </c>
      <c r="R84" s="1556">
        <v>90</v>
      </c>
      <c r="S84" s="1557">
        <f>'Teen births'!D84</f>
        <v>110</v>
      </c>
      <c r="T84" s="1262">
        <v>7556</v>
      </c>
      <c r="U84" s="1263">
        <v>7629</v>
      </c>
      <c r="V84" s="1263">
        <v>9246</v>
      </c>
      <c r="W84" s="1263">
        <v>8922</v>
      </c>
      <c r="X84" s="1263">
        <v>8890</v>
      </c>
      <c r="Y84" s="1263">
        <v>8966</v>
      </c>
      <c r="Z84" s="1263">
        <v>8982</v>
      </c>
      <c r="AA84" s="1263">
        <v>8971</v>
      </c>
      <c r="AB84" s="1263">
        <v>9080</v>
      </c>
      <c r="AC84" s="1263">
        <v>9420</v>
      </c>
      <c r="AD84" s="1263">
        <v>9278</v>
      </c>
      <c r="AE84" s="1263">
        <v>9613</v>
      </c>
      <c r="AF84" s="1263">
        <v>10756</v>
      </c>
      <c r="AG84" s="1263">
        <v>10625</v>
      </c>
      <c r="AH84" s="1559">
        <v>10687</v>
      </c>
      <c r="AI84" s="1560">
        <f>'Teen births'!H84</f>
        <v>10758</v>
      </c>
      <c r="AJ84" s="1294">
        <f t="shared" si="17"/>
        <v>21.969295923769188</v>
      </c>
      <c r="AK84" s="1295">
        <f t="shared" si="18"/>
        <v>23.46310132389566</v>
      </c>
      <c r="AL84" s="1295">
        <f t="shared" si="19"/>
        <v>16.223231667748216</v>
      </c>
      <c r="AM84" s="1295">
        <f t="shared" si="20"/>
        <v>18.493611297915265</v>
      </c>
      <c r="AN84" s="1295">
        <f t="shared" si="21"/>
        <v>15.523059617547807</v>
      </c>
      <c r="AO84" s="1295">
        <f t="shared" si="22"/>
        <v>17.845192951148785</v>
      </c>
      <c r="AP84" s="1295">
        <f t="shared" si="23"/>
        <v>17.702070808283231</v>
      </c>
      <c r="AQ84" s="1295">
        <f t="shared" si="24"/>
        <v>15.717311336528816</v>
      </c>
      <c r="AR84" s="1295">
        <f t="shared" si="25"/>
        <v>17.070484581497798</v>
      </c>
      <c r="AS84" s="1295">
        <f t="shared" si="26"/>
        <v>14.64968152866242</v>
      </c>
      <c r="AT84" s="1295">
        <f t="shared" si="27"/>
        <v>15.628368182798017</v>
      </c>
      <c r="AU84" s="1295">
        <f t="shared" si="28"/>
        <v>12.483095807760325</v>
      </c>
      <c r="AV84" s="1295">
        <f t="shared" si="29"/>
        <v>12.365191521011528</v>
      </c>
      <c r="AW84" s="1295">
        <f t="shared" si="30"/>
        <v>11.670588235294119</v>
      </c>
      <c r="AX84" s="1569">
        <f t="shared" si="31"/>
        <v>8.4214466173856088</v>
      </c>
      <c r="AY84" s="1572">
        <f t="shared" si="32"/>
        <v>10.224948875255624</v>
      </c>
    </row>
    <row r="85" spans="1:51" s="142" customFormat="1" ht="15.75" customHeight="1" x14ac:dyDescent="0.2">
      <c r="A85" s="149" t="s">
        <v>208</v>
      </c>
      <c r="B85" s="189" t="s">
        <v>209</v>
      </c>
      <c r="C85" s="150" t="s">
        <v>268</v>
      </c>
      <c r="D85" s="1239">
        <v>56</v>
      </c>
      <c r="E85" s="1240">
        <v>51</v>
      </c>
      <c r="F85" s="1241">
        <v>42</v>
      </c>
      <c r="G85" s="1240">
        <v>47</v>
      </c>
      <c r="H85" s="1241">
        <v>34</v>
      </c>
      <c r="I85" s="1240">
        <v>41</v>
      </c>
      <c r="J85" s="1241">
        <v>34</v>
      </c>
      <c r="K85" s="1240">
        <v>25</v>
      </c>
      <c r="L85" s="1254">
        <v>41</v>
      </c>
      <c r="M85" s="1254">
        <v>27</v>
      </c>
      <c r="N85" s="1254">
        <v>48</v>
      </c>
      <c r="O85" s="1254">
        <v>39</v>
      </c>
      <c r="P85" s="1255">
        <v>45</v>
      </c>
      <c r="Q85" s="1255">
        <v>32</v>
      </c>
      <c r="R85" s="1556">
        <v>36</v>
      </c>
      <c r="S85" s="1557">
        <f>'Teen births'!D85</f>
        <v>47</v>
      </c>
      <c r="T85" s="1262">
        <v>1787</v>
      </c>
      <c r="U85" s="1263">
        <v>1739</v>
      </c>
      <c r="V85" s="1263">
        <v>1824</v>
      </c>
      <c r="W85" s="1263">
        <v>1765</v>
      </c>
      <c r="X85" s="1263">
        <v>1739</v>
      </c>
      <c r="Y85" s="1263">
        <v>1726</v>
      </c>
      <c r="Z85" s="1263">
        <v>1724</v>
      </c>
      <c r="AA85" s="1263">
        <v>1711</v>
      </c>
      <c r="AB85" s="1263">
        <v>1699</v>
      </c>
      <c r="AC85" s="1263">
        <v>1680</v>
      </c>
      <c r="AD85" s="1263">
        <v>1674</v>
      </c>
      <c r="AE85" s="1263">
        <v>1683</v>
      </c>
      <c r="AF85" s="1263">
        <v>1697</v>
      </c>
      <c r="AG85" s="1263">
        <v>1628</v>
      </c>
      <c r="AH85" s="1559">
        <v>1558</v>
      </c>
      <c r="AI85" s="1560">
        <f>'Teen births'!H85</f>
        <v>1534</v>
      </c>
      <c r="AJ85" s="1294">
        <f t="shared" si="17"/>
        <v>31.337437045327363</v>
      </c>
      <c r="AK85" s="1295">
        <f t="shared" si="18"/>
        <v>29.327199539965498</v>
      </c>
      <c r="AL85" s="1295">
        <f t="shared" si="19"/>
        <v>23.026315789473681</v>
      </c>
      <c r="AM85" s="1295">
        <f t="shared" si="20"/>
        <v>26.628895184135978</v>
      </c>
      <c r="AN85" s="1295">
        <f t="shared" si="21"/>
        <v>19.551466359976999</v>
      </c>
      <c r="AO85" s="1295">
        <f t="shared" si="22"/>
        <v>23.754345307068366</v>
      </c>
      <c r="AP85" s="1295">
        <f t="shared" si="23"/>
        <v>19.721577726218097</v>
      </c>
      <c r="AQ85" s="1295">
        <f t="shared" si="24"/>
        <v>14.611338398597312</v>
      </c>
      <c r="AR85" s="1295">
        <f t="shared" si="25"/>
        <v>24.131842260153032</v>
      </c>
      <c r="AS85" s="1295">
        <f t="shared" si="26"/>
        <v>16.071428571428569</v>
      </c>
      <c r="AT85" s="1295">
        <f t="shared" si="27"/>
        <v>28.673835125448029</v>
      </c>
      <c r="AU85" s="1295">
        <f t="shared" si="28"/>
        <v>23.172905525846705</v>
      </c>
      <c r="AV85" s="1295">
        <f t="shared" si="29"/>
        <v>26.517383618149676</v>
      </c>
      <c r="AW85" s="1295">
        <f t="shared" si="30"/>
        <v>19.656019656019655</v>
      </c>
      <c r="AX85" s="1569">
        <f t="shared" si="31"/>
        <v>23.106546854942234</v>
      </c>
      <c r="AY85" s="1572">
        <f t="shared" si="32"/>
        <v>30.638852672750978</v>
      </c>
    </row>
    <row r="86" spans="1:51" s="142" customFormat="1" ht="15.75" customHeight="1" x14ac:dyDescent="0.2">
      <c r="A86" s="149" t="s">
        <v>210</v>
      </c>
      <c r="B86" s="189" t="s">
        <v>211</v>
      </c>
      <c r="C86" s="150" t="s">
        <v>268</v>
      </c>
      <c r="D86" s="1239">
        <v>39</v>
      </c>
      <c r="E86" s="1240">
        <v>34</v>
      </c>
      <c r="F86" s="1241">
        <v>34</v>
      </c>
      <c r="G86" s="1240">
        <v>42</v>
      </c>
      <c r="H86" s="1241">
        <v>27</v>
      </c>
      <c r="I86" s="1240">
        <v>26</v>
      </c>
      <c r="J86" s="1241">
        <v>32</v>
      </c>
      <c r="K86" s="1240">
        <v>29</v>
      </c>
      <c r="L86" s="1254">
        <v>30</v>
      </c>
      <c r="M86" s="1254">
        <v>26</v>
      </c>
      <c r="N86" s="1254">
        <v>29</v>
      </c>
      <c r="O86" s="1254">
        <v>33</v>
      </c>
      <c r="P86" s="1255">
        <v>29</v>
      </c>
      <c r="Q86" s="1255">
        <v>34</v>
      </c>
      <c r="R86" s="1556">
        <v>19</v>
      </c>
      <c r="S86" s="1557">
        <f>'Teen births'!D86</f>
        <v>19</v>
      </c>
      <c r="T86" s="1262">
        <v>1341</v>
      </c>
      <c r="U86" s="1263">
        <v>1316</v>
      </c>
      <c r="V86" s="1263">
        <v>1391</v>
      </c>
      <c r="W86" s="1263">
        <v>1363</v>
      </c>
      <c r="X86" s="1263">
        <v>1318</v>
      </c>
      <c r="Y86" s="1263">
        <v>1289</v>
      </c>
      <c r="Z86" s="1263">
        <v>1291</v>
      </c>
      <c r="AA86" s="1263">
        <v>1274</v>
      </c>
      <c r="AB86" s="1263">
        <v>1230</v>
      </c>
      <c r="AC86" s="1263">
        <v>1201</v>
      </c>
      <c r="AD86" s="1263">
        <v>1189</v>
      </c>
      <c r="AE86" s="1263">
        <v>1195</v>
      </c>
      <c r="AF86" s="1263">
        <v>1275</v>
      </c>
      <c r="AG86" s="1263">
        <v>1243</v>
      </c>
      <c r="AH86" s="1559">
        <v>1243</v>
      </c>
      <c r="AI86" s="1560">
        <f>'Teen births'!H86</f>
        <v>1228</v>
      </c>
      <c r="AJ86" s="1294">
        <f t="shared" si="17"/>
        <v>29.082774049217001</v>
      </c>
      <c r="AK86" s="1295">
        <f t="shared" si="18"/>
        <v>25.835866261398177</v>
      </c>
      <c r="AL86" s="1295">
        <f t="shared" si="19"/>
        <v>24.442846872753414</v>
      </c>
      <c r="AM86" s="1295">
        <f t="shared" si="20"/>
        <v>30.814380044020542</v>
      </c>
      <c r="AN86" s="1295">
        <f t="shared" si="21"/>
        <v>20.485584218512901</v>
      </c>
      <c r="AO86" s="1295">
        <f t="shared" si="22"/>
        <v>20.17067494181536</v>
      </c>
      <c r="AP86" s="1295">
        <f t="shared" si="23"/>
        <v>24.786986831913246</v>
      </c>
      <c r="AQ86" s="1295">
        <f t="shared" si="24"/>
        <v>22.762951334379906</v>
      </c>
      <c r="AR86" s="1295">
        <f t="shared" si="25"/>
        <v>24.390243902439025</v>
      </c>
      <c r="AS86" s="1295">
        <f t="shared" si="26"/>
        <v>21.64862614487927</v>
      </c>
      <c r="AT86" s="1295">
        <f t="shared" si="27"/>
        <v>24.390243902439025</v>
      </c>
      <c r="AU86" s="1295">
        <f t="shared" si="28"/>
        <v>27.615062761506277</v>
      </c>
      <c r="AV86" s="1295">
        <f t="shared" si="29"/>
        <v>22.745098039215684</v>
      </c>
      <c r="AW86" s="1295">
        <f t="shared" si="30"/>
        <v>27.353177795655672</v>
      </c>
      <c r="AX86" s="1569">
        <f t="shared" si="31"/>
        <v>15.285599356395815</v>
      </c>
      <c r="AY86" s="1572">
        <f t="shared" si="32"/>
        <v>15.472312703583063</v>
      </c>
    </row>
    <row r="87" spans="1:51" s="142" customFormat="1" ht="15.75" customHeight="1" x14ac:dyDescent="0.2">
      <c r="A87" s="149" t="s">
        <v>212</v>
      </c>
      <c r="B87" s="189" t="s">
        <v>213</v>
      </c>
      <c r="C87" s="150" t="s">
        <v>267</v>
      </c>
      <c r="D87" s="1239">
        <v>50</v>
      </c>
      <c r="E87" s="1240">
        <v>43</v>
      </c>
      <c r="F87" s="1241">
        <v>54</v>
      </c>
      <c r="G87" s="1240">
        <v>52</v>
      </c>
      <c r="H87" s="1241">
        <v>56</v>
      </c>
      <c r="I87" s="1240">
        <v>54</v>
      </c>
      <c r="J87" s="1241">
        <v>49</v>
      </c>
      <c r="K87" s="1240">
        <v>60</v>
      </c>
      <c r="L87" s="1254">
        <v>60</v>
      </c>
      <c r="M87" s="1254">
        <v>65</v>
      </c>
      <c r="N87" s="1254">
        <v>52</v>
      </c>
      <c r="O87" s="1254">
        <v>48</v>
      </c>
      <c r="P87" s="1255">
        <v>54</v>
      </c>
      <c r="Q87" s="1255">
        <v>26</v>
      </c>
      <c r="R87" s="1556">
        <v>42</v>
      </c>
      <c r="S87" s="1557">
        <f>'Teen births'!D87</f>
        <v>43</v>
      </c>
      <c r="T87" s="1262">
        <v>2065</v>
      </c>
      <c r="U87" s="1263">
        <v>2088</v>
      </c>
      <c r="V87" s="1263">
        <v>2170</v>
      </c>
      <c r="W87" s="1263">
        <v>2236</v>
      </c>
      <c r="X87" s="1263">
        <v>2230</v>
      </c>
      <c r="Y87" s="1263">
        <v>2255</v>
      </c>
      <c r="Z87" s="1263">
        <v>2314</v>
      </c>
      <c r="AA87" s="1263">
        <v>2351</v>
      </c>
      <c r="AB87" s="1263">
        <v>2343</v>
      </c>
      <c r="AC87" s="1263">
        <v>2345</v>
      </c>
      <c r="AD87" s="1263">
        <v>2335</v>
      </c>
      <c r="AE87" s="1263">
        <v>2409</v>
      </c>
      <c r="AF87" s="1263">
        <v>2519</v>
      </c>
      <c r="AG87" s="1263">
        <v>2519</v>
      </c>
      <c r="AH87" s="1559">
        <v>2509</v>
      </c>
      <c r="AI87" s="1560">
        <f>'Teen births'!H87</f>
        <v>2513</v>
      </c>
      <c r="AJ87" s="1294">
        <f t="shared" si="17"/>
        <v>24.213075060532688</v>
      </c>
      <c r="AK87" s="1295">
        <f t="shared" si="18"/>
        <v>20.593869731800766</v>
      </c>
      <c r="AL87" s="1295">
        <f t="shared" si="19"/>
        <v>24.88479262672811</v>
      </c>
      <c r="AM87" s="1295">
        <f t="shared" si="20"/>
        <v>23.255813953488371</v>
      </c>
      <c r="AN87" s="1295">
        <f t="shared" si="21"/>
        <v>25.112107623318384</v>
      </c>
      <c r="AO87" s="1295">
        <f t="shared" si="22"/>
        <v>23.946784922394681</v>
      </c>
      <c r="AP87" s="1295">
        <f t="shared" si="23"/>
        <v>21.175453759723425</v>
      </c>
      <c r="AQ87" s="1295">
        <f t="shared" si="24"/>
        <v>25.521054870267971</v>
      </c>
      <c r="AR87" s="1295">
        <f t="shared" si="25"/>
        <v>25.608194622279129</v>
      </c>
      <c r="AS87" s="1295">
        <f t="shared" si="26"/>
        <v>27.718550106609808</v>
      </c>
      <c r="AT87" s="1295">
        <f t="shared" si="27"/>
        <v>22.26980728051392</v>
      </c>
      <c r="AU87" s="1295">
        <f t="shared" si="28"/>
        <v>19.925280199252803</v>
      </c>
      <c r="AV87" s="1295">
        <f t="shared" si="29"/>
        <v>21.437078205637157</v>
      </c>
      <c r="AW87" s="1295">
        <f t="shared" si="30"/>
        <v>10.321556173084558</v>
      </c>
      <c r="AX87" s="1569">
        <f t="shared" si="31"/>
        <v>16.739736946990835</v>
      </c>
      <c r="AY87" s="1572">
        <f t="shared" si="32"/>
        <v>17.111022682053324</v>
      </c>
    </row>
    <row r="88" spans="1:51" s="142" customFormat="1" ht="15.75" customHeight="1" x14ac:dyDescent="0.2">
      <c r="A88" s="149" t="s">
        <v>214</v>
      </c>
      <c r="B88" s="189" t="s">
        <v>215</v>
      </c>
      <c r="C88" s="150" t="s">
        <v>268</v>
      </c>
      <c r="D88" s="1239">
        <v>65</v>
      </c>
      <c r="E88" s="1240">
        <v>54</v>
      </c>
      <c r="F88" s="1241">
        <v>56</v>
      </c>
      <c r="G88" s="1240">
        <v>56</v>
      </c>
      <c r="H88" s="1241">
        <v>57</v>
      </c>
      <c r="I88" s="1240">
        <v>73</v>
      </c>
      <c r="J88" s="1241">
        <v>39</v>
      </c>
      <c r="K88" s="1240">
        <v>57</v>
      </c>
      <c r="L88" s="1254">
        <v>58</v>
      </c>
      <c r="M88" s="1254">
        <v>70</v>
      </c>
      <c r="N88" s="1254">
        <v>69</v>
      </c>
      <c r="O88" s="1254">
        <v>47</v>
      </c>
      <c r="P88" s="1255">
        <v>66</v>
      </c>
      <c r="Q88" s="1255">
        <v>65</v>
      </c>
      <c r="R88" s="1556">
        <v>51</v>
      </c>
      <c r="S88" s="1557">
        <f>'Teen births'!D88</f>
        <v>34</v>
      </c>
      <c r="T88" s="1262">
        <v>2121</v>
      </c>
      <c r="U88" s="1263">
        <v>2102</v>
      </c>
      <c r="V88" s="1263">
        <v>2006</v>
      </c>
      <c r="W88" s="1263">
        <v>1959</v>
      </c>
      <c r="X88" s="1263">
        <v>1963</v>
      </c>
      <c r="Y88" s="1263">
        <v>1999</v>
      </c>
      <c r="Z88" s="1263">
        <v>2006</v>
      </c>
      <c r="AA88" s="1263">
        <v>2095</v>
      </c>
      <c r="AB88" s="1263">
        <v>2053</v>
      </c>
      <c r="AC88" s="1263">
        <v>1999</v>
      </c>
      <c r="AD88" s="1263">
        <v>1948</v>
      </c>
      <c r="AE88" s="1263">
        <v>1848</v>
      </c>
      <c r="AF88" s="1263">
        <v>1952</v>
      </c>
      <c r="AG88" s="1263">
        <v>1860</v>
      </c>
      <c r="AH88" s="1559">
        <v>1833</v>
      </c>
      <c r="AI88" s="1560">
        <f>'Teen births'!H88</f>
        <v>1775</v>
      </c>
      <c r="AJ88" s="1294">
        <f t="shared" si="17"/>
        <v>30.645921735030647</v>
      </c>
      <c r="AK88" s="1295">
        <f t="shared" si="18"/>
        <v>25.689819219790675</v>
      </c>
      <c r="AL88" s="1295">
        <f t="shared" si="19"/>
        <v>27.916251246261215</v>
      </c>
      <c r="AM88" s="1295">
        <f t="shared" si="20"/>
        <v>28.58601327207759</v>
      </c>
      <c r="AN88" s="1295">
        <f t="shared" si="21"/>
        <v>29.037187977585329</v>
      </c>
      <c r="AO88" s="1295">
        <f t="shared" si="22"/>
        <v>36.518259129564782</v>
      </c>
      <c r="AP88" s="1295">
        <f t="shared" si="23"/>
        <v>19.441674975074775</v>
      </c>
      <c r="AQ88" s="1295">
        <f t="shared" si="24"/>
        <v>27.207637231503579</v>
      </c>
      <c r="AR88" s="1295">
        <f t="shared" si="25"/>
        <v>28.251339503166101</v>
      </c>
      <c r="AS88" s="1295">
        <f t="shared" si="26"/>
        <v>35.017508754377189</v>
      </c>
      <c r="AT88" s="1295">
        <f t="shared" si="27"/>
        <v>35.420944558521555</v>
      </c>
      <c r="AU88" s="1295">
        <f t="shared" si="28"/>
        <v>25.432900432900432</v>
      </c>
      <c r="AV88" s="1295">
        <f t="shared" si="29"/>
        <v>33.811475409836071</v>
      </c>
      <c r="AW88" s="1295">
        <f t="shared" si="30"/>
        <v>34.946236559139784</v>
      </c>
      <c r="AX88" s="1569">
        <f t="shared" si="31"/>
        <v>27.823240589198036</v>
      </c>
      <c r="AY88" s="1572">
        <f t="shared" si="32"/>
        <v>19.154929577464788</v>
      </c>
    </row>
    <row r="89" spans="1:51" s="142" customFormat="1" ht="15.75" customHeight="1" x14ac:dyDescent="0.2">
      <c r="A89" s="149" t="s">
        <v>216</v>
      </c>
      <c r="B89" s="189" t="s">
        <v>217</v>
      </c>
      <c r="C89" s="150" t="s">
        <v>264</v>
      </c>
      <c r="D89" s="1239">
        <v>28</v>
      </c>
      <c r="E89" s="1240">
        <v>24</v>
      </c>
      <c r="F89" s="1241">
        <v>29</v>
      </c>
      <c r="G89" s="1240">
        <v>31</v>
      </c>
      <c r="H89" s="1241">
        <v>23</v>
      </c>
      <c r="I89" s="1240">
        <v>19</v>
      </c>
      <c r="J89" s="1241">
        <v>20</v>
      </c>
      <c r="K89" s="1240">
        <v>19</v>
      </c>
      <c r="L89" s="1254">
        <v>23</v>
      </c>
      <c r="M89" s="1254">
        <v>26</v>
      </c>
      <c r="N89" s="1254">
        <v>25</v>
      </c>
      <c r="O89" s="1254">
        <v>21</v>
      </c>
      <c r="P89" s="1255">
        <v>14</v>
      </c>
      <c r="Q89" s="1255">
        <v>8</v>
      </c>
      <c r="R89" s="1556">
        <v>7</v>
      </c>
      <c r="S89" s="1557">
        <f>'Teen births'!D89</f>
        <v>4</v>
      </c>
      <c r="T89" s="1262">
        <v>1004</v>
      </c>
      <c r="U89" s="1263">
        <v>996</v>
      </c>
      <c r="V89" s="1263">
        <v>1115</v>
      </c>
      <c r="W89" s="1263">
        <v>1123</v>
      </c>
      <c r="X89" s="1263">
        <v>1099</v>
      </c>
      <c r="Y89" s="1263">
        <v>1084</v>
      </c>
      <c r="Z89" s="1263">
        <v>1089</v>
      </c>
      <c r="AA89" s="1263">
        <v>1101</v>
      </c>
      <c r="AB89" s="1263">
        <v>1086</v>
      </c>
      <c r="AC89" s="1263">
        <v>1058</v>
      </c>
      <c r="AD89" s="1263">
        <v>1026</v>
      </c>
      <c r="AE89" s="1263">
        <v>1062</v>
      </c>
      <c r="AF89" s="1263">
        <v>1116</v>
      </c>
      <c r="AG89" s="1263">
        <v>1114</v>
      </c>
      <c r="AH89" s="1559">
        <v>1099</v>
      </c>
      <c r="AI89" s="1560">
        <f>'Teen births'!H89</f>
        <v>1082</v>
      </c>
      <c r="AJ89" s="1294">
        <f t="shared" si="17"/>
        <v>27.888446215139442</v>
      </c>
      <c r="AK89" s="1295">
        <f t="shared" si="18"/>
        <v>24.096385542168676</v>
      </c>
      <c r="AL89" s="1295">
        <f t="shared" si="19"/>
        <v>26.00896860986547</v>
      </c>
      <c r="AM89" s="1295">
        <f t="shared" si="20"/>
        <v>27.604630454140697</v>
      </c>
      <c r="AN89" s="1295">
        <f t="shared" si="21"/>
        <v>20.928116469517743</v>
      </c>
      <c r="AO89" s="1295">
        <f t="shared" si="22"/>
        <v>17.527675276752767</v>
      </c>
      <c r="AP89" s="1295">
        <f t="shared" si="23"/>
        <v>18.365472910927455</v>
      </c>
      <c r="AQ89" s="1295">
        <f t="shared" si="24"/>
        <v>17.257039055404178</v>
      </c>
      <c r="AR89" s="1295">
        <f t="shared" si="25"/>
        <v>21.178637200736649</v>
      </c>
      <c r="AS89" s="1295">
        <f t="shared" si="26"/>
        <v>24.574669187145556</v>
      </c>
      <c r="AT89" s="1295">
        <f t="shared" si="27"/>
        <v>24.366471734892787</v>
      </c>
      <c r="AU89" s="1295">
        <f t="shared" si="28"/>
        <v>19.774011299435031</v>
      </c>
      <c r="AV89" s="1295">
        <f t="shared" si="29"/>
        <v>12.544802867383513</v>
      </c>
      <c r="AW89" s="1295">
        <f t="shared" si="30"/>
        <v>7.1813285457809695</v>
      </c>
      <c r="AX89" s="1569">
        <f t="shared" si="31"/>
        <v>6.369426751592357</v>
      </c>
      <c r="AY89" s="1572">
        <f t="shared" si="32"/>
        <v>3.6968576709796674</v>
      </c>
    </row>
    <row r="90" spans="1:51" s="142" customFormat="1" ht="15.75" customHeight="1" x14ac:dyDescent="0.2">
      <c r="A90" s="149" t="s">
        <v>218</v>
      </c>
      <c r="B90" s="189" t="s">
        <v>219</v>
      </c>
      <c r="C90" s="150" t="s">
        <v>267</v>
      </c>
      <c r="D90" s="1239">
        <v>105</v>
      </c>
      <c r="E90" s="1240">
        <v>113</v>
      </c>
      <c r="F90" s="1241">
        <v>125</v>
      </c>
      <c r="G90" s="1240">
        <v>139</v>
      </c>
      <c r="H90" s="1241">
        <v>134</v>
      </c>
      <c r="I90" s="1240">
        <v>140</v>
      </c>
      <c r="J90" s="1241">
        <v>158</v>
      </c>
      <c r="K90" s="1240">
        <v>130</v>
      </c>
      <c r="L90" s="1254">
        <v>139</v>
      </c>
      <c r="M90" s="1254">
        <v>171</v>
      </c>
      <c r="N90" s="1254">
        <v>150</v>
      </c>
      <c r="O90" s="1254">
        <v>133</v>
      </c>
      <c r="P90" s="1255">
        <v>127</v>
      </c>
      <c r="Q90" s="1255">
        <v>107</v>
      </c>
      <c r="R90" s="1556">
        <v>100</v>
      </c>
      <c r="S90" s="1557">
        <f>'Teen births'!D90</f>
        <v>94</v>
      </c>
      <c r="T90" s="1262">
        <v>5497</v>
      </c>
      <c r="U90" s="1263">
        <v>5632</v>
      </c>
      <c r="V90" s="1263">
        <v>6964</v>
      </c>
      <c r="W90" s="1263">
        <v>7535</v>
      </c>
      <c r="X90" s="1263">
        <v>7898</v>
      </c>
      <c r="Y90" s="1263">
        <v>8256</v>
      </c>
      <c r="Z90" s="1263">
        <v>8502</v>
      </c>
      <c r="AA90" s="1263">
        <v>8705</v>
      </c>
      <c r="AB90" s="1263">
        <v>8634</v>
      </c>
      <c r="AC90" s="1263">
        <v>8566</v>
      </c>
      <c r="AD90" s="1263">
        <v>8507</v>
      </c>
      <c r="AE90" s="1263">
        <v>9462</v>
      </c>
      <c r="AF90" s="1263">
        <v>9560</v>
      </c>
      <c r="AG90" s="1263">
        <v>9426</v>
      </c>
      <c r="AH90" s="1559">
        <v>9326</v>
      </c>
      <c r="AI90" s="1560">
        <f>'Teen births'!H90</f>
        <v>9421</v>
      </c>
      <c r="AJ90" s="1294">
        <f t="shared" si="17"/>
        <v>19.101327997089321</v>
      </c>
      <c r="AK90" s="1295">
        <f t="shared" si="18"/>
        <v>20.063920454545457</v>
      </c>
      <c r="AL90" s="1295">
        <f t="shared" si="19"/>
        <v>17.949454336588168</v>
      </c>
      <c r="AM90" s="1295">
        <f t="shared" si="20"/>
        <v>18.447246184472462</v>
      </c>
      <c r="AN90" s="1295">
        <f t="shared" si="21"/>
        <v>16.966320587490504</v>
      </c>
      <c r="AO90" s="1295">
        <f t="shared" si="22"/>
        <v>16.95736434108527</v>
      </c>
      <c r="AP90" s="1295">
        <f t="shared" si="23"/>
        <v>18.583862620559866</v>
      </c>
      <c r="AQ90" s="1295">
        <f t="shared" si="24"/>
        <v>14.933946008041357</v>
      </c>
      <c r="AR90" s="1295">
        <f t="shared" si="25"/>
        <v>16.099142923326383</v>
      </c>
      <c r="AS90" s="1295">
        <f t="shared" si="26"/>
        <v>19.962643007237919</v>
      </c>
      <c r="AT90" s="1295">
        <f t="shared" si="27"/>
        <v>17.632537909956508</v>
      </c>
      <c r="AU90" s="1295">
        <f t="shared" si="28"/>
        <v>14.056224899598392</v>
      </c>
      <c r="AV90" s="1295">
        <f t="shared" si="29"/>
        <v>13.284518828451882</v>
      </c>
      <c r="AW90" s="1295">
        <f t="shared" si="30"/>
        <v>11.351580734139613</v>
      </c>
      <c r="AX90" s="1569">
        <f t="shared" si="31"/>
        <v>10.72271070126528</v>
      </c>
      <c r="AY90" s="1572">
        <f t="shared" si="32"/>
        <v>9.9777093726780599</v>
      </c>
    </row>
    <row r="91" spans="1:51" s="142" customFormat="1" ht="15.75" customHeight="1" x14ac:dyDescent="0.2">
      <c r="A91" s="149" t="s">
        <v>220</v>
      </c>
      <c r="B91" s="189" t="s">
        <v>221</v>
      </c>
      <c r="C91" s="150" t="s">
        <v>267</v>
      </c>
      <c r="D91" s="1239">
        <v>131</v>
      </c>
      <c r="E91" s="1240">
        <v>123</v>
      </c>
      <c r="F91" s="1241">
        <v>99</v>
      </c>
      <c r="G91" s="1240">
        <v>112</v>
      </c>
      <c r="H91" s="1241">
        <v>118</v>
      </c>
      <c r="I91" s="1240">
        <v>134</v>
      </c>
      <c r="J91" s="1241">
        <v>119</v>
      </c>
      <c r="K91" s="1240">
        <v>124</v>
      </c>
      <c r="L91" s="1254">
        <v>134</v>
      </c>
      <c r="M91" s="1254">
        <v>133</v>
      </c>
      <c r="N91" s="1254">
        <v>120</v>
      </c>
      <c r="O91" s="1254">
        <v>111</v>
      </c>
      <c r="P91" s="1255">
        <v>82</v>
      </c>
      <c r="Q91" s="1255">
        <v>89</v>
      </c>
      <c r="R91" s="1556">
        <v>103</v>
      </c>
      <c r="S91" s="1557">
        <f>'Teen births'!D91</f>
        <v>59</v>
      </c>
      <c r="T91" s="1262">
        <v>5888</v>
      </c>
      <c r="U91" s="1263">
        <v>6049</v>
      </c>
      <c r="V91" s="1263">
        <v>7564</v>
      </c>
      <c r="W91" s="1263">
        <v>8188</v>
      </c>
      <c r="X91" s="1263">
        <v>8624</v>
      </c>
      <c r="Y91" s="1263">
        <v>9085</v>
      </c>
      <c r="Z91" s="1263">
        <v>9313</v>
      </c>
      <c r="AA91" s="1263">
        <v>9440</v>
      </c>
      <c r="AB91" s="1263">
        <v>9376</v>
      </c>
      <c r="AC91" s="1263">
        <v>9393</v>
      </c>
      <c r="AD91" s="1263">
        <v>9346</v>
      </c>
      <c r="AE91" s="1263">
        <v>10621</v>
      </c>
      <c r="AF91" s="1263">
        <v>10676</v>
      </c>
      <c r="AG91" s="1263">
        <v>10874</v>
      </c>
      <c r="AH91" s="1559">
        <v>10966</v>
      </c>
      <c r="AI91" s="1560">
        <f>'Teen births'!H91</f>
        <v>11025</v>
      </c>
      <c r="AJ91" s="1294">
        <f t="shared" si="17"/>
        <v>22.248641304347828</v>
      </c>
      <c r="AK91" s="1295">
        <f t="shared" si="18"/>
        <v>20.333939494131261</v>
      </c>
      <c r="AL91" s="1295">
        <f t="shared" si="19"/>
        <v>13.088313061872025</v>
      </c>
      <c r="AM91" s="1295">
        <f t="shared" si="20"/>
        <v>13.678553981436249</v>
      </c>
      <c r="AN91" s="1295">
        <f t="shared" si="21"/>
        <v>13.68274582560297</v>
      </c>
      <c r="AO91" s="1295">
        <f t="shared" si="22"/>
        <v>14.749587231700605</v>
      </c>
      <c r="AP91" s="1295">
        <f t="shared" si="23"/>
        <v>12.777837431547299</v>
      </c>
      <c r="AQ91" s="1295">
        <f t="shared" si="24"/>
        <v>13.135593220338983</v>
      </c>
      <c r="AR91" s="1295">
        <f t="shared" si="25"/>
        <v>14.291808873720136</v>
      </c>
      <c r="AS91" s="1295">
        <f t="shared" si="26"/>
        <v>14.15948046417545</v>
      </c>
      <c r="AT91" s="1295">
        <f t="shared" si="27"/>
        <v>12.839717526214423</v>
      </c>
      <c r="AU91" s="1295">
        <f t="shared" si="28"/>
        <v>10.450993315130402</v>
      </c>
      <c r="AV91" s="1295">
        <f t="shared" si="29"/>
        <v>7.6807793180966657</v>
      </c>
      <c r="AW91" s="1295">
        <f t="shared" si="30"/>
        <v>8.184660658451353</v>
      </c>
      <c r="AX91" s="1569">
        <f t="shared" si="31"/>
        <v>9.3926682473098673</v>
      </c>
      <c r="AY91" s="1572">
        <f t="shared" si="32"/>
        <v>5.3514739229024944</v>
      </c>
    </row>
    <row r="92" spans="1:51" s="142" customFormat="1" ht="15.75" customHeight="1" x14ac:dyDescent="0.2">
      <c r="A92" s="149" t="s">
        <v>224</v>
      </c>
      <c r="B92" s="189" t="s">
        <v>225</v>
      </c>
      <c r="C92" s="150" t="s">
        <v>264</v>
      </c>
      <c r="D92" s="1239">
        <v>12</v>
      </c>
      <c r="E92" s="1240">
        <v>11</v>
      </c>
      <c r="F92" s="1241">
        <v>13</v>
      </c>
      <c r="G92" s="1240">
        <v>15</v>
      </c>
      <c r="H92" s="1241">
        <v>9</v>
      </c>
      <c r="I92" s="1240">
        <v>6</v>
      </c>
      <c r="J92" s="1241">
        <v>4</v>
      </c>
      <c r="K92" s="1240">
        <v>9</v>
      </c>
      <c r="L92" s="1254">
        <v>13</v>
      </c>
      <c r="M92" s="1254">
        <v>3</v>
      </c>
      <c r="N92" s="1254">
        <v>12</v>
      </c>
      <c r="O92" s="1254">
        <v>6</v>
      </c>
      <c r="P92" s="1255">
        <v>4</v>
      </c>
      <c r="Q92" s="1255">
        <v>5</v>
      </c>
      <c r="R92" s="1556">
        <v>1</v>
      </c>
      <c r="S92" s="1557">
        <f>'Teen births'!D92</f>
        <v>2</v>
      </c>
      <c r="T92" s="1262">
        <v>465</v>
      </c>
      <c r="U92" s="1263">
        <v>466</v>
      </c>
      <c r="V92" s="1263">
        <v>526</v>
      </c>
      <c r="W92" s="1263">
        <v>530</v>
      </c>
      <c r="X92" s="1263">
        <v>520</v>
      </c>
      <c r="Y92" s="1263">
        <v>522</v>
      </c>
      <c r="Z92" s="1263">
        <v>519</v>
      </c>
      <c r="AA92" s="1263">
        <v>484</v>
      </c>
      <c r="AB92" s="1263">
        <v>478</v>
      </c>
      <c r="AC92" s="1263">
        <v>459</v>
      </c>
      <c r="AD92" s="1263">
        <v>447</v>
      </c>
      <c r="AE92" s="1263">
        <v>412</v>
      </c>
      <c r="AF92" s="1263">
        <v>431</v>
      </c>
      <c r="AG92" s="1263">
        <v>424</v>
      </c>
      <c r="AH92" s="1559">
        <v>410</v>
      </c>
      <c r="AI92" s="1560">
        <f>'Teen births'!H92</f>
        <v>387</v>
      </c>
      <c r="AJ92" s="1294">
        <f t="shared" si="17"/>
        <v>25.806451612903224</v>
      </c>
      <c r="AK92" s="1295">
        <f t="shared" si="18"/>
        <v>23.605150214592275</v>
      </c>
      <c r="AL92" s="1295">
        <f t="shared" si="19"/>
        <v>24.714828897338403</v>
      </c>
      <c r="AM92" s="1295">
        <f t="shared" si="20"/>
        <v>28.30188679245283</v>
      </c>
      <c r="AN92" s="1295">
        <f t="shared" si="21"/>
        <v>17.30769230769231</v>
      </c>
      <c r="AO92" s="1295">
        <f t="shared" si="22"/>
        <v>11.494252873563218</v>
      </c>
      <c r="AP92" s="1295">
        <f t="shared" si="23"/>
        <v>7.7071290944123314</v>
      </c>
      <c r="AQ92" s="1295">
        <f t="shared" si="24"/>
        <v>18.595041322314049</v>
      </c>
      <c r="AR92" s="1295">
        <f t="shared" si="25"/>
        <v>27.196652719665273</v>
      </c>
      <c r="AS92" s="1295">
        <f t="shared" si="26"/>
        <v>6.5359477124183005</v>
      </c>
      <c r="AT92" s="1295">
        <f t="shared" si="27"/>
        <v>26.845637583892618</v>
      </c>
      <c r="AU92" s="1295">
        <f t="shared" si="28"/>
        <v>14.563106796116505</v>
      </c>
      <c r="AV92" s="1295">
        <f t="shared" si="29"/>
        <v>9.2807424593967518</v>
      </c>
      <c r="AW92" s="1295">
        <f t="shared" si="30"/>
        <v>11.79245283018868</v>
      </c>
      <c r="AX92" s="1569">
        <f t="shared" si="31"/>
        <v>2.4390243902439024</v>
      </c>
      <c r="AY92" s="1572">
        <f t="shared" si="32"/>
        <v>5.1679586563307494</v>
      </c>
    </row>
    <row r="93" spans="1:51" s="142" customFormat="1" ht="15.75" customHeight="1" x14ac:dyDescent="0.2">
      <c r="A93" s="149" t="s">
        <v>226</v>
      </c>
      <c r="B93" s="189" t="s">
        <v>227</v>
      </c>
      <c r="C93" s="150" t="s">
        <v>264</v>
      </c>
      <c r="D93" s="1239">
        <v>21</v>
      </c>
      <c r="E93" s="1240">
        <v>30</v>
      </c>
      <c r="F93" s="1241">
        <v>29</v>
      </c>
      <c r="G93" s="1240">
        <v>19</v>
      </c>
      <c r="H93" s="1241">
        <v>18</v>
      </c>
      <c r="I93" s="1240">
        <v>19</v>
      </c>
      <c r="J93" s="1241">
        <v>21</v>
      </c>
      <c r="K93" s="1240">
        <v>25</v>
      </c>
      <c r="L93" s="1254">
        <v>18</v>
      </c>
      <c r="M93" s="1254">
        <v>18</v>
      </c>
      <c r="N93" s="1254">
        <v>19</v>
      </c>
      <c r="O93" s="1254">
        <v>18</v>
      </c>
      <c r="P93" s="1255">
        <v>15</v>
      </c>
      <c r="Q93" s="1255">
        <v>18</v>
      </c>
      <c r="R93" s="1556">
        <v>10</v>
      </c>
      <c r="S93" s="1557">
        <f>'Teen births'!D93</f>
        <v>12</v>
      </c>
      <c r="T93" s="1262">
        <v>696</v>
      </c>
      <c r="U93" s="1263">
        <v>696</v>
      </c>
      <c r="V93" s="1263">
        <v>633</v>
      </c>
      <c r="W93" s="1263">
        <v>641</v>
      </c>
      <c r="X93" s="1263">
        <v>651</v>
      </c>
      <c r="Y93" s="1263">
        <v>645</v>
      </c>
      <c r="Z93" s="1263">
        <v>635</v>
      </c>
      <c r="AA93" s="1263">
        <v>600</v>
      </c>
      <c r="AB93" s="1263">
        <v>599</v>
      </c>
      <c r="AC93" s="1263">
        <v>561</v>
      </c>
      <c r="AD93" s="1263">
        <v>545</v>
      </c>
      <c r="AE93" s="1263">
        <v>539</v>
      </c>
      <c r="AF93" s="1263">
        <v>557</v>
      </c>
      <c r="AG93" s="1263">
        <v>548</v>
      </c>
      <c r="AH93" s="1559">
        <v>541</v>
      </c>
      <c r="AI93" s="1560">
        <f>'Teen births'!H93</f>
        <v>518</v>
      </c>
      <c r="AJ93" s="1294">
        <f t="shared" si="17"/>
        <v>30.172413793103448</v>
      </c>
      <c r="AK93" s="1295">
        <f t="shared" si="18"/>
        <v>43.103448275862071</v>
      </c>
      <c r="AL93" s="1295">
        <f t="shared" si="19"/>
        <v>45.813586097946285</v>
      </c>
      <c r="AM93" s="1295">
        <f t="shared" si="20"/>
        <v>29.6411856474259</v>
      </c>
      <c r="AN93" s="1295">
        <f t="shared" si="21"/>
        <v>27.649769585253459</v>
      </c>
      <c r="AO93" s="1295">
        <f t="shared" si="22"/>
        <v>29.45736434108527</v>
      </c>
      <c r="AP93" s="1295">
        <f t="shared" si="23"/>
        <v>33.070866141732282</v>
      </c>
      <c r="AQ93" s="1295">
        <f t="shared" si="24"/>
        <v>41.666666666666664</v>
      </c>
      <c r="AR93" s="1295">
        <f t="shared" si="25"/>
        <v>30.050083472454091</v>
      </c>
      <c r="AS93" s="1295">
        <f t="shared" si="26"/>
        <v>32.085561497326204</v>
      </c>
      <c r="AT93" s="1295">
        <f t="shared" si="27"/>
        <v>34.862385321100916</v>
      </c>
      <c r="AU93" s="1295">
        <f t="shared" si="28"/>
        <v>33.395176252319111</v>
      </c>
      <c r="AV93" s="1295">
        <f t="shared" si="29"/>
        <v>26.929982046678635</v>
      </c>
      <c r="AW93" s="1295">
        <f t="shared" si="30"/>
        <v>32.846715328467155</v>
      </c>
      <c r="AX93" s="1569">
        <f t="shared" si="31"/>
        <v>18.484288354898339</v>
      </c>
      <c r="AY93" s="1572">
        <f t="shared" si="32"/>
        <v>23.166023166023166</v>
      </c>
    </row>
    <row r="94" spans="1:51" s="142" customFormat="1" ht="15.75" customHeight="1" x14ac:dyDescent="0.2">
      <c r="A94" s="149" t="s">
        <v>228</v>
      </c>
      <c r="B94" s="189" t="s">
        <v>229</v>
      </c>
      <c r="C94" s="150" t="s">
        <v>268</v>
      </c>
      <c r="D94" s="1239">
        <v>46</v>
      </c>
      <c r="E94" s="1240">
        <v>57</v>
      </c>
      <c r="F94" s="1241">
        <v>61</v>
      </c>
      <c r="G94" s="1240">
        <v>74</v>
      </c>
      <c r="H94" s="1241">
        <v>64</v>
      </c>
      <c r="I94" s="1240">
        <v>36</v>
      </c>
      <c r="J94" s="1241">
        <v>51</v>
      </c>
      <c r="K94" s="1240">
        <v>59</v>
      </c>
      <c r="L94" s="1254">
        <v>66</v>
      </c>
      <c r="M94" s="1254">
        <v>73</v>
      </c>
      <c r="N94" s="1254">
        <v>60</v>
      </c>
      <c r="O94" s="1254">
        <v>51</v>
      </c>
      <c r="P94" s="1255">
        <v>75</v>
      </c>
      <c r="Q94" s="1255">
        <v>42</v>
      </c>
      <c r="R94" s="1556">
        <v>54</v>
      </c>
      <c r="S94" s="1557">
        <f>'Teen births'!D94</f>
        <v>55</v>
      </c>
      <c r="T94" s="1262">
        <v>2798</v>
      </c>
      <c r="U94" s="1263">
        <v>2713</v>
      </c>
      <c r="V94" s="1263">
        <v>2798</v>
      </c>
      <c r="W94" s="1263">
        <v>2725</v>
      </c>
      <c r="X94" s="1263">
        <v>2606</v>
      </c>
      <c r="Y94" s="1263">
        <v>2598</v>
      </c>
      <c r="Z94" s="1263">
        <v>2582</v>
      </c>
      <c r="AA94" s="1263">
        <v>2632</v>
      </c>
      <c r="AB94" s="1263">
        <v>2610</v>
      </c>
      <c r="AC94" s="1263">
        <v>2571</v>
      </c>
      <c r="AD94" s="1263">
        <v>2548</v>
      </c>
      <c r="AE94" s="1263">
        <v>2629</v>
      </c>
      <c r="AF94" s="1263">
        <v>2609</v>
      </c>
      <c r="AG94" s="1263">
        <v>2500</v>
      </c>
      <c r="AH94" s="1559">
        <v>2478</v>
      </c>
      <c r="AI94" s="1560">
        <f>'Teen births'!H94</f>
        <v>2461</v>
      </c>
      <c r="AJ94" s="1294">
        <f t="shared" si="17"/>
        <v>16.440314510364548</v>
      </c>
      <c r="AK94" s="1295">
        <f t="shared" si="18"/>
        <v>21.009952082565427</v>
      </c>
      <c r="AL94" s="1295">
        <f t="shared" si="19"/>
        <v>21.801286633309505</v>
      </c>
      <c r="AM94" s="1295">
        <f t="shared" si="20"/>
        <v>27.155963302752294</v>
      </c>
      <c r="AN94" s="1295">
        <f t="shared" si="21"/>
        <v>24.558710667689947</v>
      </c>
      <c r="AO94" s="1295">
        <f t="shared" si="22"/>
        <v>13.856812933025404</v>
      </c>
      <c r="AP94" s="1295">
        <f t="shared" si="23"/>
        <v>19.752130131680868</v>
      </c>
      <c r="AQ94" s="1295">
        <f t="shared" si="24"/>
        <v>22.416413373860181</v>
      </c>
      <c r="AR94" s="1295">
        <f t="shared" si="25"/>
        <v>25.287356321839081</v>
      </c>
      <c r="AS94" s="1295">
        <f t="shared" si="26"/>
        <v>28.393621159082066</v>
      </c>
      <c r="AT94" s="1295">
        <f t="shared" si="27"/>
        <v>23.547880690737834</v>
      </c>
      <c r="AU94" s="1295">
        <f t="shared" si="28"/>
        <v>19.399011030810197</v>
      </c>
      <c r="AV94" s="1295">
        <f t="shared" si="29"/>
        <v>28.746646224607129</v>
      </c>
      <c r="AW94" s="1295">
        <f t="shared" si="30"/>
        <v>16.8</v>
      </c>
      <c r="AX94" s="1569">
        <f t="shared" si="31"/>
        <v>21.791767554479417</v>
      </c>
      <c r="AY94" s="1572">
        <f t="shared" si="32"/>
        <v>22.348638764729785</v>
      </c>
    </row>
    <row r="95" spans="1:51" s="142" customFormat="1" ht="15.75" customHeight="1" x14ac:dyDescent="0.2">
      <c r="A95" s="149" t="s">
        <v>232</v>
      </c>
      <c r="B95" s="189" t="s">
        <v>233</v>
      </c>
      <c r="C95" s="150" t="s">
        <v>267</v>
      </c>
      <c r="D95" s="1239">
        <v>51</v>
      </c>
      <c r="E95" s="1240">
        <v>51</v>
      </c>
      <c r="F95" s="1241">
        <v>47</v>
      </c>
      <c r="G95" s="1240">
        <v>60</v>
      </c>
      <c r="H95" s="1241">
        <v>52</v>
      </c>
      <c r="I95" s="1240">
        <v>46</v>
      </c>
      <c r="J95" s="1241">
        <v>48</v>
      </c>
      <c r="K95" s="1240">
        <v>46</v>
      </c>
      <c r="L95" s="1254">
        <v>56</v>
      </c>
      <c r="M95" s="1254">
        <v>46</v>
      </c>
      <c r="N95" s="1254">
        <v>41</v>
      </c>
      <c r="O95" s="1254">
        <v>37</v>
      </c>
      <c r="P95" s="1255">
        <v>37</v>
      </c>
      <c r="Q95" s="1255">
        <v>35</v>
      </c>
      <c r="R95" s="1556">
        <v>33</v>
      </c>
      <c r="S95" s="1557">
        <f>'Teen births'!D95</f>
        <v>39</v>
      </c>
      <c r="T95" s="1262">
        <v>2025</v>
      </c>
      <c r="U95" s="1263">
        <v>2079</v>
      </c>
      <c r="V95" s="1263">
        <v>2168</v>
      </c>
      <c r="W95" s="1263">
        <v>2268</v>
      </c>
      <c r="X95" s="1263">
        <v>2342</v>
      </c>
      <c r="Y95" s="1263">
        <v>2429</v>
      </c>
      <c r="Z95" s="1263">
        <v>2472</v>
      </c>
      <c r="AA95" s="1263">
        <v>2476</v>
      </c>
      <c r="AB95" s="1263">
        <v>2428</v>
      </c>
      <c r="AC95" s="1263">
        <v>2370</v>
      </c>
      <c r="AD95" s="1263">
        <v>2360</v>
      </c>
      <c r="AE95" s="1263">
        <v>2336</v>
      </c>
      <c r="AF95" s="1263">
        <v>2588</v>
      </c>
      <c r="AG95" s="1263">
        <v>2527</v>
      </c>
      <c r="AH95" s="1559">
        <v>2516</v>
      </c>
      <c r="AI95" s="1560">
        <f>'Teen births'!H95</f>
        <v>2521</v>
      </c>
      <c r="AJ95" s="1294">
        <f t="shared" si="17"/>
        <v>25.185185185185187</v>
      </c>
      <c r="AK95" s="1295">
        <f t="shared" si="18"/>
        <v>24.531024531024531</v>
      </c>
      <c r="AL95" s="1295">
        <f t="shared" si="19"/>
        <v>21.678966789667896</v>
      </c>
      <c r="AM95" s="1295">
        <f t="shared" si="20"/>
        <v>26.455026455026452</v>
      </c>
      <c r="AN95" s="1295">
        <f t="shared" si="21"/>
        <v>22.20324508966695</v>
      </c>
      <c r="AO95" s="1295">
        <f t="shared" si="22"/>
        <v>18.937834499794153</v>
      </c>
      <c r="AP95" s="1295">
        <f t="shared" si="23"/>
        <v>19.417475728155338</v>
      </c>
      <c r="AQ95" s="1295">
        <f t="shared" si="24"/>
        <v>18.578352180936992</v>
      </c>
      <c r="AR95" s="1295">
        <f t="shared" si="25"/>
        <v>23.064250411861615</v>
      </c>
      <c r="AS95" s="1295">
        <f t="shared" si="26"/>
        <v>19.409282700421944</v>
      </c>
      <c r="AT95" s="1295">
        <f t="shared" si="27"/>
        <v>17.372881355932204</v>
      </c>
      <c r="AU95" s="1295">
        <f t="shared" si="28"/>
        <v>15.839041095890412</v>
      </c>
      <c r="AV95" s="1295">
        <f t="shared" si="29"/>
        <v>14.2967542503864</v>
      </c>
      <c r="AW95" s="1295">
        <f t="shared" si="30"/>
        <v>13.850415512465373</v>
      </c>
      <c r="AX95" s="1569">
        <f t="shared" si="31"/>
        <v>13.116057233704293</v>
      </c>
      <c r="AY95" s="1572">
        <f t="shared" si="32"/>
        <v>15.470051566838556</v>
      </c>
    </row>
    <row r="96" spans="1:51" s="142" customFormat="1" ht="15.75" customHeight="1" x14ac:dyDescent="0.2">
      <c r="A96" s="149" t="s">
        <v>234</v>
      </c>
      <c r="B96" s="189" t="s">
        <v>235</v>
      </c>
      <c r="C96" s="150" t="s">
        <v>268</v>
      </c>
      <c r="D96" s="1239">
        <v>77</v>
      </c>
      <c r="E96" s="1240">
        <v>71</v>
      </c>
      <c r="F96" s="1241">
        <v>68</v>
      </c>
      <c r="G96" s="1240">
        <v>64</v>
      </c>
      <c r="H96" s="1241">
        <v>62</v>
      </c>
      <c r="I96" s="1240">
        <v>51</v>
      </c>
      <c r="J96" s="1241">
        <v>57</v>
      </c>
      <c r="K96" s="1240">
        <v>66</v>
      </c>
      <c r="L96" s="1254">
        <v>53</v>
      </c>
      <c r="M96" s="1254">
        <v>68</v>
      </c>
      <c r="N96" s="1254">
        <v>66</v>
      </c>
      <c r="O96" s="1254">
        <v>67</v>
      </c>
      <c r="P96" s="1255">
        <v>77</v>
      </c>
      <c r="Q96" s="1255">
        <v>56</v>
      </c>
      <c r="R96" s="1556">
        <v>54</v>
      </c>
      <c r="S96" s="1557">
        <f>'Teen births'!D96</f>
        <v>52</v>
      </c>
      <c r="T96" s="1262">
        <v>2715</v>
      </c>
      <c r="U96" s="1263">
        <v>2658</v>
      </c>
      <c r="V96" s="1263">
        <v>3179</v>
      </c>
      <c r="W96" s="1263">
        <v>3116</v>
      </c>
      <c r="X96" s="1263">
        <v>3070</v>
      </c>
      <c r="Y96" s="1263">
        <v>3058</v>
      </c>
      <c r="Z96" s="1263">
        <v>3083</v>
      </c>
      <c r="AA96" s="1263">
        <v>3109</v>
      </c>
      <c r="AB96" s="1263">
        <v>3007</v>
      </c>
      <c r="AC96" s="1263">
        <v>2971</v>
      </c>
      <c r="AD96" s="1263">
        <v>2937</v>
      </c>
      <c r="AE96" s="1263">
        <v>2948</v>
      </c>
      <c r="AF96" s="1263">
        <v>3083</v>
      </c>
      <c r="AG96" s="1263">
        <v>3056</v>
      </c>
      <c r="AH96" s="1559">
        <v>3116</v>
      </c>
      <c r="AI96" s="1560">
        <f>'Teen births'!H96</f>
        <v>3077</v>
      </c>
      <c r="AJ96" s="1294">
        <f t="shared" si="17"/>
        <v>28.360957642725598</v>
      </c>
      <c r="AK96" s="1295">
        <f t="shared" si="18"/>
        <v>26.711813393528971</v>
      </c>
      <c r="AL96" s="1295">
        <f t="shared" si="19"/>
        <v>21.390374331550802</v>
      </c>
      <c r="AM96" s="1295">
        <f t="shared" si="20"/>
        <v>20.539152759948649</v>
      </c>
      <c r="AN96" s="1295">
        <f t="shared" si="21"/>
        <v>20.195439739413683</v>
      </c>
      <c r="AO96" s="1295">
        <f t="shared" si="22"/>
        <v>16.677567037279267</v>
      </c>
      <c r="AP96" s="1295">
        <f t="shared" si="23"/>
        <v>18.488485241647744</v>
      </c>
      <c r="AQ96" s="1295">
        <f t="shared" si="24"/>
        <v>21.22869089739466</v>
      </c>
      <c r="AR96" s="1295">
        <f t="shared" si="25"/>
        <v>17.625540405719988</v>
      </c>
      <c r="AS96" s="1295">
        <f t="shared" si="26"/>
        <v>22.887916526422082</v>
      </c>
      <c r="AT96" s="1295">
        <f t="shared" si="27"/>
        <v>22.471910112359549</v>
      </c>
      <c r="AU96" s="1295">
        <f t="shared" si="28"/>
        <v>22.727272727272727</v>
      </c>
      <c r="AV96" s="1295">
        <f t="shared" si="29"/>
        <v>24.975673045734673</v>
      </c>
      <c r="AW96" s="1295">
        <f t="shared" si="30"/>
        <v>18.32460732984293</v>
      </c>
      <c r="AX96" s="1569">
        <f t="shared" si="31"/>
        <v>17.329910141206675</v>
      </c>
      <c r="AY96" s="1572">
        <f t="shared" si="32"/>
        <v>16.899577510562239</v>
      </c>
    </row>
    <row r="97" spans="1:51" s="142" customFormat="1" ht="15.75" customHeight="1" x14ac:dyDescent="0.2">
      <c r="A97" s="149" t="s">
        <v>236</v>
      </c>
      <c r="B97" s="189" t="s">
        <v>237</v>
      </c>
      <c r="C97" s="150" t="s">
        <v>266</v>
      </c>
      <c r="D97" s="1239">
        <v>36</v>
      </c>
      <c r="E97" s="1240">
        <v>38</v>
      </c>
      <c r="F97" s="1241">
        <v>24</v>
      </c>
      <c r="G97" s="1240">
        <v>38</v>
      </c>
      <c r="H97" s="1241">
        <v>34</v>
      </c>
      <c r="I97" s="1240">
        <v>25</v>
      </c>
      <c r="J97" s="1241">
        <v>36</v>
      </c>
      <c r="K97" s="1240">
        <v>31</v>
      </c>
      <c r="L97" s="1254">
        <v>28</v>
      </c>
      <c r="M97" s="1254">
        <v>18</v>
      </c>
      <c r="N97" s="1254">
        <v>29</v>
      </c>
      <c r="O97" s="1254">
        <v>28</v>
      </c>
      <c r="P97" s="1255">
        <v>30</v>
      </c>
      <c r="Q97" s="1255">
        <v>22</v>
      </c>
      <c r="R97" s="1556">
        <v>14</v>
      </c>
      <c r="S97" s="1557">
        <f>'Teen births'!D97</f>
        <v>20</v>
      </c>
      <c r="T97" s="1262">
        <v>915</v>
      </c>
      <c r="U97" s="1263">
        <v>914</v>
      </c>
      <c r="V97" s="1263">
        <v>1097</v>
      </c>
      <c r="W97" s="1263">
        <v>1110</v>
      </c>
      <c r="X97" s="1263">
        <v>1129</v>
      </c>
      <c r="Y97" s="1263">
        <v>1125</v>
      </c>
      <c r="Z97" s="1263">
        <v>1118</v>
      </c>
      <c r="AA97" s="1263">
        <v>1073</v>
      </c>
      <c r="AB97" s="1263">
        <v>1026</v>
      </c>
      <c r="AC97" s="1263">
        <v>985</v>
      </c>
      <c r="AD97" s="1263">
        <v>993</v>
      </c>
      <c r="AE97" s="1263">
        <v>986</v>
      </c>
      <c r="AF97" s="1263">
        <v>996</v>
      </c>
      <c r="AG97" s="1263">
        <v>948</v>
      </c>
      <c r="AH97" s="1559">
        <v>930</v>
      </c>
      <c r="AI97" s="1560">
        <f>'Teen births'!H97</f>
        <v>902</v>
      </c>
      <c r="AJ97" s="1294">
        <f t="shared" si="17"/>
        <v>39.344262295081968</v>
      </c>
      <c r="AK97" s="1295">
        <f t="shared" si="18"/>
        <v>41.575492341356671</v>
      </c>
      <c r="AL97" s="1295">
        <f t="shared" si="19"/>
        <v>21.877848678213311</v>
      </c>
      <c r="AM97" s="1295">
        <f t="shared" si="20"/>
        <v>34.234234234234229</v>
      </c>
      <c r="AN97" s="1295">
        <f t="shared" si="21"/>
        <v>30.115146147032775</v>
      </c>
      <c r="AO97" s="1295">
        <f t="shared" si="22"/>
        <v>22.222222222222221</v>
      </c>
      <c r="AP97" s="1295">
        <f t="shared" si="23"/>
        <v>32.200357781753134</v>
      </c>
      <c r="AQ97" s="1295">
        <f t="shared" si="24"/>
        <v>28.890959925442687</v>
      </c>
      <c r="AR97" s="1295">
        <f t="shared" si="25"/>
        <v>27.29044834307992</v>
      </c>
      <c r="AS97" s="1295">
        <f t="shared" si="26"/>
        <v>18.274111675126903</v>
      </c>
      <c r="AT97" s="1295">
        <f t="shared" si="27"/>
        <v>29.204431017119841</v>
      </c>
      <c r="AU97" s="1295">
        <f t="shared" si="28"/>
        <v>28.397565922920894</v>
      </c>
      <c r="AV97" s="1295">
        <f t="shared" si="29"/>
        <v>30.120481927710845</v>
      </c>
      <c r="AW97" s="1295">
        <f t="shared" si="30"/>
        <v>23.206751054852322</v>
      </c>
      <c r="AX97" s="1569">
        <f t="shared" si="31"/>
        <v>15.053763440860216</v>
      </c>
      <c r="AY97" s="1572">
        <f t="shared" si="32"/>
        <v>22.172949002217297</v>
      </c>
    </row>
    <row r="98" spans="1:51" s="142" customFormat="1" ht="15.75" customHeight="1" x14ac:dyDescent="0.2">
      <c r="A98" s="149" t="s">
        <v>242</v>
      </c>
      <c r="B98" s="189" t="s">
        <v>243</v>
      </c>
      <c r="C98" s="150" t="s">
        <v>268</v>
      </c>
      <c r="D98" s="1239">
        <v>107</v>
      </c>
      <c r="E98" s="1240">
        <v>80</v>
      </c>
      <c r="F98" s="1241">
        <v>95</v>
      </c>
      <c r="G98" s="1240">
        <v>79</v>
      </c>
      <c r="H98" s="1241">
        <v>83</v>
      </c>
      <c r="I98" s="1240">
        <v>65</v>
      </c>
      <c r="J98" s="1241">
        <v>80</v>
      </c>
      <c r="K98" s="1240">
        <v>66</v>
      </c>
      <c r="L98" s="1254">
        <v>81</v>
      </c>
      <c r="M98" s="1254">
        <v>78</v>
      </c>
      <c r="N98" s="1254">
        <v>83</v>
      </c>
      <c r="O98" s="1254">
        <v>98</v>
      </c>
      <c r="P98" s="1255">
        <v>94</v>
      </c>
      <c r="Q98" s="1255">
        <v>69</v>
      </c>
      <c r="R98" s="1556">
        <v>58</v>
      </c>
      <c r="S98" s="1557">
        <f>'Teen births'!D98</f>
        <v>59</v>
      </c>
      <c r="T98" s="1262">
        <v>2668</v>
      </c>
      <c r="U98" s="1263">
        <v>2602</v>
      </c>
      <c r="V98" s="1263">
        <v>2764</v>
      </c>
      <c r="W98" s="1263">
        <v>2687</v>
      </c>
      <c r="X98" s="1263">
        <v>2611</v>
      </c>
      <c r="Y98" s="1263">
        <v>2572</v>
      </c>
      <c r="Z98" s="1263">
        <v>2569</v>
      </c>
      <c r="AA98" s="1263">
        <v>2634</v>
      </c>
      <c r="AB98" s="1263">
        <v>2618</v>
      </c>
      <c r="AC98" s="1263">
        <v>2578</v>
      </c>
      <c r="AD98" s="1263">
        <v>2537</v>
      </c>
      <c r="AE98" s="1263">
        <v>2464</v>
      </c>
      <c r="AF98" s="1263">
        <v>2505</v>
      </c>
      <c r="AG98" s="1263">
        <v>2418</v>
      </c>
      <c r="AH98" s="1559">
        <v>2410</v>
      </c>
      <c r="AI98" s="1560">
        <f>'Teen births'!H98</f>
        <v>2376</v>
      </c>
      <c r="AJ98" s="1294">
        <f t="shared" si="17"/>
        <v>40.104947526236884</v>
      </c>
      <c r="AK98" s="1295">
        <f t="shared" si="18"/>
        <v>30.745580322828591</v>
      </c>
      <c r="AL98" s="1295">
        <f t="shared" si="19"/>
        <v>34.370477568740952</v>
      </c>
      <c r="AM98" s="1295">
        <f t="shared" si="20"/>
        <v>29.40081875697804</v>
      </c>
      <c r="AN98" s="1295">
        <f t="shared" si="21"/>
        <v>31.788586748372275</v>
      </c>
      <c r="AO98" s="1295">
        <f t="shared" si="22"/>
        <v>25.272161741835145</v>
      </c>
      <c r="AP98" s="1295">
        <f t="shared" si="23"/>
        <v>31.140521603736865</v>
      </c>
      <c r="AQ98" s="1295">
        <f t="shared" si="24"/>
        <v>25.056947608200456</v>
      </c>
      <c r="AR98" s="1295">
        <f t="shared" si="25"/>
        <v>30.939648586707413</v>
      </c>
      <c r="AS98" s="1295">
        <f t="shared" si="26"/>
        <v>30.256012412723042</v>
      </c>
      <c r="AT98" s="1295">
        <f t="shared" si="27"/>
        <v>32.715806070161605</v>
      </c>
      <c r="AU98" s="1295">
        <f t="shared" si="28"/>
        <v>39.772727272727273</v>
      </c>
      <c r="AV98" s="1295">
        <f t="shared" si="29"/>
        <v>37.5249500998004</v>
      </c>
      <c r="AW98" s="1295">
        <f t="shared" si="30"/>
        <v>28.535980148883372</v>
      </c>
      <c r="AX98" s="1569">
        <f t="shared" si="31"/>
        <v>24.066390041493776</v>
      </c>
      <c r="AY98" s="1572">
        <f t="shared" si="32"/>
        <v>24.831649831649834</v>
      </c>
    </row>
    <row r="99" spans="1:51" s="142" customFormat="1" ht="15.75" customHeight="1" x14ac:dyDescent="0.2">
      <c r="A99" s="149" t="s">
        <v>244</v>
      </c>
      <c r="B99" s="189" t="s">
        <v>245</v>
      </c>
      <c r="C99" s="150" t="s">
        <v>268</v>
      </c>
      <c r="D99" s="1239">
        <v>33</v>
      </c>
      <c r="E99" s="1240">
        <v>45</v>
      </c>
      <c r="F99" s="1241">
        <v>46</v>
      </c>
      <c r="G99" s="1240">
        <v>40</v>
      </c>
      <c r="H99" s="1241">
        <v>38</v>
      </c>
      <c r="I99" s="1240">
        <v>36</v>
      </c>
      <c r="J99" s="1241">
        <v>43</v>
      </c>
      <c r="K99" s="1240">
        <v>38</v>
      </c>
      <c r="L99" s="1254">
        <v>33</v>
      </c>
      <c r="M99" s="1254">
        <v>36</v>
      </c>
      <c r="N99" s="1254">
        <v>34</v>
      </c>
      <c r="O99" s="1254">
        <v>42</v>
      </c>
      <c r="P99" s="1255">
        <v>33</v>
      </c>
      <c r="Q99" s="1255">
        <v>47</v>
      </c>
      <c r="R99" s="1556">
        <v>40</v>
      </c>
      <c r="S99" s="1557">
        <f>'Teen births'!D99</f>
        <v>37</v>
      </c>
      <c r="T99" s="1262">
        <v>1626</v>
      </c>
      <c r="U99" s="1263">
        <v>1611</v>
      </c>
      <c r="V99" s="1263">
        <v>1721</v>
      </c>
      <c r="W99" s="1263">
        <v>1711</v>
      </c>
      <c r="X99" s="1263">
        <v>1709</v>
      </c>
      <c r="Y99" s="1263">
        <v>1697</v>
      </c>
      <c r="Z99" s="1263">
        <v>1694</v>
      </c>
      <c r="AA99" s="1263">
        <v>1646</v>
      </c>
      <c r="AB99" s="1263">
        <v>1583</v>
      </c>
      <c r="AC99" s="1263">
        <v>1557</v>
      </c>
      <c r="AD99" s="1263">
        <v>1522</v>
      </c>
      <c r="AE99" s="1263">
        <v>1575</v>
      </c>
      <c r="AF99" s="1263">
        <v>1601</v>
      </c>
      <c r="AG99" s="1263">
        <v>1590</v>
      </c>
      <c r="AH99" s="1559">
        <v>1620</v>
      </c>
      <c r="AI99" s="1560">
        <f>'Teen births'!H99</f>
        <v>1581</v>
      </c>
      <c r="AJ99" s="1294">
        <f t="shared" si="17"/>
        <v>20.29520295202952</v>
      </c>
      <c r="AK99" s="1295">
        <f t="shared" si="18"/>
        <v>27.932960893854748</v>
      </c>
      <c r="AL99" s="1295">
        <f t="shared" si="19"/>
        <v>26.728646135967463</v>
      </c>
      <c r="AM99" s="1295">
        <f t="shared" si="20"/>
        <v>23.378141437755698</v>
      </c>
      <c r="AN99" s="1295">
        <f t="shared" si="21"/>
        <v>22.235225277940316</v>
      </c>
      <c r="AO99" s="1295">
        <f t="shared" si="22"/>
        <v>21.213906894519742</v>
      </c>
      <c r="AP99" s="1295">
        <f t="shared" si="23"/>
        <v>25.38370720188902</v>
      </c>
      <c r="AQ99" s="1295">
        <f t="shared" si="24"/>
        <v>23.086269744835967</v>
      </c>
      <c r="AR99" s="1295">
        <f t="shared" si="25"/>
        <v>20.846493998736577</v>
      </c>
      <c r="AS99" s="1295">
        <f t="shared" si="26"/>
        <v>23.121387283236992</v>
      </c>
      <c r="AT99" s="1295">
        <f t="shared" si="27"/>
        <v>22.339027595269382</v>
      </c>
      <c r="AU99" s="1295">
        <f t="shared" si="28"/>
        <v>26.666666666666668</v>
      </c>
      <c r="AV99" s="1295">
        <f t="shared" si="29"/>
        <v>20.612117426608368</v>
      </c>
      <c r="AW99" s="1295">
        <f t="shared" si="30"/>
        <v>29.559748427672957</v>
      </c>
      <c r="AX99" s="1569">
        <f t="shared" si="31"/>
        <v>24.691358024691358</v>
      </c>
      <c r="AY99" s="1572">
        <f t="shared" si="32"/>
        <v>23.402909550917141</v>
      </c>
    </row>
    <row r="100" spans="1:51" s="142" customFormat="1" ht="15.75" customHeight="1" x14ac:dyDescent="0.2">
      <c r="A100" s="149" t="s">
        <v>246</v>
      </c>
      <c r="B100" s="189" t="s">
        <v>247</v>
      </c>
      <c r="C100" s="150" t="s">
        <v>264</v>
      </c>
      <c r="D100" s="1239">
        <v>46</v>
      </c>
      <c r="E100" s="1240">
        <v>59</v>
      </c>
      <c r="F100" s="1241">
        <v>66</v>
      </c>
      <c r="G100" s="1240">
        <v>49</v>
      </c>
      <c r="H100" s="1241">
        <v>44</v>
      </c>
      <c r="I100" s="1240">
        <v>48</v>
      </c>
      <c r="J100" s="1241">
        <v>52</v>
      </c>
      <c r="K100" s="1240">
        <v>34</v>
      </c>
      <c r="L100" s="1254">
        <v>33</v>
      </c>
      <c r="M100" s="1254">
        <v>41</v>
      </c>
      <c r="N100" s="1254">
        <v>36</v>
      </c>
      <c r="O100" s="1254">
        <v>37</v>
      </c>
      <c r="P100" s="1255">
        <v>30</v>
      </c>
      <c r="Q100" s="1255">
        <v>25</v>
      </c>
      <c r="R100" s="1556">
        <v>20</v>
      </c>
      <c r="S100" s="1557">
        <f>'Teen births'!D100</f>
        <v>22</v>
      </c>
      <c r="T100" s="1262">
        <v>4874</v>
      </c>
      <c r="U100" s="1263">
        <v>4943</v>
      </c>
      <c r="V100" s="1263">
        <v>5437</v>
      </c>
      <c r="W100" s="1263">
        <v>5696</v>
      </c>
      <c r="X100" s="1263">
        <v>5813</v>
      </c>
      <c r="Y100" s="1263">
        <v>5917</v>
      </c>
      <c r="Z100" s="1263">
        <v>5811</v>
      </c>
      <c r="AA100" s="1263">
        <v>5731</v>
      </c>
      <c r="AB100" s="1263">
        <v>5572</v>
      </c>
      <c r="AC100" s="1263">
        <v>5410</v>
      </c>
      <c r="AD100" s="1263">
        <v>5218</v>
      </c>
      <c r="AE100" s="1263">
        <v>5734</v>
      </c>
      <c r="AF100" s="1263">
        <v>5939</v>
      </c>
      <c r="AG100" s="1263">
        <v>5929</v>
      </c>
      <c r="AH100" s="1559">
        <v>5779</v>
      </c>
      <c r="AI100" s="1560">
        <f>'Teen births'!H100</f>
        <v>5707</v>
      </c>
      <c r="AJ100" s="1294">
        <f t="shared" si="17"/>
        <v>9.4378334017234309</v>
      </c>
      <c r="AK100" s="1295">
        <f t="shared" si="18"/>
        <v>11.936071211814687</v>
      </c>
      <c r="AL100" s="1295">
        <f t="shared" si="19"/>
        <v>12.139047268714364</v>
      </c>
      <c r="AM100" s="1295">
        <f t="shared" si="20"/>
        <v>8.60252808988764</v>
      </c>
      <c r="AN100" s="1295">
        <f t="shared" si="21"/>
        <v>7.5692413555823155</v>
      </c>
      <c r="AO100" s="1295">
        <f t="shared" si="22"/>
        <v>8.1122190299138079</v>
      </c>
      <c r="AP100" s="1295">
        <f t="shared" si="23"/>
        <v>8.9485458612975393</v>
      </c>
      <c r="AQ100" s="1295">
        <f t="shared" si="24"/>
        <v>5.9326470075030535</v>
      </c>
      <c r="AR100" s="1295">
        <f t="shared" si="25"/>
        <v>5.9224694903086865</v>
      </c>
      <c r="AS100" s="1295">
        <f t="shared" si="26"/>
        <v>7.5785582255083179</v>
      </c>
      <c r="AT100" s="1295">
        <f t="shared" si="27"/>
        <v>6.8991950939057105</v>
      </c>
      <c r="AU100" s="1295">
        <f t="shared" si="28"/>
        <v>6.4527380537146843</v>
      </c>
      <c r="AV100" s="1295">
        <f t="shared" si="29"/>
        <v>5.0513554470449566</v>
      </c>
      <c r="AW100" s="1295">
        <f t="shared" si="30"/>
        <v>4.2165626581210995</v>
      </c>
      <c r="AX100" s="1569">
        <f t="shared" si="31"/>
        <v>3.4608063678837166</v>
      </c>
      <c r="AY100" s="1572">
        <f t="shared" si="32"/>
        <v>3.854915016646224</v>
      </c>
    </row>
    <row r="101" spans="1:51" s="142" customFormat="1" ht="15.75" customHeight="1" x14ac:dyDescent="0.2">
      <c r="A101" s="149" t="s">
        <v>14</v>
      </c>
      <c r="B101" s="189" t="s">
        <v>15</v>
      </c>
      <c r="C101" s="150" t="s">
        <v>267</v>
      </c>
      <c r="D101" s="1239">
        <v>111</v>
      </c>
      <c r="E101" s="1240">
        <v>123</v>
      </c>
      <c r="F101" s="1241">
        <v>122</v>
      </c>
      <c r="G101" s="1240">
        <v>113</v>
      </c>
      <c r="H101" s="1241">
        <v>107</v>
      </c>
      <c r="I101" s="1240">
        <v>121</v>
      </c>
      <c r="J101" s="1241">
        <v>105</v>
      </c>
      <c r="K101" s="1240">
        <v>135</v>
      </c>
      <c r="L101" s="1254">
        <v>102</v>
      </c>
      <c r="M101" s="1254">
        <v>117</v>
      </c>
      <c r="N101" s="1254">
        <v>100</v>
      </c>
      <c r="O101" s="1254">
        <v>86</v>
      </c>
      <c r="P101" s="1255">
        <v>106</v>
      </c>
      <c r="Q101" s="1255">
        <v>76</v>
      </c>
      <c r="R101" s="1556">
        <v>72</v>
      </c>
      <c r="S101" s="1557">
        <f>'Teen births'!D101</f>
        <v>60</v>
      </c>
      <c r="T101" s="1262">
        <v>4716</v>
      </c>
      <c r="U101" s="1263">
        <v>4794</v>
      </c>
      <c r="V101" s="1263">
        <v>4606</v>
      </c>
      <c r="W101" s="1263">
        <v>4488</v>
      </c>
      <c r="X101" s="1263">
        <v>4231</v>
      </c>
      <c r="Y101" s="1263">
        <v>3935</v>
      </c>
      <c r="Z101" s="1263">
        <v>4061</v>
      </c>
      <c r="AA101" s="1263">
        <v>4282</v>
      </c>
      <c r="AB101" s="1263">
        <v>4244</v>
      </c>
      <c r="AC101" s="1263">
        <v>4924</v>
      </c>
      <c r="AD101" s="1263">
        <v>5183</v>
      </c>
      <c r="AE101" s="1263">
        <v>4357</v>
      </c>
      <c r="AF101" s="1263">
        <v>4687</v>
      </c>
      <c r="AG101" s="1263">
        <v>4707</v>
      </c>
      <c r="AH101" s="1559">
        <v>4789</v>
      </c>
      <c r="AI101" s="1560">
        <f>'Teen births'!H101</f>
        <v>4840</v>
      </c>
      <c r="AJ101" s="1294">
        <f t="shared" si="17"/>
        <v>23.536895674300254</v>
      </c>
      <c r="AK101" s="1295">
        <f t="shared" si="18"/>
        <v>25.657071339173967</v>
      </c>
      <c r="AL101" s="1295">
        <f t="shared" si="19"/>
        <v>26.487190620929223</v>
      </c>
      <c r="AM101" s="1295">
        <f t="shared" si="20"/>
        <v>25.178253119429588</v>
      </c>
      <c r="AN101" s="1295">
        <f t="shared" si="21"/>
        <v>25.289529662018435</v>
      </c>
      <c r="AO101" s="1295">
        <f t="shared" si="22"/>
        <v>30.749682337992379</v>
      </c>
      <c r="AP101" s="1295">
        <f t="shared" si="23"/>
        <v>25.855700566362966</v>
      </c>
      <c r="AQ101" s="1295">
        <f t="shared" si="24"/>
        <v>31.527323680523121</v>
      </c>
      <c r="AR101" s="1295">
        <f t="shared" si="25"/>
        <v>24.03393025447691</v>
      </c>
      <c r="AS101" s="1295">
        <f t="shared" si="26"/>
        <v>23.761169780666123</v>
      </c>
      <c r="AT101" s="1295">
        <f t="shared" si="27"/>
        <v>19.293845263360986</v>
      </c>
      <c r="AU101" s="1295">
        <f t="shared" si="28"/>
        <v>19.73835207711728</v>
      </c>
      <c r="AV101" s="1295">
        <f t="shared" si="29"/>
        <v>22.615745679539149</v>
      </c>
      <c r="AW101" s="1295">
        <f t="shared" si="30"/>
        <v>16.146165285744637</v>
      </c>
      <c r="AX101" s="1569">
        <f t="shared" si="31"/>
        <v>15.034453956984757</v>
      </c>
      <c r="AY101" s="1572">
        <f t="shared" si="32"/>
        <v>12.396694214876034</v>
      </c>
    </row>
    <row r="102" spans="1:51" s="142" customFormat="1" ht="15.75" customHeight="1" x14ac:dyDescent="0.2">
      <c r="A102" s="149" t="s">
        <v>34</v>
      </c>
      <c r="B102" s="189" t="s">
        <v>35</v>
      </c>
      <c r="C102" s="150" t="s">
        <v>268</v>
      </c>
      <c r="D102" s="1239">
        <v>30</v>
      </c>
      <c r="E102" s="1240">
        <v>43</v>
      </c>
      <c r="F102" s="1241">
        <v>25</v>
      </c>
      <c r="G102" s="1240">
        <v>29</v>
      </c>
      <c r="H102" s="1241">
        <v>27</v>
      </c>
      <c r="I102" s="1240">
        <v>22</v>
      </c>
      <c r="J102" s="1241">
        <v>24</v>
      </c>
      <c r="K102" s="1240">
        <v>20</v>
      </c>
      <c r="L102" s="1254">
        <v>20</v>
      </c>
      <c r="M102" s="1254">
        <v>37</v>
      </c>
      <c r="N102" s="1254">
        <v>30</v>
      </c>
      <c r="O102" s="1254">
        <v>39</v>
      </c>
      <c r="P102" s="1255">
        <v>34</v>
      </c>
      <c r="Q102" s="1255">
        <v>21</v>
      </c>
      <c r="R102" s="1556">
        <v>19</v>
      </c>
      <c r="S102" s="1557">
        <f>'Teen births'!D102</f>
        <v>26</v>
      </c>
      <c r="T102" s="1262">
        <v>1235</v>
      </c>
      <c r="U102" s="1263">
        <v>1232</v>
      </c>
      <c r="V102" s="1263">
        <v>1013</v>
      </c>
      <c r="W102" s="1263">
        <v>978</v>
      </c>
      <c r="X102" s="1263">
        <v>974</v>
      </c>
      <c r="Y102" s="1263">
        <v>985</v>
      </c>
      <c r="Z102" s="1263">
        <v>982</v>
      </c>
      <c r="AA102" s="1263">
        <v>974</v>
      </c>
      <c r="AB102" s="1263">
        <v>976</v>
      </c>
      <c r="AC102" s="1263">
        <v>949</v>
      </c>
      <c r="AD102" s="1263">
        <v>901</v>
      </c>
      <c r="AE102" s="1263">
        <v>921</v>
      </c>
      <c r="AF102" s="1263">
        <v>1006</v>
      </c>
      <c r="AG102" s="1263">
        <v>970</v>
      </c>
      <c r="AH102" s="1559">
        <v>1013</v>
      </c>
      <c r="AI102" s="1560">
        <f>'Teen births'!H102</f>
        <v>954</v>
      </c>
      <c r="AJ102" s="1294">
        <f t="shared" si="17"/>
        <v>24.291497975708502</v>
      </c>
      <c r="AK102" s="1295">
        <f t="shared" si="18"/>
        <v>34.902597402597401</v>
      </c>
      <c r="AL102" s="1295">
        <f t="shared" si="19"/>
        <v>24.679170779861796</v>
      </c>
      <c r="AM102" s="1295">
        <f t="shared" si="20"/>
        <v>29.652351738241308</v>
      </c>
      <c r="AN102" s="1295">
        <f t="shared" si="21"/>
        <v>27.720739219712527</v>
      </c>
      <c r="AO102" s="1295">
        <f t="shared" si="22"/>
        <v>22.335025380710658</v>
      </c>
      <c r="AP102" s="1295">
        <f t="shared" si="23"/>
        <v>24.439918533604889</v>
      </c>
      <c r="AQ102" s="1295">
        <f t="shared" si="24"/>
        <v>20.533880903490758</v>
      </c>
      <c r="AR102" s="1295">
        <f t="shared" si="25"/>
        <v>20.491803278688522</v>
      </c>
      <c r="AS102" s="1295">
        <f t="shared" si="26"/>
        <v>38.988408851422555</v>
      </c>
      <c r="AT102" s="1295">
        <f t="shared" si="27"/>
        <v>33.296337402885683</v>
      </c>
      <c r="AU102" s="1295">
        <f t="shared" si="28"/>
        <v>42.34527687296417</v>
      </c>
      <c r="AV102" s="1295">
        <f t="shared" si="29"/>
        <v>33.797216699801197</v>
      </c>
      <c r="AW102" s="1295">
        <f t="shared" si="30"/>
        <v>21.649484536082472</v>
      </c>
      <c r="AX102" s="1569">
        <f t="shared" si="31"/>
        <v>18.756169792694966</v>
      </c>
      <c r="AY102" s="1572">
        <f t="shared" si="32"/>
        <v>27.253668763102723</v>
      </c>
    </row>
    <row r="103" spans="1:51" s="142" customFormat="1" ht="15.75" customHeight="1" x14ac:dyDescent="0.2">
      <c r="A103" s="149" t="s">
        <v>52</v>
      </c>
      <c r="B103" s="189" t="s">
        <v>53</v>
      </c>
      <c r="C103" s="150" t="s">
        <v>265</v>
      </c>
      <c r="D103" s="1239">
        <v>65</v>
      </c>
      <c r="E103" s="1240">
        <v>52</v>
      </c>
      <c r="F103" s="1241">
        <v>62</v>
      </c>
      <c r="G103" s="1240">
        <v>41</v>
      </c>
      <c r="H103" s="1241">
        <v>49</v>
      </c>
      <c r="I103" s="1240">
        <v>48</v>
      </c>
      <c r="J103" s="1241">
        <v>54</v>
      </c>
      <c r="K103" s="1240">
        <v>49</v>
      </c>
      <c r="L103" s="1254">
        <v>48</v>
      </c>
      <c r="M103" s="1254">
        <v>49</v>
      </c>
      <c r="N103" s="1254">
        <v>51</v>
      </c>
      <c r="O103" s="1254">
        <v>35</v>
      </c>
      <c r="P103" s="1255">
        <v>24</v>
      </c>
      <c r="Q103" s="1255">
        <v>25</v>
      </c>
      <c r="R103" s="1556">
        <v>30</v>
      </c>
      <c r="S103" s="1557">
        <f>'Teen births'!D103</f>
        <v>24</v>
      </c>
      <c r="T103" s="1262">
        <v>2530</v>
      </c>
      <c r="U103" s="1263">
        <v>2564</v>
      </c>
      <c r="V103" s="1263">
        <v>4348</v>
      </c>
      <c r="W103" s="1263">
        <v>3394</v>
      </c>
      <c r="X103" s="1263">
        <v>3349</v>
      </c>
      <c r="Y103" s="1263">
        <v>1751</v>
      </c>
      <c r="Z103" s="1263">
        <v>1639</v>
      </c>
      <c r="AA103" s="1263">
        <v>2076</v>
      </c>
      <c r="AB103" s="1263">
        <v>2259</v>
      </c>
      <c r="AC103" s="1263">
        <v>2303</v>
      </c>
      <c r="AD103" s="1263">
        <v>2317</v>
      </c>
      <c r="AE103" s="1263">
        <v>2342</v>
      </c>
      <c r="AF103" s="1263">
        <v>2175</v>
      </c>
      <c r="AG103" s="1263">
        <v>2335</v>
      </c>
      <c r="AH103" s="1559">
        <v>2061</v>
      </c>
      <c r="AI103" s="1560">
        <f>'Teen births'!H103</f>
        <v>1985</v>
      </c>
      <c r="AJ103" s="1294">
        <f t="shared" si="17"/>
        <v>25.691699604743082</v>
      </c>
      <c r="AK103" s="1295">
        <f t="shared" si="18"/>
        <v>20.280811232449299</v>
      </c>
      <c r="AL103" s="1295">
        <f t="shared" si="19"/>
        <v>14.259429622815087</v>
      </c>
      <c r="AM103" s="1295">
        <f t="shared" si="20"/>
        <v>12.080141426045964</v>
      </c>
      <c r="AN103" s="1295">
        <f t="shared" si="21"/>
        <v>14.631233203941475</v>
      </c>
      <c r="AO103" s="1295">
        <f t="shared" si="22"/>
        <v>27.41290691033695</v>
      </c>
      <c r="AP103" s="1295">
        <f t="shared" si="23"/>
        <v>32.946918852959122</v>
      </c>
      <c r="AQ103" s="1295">
        <f t="shared" si="24"/>
        <v>23.603082851637765</v>
      </c>
      <c r="AR103" s="1295">
        <f t="shared" si="25"/>
        <v>21.248339973439574</v>
      </c>
      <c r="AS103" s="1295">
        <f t="shared" si="26"/>
        <v>21.276595744680851</v>
      </c>
      <c r="AT103" s="1295">
        <f t="shared" si="27"/>
        <v>22.011221406991798</v>
      </c>
      <c r="AU103" s="1295">
        <f t="shared" si="28"/>
        <v>14.944491887275833</v>
      </c>
      <c r="AV103" s="1295">
        <f t="shared" si="29"/>
        <v>11.034482758620689</v>
      </c>
      <c r="AW103" s="1295">
        <f t="shared" si="30"/>
        <v>10.706638115631691</v>
      </c>
      <c r="AX103" s="1569">
        <f t="shared" si="31"/>
        <v>14.556040756914118</v>
      </c>
      <c r="AY103" s="1572">
        <f t="shared" si="32"/>
        <v>12.090680100755668</v>
      </c>
    </row>
    <row r="104" spans="1:51" s="142" customFormat="1" ht="15.75" customHeight="1" x14ac:dyDescent="0.2">
      <c r="A104" s="149" t="s">
        <v>54</v>
      </c>
      <c r="B104" s="189" t="s">
        <v>55</v>
      </c>
      <c r="C104" s="150" t="s">
        <v>264</v>
      </c>
      <c r="D104" s="1239">
        <v>327</v>
      </c>
      <c r="E104" s="1240">
        <v>350</v>
      </c>
      <c r="F104" s="1241">
        <v>326</v>
      </c>
      <c r="G104" s="1240">
        <v>326</v>
      </c>
      <c r="H104" s="1241">
        <v>280</v>
      </c>
      <c r="I104" s="1240">
        <v>274</v>
      </c>
      <c r="J104" s="1241">
        <v>288</v>
      </c>
      <c r="K104" s="1240">
        <v>276</v>
      </c>
      <c r="L104" s="1254">
        <v>286</v>
      </c>
      <c r="M104" s="1254">
        <v>311</v>
      </c>
      <c r="N104" s="1254">
        <v>278</v>
      </c>
      <c r="O104" s="1254">
        <v>245</v>
      </c>
      <c r="P104" s="1255">
        <v>216</v>
      </c>
      <c r="Q104" s="1255">
        <v>209</v>
      </c>
      <c r="R104" s="1556">
        <v>165</v>
      </c>
      <c r="S104" s="1557">
        <f>'Teen births'!D104</f>
        <v>131</v>
      </c>
      <c r="T104" s="1262">
        <v>13930</v>
      </c>
      <c r="U104" s="1263">
        <v>14290</v>
      </c>
      <c r="V104" s="1263">
        <v>15678</v>
      </c>
      <c r="W104" s="1263">
        <v>16061</v>
      </c>
      <c r="X104" s="1263">
        <v>16243</v>
      </c>
      <c r="Y104" s="1263">
        <v>16526</v>
      </c>
      <c r="Z104" s="1263">
        <v>16631</v>
      </c>
      <c r="AA104" s="1263">
        <v>16618</v>
      </c>
      <c r="AB104" s="1263">
        <v>16437</v>
      </c>
      <c r="AC104" s="1263">
        <v>16067</v>
      </c>
      <c r="AD104" s="1263">
        <v>15790</v>
      </c>
      <c r="AE104" s="1263">
        <v>16550</v>
      </c>
      <c r="AF104" s="1263">
        <v>16318</v>
      </c>
      <c r="AG104" s="1263">
        <v>16191</v>
      </c>
      <c r="AH104" s="1559">
        <v>15992</v>
      </c>
      <c r="AI104" s="1560">
        <f>'Teen births'!H104</f>
        <v>15924</v>
      </c>
      <c r="AJ104" s="1294">
        <f t="shared" si="17"/>
        <v>23.47451543431443</v>
      </c>
      <c r="AK104" s="1295">
        <f t="shared" si="18"/>
        <v>24.4926522043387</v>
      </c>
      <c r="AL104" s="1295">
        <f t="shared" si="19"/>
        <v>20.793468554662585</v>
      </c>
      <c r="AM104" s="1295">
        <f t="shared" si="20"/>
        <v>20.297615341510493</v>
      </c>
      <c r="AN104" s="1295">
        <f t="shared" si="21"/>
        <v>17.2381949147325</v>
      </c>
      <c r="AO104" s="1295">
        <f t="shared" si="22"/>
        <v>16.579934648432772</v>
      </c>
      <c r="AP104" s="1295">
        <f t="shared" si="23"/>
        <v>17.317058505201132</v>
      </c>
      <c r="AQ104" s="1295">
        <f t="shared" si="24"/>
        <v>16.608496810687207</v>
      </c>
      <c r="AR104" s="1295">
        <f t="shared" si="25"/>
        <v>17.399768814260508</v>
      </c>
      <c r="AS104" s="1295">
        <f t="shared" si="26"/>
        <v>19.35644488703554</v>
      </c>
      <c r="AT104" s="1295">
        <f t="shared" si="27"/>
        <v>17.60607979734009</v>
      </c>
      <c r="AU104" s="1295">
        <f t="shared" si="28"/>
        <v>14.803625377643504</v>
      </c>
      <c r="AV104" s="1295">
        <f t="shared" si="29"/>
        <v>13.236916288760877</v>
      </c>
      <c r="AW104" s="1295">
        <f t="shared" si="30"/>
        <v>12.908405904514852</v>
      </c>
      <c r="AX104" s="1569">
        <f t="shared" si="31"/>
        <v>10.317658829414707</v>
      </c>
      <c r="AY104" s="1572">
        <f t="shared" si="32"/>
        <v>8.2265762371263502</v>
      </c>
    </row>
    <row r="105" spans="1:51" s="142" customFormat="1" ht="15.75" customHeight="1" x14ac:dyDescent="0.2">
      <c r="A105" s="149" t="s">
        <v>66</v>
      </c>
      <c r="B105" s="189" t="s">
        <v>67</v>
      </c>
      <c r="C105" s="150" t="s">
        <v>265</v>
      </c>
      <c r="D105" s="1239">
        <v>126</v>
      </c>
      <c r="E105" s="1240">
        <v>123</v>
      </c>
      <c r="F105" s="1241">
        <v>120</v>
      </c>
      <c r="G105" s="1240">
        <v>111</v>
      </c>
      <c r="H105" s="1241">
        <v>103</v>
      </c>
      <c r="I105" s="1240">
        <v>114</v>
      </c>
      <c r="J105" s="1241">
        <v>109</v>
      </c>
      <c r="K105" s="1240">
        <v>80</v>
      </c>
      <c r="L105" s="1254">
        <v>116</v>
      </c>
      <c r="M105" s="1254">
        <v>100</v>
      </c>
      <c r="N105" s="1254">
        <v>103</v>
      </c>
      <c r="O105" s="1254">
        <v>109</v>
      </c>
      <c r="P105" s="1255">
        <v>79</v>
      </c>
      <c r="Q105" s="1255">
        <v>60</v>
      </c>
      <c r="R105" s="1556">
        <v>49</v>
      </c>
      <c r="S105" s="1557">
        <f>'Teen births'!D105</f>
        <v>64</v>
      </c>
      <c r="T105" s="1262">
        <v>3290</v>
      </c>
      <c r="U105" s="1263">
        <v>3280</v>
      </c>
      <c r="V105" s="1263">
        <v>3155</v>
      </c>
      <c r="W105" s="1263">
        <v>3116</v>
      </c>
      <c r="X105" s="1263">
        <v>3075</v>
      </c>
      <c r="Y105" s="1263">
        <v>3043</v>
      </c>
      <c r="Z105" s="1263">
        <v>2956</v>
      </c>
      <c r="AA105" s="1263">
        <v>2910</v>
      </c>
      <c r="AB105" s="1263">
        <v>2849</v>
      </c>
      <c r="AC105" s="1263">
        <v>2801</v>
      </c>
      <c r="AD105" s="1263">
        <v>2716</v>
      </c>
      <c r="AE105" s="1263">
        <v>2529</v>
      </c>
      <c r="AF105" s="1263">
        <v>2599</v>
      </c>
      <c r="AG105" s="1263">
        <v>2511</v>
      </c>
      <c r="AH105" s="1559">
        <v>2486</v>
      </c>
      <c r="AI105" s="1560">
        <f>'Teen births'!H105</f>
        <v>2415</v>
      </c>
      <c r="AJ105" s="1294">
        <f t="shared" si="17"/>
        <v>38.297872340425535</v>
      </c>
      <c r="AK105" s="1295">
        <f t="shared" si="18"/>
        <v>37.5</v>
      </c>
      <c r="AL105" s="1295">
        <f t="shared" si="19"/>
        <v>38.034865293185419</v>
      </c>
      <c r="AM105" s="1295">
        <f t="shared" si="20"/>
        <v>35.622593068035947</v>
      </c>
      <c r="AN105" s="1295">
        <f t="shared" si="21"/>
        <v>33.49593495934959</v>
      </c>
      <c r="AO105" s="1295">
        <f t="shared" si="22"/>
        <v>37.463029904699312</v>
      </c>
      <c r="AP105" s="1295">
        <f t="shared" si="23"/>
        <v>36.874154262516917</v>
      </c>
      <c r="AQ105" s="1295">
        <f t="shared" si="24"/>
        <v>27.491408934707902</v>
      </c>
      <c r="AR105" s="1295">
        <f t="shared" si="25"/>
        <v>40.716040716040716</v>
      </c>
      <c r="AS105" s="1295">
        <f t="shared" si="26"/>
        <v>35.701535166012142</v>
      </c>
      <c r="AT105" s="1295">
        <f t="shared" si="27"/>
        <v>37.923416789396171</v>
      </c>
      <c r="AU105" s="1295">
        <f t="shared" si="28"/>
        <v>43.100039541320683</v>
      </c>
      <c r="AV105" s="1295">
        <f t="shared" si="29"/>
        <v>30.396306271642938</v>
      </c>
      <c r="AW105" s="1295">
        <f t="shared" si="30"/>
        <v>23.894862604540027</v>
      </c>
      <c r="AX105" s="1569">
        <f t="shared" si="31"/>
        <v>19.710378117457761</v>
      </c>
      <c r="AY105" s="1572">
        <f t="shared" si="32"/>
        <v>26.501035196687372</v>
      </c>
    </row>
    <row r="106" spans="1:51" s="142" customFormat="1" ht="15.75" customHeight="1" x14ac:dyDescent="0.2">
      <c r="A106" s="149" t="s">
        <v>82</v>
      </c>
      <c r="B106" s="189" t="s">
        <v>83</v>
      </c>
      <c r="C106" s="150" t="s">
        <v>264</v>
      </c>
      <c r="D106" s="1239">
        <v>20</v>
      </c>
      <c r="E106" s="1240">
        <v>15</v>
      </c>
      <c r="F106" s="1241">
        <v>22</v>
      </c>
      <c r="G106" s="1240">
        <v>15</v>
      </c>
      <c r="H106" s="1241">
        <v>22</v>
      </c>
      <c r="I106" s="1240">
        <v>24</v>
      </c>
      <c r="J106" s="1241">
        <v>30</v>
      </c>
      <c r="K106" s="1240">
        <v>21</v>
      </c>
      <c r="L106" s="1254">
        <v>26</v>
      </c>
      <c r="M106" s="1254">
        <v>23</v>
      </c>
      <c r="N106" s="1254">
        <v>20</v>
      </c>
      <c r="O106" s="1254">
        <v>12</v>
      </c>
      <c r="P106" s="1255">
        <v>11</v>
      </c>
      <c r="Q106" s="1255">
        <v>13</v>
      </c>
      <c r="R106" s="1556">
        <v>19</v>
      </c>
      <c r="S106" s="1557">
        <f>'Teen births'!D106</f>
        <v>19</v>
      </c>
      <c r="T106" s="1262">
        <v>587</v>
      </c>
      <c r="U106" s="1263">
        <v>594</v>
      </c>
      <c r="V106" s="1263">
        <v>648</v>
      </c>
      <c r="W106" s="1263">
        <v>658</v>
      </c>
      <c r="X106" s="1263">
        <v>633</v>
      </c>
      <c r="Y106" s="1263">
        <v>630</v>
      </c>
      <c r="Z106" s="1263">
        <v>632</v>
      </c>
      <c r="AA106" s="1263">
        <v>625</v>
      </c>
      <c r="AB106" s="1263">
        <v>598</v>
      </c>
      <c r="AC106" s="1263">
        <v>546</v>
      </c>
      <c r="AD106" s="1263">
        <v>503</v>
      </c>
      <c r="AE106" s="1263">
        <v>515</v>
      </c>
      <c r="AF106" s="1263">
        <v>550</v>
      </c>
      <c r="AG106" s="1263">
        <v>509</v>
      </c>
      <c r="AH106" s="1559">
        <v>489</v>
      </c>
      <c r="AI106" s="1560">
        <f>'Teen births'!H106</f>
        <v>539</v>
      </c>
      <c r="AJ106" s="1294">
        <f t="shared" si="17"/>
        <v>34.071550255536629</v>
      </c>
      <c r="AK106" s="1295">
        <f t="shared" si="18"/>
        <v>25.252525252525253</v>
      </c>
      <c r="AL106" s="1295">
        <f t="shared" si="19"/>
        <v>33.950617283950614</v>
      </c>
      <c r="AM106" s="1295">
        <f t="shared" si="20"/>
        <v>22.796352583586625</v>
      </c>
      <c r="AN106" s="1295">
        <f t="shared" si="21"/>
        <v>34.755134281200633</v>
      </c>
      <c r="AO106" s="1295">
        <f t="shared" si="22"/>
        <v>38.095238095238102</v>
      </c>
      <c r="AP106" s="1295">
        <f t="shared" si="23"/>
        <v>47.468354430379748</v>
      </c>
      <c r="AQ106" s="1295">
        <f t="shared" si="24"/>
        <v>33.6</v>
      </c>
      <c r="AR106" s="1295">
        <f t="shared" si="25"/>
        <v>43.478260869565219</v>
      </c>
      <c r="AS106" s="1295">
        <f t="shared" si="26"/>
        <v>42.124542124542124</v>
      </c>
      <c r="AT106" s="1295">
        <f t="shared" si="27"/>
        <v>39.761431411530815</v>
      </c>
      <c r="AU106" s="1295">
        <f t="shared" si="28"/>
        <v>23.300970873786408</v>
      </c>
      <c r="AV106" s="1295">
        <f t="shared" si="29"/>
        <v>20</v>
      </c>
      <c r="AW106" s="1295">
        <f t="shared" si="30"/>
        <v>25.540275049115913</v>
      </c>
      <c r="AX106" s="1569">
        <f t="shared" si="31"/>
        <v>38.854805725971374</v>
      </c>
      <c r="AY106" s="1572">
        <f t="shared" si="32"/>
        <v>35.250463821892389</v>
      </c>
    </row>
    <row r="107" spans="1:51" s="142" customFormat="1" ht="15.75" customHeight="1" x14ac:dyDescent="0.2">
      <c r="A107" s="149" t="s">
        <v>88</v>
      </c>
      <c r="B107" s="189" t="s">
        <v>89</v>
      </c>
      <c r="C107" s="150" t="s">
        <v>267</v>
      </c>
      <c r="D107" s="1239">
        <v>46</v>
      </c>
      <c r="E107" s="1240">
        <v>53</v>
      </c>
      <c r="F107" s="1241">
        <v>43</v>
      </c>
      <c r="G107" s="1240">
        <v>38</v>
      </c>
      <c r="H107" s="1241">
        <v>45</v>
      </c>
      <c r="I107" s="1240">
        <v>50</v>
      </c>
      <c r="J107" s="1241">
        <v>49</v>
      </c>
      <c r="K107" s="1240">
        <v>48</v>
      </c>
      <c r="L107" s="1254">
        <v>60</v>
      </c>
      <c r="M107" s="1254">
        <v>44</v>
      </c>
      <c r="N107" s="1254">
        <v>37</v>
      </c>
      <c r="O107" s="1254">
        <v>37</v>
      </c>
      <c r="P107" s="1255">
        <v>34</v>
      </c>
      <c r="Q107" s="1255">
        <v>31</v>
      </c>
      <c r="R107" s="1556">
        <v>30</v>
      </c>
      <c r="S107" s="1557">
        <f>'Teen births'!D107</f>
        <v>26</v>
      </c>
      <c r="T107" s="1262">
        <v>1725</v>
      </c>
      <c r="U107" s="1263">
        <v>1746</v>
      </c>
      <c r="V107" s="1263">
        <v>1780</v>
      </c>
      <c r="W107" s="1263">
        <v>1715</v>
      </c>
      <c r="X107" s="1263">
        <v>1716</v>
      </c>
      <c r="Y107" s="1263">
        <v>1734</v>
      </c>
      <c r="Z107" s="1263">
        <v>1752</v>
      </c>
      <c r="AA107" s="1263">
        <v>1863</v>
      </c>
      <c r="AB107" s="1263">
        <v>1868</v>
      </c>
      <c r="AC107" s="1263">
        <v>1930</v>
      </c>
      <c r="AD107" s="1263">
        <v>1939</v>
      </c>
      <c r="AE107" s="1263">
        <v>1871</v>
      </c>
      <c r="AF107" s="1263">
        <v>1940</v>
      </c>
      <c r="AG107" s="1263">
        <v>1972</v>
      </c>
      <c r="AH107" s="1559">
        <v>2134</v>
      </c>
      <c r="AI107" s="1560">
        <f>'Teen births'!H107</f>
        <v>2208</v>
      </c>
      <c r="AJ107" s="1294">
        <f t="shared" si="17"/>
        <v>26.666666666666668</v>
      </c>
      <c r="AK107" s="1295">
        <f t="shared" si="18"/>
        <v>30.355097365406642</v>
      </c>
      <c r="AL107" s="1295">
        <f t="shared" si="19"/>
        <v>24.157303370786519</v>
      </c>
      <c r="AM107" s="1295">
        <f t="shared" si="20"/>
        <v>22.157434402332363</v>
      </c>
      <c r="AN107" s="1295">
        <f t="shared" si="21"/>
        <v>26.223776223776223</v>
      </c>
      <c r="AO107" s="1295">
        <f t="shared" si="22"/>
        <v>28.83506343713956</v>
      </c>
      <c r="AP107" s="1295">
        <f t="shared" si="23"/>
        <v>27.968036529680365</v>
      </c>
      <c r="AQ107" s="1295">
        <f t="shared" si="24"/>
        <v>25.764895330112722</v>
      </c>
      <c r="AR107" s="1295">
        <f t="shared" si="25"/>
        <v>32.119914346895072</v>
      </c>
      <c r="AS107" s="1295">
        <f t="shared" si="26"/>
        <v>22.797927461139896</v>
      </c>
      <c r="AT107" s="1295">
        <f t="shared" si="27"/>
        <v>19.082001031459516</v>
      </c>
      <c r="AU107" s="1295">
        <f t="shared" si="28"/>
        <v>19.775521111704968</v>
      </c>
      <c r="AV107" s="1295">
        <f t="shared" si="29"/>
        <v>17.52577319587629</v>
      </c>
      <c r="AW107" s="1295">
        <f t="shared" si="30"/>
        <v>15.720081135902637</v>
      </c>
      <c r="AX107" s="1569">
        <f t="shared" si="31"/>
        <v>14.058106841611997</v>
      </c>
      <c r="AY107" s="1572">
        <f t="shared" si="32"/>
        <v>11.77536231884058</v>
      </c>
    </row>
    <row r="108" spans="1:51" s="142" customFormat="1" ht="15.75" customHeight="1" x14ac:dyDescent="0.2">
      <c r="A108" s="149" t="s">
        <v>90</v>
      </c>
      <c r="B108" s="189" t="s">
        <v>91</v>
      </c>
      <c r="C108" s="150" t="s">
        <v>268</v>
      </c>
      <c r="D108" s="1239">
        <v>21</v>
      </c>
      <c r="E108" s="1240">
        <v>26</v>
      </c>
      <c r="F108" s="1241">
        <v>19</v>
      </c>
      <c r="G108" s="1240">
        <v>24</v>
      </c>
      <c r="H108" s="1241">
        <v>21</v>
      </c>
      <c r="I108" s="1240">
        <v>9</v>
      </c>
      <c r="J108" s="1241">
        <v>17</v>
      </c>
      <c r="K108" s="1240">
        <v>18</v>
      </c>
      <c r="L108" s="1254">
        <v>13</v>
      </c>
      <c r="M108" s="1254">
        <v>19</v>
      </c>
      <c r="N108" s="1254">
        <v>18</v>
      </c>
      <c r="O108" s="1254">
        <v>24</v>
      </c>
      <c r="P108" s="1255">
        <v>17</v>
      </c>
      <c r="Q108" s="1255">
        <v>18</v>
      </c>
      <c r="R108" s="1556">
        <v>20</v>
      </c>
      <c r="S108" s="1557">
        <f>'Teen births'!D108</f>
        <v>16</v>
      </c>
      <c r="T108" s="1262">
        <v>422</v>
      </c>
      <c r="U108" s="1263">
        <v>428</v>
      </c>
      <c r="V108" s="1263">
        <v>406</v>
      </c>
      <c r="W108" s="1263">
        <v>387</v>
      </c>
      <c r="X108" s="1263">
        <v>375</v>
      </c>
      <c r="Y108" s="1263">
        <v>359</v>
      </c>
      <c r="Z108" s="1263">
        <v>370</v>
      </c>
      <c r="AA108" s="1263">
        <v>360</v>
      </c>
      <c r="AB108" s="1263">
        <v>367</v>
      </c>
      <c r="AC108" s="1263">
        <v>364</v>
      </c>
      <c r="AD108" s="1263">
        <v>357</v>
      </c>
      <c r="AE108" s="1263">
        <v>344</v>
      </c>
      <c r="AF108" s="1263">
        <v>406</v>
      </c>
      <c r="AG108" s="1263">
        <v>415</v>
      </c>
      <c r="AH108" s="1559">
        <v>435</v>
      </c>
      <c r="AI108" s="1560">
        <f>'Teen births'!H108</f>
        <v>438</v>
      </c>
      <c r="AJ108" s="1294">
        <f t="shared" si="17"/>
        <v>49.763033175355453</v>
      </c>
      <c r="AK108" s="1295">
        <f t="shared" si="18"/>
        <v>60.747663551401871</v>
      </c>
      <c r="AL108" s="1295">
        <f t="shared" si="19"/>
        <v>46.798029556650242</v>
      </c>
      <c r="AM108" s="1295">
        <f t="shared" si="20"/>
        <v>62.015503875968989</v>
      </c>
      <c r="AN108" s="1295">
        <f t="shared" si="21"/>
        <v>56</v>
      </c>
      <c r="AO108" s="1295">
        <f t="shared" si="22"/>
        <v>25.069637883008355</v>
      </c>
      <c r="AP108" s="1295">
        <f t="shared" si="23"/>
        <v>45.945945945945951</v>
      </c>
      <c r="AQ108" s="1295">
        <f t="shared" si="24"/>
        <v>50</v>
      </c>
      <c r="AR108" s="1295">
        <f t="shared" si="25"/>
        <v>35.422343324250683</v>
      </c>
      <c r="AS108" s="1295">
        <f t="shared" si="26"/>
        <v>52.197802197802197</v>
      </c>
      <c r="AT108" s="1295">
        <f t="shared" si="27"/>
        <v>50.420168067226889</v>
      </c>
      <c r="AU108" s="1295">
        <f t="shared" si="28"/>
        <v>69.767441860465112</v>
      </c>
      <c r="AV108" s="1295">
        <f t="shared" si="29"/>
        <v>41.871921182266007</v>
      </c>
      <c r="AW108" s="1295">
        <f t="shared" si="30"/>
        <v>43.373493975903614</v>
      </c>
      <c r="AX108" s="1569">
        <f t="shared" si="31"/>
        <v>45.977011494252871</v>
      </c>
      <c r="AY108" s="1572">
        <f t="shared" si="32"/>
        <v>36.529680365296798</v>
      </c>
    </row>
    <row r="109" spans="1:51" s="142" customFormat="1" ht="15.75" customHeight="1" x14ac:dyDescent="0.2">
      <c r="A109" s="149" t="s">
        <v>106</v>
      </c>
      <c r="B109" s="189" t="s">
        <v>107</v>
      </c>
      <c r="C109" s="150" t="s">
        <v>264</v>
      </c>
      <c r="D109" s="1239">
        <v>276</v>
      </c>
      <c r="E109" s="1240">
        <v>297</v>
      </c>
      <c r="F109" s="1241">
        <v>272</v>
      </c>
      <c r="G109" s="1240">
        <v>274</v>
      </c>
      <c r="H109" s="1241">
        <v>238</v>
      </c>
      <c r="I109" s="1240">
        <v>203</v>
      </c>
      <c r="J109" s="1241">
        <v>221</v>
      </c>
      <c r="K109" s="1240">
        <v>247</v>
      </c>
      <c r="L109" s="1254">
        <v>226</v>
      </c>
      <c r="M109" s="1254">
        <v>256</v>
      </c>
      <c r="N109" s="1254">
        <v>189</v>
      </c>
      <c r="O109" s="1254">
        <v>188</v>
      </c>
      <c r="P109" s="1255">
        <v>177</v>
      </c>
      <c r="Q109" s="1255">
        <v>144</v>
      </c>
      <c r="R109" s="1556">
        <v>145</v>
      </c>
      <c r="S109" s="1557">
        <f>'Teen births'!D109</f>
        <v>122</v>
      </c>
      <c r="T109" s="1262">
        <v>10507</v>
      </c>
      <c r="U109" s="1263">
        <v>10640</v>
      </c>
      <c r="V109" s="1263">
        <v>10952</v>
      </c>
      <c r="W109" s="1263">
        <v>10727</v>
      </c>
      <c r="X109" s="1263">
        <v>10660</v>
      </c>
      <c r="Y109" s="1263">
        <v>10790</v>
      </c>
      <c r="Z109" s="1263">
        <v>10593</v>
      </c>
      <c r="AA109" s="1263">
        <v>10346</v>
      </c>
      <c r="AB109" s="1263">
        <v>10181</v>
      </c>
      <c r="AC109" s="1263">
        <v>10345</v>
      </c>
      <c r="AD109" s="1263">
        <v>10046</v>
      </c>
      <c r="AE109" s="1263">
        <v>9446</v>
      </c>
      <c r="AF109" s="1263">
        <v>9459</v>
      </c>
      <c r="AG109" s="1263">
        <v>9212</v>
      </c>
      <c r="AH109" s="1559">
        <v>8917</v>
      </c>
      <c r="AI109" s="1560">
        <f>'Teen births'!H109</f>
        <v>8669</v>
      </c>
      <c r="AJ109" s="1294">
        <f t="shared" si="17"/>
        <v>26.268202150946987</v>
      </c>
      <c r="AK109" s="1295">
        <f t="shared" si="18"/>
        <v>27.913533834586467</v>
      </c>
      <c r="AL109" s="1295">
        <f t="shared" si="19"/>
        <v>24.83564645726808</v>
      </c>
      <c r="AM109" s="1295">
        <f t="shared" si="20"/>
        <v>25.543022280227465</v>
      </c>
      <c r="AN109" s="1295">
        <f t="shared" si="21"/>
        <v>22.326454033771107</v>
      </c>
      <c r="AO109" s="1295">
        <f t="shared" si="22"/>
        <v>18.813716404077848</v>
      </c>
      <c r="AP109" s="1295">
        <f t="shared" si="23"/>
        <v>20.862833946946097</v>
      </c>
      <c r="AQ109" s="1295">
        <f t="shared" si="24"/>
        <v>23.873960951092208</v>
      </c>
      <c r="AR109" s="1295">
        <f t="shared" si="25"/>
        <v>22.198212356350062</v>
      </c>
      <c r="AS109" s="1295">
        <f t="shared" si="26"/>
        <v>24.746254229096181</v>
      </c>
      <c r="AT109" s="1295">
        <f t="shared" si="27"/>
        <v>18.813458092773242</v>
      </c>
      <c r="AU109" s="1295">
        <f t="shared" si="28"/>
        <v>19.902604276942622</v>
      </c>
      <c r="AV109" s="1295">
        <f t="shared" si="29"/>
        <v>18.712337456390742</v>
      </c>
      <c r="AW109" s="1295">
        <f t="shared" si="30"/>
        <v>15.631784628745114</v>
      </c>
      <c r="AX109" s="1569">
        <f t="shared" si="31"/>
        <v>16.261074352360659</v>
      </c>
      <c r="AY109" s="1572">
        <f t="shared" si="32"/>
        <v>14.073134156188718</v>
      </c>
    </row>
    <row r="110" spans="1:51" s="142" customFormat="1" ht="15.75" customHeight="1" x14ac:dyDescent="0.2">
      <c r="A110" s="149" t="s">
        <v>116</v>
      </c>
      <c r="B110" s="189" t="s">
        <v>117</v>
      </c>
      <c r="C110" s="150" t="s">
        <v>266</v>
      </c>
      <c r="D110" s="1239">
        <v>62</v>
      </c>
      <c r="E110" s="1240">
        <v>71</v>
      </c>
      <c r="F110" s="1241">
        <v>68</v>
      </c>
      <c r="G110" s="1240">
        <v>78</v>
      </c>
      <c r="H110" s="1241">
        <v>71</v>
      </c>
      <c r="I110" s="1240">
        <v>68</v>
      </c>
      <c r="J110" s="1241">
        <v>50</v>
      </c>
      <c r="K110" s="1240">
        <v>55</v>
      </c>
      <c r="L110" s="1254">
        <v>67</v>
      </c>
      <c r="M110" s="1254">
        <v>71</v>
      </c>
      <c r="N110" s="1254">
        <v>64</v>
      </c>
      <c r="O110" s="1254">
        <v>73</v>
      </c>
      <c r="P110" s="1255">
        <v>59</v>
      </c>
      <c r="Q110" s="1255">
        <v>48</v>
      </c>
      <c r="R110" s="1556">
        <v>47</v>
      </c>
      <c r="S110" s="1557">
        <f>'Teen births'!D110</f>
        <v>35</v>
      </c>
      <c r="T110" s="1262">
        <v>1671</v>
      </c>
      <c r="U110" s="1263">
        <v>1686</v>
      </c>
      <c r="V110" s="1263">
        <v>1503</v>
      </c>
      <c r="W110" s="1263">
        <v>1509</v>
      </c>
      <c r="X110" s="1263">
        <v>1523</v>
      </c>
      <c r="Y110" s="1263">
        <v>1543</v>
      </c>
      <c r="Z110" s="1263">
        <v>1556</v>
      </c>
      <c r="AA110" s="1263">
        <v>1590</v>
      </c>
      <c r="AB110" s="1263">
        <v>1579</v>
      </c>
      <c r="AC110" s="1263">
        <v>1638</v>
      </c>
      <c r="AD110" s="1263">
        <v>1629</v>
      </c>
      <c r="AE110" s="1263">
        <v>1483</v>
      </c>
      <c r="AF110" s="1263">
        <v>1489</v>
      </c>
      <c r="AG110" s="1263">
        <v>1418</v>
      </c>
      <c r="AH110" s="1559">
        <v>1354</v>
      </c>
      <c r="AI110" s="1560">
        <f>'Teen births'!H110</f>
        <v>1315</v>
      </c>
      <c r="AJ110" s="1294">
        <f t="shared" si="17"/>
        <v>37.10353081986834</v>
      </c>
      <c r="AK110" s="1295">
        <f t="shared" si="18"/>
        <v>42.111506524317917</v>
      </c>
      <c r="AL110" s="1295">
        <f t="shared" si="19"/>
        <v>45.242847638057221</v>
      </c>
      <c r="AM110" s="1295">
        <f t="shared" si="20"/>
        <v>51.689860834990057</v>
      </c>
      <c r="AN110" s="1295">
        <f t="shared" si="21"/>
        <v>46.618516086671043</v>
      </c>
      <c r="AO110" s="1295">
        <f t="shared" si="22"/>
        <v>44.069993519118597</v>
      </c>
      <c r="AP110" s="1295">
        <f t="shared" si="23"/>
        <v>32.133676092544988</v>
      </c>
      <c r="AQ110" s="1295">
        <f t="shared" si="24"/>
        <v>34.591194968553459</v>
      </c>
      <c r="AR110" s="1295">
        <f t="shared" si="25"/>
        <v>42.431918936035466</v>
      </c>
      <c r="AS110" s="1295">
        <f t="shared" si="26"/>
        <v>43.345543345543341</v>
      </c>
      <c r="AT110" s="1295">
        <f t="shared" si="27"/>
        <v>39.287906691221608</v>
      </c>
      <c r="AU110" s="1295">
        <f t="shared" si="28"/>
        <v>49.224544841537423</v>
      </c>
      <c r="AV110" s="1295">
        <f t="shared" si="29"/>
        <v>39.623908663532575</v>
      </c>
      <c r="AW110" s="1295">
        <f t="shared" si="30"/>
        <v>33.850493653032444</v>
      </c>
      <c r="AX110" s="1569">
        <f t="shared" si="31"/>
        <v>34.711964549483014</v>
      </c>
      <c r="AY110" s="1572">
        <f t="shared" si="32"/>
        <v>26.615969581749049</v>
      </c>
    </row>
    <row r="111" spans="1:51" s="142" customFormat="1" ht="15.75" customHeight="1" x14ac:dyDescent="0.2">
      <c r="A111" s="149" t="s">
        <v>138</v>
      </c>
      <c r="B111" s="189" t="s">
        <v>139</v>
      </c>
      <c r="C111" s="150" t="s">
        <v>265</v>
      </c>
      <c r="D111" s="1239">
        <v>116</v>
      </c>
      <c r="E111" s="1240">
        <v>106</v>
      </c>
      <c r="F111" s="1241">
        <v>121</v>
      </c>
      <c r="G111" s="1240">
        <v>138</v>
      </c>
      <c r="H111" s="1241">
        <v>130</v>
      </c>
      <c r="I111" s="1241">
        <v>120</v>
      </c>
      <c r="J111" s="1241">
        <v>120</v>
      </c>
      <c r="K111" s="1240">
        <v>133</v>
      </c>
      <c r="L111" s="1254">
        <v>139</v>
      </c>
      <c r="M111" s="1254">
        <v>150</v>
      </c>
      <c r="N111" s="1254">
        <v>119</v>
      </c>
      <c r="O111" s="1254">
        <v>102</v>
      </c>
      <c r="P111" s="1255">
        <v>108</v>
      </c>
      <c r="Q111" s="1255">
        <v>78</v>
      </c>
      <c r="R111" s="1556">
        <v>61</v>
      </c>
      <c r="S111" s="1557">
        <f>'Teen births'!D111</f>
        <v>66</v>
      </c>
      <c r="T111" s="1262">
        <v>5632</v>
      </c>
      <c r="U111" s="1263">
        <v>5669</v>
      </c>
      <c r="V111" s="1263">
        <v>5181</v>
      </c>
      <c r="W111" s="1263">
        <v>5080</v>
      </c>
      <c r="X111" s="1263">
        <v>5057</v>
      </c>
      <c r="Y111" s="1263">
        <v>5232</v>
      </c>
      <c r="Z111" s="1263">
        <v>5208</v>
      </c>
      <c r="AA111" s="1263">
        <v>5575</v>
      </c>
      <c r="AB111" s="1263">
        <v>5500</v>
      </c>
      <c r="AC111" s="1263">
        <v>5895</v>
      </c>
      <c r="AD111" s="1263">
        <v>6014</v>
      </c>
      <c r="AE111" s="1263">
        <v>5921</v>
      </c>
      <c r="AF111" s="1263">
        <v>6221</v>
      </c>
      <c r="AG111" s="1263">
        <v>6095</v>
      </c>
      <c r="AH111" s="1559">
        <v>6114</v>
      </c>
      <c r="AI111" s="1560">
        <f>'Teen births'!H111</f>
        <v>6275</v>
      </c>
      <c r="AJ111" s="1294">
        <f t="shared" si="17"/>
        <v>20.596590909090907</v>
      </c>
      <c r="AK111" s="1295">
        <f t="shared" si="18"/>
        <v>18.698183101076026</v>
      </c>
      <c r="AL111" s="1295">
        <f t="shared" si="19"/>
        <v>23.354564755838638</v>
      </c>
      <c r="AM111" s="1295">
        <f t="shared" si="20"/>
        <v>27.165354330708659</v>
      </c>
      <c r="AN111" s="1295">
        <f t="shared" si="21"/>
        <v>25.70694087403599</v>
      </c>
      <c r="AO111" s="1295">
        <f t="shared" si="22"/>
        <v>22.935779816513762</v>
      </c>
      <c r="AP111" s="1295">
        <f t="shared" si="23"/>
        <v>23.041474654377883</v>
      </c>
      <c r="AQ111" s="1295">
        <f t="shared" si="24"/>
        <v>23.856502242152466</v>
      </c>
      <c r="AR111" s="1295">
        <f t="shared" si="25"/>
        <v>25.272727272727273</v>
      </c>
      <c r="AS111" s="1295">
        <f t="shared" si="26"/>
        <v>25.445292620865139</v>
      </c>
      <c r="AT111" s="1295">
        <f t="shared" si="27"/>
        <v>19.787163285666779</v>
      </c>
      <c r="AU111" s="1295">
        <f t="shared" si="28"/>
        <v>17.226819793953723</v>
      </c>
      <c r="AV111" s="1295">
        <f t="shared" si="29"/>
        <v>17.360552965761133</v>
      </c>
      <c r="AW111" s="1295">
        <f t="shared" si="30"/>
        <v>12.797374897456931</v>
      </c>
      <c r="AX111" s="1569">
        <f t="shared" si="31"/>
        <v>9.9771017337258758</v>
      </c>
      <c r="AY111" s="1572">
        <f t="shared" si="32"/>
        <v>10.517928286852589</v>
      </c>
    </row>
    <row r="112" spans="1:51" s="142" customFormat="1" ht="15.75" customHeight="1" x14ac:dyDescent="0.2">
      <c r="A112" s="149" t="s">
        <v>142</v>
      </c>
      <c r="B112" s="189" t="s">
        <v>273</v>
      </c>
      <c r="C112" s="150" t="s">
        <v>267</v>
      </c>
      <c r="D112" s="1239">
        <v>59</v>
      </c>
      <c r="E112" s="1240">
        <v>60</v>
      </c>
      <c r="F112" s="1241">
        <v>67</v>
      </c>
      <c r="G112" s="1240">
        <v>74</v>
      </c>
      <c r="H112" s="1241">
        <v>59</v>
      </c>
      <c r="I112" s="1240">
        <v>61</v>
      </c>
      <c r="J112" s="1241">
        <v>67</v>
      </c>
      <c r="K112" s="1240">
        <v>58</v>
      </c>
      <c r="L112" s="1254">
        <v>83</v>
      </c>
      <c r="M112" s="1254">
        <v>66</v>
      </c>
      <c r="N112" s="1254">
        <v>50</v>
      </c>
      <c r="O112" s="1254">
        <v>51</v>
      </c>
      <c r="P112" s="1255">
        <v>50</v>
      </c>
      <c r="Q112" s="1255">
        <v>78</v>
      </c>
      <c r="R112" s="1556">
        <v>59</v>
      </c>
      <c r="S112" s="1557">
        <f>'Teen births'!D112</f>
        <v>50</v>
      </c>
      <c r="T112" s="1262">
        <v>2247</v>
      </c>
      <c r="U112" s="1263">
        <v>2305</v>
      </c>
      <c r="V112" s="1263">
        <v>2531</v>
      </c>
      <c r="W112" s="1263">
        <v>2608</v>
      </c>
      <c r="X112" s="1263">
        <v>2647</v>
      </c>
      <c r="Y112" s="1263">
        <v>2679</v>
      </c>
      <c r="Z112" s="1263">
        <v>2737</v>
      </c>
      <c r="AA112" s="1263">
        <v>2758</v>
      </c>
      <c r="AB112" s="1263">
        <v>2631</v>
      </c>
      <c r="AC112" s="1263">
        <v>2565</v>
      </c>
      <c r="AD112" s="1263">
        <v>2502</v>
      </c>
      <c r="AE112" s="1263">
        <v>2429</v>
      </c>
      <c r="AF112" s="1263">
        <v>2665</v>
      </c>
      <c r="AG112" s="1263">
        <v>2658</v>
      </c>
      <c r="AH112" s="1559">
        <v>2764</v>
      </c>
      <c r="AI112" s="1560">
        <f>'Teen births'!H112</f>
        <v>2788</v>
      </c>
      <c r="AJ112" s="1294">
        <f t="shared" si="17"/>
        <v>26.257231864708501</v>
      </c>
      <c r="AK112" s="1295">
        <f t="shared" si="18"/>
        <v>26.030368763557483</v>
      </c>
      <c r="AL112" s="1295">
        <f t="shared" si="19"/>
        <v>26.471750296325563</v>
      </c>
      <c r="AM112" s="1295">
        <f t="shared" si="20"/>
        <v>28.374233128834355</v>
      </c>
      <c r="AN112" s="1295">
        <f t="shared" si="21"/>
        <v>22.289384208537967</v>
      </c>
      <c r="AO112" s="1295">
        <f t="shared" si="22"/>
        <v>22.769690182904068</v>
      </c>
      <c r="AP112" s="1295">
        <f t="shared" si="23"/>
        <v>24.479356960175373</v>
      </c>
      <c r="AQ112" s="1295">
        <f t="shared" si="24"/>
        <v>21.029731689630168</v>
      </c>
      <c r="AR112" s="1295">
        <f t="shared" si="25"/>
        <v>31.546940326871916</v>
      </c>
      <c r="AS112" s="1295">
        <f t="shared" si="26"/>
        <v>25.730994152046787</v>
      </c>
      <c r="AT112" s="1295">
        <f t="shared" si="27"/>
        <v>19.984012789768183</v>
      </c>
      <c r="AU112" s="1295">
        <f t="shared" si="28"/>
        <v>20.996294771510911</v>
      </c>
      <c r="AV112" s="1295">
        <f t="shared" si="29"/>
        <v>18.761726078799253</v>
      </c>
      <c r="AW112" s="1295">
        <f t="shared" si="30"/>
        <v>29.345372460496616</v>
      </c>
      <c r="AX112" s="1569">
        <f t="shared" si="31"/>
        <v>21.345875542691751</v>
      </c>
      <c r="AY112" s="1572">
        <f t="shared" si="32"/>
        <v>17.934002869440459</v>
      </c>
    </row>
    <row r="113" spans="1:51" s="142" customFormat="1" ht="15.75" customHeight="1" x14ac:dyDescent="0.2">
      <c r="A113" s="149" t="s">
        <v>144</v>
      </c>
      <c r="B113" s="189" t="s">
        <v>145</v>
      </c>
      <c r="C113" s="150" t="s">
        <v>267</v>
      </c>
      <c r="D113" s="1239">
        <v>15</v>
      </c>
      <c r="E113" s="1240">
        <v>15</v>
      </c>
      <c r="F113" s="1241">
        <v>15</v>
      </c>
      <c r="G113" s="1240">
        <v>18</v>
      </c>
      <c r="H113" s="1241">
        <v>24</v>
      </c>
      <c r="I113" s="1240">
        <v>18</v>
      </c>
      <c r="J113" s="1241">
        <v>23</v>
      </c>
      <c r="K113" s="1240">
        <v>25</v>
      </c>
      <c r="L113" s="1254">
        <v>37</v>
      </c>
      <c r="M113" s="1254">
        <v>23</v>
      </c>
      <c r="N113" s="1254">
        <v>16</v>
      </c>
      <c r="O113" s="1254">
        <v>19</v>
      </c>
      <c r="P113" s="1255">
        <v>0</v>
      </c>
      <c r="Q113" s="1255">
        <v>1</v>
      </c>
      <c r="R113" s="1556">
        <v>3</v>
      </c>
      <c r="S113" s="1557">
        <f>'Teen births'!D113</f>
        <v>1</v>
      </c>
      <c r="T113" s="1262">
        <v>595</v>
      </c>
      <c r="U113" s="1263">
        <v>609</v>
      </c>
      <c r="V113" s="1263">
        <v>720</v>
      </c>
      <c r="W113" s="1263">
        <v>759</v>
      </c>
      <c r="X113" s="1263">
        <v>769</v>
      </c>
      <c r="Y113" s="1263">
        <v>791</v>
      </c>
      <c r="Z113" s="1263">
        <v>840</v>
      </c>
      <c r="AA113" s="1263">
        <v>849</v>
      </c>
      <c r="AB113" s="1263">
        <v>830</v>
      </c>
      <c r="AC113" s="1263">
        <v>830</v>
      </c>
      <c r="AD113" s="1263">
        <v>840</v>
      </c>
      <c r="AE113" s="1263">
        <v>773</v>
      </c>
      <c r="AF113" s="1263">
        <v>947</v>
      </c>
      <c r="AG113" s="1263">
        <v>1047</v>
      </c>
      <c r="AH113" s="1559">
        <v>1073</v>
      </c>
      <c r="AI113" s="1560">
        <f>'Teen births'!H113</f>
        <v>1047</v>
      </c>
      <c r="AJ113" s="1294">
        <f t="shared" si="17"/>
        <v>25.210084033613445</v>
      </c>
      <c r="AK113" s="1295">
        <f t="shared" si="18"/>
        <v>24.630541871921185</v>
      </c>
      <c r="AL113" s="1295">
        <f t="shared" si="19"/>
        <v>20.833333333333332</v>
      </c>
      <c r="AM113" s="1295">
        <f t="shared" si="20"/>
        <v>23.715415019762844</v>
      </c>
      <c r="AN113" s="1295">
        <f t="shared" si="21"/>
        <v>31.209362808842652</v>
      </c>
      <c r="AO113" s="1295">
        <f t="shared" si="22"/>
        <v>22.756005056890015</v>
      </c>
      <c r="AP113" s="1295">
        <f t="shared" si="23"/>
        <v>27.38095238095238</v>
      </c>
      <c r="AQ113" s="1295">
        <f t="shared" si="24"/>
        <v>29.446407538280329</v>
      </c>
      <c r="AR113" s="1295">
        <f t="shared" si="25"/>
        <v>44.578313253012048</v>
      </c>
      <c r="AS113" s="1295">
        <f t="shared" si="26"/>
        <v>27.710843373493976</v>
      </c>
      <c r="AT113" s="1295">
        <f t="shared" si="27"/>
        <v>19.047619047619051</v>
      </c>
      <c r="AU113" s="1295">
        <f t="shared" si="28"/>
        <v>24.579560155239328</v>
      </c>
      <c r="AV113" s="1295">
        <f t="shared" si="29"/>
        <v>0</v>
      </c>
      <c r="AW113" s="1295">
        <f t="shared" si="30"/>
        <v>0.95510983763132762</v>
      </c>
      <c r="AX113" s="1569">
        <f t="shared" si="31"/>
        <v>2.7958993476234855</v>
      </c>
      <c r="AY113" s="1572">
        <f t="shared" si="32"/>
        <v>0.95510983763132762</v>
      </c>
    </row>
    <row r="114" spans="1:51" s="142" customFormat="1" ht="15.75" customHeight="1" x14ac:dyDescent="0.2">
      <c r="A114" s="149" t="s">
        <v>158</v>
      </c>
      <c r="B114" s="189" t="s">
        <v>159</v>
      </c>
      <c r="C114" s="150" t="s">
        <v>264</v>
      </c>
      <c r="D114" s="1239">
        <v>468</v>
      </c>
      <c r="E114" s="1240">
        <v>452</v>
      </c>
      <c r="F114" s="1241">
        <v>447</v>
      </c>
      <c r="G114" s="1240">
        <v>421</v>
      </c>
      <c r="H114" s="1241">
        <v>407</v>
      </c>
      <c r="I114" s="1240">
        <v>409</v>
      </c>
      <c r="J114" s="1241">
        <v>373</v>
      </c>
      <c r="K114" s="1240">
        <v>363</v>
      </c>
      <c r="L114" s="1254">
        <v>392</v>
      </c>
      <c r="M114" s="1254">
        <v>344</v>
      </c>
      <c r="N114" s="1254">
        <v>382</v>
      </c>
      <c r="O114" s="1254">
        <v>326</v>
      </c>
      <c r="P114" s="1255">
        <v>280</v>
      </c>
      <c r="Q114" s="1255">
        <v>269</v>
      </c>
      <c r="R114" s="1556">
        <v>248</v>
      </c>
      <c r="S114" s="1557">
        <f>'Teen births'!D114</f>
        <v>208</v>
      </c>
      <c r="T114" s="1262">
        <v>13646</v>
      </c>
      <c r="U114" s="1263">
        <v>13975</v>
      </c>
      <c r="V114" s="1263">
        <v>12876</v>
      </c>
      <c r="W114" s="1263">
        <v>12824</v>
      </c>
      <c r="X114" s="1263">
        <v>12894</v>
      </c>
      <c r="Y114" s="1263">
        <v>13189</v>
      </c>
      <c r="Z114" s="1263">
        <v>13287</v>
      </c>
      <c r="AA114" s="1263">
        <v>13249</v>
      </c>
      <c r="AB114" s="1263">
        <v>13050</v>
      </c>
      <c r="AC114" s="1263">
        <v>13209</v>
      </c>
      <c r="AD114" s="1263">
        <v>13877</v>
      </c>
      <c r="AE114" s="1263">
        <v>13149</v>
      </c>
      <c r="AF114" s="1263">
        <v>12437</v>
      </c>
      <c r="AG114" s="1263">
        <v>11955</v>
      </c>
      <c r="AH114" s="1559">
        <v>11781</v>
      </c>
      <c r="AI114" s="1560">
        <f>'Teen births'!H114</f>
        <v>11695</v>
      </c>
      <c r="AJ114" s="1294">
        <f t="shared" si="17"/>
        <v>34.295764326542574</v>
      </c>
      <c r="AK114" s="1295">
        <f t="shared" si="18"/>
        <v>32.343470483005362</v>
      </c>
      <c r="AL114" s="1295">
        <f t="shared" si="19"/>
        <v>34.715750232991617</v>
      </c>
      <c r="AM114" s="1295">
        <f t="shared" si="20"/>
        <v>32.829070492825949</v>
      </c>
      <c r="AN114" s="1295">
        <f t="shared" si="21"/>
        <v>31.565069024352411</v>
      </c>
      <c r="AO114" s="1295">
        <f t="shared" si="22"/>
        <v>31.010690727121087</v>
      </c>
      <c r="AP114" s="1295">
        <f t="shared" si="23"/>
        <v>28.072552118612176</v>
      </c>
      <c r="AQ114" s="1295">
        <f t="shared" si="24"/>
        <v>27.39829421088384</v>
      </c>
      <c r="AR114" s="1295">
        <f t="shared" si="25"/>
        <v>30.038314176245208</v>
      </c>
      <c r="AS114" s="1295">
        <f t="shared" si="26"/>
        <v>26.042849572261336</v>
      </c>
      <c r="AT114" s="1295">
        <f t="shared" si="27"/>
        <v>27.527563594436838</v>
      </c>
      <c r="AU114" s="1295">
        <f t="shared" si="28"/>
        <v>24.792759905696251</v>
      </c>
      <c r="AV114" s="1295">
        <f t="shared" si="29"/>
        <v>22.513467878105654</v>
      </c>
      <c r="AW114" s="1295">
        <f t="shared" si="30"/>
        <v>22.50104558762024</v>
      </c>
      <c r="AX114" s="1569">
        <f t="shared" si="31"/>
        <v>21.050844580256346</v>
      </c>
      <c r="AY114" s="1572">
        <f t="shared" si="32"/>
        <v>17.78537836682343</v>
      </c>
    </row>
    <row r="115" spans="1:51" s="142" customFormat="1" ht="15.75" customHeight="1" x14ac:dyDescent="0.2">
      <c r="A115" s="149" t="s">
        <v>160</v>
      </c>
      <c r="B115" s="189" t="s">
        <v>161</v>
      </c>
      <c r="C115" s="150" t="s">
        <v>264</v>
      </c>
      <c r="D115" s="1239">
        <v>715</v>
      </c>
      <c r="E115" s="1240">
        <v>696</v>
      </c>
      <c r="F115" s="1241">
        <v>634</v>
      </c>
      <c r="G115" s="1240">
        <v>616</v>
      </c>
      <c r="H115" s="1241">
        <v>626</v>
      </c>
      <c r="I115" s="1240">
        <v>550</v>
      </c>
      <c r="J115" s="1241">
        <v>545</v>
      </c>
      <c r="K115" s="1240">
        <v>535</v>
      </c>
      <c r="L115" s="1254">
        <v>498</v>
      </c>
      <c r="M115" s="1254">
        <v>534</v>
      </c>
      <c r="N115" s="1254">
        <v>498</v>
      </c>
      <c r="O115" s="1254">
        <v>473</v>
      </c>
      <c r="P115" s="1255">
        <v>425</v>
      </c>
      <c r="Q115" s="1255">
        <v>341</v>
      </c>
      <c r="R115" s="1556">
        <v>346</v>
      </c>
      <c r="S115" s="1557">
        <f>'Teen births'!D115</f>
        <v>277</v>
      </c>
      <c r="T115" s="1262">
        <v>17404</v>
      </c>
      <c r="U115" s="1263">
        <v>17626</v>
      </c>
      <c r="V115" s="1263">
        <v>16447</v>
      </c>
      <c r="W115" s="1263">
        <v>15813</v>
      </c>
      <c r="X115" s="1263">
        <v>15886</v>
      </c>
      <c r="Y115" s="1263">
        <v>16188</v>
      </c>
      <c r="Z115" s="1263">
        <v>16034</v>
      </c>
      <c r="AA115" s="1263">
        <v>16005</v>
      </c>
      <c r="AB115" s="1263">
        <v>16132</v>
      </c>
      <c r="AC115" s="1263">
        <v>17017</v>
      </c>
      <c r="AD115" s="1263">
        <v>16942</v>
      </c>
      <c r="AE115" s="1263">
        <v>15154</v>
      </c>
      <c r="AF115" s="1263">
        <v>15034</v>
      </c>
      <c r="AG115" s="1263">
        <v>14379</v>
      </c>
      <c r="AH115" s="1559">
        <v>14100</v>
      </c>
      <c r="AI115" s="1560">
        <f>'Teen births'!H115</f>
        <v>13561</v>
      </c>
      <c r="AJ115" s="1294">
        <f t="shared" si="17"/>
        <v>41.08250976786946</v>
      </c>
      <c r="AK115" s="1295">
        <f t="shared" si="18"/>
        <v>39.487121298082378</v>
      </c>
      <c r="AL115" s="1295">
        <f t="shared" si="19"/>
        <v>38.548063476621877</v>
      </c>
      <c r="AM115" s="1295">
        <f t="shared" si="20"/>
        <v>38.955289951305886</v>
      </c>
      <c r="AN115" s="1295">
        <f t="shared" si="21"/>
        <v>39.405766083343828</v>
      </c>
      <c r="AO115" s="1295">
        <f t="shared" si="22"/>
        <v>33.975784531751913</v>
      </c>
      <c r="AP115" s="1295">
        <f t="shared" si="23"/>
        <v>33.990270674816017</v>
      </c>
      <c r="AQ115" s="1295">
        <f t="shared" si="24"/>
        <v>33.427054045610745</v>
      </c>
      <c r="AR115" s="1295">
        <f t="shared" si="25"/>
        <v>30.87031986114555</v>
      </c>
      <c r="AS115" s="1295">
        <f t="shared" si="26"/>
        <v>31.38038432156079</v>
      </c>
      <c r="AT115" s="1295">
        <f t="shared" si="27"/>
        <v>29.394404438673121</v>
      </c>
      <c r="AU115" s="1295">
        <f t="shared" si="28"/>
        <v>31.21288108750165</v>
      </c>
      <c r="AV115" s="1295">
        <f t="shared" si="29"/>
        <v>28.269256352268194</v>
      </c>
      <c r="AW115" s="1295">
        <f t="shared" si="30"/>
        <v>23.715140134918979</v>
      </c>
      <c r="AX115" s="1569">
        <f t="shared" si="31"/>
        <v>24.539007092198581</v>
      </c>
      <c r="AY115" s="1572">
        <f t="shared" si="32"/>
        <v>20.426222254995945</v>
      </c>
    </row>
    <row r="116" spans="1:51" s="142" customFormat="1" ht="15.75" customHeight="1" x14ac:dyDescent="0.2">
      <c r="A116" s="149" t="s">
        <v>166</v>
      </c>
      <c r="B116" s="189" t="s">
        <v>167</v>
      </c>
      <c r="C116" s="150" t="s">
        <v>268</v>
      </c>
      <c r="D116" s="1239">
        <v>7</v>
      </c>
      <c r="E116" s="1240">
        <v>13</v>
      </c>
      <c r="F116" s="1241">
        <v>12</v>
      </c>
      <c r="G116" s="1240">
        <v>6</v>
      </c>
      <c r="H116" s="1241">
        <v>5</v>
      </c>
      <c r="I116" s="1240">
        <v>7</v>
      </c>
      <c r="J116" s="1241">
        <v>11</v>
      </c>
      <c r="K116" s="1240">
        <v>4</v>
      </c>
      <c r="L116" s="1254">
        <v>5</v>
      </c>
      <c r="M116" s="1254">
        <v>7</v>
      </c>
      <c r="N116" s="1254">
        <v>4</v>
      </c>
      <c r="O116" s="1254">
        <v>11</v>
      </c>
      <c r="P116" s="1255">
        <v>10</v>
      </c>
      <c r="Q116" s="1255">
        <v>11</v>
      </c>
      <c r="R116" s="1556">
        <v>15</v>
      </c>
      <c r="S116" s="1557">
        <f>'Teen births'!D116</f>
        <v>3</v>
      </c>
      <c r="T116" s="1262">
        <v>276</v>
      </c>
      <c r="U116" s="1263">
        <v>271</v>
      </c>
      <c r="V116" s="1263">
        <v>247</v>
      </c>
      <c r="W116" s="1263">
        <v>246</v>
      </c>
      <c r="X116" s="1263">
        <v>246</v>
      </c>
      <c r="Y116" s="1263">
        <v>250</v>
      </c>
      <c r="Z116" s="1263">
        <v>246</v>
      </c>
      <c r="AA116" s="1263">
        <v>246</v>
      </c>
      <c r="AB116" s="1263">
        <v>241</v>
      </c>
      <c r="AC116" s="1263">
        <v>245</v>
      </c>
      <c r="AD116" s="1263">
        <v>243</v>
      </c>
      <c r="AE116" s="1263">
        <v>244</v>
      </c>
      <c r="AF116" s="1263">
        <v>263</v>
      </c>
      <c r="AG116" s="1263">
        <v>273</v>
      </c>
      <c r="AH116" s="1559">
        <v>237</v>
      </c>
      <c r="AI116" s="1560">
        <f>'Teen births'!H116</f>
        <v>242</v>
      </c>
      <c r="AJ116" s="1294">
        <f t="shared" si="17"/>
        <v>25.362318840579711</v>
      </c>
      <c r="AK116" s="1295">
        <f t="shared" si="18"/>
        <v>47.97047970479705</v>
      </c>
      <c r="AL116" s="1295">
        <f t="shared" si="19"/>
        <v>48.582995951417004</v>
      </c>
      <c r="AM116" s="1295">
        <f t="shared" si="20"/>
        <v>24.390243902439025</v>
      </c>
      <c r="AN116" s="1295">
        <f t="shared" si="21"/>
        <v>20.325203252032519</v>
      </c>
      <c r="AO116" s="1295">
        <f t="shared" si="22"/>
        <v>28</v>
      </c>
      <c r="AP116" s="1295">
        <f t="shared" si="23"/>
        <v>44.715447154471548</v>
      </c>
      <c r="AQ116" s="1295">
        <f t="shared" si="24"/>
        <v>16.260162601626018</v>
      </c>
      <c r="AR116" s="1295">
        <f t="shared" si="25"/>
        <v>20.74688796680498</v>
      </c>
      <c r="AS116" s="1295">
        <f t="shared" si="26"/>
        <v>28.571428571428569</v>
      </c>
      <c r="AT116" s="1295">
        <f t="shared" si="27"/>
        <v>16.460905349794238</v>
      </c>
      <c r="AU116" s="1295">
        <f t="shared" si="28"/>
        <v>45.081967213114758</v>
      </c>
      <c r="AV116" s="1295">
        <f t="shared" si="29"/>
        <v>38.022813688212928</v>
      </c>
      <c r="AW116" s="1295">
        <f t="shared" si="30"/>
        <v>40.293040293040299</v>
      </c>
      <c r="AX116" s="1569">
        <f t="shared" si="31"/>
        <v>63.291139240506332</v>
      </c>
      <c r="AY116" s="1572">
        <f t="shared" si="32"/>
        <v>12.396694214876034</v>
      </c>
    </row>
    <row r="117" spans="1:51" s="142" customFormat="1" ht="15.75" customHeight="1" x14ac:dyDescent="0.2">
      <c r="A117" s="149" t="s">
        <v>176</v>
      </c>
      <c r="B117" s="189" t="s">
        <v>177</v>
      </c>
      <c r="C117" s="150" t="s">
        <v>266</v>
      </c>
      <c r="D117" s="1239">
        <v>133</v>
      </c>
      <c r="E117" s="1240">
        <v>117</v>
      </c>
      <c r="F117" s="1241">
        <v>120</v>
      </c>
      <c r="G117" s="1240">
        <v>144</v>
      </c>
      <c r="H117" s="1241">
        <v>127</v>
      </c>
      <c r="I117" s="1240">
        <v>111</v>
      </c>
      <c r="J117" s="1241">
        <v>105</v>
      </c>
      <c r="K117" s="1240">
        <v>102</v>
      </c>
      <c r="L117" s="1254">
        <v>104</v>
      </c>
      <c r="M117" s="1254">
        <v>108</v>
      </c>
      <c r="N117" s="1254">
        <v>110</v>
      </c>
      <c r="O117" s="1254">
        <v>116</v>
      </c>
      <c r="P117" s="1255">
        <v>119</v>
      </c>
      <c r="Q117" s="1255">
        <v>82</v>
      </c>
      <c r="R117" s="1556">
        <v>83</v>
      </c>
      <c r="S117" s="1557">
        <f>'Teen births'!D117</f>
        <v>77</v>
      </c>
      <c r="T117" s="1262">
        <v>2434</v>
      </c>
      <c r="U117" s="1263">
        <v>2457</v>
      </c>
      <c r="V117" s="1263">
        <v>2396</v>
      </c>
      <c r="W117" s="1263">
        <v>2290</v>
      </c>
      <c r="X117" s="1263">
        <v>2263</v>
      </c>
      <c r="Y117" s="1263">
        <v>2307</v>
      </c>
      <c r="Z117" s="1263">
        <v>2280</v>
      </c>
      <c r="AA117" s="1263">
        <v>2179</v>
      </c>
      <c r="AB117" s="1263">
        <v>2132</v>
      </c>
      <c r="AC117" s="1263">
        <v>2129</v>
      </c>
      <c r="AD117" s="1263">
        <v>2076</v>
      </c>
      <c r="AE117" s="1263">
        <v>1890</v>
      </c>
      <c r="AF117" s="1263">
        <v>1883</v>
      </c>
      <c r="AG117" s="1263">
        <v>1757</v>
      </c>
      <c r="AH117" s="1559">
        <v>1708</v>
      </c>
      <c r="AI117" s="1560">
        <f>'Teen births'!H117</f>
        <v>1586</v>
      </c>
      <c r="AJ117" s="1294">
        <f t="shared" si="17"/>
        <v>54.64256368118324</v>
      </c>
      <c r="AK117" s="1295">
        <f t="shared" si="18"/>
        <v>47.619047619047613</v>
      </c>
      <c r="AL117" s="1295">
        <f t="shared" si="19"/>
        <v>50.083472454090149</v>
      </c>
      <c r="AM117" s="1295">
        <f t="shared" si="20"/>
        <v>62.882096069869</v>
      </c>
      <c r="AN117" s="1295">
        <f t="shared" si="21"/>
        <v>56.12019443216969</v>
      </c>
      <c r="AO117" s="1295">
        <f t="shared" si="22"/>
        <v>48.11443433029909</v>
      </c>
      <c r="AP117" s="1295">
        <f t="shared" si="23"/>
        <v>46.052631578947363</v>
      </c>
      <c r="AQ117" s="1295">
        <f t="shared" si="24"/>
        <v>46.810463515374025</v>
      </c>
      <c r="AR117" s="1295">
        <f t="shared" si="25"/>
        <v>48.780487804878049</v>
      </c>
      <c r="AS117" s="1295">
        <f t="shared" si="26"/>
        <v>50.728041333959602</v>
      </c>
      <c r="AT117" s="1295">
        <f t="shared" si="27"/>
        <v>52.986512524084773</v>
      </c>
      <c r="AU117" s="1295">
        <f t="shared" si="28"/>
        <v>61.375661375661373</v>
      </c>
      <c r="AV117" s="1295">
        <f t="shared" si="29"/>
        <v>63.197026022304826</v>
      </c>
      <c r="AW117" s="1295">
        <f t="shared" si="30"/>
        <v>46.670461013090495</v>
      </c>
      <c r="AX117" s="1569">
        <f t="shared" si="31"/>
        <v>48.594847775175644</v>
      </c>
      <c r="AY117" s="1572">
        <f t="shared" si="32"/>
        <v>48.549810844892811</v>
      </c>
    </row>
    <row r="118" spans="1:51" s="142" customFormat="1" ht="15.75" customHeight="1" x14ac:dyDescent="0.2">
      <c r="A118" s="149" t="s">
        <v>180</v>
      </c>
      <c r="B118" s="189" t="s">
        <v>181</v>
      </c>
      <c r="C118" s="150" t="s">
        <v>264</v>
      </c>
      <c r="D118" s="1239">
        <v>318</v>
      </c>
      <c r="E118" s="1240">
        <v>330</v>
      </c>
      <c r="F118" s="1241">
        <v>290</v>
      </c>
      <c r="G118" s="1240">
        <v>286</v>
      </c>
      <c r="H118" s="1241">
        <v>249</v>
      </c>
      <c r="I118" s="1240">
        <v>247</v>
      </c>
      <c r="J118" s="1241">
        <v>254</v>
      </c>
      <c r="K118" s="1240">
        <v>231</v>
      </c>
      <c r="L118" s="1254">
        <v>234</v>
      </c>
      <c r="M118" s="1254">
        <v>223</v>
      </c>
      <c r="N118" s="1254">
        <v>210</v>
      </c>
      <c r="O118" s="1254">
        <v>239</v>
      </c>
      <c r="P118" s="1255">
        <v>205</v>
      </c>
      <c r="Q118" s="1255">
        <v>178</v>
      </c>
      <c r="R118" s="1556">
        <v>133</v>
      </c>
      <c r="S118" s="1557">
        <f>'Teen births'!D118</f>
        <v>129</v>
      </c>
      <c r="T118" s="1262">
        <v>7261</v>
      </c>
      <c r="U118" s="1263">
        <v>7292</v>
      </c>
      <c r="V118" s="1263">
        <v>6914</v>
      </c>
      <c r="W118" s="1263">
        <v>6795</v>
      </c>
      <c r="X118" s="1263">
        <v>6803</v>
      </c>
      <c r="Y118" s="1263">
        <v>6839</v>
      </c>
      <c r="Z118" s="1263">
        <v>6876</v>
      </c>
      <c r="AA118" s="1263">
        <v>6907</v>
      </c>
      <c r="AB118" s="1263">
        <v>7040</v>
      </c>
      <c r="AC118" s="1263">
        <v>6990</v>
      </c>
      <c r="AD118" s="1263">
        <v>6907</v>
      </c>
      <c r="AE118" s="1263">
        <v>5985</v>
      </c>
      <c r="AF118" s="1263">
        <v>5730</v>
      </c>
      <c r="AG118" s="1263">
        <v>5485</v>
      </c>
      <c r="AH118" s="1559">
        <v>5503</v>
      </c>
      <c r="AI118" s="1560">
        <f>'Teen births'!H118</f>
        <v>5338</v>
      </c>
      <c r="AJ118" s="1294">
        <f t="shared" si="17"/>
        <v>43.79562043795621</v>
      </c>
      <c r="AK118" s="1295">
        <f t="shared" si="18"/>
        <v>45.255074053757539</v>
      </c>
      <c r="AL118" s="1295">
        <f t="shared" si="19"/>
        <v>41.943881978594156</v>
      </c>
      <c r="AM118" s="1295">
        <f t="shared" si="20"/>
        <v>42.089771891096397</v>
      </c>
      <c r="AN118" s="1295">
        <f t="shared" si="21"/>
        <v>36.60149933852712</v>
      </c>
      <c r="AO118" s="1295">
        <f t="shared" si="22"/>
        <v>36.116391285275625</v>
      </c>
      <c r="AP118" s="1295">
        <f t="shared" si="23"/>
        <v>36.940081442699245</v>
      </c>
      <c r="AQ118" s="1295">
        <f t="shared" si="24"/>
        <v>33.444331837266539</v>
      </c>
      <c r="AR118" s="1295">
        <f t="shared" si="25"/>
        <v>33.238636363636367</v>
      </c>
      <c r="AS118" s="1295">
        <f t="shared" si="26"/>
        <v>31.902718168812591</v>
      </c>
      <c r="AT118" s="1295">
        <f t="shared" si="27"/>
        <v>30.403938033878674</v>
      </c>
      <c r="AU118" s="1295">
        <f t="shared" si="28"/>
        <v>39.933166248955722</v>
      </c>
      <c r="AV118" s="1295">
        <f t="shared" si="29"/>
        <v>35.776614310645719</v>
      </c>
      <c r="AW118" s="1295">
        <f t="shared" si="30"/>
        <v>32.452142206016411</v>
      </c>
      <c r="AX118" s="1569">
        <f t="shared" si="31"/>
        <v>24.168635289841905</v>
      </c>
      <c r="AY118" s="1572">
        <f t="shared" si="32"/>
        <v>24.166354439865117</v>
      </c>
    </row>
    <row r="119" spans="1:51" s="142" customFormat="1" ht="15.75" customHeight="1" x14ac:dyDescent="0.2">
      <c r="A119" s="149" t="s">
        <v>192</v>
      </c>
      <c r="B119" s="189" t="s">
        <v>193</v>
      </c>
      <c r="C119" s="150" t="s">
        <v>268</v>
      </c>
      <c r="D119" s="1239">
        <v>25</v>
      </c>
      <c r="E119" s="1240">
        <v>14</v>
      </c>
      <c r="F119" s="1241">
        <v>16</v>
      </c>
      <c r="G119" s="1240">
        <v>13</v>
      </c>
      <c r="H119" s="1241">
        <v>12</v>
      </c>
      <c r="I119" s="1240">
        <v>14</v>
      </c>
      <c r="J119" s="1241">
        <v>12</v>
      </c>
      <c r="K119" s="1240">
        <v>10</v>
      </c>
      <c r="L119" s="1254">
        <v>11</v>
      </c>
      <c r="M119" s="1254">
        <v>14</v>
      </c>
      <c r="N119" s="1254">
        <v>16</v>
      </c>
      <c r="O119" s="1254">
        <v>13</v>
      </c>
      <c r="P119" s="1255">
        <v>18</v>
      </c>
      <c r="Q119" s="1255">
        <v>17</v>
      </c>
      <c r="R119" s="1556">
        <v>19</v>
      </c>
      <c r="S119" s="1557">
        <f>'Teen births'!D119</f>
        <v>14</v>
      </c>
      <c r="T119" s="1262">
        <v>2508</v>
      </c>
      <c r="U119" s="1263">
        <v>2528</v>
      </c>
      <c r="V119" s="1263">
        <v>2020</v>
      </c>
      <c r="W119" s="1263">
        <v>1821</v>
      </c>
      <c r="X119" s="1263">
        <v>1783</v>
      </c>
      <c r="Y119" s="1263">
        <v>1632</v>
      </c>
      <c r="Z119" s="1263">
        <v>1623</v>
      </c>
      <c r="AA119" s="1263">
        <v>1675</v>
      </c>
      <c r="AB119" s="1263">
        <v>1759</v>
      </c>
      <c r="AC119" s="1263">
        <v>1859</v>
      </c>
      <c r="AD119" s="1263">
        <v>1860</v>
      </c>
      <c r="AE119" s="1263">
        <v>1885</v>
      </c>
      <c r="AF119" s="1263">
        <v>1775</v>
      </c>
      <c r="AG119" s="1263">
        <v>1778</v>
      </c>
      <c r="AH119" s="1559">
        <v>1796</v>
      </c>
      <c r="AI119" s="1560">
        <f>'Teen births'!H119</f>
        <v>1861</v>
      </c>
      <c r="AJ119" s="1294">
        <f t="shared" si="17"/>
        <v>9.9681020733652321</v>
      </c>
      <c r="AK119" s="1295">
        <f t="shared" si="18"/>
        <v>5.537974683544304</v>
      </c>
      <c r="AL119" s="1295">
        <f t="shared" si="19"/>
        <v>7.9207920792079207</v>
      </c>
      <c r="AM119" s="1295">
        <f t="shared" si="20"/>
        <v>7.1389346512904996</v>
      </c>
      <c r="AN119" s="1295">
        <f t="shared" si="21"/>
        <v>6.7302299495232747</v>
      </c>
      <c r="AO119" s="1295">
        <f t="shared" si="22"/>
        <v>8.5784313725490211</v>
      </c>
      <c r="AP119" s="1295">
        <f t="shared" si="23"/>
        <v>7.3937153419593349</v>
      </c>
      <c r="AQ119" s="1295">
        <f t="shared" si="24"/>
        <v>5.9701492537313436</v>
      </c>
      <c r="AR119" s="1295">
        <f t="shared" si="25"/>
        <v>6.2535531552018195</v>
      </c>
      <c r="AS119" s="1295">
        <f t="shared" si="26"/>
        <v>7.5309306078536844</v>
      </c>
      <c r="AT119" s="1295">
        <f t="shared" si="27"/>
        <v>8.6021505376344081</v>
      </c>
      <c r="AU119" s="1295">
        <f t="shared" si="28"/>
        <v>6.8965517241379306</v>
      </c>
      <c r="AV119" s="1295">
        <f t="shared" si="29"/>
        <v>10.140845070422534</v>
      </c>
      <c r="AW119" s="1295">
        <f t="shared" si="30"/>
        <v>9.5613048368953883</v>
      </c>
      <c r="AX119" s="1569">
        <f t="shared" si="31"/>
        <v>10.579064587973273</v>
      </c>
      <c r="AY119" s="1572">
        <f t="shared" si="32"/>
        <v>7.5228371843095116</v>
      </c>
    </row>
    <row r="120" spans="1:51" s="142" customFormat="1" ht="15.75" customHeight="1" x14ac:dyDescent="0.2">
      <c r="A120" s="149" t="s">
        <v>196</v>
      </c>
      <c r="B120" s="189" t="s">
        <v>197</v>
      </c>
      <c r="C120" s="150" t="s">
        <v>266</v>
      </c>
      <c r="D120" s="1239">
        <v>565</v>
      </c>
      <c r="E120" s="1240">
        <v>527</v>
      </c>
      <c r="F120" s="1241">
        <v>521</v>
      </c>
      <c r="G120" s="1240">
        <v>543</v>
      </c>
      <c r="H120" s="1241">
        <v>506</v>
      </c>
      <c r="I120" s="1240">
        <v>507</v>
      </c>
      <c r="J120" s="1241">
        <v>423</v>
      </c>
      <c r="K120" s="1240">
        <v>460</v>
      </c>
      <c r="L120" s="1254">
        <v>425</v>
      </c>
      <c r="M120" s="1254">
        <v>470</v>
      </c>
      <c r="N120" s="1254">
        <v>463</v>
      </c>
      <c r="O120" s="1254">
        <v>421</v>
      </c>
      <c r="P120" s="1255">
        <v>307</v>
      </c>
      <c r="Q120" s="1255">
        <v>285</v>
      </c>
      <c r="R120" s="1556">
        <v>264</v>
      </c>
      <c r="S120" s="1557">
        <f>'Teen births'!D120</f>
        <v>278</v>
      </c>
      <c r="T120" s="1262">
        <v>12799</v>
      </c>
      <c r="U120" s="1263">
        <v>12922</v>
      </c>
      <c r="V120" s="1263">
        <v>13167</v>
      </c>
      <c r="W120" s="1263">
        <v>12890</v>
      </c>
      <c r="X120" s="1263">
        <v>12807</v>
      </c>
      <c r="Y120" s="1263">
        <v>12710</v>
      </c>
      <c r="Z120" s="1263">
        <v>12716</v>
      </c>
      <c r="AA120" s="1263">
        <v>13004</v>
      </c>
      <c r="AB120" s="1263">
        <v>12887</v>
      </c>
      <c r="AC120" s="1263">
        <v>13451</v>
      </c>
      <c r="AD120" s="1263">
        <v>13423</v>
      </c>
      <c r="AE120" s="1263">
        <v>11733</v>
      </c>
      <c r="AF120" s="1263">
        <v>13057</v>
      </c>
      <c r="AG120" s="1263">
        <v>12211</v>
      </c>
      <c r="AH120" s="1559">
        <v>12202</v>
      </c>
      <c r="AI120" s="1560">
        <f>'Teen births'!H120</f>
        <v>11853</v>
      </c>
      <c r="AJ120" s="1294">
        <f t="shared" si="17"/>
        <v>44.144073755762165</v>
      </c>
      <c r="AK120" s="1295">
        <f t="shared" si="18"/>
        <v>40.783160501470363</v>
      </c>
      <c r="AL120" s="1295">
        <f t="shared" si="19"/>
        <v>39.568618515986934</v>
      </c>
      <c r="AM120" s="1295">
        <f t="shared" si="20"/>
        <v>42.125678820791308</v>
      </c>
      <c r="AN120" s="1295">
        <f t="shared" si="21"/>
        <v>39.509643163894744</v>
      </c>
      <c r="AO120" s="1295">
        <f t="shared" si="22"/>
        <v>39.889850511408333</v>
      </c>
      <c r="AP120" s="1295">
        <f t="shared" si="23"/>
        <v>33.265177728845543</v>
      </c>
      <c r="AQ120" s="1295">
        <f t="shared" si="24"/>
        <v>35.373731159643185</v>
      </c>
      <c r="AR120" s="1295">
        <f t="shared" si="25"/>
        <v>32.978971056103049</v>
      </c>
      <c r="AS120" s="1295">
        <f t="shared" si="26"/>
        <v>34.941640026763807</v>
      </c>
      <c r="AT120" s="1295">
        <f t="shared" si="27"/>
        <v>34.493034344036353</v>
      </c>
      <c r="AU120" s="1295">
        <f t="shared" si="28"/>
        <v>35.881701184692751</v>
      </c>
      <c r="AV120" s="1295">
        <f t="shared" si="29"/>
        <v>23.512292257026882</v>
      </c>
      <c r="AW120" s="1295">
        <f t="shared" si="30"/>
        <v>23.339611825403324</v>
      </c>
      <c r="AX120" s="1569">
        <f t="shared" si="31"/>
        <v>21.635797410260611</v>
      </c>
      <c r="AY120" s="1572">
        <f t="shared" si="32"/>
        <v>23.453977895891335</v>
      </c>
    </row>
    <row r="121" spans="1:51" s="142" customFormat="1" ht="15.75" customHeight="1" x14ac:dyDescent="0.2">
      <c r="A121" s="149" t="s">
        <v>200</v>
      </c>
      <c r="B121" s="189" t="s">
        <v>201</v>
      </c>
      <c r="C121" s="150" t="s">
        <v>265</v>
      </c>
      <c r="D121" s="1239">
        <v>230</v>
      </c>
      <c r="E121" s="1240">
        <v>208</v>
      </c>
      <c r="F121" s="1241">
        <v>212</v>
      </c>
      <c r="G121" s="1240">
        <v>195</v>
      </c>
      <c r="H121" s="1241">
        <v>206</v>
      </c>
      <c r="I121" s="1240">
        <v>196</v>
      </c>
      <c r="J121" s="1241">
        <v>132</v>
      </c>
      <c r="K121" s="1240">
        <v>182</v>
      </c>
      <c r="L121" s="1254">
        <v>209</v>
      </c>
      <c r="M121" s="1254">
        <v>242</v>
      </c>
      <c r="N121" s="1254">
        <v>232</v>
      </c>
      <c r="O121" s="1254">
        <v>218</v>
      </c>
      <c r="P121" s="1255">
        <v>174</v>
      </c>
      <c r="Q121" s="1255">
        <v>173</v>
      </c>
      <c r="R121" s="1556">
        <v>148</v>
      </c>
      <c r="S121" s="1557">
        <f>'Teen births'!D121</f>
        <v>133</v>
      </c>
      <c r="T121" s="1262">
        <v>5451</v>
      </c>
      <c r="U121" s="1263">
        <v>5442</v>
      </c>
      <c r="V121" s="1263">
        <v>5381</v>
      </c>
      <c r="W121" s="1263">
        <v>5373</v>
      </c>
      <c r="X121" s="1263">
        <v>5375</v>
      </c>
      <c r="Y121" s="1263">
        <v>5400</v>
      </c>
      <c r="Z121" s="1263">
        <v>5540</v>
      </c>
      <c r="AA121" s="1263">
        <v>5485</v>
      </c>
      <c r="AB121" s="1263">
        <v>5341</v>
      </c>
      <c r="AC121" s="1263">
        <v>5432</v>
      </c>
      <c r="AD121" s="1263">
        <v>5441</v>
      </c>
      <c r="AE121" s="1263">
        <v>4992</v>
      </c>
      <c r="AF121" s="1263">
        <v>5235</v>
      </c>
      <c r="AG121" s="1263">
        <v>5064</v>
      </c>
      <c r="AH121" s="1559">
        <v>5042</v>
      </c>
      <c r="AI121" s="1560">
        <f>'Teen births'!H121</f>
        <v>4933</v>
      </c>
      <c r="AJ121" s="1294">
        <f t="shared" si="17"/>
        <v>42.194092827004219</v>
      </c>
      <c r="AK121" s="1295">
        <f t="shared" si="18"/>
        <v>38.221242190371186</v>
      </c>
      <c r="AL121" s="1295">
        <f t="shared" si="19"/>
        <v>39.397881434677565</v>
      </c>
      <c r="AM121" s="1295">
        <f t="shared" si="20"/>
        <v>36.29257398101619</v>
      </c>
      <c r="AN121" s="1295">
        <f t="shared" si="21"/>
        <v>38.325581395348834</v>
      </c>
      <c r="AO121" s="1295">
        <f t="shared" si="22"/>
        <v>36.296296296296298</v>
      </c>
      <c r="AP121" s="1295">
        <f t="shared" si="23"/>
        <v>23.826714801444041</v>
      </c>
      <c r="AQ121" s="1295">
        <f t="shared" si="24"/>
        <v>33.181403828623516</v>
      </c>
      <c r="AR121" s="1295">
        <f t="shared" si="25"/>
        <v>39.131248829807156</v>
      </c>
      <c r="AS121" s="1295">
        <f t="shared" si="26"/>
        <v>44.550810014727539</v>
      </c>
      <c r="AT121" s="1295">
        <f t="shared" si="27"/>
        <v>42.639220731483185</v>
      </c>
      <c r="AU121" s="1295">
        <f t="shared" si="28"/>
        <v>43.669871794871796</v>
      </c>
      <c r="AV121" s="1295">
        <f t="shared" si="29"/>
        <v>33.237822349570202</v>
      </c>
      <c r="AW121" s="1295">
        <f t="shared" si="30"/>
        <v>34.162717219589261</v>
      </c>
      <c r="AX121" s="1569">
        <f t="shared" si="31"/>
        <v>29.353431178103925</v>
      </c>
      <c r="AY121" s="1572">
        <f t="shared" si="32"/>
        <v>26.961281167646462</v>
      </c>
    </row>
    <row r="122" spans="1:51" s="142" customFormat="1" ht="15.75" customHeight="1" x14ac:dyDescent="0.2">
      <c r="A122" s="149" t="s">
        <v>222</v>
      </c>
      <c r="B122" s="189" t="s">
        <v>223</v>
      </c>
      <c r="C122" s="150" t="s">
        <v>264</v>
      </c>
      <c r="D122" s="1239">
        <v>145</v>
      </c>
      <c r="E122" s="1240">
        <v>109</v>
      </c>
      <c r="F122" s="1241">
        <v>119</v>
      </c>
      <c r="G122" s="1240">
        <v>118</v>
      </c>
      <c r="H122" s="1241">
        <v>131</v>
      </c>
      <c r="I122" s="1240">
        <v>116</v>
      </c>
      <c r="J122" s="1241">
        <v>116</v>
      </c>
      <c r="K122" s="1240">
        <v>119</v>
      </c>
      <c r="L122" s="1254">
        <v>130</v>
      </c>
      <c r="M122" s="1254">
        <v>100</v>
      </c>
      <c r="N122" s="1254">
        <v>108</v>
      </c>
      <c r="O122" s="1254">
        <v>112</v>
      </c>
      <c r="P122" s="1255">
        <v>100</v>
      </c>
      <c r="Q122" s="1255">
        <v>77</v>
      </c>
      <c r="R122" s="1556">
        <v>70</v>
      </c>
      <c r="S122" s="1557">
        <f>'Teen births'!D122</f>
        <v>60</v>
      </c>
      <c r="T122" s="1262">
        <v>4192</v>
      </c>
      <c r="U122" s="1263">
        <v>4244</v>
      </c>
      <c r="V122" s="1263">
        <v>4696</v>
      </c>
      <c r="W122" s="1263">
        <v>4974</v>
      </c>
      <c r="X122" s="1263">
        <v>5198</v>
      </c>
      <c r="Y122" s="1263">
        <v>5477</v>
      </c>
      <c r="Z122" s="1263">
        <v>5604</v>
      </c>
      <c r="AA122" s="1263">
        <v>5733</v>
      </c>
      <c r="AB122" s="1263">
        <v>5787</v>
      </c>
      <c r="AC122" s="1263">
        <v>5712</v>
      </c>
      <c r="AD122" s="1263">
        <v>5717</v>
      </c>
      <c r="AE122" s="1263">
        <v>5817</v>
      </c>
      <c r="AF122" s="1263">
        <v>5914</v>
      </c>
      <c r="AG122" s="1263">
        <v>5849</v>
      </c>
      <c r="AH122" s="1559">
        <v>5728</v>
      </c>
      <c r="AI122" s="1560">
        <f>'Teen births'!H122</f>
        <v>5773</v>
      </c>
      <c r="AJ122" s="1294">
        <f t="shared" si="17"/>
        <v>34.589694656488547</v>
      </c>
      <c r="AK122" s="1295">
        <f t="shared" si="18"/>
        <v>25.683317624882189</v>
      </c>
      <c r="AL122" s="1295">
        <f t="shared" si="19"/>
        <v>25.340715502555366</v>
      </c>
      <c r="AM122" s="1295">
        <f t="shared" si="20"/>
        <v>23.723361479694411</v>
      </c>
      <c r="AN122" s="1295">
        <f t="shared" si="21"/>
        <v>25.202000769526741</v>
      </c>
      <c r="AO122" s="1295">
        <f t="shared" si="22"/>
        <v>21.179477816322802</v>
      </c>
      <c r="AP122" s="1295">
        <f t="shared" si="23"/>
        <v>20.699500356887938</v>
      </c>
      <c r="AQ122" s="1295">
        <f t="shared" si="24"/>
        <v>20.757020757020758</v>
      </c>
      <c r="AR122" s="1295">
        <f t="shared" si="25"/>
        <v>22.464143770520131</v>
      </c>
      <c r="AS122" s="1295">
        <f t="shared" si="26"/>
        <v>17.50700280112045</v>
      </c>
      <c r="AT122" s="1295">
        <f t="shared" si="27"/>
        <v>18.891026762287911</v>
      </c>
      <c r="AU122" s="1295">
        <f t="shared" si="28"/>
        <v>19.253910950661854</v>
      </c>
      <c r="AV122" s="1295">
        <f t="shared" si="29"/>
        <v>16.909029421711192</v>
      </c>
      <c r="AW122" s="1295">
        <f t="shared" si="30"/>
        <v>13.164643528808343</v>
      </c>
      <c r="AX122" s="1569">
        <f t="shared" si="31"/>
        <v>12.220670391061452</v>
      </c>
      <c r="AY122" s="1572">
        <f t="shared" si="32"/>
        <v>10.393209769617183</v>
      </c>
    </row>
    <row r="123" spans="1:51" s="142" customFormat="1" ht="15.75" customHeight="1" x14ac:dyDescent="0.2">
      <c r="A123" s="149" t="s">
        <v>230</v>
      </c>
      <c r="B123" s="189" t="s">
        <v>231</v>
      </c>
      <c r="C123" s="150" t="s">
        <v>264</v>
      </c>
      <c r="D123" s="1239">
        <v>615</v>
      </c>
      <c r="E123" s="1240">
        <v>580</v>
      </c>
      <c r="F123" s="1241">
        <v>523</v>
      </c>
      <c r="G123" s="1240">
        <v>552</v>
      </c>
      <c r="H123" s="1241">
        <v>534</v>
      </c>
      <c r="I123" s="1240">
        <v>494</v>
      </c>
      <c r="J123" s="1241">
        <v>515</v>
      </c>
      <c r="K123" s="1240">
        <v>462</v>
      </c>
      <c r="L123" s="1254">
        <v>490</v>
      </c>
      <c r="M123" s="1254">
        <v>501</v>
      </c>
      <c r="N123" s="1254">
        <v>430</v>
      </c>
      <c r="O123" s="1254">
        <v>411</v>
      </c>
      <c r="P123" s="1255">
        <v>372</v>
      </c>
      <c r="Q123" s="1255">
        <v>301</v>
      </c>
      <c r="R123" s="1556">
        <v>313</v>
      </c>
      <c r="S123" s="1557">
        <f>'Teen births'!D123</f>
        <v>246</v>
      </c>
      <c r="T123" s="1262">
        <v>35984</v>
      </c>
      <c r="U123" s="1263">
        <v>37114</v>
      </c>
      <c r="V123" s="1263">
        <v>30982</v>
      </c>
      <c r="W123" s="1263">
        <v>31402</v>
      </c>
      <c r="X123" s="1263">
        <v>31633</v>
      </c>
      <c r="Y123" s="1263">
        <v>32181</v>
      </c>
      <c r="Z123" s="1263">
        <v>32033</v>
      </c>
      <c r="AA123" s="1263">
        <v>31657</v>
      </c>
      <c r="AB123" s="1263">
        <v>31107</v>
      </c>
      <c r="AC123" s="1263">
        <v>30831</v>
      </c>
      <c r="AD123" s="1263">
        <v>30355</v>
      </c>
      <c r="AE123" s="1263">
        <v>28652</v>
      </c>
      <c r="AF123" s="1263">
        <v>28857</v>
      </c>
      <c r="AG123" s="1263">
        <v>28027</v>
      </c>
      <c r="AH123" s="1559">
        <v>27731</v>
      </c>
      <c r="AI123" s="1560">
        <f>'Teen births'!H123</f>
        <v>27280</v>
      </c>
      <c r="AJ123" s="1294">
        <f t="shared" si="17"/>
        <v>17.090929301911963</v>
      </c>
      <c r="AK123" s="1295">
        <f t="shared" si="18"/>
        <v>15.627526000969985</v>
      </c>
      <c r="AL123" s="1295">
        <f t="shared" si="19"/>
        <v>16.880769479052354</v>
      </c>
      <c r="AM123" s="1295">
        <f t="shared" si="20"/>
        <v>17.578498184828991</v>
      </c>
      <c r="AN123" s="1295">
        <f t="shared" si="21"/>
        <v>16.881105174975499</v>
      </c>
      <c r="AO123" s="1295">
        <f t="shared" si="22"/>
        <v>15.350672757216991</v>
      </c>
      <c r="AP123" s="1295">
        <f t="shared" si="23"/>
        <v>16.077170418006428</v>
      </c>
      <c r="AQ123" s="1295">
        <f t="shared" si="24"/>
        <v>14.593928672963326</v>
      </c>
      <c r="AR123" s="1295">
        <f t="shared" si="25"/>
        <v>15.752081525058667</v>
      </c>
      <c r="AS123" s="1295">
        <f t="shared" si="26"/>
        <v>16.249878369173885</v>
      </c>
      <c r="AT123" s="1295">
        <f t="shared" si="27"/>
        <v>14.165705814528085</v>
      </c>
      <c r="AU123" s="1295">
        <f t="shared" si="28"/>
        <v>14.344548373586488</v>
      </c>
      <c r="AV123" s="1295">
        <f t="shared" si="29"/>
        <v>12.891152926499636</v>
      </c>
      <c r="AW123" s="1295">
        <f t="shared" si="30"/>
        <v>10.739643914796448</v>
      </c>
      <c r="AX123" s="1569">
        <f t="shared" si="31"/>
        <v>11.287007320327431</v>
      </c>
      <c r="AY123" s="1572">
        <f t="shared" si="32"/>
        <v>9.0175953079178885</v>
      </c>
    </row>
    <row r="124" spans="1:51" s="142" customFormat="1" ht="15.75" customHeight="1" x14ac:dyDescent="0.2">
      <c r="A124" s="149" t="s">
        <v>238</v>
      </c>
      <c r="B124" s="189" t="s">
        <v>239</v>
      </c>
      <c r="C124" s="150" t="s">
        <v>264</v>
      </c>
      <c r="D124" s="1239">
        <v>17</v>
      </c>
      <c r="E124" s="1240">
        <v>7</v>
      </c>
      <c r="F124" s="1241">
        <v>3</v>
      </c>
      <c r="G124" s="1240">
        <v>8</v>
      </c>
      <c r="H124" s="1241">
        <v>8</v>
      </c>
      <c r="I124" s="1240">
        <v>13</v>
      </c>
      <c r="J124" s="1241">
        <v>17</v>
      </c>
      <c r="K124" s="1240">
        <v>21</v>
      </c>
      <c r="L124" s="1254">
        <v>18</v>
      </c>
      <c r="M124" s="1254">
        <v>12</v>
      </c>
      <c r="N124" s="1254">
        <v>10</v>
      </c>
      <c r="O124" s="1254">
        <v>16</v>
      </c>
      <c r="P124" s="1255">
        <v>2</v>
      </c>
      <c r="Q124" s="1255">
        <v>7</v>
      </c>
      <c r="R124" s="1556">
        <v>6</v>
      </c>
      <c r="S124" s="1557">
        <f>'Teen births'!D124</f>
        <v>6</v>
      </c>
      <c r="T124" s="1262">
        <v>1407</v>
      </c>
      <c r="U124" s="1263">
        <v>1416</v>
      </c>
      <c r="V124" s="1263">
        <v>1452</v>
      </c>
      <c r="W124" s="1263">
        <v>1432</v>
      </c>
      <c r="X124" s="1263">
        <v>1430</v>
      </c>
      <c r="Y124" s="1263">
        <v>1389</v>
      </c>
      <c r="Z124" s="1263">
        <v>1364</v>
      </c>
      <c r="AA124" s="1263">
        <v>1390</v>
      </c>
      <c r="AB124" s="1263">
        <v>1415</v>
      </c>
      <c r="AC124" s="1263">
        <v>1464</v>
      </c>
      <c r="AD124" s="1263">
        <v>1452</v>
      </c>
      <c r="AE124" s="1263">
        <v>1515</v>
      </c>
      <c r="AF124" s="1263">
        <v>1474</v>
      </c>
      <c r="AG124" s="1263">
        <v>1518</v>
      </c>
      <c r="AH124" s="1559">
        <v>1505</v>
      </c>
      <c r="AI124" s="1560">
        <f>'Teen births'!H124</f>
        <v>1495</v>
      </c>
      <c r="AJ124" s="1294">
        <f t="shared" si="17"/>
        <v>12.082444918265814</v>
      </c>
      <c r="AK124" s="1295">
        <f t="shared" si="18"/>
        <v>4.9435028248587578</v>
      </c>
      <c r="AL124" s="1295">
        <f t="shared" si="19"/>
        <v>2.0661157024793391</v>
      </c>
      <c r="AM124" s="1295">
        <f t="shared" si="20"/>
        <v>5.5865921787709496</v>
      </c>
      <c r="AN124" s="1295">
        <f t="shared" si="21"/>
        <v>5.5944055944055942</v>
      </c>
      <c r="AO124" s="1295">
        <f t="shared" si="22"/>
        <v>9.3592512598992084</v>
      </c>
      <c r="AP124" s="1295">
        <f t="shared" si="23"/>
        <v>12.463343108504398</v>
      </c>
      <c r="AQ124" s="1295">
        <f t="shared" si="24"/>
        <v>15.107913669064748</v>
      </c>
      <c r="AR124" s="1295">
        <f t="shared" si="25"/>
        <v>12.720848056537102</v>
      </c>
      <c r="AS124" s="1295">
        <f t="shared" si="26"/>
        <v>8.1967213114754109</v>
      </c>
      <c r="AT124" s="1295">
        <f t="shared" si="27"/>
        <v>6.887052341597796</v>
      </c>
      <c r="AU124" s="1295">
        <f t="shared" si="28"/>
        <v>10.561056105610561</v>
      </c>
      <c r="AV124" s="1295">
        <f t="shared" si="29"/>
        <v>1.3568521031207597</v>
      </c>
      <c r="AW124" s="1295">
        <f t="shared" si="30"/>
        <v>4.6113306982872198</v>
      </c>
      <c r="AX124" s="1569">
        <f t="shared" si="31"/>
        <v>3.986710963455149</v>
      </c>
      <c r="AY124" s="1572">
        <f t="shared" si="32"/>
        <v>4.0133779264214047</v>
      </c>
    </row>
    <row r="125" spans="1:51" s="142" customFormat="1" ht="15.75" customHeight="1" x14ac:dyDescent="0.2">
      <c r="A125" s="155" t="s">
        <v>240</v>
      </c>
      <c r="B125" s="191" t="s">
        <v>241</v>
      </c>
      <c r="C125" s="156" t="s">
        <v>267</v>
      </c>
      <c r="D125" s="1242">
        <v>43</v>
      </c>
      <c r="E125" s="1243">
        <v>41</v>
      </c>
      <c r="F125" s="1244">
        <v>47</v>
      </c>
      <c r="G125" s="1243">
        <v>54</v>
      </c>
      <c r="H125" s="1244">
        <v>56</v>
      </c>
      <c r="I125" s="1243">
        <v>49</v>
      </c>
      <c r="J125" s="1244">
        <v>56</v>
      </c>
      <c r="K125" s="1243">
        <v>55</v>
      </c>
      <c r="L125" s="1256">
        <v>65</v>
      </c>
      <c r="M125" s="1256">
        <v>79</v>
      </c>
      <c r="N125" s="1256">
        <v>64</v>
      </c>
      <c r="O125" s="1256">
        <v>41</v>
      </c>
      <c r="P125" s="1561">
        <v>43</v>
      </c>
      <c r="Q125" s="1561">
        <v>38</v>
      </c>
      <c r="R125" s="1562">
        <v>42</v>
      </c>
      <c r="S125" s="1563">
        <f>'Teen births'!D125</f>
        <v>25</v>
      </c>
      <c r="T125" s="1262">
        <v>1509</v>
      </c>
      <c r="U125" s="1263">
        <v>1534</v>
      </c>
      <c r="V125" s="1263">
        <v>1589</v>
      </c>
      <c r="W125" s="1263">
        <v>1584</v>
      </c>
      <c r="X125" s="1263">
        <v>1540</v>
      </c>
      <c r="Y125" s="1263">
        <v>1510</v>
      </c>
      <c r="Z125" s="1263">
        <v>1513</v>
      </c>
      <c r="AA125" s="1263">
        <v>1491</v>
      </c>
      <c r="AB125" s="1263">
        <v>1480</v>
      </c>
      <c r="AC125" s="1263">
        <v>1532</v>
      </c>
      <c r="AD125" s="1263">
        <v>1516</v>
      </c>
      <c r="AE125" s="1263">
        <v>1451</v>
      </c>
      <c r="AF125" s="1263">
        <v>1685</v>
      </c>
      <c r="AG125" s="1564">
        <v>1674</v>
      </c>
      <c r="AH125" s="1565">
        <v>1732</v>
      </c>
      <c r="AI125" s="1566">
        <f>'Teen births'!H125</f>
        <v>1715</v>
      </c>
      <c r="AJ125" s="1294">
        <f t="shared" si="17"/>
        <v>28.495692511597085</v>
      </c>
      <c r="AK125" s="1295">
        <f t="shared" si="18"/>
        <v>26.727509778357238</v>
      </c>
      <c r="AL125" s="1295">
        <f t="shared" si="19"/>
        <v>29.578351164254247</v>
      </c>
      <c r="AM125" s="1295">
        <f t="shared" si="20"/>
        <v>34.090909090909086</v>
      </c>
      <c r="AN125" s="1295">
        <f t="shared" si="21"/>
        <v>36.36363636363636</v>
      </c>
      <c r="AO125" s="1295">
        <f t="shared" si="22"/>
        <v>32.450331125827809</v>
      </c>
      <c r="AP125" s="1295">
        <f t="shared" si="23"/>
        <v>37.012557832121615</v>
      </c>
      <c r="AQ125" s="1295">
        <f t="shared" si="24"/>
        <v>36.887994634473507</v>
      </c>
      <c r="AR125" s="1295">
        <f t="shared" si="25"/>
        <v>43.918918918918919</v>
      </c>
      <c r="AS125" s="1295">
        <f t="shared" si="26"/>
        <v>51.566579634464752</v>
      </c>
      <c r="AT125" s="1295">
        <f t="shared" si="27"/>
        <v>42.21635883905013</v>
      </c>
      <c r="AU125" s="1295">
        <f t="shared" si="28"/>
        <v>28.256374913852515</v>
      </c>
      <c r="AV125" s="1295">
        <f t="shared" si="29"/>
        <v>25.519287833827892</v>
      </c>
      <c r="AW125" s="1295">
        <f t="shared" si="30"/>
        <v>22.700119474313023</v>
      </c>
      <c r="AX125" s="1569">
        <f t="shared" si="31"/>
        <v>24.24942263279446</v>
      </c>
      <c r="AY125" s="1572">
        <f t="shared" si="32"/>
        <v>14.577259475218659</v>
      </c>
    </row>
    <row r="126" spans="1:51" s="142" customFormat="1" ht="15.75" customHeight="1" x14ac:dyDescent="0.2">
      <c r="A126" s="283"/>
      <c r="B126" s="236"/>
      <c r="C126" s="284"/>
      <c r="D126" s="152"/>
      <c r="E126" s="151"/>
      <c r="F126" s="152"/>
      <c r="G126" s="285"/>
      <c r="H126" s="152"/>
      <c r="I126" s="151"/>
      <c r="J126" s="152"/>
      <c r="K126" s="151"/>
      <c r="L126" s="286"/>
      <c r="M126" s="286"/>
      <c r="N126" s="286"/>
      <c r="O126" s="286"/>
    </row>
    <row r="127" spans="1:51" s="142" customFormat="1" ht="15.75" customHeight="1" x14ac:dyDescent="0.2">
      <c r="A127" s="283" t="s">
        <v>266</v>
      </c>
      <c r="B127" s="236"/>
      <c r="C127" s="284"/>
      <c r="D127" s="1275">
        <v>1749</v>
      </c>
      <c r="E127" s="1276">
        <v>1740</v>
      </c>
      <c r="F127" s="1277">
        <v>1696</v>
      </c>
      <c r="G127" s="1276">
        <v>1685</v>
      </c>
      <c r="H127" s="1277">
        <v>1606</v>
      </c>
      <c r="I127" s="1276">
        <v>1592</v>
      </c>
      <c r="J127" s="1277">
        <v>1481</v>
      </c>
      <c r="K127" s="1276">
        <v>1559</v>
      </c>
      <c r="L127" s="1248">
        <v>1590</v>
      </c>
      <c r="M127" s="1248">
        <v>1573</v>
      </c>
      <c r="N127" s="1248">
        <v>1570</v>
      </c>
      <c r="O127" s="1248">
        <v>1559</v>
      </c>
      <c r="P127" s="1263">
        <v>1312</v>
      </c>
      <c r="Q127" s="1263">
        <v>1151</v>
      </c>
      <c r="R127" s="1559">
        <v>1076</v>
      </c>
      <c r="S127" s="1560">
        <f>'Teen births'!D127</f>
        <v>964</v>
      </c>
      <c r="T127" s="1262">
        <v>72429</v>
      </c>
      <c r="U127" s="1263">
        <v>73349</v>
      </c>
      <c r="V127" s="1263">
        <v>79212</v>
      </c>
      <c r="W127" s="1263">
        <v>80732</v>
      </c>
      <c r="X127" s="1263">
        <v>81792</v>
      </c>
      <c r="Y127" s="1263">
        <v>82810</v>
      </c>
      <c r="Z127" s="1263">
        <v>83782</v>
      </c>
      <c r="AA127" s="1263">
        <v>83985</v>
      </c>
      <c r="AB127" s="1263">
        <v>83370</v>
      </c>
      <c r="AC127" s="1263">
        <v>84088</v>
      </c>
      <c r="AD127" s="1263">
        <v>83494</v>
      </c>
      <c r="AE127" s="1263">
        <v>84177</v>
      </c>
      <c r="AF127" s="1263">
        <v>87440</v>
      </c>
      <c r="AG127" s="1263">
        <v>86293</v>
      </c>
      <c r="AH127" s="1559">
        <v>86083</v>
      </c>
      <c r="AI127" s="1560">
        <f>'Teen births'!H127</f>
        <v>85413</v>
      </c>
      <c r="AJ127" s="1294">
        <f t="shared" ref="AJ127:AJ131" si="33">IF(T127=0,"NA",(D127/T127)*1000)</f>
        <v>24.147786107774508</v>
      </c>
      <c r="AK127" s="1295">
        <f t="shared" ref="AK127:AK131" si="34">IF(U127=0,"NA",(E127/U127)*1000)</f>
        <v>23.722204801701455</v>
      </c>
      <c r="AL127" s="1295">
        <f t="shared" ref="AL127:AL131" si="35">IF(V127=0,"NA",(F127/V127)*1000)</f>
        <v>21.410897338787052</v>
      </c>
      <c r="AM127" s="1295">
        <f t="shared" ref="AM127:AM131" si="36">IF(W127=0,"NA",(G127/W127)*1000)</f>
        <v>20.871525541297132</v>
      </c>
      <c r="AN127" s="1295">
        <f t="shared" ref="AN127:AN131" si="37">IF(X127=0,"NA",(H127/X127)*1000)</f>
        <v>19.635172143974959</v>
      </c>
      <c r="AO127" s="1295">
        <f t="shared" ref="AO127:AO131" si="38">IF(Y127=0,"NA",(I127/Y127)*1000)</f>
        <v>19.224731312643399</v>
      </c>
      <c r="AP127" s="1295">
        <f t="shared" ref="AP127:AP131" si="39">IF(Z127=0,"NA",(J127/Z127)*1000)</f>
        <v>17.676827958272661</v>
      </c>
      <c r="AQ127" s="1295">
        <f t="shared" ref="AQ127:AQ131" si="40">IF(AA127=0,"NA",(K127/AA127)*1000)</f>
        <v>18.562838602131333</v>
      </c>
      <c r="AR127" s="1295">
        <f t="shared" ref="AR127:AR131" si="41">IF(AB127=0,"NA",(L127/AB127)*1000)</f>
        <v>19.071608492263405</v>
      </c>
      <c r="AS127" s="1295">
        <f t="shared" ref="AS127:AS131" si="42">IF(AC127=0,"NA",(M127/AC127)*1000)</f>
        <v>18.706593092950243</v>
      </c>
      <c r="AT127" s="1295">
        <f t="shared" ref="AT127:AT131" si="43">IF(AD127=0,"NA",(N127/AD127)*1000)</f>
        <v>18.80374637698517</v>
      </c>
      <c r="AU127" s="1295">
        <f t="shared" ref="AU127:AU131" si="44">IF(AE127=0,"NA",(O127/AE127)*1000)</f>
        <v>18.520498473454744</v>
      </c>
      <c r="AV127" s="1295">
        <f t="shared" ref="AV127:AV131" si="45">IF(AF127=0,"NA",(P127/AF127)*1000)</f>
        <v>15.004574565416284</v>
      </c>
      <c r="AW127" s="1295">
        <f t="shared" ref="AW127:AW131" si="46">IF(AG127=0,"NA",(Q127/AG127)*1000)</f>
        <v>13.338277728205068</v>
      </c>
      <c r="AX127" s="1296">
        <f t="shared" ref="AX127:AX131" si="47">IF(AH127=0,"NA",(R127/AH127)*1000)</f>
        <v>12.499564373918194</v>
      </c>
      <c r="AY127" s="1573">
        <f t="shared" ref="AY127:AY131" si="48">IF(AI127=0,"NA",(S127/AI127)*1000)</f>
        <v>11.28633814524721</v>
      </c>
    </row>
    <row r="128" spans="1:51" s="142" customFormat="1" ht="15.75" customHeight="1" x14ac:dyDescent="0.2">
      <c r="A128" s="283" t="s">
        <v>264</v>
      </c>
      <c r="B128" s="236"/>
      <c r="C128" s="284"/>
      <c r="D128" s="1275">
        <v>3368</v>
      </c>
      <c r="E128" s="1276">
        <v>3337</v>
      </c>
      <c r="F128" s="1277">
        <v>3147</v>
      </c>
      <c r="G128" s="1276">
        <v>3071</v>
      </c>
      <c r="H128" s="1277">
        <v>2976</v>
      </c>
      <c r="I128" s="1276">
        <v>2773</v>
      </c>
      <c r="J128" s="1277">
        <v>2805</v>
      </c>
      <c r="K128" s="1276">
        <v>2724</v>
      </c>
      <c r="L128" s="1248">
        <v>2741</v>
      </c>
      <c r="M128" s="1248">
        <v>2746</v>
      </c>
      <c r="N128" s="1248">
        <v>2561</v>
      </c>
      <c r="O128" s="1248">
        <v>2383</v>
      </c>
      <c r="P128" s="1263">
        <v>2157</v>
      </c>
      <c r="Q128" s="1263">
        <v>1863</v>
      </c>
      <c r="R128" s="1559">
        <v>1692</v>
      </c>
      <c r="S128" s="1560">
        <f>'Teen births'!D128</f>
        <v>1419</v>
      </c>
      <c r="T128" s="1262">
        <v>128725</v>
      </c>
      <c r="U128" s="1263">
        <v>131262</v>
      </c>
      <c r="V128" s="1263">
        <v>126168</v>
      </c>
      <c r="W128" s="1263">
        <v>126899</v>
      </c>
      <c r="X128" s="1263">
        <v>127924</v>
      </c>
      <c r="Y128" s="1263">
        <v>130166</v>
      </c>
      <c r="Z128" s="1263">
        <v>129942</v>
      </c>
      <c r="AA128" s="1263">
        <v>129032</v>
      </c>
      <c r="AB128" s="1263">
        <v>127717</v>
      </c>
      <c r="AC128" s="1263">
        <v>127702</v>
      </c>
      <c r="AD128" s="1263">
        <v>126592</v>
      </c>
      <c r="AE128" s="1263">
        <v>123427</v>
      </c>
      <c r="AF128" s="1263">
        <v>121689</v>
      </c>
      <c r="AG128" s="1263">
        <v>118821</v>
      </c>
      <c r="AH128" s="1559">
        <v>116990</v>
      </c>
      <c r="AI128" s="1560">
        <f>'Teen births'!H128</f>
        <v>115131</v>
      </c>
      <c r="AJ128" s="1294">
        <f t="shared" si="33"/>
        <v>26.16430374830064</v>
      </c>
      <c r="AK128" s="1295">
        <f t="shared" si="34"/>
        <v>25.422437567612867</v>
      </c>
      <c r="AL128" s="1295">
        <f t="shared" si="35"/>
        <v>24.942933231881302</v>
      </c>
      <c r="AM128" s="1295">
        <f t="shared" si="36"/>
        <v>24.200348308497308</v>
      </c>
      <c r="AN128" s="1295">
        <f t="shared" si="37"/>
        <v>23.263812888902788</v>
      </c>
      <c r="AO128" s="1295">
        <f t="shared" si="38"/>
        <v>21.303566215447969</v>
      </c>
      <c r="AP128" s="1295">
        <f t="shared" si="39"/>
        <v>21.586554001015838</v>
      </c>
      <c r="AQ128" s="1295">
        <f t="shared" si="40"/>
        <v>21.111042222084446</v>
      </c>
      <c r="AR128" s="1295">
        <f t="shared" si="41"/>
        <v>21.461512562932111</v>
      </c>
      <c r="AS128" s="1295">
        <f t="shared" si="42"/>
        <v>21.50318710748461</v>
      </c>
      <c r="AT128" s="1295">
        <f t="shared" si="43"/>
        <v>20.230346309403437</v>
      </c>
      <c r="AU128" s="1295">
        <f t="shared" si="44"/>
        <v>19.306958769150995</v>
      </c>
      <c r="AV128" s="1295">
        <f t="shared" si="45"/>
        <v>17.725513398910337</v>
      </c>
      <c r="AW128" s="1295">
        <f t="shared" si="46"/>
        <v>15.679046633170904</v>
      </c>
      <c r="AX128" s="1296">
        <f t="shared" si="47"/>
        <v>14.462774596119328</v>
      </c>
      <c r="AY128" s="1573">
        <f t="shared" si="48"/>
        <v>12.325090549026759</v>
      </c>
    </row>
    <row r="129" spans="1:51" s="142" customFormat="1" ht="15.75" customHeight="1" x14ac:dyDescent="0.2">
      <c r="A129" s="283" t="s">
        <v>267</v>
      </c>
      <c r="B129" s="236"/>
      <c r="C129" s="284"/>
      <c r="D129" s="1275">
        <v>2385</v>
      </c>
      <c r="E129" s="1276">
        <v>2477</v>
      </c>
      <c r="F129" s="1277">
        <v>2452</v>
      </c>
      <c r="G129" s="1276">
        <v>2490</v>
      </c>
      <c r="H129" s="1277">
        <v>2369</v>
      </c>
      <c r="I129" s="1276">
        <v>2347</v>
      </c>
      <c r="J129" s="1277">
        <v>2449</v>
      </c>
      <c r="K129" s="1276">
        <v>2459</v>
      </c>
      <c r="L129" s="1248">
        <v>2629</v>
      </c>
      <c r="M129" s="1248">
        <v>2585</v>
      </c>
      <c r="N129" s="1248">
        <v>2365</v>
      </c>
      <c r="O129" s="1248">
        <v>2112</v>
      </c>
      <c r="P129" s="1263">
        <v>1928</v>
      </c>
      <c r="Q129" s="1263">
        <v>1797</v>
      </c>
      <c r="R129" s="1559">
        <v>1724</v>
      </c>
      <c r="S129" s="1560">
        <f>'Teen births'!D129</f>
        <v>1442</v>
      </c>
      <c r="T129" s="1262">
        <v>151287</v>
      </c>
      <c r="U129" s="1263">
        <v>154494</v>
      </c>
      <c r="V129" s="1263">
        <v>161605</v>
      </c>
      <c r="W129" s="1263">
        <v>169393</v>
      </c>
      <c r="X129" s="1263">
        <v>173581</v>
      </c>
      <c r="Y129" s="1263">
        <v>177265</v>
      </c>
      <c r="Z129" s="1263">
        <v>180682</v>
      </c>
      <c r="AA129" s="1263">
        <v>183555</v>
      </c>
      <c r="AB129" s="1263">
        <v>183011</v>
      </c>
      <c r="AC129" s="1263">
        <v>186356</v>
      </c>
      <c r="AD129" s="1263">
        <v>186572</v>
      </c>
      <c r="AE129" s="1263">
        <v>190395</v>
      </c>
      <c r="AF129" s="1263">
        <v>198927</v>
      </c>
      <c r="AG129" s="1263">
        <v>203315</v>
      </c>
      <c r="AH129" s="1559">
        <v>207128</v>
      </c>
      <c r="AI129" s="1560">
        <f>'Teen births'!H129</f>
        <v>211022</v>
      </c>
      <c r="AJ129" s="1294">
        <f t="shared" si="33"/>
        <v>15.764738543298501</v>
      </c>
      <c r="AK129" s="1295">
        <f t="shared" si="34"/>
        <v>16.032985099744973</v>
      </c>
      <c r="AL129" s="1295">
        <f t="shared" si="35"/>
        <v>15.172797871352989</v>
      </c>
      <c r="AM129" s="1295">
        <f t="shared" si="36"/>
        <v>14.699544845418641</v>
      </c>
      <c r="AN129" s="1295">
        <f t="shared" si="37"/>
        <v>13.647807075659202</v>
      </c>
      <c r="AO129" s="1295">
        <f t="shared" si="38"/>
        <v>13.240064310495585</v>
      </c>
      <c r="AP129" s="1295">
        <f t="shared" si="39"/>
        <v>13.554200197031248</v>
      </c>
      <c r="AQ129" s="1295">
        <f t="shared" si="40"/>
        <v>13.39652965051347</v>
      </c>
      <c r="AR129" s="1295">
        <f t="shared" si="41"/>
        <v>14.365256733201829</v>
      </c>
      <c r="AS129" s="1295">
        <f t="shared" si="42"/>
        <v>13.871300092296465</v>
      </c>
      <c r="AT129" s="1295">
        <f t="shared" si="43"/>
        <v>12.676071436228373</v>
      </c>
      <c r="AU129" s="1295">
        <f t="shared" si="44"/>
        <v>11.092728275427401</v>
      </c>
      <c r="AV129" s="1295">
        <f t="shared" si="45"/>
        <v>9.6919975669466698</v>
      </c>
      <c r="AW129" s="1295">
        <f t="shared" si="46"/>
        <v>8.8385018321324047</v>
      </c>
      <c r="AX129" s="1296">
        <f t="shared" si="47"/>
        <v>8.3233556061952019</v>
      </c>
      <c r="AY129" s="1573">
        <f t="shared" si="48"/>
        <v>6.8334107344257946</v>
      </c>
    </row>
    <row r="130" spans="1:51" s="142" customFormat="1" ht="15.75" customHeight="1" x14ac:dyDescent="0.2">
      <c r="A130" s="283" t="s">
        <v>265</v>
      </c>
      <c r="B130" s="236"/>
      <c r="C130" s="284"/>
      <c r="D130" s="1275">
        <v>1689</v>
      </c>
      <c r="E130" s="1276">
        <v>1661</v>
      </c>
      <c r="F130" s="1277">
        <v>1644</v>
      </c>
      <c r="G130" s="1276">
        <v>1526</v>
      </c>
      <c r="H130" s="1277">
        <v>1504</v>
      </c>
      <c r="I130" s="1276">
        <v>1550</v>
      </c>
      <c r="J130" s="1277">
        <v>1469</v>
      </c>
      <c r="K130" s="1276">
        <v>1445</v>
      </c>
      <c r="L130" s="1248">
        <v>1512</v>
      </c>
      <c r="M130" s="1248">
        <v>1588</v>
      </c>
      <c r="N130" s="1248">
        <v>1564</v>
      </c>
      <c r="O130" s="1248">
        <v>1426</v>
      </c>
      <c r="P130" s="1263">
        <v>1225</v>
      </c>
      <c r="Q130" s="1263">
        <v>1084</v>
      </c>
      <c r="R130" s="1559">
        <v>967</v>
      </c>
      <c r="S130" s="1560">
        <f>'Teen births'!D130</f>
        <v>877</v>
      </c>
      <c r="T130" s="1262">
        <v>68837</v>
      </c>
      <c r="U130" s="1263">
        <v>68970</v>
      </c>
      <c r="V130" s="1263">
        <v>73005</v>
      </c>
      <c r="W130" s="1263">
        <v>72374</v>
      </c>
      <c r="X130" s="1263">
        <v>72580</v>
      </c>
      <c r="Y130" s="1263">
        <v>73084</v>
      </c>
      <c r="Z130" s="1263">
        <v>72997</v>
      </c>
      <c r="AA130" s="1263">
        <v>73368</v>
      </c>
      <c r="AB130" s="1263">
        <v>72167</v>
      </c>
      <c r="AC130" s="1263">
        <v>71830</v>
      </c>
      <c r="AD130" s="1263">
        <v>71046</v>
      </c>
      <c r="AE130" s="1263">
        <v>71941</v>
      </c>
      <c r="AF130" s="1263">
        <v>73968</v>
      </c>
      <c r="AG130" s="1263">
        <v>73083</v>
      </c>
      <c r="AH130" s="1559">
        <v>72177</v>
      </c>
      <c r="AI130" s="1560">
        <f>'Teen births'!H130</f>
        <v>71598</v>
      </c>
      <c r="AJ130" s="1294">
        <f t="shared" si="33"/>
        <v>24.536223252030158</v>
      </c>
      <c r="AK130" s="1295">
        <f t="shared" si="34"/>
        <v>24.082934609250401</v>
      </c>
      <c r="AL130" s="1295">
        <f t="shared" si="35"/>
        <v>22.519005547565236</v>
      </c>
      <c r="AM130" s="1295">
        <f t="shared" si="36"/>
        <v>21.08491999889463</v>
      </c>
      <c r="AN130" s="1295">
        <f t="shared" si="37"/>
        <v>20.721961972995317</v>
      </c>
      <c r="AO130" s="1295">
        <f t="shared" si="38"/>
        <v>21.208472442668711</v>
      </c>
      <c r="AP130" s="1295">
        <f t="shared" si="39"/>
        <v>20.124114689644781</v>
      </c>
      <c r="AQ130" s="1295">
        <f t="shared" si="40"/>
        <v>19.695234979827717</v>
      </c>
      <c r="AR130" s="1295">
        <f t="shared" si="41"/>
        <v>20.951404381504013</v>
      </c>
      <c r="AS130" s="1295">
        <f t="shared" si="42"/>
        <v>22.107754420158706</v>
      </c>
      <c r="AT130" s="1295">
        <f t="shared" si="43"/>
        <v>22.013906483123609</v>
      </c>
      <c r="AU130" s="1295">
        <f t="shared" si="44"/>
        <v>19.821798418148205</v>
      </c>
      <c r="AV130" s="1295">
        <f t="shared" si="45"/>
        <v>16.561215660826303</v>
      </c>
      <c r="AW130" s="1295">
        <f t="shared" si="46"/>
        <v>14.832450775146068</v>
      </c>
      <c r="AX130" s="1296">
        <f t="shared" si="47"/>
        <v>13.397619740360504</v>
      </c>
      <c r="AY130" s="1573">
        <f t="shared" si="48"/>
        <v>12.248945501270985</v>
      </c>
    </row>
    <row r="131" spans="1:51" s="142" customFormat="1" ht="15.75" customHeight="1" x14ac:dyDescent="0.2">
      <c r="A131" s="283" t="s">
        <v>268</v>
      </c>
      <c r="B131" s="236"/>
      <c r="C131" s="284"/>
      <c r="D131" s="1275">
        <v>911</v>
      </c>
      <c r="E131" s="1276">
        <v>875</v>
      </c>
      <c r="F131" s="1277">
        <v>864</v>
      </c>
      <c r="G131" s="1276">
        <v>805</v>
      </c>
      <c r="H131" s="1277">
        <v>740</v>
      </c>
      <c r="I131" s="1276">
        <v>679</v>
      </c>
      <c r="J131" s="1277">
        <v>710</v>
      </c>
      <c r="K131" s="1276">
        <v>718</v>
      </c>
      <c r="L131" s="1248">
        <v>724</v>
      </c>
      <c r="M131" s="1248">
        <v>814</v>
      </c>
      <c r="N131" s="1248">
        <v>842</v>
      </c>
      <c r="O131" s="1248">
        <v>804</v>
      </c>
      <c r="P131" s="1263">
        <v>822</v>
      </c>
      <c r="Q131" s="1263">
        <v>677</v>
      </c>
      <c r="R131" s="1559">
        <v>675</v>
      </c>
      <c r="S131" s="1560">
        <f>'Teen births'!D131</f>
        <v>614</v>
      </c>
      <c r="T131" s="1262">
        <v>38047</v>
      </c>
      <c r="U131" s="1263">
        <v>37494</v>
      </c>
      <c r="V131" s="1263">
        <v>38250</v>
      </c>
      <c r="W131" s="1263">
        <v>37027</v>
      </c>
      <c r="X131" s="1263">
        <v>36507</v>
      </c>
      <c r="Y131" s="1263">
        <v>36073</v>
      </c>
      <c r="Z131" s="1263">
        <v>36009</v>
      </c>
      <c r="AA131" s="1263">
        <v>36265</v>
      </c>
      <c r="AB131" s="1263">
        <v>36079</v>
      </c>
      <c r="AC131" s="1263">
        <v>35872</v>
      </c>
      <c r="AD131" s="1263">
        <v>35506</v>
      </c>
      <c r="AE131" s="1263">
        <v>36036</v>
      </c>
      <c r="AF131" s="1263">
        <v>37061</v>
      </c>
      <c r="AG131" s="1263">
        <v>35880</v>
      </c>
      <c r="AH131" s="1559">
        <v>35415</v>
      </c>
      <c r="AI131" s="1560">
        <f>'Teen births'!H131</f>
        <v>35190</v>
      </c>
      <c r="AJ131" s="1294">
        <f t="shared" si="33"/>
        <v>23.944069177596131</v>
      </c>
      <c r="AK131" s="1295">
        <f t="shared" si="34"/>
        <v>23.337067264095587</v>
      </c>
      <c r="AL131" s="1295">
        <f t="shared" si="35"/>
        <v>22.588235294117649</v>
      </c>
      <c r="AM131" s="1295">
        <f t="shared" si="36"/>
        <v>21.740891781672833</v>
      </c>
      <c r="AN131" s="1295">
        <f t="shared" si="37"/>
        <v>20.27008518914181</v>
      </c>
      <c r="AO131" s="1295">
        <f t="shared" si="38"/>
        <v>18.822942366867185</v>
      </c>
      <c r="AP131" s="1295">
        <f t="shared" si="39"/>
        <v>19.717292898997474</v>
      </c>
      <c r="AQ131" s="1295">
        <f t="shared" si="40"/>
        <v>19.798703984558113</v>
      </c>
      <c r="AR131" s="1295">
        <f t="shared" si="41"/>
        <v>20.067075029795724</v>
      </c>
      <c r="AS131" s="1295">
        <f t="shared" si="42"/>
        <v>22.691793041926854</v>
      </c>
      <c r="AT131" s="1295">
        <f t="shared" si="43"/>
        <v>23.714301808145102</v>
      </c>
      <c r="AU131" s="1295">
        <f t="shared" si="44"/>
        <v>22.311022311022313</v>
      </c>
      <c r="AV131" s="1295">
        <f t="shared" si="45"/>
        <v>22.179649766601006</v>
      </c>
      <c r="AW131" s="1295">
        <f t="shared" si="46"/>
        <v>18.868450390189523</v>
      </c>
      <c r="AX131" s="1296">
        <f t="shared" si="47"/>
        <v>19.05972045743329</v>
      </c>
      <c r="AY131" s="1573">
        <f t="shared" si="48"/>
        <v>17.448138675760159</v>
      </c>
    </row>
    <row r="132" spans="1:51" s="142" customFormat="1" ht="15.75" customHeight="1" x14ac:dyDescent="0.2">
      <c r="A132" s="283"/>
      <c r="B132" s="236"/>
      <c r="C132" s="284"/>
      <c r="D132" s="152"/>
      <c r="E132" s="151"/>
      <c r="F132" s="152"/>
      <c r="G132" s="285"/>
      <c r="H132" s="152"/>
      <c r="I132" s="151"/>
      <c r="J132" s="152"/>
      <c r="K132" s="151"/>
      <c r="L132" s="286"/>
      <c r="M132" s="286"/>
      <c r="N132" s="286"/>
      <c r="O132" s="286"/>
    </row>
    <row r="133" spans="1:51" ht="18" customHeight="1" x14ac:dyDescent="0.25">
      <c r="A133" s="2087" t="s">
        <v>659</v>
      </c>
      <c r="B133" s="2087"/>
      <c r="C133" s="2087"/>
      <c r="D133" s="2087"/>
      <c r="E133" s="2087"/>
      <c r="F133" s="2087"/>
      <c r="G133" s="2087"/>
    </row>
    <row r="134" spans="1:51" s="185" customFormat="1" ht="12.75" x14ac:dyDescent="0.2">
      <c r="A134" s="185" t="s">
        <v>248</v>
      </c>
    </row>
    <row r="135" spans="1:51" s="185" customFormat="1" ht="12.75" x14ac:dyDescent="0.2">
      <c r="A135" s="192" t="s">
        <v>249</v>
      </c>
      <c r="B135" s="170" t="s">
        <v>250</v>
      </c>
    </row>
  </sheetData>
  <autoFilter ref="A4:C125"/>
  <sortState ref="A6:AV125">
    <sortCondition ref="A6:A125"/>
  </sortState>
  <mergeCells count="5">
    <mergeCell ref="E2:G2"/>
    <mergeCell ref="AJ3:AX3"/>
    <mergeCell ref="A133:G133"/>
    <mergeCell ref="D3:S3"/>
    <mergeCell ref="T3:AI3"/>
  </mergeCells>
  <hyperlinks>
    <hyperlink ref="B135"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134"/>
  <sheetViews>
    <sheetView workbookViewId="0">
      <pane xSplit="3" ySplit="4" topLeftCell="D89" activePane="bottomRight" state="frozen"/>
      <selection pane="topRight" activeCell="D1" sqref="D1"/>
      <selection pane="bottomLeft" activeCell="A5" sqref="A5"/>
      <selection pane="bottomRight" activeCell="K33" sqref="K33"/>
    </sheetView>
  </sheetViews>
  <sheetFormatPr defaultRowHeight="15.75" x14ac:dyDescent="0.25"/>
  <cols>
    <col min="1" max="1" width="7.75" style="134" customWidth="1"/>
    <col min="2" max="2" width="28.625" style="158" customWidth="1"/>
    <col min="3" max="3" width="10" style="158" customWidth="1"/>
    <col min="4" max="4" width="14.375" customWidth="1"/>
    <col min="5" max="8" width="13" customWidth="1"/>
    <col min="9" max="9" width="1.625" customWidth="1"/>
    <col min="10" max="13" width="13.75" customWidth="1"/>
    <col min="14" max="14" width="4.375" customWidth="1"/>
    <col min="15" max="15" width="11.125" bestFit="1" customWidth="1"/>
    <col min="20" max="20" width="2.375" customWidth="1"/>
  </cols>
  <sheetData>
    <row r="1" spans="1:24" x14ac:dyDescent="0.25">
      <c r="A1" s="313" t="s">
        <v>1269</v>
      </c>
      <c r="B1" s="313"/>
      <c r="C1" s="313"/>
    </row>
    <row r="2" spans="1:24" x14ac:dyDescent="0.25">
      <c r="A2" s="96"/>
      <c r="B2" s="136"/>
      <c r="C2" s="136"/>
    </row>
    <row r="3" spans="1:24" ht="64.5" x14ac:dyDescent="0.25">
      <c r="A3" s="1355" t="s">
        <v>4</v>
      </c>
      <c r="B3" s="1356" t="s">
        <v>5</v>
      </c>
      <c r="C3" s="1356" t="s">
        <v>251</v>
      </c>
      <c r="D3" s="983" t="s">
        <v>911</v>
      </c>
      <c r="E3" s="983" t="s">
        <v>912</v>
      </c>
      <c r="F3" s="983" t="s">
        <v>913</v>
      </c>
      <c r="G3" s="983" t="s">
        <v>914</v>
      </c>
      <c r="H3" s="983" t="s">
        <v>915</v>
      </c>
      <c r="I3" s="983"/>
      <c r="J3" s="983" t="s">
        <v>916</v>
      </c>
      <c r="K3" s="983" t="s">
        <v>917</v>
      </c>
      <c r="L3" s="983" t="s">
        <v>918</v>
      </c>
      <c r="M3" s="983" t="s">
        <v>919</v>
      </c>
      <c r="O3" s="983" t="s">
        <v>920</v>
      </c>
      <c r="P3" s="983" t="s">
        <v>921</v>
      </c>
      <c r="Q3" s="983" t="s">
        <v>922</v>
      </c>
      <c r="R3" s="983" t="s">
        <v>923</v>
      </c>
      <c r="S3" s="983" t="s">
        <v>924</v>
      </c>
      <c r="T3" s="983"/>
      <c r="U3" s="983" t="s">
        <v>925</v>
      </c>
      <c r="V3" s="983" t="s">
        <v>926</v>
      </c>
      <c r="W3" s="983" t="s">
        <v>927</v>
      </c>
      <c r="X3" s="983" t="s">
        <v>928</v>
      </c>
    </row>
    <row r="4" spans="1:24" x14ac:dyDescent="0.25">
      <c r="A4" s="146" t="s">
        <v>8</v>
      </c>
      <c r="B4" s="147" t="s">
        <v>9</v>
      </c>
      <c r="C4" s="148"/>
      <c r="D4" s="1349">
        <f>SUM(D5:D124)</f>
        <v>1658406</v>
      </c>
      <c r="E4" s="1349">
        <f t="shared" ref="E4:H4" si="0">SUM(E5:E124)</f>
        <v>1202628</v>
      </c>
      <c r="F4" s="1349">
        <f t="shared" si="0"/>
        <v>455778</v>
      </c>
      <c r="G4" s="1349">
        <f t="shared" si="0"/>
        <v>94334</v>
      </c>
      <c r="H4" s="1349">
        <f t="shared" si="0"/>
        <v>361444</v>
      </c>
      <c r="I4" s="1350"/>
      <c r="J4" s="1351">
        <f t="shared" ref="J4" si="1">E4/D4</f>
        <v>0.725171037731412</v>
      </c>
      <c r="K4" s="1351">
        <f t="shared" ref="K4" si="2">F4/D4</f>
        <v>0.27482896226858805</v>
      </c>
      <c r="L4" s="1351">
        <f t="shared" ref="L4" si="3">G4/D4</f>
        <v>5.6882331588284173E-2</v>
      </c>
      <c r="M4" s="1351">
        <f t="shared" ref="M4" si="4">H4/D4</f>
        <v>0.21794663068030387</v>
      </c>
      <c r="N4" s="1352"/>
      <c r="O4" s="1353">
        <f t="shared" ref="O4" si="5">SUM(O5:O124)</f>
        <v>534571</v>
      </c>
      <c r="P4" s="1353">
        <f t="shared" ref="P4" si="6">SUM(P5:P124)</f>
        <v>393496</v>
      </c>
      <c r="Q4" s="1353">
        <f t="shared" ref="Q4" si="7">SUM(Q5:Q124)</f>
        <v>141075</v>
      </c>
      <c r="R4" s="1353">
        <f t="shared" ref="R4" si="8">SUM(R5:R124)</f>
        <v>31787</v>
      </c>
      <c r="S4" s="1353">
        <f t="shared" ref="S4" si="9">SUM(S5:S124)</f>
        <v>109288</v>
      </c>
      <c r="T4" s="1354"/>
      <c r="U4" s="1351">
        <f t="shared" ref="U4" si="10">P4/O4</f>
        <v>0.73609679537423467</v>
      </c>
      <c r="V4" s="1351">
        <f t="shared" ref="V4" si="11">Q4/O4</f>
        <v>0.26390320462576533</v>
      </c>
      <c r="W4" s="1351">
        <f t="shared" ref="W4" si="12">R4/O4</f>
        <v>5.9462634523758301E-2</v>
      </c>
      <c r="X4" s="1351">
        <f t="shared" ref="X4" si="13">S4/O4</f>
        <v>0.20444057010200703</v>
      </c>
    </row>
    <row r="5" spans="1:24" x14ac:dyDescent="0.25">
      <c r="A5" s="149" t="s">
        <v>10</v>
      </c>
      <c r="B5" s="188" t="s">
        <v>11</v>
      </c>
      <c r="C5" s="150" t="s">
        <v>264</v>
      </c>
      <c r="D5" s="243">
        <v>5637</v>
      </c>
      <c r="E5" s="243">
        <v>3633</v>
      </c>
      <c r="F5" s="243">
        <v>2004</v>
      </c>
      <c r="G5" s="243">
        <v>299</v>
      </c>
      <c r="H5" s="243">
        <v>1705</v>
      </c>
      <c r="I5" s="243"/>
      <c r="J5" s="1346">
        <f t="shared" ref="J5:J36" si="14">E5/D5</f>
        <v>0.64449175093134647</v>
      </c>
      <c r="K5" s="1346">
        <f t="shared" ref="K5:K36" si="15">F5/D5</f>
        <v>0.35550824906865353</v>
      </c>
      <c r="L5" s="1346">
        <f t="shared" ref="L5:L36" si="16">G5/D5</f>
        <v>5.3042398438885932E-2</v>
      </c>
      <c r="M5" s="1346">
        <f t="shared" ref="M5:M36" si="17">H5/D5</f>
        <v>0.30246585062976761</v>
      </c>
      <c r="O5" s="1347">
        <f t="shared" ref="O5:O36" si="18">P5+Q5</f>
        <v>1738</v>
      </c>
      <c r="P5" s="1347">
        <v>1146</v>
      </c>
      <c r="Q5" s="1347">
        <f t="shared" ref="Q5:Q36" si="19">R5+S5</f>
        <v>592</v>
      </c>
      <c r="R5" s="1347">
        <v>94</v>
      </c>
      <c r="S5" s="1347">
        <v>498</v>
      </c>
      <c r="U5" s="1348">
        <f t="shared" ref="U5:U36" si="20">P5/O5</f>
        <v>0.65937859608745686</v>
      </c>
      <c r="V5" s="1348">
        <f t="shared" ref="V5:V36" si="21">Q5/O5</f>
        <v>0.34062140391254314</v>
      </c>
      <c r="W5" s="1348">
        <f t="shared" ref="W5:W36" si="22">R5/O5</f>
        <v>5.4085155350978138E-2</v>
      </c>
      <c r="X5" s="1348">
        <f t="shared" ref="X5:X36" si="23">S5/O5</f>
        <v>0.28653624856156501</v>
      </c>
    </row>
    <row r="6" spans="1:24" x14ac:dyDescent="0.25">
      <c r="A6" s="149" t="s">
        <v>12</v>
      </c>
      <c r="B6" s="189" t="s">
        <v>13</v>
      </c>
      <c r="C6" s="150" t="s">
        <v>265</v>
      </c>
      <c r="D6" s="243">
        <v>20091</v>
      </c>
      <c r="E6" s="243">
        <v>16430</v>
      </c>
      <c r="F6" s="243">
        <v>3661</v>
      </c>
      <c r="G6" s="243">
        <v>769</v>
      </c>
      <c r="H6" s="243">
        <v>2892</v>
      </c>
      <c r="I6" s="243"/>
      <c r="J6" s="1346">
        <f t="shared" si="14"/>
        <v>0.81777910507192275</v>
      </c>
      <c r="K6" s="1346">
        <f t="shared" si="15"/>
        <v>0.18222089492807725</v>
      </c>
      <c r="L6" s="1346">
        <f t="shared" si="16"/>
        <v>3.827584490567916E-2</v>
      </c>
      <c r="M6" s="1346">
        <f t="shared" si="17"/>
        <v>0.1439450500223981</v>
      </c>
      <c r="O6" s="1347">
        <f t="shared" si="18"/>
        <v>6138</v>
      </c>
      <c r="P6" s="1347">
        <v>4947</v>
      </c>
      <c r="Q6" s="1347">
        <f t="shared" si="19"/>
        <v>1191</v>
      </c>
      <c r="R6" s="1347">
        <v>300</v>
      </c>
      <c r="S6" s="1347">
        <v>891</v>
      </c>
      <c r="U6" s="1348">
        <f t="shared" si="20"/>
        <v>0.80596285434995107</v>
      </c>
      <c r="V6" s="1348">
        <f t="shared" si="21"/>
        <v>0.19403714565004887</v>
      </c>
      <c r="W6" s="1348">
        <f t="shared" si="22"/>
        <v>4.8875855327468229E-2</v>
      </c>
      <c r="X6" s="1348">
        <f t="shared" si="23"/>
        <v>0.14516129032258066</v>
      </c>
    </row>
    <row r="7" spans="1:24" x14ac:dyDescent="0.25">
      <c r="A7" s="149" t="s">
        <v>16</v>
      </c>
      <c r="B7" s="189" t="s">
        <v>297</v>
      </c>
      <c r="C7" s="150" t="s">
        <v>265</v>
      </c>
      <c r="D7" s="243">
        <v>3725</v>
      </c>
      <c r="E7" s="243">
        <v>2859</v>
      </c>
      <c r="F7" s="243">
        <v>866</v>
      </c>
      <c r="G7" s="243">
        <v>207</v>
      </c>
      <c r="H7" s="243">
        <v>659</v>
      </c>
      <c r="I7" s="243"/>
      <c r="J7" s="1346">
        <f t="shared" si="14"/>
        <v>0.76751677852348998</v>
      </c>
      <c r="K7" s="1346">
        <f t="shared" si="15"/>
        <v>0.23248322147651007</v>
      </c>
      <c r="L7" s="1346">
        <f t="shared" si="16"/>
        <v>5.5570469798657721E-2</v>
      </c>
      <c r="M7" s="1346">
        <f t="shared" si="17"/>
        <v>0.17691275167785234</v>
      </c>
      <c r="O7" s="1347">
        <f t="shared" si="18"/>
        <v>962</v>
      </c>
      <c r="P7" s="1347">
        <v>795</v>
      </c>
      <c r="Q7" s="1347">
        <f t="shared" si="19"/>
        <v>167</v>
      </c>
      <c r="R7" s="1347">
        <v>36</v>
      </c>
      <c r="S7" s="1347">
        <v>131</v>
      </c>
      <c r="U7" s="1348">
        <f t="shared" si="20"/>
        <v>0.82640332640332637</v>
      </c>
      <c r="V7" s="1348">
        <f t="shared" si="21"/>
        <v>0.17359667359667361</v>
      </c>
      <c r="W7" s="1348">
        <f t="shared" si="22"/>
        <v>3.7422037422037424E-2</v>
      </c>
      <c r="X7" s="1348">
        <f t="shared" si="23"/>
        <v>0.13617463617463618</v>
      </c>
    </row>
    <row r="8" spans="1:24" x14ac:dyDescent="0.25">
      <c r="A8" s="149" t="s">
        <v>18</v>
      </c>
      <c r="B8" s="189" t="s">
        <v>19</v>
      </c>
      <c r="C8" s="150" t="s">
        <v>266</v>
      </c>
      <c r="D8" s="243">
        <v>2313</v>
      </c>
      <c r="E8" s="243">
        <v>1887</v>
      </c>
      <c r="F8" s="243">
        <v>426</v>
      </c>
      <c r="G8" s="243">
        <v>113</v>
      </c>
      <c r="H8" s="243">
        <v>313</v>
      </c>
      <c r="I8" s="243"/>
      <c r="J8" s="1346">
        <f t="shared" si="14"/>
        <v>0.81582360570687418</v>
      </c>
      <c r="K8" s="1346">
        <f t="shared" si="15"/>
        <v>0.18417639429312582</v>
      </c>
      <c r="L8" s="1346">
        <f t="shared" si="16"/>
        <v>4.885430177258971E-2</v>
      </c>
      <c r="M8" s="1346">
        <f t="shared" si="17"/>
        <v>0.13532209252053609</v>
      </c>
      <c r="O8" s="1347">
        <f t="shared" si="18"/>
        <v>747</v>
      </c>
      <c r="P8" s="1347">
        <v>620</v>
      </c>
      <c r="Q8" s="1347">
        <f t="shared" si="19"/>
        <v>127</v>
      </c>
      <c r="R8" s="1347">
        <v>19</v>
      </c>
      <c r="S8" s="1347">
        <v>108</v>
      </c>
      <c r="U8" s="1348">
        <f t="shared" si="20"/>
        <v>0.82998661311914324</v>
      </c>
      <c r="V8" s="1348">
        <f t="shared" si="21"/>
        <v>0.17001338688085676</v>
      </c>
      <c r="W8" s="1348">
        <f t="shared" si="22"/>
        <v>2.5435073627844713E-2</v>
      </c>
      <c r="X8" s="1348">
        <f t="shared" si="23"/>
        <v>0.14457831325301204</v>
      </c>
    </row>
    <row r="9" spans="1:24" x14ac:dyDescent="0.25">
      <c r="A9" s="149" t="s">
        <v>20</v>
      </c>
      <c r="B9" s="189" t="s">
        <v>21</v>
      </c>
      <c r="C9" s="150" t="s">
        <v>265</v>
      </c>
      <c r="D9" s="243">
        <v>5934</v>
      </c>
      <c r="E9" s="243">
        <v>3886</v>
      </c>
      <c r="F9" s="243">
        <v>2048</v>
      </c>
      <c r="G9" s="243">
        <v>408</v>
      </c>
      <c r="H9" s="243">
        <v>1640</v>
      </c>
      <c r="I9" s="243"/>
      <c r="J9" s="1346">
        <f t="shared" si="14"/>
        <v>0.65487023929895516</v>
      </c>
      <c r="K9" s="1346">
        <f t="shared" si="15"/>
        <v>0.34512976070104484</v>
      </c>
      <c r="L9" s="1346">
        <f t="shared" si="16"/>
        <v>6.8756319514661268E-2</v>
      </c>
      <c r="M9" s="1346">
        <f t="shared" si="17"/>
        <v>0.27637344118638357</v>
      </c>
      <c r="O9" s="1347">
        <f t="shared" si="18"/>
        <v>1776</v>
      </c>
      <c r="P9" s="1347">
        <v>1286</v>
      </c>
      <c r="Q9" s="1347">
        <f t="shared" si="19"/>
        <v>490</v>
      </c>
      <c r="R9" s="1347">
        <v>104</v>
      </c>
      <c r="S9" s="1347">
        <v>386</v>
      </c>
      <c r="U9" s="1348">
        <f t="shared" si="20"/>
        <v>0.72409909909909909</v>
      </c>
      <c r="V9" s="1348">
        <f t="shared" si="21"/>
        <v>0.27590090090090091</v>
      </c>
      <c r="W9" s="1348">
        <f t="shared" si="22"/>
        <v>5.8558558558558557E-2</v>
      </c>
      <c r="X9" s="1348">
        <f t="shared" si="23"/>
        <v>0.21734234234234234</v>
      </c>
    </row>
    <row r="10" spans="1:24" x14ac:dyDescent="0.25">
      <c r="A10" s="149" t="s">
        <v>22</v>
      </c>
      <c r="B10" s="189" t="s">
        <v>23</v>
      </c>
      <c r="C10" s="150" t="s">
        <v>265</v>
      </c>
      <c r="D10" s="243">
        <v>2646</v>
      </c>
      <c r="E10" s="243">
        <v>1828</v>
      </c>
      <c r="F10" s="243">
        <v>818</v>
      </c>
      <c r="G10" s="243">
        <v>162</v>
      </c>
      <c r="H10" s="243">
        <v>656</v>
      </c>
      <c r="I10" s="243"/>
      <c r="J10" s="1346">
        <f t="shared" si="14"/>
        <v>0.69085411942554797</v>
      </c>
      <c r="K10" s="1346">
        <f t="shared" si="15"/>
        <v>0.30914588057445203</v>
      </c>
      <c r="L10" s="1346">
        <f t="shared" si="16"/>
        <v>6.1224489795918366E-2</v>
      </c>
      <c r="M10" s="1346">
        <f t="shared" si="17"/>
        <v>0.24792139077853365</v>
      </c>
      <c r="O10" s="1347">
        <f t="shared" si="18"/>
        <v>750</v>
      </c>
      <c r="P10" s="1347">
        <v>549</v>
      </c>
      <c r="Q10" s="1347">
        <f t="shared" si="19"/>
        <v>201</v>
      </c>
      <c r="R10" s="1347">
        <v>99</v>
      </c>
      <c r="S10" s="1347">
        <v>102</v>
      </c>
      <c r="U10" s="1348">
        <f t="shared" si="20"/>
        <v>0.73199999999999998</v>
      </c>
      <c r="V10" s="1348">
        <f t="shared" si="21"/>
        <v>0.26800000000000002</v>
      </c>
      <c r="W10" s="1348">
        <f t="shared" si="22"/>
        <v>0.13200000000000001</v>
      </c>
      <c r="X10" s="1348">
        <f t="shared" si="23"/>
        <v>0.13600000000000001</v>
      </c>
    </row>
    <row r="11" spans="1:24" x14ac:dyDescent="0.25">
      <c r="A11" s="149" t="s">
        <v>24</v>
      </c>
      <c r="B11" s="189" t="s">
        <v>25</v>
      </c>
      <c r="C11" s="150" t="s">
        <v>267</v>
      </c>
      <c r="D11" s="243">
        <v>33868</v>
      </c>
      <c r="E11" s="243">
        <v>27221</v>
      </c>
      <c r="F11" s="243">
        <v>6647</v>
      </c>
      <c r="G11" s="243">
        <v>1521</v>
      </c>
      <c r="H11" s="243">
        <v>5126</v>
      </c>
      <c r="I11" s="243"/>
      <c r="J11" s="1346">
        <f t="shared" si="14"/>
        <v>0.80373804180937758</v>
      </c>
      <c r="K11" s="1346">
        <f t="shared" si="15"/>
        <v>0.19626195819062242</v>
      </c>
      <c r="L11" s="1346">
        <f t="shared" si="16"/>
        <v>4.4909649226408409E-2</v>
      </c>
      <c r="M11" s="1346">
        <f t="shared" si="17"/>
        <v>0.15135230896421401</v>
      </c>
      <c r="O11" s="1347">
        <f t="shared" si="18"/>
        <v>14257</v>
      </c>
      <c r="P11" s="1347">
        <v>11879</v>
      </c>
      <c r="Q11" s="1347">
        <f t="shared" si="19"/>
        <v>2378</v>
      </c>
      <c r="R11" s="1347">
        <v>558</v>
      </c>
      <c r="S11" s="1347">
        <v>1820</v>
      </c>
      <c r="U11" s="1348">
        <f t="shared" si="20"/>
        <v>0.8332047415304763</v>
      </c>
      <c r="V11" s="1348">
        <f t="shared" si="21"/>
        <v>0.16679525846952376</v>
      </c>
      <c r="W11" s="1348">
        <f t="shared" si="22"/>
        <v>3.913866872413551E-2</v>
      </c>
      <c r="X11" s="1348">
        <f t="shared" si="23"/>
        <v>0.12765658974538824</v>
      </c>
    </row>
    <row r="12" spans="1:24" x14ac:dyDescent="0.25">
      <c r="A12" s="149" t="s">
        <v>26</v>
      </c>
      <c r="B12" s="189" t="s">
        <v>298</v>
      </c>
      <c r="C12" s="150" t="s">
        <v>265</v>
      </c>
      <c r="D12" s="243">
        <v>21597</v>
      </c>
      <c r="E12" s="243">
        <v>15310</v>
      </c>
      <c r="F12" s="243">
        <v>6287</v>
      </c>
      <c r="G12" s="243">
        <v>1408</v>
      </c>
      <c r="H12" s="243">
        <v>4879</v>
      </c>
      <c r="I12" s="243"/>
      <c r="J12" s="1346">
        <f t="shared" si="14"/>
        <v>0.70889475390100476</v>
      </c>
      <c r="K12" s="1346">
        <f t="shared" si="15"/>
        <v>0.29110524609899524</v>
      </c>
      <c r="L12" s="1346">
        <f t="shared" si="16"/>
        <v>6.5194239940732507E-2</v>
      </c>
      <c r="M12" s="1346">
        <f t="shared" si="17"/>
        <v>0.22591100615826273</v>
      </c>
      <c r="O12" s="1347">
        <f t="shared" si="18"/>
        <v>6534</v>
      </c>
      <c r="P12" s="1347">
        <v>4886</v>
      </c>
      <c r="Q12" s="1347">
        <f t="shared" si="19"/>
        <v>1648</v>
      </c>
      <c r="R12" s="1347">
        <v>355</v>
      </c>
      <c r="S12" s="1347">
        <v>1293</v>
      </c>
      <c r="U12" s="1348">
        <f t="shared" si="20"/>
        <v>0.74778083868992962</v>
      </c>
      <c r="V12" s="1348">
        <f t="shared" si="21"/>
        <v>0.25221916131007038</v>
      </c>
      <c r="W12" s="1348">
        <f t="shared" si="22"/>
        <v>5.4331190694827058E-2</v>
      </c>
      <c r="X12" s="1348">
        <f t="shared" si="23"/>
        <v>0.19788797061524335</v>
      </c>
    </row>
    <row r="13" spans="1:24" x14ac:dyDescent="0.25">
      <c r="A13" s="149" t="s">
        <v>27</v>
      </c>
      <c r="B13" s="189" t="s">
        <v>28</v>
      </c>
      <c r="C13" s="150" t="s">
        <v>265</v>
      </c>
      <c r="D13" s="243">
        <v>826</v>
      </c>
      <c r="E13" s="243">
        <v>531</v>
      </c>
      <c r="F13" s="243">
        <v>295</v>
      </c>
      <c r="G13" s="243">
        <v>79</v>
      </c>
      <c r="H13" s="243">
        <v>216</v>
      </c>
      <c r="I13" s="243"/>
      <c r="J13" s="1346">
        <f t="shared" si="14"/>
        <v>0.6428571428571429</v>
      </c>
      <c r="K13" s="1346">
        <f t="shared" si="15"/>
        <v>0.35714285714285715</v>
      </c>
      <c r="L13" s="1346">
        <f t="shared" si="16"/>
        <v>9.5641646489104115E-2</v>
      </c>
      <c r="M13" s="1346">
        <f t="shared" si="17"/>
        <v>0.26150121065375304</v>
      </c>
      <c r="O13" s="1347">
        <f t="shared" si="18"/>
        <v>274</v>
      </c>
      <c r="P13" s="1347">
        <v>185</v>
      </c>
      <c r="Q13" s="1347">
        <f t="shared" si="19"/>
        <v>89</v>
      </c>
      <c r="R13" s="1347">
        <v>0</v>
      </c>
      <c r="S13" s="1347">
        <v>89</v>
      </c>
      <c r="U13" s="1348">
        <f t="shared" si="20"/>
        <v>0.67518248175182483</v>
      </c>
      <c r="V13" s="1348">
        <f t="shared" si="21"/>
        <v>0.32481751824817517</v>
      </c>
      <c r="W13" s="1348">
        <f t="shared" si="22"/>
        <v>0</v>
      </c>
      <c r="X13" s="1348">
        <f t="shared" si="23"/>
        <v>0.32481751824817517</v>
      </c>
    </row>
    <row r="14" spans="1:24" x14ac:dyDescent="0.25">
      <c r="A14" s="149" t="s">
        <v>29</v>
      </c>
      <c r="B14" s="189" t="s">
        <v>941</v>
      </c>
      <c r="C14" s="150" t="s">
        <v>265</v>
      </c>
      <c r="D14" s="243">
        <v>14435</v>
      </c>
      <c r="E14" s="243">
        <v>10868</v>
      </c>
      <c r="F14" s="243">
        <v>3567</v>
      </c>
      <c r="G14" s="243">
        <v>694</v>
      </c>
      <c r="H14" s="243">
        <v>2873</v>
      </c>
      <c r="I14" s="243"/>
      <c r="J14" s="1346">
        <f t="shared" si="14"/>
        <v>0.75289227571873918</v>
      </c>
      <c r="K14" s="1346">
        <f t="shared" si="15"/>
        <v>0.24710772428126082</v>
      </c>
      <c r="L14" s="1346">
        <f t="shared" si="16"/>
        <v>4.8077589192933839E-2</v>
      </c>
      <c r="M14" s="1346">
        <f t="shared" si="17"/>
        <v>0.19903013508832698</v>
      </c>
      <c r="O14" s="1347">
        <f t="shared" si="18"/>
        <v>3558</v>
      </c>
      <c r="P14" s="1347">
        <v>2703</v>
      </c>
      <c r="Q14" s="1347">
        <f t="shared" si="19"/>
        <v>855</v>
      </c>
      <c r="R14" s="1347">
        <v>183</v>
      </c>
      <c r="S14" s="1347">
        <v>672</v>
      </c>
      <c r="U14" s="1348">
        <f t="shared" si="20"/>
        <v>0.7596964586846543</v>
      </c>
      <c r="V14" s="1348">
        <f t="shared" si="21"/>
        <v>0.2403035413153457</v>
      </c>
      <c r="W14" s="1348">
        <f t="shared" si="22"/>
        <v>5.1433389544688027E-2</v>
      </c>
      <c r="X14" s="1348">
        <f t="shared" si="23"/>
        <v>0.18887015177065766</v>
      </c>
    </row>
    <row r="15" spans="1:24" x14ac:dyDescent="0.25">
      <c r="A15" s="149" t="s">
        <v>30</v>
      </c>
      <c r="B15" s="189" t="s">
        <v>31</v>
      </c>
      <c r="C15" s="150" t="s">
        <v>268</v>
      </c>
      <c r="D15" s="243">
        <v>1069</v>
      </c>
      <c r="E15" s="243">
        <v>885</v>
      </c>
      <c r="F15" s="243">
        <v>184</v>
      </c>
      <c r="G15" s="243">
        <v>19</v>
      </c>
      <c r="H15" s="243">
        <v>165</v>
      </c>
      <c r="I15" s="243"/>
      <c r="J15" s="1346">
        <f t="shared" si="14"/>
        <v>0.82787652011225443</v>
      </c>
      <c r="K15" s="1346">
        <f t="shared" si="15"/>
        <v>0.17212347988774557</v>
      </c>
      <c r="L15" s="1346">
        <f t="shared" si="16"/>
        <v>1.7773620205799812E-2</v>
      </c>
      <c r="M15" s="1346">
        <f t="shared" si="17"/>
        <v>0.15434985968194576</v>
      </c>
      <c r="O15" s="1347">
        <f t="shared" si="18"/>
        <v>287</v>
      </c>
      <c r="P15" s="1347">
        <v>191</v>
      </c>
      <c r="Q15" s="1347">
        <f t="shared" si="19"/>
        <v>96</v>
      </c>
      <c r="R15" s="1347">
        <v>0</v>
      </c>
      <c r="S15" s="1347">
        <v>96</v>
      </c>
      <c r="U15" s="1348">
        <f t="shared" si="20"/>
        <v>0.66550522648083621</v>
      </c>
      <c r="V15" s="1348">
        <f t="shared" si="21"/>
        <v>0.33449477351916379</v>
      </c>
      <c r="W15" s="1348">
        <f t="shared" si="22"/>
        <v>0</v>
      </c>
      <c r="X15" s="1348">
        <f t="shared" si="23"/>
        <v>0.33449477351916379</v>
      </c>
    </row>
    <row r="16" spans="1:24" x14ac:dyDescent="0.25">
      <c r="A16" s="149" t="s">
        <v>32</v>
      </c>
      <c r="B16" s="189" t="s">
        <v>33</v>
      </c>
      <c r="C16" s="150" t="s">
        <v>265</v>
      </c>
      <c r="D16" s="243">
        <v>6403</v>
      </c>
      <c r="E16" s="243">
        <v>5489</v>
      </c>
      <c r="F16" s="243">
        <v>914</v>
      </c>
      <c r="G16" s="243">
        <v>203</v>
      </c>
      <c r="H16" s="243">
        <v>711</v>
      </c>
      <c r="I16" s="243"/>
      <c r="J16" s="1346">
        <f t="shared" si="14"/>
        <v>0.85725441199437769</v>
      </c>
      <c r="K16" s="1346">
        <f t="shared" si="15"/>
        <v>0.14274558800562237</v>
      </c>
      <c r="L16" s="1346">
        <f t="shared" si="16"/>
        <v>3.1703888802124006E-2</v>
      </c>
      <c r="M16" s="1346">
        <f t="shared" si="17"/>
        <v>0.11104169920349836</v>
      </c>
      <c r="O16" s="1347">
        <f t="shared" si="18"/>
        <v>1669</v>
      </c>
      <c r="P16" s="1347">
        <v>1484</v>
      </c>
      <c r="Q16" s="1347">
        <f t="shared" si="19"/>
        <v>185</v>
      </c>
      <c r="R16" s="1347">
        <v>63</v>
      </c>
      <c r="S16" s="1347">
        <v>122</v>
      </c>
      <c r="U16" s="1348">
        <f t="shared" si="20"/>
        <v>0.88915518274415817</v>
      </c>
      <c r="V16" s="1348">
        <f t="shared" si="21"/>
        <v>0.11084481725584182</v>
      </c>
      <c r="W16" s="1348">
        <f t="shared" si="22"/>
        <v>3.7747153984421807E-2</v>
      </c>
      <c r="X16" s="1348">
        <f t="shared" si="23"/>
        <v>7.3097663271420019E-2</v>
      </c>
    </row>
    <row r="17" spans="1:24" x14ac:dyDescent="0.25">
      <c r="A17" s="149" t="s">
        <v>36</v>
      </c>
      <c r="B17" s="189" t="s">
        <v>37</v>
      </c>
      <c r="C17" s="150" t="s">
        <v>264</v>
      </c>
      <c r="D17" s="243">
        <v>2272</v>
      </c>
      <c r="E17" s="243">
        <v>1258</v>
      </c>
      <c r="F17" s="243">
        <v>1014</v>
      </c>
      <c r="G17" s="243">
        <v>139</v>
      </c>
      <c r="H17" s="243">
        <v>875</v>
      </c>
      <c r="I17" s="243"/>
      <c r="J17" s="1346">
        <f t="shared" si="14"/>
        <v>0.55369718309859151</v>
      </c>
      <c r="K17" s="1346">
        <f t="shared" si="15"/>
        <v>0.44630281690140844</v>
      </c>
      <c r="L17" s="1346">
        <f t="shared" si="16"/>
        <v>6.1179577464788734E-2</v>
      </c>
      <c r="M17" s="1346">
        <f t="shared" si="17"/>
        <v>0.38512323943661969</v>
      </c>
      <c r="O17" s="1347">
        <f t="shared" si="18"/>
        <v>602</v>
      </c>
      <c r="P17" s="1347">
        <v>324</v>
      </c>
      <c r="Q17" s="1347">
        <f t="shared" si="19"/>
        <v>278</v>
      </c>
      <c r="R17" s="1347">
        <v>28</v>
      </c>
      <c r="S17" s="1347">
        <v>250</v>
      </c>
      <c r="U17" s="1348">
        <f t="shared" si="20"/>
        <v>0.53820598006644516</v>
      </c>
      <c r="V17" s="1348">
        <f t="shared" si="21"/>
        <v>0.46179401993355484</v>
      </c>
      <c r="W17" s="1348">
        <f t="shared" si="22"/>
        <v>4.6511627906976744E-2</v>
      </c>
      <c r="X17" s="1348">
        <f t="shared" si="23"/>
        <v>0.41528239202657807</v>
      </c>
    </row>
    <row r="18" spans="1:24" x14ac:dyDescent="0.25">
      <c r="A18" s="149" t="s">
        <v>38</v>
      </c>
      <c r="B18" s="189" t="s">
        <v>39</v>
      </c>
      <c r="C18" s="150" t="s">
        <v>268</v>
      </c>
      <c r="D18" s="243">
        <v>3402</v>
      </c>
      <c r="E18" s="243">
        <v>2153</v>
      </c>
      <c r="F18" s="243">
        <v>1249</v>
      </c>
      <c r="G18" s="243">
        <v>195</v>
      </c>
      <c r="H18" s="243">
        <v>1054</v>
      </c>
      <c r="I18" s="243"/>
      <c r="J18" s="1346">
        <f t="shared" si="14"/>
        <v>0.63286302175191067</v>
      </c>
      <c r="K18" s="1346">
        <f t="shared" si="15"/>
        <v>0.36713697824808939</v>
      </c>
      <c r="L18" s="1346">
        <f t="shared" si="16"/>
        <v>5.7319223985890649E-2</v>
      </c>
      <c r="M18" s="1346">
        <f t="shared" si="17"/>
        <v>0.30981775426219871</v>
      </c>
      <c r="O18" s="1347">
        <f t="shared" si="18"/>
        <v>1071</v>
      </c>
      <c r="P18" s="1347">
        <v>740</v>
      </c>
      <c r="Q18" s="1347">
        <f t="shared" si="19"/>
        <v>331</v>
      </c>
      <c r="R18" s="1347">
        <v>35</v>
      </c>
      <c r="S18" s="1347">
        <v>296</v>
      </c>
      <c r="U18" s="1348">
        <f t="shared" si="20"/>
        <v>0.69094304388422034</v>
      </c>
      <c r="V18" s="1348">
        <f t="shared" si="21"/>
        <v>0.30905695611577966</v>
      </c>
      <c r="W18" s="1348">
        <f t="shared" si="22"/>
        <v>3.2679738562091505E-2</v>
      </c>
      <c r="X18" s="1348">
        <f t="shared" si="23"/>
        <v>0.27637721755368816</v>
      </c>
    </row>
    <row r="19" spans="1:24" x14ac:dyDescent="0.25">
      <c r="A19" s="149" t="s">
        <v>40</v>
      </c>
      <c r="B19" s="189" t="s">
        <v>41</v>
      </c>
      <c r="C19" s="150" t="s">
        <v>266</v>
      </c>
      <c r="D19" s="243">
        <v>2918</v>
      </c>
      <c r="E19" s="243">
        <v>1732</v>
      </c>
      <c r="F19" s="243">
        <v>1186</v>
      </c>
      <c r="G19" s="243">
        <v>386</v>
      </c>
      <c r="H19" s="243">
        <v>800</v>
      </c>
      <c r="I19" s="243"/>
      <c r="J19" s="1346">
        <f t="shared" si="14"/>
        <v>0.59355723098012336</v>
      </c>
      <c r="K19" s="1346">
        <f t="shared" si="15"/>
        <v>0.40644276901987664</v>
      </c>
      <c r="L19" s="1346">
        <f t="shared" si="16"/>
        <v>0.13228238519533927</v>
      </c>
      <c r="M19" s="1346">
        <f t="shared" si="17"/>
        <v>0.27416038382453733</v>
      </c>
      <c r="O19" s="1347">
        <f t="shared" si="18"/>
        <v>949</v>
      </c>
      <c r="P19" s="1347">
        <v>562</v>
      </c>
      <c r="Q19" s="1347">
        <f t="shared" si="19"/>
        <v>387</v>
      </c>
      <c r="R19" s="1347">
        <v>124</v>
      </c>
      <c r="S19" s="1347">
        <v>263</v>
      </c>
      <c r="U19" s="1348">
        <f t="shared" si="20"/>
        <v>0.59220231822971547</v>
      </c>
      <c r="V19" s="1348">
        <f t="shared" si="21"/>
        <v>0.40779768177028453</v>
      </c>
      <c r="W19" s="1348">
        <f t="shared" si="22"/>
        <v>0.13066385669125394</v>
      </c>
      <c r="X19" s="1348">
        <f t="shared" si="23"/>
        <v>0.27713382507903056</v>
      </c>
    </row>
    <row r="20" spans="1:24" x14ac:dyDescent="0.25">
      <c r="A20" s="149" t="s">
        <v>42</v>
      </c>
      <c r="B20" s="189" t="s">
        <v>43</v>
      </c>
      <c r="C20" s="150" t="s">
        <v>265</v>
      </c>
      <c r="D20" s="243">
        <v>10079</v>
      </c>
      <c r="E20" s="243">
        <v>7107</v>
      </c>
      <c r="F20" s="243">
        <v>2972</v>
      </c>
      <c r="G20" s="243">
        <v>672</v>
      </c>
      <c r="H20" s="243">
        <v>2300</v>
      </c>
      <c r="I20" s="243"/>
      <c r="J20" s="1346">
        <f t="shared" si="14"/>
        <v>0.70512947713066776</v>
      </c>
      <c r="K20" s="1346">
        <f t="shared" si="15"/>
        <v>0.2948705228693323</v>
      </c>
      <c r="L20" s="1346">
        <f t="shared" si="16"/>
        <v>6.6673281079472166E-2</v>
      </c>
      <c r="M20" s="1346">
        <f t="shared" si="17"/>
        <v>0.22819724178986012</v>
      </c>
      <c r="O20" s="1347">
        <f t="shared" si="18"/>
        <v>2585</v>
      </c>
      <c r="P20" s="1347">
        <v>1762</v>
      </c>
      <c r="Q20" s="1347">
        <f t="shared" si="19"/>
        <v>823</v>
      </c>
      <c r="R20" s="1347">
        <v>325</v>
      </c>
      <c r="S20" s="1347">
        <v>498</v>
      </c>
      <c r="U20" s="1348">
        <f t="shared" si="20"/>
        <v>0.68162475822050295</v>
      </c>
      <c r="V20" s="1348">
        <f t="shared" si="21"/>
        <v>0.31837524177949711</v>
      </c>
      <c r="W20" s="1348">
        <f t="shared" si="22"/>
        <v>0.12572533849129594</v>
      </c>
      <c r="X20" s="1348">
        <f t="shared" si="23"/>
        <v>0.19264990328820117</v>
      </c>
    </row>
    <row r="21" spans="1:24" x14ac:dyDescent="0.25">
      <c r="A21" s="149" t="s">
        <v>44</v>
      </c>
      <c r="B21" s="189" t="s">
        <v>45</v>
      </c>
      <c r="C21" s="150" t="s">
        <v>266</v>
      </c>
      <c r="D21" s="243">
        <v>5612</v>
      </c>
      <c r="E21" s="243">
        <v>3663</v>
      </c>
      <c r="F21" s="243">
        <v>1949</v>
      </c>
      <c r="G21" s="243">
        <v>429</v>
      </c>
      <c r="H21" s="243">
        <v>1520</v>
      </c>
      <c r="I21" s="243"/>
      <c r="J21" s="1346">
        <f t="shared" si="14"/>
        <v>0.65270848182466146</v>
      </c>
      <c r="K21" s="1346">
        <f t="shared" si="15"/>
        <v>0.34729151817533854</v>
      </c>
      <c r="L21" s="1346">
        <f t="shared" si="16"/>
        <v>7.6443335709194579E-2</v>
      </c>
      <c r="M21" s="1346">
        <f t="shared" si="17"/>
        <v>0.27084818246614395</v>
      </c>
      <c r="O21" s="1347">
        <f t="shared" si="18"/>
        <v>1970</v>
      </c>
      <c r="P21" s="1347">
        <v>1231</v>
      </c>
      <c r="Q21" s="1347">
        <f t="shared" si="19"/>
        <v>739</v>
      </c>
      <c r="R21" s="1347">
        <v>195</v>
      </c>
      <c r="S21" s="1347">
        <v>544</v>
      </c>
      <c r="U21" s="1348">
        <f t="shared" si="20"/>
        <v>0.62487309644670053</v>
      </c>
      <c r="V21" s="1348">
        <f t="shared" si="21"/>
        <v>0.37512690355329947</v>
      </c>
      <c r="W21" s="1348">
        <f t="shared" si="22"/>
        <v>9.8984771573604066E-2</v>
      </c>
      <c r="X21" s="1348">
        <f t="shared" si="23"/>
        <v>0.27614213197969545</v>
      </c>
    </row>
    <row r="22" spans="1:24" x14ac:dyDescent="0.25">
      <c r="A22" s="149" t="s">
        <v>46</v>
      </c>
      <c r="B22" s="189" t="s">
        <v>47</v>
      </c>
      <c r="C22" s="150" t="s">
        <v>268</v>
      </c>
      <c r="D22" s="243">
        <v>5329</v>
      </c>
      <c r="E22" s="243">
        <v>3792</v>
      </c>
      <c r="F22" s="243">
        <v>1537</v>
      </c>
      <c r="G22" s="243">
        <v>486</v>
      </c>
      <c r="H22" s="243">
        <v>1051</v>
      </c>
      <c r="I22" s="243"/>
      <c r="J22" s="1346">
        <f t="shared" si="14"/>
        <v>0.71157815725276785</v>
      </c>
      <c r="K22" s="1346">
        <f t="shared" si="15"/>
        <v>0.28842184274723215</v>
      </c>
      <c r="L22" s="1346">
        <f t="shared" si="16"/>
        <v>9.1199099268155379E-2</v>
      </c>
      <c r="M22" s="1346">
        <f t="shared" si="17"/>
        <v>0.19722274347907676</v>
      </c>
      <c r="O22" s="1347">
        <f t="shared" si="18"/>
        <v>1444</v>
      </c>
      <c r="P22" s="1347">
        <v>892</v>
      </c>
      <c r="Q22" s="1347">
        <f t="shared" si="19"/>
        <v>552</v>
      </c>
      <c r="R22" s="1347">
        <v>143</v>
      </c>
      <c r="S22" s="1347">
        <v>409</v>
      </c>
      <c r="U22" s="1348">
        <f t="shared" si="20"/>
        <v>0.61772853185595566</v>
      </c>
      <c r="V22" s="1348">
        <f t="shared" si="21"/>
        <v>0.38227146814404434</v>
      </c>
      <c r="W22" s="1348">
        <f t="shared" si="22"/>
        <v>9.9030470914127422E-2</v>
      </c>
      <c r="X22" s="1348">
        <f t="shared" si="23"/>
        <v>0.28324099722991691</v>
      </c>
    </row>
    <row r="23" spans="1:24" x14ac:dyDescent="0.25">
      <c r="A23" s="149" t="s">
        <v>48</v>
      </c>
      <c r="B23" s="189" t="s">
        <v>269</v>
      </c>
      <c r="C23" s="150" t="s">
        <v>266</v>
      </c>
      <c r="D23" s="243">
        <v>984</v>
      </c>
      <c r="E23" s="243">
        <v>608</v>
      </c>
      <c r="F23" s="243">
        <v>376</v>
      </c>
      <c r="G23" s="243">
        <v>65</v>
      </c>
      <c r="H23" s="243">
        <v>311</v>
      </c>
      <c r="I23" s="243"/>
      <c r="J23" s="1346">
        <f t="shared" si="14"/>
        <v>0.61788617886178865</v>
      </c>
      <c r="K23" s="1346">
        <f t="shared" si="15"/>
        <v>0.38211382113821141</v>
      </c>
      <c r="L23" s="1346">
        <f t="shared" si="16"/>
        <v>6.605691056910569E-2</v>
      </c>
      <c r="M23" s="1346">
        <f t="shared" si="17"/>
        <v>0.31605691056910568</v>
      </c>
      <c r="O23" s="1347">
        <f t="shared" si="18"/>
        <v>220</v>
      </c>
      <c r="P23" s="1347">
        <v>176</v>
      </c>
      <c r="Q23" s="1347">
        <f t="shared" si="19"/>
        <v>44</v>
      </c>
      <c r="R23" s="1347">
        <v>7</v>
      </c>
      <c r="S23" s="1347">
        <v>37</v>
      </c>
      <c r="U23" s="1348">
        <f t="shared" si="20"/>
        <v>0.8</v>
      </c>
      <c r="V23" s="1348">
        <f t="shared" si="21"/>
        <v>0.2</v>
      </c>
      <c r="W23" s="1348">
        <f t="shared" si="22"/>
        <v>3.1818181818181815E-2</v>
      </c>
      <c r="X23" s="1348">
        <f t="shared" si="23"/>
        <v>0.16818181818181818</v>
      </c>
    </row>
    <row r="24" spans="1:24" x14ac:dyDescent="0.25">
      <c r="A24" s="149" t="s">
        <v>50</v>
      </c>
      <c r="B24" s="189" t="s">
        <v>51</v>
      </c>
      <c r="C24" s="150" t="s">
        <v>265</v>
      </c>
      <c r="D24" s="243">
        <v>2419</v>
      </c>
      <c r="E24" s="243">
        <v>1511</v>
      </c>
      <c r="F24" s="243">
        <v>908</v>
      </c>
      <c r="G24" s="243">
        <v>252</v>
      </c>
      <c r="H24" s="243">
        <v>656</v>
      </c>
      <c r="I24" s="243"/>
      <c r="J24" s="1346">
        <f t="shared" si="14"/>
        <v>0.6246382802811079</v>
      </c>
      <c r="K24" s="1346">
        <f t="shared" si="15"/>
        <v>0.3753617197188921</v>
      </c>
      <c r="L24" s="1346">
        <f t="shared" si="16"/>
        <v>0.10417527904092601</v>
      </c>
      <c r="M24" s="1346">
        <f t="shared" si="17"/>
        <v>0.2711864406779661</v>
      </c>
      <c r="O24" s="1347">
        <f t="shared" si="18"/>
        <v>758</v>
      </c>
      <c r="P24" s="1347">
        <v>471</v>
      </c>
      <c r="Q24" s="1347">
        <f t="shared" si="19"/>
        <v>287</v>
      </c>
      <c r="R24" s="1347">
        <v>70</v>
      </c>
      <c r="S24" s="1347">
        <v>217</v>
      </c>
      <c r="U24" s="1348">
        <f t="shared" si="20"/>
        <v>0.62137203166226918</v>
      </c>
      <c r="V24" s="1348">
        <f t="shared" si="21"/>
        <v>0.37862796833773088</v>
      </c>
      <c r="W24" s="1348">
        <f t="shared" si="22"/>
        <v>9.2348284960422161E-2</v>
      </c>
      <c r="X24" s="1348">
        <f t="shared" si="23"/>
        <v>0.28627968337730869</v>
      </c>
    </row>
    <row r="25" spans="1:24" x14ac:dyDescent="0.25">
      <c r="A25" s="149" t="s">
        <v>56</v>
      </c>
      <c r="B25" s="189" t="s">
        <v>295</v>
      </c>
      <c r="C25" s="150" t="s">
        <v>266</v>
      </c>
      <c r="D25" s="243">
        <v>76522</v>
      </c>
      <c r="E25" s="243">
        <v>56666</v>
      </c>
      <c r="F25" s="243">
        <v>19856</v>
      </c>
      <c r="G25" s="243">
        <v>4367</v>
      </c>
      <c r="H25" s="243">
        <v>15489</v>
      </c>
      <c r="I25" s="243"/>
      <c r="J25" s="1346">
        <f t="shared" si="14"/>
        <v>0.74051906641227361</v>
      </c>
      <c r="K25" s="1346">
        <f t="shared" si="15"/>
        <v>0.25948093358772639</v>
      </c>
      <c r="L25" s="1346">
        <f t="shared" si="16"/>
        <v>5.7068555448106427E-2</v>
      </c>
      <c r="M25" s="1346">
        <f t="shared" si="17"/>
        <v>0.20241237813961999</v>
      </c>
      <c r="O25" s="1347">
        <f t="shared" si="18"/>
        <v>22046</v>
      </c>
      <c r="P25" s="1347">
        <v>16192</v>
      </c>
      <c r="Q25" s="1347">
        <f t="shared" si="19"/>
        <v>5854</v>
      </c>
      <c r="R25" s="1347">
        <v>1320</v>
      </c>
      <c r="S25" s="1347">
        <v>4534</v>
      </c>
      <c r="U25" s="1348">
        <f t="shared" si="20"/>
        <v>0.73446430191417944</v>
      </c>
      <c r="V25" s="1348">
        <f t="shared" si="21"/>
        <v>0.26553569808582056</v>
      </c>
      <c r="W25" s="1348">
        <f t="shared" si="22"/>
        <v>5.9874807221264627E-2</v>
      </c>
      <c r="X25" s="1348">
        <f t="shared" si="23"/>
        <v>0.20566089086455594</v>
      </c>
    </row>
    <row r="26" spans="1:24" x14ac:dyDescent="0.25">
      <c r="A26" s="149" t="s">
        <v>58</v>
      </c>
      <c r="B26" s="189" t="s">
        <v>59</v>
      </c>
      <c r="C26" s="150" t="s">
        <v>267</v>
      </c>
      <c r="D26" s="243">
        <v>2622</v>
      </c>
      <c r="E26" s="243">
        <v>1909</v>
      </c>
      <c r="F26" s="243">
        <v>713</v>
      </c>
      <c r="G26" s="243">
        <v>136</v>
      </c>
      <c r="H26" s="243">
        <v>577</v>
      </c>
      <c r="I26" s="243"/>
      <c r="J26" s="1346">
        <f t="shared" si="14"/>
        <v>0.72807017543859653</v>
      </c>
      <c r="K26" s="1346">
        <f t="shared" si="15"/>
        <v>0.27192982456140352</v>
      </c>
      <c r="L26" s="1346">
        <f t="shared" si="16"/>
        <v>5.186880244088482E-2</v>
      </c>
      <c r="M26" s="1346">
        <f t="shared" si="17"/>
        <v>0.2200610221205187</v>
      </c>
      <c r="O26" s="1347">
        <f t="shared" si="18"/>
        <v>618</v>
      </c>
      <c r="P26" s="1347">
        <v>484</v>
      </c>
      <c r="Q26" s="1347">
        <f t="shared" si="19"/>
        <v>134</v>
      </c>
      <c r="R26" s="1347">
        <v>0</v>
      </c>
      <c r="S26" s="1347">
        <v>134</v>
      </c>
      <c r="U26" s="1348">
        <f t="shared" si="20"/>
        <v>0.78317152103559873</v>
      </c>
      <c r="V26" s="1348">
        <f t="shared" si="21"/>
        <v>0.2168284789644013</v>
      </c>
      <c r="W26" s="1348">
        <f t="shared" si="22"/>
        <v>0</v>
      </c>
      <c r="X26" s="1348">
        <f t="shared" si="23"/>
        <v>0.2168284789644013</v>
      </c>
    </row>
    <row r="27" spans="1:24" x14ac:dyDescent="0.25">
      <c r="A27" s="149" t="s">
        <v>60</v>
      </c>
      <c r="B27" s="189" t="s">
        <v>61</v>
      </c>
      <c r="C27" s="150" t="s">
        <v>265</v>
      </c>
      <c r="D27" s="243">
        <v>976</v>
      </c>
      <c r="E27" s="243">
        <v>766</v>
      </c>
      <c r="F27" s="243">
        <v>210</v>
      </c>
      <c r="G27" s="243">
        <v>76</v>
      </c>
      <c r="H27" s="243">
        <v>134</v>
      </c>
      <c r="I27" s="243"/>
      <c r="J27" s="1346">
        <f t="shared" si="14"/>
        <v>0.7848360655737705</v>
      </c>
      <c r="K27" s="1346">
        <f t="shared" si="15"/>
        <v>0.2151639344262295</v>
      </c>
      <c r="L27" s="1346">
        <f t="shared" si="16"/>
        <v>7.7868852459016397E-2</v>
      </c>
      <c r="M27" s="1346">
        <f t="shared" si="17"/>
        <v>0.13729508196721313</v>
      </c>
      <c r="O27" s="1347">
        <f t="shared" si="18"/>
        <v>251</v>
      </c>
      <c r="P27" s="1347">
        <v>223</v>
      </c>
      <c r="Q27" s="1347">
        <f t="shared" si="19"/>
        <v>28</v>
      </c>
      <c r="R27" s="1347">
        <v>0</v>
      </c>
      <c r="S27" s="1347">
        <v>28</v>
      </c>
      <c r="U27" s="1348">
        <f t="shared" si="20"/>
        <v>0.88844621513944222</v>
      </c>
      <c r="V27" s="1348">
        <f t="shared" si="21"/>
        <v>0.11155378486055777</v>
      </c>
      <c r="W27" s="1348">
        <f t="shared" si="22"/>
        <v>0</v>
      </c>
      <c r="X27" s="1348">
        <f t="shared" si="23"/>
        <v>0.11155378486055777</v>
      </c>
    </row>
    <row r="28" spans="1:24" x14ac:dyDescent="0.25">
      <c r="A28" s="149" t="s">
        <v>62</v>
      </c>
      <c r="B28" s="189" t="s">
        <v>63</v>
      </c>
      <c r="C28" s="150" t="s">
        <v>267</v>
      </c>
      <c r="D28" s="243">
        <v>10448</v>
      </c>
      <c r="E28" s="243">
        <v>7410</v>
      </c>
      <c r="F28" s="243">
        <v>3038</v>
      </c>
      <c r="G28" s="243">
        <v>799</v>
      </c>
      <c r="H28" s="243">
        <v>2239</v>
      </c>
      <c r="I28" s="243"/>
      <c r="J28" s="1346">
        <f t="shared" si="14"/>
        <v>0.70922664624808573</v>
      </c>
      <c r="K28" s="1346">
        <f t="shared" si="15"/>
        <v>0.29077335375191427</v>
      </c>
      <c r="L28" s="1346">
        <f t="shared" si="16"/>
        <v>7.6473966309341501E-2</v>
      </c>
      <c r="M28" s="1346">
        <f t="shared" si="17"/>
        <v>0.21429938744257274</v>
      </c>
      <c r="O28" s="1347">
        <f t="shared" si="18"/>
        <v>3034</v>
      </c>
      <c r="P28" s="1347">
        <v>2007</v>
      </c>
      <c r="Q28" s="1347">
        <f t="shared" si="19"/>
        <v>1027</v>
      </c>
      <c r="R28" s="1347">
        <v>365</v>
      </c>
      <c r="S28" s="1347">
        <v>662</v>
      </c>
      <c r="U28" s="1348">
        <f t="shared" si="20"/>
        <v>0.66150296638101513</v>
      </c>
      <c r="V28" s="1348">
        <f t="shared" si="21"/>
        <v>0.33849703361898487</v>
      </c>
      <c r="W28" s="1348">
        <f t="shared" si="22"/>
        <v>0.12030323005932762</v>
      </c>
      <c r="X28" s="1348">
        <f t="shared" si="23"/>
        <v>0.21819380355965723</v>
      </c>
    </row>
    <row r="29" spans="1:24" x14ac:dyDescent="0.25">
      <c r="A29" s="149" t="s">
        <v>64</v>
      </c>
      <c r="B29" s="189" t="s">
        <v>65</v>
      </c>
      <c r="C29" s="150" t="s">
        <v>266</v>
      </c>
      <c r="D29" s="243">
        <v>1619</v>
      </c>
      <c r="E29" s="243">
        <v>924</v>
      </c>
      <c r="F29" s="243">
        <v>695</v>
      </c>
      <c r="G29" s="243">
        <v>286</v>
      </c>
      <c r="H29" s="243">
        <v>409</v>
      </c>
      <c r="I29" s="243"/>
      <c r="J29" s="1346">
        <f t="shared" si="14"/>
        <v>0.57072266831377394</v>
      </c>
      <c r="K29" s="1346">
        <f t="shared" si="15"/>
        <v>0.42927733168622606</v>
      </c>
      <c r="L29" s="1346">
        <f t="shared" si="16"/>
        <v>0.1766522544780729</v>
      </c>
      <c r="M29" s="1346">
        <f t="shared" si="17"/>
        <v>0.25262507720815319</v>
      </c>
      <c r="O29" s="1347">
        <f t="shared" si="18"/>
        <v>509</v>
      </c>
      <c r="P29" s="1347">
        <v>281</v>
      </c>
      <c r="Q29" s="1347">
        <f t="shared" si="19"/>
        <v>228</v>
      </c>
      <c r="R29" s="1347">
        <v>77</v>
      </c>
      <c r="S29" s="1347">
        <v>151</v>
      </c>
      <c r="U29" s="1348">
        <f t="shared" si="20"/>
        <v>0.5520628683693517</v>
      </c>
      <c r="V29" s="1348">
        <f t="shared" si="21"/>
        <v>0.44793713163064836</v>
      </c>
      <c r="W29" s="1348">
        <f t="shared" si="22"/>
        <v>0.15127701375245581</v>
      </c>
      <c r="X29" s="1348">
        <f t="shared" si="23"/>
        <v>0.29666011787819252</v>
      </c>
    </row>
    <row r="30" spans="1:24" x14ac:dyDescent="0.25">
      <c r="A30" s="149" t="s">
        <v>68</v>
      </c>
      <c r="B30" s="189" t="s">
        <v>69</v>
      </c>
      <c r="C30" s="150" t="s">
        <v>268</v>
      </c>
      <c r="D30" s="243">
        <v>2721</v>
      </c>
      <c r="E30" s="243">
        <v>2010</v>
      </c>
      <c r="F30" s="243">
        <v>711</v>
      </c>
      <c r="G30" s="243">
        <v>240</v>
      </c>
      <c r="H30" s="243">
        <v>471</v>
      </c>
      <c r="I30" s="243"/>
      <c r="J30" s="1346">
        <f t="shared" si="14"/>
        <v>0.73869900771775088</v>
      </c>
      <c r="K30" s="1346">
        <f t="shared" si="15"/>
        <v>0.26130099228224918</v>
      </c>
      <c r="L30" s="1346">
        <f t="shared" si="16"/>
        <v>8.8202866593164272E-2</v>
      </c>
      <c r="M30" s="1346">
        <f t="shared" si="17"/>
        <v>0.17309812568908489</v>
      </c>
      <c r="O30" s="1347">
        <f t="shared" si="18"/>
        <v>825</v>
      </c>
      <c r="P30" s="1347">
        <v>545</v>
      </c>
      <c r="Q30" s="1347">
        <f t="shared" si="19"/>
        <v>280</v>
      </c>
      <c r="R30" s="1347">
        <v>61</v>
      </c>
      <c r="S30" s="1347">
        <v>219</v>
      </c>
      <c r="U30" s="1348">
        <f t="shared" si="20"/>
        <v>0.66060606060606064</v>
      </c>
      <c r="V30" s="1348">
        <f t="shared" si="21"/>
        <v>0.33939393939393941</v>
      </c>
      <c r="W30" s="1348">
        <f t="shared" si="22"/>
        <v>7.3939393939393944E-2</v>
      </c>
      <c r="X30" s="1348">
        <f t="shared" si="23"/>
        <v>0.26545454545454544</v>
      </c>
    </row>
    <row r="31" spans="1:24" x14ac:dyDescent="0.25">
      <c r="A31" s="149" t="s">
        <v>70</v>
      </c>
      <c r="B31" s="189" t="s">
        <v>71</v>
      </c>
      <c r="C31" s="150" t="s">
        <v>264</v>
      </c>
      <c r="D31" s="243">
        <v>5197</v>
      </c>
      <c r="E31" s="243">
        <v>3309</v>
      </c>
      <c r="F31" s="243">
        <v>1888</v>
      </c>
      <c r="G31" s="243">
        <v>320</v>
      </c>
      <c r="H31" s="243">
        <v>1568</v>
      </c>
      <c r="I31" s="243"/>
      <c r="J31" s="1346">
        <f t="shared" si="14"/>
        <v>0.63671348855108711</v>
      </c>
      <c r="K31" s="1346">
        <f t="shared" si="15"/>
        <v>0.36328651144891283</v>
      </c>
      <c r="L31" s="1346">
        <f t="shared" si="16"/>
        <v>6.157398499134116E-2</v>
      </c>
      <c r="M31" s="1346">
        <f t="shared" si="17"/>
        <v>0.30171252645757168</v>
      </c>
      <c r="O31" s="1347">
        <f t="shared" si="18"/>
        <v>1567</v>
      </c>
      <c r="P31" s="1347">
        <v>1013</v>
      </c>
      <c r="Q31" s="1347">
        <f t="shared" si="19"/>
        <v>554</v>
      </c>
      <c r="R31" s="1347">
        <v>100</v>
      </c>
      <c r="S31" s="1347">
        <v>454</v>
      </c>
      <c r="U31" s="1348">
        <f t="shared" si="20"/>
        <v>0.64645820038289725</v>
      </c>
      <c r="V31" s="1348">
        <f t="shared" si="21"/>
        <v>0.35354179961710275</v>
      </c>
      <c r="W31" s="1348">
        <f t="shared" si="22"/>
        <v>6.3816209317166556E-2</v>
      </c>
      <c r="X31" s="1348">
        <f t="shared" si="23"/>
        <v>0.28972559029993616</v>
      </c>
    </row>
    <row r="32" spans="1:24" x14ac:dyDescent="0.25">
      <c r="A32" s="149" t="s">
        <v>72</v>
      </c>
      <c r="B32" s="189" t="s">
        <v>73</v>
      </c>
      <c r="C32" s="150" t="s">
        <v>266</v>
      </c>
      <c r="D32" s="243">
        <v>1909</v>
      </c>
      <c r="E32" s="243">
        <v>1306</v>
      </c>
      <c r="F32" s="243">
        <v>603</v>
      </c>
      <c r="G32" s="243">
        <v>244</v>
      </c>
      <c r="H32" s="243">
        <v>359</v>
      </c>
      <c r="I32" s="243"/>
      <c r="J32" s="1346">
        <f t="shared" si="14"/>
        <v>0.68412781561026714</v>
      </c>
      <c r="K32" s="1346">
        <f t="shared" si="15"/>
        <v>0.31587218438973286</v>
      </c>
      <c r="L32" s="1346">
        <f t="shared" si="16"/>
        <v>0.12781561026715557</v>
      </c>
      <c r="M32" s="1346">
        <f t="shared" si="17"/>
        <v>0.18805657412257726</v>
      </c>
      <c r="O32" s="1347">
        <f t="shared" si="18"/>
        <v>550</v>
      </c>
      <c r="P32" s="1347">
        <v>432</v>
      </c>
      <c r="Q32" s="1347">
        <f t="shared" si="19"/>
        <v>118</v>
      </c>
      <c r="R32" s="1347">
        <v>48</v>
      </c>
      <c r="S32" s="1347">
        <v>70</v>
      </c>
      <c r="U32" s="1348">
        <f t="shared" si="20"/>
        <v>0.78545454545454541</v>
      </c>
      <c r="V32" s="1348">
        <f t="shared" si="21"/>
        <v>0.21454545454545454</v>
      </c>
      <c r="W32" s="1348">
        <f t="shared" si="22"/>
        <v>8.727272727272728E-2</v>
      </c>
      <c r="X32" s="1348">
        <f t="shared" si="23"/>
        <v>0.12727272727272726</v>
      </c>
    </row>
    <row r="33" spans="1:24" x14ac:dyDescent="0.25">
      <c r="A33" s="149" t="s">
        <v>74</v>
      </c>
      <c r="B33" s="189" t="s">
        <v>609</v>
      </c>
      <c r="C33" s="150" t="s">
        <v>267</v>
      </c>
      <c r="D33" s="243">
        <v>257330</v>
      </c>
      <c r="E33" s="243">
        <v>212518</v>
      </c>
      <c r="F33" s="243">
        <v>44812</v>
      </c>
      <c r="G33" s="243">
        <v>10728</v>
      </c>
      <c r="H33" s="243">
        <v>34084</v>
      </c>
      <c r="I33" s="243"/>
      <c r="J33" s="1346">
        <f t="shared" si="14"/>
        <v>0.82585784789958416</v>
      </c>
      <c r="K33" s="1346">
        <f t="shared" si="15"/>
        <v>0.17414215210041581</v>
      </c>
      <c r="L33" s="1346">
        <f t="shared" si="16"/>
        <v>4.1689659192476587E-2</v>
      </c>
      <c r="M33" s="1346">
        <f t="shared" si="17"/>
        <v>0.13245249290793923</v>
      </c>
      <c r="O33" s="1347">
        <f t="shared" si="18"/>
        <v>84921</v>
      </c>
      <c r="P33" s="1347">
        <v>71809</v>
      </c>
      <c r="Q33" s="1347">
        <f t="shared" si="19"/>
        <v>13112</v>
      </c>
      <c r="R33" s="1347">
        <v>3665</v>
      </c>
      <c r="S33" s="1347">
        <v>9447</v>
      </c>
      <c r="U33" s="1348">
        <f t="shared" si="20"/>
        <v>0.84559767313149869</v>
      </c>
      <c r="V33" s="1348">
        <f t="shared" si="21"/>
        <v>0.15440232686850131</v>
      </c>
      <c r="W33" s="1348">
        <f t="shared" si="22"/>
        <v>4.3157758387206931E-2</v>
      </c>
      <c r="X33" s="1348">
        <f t="shared" si="23"/>
        <v>0.11124456848129438</v>
      </c>
    </row>
    <row r="34" spans="1:24" x14ac:dyDescent="0.25">
      <c r="A34" s="149" t="s">
        <v>76</v>
      </c>
      <c r="B34" s="189" t="s">
        <v>77</v>
      </c>
      <c r="C34" s="150" t="s">
        <v>267</v>
      </c>
      <c r="D34" s="243">
        <v>14595</v>
      </c>
      <c r="E34" s="243">
        <v>11849</v>
      </c>
      <c r="F34" s="243">
        <v>2746</v>
      </c>
      <c r="G34" s="243">
        <v>775</v>
      </c>
      <c r="H34" s="243">
        <v>1971</v>
      </c>
      <c r="I34" s="243"/>
      <c r="J34" s="1346">
        <f t="shared" si="14"/>
        <v>0.81185337444330252</v>
      </c>
      <c r="K34" s="1346">
        <f t="shared" si="15"/>
        <v>0.18814662555669751</v>
      </c>
      <c r="L34" s="1346">
        <f t="shared" si="16"/>
        <v>5.3100376841384037E-2</v>
      </c>
      <c r="M34" s="1346">
        <f t="shared" si="17"/>
        <v>0.13504624871531345</v>
      </c>
      <c r="O34" s="1347">
        <f t="shared" si="18"/>
        <v>3773</v>
      </c>
      <c r="P34" s="1347">
        <v>3059</v>
      </c>
      <c r="Q34" s="1347">
        <f t="shared" si="19"/>
        <v>714</v>
      </c>
      <c r="R34" s="1347">
        <v>275</v>
      </c>
      <c r="S34" s="1347">
        <v>439</v>
      </c>
      <c r="U34" s="1348">
        <f t="shared" si="20"/>
        <v>0.81076066790352508</v>
      </c>
      <c r="V34" s="1348">
        <f t="shared" si="21"/>
        <v>0.18923933209647495</v>
      </c>
      <c r="W34" s="1348">
        <f t="shared" si="22"/>
        <v>7.2886297376093298E-2</v>
      </c>
      <c r="X34" s="1348">
        <f t="shared" si="23"/>
        <v>0.11635303472038167</v>
      </c>
    </row>
    <row r="35" spans="1:24" x14ac:dyDescent="0.25">
      <c r="A35" s="149" t="s">
        <v>78</v>
      </c>
      <c r="B35" s="189" t="s">
        <v>79</v>
      </c>
      <c r="C35" s="150" t="s">
        <v>268</v>
      </c>
      <c r="D35" s="243">
        <v>3063</v>
      </c>
      <c r="E35" s="243">
        <v>2774</v>
      </c>
      <c r="F35" s="243">
        <v>289</v>
      </c>
      <c r="G35" s="243">
        <v>71</v>
      </c>
      <c r="H35" s="243">
        <v>218</v>
      </c>
      <c r="I35" s="243"/>
      <c r="J35" s="1346">
        <f t="shared" si="14"/>
        <v>0.90564805746000654</v>
      </c>
      <c r="K35" s="1346">
        <f t="shared" si="15"/>
        <v>9.4351942539993475E-2</v>
      </c>
      <c r="L35" s="1346">
        <f t="shared" si="16"/>
        <v>2.317988899771466E-2</v>
      </c>
      <c r="M35" s="1346">
        <f t="shared" si="17"/>
        <v>7.1172053542278818E-2</v>
      </c>
      <c r="O35" s="1347">
        <f t="shared" si="18"/>
        <v>847</v>
      </c>
      <c r="P35" s="1347">
        <v>847</v>
      </c>
      <c r="Q35" s="1347">
        <f t="shared" si="19"/>
        <v>0</v>
      </c>
      <c r="R35" s="1347">
        <v>0</v>
      </c>
      <c r="S35" s="1347">
        <v>0</v>
      </c>
      <c r="U35" s="1348">
        <f t="shared" si="20"/>
        <v>1</v>
      </c>
      <c r="V35" s="1348">
        <f t="shared" si="21"/>
        <v>0</v>
      </c>
      <c r="W35" s="1348">
        <f t="shared" si="22"/>
        <v>0</v>
      </c>
      <c r="X35" s="1348">
        <f t="shared" si="23"/>
        <v>0</v>
      </c>
    </row>
    <row r="36" spans="1:24" x14ac:dyDescent="0.25">
      <c r="A36" s="149" t="s">
        <v>80</v>
      </c>
      <c r="B36" s="189" t="s">
        <v>81</v>
      </c>
      <c r="C36" s="150" t="s">
        <v>266</v>
      </c>
      <c r="D36" s="243">
        <v>5033</v>
      </c>
      <c r="E36" s="243">
        <v>4102</v>
      </c>
      <c r="F36" s="243">
        <v>931</v>
      </c>
      <c r="G36" s="243">
        <v>313</v>
      </c>
      <c r="H36" s="243">
        <v>618</v>
      </c>
      <c r="I36" s="243"/>
      <c r="J36" s="1346">
        <f t="shared" si="14"/>
        <v>0.81502086230876214</v>
      </c>
      <c r="K36" s="1346">
        <f t="shared" si="15"/>
        <v>0.18497913769123783</v>
      </c>
      <c r="L36" s="1346">
        <f t="shared" si="16"/>
        <v>6.2189548976753425E-2</v>
      </c>
      <c r="M36" s="1346">
        <f t="shared" si="17"/>
        <v>0.12278958871448441</v>
      </c>
      <c r="O36" s="1347">
        <f t="shared" si="18"/>
        <v>1633</v>
      </c>
      <c r="P36" s="1347">
        <v>1423</v>
      </c>
      <c r="Q36" s="1347">
        <f t="shared" si="19"/>
        <v>210</v>
      </c>
      <c r="R36" s="1347">
        <v>104</v>
      </c>
      <c r="S36" s="1347">
        <v>106</v>
      </c>
      <c r="U36" s="1348">
        <f t="shared" si="20"/>
        <v>0.87140232700551135</v>
      </c>
      <c r="V36" s="1348">
        <f t="shared" si="21"/>
        <v>0.12859767299448868</v>
      </c>
      <c r="W36" s="1348">
        <f t="shared" si="22"/>
        <v>6.3686466625842014E-2</v>
      </c>
      <c r="X36" s="1348">
        <f t="shared" si="23"/>
        <v>6.4911206368646668E-2</v>
      </c>
    </row>
    <row r="37" spans="1:24" x14ac:dyDescent="0.25">
      <c r="A37" s="149" t="s">
        <v>84</v>
      </c>
      <c r="B37" s="189" t="s">
        <v>85</v>
      </c>
      <c r="C37" s="150" t="s">
        <v>265</v>
      </c>
      <c r="D37" s="243">
        <v>10134</v>
      </c>
      <c r="E37" s="243">
        <v>7582</v>
      </c>
      <c r="F37" s="243">
        <v>2552</v>
      </c>
      <c r="G37" s="243">
        <v>455</v>
      </c>
      <c r="H37" s="243">
        <v>2097</v>
      </c>
      <c r="I37" s="243"/>
      <c r="J37" s="1346">
        <f t="shared" ref="J37:J68" si="24">E37/D37</f>
        <v>0.7481744622064338</v>
      </c>
      <c r="K37" s="1346">
        <f t="shared" ref="K37:K68" si="25">F37/D37</f>
        <v>0.2518255377935662</v>
      </c>
      <c r="L37" s="1346">
        <f t="shared" ref="L37:L68" si="26">G37/D37</f>
        <v>4.4898361949871721E-2</v>
      </c>
      <c r="M37" s="1346">
        <f t="shared" ref="M37:M68" si="27">H37/D37</f>
        <v>0.20692717584369449</v>
      </c>
      <c r="O37" s="1347">
        <f t="shared" ref="O37:O68" si="28">P37+Q37</f>
        <v>2895</v>
      </c>
      <c r="P37" s="1347">
        <v>2209</v>
      </c>
      <c r="Q37" s="1347">
        <f t="shared" ref="Q37:Q68" si="29">R37+S37</f>
        <v>686</v>
      </c>
      <c r="R37" s="1347">
        <v>181</v>
      </c>
      <c r="S37" s="1347">
        <v>505</v>
      </c>
      <c r="U37" s="1348">
        <f t="shared" ref="U37:U68" si="30">P37/O37</f>
        <v>0.76303972366148531</v>
      </c>
      <c r="V37" s="1348">
        <f t="shared" ref="V37:V68" si="31">Q37/O37</f>
        <v>0.23696027633851469</v>
      </c>
      <c r="W37" s="1348">
        <f t="shared" ref="W37:W68" si="32">R37/O37</f>
        <v>6.2521588946459414E-2</v>
      </c>
      <c r="X37" s="1348">
        <f t="shared" ref="X37:X68" si="33">S37/O37</f>
        <v>0.17443868739205526</v>
      </c>
    </row>
    <row r="38" spans="1:24" x14ac:dyDescent="0.25">
      <c r="A38" s="149" t="s">
        <v>86</v>
      </c>
      <c r="B38" s="189" t="s">
        <v>87</v>
      </c>
      <c r="C38" s="150" t="s">
        <v>267</v>
      </c>
      <c r="D38" s="243">
        <v>17695</v>
      </c>
      <c r="E38" s="243">
        <v>14230</v>
      </c>
      <c r="F38" s="243">
        <v>3465</v>
      </c>
      <c r="G38" s="243">
        <v>867</v>
      </c>
      <c r="H38" s="243">
        <v>2598</v>
      </c>
      <c r="I38" s="243"/>
      <c r="J38" s="1346">
        <f t="shared" si="24"/>
        <v>0.8041819723085617</v>
      </c>
      <c r="K38" s="1346">
        <f t="shared" si="25"/>
        <v>0.19581802769143825</v>
      </c>
      <c r="L38" s="1346">
        <f t="shared" si="26"/>
        <v>4.8996891777338229E-2</v>
      </c>
      <c r="M38" s="1346">
        <f t="shared" si="27"/>
        <v>0.14682113591410004</v>
      </c>
      <c r="O38" s="1347">
        <f t="shared" si="28"/>
        <v>5475</v>
      </c>
      <c r="P38" s="1347">
        <v>4417</v>
      </c>
      <c r="Q38" s="1347">
        <f t="shared" si="29"/>
        <v>1058</v>
      </c>
      <c r="R38" s="1347">
        <v>275</v>
      </c>
      <c r="S38" s="1347">
        <v>783</v>
      </c>
      <c r="U38" s="1348">
        <f t="shared" si="30"/>
        <v>0.80675799086757993</v>
      </c>
      <c r="V38" s="1348">
        <f t="shared" si="31"/>
        <v>0.1932420091324201</v>
      </c>
      <c r="W38" s="1348">
        <f t="shared" si="32"/>
        <v>5.0228310502283102E-2</v>
      </c>
      <c r="X38" s="1348">
        <f t="shared" si="33"/>
        <v>0.14301369863013699</v>
      </c>
    </row>
    <row r="39" spans="1:24" x14ac:dyDescent="0.25">
      <c r="A39" s="149" t="s">
        <v>92</v>
      </c>
      <c r="B39" s="189" t="s">
        <v>93</v>
      </c>
      <c r="C39" s="150" t="s">
        <v>268</v>
      </c>
      <c r="D39" s="243">
        <v>2831</v>
      </c>
      <c r="E39" s="243">
        <v>2081</v>
      </c>
      <c r="F39" s="243">
        <v>750</v>
      </c>
      <c r="G39" s="243">
        <v>357</v>
      </c>
      <c r="H39" s="243">
        <v>393</v>
      </c>
      <c r="I39" s="243"/>
      <c r="J39" s="1346">
        <f t="shared" si="24"/>
        <v>0.73507594489579653</v>
      </c>
      <c r="K39" s="1346">
        <f t="shared" si="25"/>
        <v>0.26492405510420347</v>
      </c>
      <c r="L39" s="1346">
        <f t="shared" si="26"/>
        <v>0.12610385022960086</v>
      </c>
      <c r="M39" s="1346">
        <f t="shared" si="27"/>
        <v>0.13882020487460262</v>
      </c>
      <c r="O39" s="1347">
        <f t="shared" si="28"/>
        <v>754</v>
      </c>
      <c r="P39" s="1347">
        <v>534</v>
      </c>
      <c r="Q39" s="1347">
        <f t="shared" si="29"/>
        <v>220</v>
      </c>
      <c r="R39" s="1347">
        <v>112</v>
      </c>
      <c r="S39" s="1347">
        <v>108</v>
      </c>
      <c r="U39" s="1348">
        <f t="shared" si="30"/>
        <v>0.70822281167108758</v>
      </c>
      <c r="V39" s="1348">
        <f t="shared" si="31"/>
        <v>0.29177718832891247</v>
      </c>
      <c r="W39" s="1348">
        <f t="shared" si="32"/>
        <v>0.14854111405835543</v>
      </c>
      <c r="X39" s="1348">
        <f t="shared" si="33"/>
        <v>0.14323607427055704</v>
      </c>
    </row>
    <row r="40" spans="1:24" x14ac:dyDescent="0.25">
      <c r="A40" s="149" t="s">
        <v>94</v>
      </c>
      <c r="B40" s="189" t="s">
        <v>95</v>
      </c>
      <c r="C40" s="150" t="s">
        <v>264</v>
      </c>
      <c r="D40" s="243">
        <v>6890</v>
      </c>
      <c r="E40" s="243">
        <v>5355</v>
      </c>
      <c r="F40" s="243">
        <v>1535</v>
      </c>
      <c r="G40" s="243">
        <v>510</v>
      </c>
      <c r="H40" s="243">
        <v>1025</v>
      </c>
      <c r="I40" s="243"/>
      <c r="J40" s="1346">
        <f t="shared" si="24"/>
        <v>0.77721335268505076</v>
      </c>
      <c r="K40" s="1346">
        <f t="shared" si="25"/>
        <v>0.22278664731494921</v>
      </c>
      <c r="L40" s="1346">
        <f t="shared" si="26"/>
        <v>7.4020319303338175E-2</v>
      </c>
      <c r="M40" s="1346">
        <f t="shared" si="27"/>
        <v>0.14876632801161102</v>
      </c>
      <c r="O40" s="1347">
        <f t="shared" si="28"/>
        <v>1881</v>
      </c>
      <c r="P40" s="1347">
        <v>1432</v>
      </c>
      <c r="Q40" s="1347">
        <f t="shared" si="29"/>
        <v>449</v>
      </c>
      <c r="R40" s="1347">
        <v>131</v>
      </c>
      <c r="S40" s="1347">
        <v>318</v>
      </c>
      <c r="U40" s="1348">
        <f t="shared" si="30"/>
        <v>0.76129718234981392</v>
      </c>
      <c r="V40" s="1348">
        <f t="shared" si="31"/>
        <v>0.23870281765018608</v>
      </c>
      <c r="W40" s="1348">
        <f t="shared" si="32"/>
        <v>6.9643806485911744E-2</v>
      </c>
      <c r="X40" s="1348">
        <f t="shared" si="33"/>
        <v>0.16905901116427433</v>
      </c>
    </row>
    <row r="41" spans="1:24" x14ac:dyDescent="0.25">
      <c r="A41" s="149" t="s">
        <v>96</v>
      </c>
      <c r="B41" s="189" t="s">
        <v>97</v>
      </c>
      <c r="C41" s="150" t="s">
        <v>266</v>
      </c>
      <c r="D41" s="243">
        <v>3816</v>
      </c>
      <c r="E41" s="243">
        <v>3069</v>
      </c>
      <c r="F41" s="243">
        <v>747</v>
      </c>
      <c r="G41" s="243">
        <v>190</v>
      </c>
      <c r="H41" s="243">
        <v>557</v>
      </c>
      <c r="I41" s="243"/>
      <c r="J41" s="1346">
        <f t="shared" si="24"/>
        <v>0.80424528301886788</v>
      </c>
      <c r="K41" s="1346">
        <f t="shared" si="25"/>
        <v>0.19575471698113209</v>
      </c>
      <c r="L41" s="1346">
        <f t="shared" si="26"/>
        <v>4.979035639412998E-2</v>
      </c>
      <c r="M41" s="1346">
        <f t="shared" si="27"/>
        <v>0.1459643605870021</v>
      </c>
      <c r="O41" s="1347">
        <f t="shared" si="28"/>
        <v>924</v>
      </c>
      <c r="P41" s="1347">
        <v>802</v>
      </c>
      <c r="Q41" s="1347">
        <f t="shared" si="29"/>
        <v>122</v>
      </c>
      <c r="R41" s="1347">
        <v>43</v>
      </c>
      <c r="S41" s="1347">
        <v>79</v>
      </c>
      <c r="U41" s="1348">
        <f t="shared" si="30"/>
        <v>0.86796536796536794</v>
      </c>
      <c r="V41" s="1348">
        <f t="shared" si="31"/>
        <v>0.13203463203463203</v>
      </c>
      <c r="W41" s="1348">
        <f t="shared" si="32"/>
        <v>4.6536796536796536E-2</v>
      </c>
      <c r="X41" s="1348">
        <f t="shared" si="33"/>
        <v>8.5497835497835503E-2</v>
      </c>
    </row>
    <row r="42" spans="1:24" x14ac:dyDescent="0.25">
      <c r="A42" s="149" t="s">
        <v>98</v>
      </c>
      <c r="B42" s="189" t="s">
        <v>99</v>
      </c>
      <c r="C42" s="150" t="s">
        <v>268</v>
      </c>
      <c r="D42" s="243">
        <v>2387</v>
      </c>
      <c r="E42" s="243">
        <v>1592</v>
      </c>
      <c r="F42" s="243">
        <v>795</v>
      </c>
      <c r="G42" s="243">
        <v>219</v>
      </c>
      <c r="H42" s="243">
        <v>576</v>
      </c>
      <c r="I42" s="243"/>
      <c r="J42" s="1346">
        <f t="shared" si="24"/>
        <v>0.66694595726853789</v>
      </c>
      <c r="K42" s="1346">
        <f t="shared" si="25"/>
        <v>0.33305404273146211</v>
      </c>
      <c r="L42" s="1346">
        <f t="shared" si="26"/>
        <v>9.1746962714704644E-2</v>
      </c>
      <c r="M42" s="1346">
        <f t="shared" si="27"/>
        <v>0.24130708001675744</v>
      </c>
      <c r="O42" s="1347">
        <f t="shared" si="28"/>
        <v>709</v>
      </c>
      <c r="P42" s="1347">
        <v>431</v>
      </c>
      <c r="Q42" s="1347">
        <f t="shared" si="29"/>
        <v>278</v>
      </c>
      <c r="R42" s="1347">
        <v>26</v>
      </c>
      <c r="S42" s="1347">
        <v>252</v>
      </c>
      <c r="U42" s="1348">
        <f t="shared" si="30"/>
        <v>0.60789844851904096</v>
      </c>
      <c r="V42" s="1348">
        <f t="shared" si="31"/>
        <v>0.3921015514809591</v>
      </c>
      <c r="W42" s="1348">
        <f t="shared" si="32"/>
        <v>3.6671368124118475E-2</v>
      </c>
      <c r="X42" s="1348">
        <f t="shared" si="33"/>
        <v>0.35543018335684062</v>
      </c>
    </row>
    <row r="43" spans="1:24" x14ac:dyDescent="0.25">
      <c r="A43" s="149" t="s">
        <v>100</v>
      </c>
      <c r="B43" s="189" t="s">
        <v>101</v>
      </c>
      <c r="C43" s="150" t="s">
        <v>267</v>
      </c>
      <c r="D43" s="243">
        <v>4173</v>
      </c>
      <c r="E43" s="243">
        <v>3175</v>
      </c>
      <c r="F43" s="243">
        <v>998</v>
      </c>
      <c r="G43" s="243">
        <v>326</v>
      </c>
      <c r="H43" s="243">
        <v>672</v>
      </c>
      <c r="I43" s="243"/>
      <c r="J43" s="1346">
        <f t="shared" si="24"/>
        <v>0.76084351785286364</v>
      </c>
      <c r="K43" s="1346">
        <f t="shared" si="25"/>
        <v>0.23915648214713636</v>
      </c>
      <c r="L43" s="1346">
        <f t="shared" si="26"/>
        <v>7.8121255691349145E-2</v>
      </c>
      <c r="M43" s="1346">
        <f t="shared" si="27"/>
        <v>0.16103522645578722</v>
      </c>
      <c r="O43" s="1347">
        <f t="shared" si="28"/>
        <v>1577</v>
      </c>
      <c r="P43" s="1347">
        <v>1178</v>
      </c>
      <c r="Q43" s="1347">
        <f t="shared" si="29"/>
        <v>399</v>
      </c>
      <c r="R43" s="1347">
        <v>150</v>
      </c>
      <c r="S43" s="1347">
        <v>249</v>
      </c>
      <c r="U43" s="1348">
        <f t="shared" si="30"/>
        <v>0.74698795180722888</v>
      </c>
      <c r="V43" s="1348">
        <f t="shared" si="31"/>
        <v>0.25301204819277107</v>
      </c>
      <c r="W43" s="1348">
        <f t="shared" si="32"/>
        <v>9.5117311350665826E-2</v>
      </c>
      <c r="X43" s="1348">
        <f t="shared" si="33"/>
        <v>0.15789473684210525</v>
      </c>
    </row>
    <row r="44" spans="1:24" x14ac:dyDescent="0.25">
      <c r="A44" s="149" t="s">
        <v>102</v>
      </c>
      <c r="B44" s="189" t="s">
        <v>282</v>
      </c>
      <c r="C44" s="150" t="s">
        <v>264</v>
      </c>
      <c r="D44" s="243">
        <v>2852</v>
      </c>
      <c r="E44" s="243">
        <v>1363</v>
      </c>
      <c r="F44" s="243">
        <v>1489</v>
      </c>
      <c r="G44" s="243">
        <v>203</v>
      </c>
      <c r="H44" s="243">
        <v>1286</v>
      </c>
      <c r="I44" s="243"/>
      <c r="J44" s="1346">
        <f t="shared" si="24"/>
        <v>0.47791023842917252</v>
      </c>
      <c r="K44" s="1346">
        <f t="shared" si="25"/>
        <v>0.52208976157082754</v>
      </c>
      <c r="L44" s="1346">
        <f t="shared" si="26"/>
        <v>7.1178120617110804E-2</v>
      </c>
      <c r="M44" s="1346">
        <f t="shared" si="27"/>
        <v>0.45091164095371666</v>
      </c>
      <c r="O44" s="1347">
        <f t="shared" si="28"/>
        <v>915</v>
      </c>
      <c r="P44" s="1347">
        <v>398</v>
      </c>
      <c r="Q44" s="1347">
        <f t="shared" si="29"/>
        <v>517</v>
      </c>
      <c r="R44" s="1347">
        <v>114</v>
      </c>
      <c r="S44" s="1347">
        <v>403</v>
      </c>
      <c r="U44" s="1348">
        <f t="shared" si="30"/>
        <v>0.43497267759562841</v>
      </c>
      <c r="V44" s="1348">
        <f t="shared" si="31"/>
        <v>0.56502732240437159</v>
      </c>
      <c r="W44" s="1348">
        <f t="shared" si="32"/>
        <v>0.12459016393442623</v>
      </c>
      <c r="X44" s="1348">
        <f t="shared" si="33"/>
        <v>0.44043715846994536</v>
      </c>
    </row>
    <row r="45" spans="1:24" x14ac:dyDescent="0.25">
      <c r="A45" s="149" t="s">
        <v>104</v>
      </c>
      <c r="B45" s="189" t="s">
        <v>105</v>
      </c>
      <c r="C45" s="150" t="s">
        <v>265</v>
      </c>
      <c r="D45" s="243">
        <v>6697</v>
      </c>
      <c r="E45" s="243">
        <v>4176</v>
      </c>
      <c r="F45" s="243">
        <v>2521</v>
      </c>
      <c r="G45" s="243">
        <v>458</v>
      </c>
      <c r="H45" s="243">
        <v>2063</v>
      </c>
      <c r="I45" s="243"/>
      <c r="J45" s="1346">
        <f t="shared" si="24"/>
        <v>0.62356278930864562</v>
      </c>
      <c r="K45" s="1346">
        <f t="shared" si="25"/>
        <v>0.37643721069135433</v>
      </c>
      <c r="L45" s="1346">
        <f t="shared" si="26"/>
        <v>6.8388830819770041E-2</v>
      </c>
      <c r="M45" s="1346">
        <f t="shared" si="27"/>
        <v>0.30804837987158429</v>
      </c>
      <c r="O45" s="1347">
        <f t="shared" si="28"/>
        <v>1762</v>
      </c>
      <c r="P45" s="1347">
        <v>990</v>
      </c>
      <c r="Q45" s="1347">
        <f t="shared" si="29"/>
        <v>772</v>
      </c>
      <c r="R45" s="1347">
        <v>140</v>
      </c>
      <c r="S45" s="1347">
        <v>632</v>
      </c>
      <c r="U45" s="1348">
        <f t="shared" si="30"/>
        <v>0.56186152099886488</v>
      </c>
      <c r="V45" s="1348">
        <f t="shared" si="31"/>
        <v>0.43813847900113506</v>
      </c>
      <c r="W45" s="1348">
        <f t="shared" si="32"/>
        <v>7.9455164585698068E-2</v>
      </c>
      <c r="X45" s="1348">
        <f t="shared" si="33"/>
        <v>0.35868331441543699</v>
      </c>
    </row>
    <row r="46" spans="1:24" x14ac:dyDescent="0.25">
      <c r="A46" s="149" t="s">
        <v>108</v>
      </c>
      <c r="B46" s="189" t="s">
        <v>109</v>
      </c>
      <c r="C46" s="150" t="s">
        <v>266</v>
      </c>
      <c r="D46" s="243">
        <v>21709</v>
      </c>
      <c r="E46" s="243">
        <v>18098</v>
      </c>
      <c r="F46" s="243">
        <v>3611</v>
      </c>
      <c r="G46" s="243">
        <v>1094</v>
      </c>
      <c r="H46" s="243">
        <v>2517</v>
      </c>
      <c r="I46" s="243"/>
      <c r="J46" s="1346">
        <f t="shared" si="24"/>
        <v>0.83366345755216731</v>
      </c>
      <c r="K46" s="1346">
        <f t="shared" si="25"/>
        <v>0.16633654244783269</v>
      </c>
      <c r="L46" s="1346">
        <f t="shared" si="26"/>
        <v>5.039384587037634E-2</v>
      </c>
      <c r="M46" s="1346">
        <f t="shared" si="27"/>
        <v>0.11594269657745636</v>
      </c>
      <c r="O46" s="1347">
        <f t="shared" si="28"/>
        <v>5328</v>
      </c>
      <c r="P46" s="1347">
        <v>4413</v>
      </c>
      <c r="Q46" s="1347">
        <f t="shared" si="29"/>
        <v>915</v>
      </c>
      <c r="R46" s="1347">
        <v>263</v>
      </c>
      <c r="S46" s="1347">
        <v>652</v>
      </c>
      <c r="U46" s="1348">
        <f t="shared" si="30"/>
        <v>0.82826576576576572</v>
      </c>
      <c r="V46" s="1348">
        <f t="shared" si="31"/>
        <v>0.17173423423423423</v>
      </c>
      <c r="W46" s="1348">
        <f t="shared" si="32"/>
        <v>4.936186186186186E-2</v>
      </c>
      <c r="X46" s="1348">
        <f t="shared" si="33"/>
        <v>0.12237237237237238</v>
      </c>
    </row>
    <row r="47" spans="1:24" x14ac:dyDescent="0.25">
      <c r="A47" s="149" t="s">
        <v>110</v>
      </c>
      <c r="B47" s="189" t="s">
        <v>111</v>
      </c>
      <c r="C47" s="150" t="s">
        <v>266</v>
      </c>
      <c r="D47" s="243">
        <v>67848</v>
      </c>
      <c r="E47" s="243">
        <v>45559</v>
      </c>
      <c r="F47" s="243">
        <v>22289</v>
      </c>
      <c r="G47" s="243">
        <v>3516</v>
      </c>
      <c r="H47" s="243">
        <v>18773</v>
      </c>
      <c r="I47" s="243"/>
      <c r="J47" s="1346">
        <f t="shared" si="24"/>
        <v>0.67148626341233342</v>
      </c>
      <c r="K47" s="1346">
        <f t="shared" si="25"/>
        <v>0.32851373658766653</v>
      </c>
      <c r="L47" s="1346">
        <f t="shared" si="26"/>
        <v>5.1821719136894234E-2</v>
      </c>
      <c r="M47" s="1346">
        <f t="shared" si="27"/>
        <v>0.27669201745077232</v>
      </c>
      <c r="O47" s="1347">
        <f t="shared" si="28"/>
        <v>22230</v>
      </c>
      <c r="P47" s="1347">
        <v>15064</v>
      </c>
      <c r="Q47" s="1347">
        <f t="shared" si="29"/>
        <v>7166</v>
      </c>
      <c r="R47" s="1347">
        <v>1142</v>
      </c>
      <c r="S47" s="1347">
        <v>6024</v>
      </c>
      <c r="U47" s="1348">
        <f t="shared" si="30"/>
        <v>0.67764282501124606</v>
      </c>
      <c r="V47" s="1348">
        <f t="shared" si="31"/>
        <v>0.32235717498875394</v>
      </c>
      <c r="W47" s="1348">
        <f t="shared" si="32"/>
        <v>5.1372019793072425E-2</v>
      </c>
      <c r="X47" s="1348">
        <f t="shared" si="33"/>
        <v>0.2709851551956815</v>
      </c>
    </row>
    <row r="48" spans="1:24" x14ac:dyDescent="0.25">
      <c r="A48" s="149" t="s">
        <v>112</v>
      </c>
      <c r="B48" s="189" t="s">
        <v>300</v>
      </c>
      <c r="C48" s="150" t="s">
        <v>265</v>
      </c>
      <c r="D48" s="243">
        <v>11681</v>
      </c>
      <c r="E48" s="243">
        <v>7347</v>
      </c>
      <c r="F48" s="243">
        <v>4334</v>
      </c>
      <c r="G48" s="243">
        <v>741</v>
      </c>
      <c r="H48" s="243">
        <v>3593</v>
      </c>
      <c r="I48" s="243"/>
      <c r="J48" s="1346">
        <f t="shared" si="24"/>
        <v>0.62897012242102557</v>
      </c>
      <c r="K48" s="1346">
        <f t="shared" si="25"/>
        <v>0.37102987757897438</v>
      </c>
      <c r="L48" s="1346">
        <f t="shared" si="26"/>
        <v>6.3436349627600377E-2</v>
      </c>
      <c r="M48" s="1346">
        <f t="shared" si="27"/>
        <v>0.30759352795137401</v>
      </c>
      <c r="O48" s="1347">
        <f t="shared" si="28"/>
        <v>3665</v>
      </c>
      <c r="P48" s="1347">
        <v>2387</v>
      </c>
      <c r="Q48" s="1347">
        <f t="shared" si="29"/>
        <v>1278</v>
      </c>
      <c r="R48" s="1347">
        <v>177</v>
      </c>
      <c r="S48" s="1347">
        <v>1101</v>
      </c>
      <c r="U48" s="1348">
        <f t="shared" si="30"/>
        <v>0.65129604365620741</v>
      </c>
      <c r="V48" s="1348">
        <f t="shared" si="31"/>
        <v>0.34870395634379264</v>
      </c>
      <c r="W48" s="1348">
        <f t="shared" si="32"/>
        <v>4.8294679399727147E-2</v>
      </c>
      <c r="X48" s="1348">
        <f t="shared" si="33"/>
        <v>0.3004092769440655</v>
      </c>
    </row>
    <row r="49" spans="1:24" x14ac:dyDescent="0.25">
      <c r="A49" s="149" t="s">
        <v>114</v>
      </c>
      <c r="B49" s="189" t="s">
        <v>115</v>
      </c>
      <c r="C49" s="150" t="s">
        <v>265</v>
      </c>
      <c r="D49" s="243">
        <v>227</v>
      </c>
      <c r="E49" s="243">
        <v>181</v>
      </c>
      <c r="F49" s="243">
        <v>46</v>
      </c>
      <c r="G49" s="243">
        <v>21</v>
      </c>
      <c r="H49" s="243">
        <v>25</v>
      </c>
      <c r="I49" s="243"/>
      <c r="J49" s="1346">
        <f t="shared" si="24"/>
        <v>0.79735682819383258</v>
      </c>
      <c r="K49" s="1346">
        <f t="shared" si="25"/>
        <v>0.20264317180616739</v>
      </c>
      <c r="L49" s="1346">
        <f t="shared" si="26"/>
        <v>9.2511013215859028E-2</v>
      </c>
      <c r="M49" s="1346">
        <f t="shared" si="27"/>
        <v>0.11013215859030837</v>
      </c>
      <c r="O49" s="1347">
        <f t="shared" si="28"/>
        <v>74</v>
      </c>
      <c r="P49" s="1347">
        <v>56</v>
      </c>
      <c r="Q49" s="1347">
        <f t="shared" si="29"/>
        <v>18</v>
      </c>
      <c r="R49" s="1347">
        <v>0</v>
      </c>
      <c r="S49" s="1347">
        <v>18</v>
      </c>
      <c r="U49" s="1348">
        <f t="shared" si="30"/>
        <v>0.7567567567567568</v>
      </c>
      <c r="V49" s="1348">
        <f t="shared" si="31"/>
        <v>0.24324324324324326</v>
      </c>
      <c r="W49" s="1348">
        <f t="shared" si="32"/>
        <v>0</v>
      </c>
      <c r="X49" s="1348">
        <f t="shared" si="33"/>
        <v>0.24324324324324326</v>
      </c>
    </row>
    <row r="50" spans="1:24" x14ac:dyDescent="0.25">
      <c r="A50" s="149" t="s">
        <v>118</v>
      </c>
      <c r="B50" s="189" t="s">
        <v>270</v>
      </c>
      <c r="C50" s="150" t="s">
        <v>264</v>
      </c>
      <c r="D50" s="243">
        <v>6834</v>
      </c>
      <c r="E50" s="243">
        <v>5102</v>
      </c>
      <c r="F50" s="243">
        <v>1732</v>
      </c>
      <c r="G50" s="243">
        <v>355</v>
      </c>
      <c r="H50" s="243">
        <v>1377</v>
      </c>
      <c r="I50" s="243"/>
      <c r="J50" s="1346">
        <f t="shared" si="24"/>
        <v>0.74656131109160084</v>
      </c>
      <c r="K50" s="1346">
        <f t="shared" si="25"/>
        <v>0.25343868890839916</v>
      </c>
      <c r="L50" s="1346">
        <f t="shared" si="26"/>
        <v>5.1946151594966343E-2</v>
      </c>
      <c r="M50" s="1346">
        <f t="shared" si="27"/>
        <v>0.20149253731343283</v>
      </c>
      <c r="O50" s="1347">
        <f t="shared" si="28"/>
        <v>1888</v>
      </c>
      <c r="P50" s="1347">
        <v>1504</v>
      </c>
      <c r="Q50" s="1347">
        <f t="shared" si="29"/>
        <v>384</v>
      </c>
      <c r="R50" s="1347">
        <v>70</v>
      </c>
      <c r="S50" s="1347">
        <v>314</v>
      </c>
      <c r="U50" s="1348">
        <f t="shared" si="30"/>
        <v>0.79661016949152541</v>
      </c>
      <c r="V50" s="1348">
        <f t="shared" si="31"/>
        <v>0.20338983050847459</v>
      </c>
      <c r="W50" s="1348">
        <f t="shared" si="32"/>
        <v>3.7076271186440676E-2</v>
      </c>
      <c r="X50" s="1348">
        <f t="shared" si="33"/>
        <v>0.1663135593220339</v>
      </c>
    </row>
    <row r="51" spans="1:24" x14ac:dyDescent="0.25">
      <c r="A51" s="149" t="s">
        <v>120</v>
      </c>
      <c r="B51" s="189" t="s">
        <v>121</v>
      </c>
      <c r="C51" s="150" t="s">
        <v>264</v>
      </c>
      <c r="D51" s="243">
        <v>13326</v>
      </c>
      <c r="E51" s="243">
        <v>9809</v>
      </c>
      <c r="F51" s="243">
        <v>3517</v>
      </c>
      <c r="G51" s="243">
        <v>614</v>
      </c>
      <c r="H51" s="243">
        <v>2903</v>
      </c>
      <c r="I51" s="243"/>
      <c r="J51" s="1346">
        <f t="shared" si="24"/>
        <v>0.73607984391415282</v>
      </c>
      <c r="K51" s="1346">
        <f t="shared" si="25"/>
        <v>0.26392015608584724</v>
      </c>
      <c r="L51" s="1346">
        <f t="shared" si="26"/>
        <v>4.6075341437790782E-2</v>
      </c>
      <c r="M51" s="1346">
        <f t="shared" si="27"/>
        <v>0.21784481464805644</v>
      </c>
      <c r="O51" s="1347">
        <f t="shared" si="28"/>
        <v>3762</v>
      </c>
      <c r="P51" s="1347">
        <v>2912</v>
      </c>
      <c r="Q51" s="1347">
        <f t="shared" si="29"/>
        <v>850</v>
      </c>
      <c r="R51" s="1347">
        <v>291</v>
      </c>
      <c r="S51" s="1347">
        <v>559</v>
      </c>
      <c r="U51" s="1348">
        <f t="shared" si="30"/>
        <v>0.77405635300372144</v>
      </c>
      <c r="V51" s="1348">
        <f t="shared" si="31"/>
        <v>0.22594364699627859</v>
      </c>
      <c r="W51" s="1348">
        <f t="shared" si="32"/>
        <v>7.73524720893142E-2</v>
      </c>
      <c r="X51" s="1348">
        <f t="shared" si="33"/>
        <v>0.14859117490696439</v>
      </c>
    </row>
    <row r="52" spans="1:24" x14ac:dyDescent="0.25">
      <c r="A52" s="149" t="s">
        <v>122</v>
      </c>
      <c r="B52" s="189" t="s">
        <v>271</v>
      </c>
      <c r="C52" s="150" t="s">
        <v>266</v>
      </c>
      <c r="D52" s="243">
        <v>1205</v>
      </c>
      <c r="E52" s="243">
        <v>755</v>
      </c>
      <c r="F52" s="243">
        <v>450</v>
      </c>
      <c r="G52" s="243">
        <v>0</v>
      </c>
      <c r="H52" s="243">
        <v>450</v>
      </c>
      <c r="I52" s="243"/>
      <c r="J52" s="1346">
        <f t="shared" si="24"/>
        <v>0.62655601659751037</v>
      </c>
      <c r="K52" s="1346">
        <f t="shared" si="25"/>
        <v>0.37344398340248963</v>
      </c>
      <c r="L52" s="1346">
        <f t="shared" si="26"/>
        <v>0</v>
      </c>
      <c r="M52" s="1346">
        <f t="shared" si="27"/>
        <v>0.37344398340248963</v>
      </c>
      <c r="O52" s="1347">
        <f t="shared" si="28"/>
        <v>354</v>
      </c>
      <c r="P52" s="1347">
        <v>274</v>
      </c>
      <c r="Q52" s="1347">
        <f t="shared" si="29"/>
        <v>80</v>
      </c>
      <c r="R52" s="1347">
        <v>0</v>
      </c>
      <c r="S52" s="1347">
        <v>80</v>
      </c>
      <c r="U52" s="1348">
        <f t="shared" si="30"/>
        <v>0.77401129943502822</v>
      </c>
      <c r="V52" s="1348">
        <f t="shared" si="31"/>
        <v>0.22598870056497175</v>
      </c>
      <c r="W52" s="1348">
        <f t="shared" si="32"/>
        <v>0</v>
      </c>
      <c r="X52" s="1348">
        <f t="shared" si="33"/>
        <v>0.22598870056497175</v>
      </c>
    </row>
    <row r="53" spans="1:24" x14ac:dyDescent="0.25">
      <c r="A53" s="149" t="s">
        <v>124</v>
      </c>
      <c r="B53" s="189" t="s">
        <v>125</v>
      </c>
      <c r="C53" s="150" t="s">
        <v>267</v>
      </c>
      <c r="D53" s="243">
        <v>5987</v>
      </c>
      <c r="E53" s="243">
        <v>4807</v>
      </c>
      <c r="F53" s="243">
        <v>1180</v>
      </c>
      <c r="G53" s="243">
        <v>319</v>
      </c>
      <c r="H53" s="243">
        <v>861</v>
      </c>
      <c r="I53" s="243"/>
      <c r="J53" s="1346">
        <f t="shared" si="24"/>
        <v>0.80290629697678306</v>
      </c>
      <c r="K53" s="1346">
        <f t="shared" si="25"/>
        <v>0.19709370302321697</v>
      </c>
      <c r="L53" s="1346">
        <f t="shared" si="26"/>
        <v>5.3282111241022216E-2</v>
      </c>
      <c r="M53" s="1346">
        <f t="shared" si="27"/>
        <v>0.14381159178219474</v>
      </c>
      <c r="O53" s="1347">
        <f t="shared" si="28"/>
        <v>1862</v>
      </c>
      <c r="P53" s="1347">
        <v>1438</v>
      </c>
      <c r="Q53" s="1347">
        <f t="shared" si="29"/>
        <v>424</v>
      </c>
      <c r="R53" s="1347">
        <v>164</v>
      </c>
      <c r="S53" s="1347">
        <v>260</v>
      </c>
      <c r="U53" s="1348">
        <f t="shared" si="30"/>
        <v>0.7722878625134264</v>
      </c>
      <c r="V53" s="1348">
        <f t="shared" si="31"/>
        <v>0.22771213748657357</v>
      </c>
      <c r="W53" s="1348">
        <f t="shared" si="32"/>
        <v>8.8077336197636955E-2</v>
      </c>
      <c r="X53" s="1348">
        <f t="shared" si="33"/>
        <v>0.13963480128893663</v>
      </c>
    </row>
    <row r="54" spans="1:24" x14ac:dyDescent="0.25">
      <c r="A54" s="149" t="s">
        <v>126</v>
      </c>
      <c r="B54" s="189" t="s">
        <v>127</v>
      </c>
      <c r="C54" s="150" t="s">
        <v>266</v>
      </c>
      <c r="D54" s="243">
        <v>3351</v>
      </c>
      <c r="E54" s="243">
        <v>2505</v>
      </c>
      <c r="F54" s="243">
        <v>846</v>
      </c>
      <c r="G54" s="243">
        <v>273</v>
      </c>
      <c r="H54" s="243">
        <v>573</v>
      </c>
      <c r="I54" s="243"/>
      <c r="J54" s="1346">
        <f t="shared" si="24"/>
        <v>0.74753804834377802</v>
      </c>
      <c r="K54" s="1346">
        <f t="shared" si="25"/>
        <v>0.25246195165622204</v>
      </c>
      <c r="L54" s="1346">
        <f t="shared" si="26"/>
        <v>8.1468218442256046E-2</v>
      </c>
      <c r="M54" s="1346">
        <f t="shared" si="27"/>
        <v>0.17099373321396599</v>
      </c>
      <c r="O54" s="1347">
        <f t="shared" si="28"/>
        <v>929</v>
      </c>
      <c r="P54" s="1347">
        <v>741</v>
      </c>
      <c r="Q54" s="1347">
        <f t="shared" si="29"/>
        <v>188</v>
      </c>
      <c r="R54" s="1347">
        <v>70</v>
      </c>
      <c r="S54" s="1347">
        <v>118</v>
      </c>
      <c r="U54" s="1348">
        <f t="shared" si="30"/>
        <v>0.79763186221743809</v>
      </c>
      <c r="V54" s="1348">
        <f t="shared" si="31"/>
        <v>0.20236813778256191</v>
      </c>
      <c r="W54" s="1348">
        <f t="shared" si="32"/>
        <v>7.5349838536060282E-2</v>
      </c>
      <c r="X54" s="1348">
        <f t="shared" si="33"/>
        <v>0.12701829924650163</v>
      </c>
    </row>
    <row r="55" spans="1:24" x14ac:dyDescent="0.25">
      <c r="A55" s="149" t="s">
        <v>128</v>
      </c>
      <c r="B55" s="189" t="s">
        <v>129</v>
      </c>
      <c r="C55" s="150" t="s">
        <v>266</v>
      </c>
      <c r="D55" s="243">
        <v>1359</v>
      </c>
      <c r="E55" s="243">
        <v>598</v>
      </c>
      <c r="F55" s="243">
        <v>761</v>
      </c>
      <c r="G55" s="243">
        <v>257</v>
      </c>
      <c r="H55" s="243">
        <v>504</v>
      </c>
      <c r="I55" s="243"/>
      <c r="J55" s="1346">
        <f t="shared" si="24"/>
        <v>0.44002943340691686</v>
      </c>
      <c r="K55" s="1346">
        <f t="shared" si="25"/>
        <v>0.5599705665930832</v>
      </c>
      <c r="L55" s="1346">
        <f t="shared" si="26"/>
        <v>0.18910963944076528</v>
      </c>
      <c r="M55" s="1346">
        <f t="shared" si="27"/>
        <v>0.37086092715231789</v>
      </c>
      <c r="O55" s="1347">
        <f t="shared" si="28"/>
        <v>283</v>
      </c>
      <c r="P55" s="1347">
        <v>52</v>
      </c>
      <c r="Q55" s="1347">
        <f t="shared" si="29"/>
        <v>231</v>
      </c>
      <c r="R55" s="1347">
        <v>59</v>
      </c>
      <c r="S55" s="1347">
        <v>172</v>
      </c>
      <c r="U55" s="1348">
        <f t="shared" si="30"/>
        <v>0.18374558303886926</v>
      </c>
      <c r="V55" s="1348">
        <f t="shared" si="31"/>
        <v>0.81625441696113077</v>
      </c>
      <c r="W55" s="1348">
        <f t="shared" si="32"/>
        <v>0.20848056537102475</v>
      </c>
      <c r="X55" s="1348">
        <f t="shared" si="33"/>
        <v>0.607773851590106</v>
      </c>
    </row>
    <row r="56" spans="1:24" x14ac:dyDescent="0.25">
      <c r="A56" s="149" t="s">
        <v>130</v>
      </c>
      <c r="B56" s="189" t="s">
        <v>131</v>
      </c>
      <c r="C56" s="150" t="s">
        <v>268</v>
      </c>
      <c r="D56" s="243">
        <v>4119</v>
      </c>
      <c r="E56" s="243">
        <v>3096</v>
      </c>
      <c r="F56" s="243">
        <v>1023</v>
      </c>
      <c r="G56" s="243">
        <v>342</v>
      </c>
      <c r="H56" s="243">
        <v>681</v>
      </c>
      <c r="I56" s="243"/>
      <c r="J56" s="1346">
        <f t="shared" si="24"/>
        <v>0.75163874726875457</v>
      </c>
      <c r="K56" s="1346">
        <f t="shared" si="25"/>
        <v>0.24836125273124546</v>
      </c>
      <c r="L56" s="1346">
        <f t="shared" si="26"/>
        <v>8.3029861616897307E-2</v>
      </c>
      <c r="M56" s="1346">
        <f t="shared" si="27"/>
        <v>0.16533139111434814</v>
      </c>
      <c r="O56" s="1347">
        <f t="shared" si="28"/>
        <v>1208</v>
      </c>
      <c r="P56" s="1347">
        <v>811</v>
      </c>
      <c r="Q56" s="1347">
        <f t="shared" si="29"/>
        <v>397</v>
      </c>
      <c r="R56" s="1347">
        <v>130</v>
      </c>
      <c r="S56" s="1347">
        <v>267</v>
      </c>
      <c r="U56" s="1348">
        <f t="shared" si="30"/>
        <v>0.67135761589403975</v>
      </c>
      <c r="V56" s="1348">
        <f t="shared" si="31"/>
        <v>0.32864238410596025</v>
      </c>
      <c r="W56" s="1348">
        <f t="shared" si="32"/>
        <v>0.10761589403973509</v>
      </c>
      <c r="X56" s="1348">
        <f t="shared" si="33"/>
        <v>0.22102649006622516</v>
      </c>
    </row>
    <row r="57" spans="1:24" x14ac:dyDescent="0.25">
      <c r="A57" s="149" t="s">
        <v>132</v>
      </c>
      <c r="B57" s="189" t="s">
        <v>133</v>
      </c>
      <c r="C57" s="150" t="s">
        <v>267</v>
      </c>
      <c r="D57" s="243">
        <v>95910</v>
      </c>
      <c r="E57" s="243">
        <v>82941</v>
      </c>
      <c r="F57" s="243">
        <v>12969</v>
      </c>
      <c r="G57" s="243">
        <v>3449</v>
      </c>
      <c r="H57" s="243">
        <v>9520</v>
      </c>
      <c r="I57" s="243"/>
      <c r="J57" s="1346">
        <f t="shared" si="24"/>
        <v>0.86477948076321554</v>
      </c>
      <c r="K57" s="1346">
        <f t="shared" si="25"/>
        <v>0.13522051923678449</v>
      </c>
      <c r="L57" s="1346">
        <f t="shared" si="26"/>
        <v>3.5960796580127199E-2</v>
      </c>
      <c r="M57" s="1346">
        <f t="shared" si="27"/>
        <v>9.9259722656657279E-2</v>
      </c>
      <c r="O57" s="1347">
        <f t="shared" si="28"/>
        <v>31209</v>
      </c>
      <c r="P57" s="1347">
        <v>28227</v>
      </c>
      <c r="Q57" s="1347">
        <f t="shared" si="29"/>
        <v>2982</v>
      </c>
      <c r="R57" s="1347">
        <v>724</v>
      </c>
      <c r="S57" s="1347">
        <v>2258</v>
      </c>
      <c r="U57" s="1348">
        <f t="shared" si="30"/>
        <v>0.90445063923868119</v>
      </c>
      <c r="V57" s="1348">
        <f t="shared" si="31"/>
        <v>9.5549360761318855E-2</v>
      </c>
      <c r="W57" s="1348">
        <f t="shared" si="32"/>
        <v>2.3198436348489219E-2</v>
      </c>
      <c r="X57" s="1348">
        <f t="shared" si="33"/>
        <v>7.2350924412829629E-2</v>
      </c>
    </row>
    <row r="58" spans="1:24" x14ac:dyDescent="0.25">
      <c r="A58" s="149" t="s">
        <v>134</v>
      </c>
      <c r="B58" s="189" t="s">
        <v>135</v>
      </c>
      <c r="C58" s="150" t="s">
        <v>267</v>
      </c>
      <c r="D58" s="243">
        <v>6275</v>
      </c>
      <c r="E58" s="243">
        <v>4600</v>
      </c>
      <c r="F58" s="243">
        <v>1675</v>
      </c>
      <c r="G58" s="243">
        <v>502</v>
      </c>
      <c r="H58" s="243">
        <v>1173</v>
      </c>
      <c r="I58" s="243"/>
      <c r="J58" s="1346">
        <f t="shared" si="24"/>
        <v>0.73306772908366535</v>
      </c>
      <c r="K58" s="1346">
        <f t="shared" si="25"/>
        <v>0.26693227091633465</v>
      </c>
      <c r="L58" s="1346">
        <f t="shared" si="26"/>
        <v>0.08</v>
      </c>
      <c r="M58" s="1346">
        <f t="shared" si="27"/>
        <v>0.18693227091633466</v>
      </c>
      <c r="O58" s="1347">
        <f t="shared" si="28"/>
        <v>1805</v>
      </c>
      <c r="P58" s="1347">
        <v>1343</v>
      </c>
      <c r="Q58" s="1347">
        <f t="shared" si="29"/>
        <v>462</v>
      </c>
      <c r="R58" s="1347">
        <v>124</v>
      </c>
      <c r="S58" s="1347">
        <v>338</v>
      </c>
      <c r="U58" s="1348">
        <f t="shared" si="30"/>
        <v>0.74404432132963993</v>
      </c>
      <c r="V58" s="1348">
        <f t="shared" si="31"/>
        <v>0.25595567867036012</v>
      </c>
      <c r="W58" s="1348">
        <f t="shared" si="32"/>
        <v>6.869806094182826E-2</v>
      </c>
      <c r="X58" s="1348">
        <f t="shared" si="33"/>
        <v>0.18725761772853186</v>
      </c>
    </row>
    <row r="59" spans="1:24" x14ac:dyDescent="0.25">
      <c r="A59" s="149" t="s">
        <v>136</v>
      </c>
      <c r="B59" s="189" t="s">
        <v>137</v>
      </c>
      <c r="C59" s="150" t="s">
        <v>266</v>
      </c>
      <c r="D59" s="243">
        <v>2001</v>
      </c>
      <c r="E59" s="243">
        <v>1216</v>
      </c>
      <c r="F59" s="243">
        <v>785</v>
      </c>
      <c r="G59" s="243">
        <v>208</v>
      </c>
      <c r="H59" s="243">
        <v>577</v>
      </c>
      <c r="I59" s="243"/>
      <c r="J59" s="1346">
        <f t="shared" si="24"/>
        <v>0.60769615192403803</v>
      </c>
      <c r="K59" s="1346">
        <f t="shared" si="25"/>
        <v>0.39230384807596203</v>
      </c>
      <c r="L59" s="1346">
        <f t="shared" si="26"/>
        <v>0.10394802598700649</v>
      </c>
      <c r="M59" s="1346">
        <f t="shared" si="27"/>
        <v>0.28835582208895555</v>
      </c>
      <c r="O59" s="1347">
        <f t="shared" si="28"/>
        <v>617</v>
      </c>
      <c r="P59" s="1347">
        <v>407</v>
      </c>
      <c r="Q59" s="1347">
        <f t="shared" si="29"/>
        <v>210</v>
      </c>
      <c r="R59" s="1347">
        <v>98</v>
      </c>
      <c r="S59" s="1347">
        <v>112</v>
      </c>
      <c r="U59" s="1348">
        <f t="shared" si="30"/>
        <v>0.65964343598055108</v>
      </c>
      <c r="V59" s="1348">
        <f t="shared" si="31"/>
        <v>0.34035656401944897</v>
      </c>
      <c r="W59" s="1348">
        <f t="shared" si="32"/>
        <v>0.15883306320907617</v>
      </c>
      <c r="X59" s="1348">
        <f t="shared" si="33"/>
        <v>0.18152350081037277</v>
      </c>
    </row>
    <row r="60" spans="1:24" x14ac:dyDescent="0.25">
      <c r="A60" s="149" t="s">
        <v>140</v>
      </c>
      <c r="B60" s="189" t="s">
        <v>141</v>
      </c>
      <c r="C60" s="150" t="s">
        <v>267</v>
      </c>
      <c r="D60" s="243">
        <v>2488</v>
      </c>
      <c r="E60" s="243">
        <v>1754</v>
      </c>
      <c r="F60" s="243">
        <v>734</v>
      </c>
      <c r="G60" s="243">
        <v>212</v>
      </c>
      <c r="H60" s="243">
        <v>522</v>
      </c>
      <c r="I60" s="243"/>
      <c r="J60" s="1346">
        <f t="shared" si="24"/>
        <v>0.704983922829582</v>
      </c>
      <c r="K60" s="1346">
        <f t="shared" si="25"/>
        <v>0.295016077170418</v>
      </c>
      <c r="L60" s="1346">
        <f t="shared" si="26"/>
        <v>8.5209003215434079E-2</v>
      </c>
      <c r="M60" s="1346">
        <f t="shared" si="27"/>
        <v>0.20980707395498394</v>
      </c>
      <c r="O60" s="1347">
        <f t="shared" si="28"/>
        <v>654</v>
      </c>
      <c r="P60" s="1347">
        <v>465</v>
      </c>
      <c r="Q60" s="1347">
        <f t="shared" si="29"/>
        <v>189</v>
      </c>
      <c r="R60" s="1347">
        <v>95</v>
      </c>
      <c r="S60" s="1347">
        <v>94</v>
      </c>
      <c r="U60" s="1348">
        <f t="shared" si="30"/>
        <v>0.71100917431192656</v>
      </c>
      <c r="V60" s="1348">
        <f t="shared" si="31"/>
        <v>0.28899082568807338</v>
      </c>
      <c r="W60" s="1348">
        <f t="shared" si="32"/>
        <v>0.14525993883792049</v>
      </c>
      <c r="X60" s="1348">
        <f t="shared" si="33"/>
        <v>0.14373088685015289</v>
      </c>
    </row>
    <row r="61" spans="1:24" x14ac:dyDescent="0.25">
      <c r="A61" s="149" t="s">
        <v>146</v>
      </c>
      <c r="B61" s="189" t="s">
        <v>147</v>
      </c>
      <c r="C61" s="150" t="s">
        <v>264</v>
      </c>
      <c r="D61" s="243">
        <v>1448</v>
      </c>
      <c r="E61" s="243">
        <v>916</v>
      </c>
      <c r="F61" s="243">
        <v>532</v>
      </c>
      <c r="G61" s="243">
        <v>257</v>
      </c>
      <c r="H61" s="243">
        <v>275</v>
      </c>
      <c r="I61" s="243"/>
      <c r="J61" s="1346">
        <f t="shared" si="24"/>
        <v>0.63259668508287292</v>
      </c>
      <c r="K61" s="1346">
        <f t="shared" si="25"/>
        <v>0.36740331491712708</v>
      </c>
      <c r="L61" s="1346">
        <f t="shared" si="26"/>
        <v>0.17748618784530387</v>
      </c>
      <c r="M61" s="1346">
        <f t="shared" si="27"/>
        <v>0.18991712707182321</v>
      </c>
      <c r="O61" s="1347">
        <f t="shared" si="28"/>
        <v>434</v>
      </c>
      <c r="P61" s="1347">
        <v>156</v>
      </c>
      <c r="Q61" s="1347">
        <f t="shared" si="29"/>
        <v>278</v>
      </c>
      <c r="R61" s="1347">
        <v>157</v>
      </c>
      <c r="S61" s="1347">
        <v>121</v>
      </c>
      <c r="U61" s="1348">
        <f t="shared" si="30"/>
        <v>0.35944700460829493</v>
      </c>
      <c r="V61" s="1348">
        <f t="shared" si="31"/>
        <v>0.64055299539170507</v>
      </c>
      <c r="W61" s="1348">
        <f t="shared" si="32"/>
        <v>0.36175115207373271</v>
      </c>
      <c r="X61" s="1348">
        <f t="shared" si="33"/>
        <v>0.27880184331797236</v>
      </c>
    </row>
    <row r="62" spans="1:24" x14ac:dyDescent="0.25">
      <c r="A62" s="149" t="s">
        <v>148</v>
      </c>
      <c r="B62" s="189" t="s">
        <v>149</v>
      </c>
      <c r="C62" s="150" t="s">
        <v>265</v>
      </c>
      <c r="D62" s="243">
        <v>5073</v>
      </c>
      <c r="E62" s="243">
        <v>3031</v>
      </c>
      <c r="F62" s="243">
        <v>2042</v>
      </c>
      <c r="G62" s="243">
        <v>291</v>
      </c>
      <c r="H62" s="243">
        <v>1751</v>
      </c>
      <c r="I62" s="243"/>
      <c r="J62" s="1346">
        <f t="shared" si="24"/>
        <v>0.59747683816282282</v>
      </c>
      <c r="K62" s="1346">
        <f t="shared" si="25"/>
        <v>0.40252316183717723</v>
      </c>
      <c r="L62" s="1346">
        <f t="shared" si="26"/>
        <v>5.7362507392075691E-2</v>
      </c>
      <c r="M62" s="1346">
        <f t="shared" si="27"/>
        <v>0.34516065444510152</v>
      </c>
      <c r="O62" s="1347">
        <f t="shared" si="28"/>
        <v>1252</v>
      </c>
      <c r="P62" s="1347">
        <v>688</v>
      </c>
      <c r="Q62" s="1347">
        <f t="shared" si="29"/>
        <v>564</v>
      </c>
      <c r="R62" s="1347">
        <v>90</v>
      </c>
      <c r="S62" s="1347">
        <v>474</v>
      </c>
      <c r="U62" s="1348">
        <f t="shared" si="30"/>
        <v>0.54952076677316297</v>
      </c>
      <c r="V62" s="1348">
        <f t="shared" si="31"/>
        <v>0.45047923322683708</v>
      </c>
      <c r="W62" s="1348">
        <f t="shared" si="32"/>
        <v>7.1884984025559109E-2</v>
      </c>
      <c r="X62" s="1348">
        <f t="shared" si="33"/>
        <v>0.37859424920127793</v>
      </c>
    </row>
    <row r="63" spans="1:24" x14ac:dyDescent="0.25">
      <c r="A63" s="149" t="s">
        <v>150</v>
      </c>
      <c r="B63" s="189" t="s">
        <v>151</v>
      </c>
      <c r="C63" s="150" t="s">
        <v>266</v>
      </c>
      <c r="D63" s="243">
        <v>1397</v>
      </c>
      <c r="E63" s="243">
        <v>1110</v>
      </c>
      <c r="F63" s="243">
        <v>287</v>
      </c>
      <c r="G63" s="243">
        <v>52</v>
      </c>
      <c r="H63" s="243">
        <v>235</v>
      </c>
      <c r="I63" s="243"/>
      <c r="J63" s="1346">
        <f t="shared" si="24"/>
        <v>0.79455977093772368</v>
      </c>
      <c r="K63" s="1346">
        <f t="shared" si="25"/>
        <v>0.2054402290622763</v>
      </c>
      <c r="L63" s="1346">
        <f t="shared" si="26"/>
        <v>3.7222619899785252E-2</v>
      </c>
      <c r="M63" s="1346">
        <f t="shared" si="27"/>
        <v>0.16821760916249104</v>
      </c>
      <c r="O63" s="1347">
        <f t="shared" si="28"/>
        <v>352</v>
      </c>
      <c r="P63" s="1347">
        <v>270</v>
      </c>
      <c r="Q63" s="1347">
        <f t="shared" si="29"/>
        <v>82</v>
      </c>
      <c r="R63" s="1347">
        <v>26</v>
      </c>
      <c r="S63" s="1347">
        <v>56</v>
      </c>
      <c r="U63" s="1348">
        <f t="shared" si="30"/>
        <v>0.76704545454545459</v>
      </c>
      <c r="V63" s="1348">
        <f t="shared" si="31"/>
        <v>0.23295454545454544</v>
      </c>
      <c r="W63" s="1348">
        <f t="shared" si="32"/>
        <v>7.3863636363636367E-2</v>
      </c>
      <c r="X63" s="1348">
        <f t="shared" si="33"/>
        <v>0.15909090909090909</v>
      </c>
    </row>
    <row r="64" spans="1:24" x14ac:dyDescent="0.25">
      <c r="A64" s="149" t="s">
        <v>152</v>
      </c>
      <c r="B64" s="189" t="s">
        <v>153</v>
      </c>
      <c r="C64" s="150" t="s">
        <v>268</v>
      </c>
      <c r="D64" s="243">
        <v>14176</v>
      </c>
      <c r="E64" s="243">
        <v>10906</v>
      </c>
      <c r="F64" s="243">
        <v>3270</v>
      </c>
      <c r="G64" s="243">
        <v>903</v>
      </c>
      <c r="H64" s="243">
        <v>2367</v>
      </c>
      <c r="I64" s="243"/>
      <c r="J64" s="1346">
        <f t="shared" si="24"/>
        <v>0.7693284424379232</v>
      </c>
      <c r="K64" s="1346">
        <f t="shared" si="25"/>
        <v>0.23067155756207675</v>
      </c>
      <c r="L64" s="1346">
        <f t="shared" si="26"/>
        <v>6.3699209932279913E-2</v>
      </c>
      <c r="M64" s="1346">
        <f t="shared" si="27"/>
        <v>0.16697234762979685</v>
      </c>
      <c r="O64" s="1347">
        <f t="shared" si="28"/>
        <v>4838</v>
      </c>
      <c r="P64" s="1347">
        <v>4062</v>
      </c>
      <c r="Q64" s="1347">
        <f t="shared" si="29"/>
        <v>776</v>
      </c>
      <c r="R64" s="1347">
        <v>259</v>
      </c>
      <c r="S64" s="1347">
        <v>517</v>
      </c>
      <c r="U64" s="1348">
        <f t="shared" si="30"/>
        <v>0.83960314179412976</v>
      </c>
      <c r="V64" s="1348">
        <f t="shared" si="31"/>
        <v>0.16039685820587019</v>
      </c>
      <c r="W64" s="1348">
        <f t="shared" si="32"/>
        <v>5.3534518396031419E-2</v>
      </c>
      <c r="X64" s="1348">
        <f t="shared" si="33"/>
        <v>0.10686233980983878</v>
      </c>
    </row>
    <row r="65" spans="1:24" x14ac:dyDescent="0.25">
      <c r="A65" s="149" t="s">
        <v>154</v>
      </c>
      <c r="B65" s="189" t="s">
        <v>155</v>
      </c>
      <c r="C65" s="150" t="s">
        <v>265</v>
      </c>
      <c r="D65" s="243">
        <v>2390</v>
      </c>
      <c r="E65" s="243">
        <v>1467</v>
      </c>
      <c r="F65" s="243">
        <v>923</v>
      </c>
      <c r="G65" s="243">
        <v>70</v>
      </c>
      <c r="H65" s="243">
        <v>853</v>
      </c>
      <c r="I65" s="243"/>
      <c r="J65" s="1346">
        <f t="shared" si="24"/>
        <v>0.61380753138075317</v>
      </c>
      <c r="K65" s="1346">
        <f t="shared" si="25"/>
        <v>0.38619246861924689</v>
      </c>
      <c r="L65" s="1346">
        <f t="shared" si="26"/>
        <v>2.9288702928870293E-2</v>
      </c>
      <c r="M65" s="1346">
        <f t="shared" si="27"/>
        <v>0.35690376569037657</v>
      </c>
      <c r="O65" s="1347">
        <f t="shared" si="28"/>
        <v>618</v>
      </c>
      <c r="P65" s="1347">
        <v>492</v>
      </c>
      <c r="Q65" s="1347">
        <f t="shared" si="29"/>
        <v>126</v>
      </c>
      <c r="R65" s="1347">
        <v>7</v>
      </c>
      <c r="S65" s="1347">
        <v>119</v>
      </c>
      <c r="U65" s="1348">
        <f t="shared" si="30"/>
        <v>0.79611650485436891</v>
      </c>
      <c r="V65" s="1348">
        <f t="shared" si="31"/>
        <v>0.20388349514563106</v>
      </c>
      <c r="W65" s="1348">
        <f t="shared" si="32"/>
        <v>1.1326860841423949E-2</v>
      </c>
      <c r="X65" s="1348">
        <f t="shared" si="33"/>
        <v>0.19255663430420711</v>
      </c>
    </row>
    <row r="66" spans="1:24" x14ac:dyDescent="0.25">
      <c r="A66" s="149" t="s">
        <v>156</v>
      </c>
      <c r="B66" s="189" t="s">
        <v>157</v>
      </c>
      <c r="C66" s="150" t="s">
        <v>266</v>
      </c>
      <c r="D66" s="243">
        <v>3859</v>
      </c>
      <c r="E66" s="243">
        <v>2991</v>
      </c>
      <c r="F66" s="243">
        <v>868</v>
      </c>
      <c r="G66" s="243">
        <v>162</v>
      </c>
      <c r="H66" s="243">
        <v>706</v>
      </c>
      <c r="I66" s="243"/>
      <c r="J66" s="1346">
        <f t="shared" si="24"/>
        <v>0.77507126198497023</v>
      </c>
      <c r="K66" s="1346">
        <f t="shared" si="25"/>
        <v>0.2249287380150298</v>
      </c>
      <c r="L66" s="1346">
        <f t="shared" si="26"/>
        <v>4.1979787509717544E-2</v>
      </c>
      <c r="M66" s="1346">
        <f t="shared" si="27"/>
        <v>0.18294895050531226</v>
      </c>
      <c r="O66" s="1347">
        <f t="shared" si="28"/>
        <v>1037</v>
      </c>
      <c r="P66" s="1347">
        <v>812</v>
      </c>
      <c r="Q66" s="1347">
        <f t="shared" si="29"/>
        <v>225</v>
      </c>
      <c r="R66" s="1347">
        <v>35</v>
      </c>
      <c r="S66" s="1347">
        <v>190</v>
      </c>
      <c r="U66" s="1348">
        <f t="shared" si="30"/>
        <v>0.78302796528447449</v>
      </c>
      <c r="V66" s="1348">
        <f t="shared" si="31"/>
        <v>0.21697203471552556</v>
      </c>
      <c r="W66" s="1348">
        <f t="shared" si="32"/>
        <v>3.3751205400192864E-2</v>
      </c>
      <c r="X66" s="1348">
        <f t="shared" si="33"/>
        <v>0.18322082931533268</v>
      </c>
    </row>
    <row r="67" spans="1:24" x14ac:dyDescent="0.25">
      <c r="A67" s="149" t="s">
        <v>162</v>
      </c>
      <c r="B67" s="189" t="s">
        <v>163</v>
      </c>
      <c r="C67" s="150" t="s">
        <v>264</v>
      </c>
      <c r="D67" s="243">
        <v>1873</v>
      </c>
      <c r="E67" s="243">
        <v>1182</v>
      </c>
      <c r="F67" s="243">
        <v>691</v>
      </c>
      <c r="G67" s="243">
        <v>105</v>
      </c>
      <c r="H67" s="243">
        <v>586</v>
      </c>
      <c r="I67" s="243"/>
      <c r="J67" s="1346">
        <f t="shared" si="24"/>
        <v>0.63107314468766684</v>
      </c>
      <c r="K67" s="1346">
        <f t="shared" si="25"/>
        <v>0.36892685531233316</v>
      </c>
      <c r="L67" s="1346">
        <f t="shared" si="26"/>
        <v>5.6059797116924721E-2</v>
      </c>
      <c r="M67" s="1346">
        <f t="shared" si="27"/>
        <v>0.31286705819540844</v>
      </c>
      <c r="O67" s="1347">
        <f t="shared" si="28"/>
        <v>714</v>
      </c>
      <c r="P67" s="1347">
        <v>401</v>
      </c>
      <c r="Q67" s="1347">
        <f t="shared" si="29"/>
        <v>313</v>
      </c>
      <c r="R67" s="1347">
        <v>41</v>
      </c>
      <c r="S67" s="1347">
        <v>272</v>
      </c>
      <c r="U67" s="1348">
        <f t="shared" si="30"/>
        <v>0.56162464985994398</v>
      </c>
      <c r="V67" s="1348">
        <f t="shared" si="31"/>
        <v>0.43837535014005602</v>
      </c>
      <c r="W67" s="1348">
        <f t="shared" si="32"/>
        <v>5.7422969187675067E-2</v>
      </c>
      <c r="X67" s="1348">
        <f t="shared" si="33"/>
        <v>0.38095238095238093</v>
      </c>
    </row>
    <row r="68" spans="1:24" x14ac:dyDescent="0.25">
      <c r="A68" s="149" t="s">
        <v>164</v>
      </c>
      <c r="B68" s="189" t="s">
        <v>165</v>
      </c>
      <c r="C68" s="150" t="s">
        <v>266</v>
      </c>
      <c r="D68" s="243">
        <v>1400</v>
      </c>
      <c r="E68" s="243">
        <v>907</v>
      </c>
      <c r="F68" s="243">
        <v>493</v>
      </c>
      <c r="G68" s="243">
        <v>170</v>
      </c>
      <c r="H68" s="243">
        <v>323</v>
      </c>
      <c r="I68" s="243"/>
      <c r="J68" s="1346">
        <f t="shared" si="24"/>
        <v>0.64785714285714291</v>
      </c>
      <c r="K68" s="1346">
        <f t="shared" si="25"/>
        <v>0.35214285714285715</v>
      </c>
      <c r="L68" s="1346">
        <f t="shared" si="26"/>
        <v>0.12142857142857143</v>
      </c>
      <c r="M68" s="1346">
        <f t="shared" si="27"/>
        <v>0.23071428571428571</v>
      </c>
      <c r="O68" s="1347">
        <f t="shared" si="28"/>
        <v>332</v>
      </c>
      <c r="P68" s="1347">
        <v>160</v>
      </c>
      <c r="Q68" s="1347">
        <f t="shared" si="29"/>
        <v>172</v>
      </c>
      <c r="R68" s="1347">
        <v>0</v>
      </c>
      <c r="S68" s="1347">
        <v>172</v>
      </c>
      <c r="U68" s="1348">
        <f t="shared" si="30"/>
        <v>0.48192771084337349</v>
      </c>
      <c r="V68" s="1348">
        <f t="shared" si="31"/>
        <v>0.51807228915662651</v>
      </c>
      <c r="W68" s="1348">
        <f t="shared" si="32"/>
        <v>0</v>
      </c>
      <c r="X68" s="1348">
        <f t="shared" si="33"/>
        <v>0.51807228915662651</v>
      </c>
    </row>
    <row r="69" spans="1:24" x14ac:dyDescent="0.25">
      <c r="A69" s="149" t="s">
        <v>168</v>
      </c>
      <c r="B69" s="189" t="s">
        <v>169</v>
      </c>
      <c r="C69" s="150" t="s">
        <v>266</v>
      </c>
      <c r="D69" s="243">
        <v>2053</v>
      </c>
      <c r="E69" s="243">
        <v>1276</v>
      </c>
      <c r="F69" s="243">
        <v>777</v>
      </c>
      <c r="G69" s="243">
        <v>162</v>
      </c>
      <c r="H69" s="243">
        <v>615</v>
      </c>
      <c r="I69" s="243"/>
      <c r="J69" s="1346">
        <f t="shared" ref="J69:J100" si="34">E69/D69</f>
        <v>0.62152946906965412</v>
      </c>
      <c r="K69" s="1346">
        <f t="shared" ref="K69:K100" si="35">F69/D69</f>
        <v>0.37847053093034583</v>
      </c>
      <c r="L69" s="1346">
        <f t="shared" ref="L69:L100" si="36">G69/D69</f>
        <v>7.8908913784705312E-2</v>
      </c>
      <c r="M69" s="1346">
        <f t="shared" ref="M69:M100" si="37">H69/D69</f>
        <v>0.2995616171456405</v>
      </c>
      <c r="O69" s="1347">
        <f t="shared" ref="O69:O100" si="38">P69+Q69</f>
        <v>519</v>
      </c>
      <c r="P69" s="1347">
        <v>301</v>
      </c>
      <c r="Q69" s="1347">
        <f t="shared" ref="Q69:Q100" si="39">R69+S69</f>
        <v>218</v>
      </c>
      <c r="R69" s="1347">
        <v>5</v>
      </c>
      <c r="S69" s="1347">
        <v>213</v>
      </c>
      <c r="U69" s="1348">
        <f t="shared" ref="U69:U100" si="40">P69/O69</f>
        <v>0.57996146435452789</v>
      </c>
      <c r="V69" s="1348">
        <f t="shared" ref="V69:V100" si="41">Q69/O69</f>
        <v>0.42003853564547206</v>
      </c>
      <c r="W69" s="1348">
        <f t="shared" ref="W69:W100" si="42">R69/O69</f>
        <v>9.6339113680154135E-3</v>
      </c>
      <c r="X69" s="1348">
        <f t="shared" ref="X69:X100" si="43">S69/O69</f>
        <v>0.41040462427745666</v>
      </c>
    </row>
    <row r="70" spans="1:24" x14ac:dyDescent="0.25">
      <c r="A70" s="149" t="s">
        <v>170</v>
      </c>
      <c r="B70" s="189" t="s">
        <v>171</v>
      </c>
      <c r="C70" s="150" t="s">
        <v>267</v>
      </c>
      <c r="D70" s="243">
        <v>6778</v>
      </c>
      <c r="E70" s="243">
        <v>4972</v>
      </c>
      <c r="F70" s="243">
        <v>1806</v>
      </c>
      <c r="G70" s="243">
        <v>494</v>
      </c>
      <c r="H70" s="243">
        <v>1312</v>
      </c>
      <c r="I70" s="243"/>
      <c r="J70" s="1346">
        <f t="shared" si="34"/>
        <v>0.73354971968132188</v>
      </c>
      <c r="K70" s="1346">
        <f t="shared" si="35"/>
        <v>0.26645028031867807</v>
      </c>
      <c r="L70" s="1346">
        <f t="shared" si="36"/>
        <v>7.288285629979345E-2</v>
      </c>
      <c r="M70" s="1346">
        <f t="shared" si="37"/>
        <v>0.19356742401888463</v>
      </c>
      <c r="O70" s="1347">
        <f t="shared" si="38"/>
        <v>2167</v>
      </c>
      <c r="P70" s="1347">
        <v>1618</v>
      </c>
      <c r="Q70" s="1347">
        <f t="shared" si="39"/>
        <v>549</v>
      </c>
      <c r="R70" s="1347">
        <v>174</v>
      </c>
      <c r="S70" s="1347">
        <v>375</v>
      </c>
      <c r="U70" s="1348">
        <f t="shared" si="40"/>
        <v>0.74665436086755888</v>
      </c>
      <c r="V70" s="1348">
        <f t="shared" si="41"/>
        <v>0.25334563913244118</v>
      </c>
      <c r="W70" s="1348">
        <f t="shared" si="42"/>
        <v>8.0295339178587916E-2</v>
      </c>
      <c r="X70" s="1348">
        <f t="shared" si="43"/>
        <v>0.17305029995385326</v>
      </c>
    </row>
    <row r="71" spans="1:24" x14ac:dyDescent="0.25">
      <c r="A71" s="149" t="s">
        <v>172</v>
      </c>
      <c r="B71" s="189" t="s">
        <v>173</v>
      </c>
      <c r="C71" s="150" t="s">
        <v>267</v>
      </c>
      <c r="D71" s="243">
        <v>4215</v>
      </c>
      <c r="E71" s="243">
        <v>2807</v>
      </c>
      <c r="F71" s="243">
        <v>1408</v>
      </c>
      <c r="G71" s="243">
        <v>580</v>
      </c>
      <c r="H71" s="243">
        <v>828</v>
      </c>
      <c r="I71" s="243"/>
      <c r="J71" s="1346">
        <f t="shared" si="34"/>
        <v>0.66595492289442471</v>
      </c>
      <c r="K71" s="1346">
        <f t="shared" si="35"/>
        <v>0.33404507710557535</v>
      </c>
      <c r="L71" s="1346">
        <f t="shared" si="36"/>
        <v>0.13760379596678529</v>
      </c>
      <c r="M71" s="1346">
        <f t="shared" si="37"/>
        <v>0.19644128113879003</v>
      </c>
      <c r="O71" s="1347">
        <f t="shared" si="38"/>
        <v>1144</v>
      </c>
      <c r="P71" s="1347">
        <v>676</v>
      </c>
      <c r="Q71" s="1347">
        <f t="shared" si="39"/>
        <v>468</v>
      </c>
      <c r="R71" s="1347">
        <v>159</v>
      </c>
      <c r="S71" s="1347">
        <v>309</v>
      </c>
      <c r="U71" s="1348">
        <f t="shared" si="40"/>
        <v>0.59090909090909094</v>
      </c>
      <c r="V71" s="1348">
        <f t="shared" si="41"/>
        <v>0.40909090909090912</v>
      </c>
      <c r="W71" s="1348">
        <f t="shared" si="42"/>
        <v>0.13898601398601398</v>
      </c>
      <c r="X71" s="1348">
        <f t="shared" si="43"/>
        <v>0.2701048951048951</v>
      </c>
    </row>
    <row r="72" spans="1:24" x14ac:dyDescent="0.25">
      <c r="A72" s="149" t="s">
        <v>174</v>
      </c>
      <c r="B72" s="189" t="s">
        <v>175</v>
      </c>
      <c r="C72" s="150" t="s">
        <v>268</v>
      </c>
      <c r="D72" s="243">
        <v>2992</v>
      </c>
      <c r="E72" s="243">
        <v>2063</v>
      </c>
      <c r="F72" s="243">
        <v>929</v>
      </c>
      <c r="G72" s="243">
        <v>104</v>
      </c>
      <c r="H72" s="243">
        <v>825</v>
      </c>
      <c r="I72" s="243"/>
      <c r="J72" s="1346">
        <f t="shared" si="34"/>
        <v>0.68950534759358284</v>
      </c>
      <c r="K72" s="1346">
        <f t="shared" si="35"/>
        <v>0.3104946524064171</v>
      </c>
      <c r="L72" s="1346">
        <f t="shared" si="36"/>
        <v>3.4759358288770054E-2</v>
      </c>
      <c r="M72" s="1346">
        <f t="shared" si="37"/>
        <v>0.27573529411764708</v>
      </c>
      <c r="O72" s="1347">
        <f t="shared" si="38"/>
        <v>667</v>
      </c>
      <c r="P72" s="1347">
        <v>556</v>
      </c>
      <c r="Q72" s="1347">
        <f t="shared" si="39"/>
        <v>111</v>
      </c>
      <c r="R72" s="1347">
        <v>0</v>
      </c>
      <c r="S72" s="1347">
        <v>111</v>
      </c>
      <c r="U72" s="1348">
        <f t="shared" si="40"/>
        <v>0.83358320839580213</v>
      </c>
      <c r="V72" s="1348">
        <f t="shared" si="41"/>
        <v>0.16641679160419789</v>
      </c>
      <c r="W72" s="1348">
        <f t="shared" si="42"/>
        <v>0</v>
      </c>
      <c r="X72" s="1348">
        <f t="shared" si="43"/>
        <v>0.16641679160419789</v>
      </c>
    </row>
    <row r="73" spans="1:24" x14ac:dyDescent="0.25">
      <c r="A73" s="149" t="s">
        <v>178</v>
      </c>
      <c r="B73" s="189" t="s">
        <v>179</v>
      </c>
      <c r="C73" s="150" t="s">
        <v>265</v>
      </c>
      <c r="D73" s="243">
        <v>10938</v>
      </c>
      <c r="E73" s="243">
        <v>7807</v>
      </c>
      <c r="F73" s="243">
        <v>3131</v>
      </c>
      <c r="G73" s="243">
        <v>696</v>
      </c>
      <c r="H73" s="243">
        <v>2435</v>
      </c>
      <c r="I73" s="243"/>
      <c r="J73" s="1346">
        <f t="shared" si="34"/>
        <v>0.71375022856098003</v>
      </c>
      <c r="K73" s="1346">
        <f t="shared" si="35"/>
        <v>0.28624977143901992</v>
      </c>
      <c r="L73" s="1346">
        <f t="shared" si="36"/>
        <v>6.3631376851343943E-2</v>
      </c>
      <c r="M73" s="1346">
        <f t="shared" si="37"/>
        <v>0.22261839458767599</v>
      </c>
      <c r="O73" s="1347">
        <f t="shared" si="38"/>
        <v>3078</v>
      </c>
      <c r="P73" s="1347">
        <v>2048</v>
      </c>
      <c r="Q73" s="1347">
        <f t="shared" si="39"/>
        <v>1030</v>
      </c>
      <c r="R73" s="1347">
        <v>246</v>
      </c>
      <c r="S73" s="1347">
        <v>784</v>
      </c>
      <c r="U73" s="1348">
        <f t="shared" si="40"/>
        <v>0.66536712150747235</v>
      </c>
      <c r="V73" s="1348">
        <f t="shared" si="41"/>
        <v>0.3346328784925276</v>
      </c>
      <c r="W73" s="1348">
        <f t="shared" si="42"/>
        <v>7.9922027290448339E-2</v>
      </c>
      <c r="X73" s="1348">
        <f t="shared" si="43"/>
        <v>0.25471085120207926</v>
      </c>
    </row>
    <row r="74" spans="1:24" x14ac:dyDescent="0.25">
      <c r="A74" s="149" t="s">
        <v>182</v>
      </c>
      <c r="B74" s="189" t="s">
        <v>183</v>
      </c>
      <c r="C74" s="150" t="s">
        <v>266</v>
      </c>
      <c r="D74" s="243">
        <v>5148</v>
      </c>
      <c r="E74" s="243">
        <v>4343</v>
      </c>
      <c r="F74" s="243">
        <v>805</v>
      </c>
      <c r="G74" s="243">
        <v>166</v>
      </c>
      <c r="H74" s="243">
        <v>639</v>
      </c>
      <c r="I74" s="243"/>
      <c r="J74" s="1346">
        <f t="shared" si="34"/>
        <v>0.84362859362859366</v>
      </c>
      <c r="K74" s="1346">
        <f t="shared" si="35"/>
        <v>0.15637140637140637</v>
      </c>
      <c r="L74" s="1346">
        <f t="shared" si="36"/>
        <v>3.2245532245532248E-2</v>
      </c>
      <c r="M74" s="1346">
        <f t="shared" si="37"/>
        <v>0.12412587412587413</v>
      </c>
      <c r="O74" s="1347">
        <f t="shared" si="38"/>
        <v>1346</v>
      </c>
      <c r="P74" s="1347">
        <v>1100</v>
      </c>
      <c r="Q74" s="1347">
        <f t="shared" si="39"/>
        <v>246</v>
      </c>
      <c r="R74" s="1347">
        <v>123</v>
      </c>
      <c r="S74" s="1347">
        <v>123</v>
      </c>
      <c r="U74" s="1348">
        <f t="shared" si="40"/>
        <v>0.81723625557206536</v>
      </c>
      <c r="V74" s="1348">
        <f t="shared" si="41"/>
        <v>0.18276374442793461</v>
      </c>
      <c r="W74" s="1348">
        <f t="shared" si="42"/>
        <v>9.1381872213967305E-2</v>
      </c>
      <c r="X74" s="1348">
        <f t="shared" si="43"/>
        <v>9.1381872213967305E-2</v>
      </c>
    </row>
    <row r="75" spans="1:24" x14ac:dyDescent="0.25">
      <c r="A75" s="149" t="s">
        <v>184</v>
      </c>
      <c r="B75" s="189" t="s">
        <v>185</v>
      </c>
      <c r="C75" s="150" t="s">
        <v>266</v>
      </c>
      <c r="D75" s="243">
        <v>3130</v>
      </c>
      <c r="E75" s="243">
        <v>2116</v>
      </c>
      <c r="F75" s="243">
        <v>1014</v>
      </c>
      <c r="G75" s="243">
        <v>212</v>
      </c>
      <c r="H75" s="243">
        <v>802</v>
      </c>
      <c r="I75" s="243"/>
      <c r="J75" s="1346">
        <f t="shared" si="34"/>
        <v>0.676038338658147</v>
      </c>
      <c r="K75" s="1346">
        <f t="shared" si="35"/>
        <v>0.32396166134185306</v>
      </c>
      <c r="L75" s="1346">
        <f t="shared" si="36"/>
        <v>6.773162939297124E-2</v>
      </c>
      <c r="M75" s="1346">
        <f t="shared" si="37"/>
        <v>0.25623003194888178</v>
      </c>
      <c r="O75" s="1347">
        <f t="shared" si="38"/>
        <v>955</v>
      </c>
      <c r="P75" s="1347">
        <v>621</v>
      </c>
      <c r="Q75" s="1347">
        <f t="shared" si="39"/>
        <v>334</v>
      </c>
      <c r="R75" s="1347">
        <v>0</v>
      </c>
      <c r="S75" s="1347">
        <v>334</v>
      </c>
      <c r="U75" s="1348">
        <f t="shared" si="40"/>
        <v>0.65026178010471203</v>
      </c>
      <c r="V75" s="1348">
        <f t="shared" si="41"/>
        <v>0.34973821989528797</v>
      </c>
      <c r="W75" s="1348">
        <f t="shared" si="42"/>
        <v>0</v>
      </c>
      <c r="X75" s="1348">
        <f t="shared" si="43"/>
        <v>0.34973821989528797</v>
      </c>
    </row>
    <row r="76" spans="1:24" x14ac:dyDescent="0.25">
      <c r="A76" s="149" t="s">
        <v>186</v>
      </c>
      <c r="B76" s="189" t="s">
        <v>187</v>
      </c>
      <c r="C76" s="150" t="s">
        <v>264</v>
      </c>
      <c r="D76" s="243">
        <v>7200</v>
      </c>
      <c r="E76" s="243">
        <v>5336</v>
      </c>
      <c r="F76" s="243">
        <v>1864</v>
      </c>
      <c r="G76" s="243">
        <v>521</v>
      </c>
      <c r="H76" s="243">
        <v>1343</v>
      </c>
      <c r="I76" s="243"/>
      <c r="J76" s="1346">
        <f t="shared" si="34"/>
        <v>0.74111111111111116</v>
      </c>
      <c r="K76" s="1346">
        <f t="shared" si="35"/>
        <v>0.25888888888888889</v>
      </c>
      <c r="L76" s="1346">
        <f t="shared" si="36"/>
        <v>7.2361111111111112E-2</v>
      </c>
      <c r="M76" s="1346">
        <f t="shared" si="37"/>
        <v>0.18652777777777776</v>
      </c>
      <c r="O76" s="1347">
        <f t="shared" si="38"/>
        <v>1946</v>
      </c>
      <c r="P76" s="1347">
        <v>1654</v>
      </c>
      <c r="Q76" s="1347">
        <f t="shared" si="39"/>
        <v>292</v>
      </c>
      <c r="R76" s="1347">
        <v>27</v>
      </c>
      <c r="S76" s="1347">
        <v>265</v>
      </c>
      <c r="U76" s="1348">
        <f t="shared" si="40"/>
        <v>0.84994861253854059</v>
      </c>
      <c r="V76" s="1348">
        <f t="shared" si="41"/>
        <v>0.15005138746145941</v>
      </c>
      <c r="W76" s="1348">
        <f t="shared" si="42"/>
        <v>1.3874614594039054E-2</v>
      </c>
      <c r="X76" s="1348">
        <f t="shared" si="43"/>
        <v>0.13617677286742036</v>
      </c>
    </row>
    <row r="77" spans="1:24" x14ac:dyDescent="0.25">
      <c r="A77" s="149" t="s">
        <v>188</v>
      </c>
      <c r="B77" s="189" t="s">
        <v>189</v>
      </c>
      <c r="C77" s="150" t="s">
        <v>267</v>
      </c>
      <c r="D77" s="243">
        <v>109570</v>
      </c>
      <c r="E77" s="243">
        <v>86727</v>
      </c>
      <c r="F77" s="243">
        <v>22843</v>
      </c>
      <c r="G77" s="243">
        <v>6647</v>
      </c>
      <c r="H77" s="243">
        <v>16196</v>
      </c>
      <c r="I77" s="243"/>
      <c r="J77" s="1346">
        <f t="shared" si="34"/>
        <v>0.79152140184357034</v>
      </c>
      <c r="K77" s="1346">
        <f t="shared" si="35"/>
        <v>0.20847859815642969</v>
      </c>
      <c r="L77" s="1346">
        <f t="shared" si="36"/>
        <v>6.0664415442183081E-2</v>
      </c>
      <c r="M77" s="1346">
        <f t="shared" si="37"/>
        <v>0.14781418271424659</v>
      </c>
      <c r="O77" s="1347">
        <f t="shared" si="38"/>
        <v>37162</v>
      </c>
      <c r="P77" s="1347">
        <v>30065</v>
      </c>
      <c r="Q77" s="1347">
        <f t="shared" si="39"/>
        <v>7097</v>
      </c>
      <c r="R77" s="1347">
        <v>2360</v>
      </c>
      <c r="S77" s="1347">
        <v>4737</v>
      </c>
      <c r="U77" s="1348">
        <f t="shared" si="40"/>
        <v>0.8090253484742479</v>
      </c>
      <c r="V77" s="1348">
        <f t="shared" si="41"/>
        <v>0.1909746515257521</v>
      </c>
      <c r="W77" s="1348">
        <f t="shared" si="42"/>
        <v>6.350573166137452E-2</v>
      </c>
      <c r="X77" s="1348">
        <f t="shared" si="43"/>
        <v>0.12746891986437758</v>
      </c>
    </row>
    <row r="78" spans="1:24" x14ac:dyDescent="0.25">
      <c r="A78" s="149" t="s">
        <v>190</v>
      </c>
      <c r="B78" s="189" t="s">
        <v>191</v>
      </c>
      <c r="C78" s="150" t="s">
        <v>268</v>
      </c>
      <c r="D78" s="243">
        <v>5344</v>
      </c>
      <c r="E78" s="243">
        <v>3578</v>
      </c>
      <c r="F78" s="243">
        <v>1766</v>
      </c>
      <c r="G78" s="243">
        <v>512</v>
      </c>
      <c r="H78" s="243">
        <v>1254</v>
      </c>
      <c r="I78" s="243"/>
      <c r="J78" s="1346">
        <f t="shared" si="34"/>
        <v>0.66953592814371254</v>
      </c>
      <c r="K78" s="1346">
        <f t="shared" si="35"/>
        <v>0.3304640718562874</v>
      </c>
      <c r="L78" s="1346">
        <f t="shared" si="36"/>
        <v>9.580838323353294E-2</v>
      </c>
      <c r="M78" s="1346">
        <f t="shared" si="37"/>
        <v>0.23465568862275449</v>
      </c>
      <c r="O78" s="1347">
        <f t="shared" si="38"/>
        <v>1550</v>
      </c>
      <c r="P78" s="1347">
        <v>1145</v>
      </c>
      <c r="Q78" s="1347">
        <f t="shared" si="39"/>
        <v>405</v>
      </c>
      <c r="R78" s="1347">
        <v>119</v>
      </c>
      <c r="S78" s="1347">
        <v>286</v>
      </c>
      <c r="U78" s="1348">
        <f t="shared" si="40"/>
        <v>0.73870967741935489</v>
      </c>
      <c r="V78" s="1348">
        <f t="shared" si="41"/>
        <v>0.26129032258064516</v>
      </c>
      <c r="W78" s="1348">
        <f t="shared" si="42"/>
        <v>7.677419354838709E-2</v>
      </c>
      <c r="X78" s="1348">
        <f t="shared" si="43"/>
        <v>0.18451612903225806</v>
      </c>
    </row>
    <row r="79" spans="1:24" x14ac:dyDescent="0.25">
      <c r="A79" s="149" t="s">
        <v>194</v>
      </c>
      <c r="B79" s="189" t="s">
        <v>195</v>
      </c>
      <c r="C79" s="150" t="s">
        <v>267</v>
      </c>
      <c r="D79" s="243">
        <v>1291</v>
      </c>
      <c r="E79" s="243">
        <v>1171</v>
      </c>
      <c r="F79" s="243">
        <v>120</v>
      </c>
      <c r="G79" s="243">
        <v>110</v>
      </c>
      <c r="H79" s="243">
        <v>10</v>
      </c>
      <c r="I79" s="243"/>
      <c r="J79" s="1346">
        <f t="shared" si="34"/>
        <v>0.90704879938032534</v>
      </c>
      <c r="K79" s="1346">
        <f t="shared" si="35"/>
        <v>9.295120061967467E-2</v>
      </c>
      <c r="L79" s="1346">
        <f t="shared" si="36"/>
        <v>8.5205267234701787E-2</v>
      </c>
      <c r="M79" s="1346">
        <f t="shared" si="37"/>
        <v>7.7459333849728895E-3</v>
      </c>
      <c r="O79" s="1347">
        <f t="shared" si="38"/>
        <v>369</v>
      </c>
      <c r="P79" s="1347">
        <v>307</v>
      </c>
      <c r="Q79" s="1347">
        <f t="shared" si="39"/>
        <v>62</v>
      </c>
      <c r="R79" s="1347">
        <v>52</v>
      </c>
      <c r="S79" s="1347">
        <v>10</v>
      </c>
      <c r="U79" s="1348">
        <f t="shared" si="40"/>
        <v>0.83197831978319781</v>
      </c>
      <c r="V79" s="1348">
        <f t="shared" si="41"/>
        <v>0.16802168021680217</v>
      </c>
      <c r="W79" s="1348">
        <f t="shared" si="42"/>
        <v>0.14092140921409213</v>
      </c>
      <c r="X79" s="1348">
        <f t="shared" si="43"/>
        <v>2.7100271002710029E-2</v>
      </c>
    </row>
    <row r="80" spans="1:24" x14ac:dyDescent="0.25">
      <c r="A80" s="149" t="s">
        <v>198</v>
      </c>
      <c r="B80" s="189" t="s">
        <v>272</v>
      </c>
      <c r="C80" s="150" t="s">
        <v>266</v>
      </c>
      <c r="D80" s="243">
        <v>1283</v>
      </c>
      <c r="E80" s="243">
        <v>814</v>
      </c>
      <c r="F80" s="243">
        <v>469</v>
      </c>
      <c r="G80" s="243">
        <v>49</v>
      </c>
      <c r="H80" s="243">
        <v>420</v>
      </c>
      <c r="I80" s="243"/>
      <c r="J80" s="1346">
        <f t="shared" si="34"/>
        <v>0.63445050662509739</v>
      </c>
      <c r="K80" s="1346">
        <f t="shared" si="35"/>
        <v>0.36554949337490256</v>
      </c>
      <c r="L80" s="1346">
        <f t="shared" si="36"/>
        <v>3.8191738113795788E-2</v>
      </c>
      <c r="M80" s="1346">
        <f t="shared" si="37"/>
        <v>0.32735775526110678</v>
      </c>
      <c r="O80" s="1347">
        <f t="shared" si="38"/>
        <v>285</v>
      </c>
      <c r="P80" s="1347">
        <v>204</v>
      </c>
      <c r="Q80" s="1347">
        <f t="shared" si="39"/>
        <v>81</v>
      </c>
      <c r="R80" s="1347">
        <v>0</v>
      </c>
      <c r="S80" s="1347">
        <v>81</v>
      </c>
      <c r="U80" s="1348">
        <f t="shared" si="40"/>
        <v>0.71578947368421053</v>
      </c>
      <c r="V80" s="1348">
        <f t="shared" si="41"/>
        <v>0.28421052631578947</v>
      </c>
      <c r="W80" s="1348">
        <f t="shared" si="42"/>
        <v>0</v>
      </c>
      <c r="X80" s="1348">
        <f t="shared" si="43"/>
        <v>0.28421052631578947</v>
      </c>
    </row>
    <row r="81" spans="1:24" x14ac:dyDescent="0.25">
      <c r="A81" s="149" t="s">
        <v>202</v>
      </c>
      <c r="B81" s="189" t="s">
        <v>301</v>
      </c>
      <c r="C81" s="150" t="s">
        <v>265</v>
      </c>
      <c r="D81" s="243">
        <v>22080</v>
      </c>
      <c r="E81" s="243">
        <v>16864</v>
      </c>
      <c r="F81" s="243">
        <v>5216</v>
      </c>
      <c r="G81" s="243">
        <v>1468</v>
      </c>
      <c r="H81" s="243">
        <v>3748</v>
      </c>
      <c r="I81" s="243"/>
      <c r="J81" s="1346">
        <f t="shared" si="34"/>
        <v>0.76376811594202898</v>
      </c>
      <c r="K81" s="1346">
        <f t="shared" si="35"/>
        <v>0.23623188405797102</v>
      </c>
      <c r="L81" s="1346">
        <f t="shared" si="36"/>
        <v>6.6485507246376807E-2</v>
      </c>
      <c r="M81" s="1346">
        <f t="shared" si="37"/>
        <v>0.16974637681159421</v>
      </c>
      <c r="O81" s="1347">
        <f t="shared" si="38"/>
        <v>6263</v>
      </c>
      <c r="P81" s="1347">
        <v>4906</v>
      </c>
      <c r="Q81" s="1347">
        <f t="shared" si="39"/>
        <v>1357</v>
      </c>
      <c r="R81" s="1347">
        <v>472</v>
      </c>
      <c r="S81" s="1347">
        <v>885</v>
      </c>
      <c r="U81" s="1348">
        <f t="shared" si="40"/>
        <v>0.78333067220182018</v>
      </c>
      <c r="V81" s="1348">
        <f t="shared" si="41"/>
        <v>0.21666932779817979</v>
      </c>
      <c r="W81" s="1348">
        <f t="shared" si="42"/>
        <v>7.5363244451540801E-2</v>
      </c>
      <c r="X81" s="1348">
        <f t="shared" si="43"/>
        <v>0.14130608334663899</v>
      </c>
    </row>
    <row r="82" spans="1:24" x14ac:dyDescent="0.25">
      <c r="A82" s="149" t="s">
        <v>204</v>
      </c>
      <c r="B82" s="189" t="s">
        <v>293</v>
      </c>
      <c r="C82" s="150" t="s">
        <v>265</v>
      </c>
      <c r="D82" s="243">
        <v>5323</v>
      </c>
      <c r="E82" s="243">
        <v>4047</v>
      </c>
      <c r="F82" s="243">
        <v>1276</v>
      </c>
      <c r="G82" s="243">
        <v>401</v>
      </c>
      <c r="H82" s="243">
        <v>875</v>
      </c>
      <c r="I82" s="243"/>
      <c r="J82" s="1346">
        <f t="shared" si="34"/>
        <v>0.76028555325944014</v>
      </c>
      <c r="K82" s="1346">
        <f t="shared" si="35"/>
        <v>0.23971444674055983</v>
      </c>
      <c r="L82" s="1346">
        <f t="shared" si="36"/>
        <v>7.5333458575990983E-2</v>
      </c>
      <c r="M82" s="1346">
        <f t="shared" si="37"/>
        <v>0.16438098816456886</v>
      </c>
      <c r="O82" s="1347">
        <f t="shared" si="38"/>
        <v>1746</v>
      </c>
      <c r="P82" s="1347">
        <v>1416</v>
      </c>
      <c r="Q82" s="1347">
        <f t="shared" si="39"/>
        <v>330</v>
      </c>
      <c r="R82" s="1347">
        <v>123</v>
      </c>
      <c r="S82" s="1347">
        <v>207</v>
      </c>
      <c r="U82" s="1348">
        <f t="shared" si="40"/>
        <v>0.81099656357388317</v>
      </c>
      <c r="V82" s="1348">
        <f t="shared" si="41"/>
        <v>0.18900343642611683</v>
      </c>
      <c r="W82" s="1348">
        <f t="shared" si="42"/>
        <v>7.0446735395189003E-2</v>
      </c>
      <c r="X82" s="1348">
        <f t="shared" si="43"/>
        <v>0.11855670103092783</v>
      </c>
    </row>
    <row r="83" spans="1:24" x14ac:dyDescent="0.25">
      <c r="A83" s="149" t="s">
        <v>206</v>
      </c>
      <c r="B83" s="189" t="s">
        <v>294</v>
      </c>
      <c r="C83" s="150" t="s">
        <v>267</v>
      </c>
      <c r="D83" s="243">
        <v>22931</v>
      </c>
      <c r="E83" s="243">
        <v>17876</v>
      </c>
      <c r="F83" s="243">
        <v>5055</v>
      </c>
      <c r="G83" s="243">
        <v>1442</v>
      </c>
      <c r="H83" s="243">
        <v>3613</v>
      </c>
      <c r="I83" s="243"/>
      <c r="J83" s="1346">
        <f t="shared" si="34"/>
        <v>0.77955605948279616</v>
      </c>
      <c r="K83" s="1346">
        <f t="shared" si="35"/>
        <v>0.22044394051720378</v>
      </c>
      <c r="L83" s="1346">
        <f t="shared" si="36"/>
        <v>6.2884305089180581E-2</v>
      </c>
      <c r="M83" s="1346">
        <f t="shared" si="37"/>
        <v>0.1575596354280232</v>
      </c>
      <c r="O83" s="1347">
        <f t="shared" si="38"/>
        <v>7094</v>
      </c>
      <c r="P83" s="1347">
        <v>5609</v>
      </c>
      <c r="Q83" s="1347">
        <f t="shared" si="39"/>
        <v>1485</v>
      </c>
      <c r="R83" s="1347">
        <v>355</v>
      </c>
      <c r="S83" s="1347">
        <v>1130</v>
      </c>
      <c r="U83" s="1348">
        <f t="shared" si="40"/>
        <v>0.79066817028474767</v>
      </c>
      <c r="V83" s="1348">
        <f t="shared" si="41"/>
        <v>0.20933182971525233</v>
      </c>
      <c r="W83" s="1348">
        <f t="shared" si="42"/>
        <v>5.0042289258528334E-2</v>
      </c>
      <c r="X83" s="1348">
        <f t="shared" si="43"/>
        <v>0.159289540456724</v>
      </c>
    </row>
    <row r="84" spans="1:24" x14ac:dyDescent="0.25">
      <c r="A84" s="149" t="s">
        <v>208</v>
      </c>
      <c r="B84" s="189" t="s">
        <v>209</v>
      </c>
      <c r="C84" s="150" t="s">
        <v>268</v>
      </c>
      <c r="D84" s="243">
        <v>4825</v>
      </c>
      <c r="E84" s="243">
        <v>3655</v>
      </c>
      <c r="F84" s="243">
        <v>1170</v>
      </c>
      <c r="G84" s="243">
        <v>421</v>
      </c>
      <c r="H84" s="243">
        <v>749</v>
      </c>
      <c r="I84" s="243"/>
      <c r="J84" s="1346">
        <f t="shared" si="34"/>
        <v>0.75751295336787561</v>
      </c>
      <c r="K84" s="1346">
        <f t="shared" si="35"/>
        <v>0.24248704663212436</v>
      </c>
      <c r="L84" s="1346">
        <f t="shared" si="36"/>
        <v>8.72538860103627E-2</v>
      </c>
      <c r="M84" s="1346">
        <f t="shared" si="37"/>
        <v>0.15523316062176165</v>
      </c>
      <c r="O84" s="1347">
        <f t="shared" si="38"/>
        <v>1483</v>
      </c>
      <c r="P84" s="1347">
        <v>1030</v>
      </c>
      <c r="Q84" s="1347">
        <f t="shared" si="39"/>
        <v>453</v>
      </c>
      <c r="R84" s="1347">
        <v>225</v>
      </c>
      <c r="S84" s="1347">
        <v>228</v>
      </c>
      <c r="U84" s="1348">
        <f t="shared" si="40"/>
        <v>0.69453809844908965</v>
      </c>
      <c r="V84" s="1348">
        <f t="shared" si="41"/>
        <v>0.3054619015509103</v>
      </c>
      <c r="W84" s="1348">
        <f t="shared" si="42"/>
        <v>0.15171948752528658</v>
      </c>
      <c r="X84" s="1348">
        <f t="shared" si="43"/>
        <v>0.15374241402562375</v>
      </c>
    </row>
    <row r="85" spans="1:24" x14ac:dyDescent="0.25">
      <c r="A85" s="149" t="s">
        <v>210</v>
      </c>
      <c r="B85" s="189" t="s">
        <v>211</v>
      </c>
      <c r="C85" s="150" t="s">
        <v>268</v>
      </c>
      <c r="D85" s="243">
        <v>3695</v>
      </c>
      <c r="E85" s="243">
        <v>2890</v>
      </c>
      <c r="F85" s="243">
        <v>805</v>
      </c>
      <c r="G85" s="243">
        <v>181</v>
      </c>
      <c r="H85" s="243">
        <v>624</v>
      </c>
      <c r="I85" s="243"/>
      <c r="J85" s="1346">
        <f t="shared" si="34"/>
        <v>0.78213802435723956</v>
      </c>
      <c r="K85" s="1346">
        <f t="shared" si="35"/>
        <v>0.2178619756427605</v>
      </c>
      <c r="L85" s="1346">
        <f t="shared" si="36"/>
        <v>4.8985115020297697E-2</v>
      </c>
      <c r="M85" s="1346">
        <f t="shared" si="37"/>
        <v>0.16887686062246279</v>
      </c>
      <c r="O85" s="1347">
        <f t="shared" si="38"/>
        <v>1201</v>
      </c>
      <c r="P85" s="1347">
        <v>924</v>
      </c>
      <c r="Q85" s="1347">
        <f t="shared" si="39"/>
        <v>277</v>
      </c>
      <c r="R85" s="1347">
        <v>78</v>
      </c>
      <c r="S85" s="1347">
        <v>199</v>
      </c>
      <c r="U85" s="1348">
        <f t="shared" si="40"/>
        <v>0.76935886761032468</v>
      </c>
      <c r="V85" s="1348">
        <f t="shared" si="41"/>
        <v>0.23064113238967526</v>
      </c>
      <c r="W85" s="1348">
        <f t="shared" si="42"/>
        <v>6.4945878434637797E-2</v>
      </c>
      <c r="X85" s="1348">
        <f t="shared" si="43"/>
        <v>0.16569525395503748</v>
      </c>
    </row>
    <row r="86" spans="1:24" x14ac:dyDescent="0.25">
      <c r="A86" s="149" t="s">
        <v>212</v>
      </c>
      <c r="B86" s="189" t="s">
        <v>213</v>
      </c>
      <c r="C86" s="150" t="s">
        <v>267</v>
      </c>
      <c r="D86" s="243">
        <v>8296</v>
      </c>
      <c r="E86" s="243">
        <v>5811</v>
      </c>
      <c r="F86" s="243">
        <v>2485</v>
      </c>
      <c r="G86" s="243">
        <v>931</v>
      </c>
      <c r="H86" s="243">
        <v>1554</v>
      </c>
      <c r="I86" s="243"/>
      <c r="J86" s="1346">
        <f t="shared" si="34"/>
        <v>0.70045805207328837</v>
      </c>
      <c r="K86" s="1346">
        <f t="shared" si="35"/>
        <v>0.29954194792671168</v>
      </c>
      <c r="L86" s="1346">
        <f t="shared" si="36"/>
        <v>0.11222275795564127</v>
      </c>
      <c r="M86" s="1346">
        <f t="shared" si="37"/>
        <v>0.18731918997107039</v>
      </c>
      <c r="O86" s="1347">
        <f t="shared" si="38"/>
        <v>2471</v>
      </c>
      <c r="P86" s="1347">
        <v>1911</v>
      </c>
      <c r="Q86" s="1347">
        <f t="shared" si="39"/>
        <v>560</v>
      </c>
      <c r="R86" s="1347">
        <v>222</v>
      </c>
      <c r="S86" s="1347">
        <v>338</v>
      </c>
      <c r="U86" s="1348">
        <f t="shared" si="40"/>
        <v>0.77337110481586402</v>
      </c>
      <c r="V86" s="1348">
        <f t="shared" si="41"/>
        <v>0.22662889518413598</v>
      </c>
      <c r="W86" s="1348">
        <f t="shared" si="42"/>
        <v>8.9842169162282479E-2</v>
      </c>
      <c r="X86" s="1348">
        <f t="shared" si="43"/>
        <v>0.13678672602185349</v>
      </c>
    </row>
    <row r="87" spans="1:24" x14ac:dyDescent="0.25">
      <c r="A87" s="149" t="s">
        <v>214</v>
      </c>
      <c r="B87" s="189" t="s">
        <v>215</v>
      </c>
      <c r="C87" s="150" t="s">
        <v>268</v>
      </c>
      <c r="D87" s="243">
        <v>5573</v>
      </c>
      <c r="E87" s="243">
        <v>3517</v>
      </c>
      <c r="F87" s="243">
        <v>2056</v>
      </c>
      <c r="G87" s="243">
        <v>631</v>
      </c>
      <c r="H87" s="243">
        <v>1425</v>
      </c>
      <c r="I87" s="243"/>
      <c r="J87" s="1346">
        <f t="shared" si="34"/>
        <v>0.63107841378072849</v>
      </c>
      <c r="K87" s="1346">
        <f t="shared" si="35"/>
        <v>0.36892158621927151</v>
      </c>
      <c r="L87" s="1346">
        <f t="shared" si="36"/>
        <v>0.11322447514803517</v>
      </c>
      <c r="M87" s="1346">
        <f t="shared" si="37"/>
        <v>0.25569711107123633</v>
      </c>
      <c r="O87" s="1347">
        <f t="shared" si="38"/>
        <v>1866</v>
      </c>
      <c r="P87" s="1347">
        <v>1009</v>
      </c>
      <c r="Q87" s="1347">
        <f t="shared" si="39"/>
        <v>857</v>
      </c>
      <c r="R87" s="1347">
        <v>328</v>
      </c>
      <c r="S87" s="1347">
        <v>529</v>
      </c>
      <c r="U87" s="1348">
        <f t="shared" si="40"/>
        <v>0.54072883172561625</v>
      </c>
      <c r="V87" s="1348">
        <f t="shared" si="41"/>
        <v>0.45927116827438369</v>
      </c>
      <c r="W87" s="1348">
        <f t="shared" si="42"/>
        <v>0.17577706323687031</v>
      </c>
      <c r="X87" s="1348">
        <f t="shared" si="43"/>
        <v>0.28349410503751338</v>
      </c>
    </row>
    <row r="88" spans="1:24" x14ac:dyDescent="0.25">
      <c r="A88" s="149" t="s">
        <v>216</v>
      </c>
      <c r="B88" s="189" t="s">
        <v>217</v>
      </c>
      <c r="C88" s="150" t="s">
        <v>264</v>
      </c>
      <c r="D88" s="243">
        <v>3046</v>
      </c>
      <c r="E88" s="243">
        <v>1922</v>
      </c>
      <c r="F88" s="243">
        <v>1124</v>
      </c>
      <c r="G88" s="243">
        <v>208</v>
      </c>
      <c r="H88" s="243">
        <v>916</v>
      </c>
      <c r="I88" s="243"/>
      <c r="J88" s="1346">
        <f t="shared" si="34"/>
        <v>0.63099146421536445</v>
      </c>
      <c r="K88" s="1346">
        <f t="shared" si="35"/>
        <v>0.36900853578463561</v>
      </c>
      <c r="L88" s="1346">
        <f t="shared" si="36"/>
        <v>6.8286277084701252E-2</v>
      </c>
      <c r="M88" s="1346">
        <f t="shared" si="37"/>
        <v>0.30072225869993435</v>
      </c>
      <c r="O88" s="1347">
        <f t="shared" si="38"/>
        <v>884</v>
      </c>
      <c r="P88" s="1347">
        <v>539</v>
      </c>
      <c r="Q88" s="1347">
        <f t="shared" si="39"/>
        <v>345</v>
      </c>
      <c r="R88" s="1347">
        <v>50</v>
      </c>
      <c r="S88" s="1347">
        <v>295</v>
      </c>
      <c r="U88" s="1348">
        <f t="shared" si="40"/>
        <v>0.60972850678733037</v>
      </c>
      <c r="V88" s="1348">
        <f t="shared" si="41"/>
        <v>0.39027149321266968</v>
      </c>
      <c r="W88" s="1348">
        <f t="shared" si="42"/>
        <v>5.6561085972850679E-2</v>
      </c>
      <c r="X88" s="1348">
        <f t="shared" si="43"/>
        <v>0.33371040723981898</v>
      </c>
    </row>
    <row r="89" spans="1:24" x14ac:dyDescent="0.25">
      <c r="A89" s="149" t="s">
        <v>218</v>
      </c>
      <c r="B89" s="189" t="s">
        <v>219</v>
      </c>
      <c r="C89" s="150" t="s">
        <v>267</v>
      </c>
      <c r="D89" s="243">
        <v>29907</v>
      </c>
      <c r="E89" s="243">
        <v>22817</v>
      </c>
      <c r="F89" s="243">
        <v>7090</v>
      </c>
      <c r="G89" s="243">
        <v>1789</v>
      </c>
      <c r="H89" s="243">
        <v>5301</v>
      </c>
      <c r="I89" s="243"/>
      <c r="J89" s="1346">
        <f t="shared" si="34"/>
        <v>0.76293175510749989</v>
      </c>
      <c r="K89" s="1346">
        <f t="shared" si="35"/>
        <v>0.23706824489250009</v>
      </c>
      <c r="L89" s="1346">
        <f t="shared" si="36"/>
        <v>5.9818771525061022E-2</v>
      </c>
      <c r="M89" s="1346">
        <f t="shared" si="37"/>
        <v>0.17724947336743907</v>
      </c>
      <c r="O89" s="1347">
        <f t="shared" si="38"/>
        <v>8391</v>
      </c>
      <c r="P89" s="1347">
        <v>6417</v>
      </c>
      <c r="Q89" s="1347">
        <f t="shared" si="39"/>
        <v>1974</v>
      </c>
      <c r="R89" s="1347">
        <v>655</v>
      </c>
      <c r="S89" s="1347">
        <v>1319</v>
      </c>
      <c r="U89" s="1348">
        <f t="shared" si="40"/>
        <v>0.76474794422595638</v>
      </c>
      <c r="V89" s="1348">
        <f t="shared" si="41"/>
        <v>0.23525205577404362</v>
      </c>
      <c r="W89" s="1348">
        <f t="shared" si="42"/>
        <v>7.8059826004051966E-2</v>
      </c>
      <c r="X89" s="1348">
        <f t="shared" si="43"/>
        <v>0.15719222976999167</v>
      </c>
    </row>
    <row r="90" spans="1:24" x14ac:dyDescent="0.25">
      <c r="A90" s="149" t="s">
        <v>220</v>
      </c>
      <c r="B90" s="189" t="s">
        <v>221</v>
      </c>
      <c r="C90" s="150" t="s">
        <v>267</v>
      </c>
      <c r="D90" s="243">
        <v>33483</v>
      </c>
      <c r="E90" s="243">
        <v>26845</v>
      </c>
      <c r="F90" s="243">
        <v>6638</v>
      </c>
      <c r="G90" s="243">
        <v>1238</v>
      </c>
      <c r="H90" s="243">
        <v>5400</v>
      </c>
      <c r="I90" s="243"/>
      <c r="J90" s="1346">
        <f t="shared" si="34"/>
        <v>0.80175014186303495</v>
      </c>
      <c r="K90" s="1346">
        <f t="shared" si="35"/>
        <v>0.19824985813696502</v>
      </c>
      <c r="L90" s="1346">
        <f t="shared" si="36"/>
        <v>3.6973986799271275E-2</v>
      </c>
      <c r="M90" s="1346">
        <f t="shared" si="37"/>
        <v>0.16127587133769375</v>
      </c>
      <c r="O90" s="1347">
        <f t="shared" si="38"/>
        <v>8998</v>
      </c>
      <c r="P90" s="1347">
        <v>7467</v>
      </c>
      <c r="Q90" s="1347">
        <f t="shared" si="39"/>
        <v>1531</v>
      </c>
      <c r="R90" s="1347">
        <v>347</v>
      </c>
      <c r="S90" s="1347">
        <v>1184</v>
      </c>
      <c r="U90" s="1348">
        <f t="shared" si="40"/>
        <v>0.82985107801733715</v>
      </c>
      <c r="V90" s="1348">
        <f t="shared" si="41"/>
        <v>0.17014892198266282</v>
      </c>
      <c r="W90" s="1348">
        <f t="shared" si="42"/>
        <v>3.8564125361191373E-2</v>
      </c>
      <c r="X90" s="1348">
        <f t="shared" si="43"/>
        <v>0.13158479662147143</v>
      </c>
    </row>
    <row r="91" spans="1:24" x14ac:dyDescent="0.25">
      <c r="A91" s="149" t="s">
        <v>224</v>
      </c>
      <c r="B91" s="189" t="s">
        <v>225</v>
      </c>
      <c r="C91" s="150" t="s">
        <v>264</v>
      </c>
      <c r="D91" s="243">
        <v>1088</v>
      </c>
      <c r="E91" s="243">
        <v>680</v>
      </c>
      <c r="F91" s="243">
        <v>408</v>
      </c>
      <c r="G91" s="243">
        <v>150</v>
      </c>
      <c r="H91" s="243">
        <v>258</v>
      </c>
      <c r="I91" s="243"/>
      <c r="J91" s="1346">
        <f t="shared" si="34"/>
        <v>0.625</v>
      </c>
      <c r="K91" s="1346">
        <f t="shared" si="35"/>
        <v>0.375</v>
      </c>
      <c r="L91" s="1346">
        <f t="shared" si="36"/>
        <v>0.13786764705882354</v>
      </c>
      <c r="M91" s="1346">
        <f t="shared" si="37"/>
        <v>0.23713235294117646</v>
      </c>
      <c r="O91" s="1347">
        <f t="shared" si="38"/>
        <v>363</v>
      </c>
      <c r="P91" s="1347">
        <v>144</v>
      </c>
      <c r="Q91" s="1347">
        <f t="shared" si="39"/>
        <v>219</v>
      </c>
      <c r="R91" s="1347">
        <v>69</v>
      </c>
      <c r="S91" s="1347">
        <v>150</v>
      </c>
      <c r="U91" s="1348">
        <f t="shared" si="40"/>
        <v>0.39669421487603307</v>
      </c>
      <c r="V91" s="1348">
        <f t="shared" si="41"/>
        <v>0.60330578512396693</v>
      </c>
      <c r="W91" s="1348">
        <f t="shared" si="42"/>
        <v>0.19008264462809918</v>
      </c>
      <c r="X91" s="1348">
        <f t="shared" si="43"/>
        <v>0.41322314049586778</v>
      </c>
    </row>
    <row r="92" spans="1:24" x14ac:dyDescent="0.25">
      <c r="A92" s="149" t="s">
        <v>226</v>
      </c>
      <c r="B92" s="189" t="s">
        <v>227</v>
      </c>
      <c r="C92" s="150" t="s">
        <v>264</v>
      </c>
      <c r="D92" s="243">
        <v>1627</v>
      </c>
      <c r="E92" s="243">
        <v>825</v>
      </c>
      <c r="F92" s="243">
        <v>802</v>
      </c>
      <c r="G92" s="243">
        <v>77</v>
      </c>
      <c r="H92" s="243">
        <v>725</v>
      </c>
      <c r="I92" s="243"/>
      <c r="J92" s="1346">
        <f t="shared" si="34"/>
        <v>0.50706822372464655</v>
      </c>
      <c r="K92" s="1346">
        <f t="shared" si="35"/>
        <v>0.49293177627535339</v>
      </c>
      <c r="L92" s="1346">
        <f t="shared" si="36"/>
        <v>4.7326367547633683E-2</v>
      </c>
      <c r="M92" s="1346">
        <f t="shared" si="37"/>
        <v>0.44560540872771975</v>
      </c>
      <c r="O92" s="1347">
        <f t="shared" si="38"/>
        <v>573</v>
      </c>
      <c r="P92" s="1347">
        <v>288</v>
      </c>
      <c r="Q92" s="1347">
        <f t="shared" si="39"/>
        <v>285</v>
      </c>
      <c r="R92" s="1347">
        <v>40</v>
      </c>
      <c r="S92" s="1347">
        <v>245</v>
      </c>
      <c r="U92" s="1348">
        <f t="shared" si="40"/>
        <v>0.50261780104712039</v>
      </c>
      <c r="V92" s="1348">
        <f t="shared" si="41"/>
        <v>0.49738219895287961</v>
      </c>
      <c r="W92" s="1348">
        <f t="shared" si="42"/>
        <v>6.9808027923211169E-2</v>
      </c>
      <c r="X92" s="1348">
        <f t="shared" si="43"/>
        <v>0.42757417102966844</v>
      </c>
    </row>
    <row r="93" spans="1:24" x14ac:dyDescent="0.25">
      <c r="A93" s="149" t="s">
        <v>228</v>
      </c>
      <c r="B93" s="189" t="s">
        <v>229</v>
      </c>
      <c r="C93" s="150" t="s">
        <v>268</v>
      </c>
      <c r="D93" s="243">
        <v>7330</v>
      </c>
      <c r="E93" s="243">
        <v>5560</v>
      </c>
      <c r="F93" s="243">
        <v>1770</v>
      </c>
      <c r="G93" s="243">
        <v>449</v>
      </c>
      <c r="H93" s="243">
        <v>1321</v>
      </c>
      <c r="I93" s="243"/>
      <c r="J93" s="1346">
        <f t="shared" si="34"/>
        <v>0.75852660300136421</v>
      </c>
      <c r="K93" s="1346">
        <f t="shared" si="35"/>
        <v>0.24147339699863574</v>
      </c>
      <c r="L93" s="1346">
        <f t="shared" si="36"/>
        <v>6.1255115961800818E-2</v>
      </c>
      <c r="M93" s="1346">
        <f t="shared" si="37"/>
        <v>0.18021828103683493</v>
      </c>
      <c r="O93" s="1347">
        <f t="shared" si="38"/>
        <v>2280</v>
      </c>
      <c r="P93" s="1347">
        <v>1738</v>
      </c>
      <c r="Q93" s="1347">
        <f t="shared" si="39"/>
        <v>542</v>
      </c>
      <c r="R93" s="1347">
        <v>128</v>
      </c>
      <c r="S93" s="1347">
        <v>414</v>
      </c>
      <c r="U93" s="1348">
        <f t="shared" si="40"/>
        <v>0.762280701754386</v>
      </c>
      <c r="V93" s="1348">
        <f t="shared" si="41"/>
        <v>0.23771929824561402</v>
      </c>
      <c r="W93" s="1348">
        <f t="shared" si="42"/>
        <v>5.6140350877192984E-2</v>
      </c>
      <c r="X93" s="1348">
        <f t="shared" si="43"/>
        <v>0.18157894736842106</v>
      </c>
    </row>
    <row r="94" spans="1:24" x14ac:dyDescent="0.25">
      <c r="A94" s="149" t="s">
        <v>232</v>
      </c>
      <c r="B94" s="189" t="s">
        <v>233</v>
      </c>
      <c r="C94" s="150" t="s">
        <v>267</v>
      </c>
      <c r="D94" s="243">
        <v>8137</v>
      </c>
      <c r="E94" s="243">
        <v>5960</v>
      </c>
      <c r="F94" s="243">
        <v>2177</v>
      </c>
      <c r="G94" s="243">
        <v>439</v>
      </c>
      <c r="H94" s="243">
        <v>1738</v>
      </c>
      <c r="I94" s="243"/>
      <c r="J94" s="1346">
        <f t="shared" si="34"/>
        <v>0.73245667936585968</v>
      </c>
      <c r="K94" s="1346">
        <f t="shared" si="35"/>
        <v>0.26754332063414032</v>
      </c>
      <c r="L94" s="1346">
        <f t="shared" si="36"/>
        <v>5.3951087624431605E-2</v>
      </c>
      <c r="M94" s="1346">
        <f t="shared" si="37"/>
        <v>0.21359223300970873</v>
      </c>
      <c r="O94" s="1347">
        <f t="shared" si="38"/>
        <v>2460</v>
      </c>
      <c r="P94" s="1347">
        <v>1818</v>
      </c>
      <c r="Q94" s="1347">
        <f t="shared" si="39"/>
        <v>642</v>
      </c>
      <c r="R94" s="1347">
        <v>143</v>
      </c>
      <c r="S94" s="1347">
        <v>499</v>
      </c>
      <c r="U94" s="1348">
        <f t="shared" si="40"/>
        <v>0.73902439024390243</v>
      </c>
      <c r="V94" s="1348">
        <f t="shared" si="41"/>
        <v>0.26097560975609757</v>
      </c>
      <c r="W94" s="1348">
        <f t="shared" si="42"/>
        <v>5.8130081300813007E-2</v>
      </c>
      <c r="X94" s="1348">
        <f t="shared" si="43"/>
        <v>0.20284552845528456</v>
      </c>
    </row>
    <row r="95" spans="1:24" x14ac:dyDescent="0.25">
      <c r="A95" s="149" t="s">
        <v>234</v>
      </c>
      <c r="B95" s="189" t="s">
        <v>235</v>
      </c>
      <c r="C95" s="150" t="s">
        <v>268</v>
      </c>
      <c r="D95" s="243">
        <v>9421</v>
      </c>
      <c r="E95" s="243">
        <v>6866</v>
      </c>
      <c r="F95" s="243">
        <v>2555</v>
      </c>
      <c r="G95" s="243">
        <v>613</v>
      </c>
      <c r="H95" s="243">
        <v>1942</v>
      </c>
      <c r="I95" s="243"/>
      <c r="J95" s="1346">
        <f t="shared" si="34"/>
        <v>0.72879736758305913</v>
      </c>
      <c r="K95" s="1346">
        <f t="shared" si="35"/>
        <v>0.27120263241694087</v>
      </c>
      <c r="L95" s="1346">
        <f t="shared" si="36"/>
        <v>6.5067402611187777E-2</v>
      </c>
      <c r="M95" s="1346">
        <f t="shared" si="37"/>
        <v>0.20613522980575311</v>
      </c>
      <c r="O95" s="1347">
        <f t="shared" si="38"/>
        <v>2753</v>
      </c>
      <c r="P95" s="1347">
        <v>2097</v>
      </c>
      <c r="Q95" s="1347">
        <f t="shared" si="39"/>
        <v>656</v>
      </c>
      <c r="R95" s="1347">
        <v>182</v>
      </c>
      <c r="S95" s="1347">
        <v>474</v>
      </c>
      <c r="U95" s="1348">
        <f t="shared" si="40"/>
        <v>0.76171449328005814</v>
      </c>
      <c r="V95" s="1348">
        <f t="shared" si="41"/>
        <v>0.23828550671994189</v>
      </c>
      <c r="W95" s="1348">
        <f t="shared" si="42"/>
        <v>6.6109698510715589E-2</v>
      </c>
      <c r="X95" s="1348">
        <f t="shared" si="43"/>
        <v>0.17217580820922629</v>
      </c>
    </row>
    <row r="96" spans="1:24" x14ac:dyDescent="0.25">
      <c r="A96" s="149" t="s">
        <v>236</v>
      </c>
      <c r="B96" s="189" t="s">
        <v>237</v>
      </c>
      <c r="C96" s="150" t="s">
        <v>266</v>
      </c>
      <c r="D96" s="243">
        <v>2721</v>
      </c>
      <c r="E96" s="243">
        <v>1881</v>
      </c>
      <c r="F96" s="243">
        <v>840</v>
      </c>
      <c r="G96" s="243">
        <v>249</v>
      </c>
      <c r="H96" s="243">
        <v>591</v>
      </c>
      <c r="I96" s="243"/>
      <c r="J96" s="1346">
        <f t="shared" si="34"/>
        <v>0.69128996692392508</v>
      </c>
      <c r="K96" s="1346">
        <f t="shared" si="35"/>
        <v>0.30871003307607497</v>
      </c>
      <c r="L96" s="1346">
        <f t="shared" si="36"/>
        <v>9.1510474090407939E-2</v>
      </c>
      <c r="M96" s="1346">
        <f t="shared" si="37"/>
        <v>0.21719955898566704</v>
      </c>
      <c r="O96" s="1347">
        <f t="shared" si="38"/>
        <v>812</v>
      </c>
      <c r="P96" s="1347">
        <v>485</v>
      </c>
      <c r="Q96" s="1347">
        <f t="shared" si="39"/>
        <v>327</v>
      </c>
      <c r="R96" s="1347">
        <v>106</v>
      </c>
      <c r="S96" s="1347">
        <v>221</v>
      </c>
      <c r="U96" s="1348">
        <f t="shared" si="40"/>
        <v>0.59729064039408863</v>
      </c>
      <c r="V96" s="1348">
        <f t="shared" si="41"/>
        <v>0.40270935960591131</v>
      </c>
      <c r="W96" s="1348">
        <f t="shared" si="42"/>
        <v>0.13054187192118227</v>
      </c>
      <c r="X96" s="1348">
        <f t="shared" si="43"/>
        <v>0.27216748768472904</v>
      </c>
    </row>
    <row r="97" spans="1:24" x14ac:dyDescent="0.25">
      <c r="A97" s="149" t="s">
        <v>242</v>
      </c>
      <c r="B97" s="189" t="s">
        <v>243</v>
      </c>
      <c r="C97" s="150" t="s">
        <v>268</v>
      </c>
      <c r="D97" s="243">
        <v>6890</v>
      </c>
      <c r="E97" s="243">
        <v>4889</v>
      </c>
      <c r="F97" s="243">
        <v>2001</v>
      </c>
      <c r="G97" s="243">
        <v>347</v>
      </c>
      <c r="H97" s="243">
        <v>1654</v>
      </c>
      <c r="I97" s="243"/>
      <c r="J97" s="1346">
        <f t="shared" si="34"/>
        <v>0.70957910014513792</v>
      </c>
      <c r="K97" s="1346">
        <f t="shared" si="35"/>
        <v>0.29042089985486214</v>
      </c>
      <c r="L97" s="1346">
        <f t="shared" si="36"/>
        <v>5.0362844702467345E-2</v>
      </c>
      <c r="M97" s="1346">
        <f t="shared" si="37"/>
        <v>0.24005805515239478</v>
      </c>
      <c r="O97" s="1347">
        <f t="shared" si="38"/>
        <v>2182</v>
      </c>
      <c r="P97" s="1347">
        <v>1465</v>
      </c>
      <c r="Q97" s="1347">
        <f t="shared" si="39"/>
        <v>717</v>
      </c>
      <c r="R97" s="1347">
        <v>146</v>
      </c>
      <c r="S97" s="1347">
        <v>571</v>
      </c>
      <c r="U97" s="1348">
        <f t="shared" si="40"/>
        <v>0.67140238313473877</v>
      </c>
      <c r="V97" s="1348">
        <f t="shared" si="41"/>
        <v>0.32859761686526123</v>
      </c>
      <c r="W97" s="1348">
        <f t="shared" si="42"/>
        <v>6.6911090742438131E-2</v>
      </c>
      <c r="X97" s="1348">
        <f t="shared" si="43"/>
        <v>0.26168652612282312</v>
      </c>
    </row>
    <row r="98" spans="1:24" x14ac:dyDescent="0.25">
      <c r="A98" s="149" t="s">
        <v>244</v>
      </c>
      <c r="B98" s="189" t="s">
        <v>245</v>
      </c>
      <c r="C98" s="150" t="s">
        <v>268</v>
      </c>
      <c r="D98" s="243">
        <v>5343</v>
      </c>
      <c r="E98" s="243">
        <v>3767</v>
      </c>
      <c r="F98" s="243">
        <v>1576</v>
      </c>
      <c r="G98" s="243">
        <v>531</v>
      </c>
      <c r="H98" s="243">
        <v>1045</v>
      </c>
      <c r="I98" s="243"/>
      <c r="J98" s="1346">
        <f t="shared" si="34"/>
        <v>0.70503462474265399</v>
      </c>
      <c r="K98" s="1346">
        <f t="shared" si="35"/>
        <v>0.29496537525734606</v>
      </c>
      <c r="L98" s="1346">
        <f t="shared" si="36"/>
        <v>9.9382369455362163E-2</v>
      </c>
      <c r="M98" s="1346">
        <f t="shared" si="37"/>
        <v>0.1955830058019839</v>
      </c>
      <c r="O98" s="1347">
        <f t="shared" si="38"/>
        <v>1446</v>
      </c>
      <c r="P98" s="1347">
        <v>964</v>
      </c>
      <c r="Q98" s="1347">
        <f t="shared" si="39"/>
        <v>482</v>
      </c>
      <c r="R98" s="1347">
        <v>245</v>
      </c>
      <c r="S98" s="1347">
        <v>237</v>
      </c>
      <c r="U98" s="1348">
        <f t="shared" si="40"/>
        <v>0.66666666666666663</v>
      </c>
      <c r="V98" s="1348">
        <f t="shared" si="41"/>
        <v>0.33333333333333331</v>
      </c>
      <c r="W98" s="1348">
        <f t="shared" si="42"/>
        <v>0.16943291839557401</v>
      </c>
      <c r="X98" s="1348">
        <f t="shared" si="43"/>
        <v>0.16390041493775934</v>
      </c>
    </row>
    <row r="99" spans="1:24" x14ac:dyDescent="0.25">
      <c r="A99" s="149" t="s">
        <v>246</v>
      </c>
      <c r="B99" s="189" t="s">
        <v>247</v>
      </c>
      <c r="C99" s="150" t="s">
        <v>264</v>
      </c>
      <c r="D99" s="243">
        <v>17898</v>
      </c>
      <c r="E99" s="243">
        <v>14438</v>
      </c>
      <c r="F99" s="243">
        <v>3460</v>
      </c>
      <c r="G99" s="243">
        <v>533</v>
      </c>
      <c r="H99" s="243">
        <v>2927</v>
      </c>
      <c r="I99" s="243"/>
      <c r="J99" s="1346">
        <f t="shared" si="34"/>
        <v>0.80668231087272324</v>
      </c>
      <c r="K99" s="1346">
        <f t="shared" si="35"/>
        <v>0.19331768912727679</v>
      </c>
      <c r="L99" s="1346">
        <f t="shared" si="36"/>
        <v>2.9779863671918649E-2</v>
      </c>
      <c r="M99" s="1346">
        <f t="shared" si="37"/>
        <v>0.16353782545535814</v>
      </c>
      <c r="O99" s="1347">
        <f t="shared" si="38"/>
        <v>4541</v>
      </c>
      <c r="P99" s="1347">
        <v>3714</v>
      </c>
      <c r="Q99" s="1347">
        <f t="shared" si="39"/>
        <v>827</v>
      </c>
      <c r="R99" s="1347">
        <v>128</v>
      </c>
      <c r="S99" s="1347">
        <v>699</v>
      </c>
      <c r="U99" s="1348">
        <f t="shared" si="40"/>
        <v>0.81788152389341551</v>
      </c>
      <c r="V99" s="1348">
        <f t="shared" si="41"/>
        <v>0.18211847610658446</v>
      </c>
      <c r="W99" s="1348">
        <f t="shared" si="42"/>
        <v>2.8187623871393966E-2</v>
      </c>
      <c r="X99" s="1348">
        <f t="shared" si="43"/>
        <v>0.15393085223519049</v>
      </c>
    </row>
    <row r="100" spans="1:24" x14ac:dyDescent="0.25">
      <c r="A100" s="149" t="s">
        <v>14</v>
      </c>
      <c r="B100" s="189" t="s">
        <v>15</v>
      </c>
      <c r="C100" s="150" t="s">
        <v>267</v>
      </c>
      <c r="D100" s="243">
        <v>23778</v>
      </c>
      <c r="E100" s="243">
        <v>16515</v>
      </c>
      <c r="F100" s="243">
        <v>7263</v>
      </c>
      <c r="G100" s="243">
        <v>1780</v>
      </c>
      <c r="H100" s="243">
        <v>5483</v>
      </c>
      <c r="I100" s="243"/>
      <c r="J100" s="1346">
        <f t="shared" si="34"/>
        <v>0.69454958364875097</v>
      </c>
      <c r="K100" s="1346">
        <f t="shared" si="35"/>
        <v>0.30545041635124903</v>
      </c>
      <c r="L100" s="1346">
        <f t="shared" si="36"/>
        <v>7.4859113466229282E-2</v>
      </c>
      <c r="M100" s="1346">
        <f t="shared" si="37"/>
        <v>0.23059130288501978</v>
      </c>
      <c r="O100" s="1347">
        <f t="shared" si="38"/>
        <v>11175</v>
      </c>
      <c r="P100" s="1347">
        <v>8399</v>
      </c>
      <c r="Q100" s="1347">
        <f t="shared" si="39"/>
        <v>2776</v>
      </c>
      <c r="R100" s="1347">
        <v>836</v>
      </c>
      <c r="S100" s="1347">
        <v>1940</v>
      </c>
      <c r="U100" s="1348">
        <f t="shared" si="40"/>
        <v>0.75158836689038033</v>
      </c>
      <c r="V100" s="1348">
        <f t="shared" si="41"/>
        <v>0.2484116331096197</v>
      </c>
      <c r="W100" s="1348">
        <f t="shared" si="42"/>
        <v>7.4809843400447426E-2</v>
      </c>
      <c r="X100" s="1348">
        <f t="shared" si="43"/>
        <v>0.17360178970917226</v>
      </c>
    </row>
    <row r="101" spans="1:24" x14ac:dyDescent="0.25">
      <c r="A101" s="149" t="s">
        <v>34</v>
      </c>
      <c r="B101" s="189" t="s">
        <v>35</v>
      </c>
      <c r="C101" s="150" t="s">
        <v>268</v>
      </c>
      <c r="D101" s="243">
        <v>3219</v>
      </c>
      <c r="E101" s="243">
        <v>1453</v>
      </c>
      <c r="F101" s="243">
        <v>1766</v>
      </c>
      <c r="G101" s="243">
        <v>556</v>
      </c>
      <c r="H101" s="243">
        <v>1210</v>
      </c>
      <c r="I101" s="243"/>
      <c r="J101" s="1346">
        <f t="shared" ref="J101:J124" si="44">E101/D101</f>
        <v>0.4513824168996583</v>
      </c>
      <c r="K101" s="1346">
        <f t="shared" ref="K101:K124" si="45">F101/D101</f>
        <v>0.5486175831003417</v>
      </c>
      <c r="L101" s="1346">
        <f t="shared" ref="L101:L124" si="46">G101/D101</f>
        <v>0.17272444858651756</v>
      </c>
      <c r="M101" s="1346">
        <f t="shared" ref="M101:M124" si="47">H101/D101</f>
        <v>0.37589313451382417</v>
      </c>
      <c r="O101" s="1347">
        <f t="shared" ref="O101:O124" si="48">P101+Q101</f>
        <v>982</v>
      </c>
      <c r="P101" s="1347">
        <v>396</v>
      </c>
      <c r="Q101" s="1347">
        <f t="shared" ref="Q101:Q124" si="49">R101+S101</f>
        <v>586</v>
      </c>
      <c r="R101" s="1347">
        <v>150</v>
      </c>
      <c r="S101" s="1347">
        <v>436</v>
      </c>
      <c r="U101" s="1348">
        <f t="shared" ref="U101:U124" si="50">P101/O101</f>
        <v>0.40325865580448067</v>
      </c>
      <c r="V101" s="1348">
        <f t="shared" ref="V101:V124" si="51">Q101/O101</f>
        <v>0.59674134419551939</v>
      </c>
      <c r="W101" s="1348">
        <f t="shared" ref="W101:W124" si="52">R101/O101</f>
        <v>0.15274949083503056</v>
      </c>
      <c r="X101" s="1348">
        <f t="shared" ref="X101:X124" si="53">S101/O101</f>
        <v>0.4439918533604888</v>
      </c>
    </row>
    <row r="102" spans="1:24" x14ac:dyDescent="0.25">
      <c r="A102" s="149" t="s">
        <v>52</v>
      </c>
      <c r="B102" s="189" t="s">
        <v>53</v>
      </c>
      <c r="C102" s="150" t="s">
        <v>265</v>
      </c>
      <c r="D102" s="243">
        <v>6196</v>
      </c>
      <c r="E102" s="243">
        <v>3762</v>
      </c>
      <c r="F102" s="243">
        <v>2434</v>
      </c>
      <c r="G102" s="243">
        <v>456</v>
      </c>
      <c r="H102" s="243">
        <v>1978</v>
      </c>
      <c r="I102" s="243"/>
      <c r="J102" s="1346">
        <f t="shared" si="44"/>
        <v>0.60716591349257587</v>
      </c>
      <c r="K102" s="1346">
        <f t="shared" si="45"/>
        <v>0.39283408650742413</v>
      </c>
      <c r="L102" s="1346">
        <f t="shared" si="46"/>
        <v>7.3595868302130413E-2</v>
      </c>
      <c r="M102" s="1346">
        <f t="shared" si="47"/>
        <v>0.31923821820529374</v>
      </c>
      <c r="O102" s="1347">
        <f t="shared" si="48"/>
        <v>2661</v>
      </c>
      <c r="P102" s="1347">
        <v>1704</v>
      </c>
      <c r="Q102" s="1347">
        <f t="shared" si="49"/>
        <v>957</v>
      </c>
      <c r="R102" s="1347">
        <v>276</v>
      </c>
      <c r="S102" s="1347">
        <v>681</v>
      </c>
      <c r="U102" s="1348">
        <f t="shared" si="50"/>
        <v>0.64036076662908681</v>
      </c>
      <c r="V102" s="1348">
        <f t="shared" si="51"/>
        <v>0.35963923337091319</v>
      </c>
      <c r="W102" s="1348">
        <f t="shared" si="52"/>
        <v>0.10372040586245772</v>
      </c>
      <c r="X102" s="1348">
        <f t="shared" si="53"/>
        <v>0.25591882750845546</v>
      </c>
    </row>
    <row r="103" spans="1:24" x14ac:dyDescent="0.25">
      <c r="A103" s="149" t="s">
        <v>54</v>
      </c>
      <c r="B103" s="189" t="s">
        <v>55</v>
      </c>
      <c r="C103" s="150" t="s">
        <v>264</v>
      </c>
      <c r="D103" s="243">
        <v>49061</v>
      </c>
      <c r="E103" s="243">
        <v>34644</v>
      </c>
      <c r="F103" s="243">
        <v>14417</v>
      </c>
      <c r="G103" s="243">
        <v>2577</v>
      </c>
      <c r="H103" s="243">
        <v>11840</v>
      </c>
      <c r="I103" s="243"/>
      <c r="J103" s="1346">
        <f t="shared" si="44"/>
        <v>0.70614133425735304</v>
      </c>
      <c r="K103" s="1346">
        <f t="shared" si="45"/>
        <v>0.29385866574264691</v>
      </c>
      <c r="L103" s="1346">
        <f t="shared" si="46"/>
        <v>5.2526446668433174E-2</v>
      </c>
      <c r="M103" s="1346">
        <f t="shared" si="47"/>
        <v>0.24133221907421373</v>
      </c>
      <c r="O103" s="1347">
        <f t="shared" si="48"/>
        <v>14296</v>
      </c>
      <c r="P103" s="1347">
        <v>9740</v>
      </c>
      <c r="Q103" s="1347">
        <f t="shared" si="49"/>
        <v>4556</v>
      </c>
      <c r="R103" s="1347">
        <v>1049</v>
      </c>
      <c r="S103" s="1347">
        <v>3507</v>
      </c>
      <c r="U103" s="1348">
        <f t="shared" si="50"/>
        <v>0.68130945719082259</v>
      </c>
      <c r="V103" s="1348">
        <f t="shared" si="51"/>
        <v>0.31869054280917741</v>
      </c>
      <c r="W103" s="1348">
        <f t="shared" si="52"/>
        <v>7.3377168438724119E-2</v>
      </c>
      <c r="X103" s="1348">
        <f t="shared" si="53"/>
        <v>0.24531337437045328</v>
      </c>
    </row>
    <row r="104" spans="1:24" x14ac:dyDescent="0.25">
      <c r="A104" s="149" t="s">
        <v>66</v>
      </c>
      <c r="B104" s="189" t="s">
        <v>67</v>
      </c>
      <c r="C104" s="150" t="s">
        <v>265</v>
      </c>
      <c r="D104" s="243">
        <v>7189</v>
      </c>
      <c r="E104" s="243">
        <v>3142</v>
      </c>
      <c r="F104" s="243">
        <v>4047</v>
      </c>
      <c r="G104" s="243">
        <v>659</v>
      </c>
      <c r="H104" s="243">
        <v>3388</v>
      </c>
      <c r="I104" s="243"/>
      <c r="J104" s="1346">
        <f t="shared" si="44"/>
        <v>0.43705661427180414</v>
      </c>
      <c r="K104" s="1346">
        <f t="shared" si="45"/>
        <v>0.5629433857281958</v>
      </c>
      <c r="L104" s="1346">
        <f t="shared" si="46"/>
        <v>9.1667825845041032E-2</v>
      </c>
      <c r="M104" s="1346">
        <f t="shared" si="47"/>
        <v>0.47127555988315484</v>
      </c>
      <c r="O104" s="1347">
        <f t="shared" si="48"/>
        <v>2439</v>
      </c>
      <c r="P104" s="1347">
        <v>1152</v>
      </c>
      <c r="Q104" s="1347">
        <f t="shared" si="49"/>
        <v>1287</v>
      </c>
      <c r="R104" s="1347">
        <v>333</v>
      </c>
      <c r="S104" s="1347">
        <v>954</v>
      </c>
      <c r="U104" s="1348">
        <f t="shared" si="50"/>
        <v>0.47232472324723246</v>
      </c>
      <c r="V104" s="1348">
        <f t="shared" si="51"/>
        <v>0.52767527675276749</v>
      </c>
      <c r="W104" s="1348">
        <f t="shared" si="52"/>
        <v>0.13653136531365315</v>
      </c>
      <c r="X104" s="1348">
        <f t="shared" si="53"/>
        <v>0.39114391143911437</v>
      </c>
    </row>
    <row r="105" spans="1:24" x14ac:dyDescent="0.25">
      <c r="A105" s="149" t="s">
        <v>82</v>
      </c>
      <c r="B105" s="189" t="s">
        <v>83</v>
      </c>
      <c r="C105" s="150" t="s">
        <v>264</v>
      </c>
      <c r="D105" s="243">
        <v>1914</v>
      </c>
      <c r="E105" s="243">
        <v>940</v>
      </c>
      <c r="F105" s="243">
        <v>974</v>
      </c>
      <c r="G105" s="243">
        <v>0</v>
      </c>
      <c r="H105" s="243">
        <v>974</v>
      </c>
      <c r="I105" s="243"/>
      <c r="J105" s="1346">
        <f t="shared" si="44"/>
        <v>0.49111807732497387</v>
      </c>
      <c r="K105" s="1346">
        <f t="shared" si="45"/>
        <v>0.50888192267502608</v>
      </c>
      <c r="L105" s="1346">
        <f t="shared" si="46"/>
        <v>0</v>
      </c>
      <c r="M105" s="1346">
        <f t="shared" si="47"/>
        <v>0.50888192267502608</v>
      </c>
      <c r="O105" s="1347">
        <f t="shared" si="48"/>
        <v>586</v>
      </c>
      <c r="P105" s="1347">
        <v>261</v>
      </c>
      <c r="Q105" s="1347">
        <f t="shared" si="49"/>
        <v>325</v>
      </c>
      <c r="R105" s="1347">
        <v>0</v>
      </c>
      <c r="S105" s="1347">
        <v>325</v>
      </c>
      <c r="U105" s="1348">
        <f t="shared" si="50"/>
        <v>0.44539249146757681</v>
      </c>
      <c r="V105" s="1348">
        <f t="shared" si="51"/>
        <v>0.55460750853242324</v>
      </c>
      <c r="W105" s="1348">
        <f t="shared" si="52"/>
        <v>0</v>
      </c>
      <c r="X105" s="1348">
        <f t="shared" si="53"/>
        <v>0.55460750853242324</v>
      </c>
    </row>
    <row r="106" spans="1:24" x14ac:dyDescent="0.25">
      <c r="A106" s="149" t="s">
        <v>88</v>
      </c>
      <c r="B106" s="189" t="s">
        <v>89</v>
      </c>
      <c r="C106" s="150" t="s">
        <v>267</v>
      </c>
      <c r="D106" s="243">
        <v>4844</v>
      </c>
      <c r="E106" s="243">
        <v>2685</v>
      </c>
      <c r="F106" s="243">
        <v>2159</v>
      </c>
      <c r="G106" s="243">
        <v>128</v>
      </c>
      <c r="H106" s="243">
        <v>2031</v>
      </c>
      <c r="I106" s="243"/>
      <c r="J106" s="1346">
        <f t="shared" si="44"/>
        <v>0.55429397192402974</v>
      </c>
      <c r="K106" s="1346">
        <f t="shared" si="45"/>
        <v>0.44570602807597026</v>
      </c>
      <c r="L106" s="1346">
        <f t="shared" si="46"/>
        <v>2.6424442609413706E-2</v>
      </c>
      <c r="M106" s="1346">
        <f t="shared" si="47"/>
        <v>0.41928158546655658</v>
      </c>
      <c r="O106" s="1347">
        <f t="shared" si="48"/>
        <v>1866</v>
      </c>
      <c r="P106" s="1347">
        <v>1085</v>
      </c>
      <c r="Q106" s="1347">
        <f t="shared" si="49"/>
        <v>781</v>
      </c>
      <c r="R106" s="1347">
        <v>92</v>
      </c>
      <c r="S106" s="1347">
        <v>689</v>
      </c>
      <c r="U106" s="1348">
        <f t="shared" si="50"/>
        <v>0.58145766345123262</v>
      </c>
      <c r="V106" s="1348">
        <f t="shared" si="51"/>
        <v>0.41854233654876744</v>
      </c>
      <c r="W106" s="1348">
        <f t="shared" si="52"/>
        <v>4.9303322615219719E-2</v>
      </c>
      <c r="X106" s="1348">
        <f t="shared" si="53"/>
        <v>0.36923901393354769</v>
      </c>
    </row>
    <row r="107" spans="1:24" x14ac:dyDescent="0.25">
      <c r="A107" s="149" t="s">
        <v>90</v>
      </c>
      <c r="B107" s="189" t="s">
        <v>91</v>
      </c>
      <c r="C107" s="150" t="s">
        <v>268</v>
      </c>
      <c r="D107" s="243">
        <v>1402</v>
      </c>
      <c r="E107" s="243">
        <v>726</v>
      </c>
      <c r="F107" s="243">
        <v>676</v>
      </c>
      <c r="G107" s="243">
        <v>75</v>
      </c>
      <c r="H107" s="243">
        <v>601</v>
      </c>
      <c r="I107" s="243"/>
      <c r="J107" s="1346">
        <f t="shared" si="44"/>
        <v>0.51783166904422251</v>
      </c>
      <c r="K107" s="1346">
        <f t="shared" si="45"/>
        <v>0.48216833095577744</v>
      </c>
      <c r="L107" s="1346">
        <f t="shared" si="46"/>
        <v>5.3495007132667617E-2</v>
      </c>
      <c r="M107" s="1346">
        <f t="shared" si="47"/>
        <v>0.42867332382310985</v>
      </c>
      <c r="O107" s="1347">
        <f t="shared" si="48"/>
        <v>394</v>
      </c>
      <c r="P107" s="1347">
        <v>128</v>
      </c>
      <c r="Q107" s="1347">
        <f t="shared" si="49"/>
        <v>266</v>
      </c>
      <c r="R107" s="1347">
        <v>23</v>
      </c>
      <c r="S107" s="1347">
        <v>243</v>
      </c>
      <c r="U107" s="1348">
        <f t="shared" si="50"/>
        <v>0.32487309644670048</v>
      </c>
      <c r="V107" s="1348">
        <f t="shared" si="51"/>
        <v>0.67512690355329952</v>
      </c>
      <c r="W107" s="1348">
        <f t="shared" si="52"/>
        <v>5.8375634517766499E-2</v>
      </c>
      <c r="X107" s="1348">
        <f t="shared" si="53"/>
        <v>0.61675126903553301</v>
      </c>
    </row>
    <row r="108" spans="1:24" x14ac:dyDescent="0.25">
      <c r="A108" s="149" t="s">
        <v>106</v>
      </c>
      <c r="B108" s="189" t="s">
        <v>107</v>
      </c>
      <c r="C108" s="150" t="s">
        <v>264</v>
      </c>
      <c r="D108" s="243">
        <v>26007</v>
      </c>
      <c r="E108" s="243">
        <v>13862</v>
      </c>
      <c r="F108" s="243">
        <v>12145</v>
      </c>
      <c r="G108" s="243">
        <v>1537</v>
      </c>
      <c r="H108" s="243">
        <v>10608</v>
      </c>
      <c r="I108" s="243"/>
      <c r="J108" s="1346">
        <f t="shared" si="44"/>
        <v>0.53301034336909292</v>
      </c>
      <c r="K108" s="1346">
        <f t="shared" si="45"/>
        <v>0.46698965663090708</v>
      </c>
      <c r="L108" s="1346">
        <f t="shared" si="46"/>
        <v>5.9099473218748796E-2</v>
      </c>
      <c r="M108" s="1346">
        <f t="shared" si="47"/>
        <v>0.40789018341215827</v>
      </c>
      <c r="O108" s="1347">
        <f t="shared" si="48"/>
        <v>8907</v>
      </c>
      <c r="P108" s="1347">
        <v>4980</v>
      </c>
      <c r="Q108" s="1347">
        <f t="shared" si="49"/>
        <v>3927</v>
      </c>
      <c r="R108" s="1347">
        <v>501</v>
      </c>
      <c r="S108" s="1347">
        <v>3426</v>
      </c>
      <c r="U108" s="1348">
        <f t="shared" si="50"/>
        <v>0.55911081172111821</v>
      </c>
      <c r="V108" s="1348">
        <f t="shared" si="51"/>
        <v>0.44088918827888179</v>
      </c>
      <c r="W108" s="1348">
        <f t="shared" si="52"/>
        <v>5.6247894914112494E-2</v>
      </c>
      <c r="X108" s="1348">
        <f t="shared" si="53"/>
        <v>0.38464129336476927</v>
      </c>
    </row>
    <row r="109" spans="1:24" x14ac:dyDescent="0.25">
      <c r="A109" s="149" t="s">
        <v>116</v>
      </c>
      <c r="B109" s="189" t="s">
        <v>117</v>
      </c>
      <c r="C109" s="150" t="s">
        <v>266</v>
      </c>
      <c r="D109" s="243">
        <v>4642</v>
      </c>
      <c r="E109" s="243">
        <v>2043</v>
      </c>
      <c r="F109" s="243">
        <v>2599</v>
      </c>
      <c r="G109" s="243">
        <v>294</v>
      </c>
      <c r="H109" s="243">
        <v>2305</v>
      </c>
      <c r="I109" s="243"/>
      <c r="J109" s="1346">
        <f t="shared" si="44"/>
        <v>0.44011202068074107</v>
      </c>
      <c r="K109" s="1346">
        <f t="shared" si="45"/>
        <v>0.55988797931925893</v>
      </c>
      <c r="L109" s="1346">
        <f t="shared" si="46"/>
        <v>6.333476949590694E-2</v>
      </c>
      <c r="M109" s="1346">
        <f t="shared" si="47"/>
        <v>0.49655320982335199</v>
      </c>
      <c r="O109" s="1347">
        <f t="shared" si="48"/>
        <v>1681</v>
      </c>
      <c r="P109" s="1347">
        <v>701</v>
      </c>
      <c r="Q109" s="1347">
        <f t="shared" si="49"/>
        <v>980</v>
      </c>
      <c r="R109" s="1347">
        <v>239</v>
      </c>
      <c r="S109" s="1347">
        <v>741</v>
      </c>
      <c r="U109" s="1348">
        <f t="shared" si="50"/>
        <v>0.41701368233194525</v>
      </c>
      <c r="V109" s="1348">
        <f t="shared" si="51"/>
        <v>0.58298631766805475</v>
      </c>
      <c r="W109" s="1348">
        <f t="shared" si="52"/>
        <v>0.14217727543129091</v>
      </c>
      <c r="X109" s="1348">
        <f t="shared" si="53"/>
        <v>0.44080904223676382</v>
      </c>
    </row>
    <row r="110" spans="1:24" x14ac:dyDescent="0.25">
      <c r="A110" s="149" t="s">
        <v>138</v>
      </c>
      <c r="B110" s="189" t="s">
        <v>139</v>
      </c>
      <c r="C110" s="150" t="s">
        <v>265</v>
      </c>
      <c r="D110" s="243">
        <v>13430</v>
      </c>
      <c r="E110" s="243">
        <v>8233</v>
      </c>
      <c r="F110" s="243">
        <v>5197</v>
      </c>
      <c r="G110" s="243">
        <v>715</v>
      </c>
      <c r="H110" s="243">
        <v>4482</v>
      </c>
      <c r="I110" s="243"/>
      <c r="J110" s="1346">
        <f t="shared" si="44"/>
        <v>0.61303052866716312</v>
      </c>
      <c r="K110" s="1346">
        <f t="shared" si="45"/>
        <v>0.38696947133283693</v>
      </c>
      <c r="L110" s="1346">
        <f t="shared" si="46"/>
        <v>5.323901712583768E-2</v>
      </c>
      <c r="M110" s="1346">
        <f t="shared" si="47"/>
        <v>0.33373045420699926</v>
      </c>
      <c r="O110" s="1347">
        <f t="shared" si="48"/>
        <v>4752</v>
      </c>
      <c r="P110" s="1347">
        <v>3128</v>
      </c>
      <c r="Q110" s="1347">
        <f t="shared" si="49"/>
        <v>1624</v>
      </c>
      <c r="R110" s="1347">
        <v>252</v>
      </c>
      <c r="S110" s="1347">
        <v>1372</v>
      </c>
      <c r="U110" s="1348">
        <f t="shared" si="50"/>
        <v>0.65824915824915819</v>
      </c>
      <c r="V110" s="1348">
        <f t="shared" si="51"/>
        <v>0.34175084175084175</v>
      </c>
      <c r="W110" s="1348">
        <f t="shared" si="52"/>
        <v>5.3030303030303032E-2</v>
      </c>
      <c r="X110" s="1348">
        <f t="shared" si="53"/>
        <v>0.28872053872053871</v>
      </c>
    </row>
    <row r="111" spans="1:24" x14ac:dyDescent="0.25">
      <c r="A111" s="149" t="s">
        <v>142</v>
      </c>
      <c r="B111" s="189" t="s">
        <v>273</v>
      </c>
      <c r="C111" s="150" t="s">
        <v>267</v>
      </c>
      <c r="D111" s="243">
        <v>10294</v>
      </c>
      <c r="E111" s="243">
        <v>7469</v>
      </c>
      <c r="F111" s="243">
        <v>2825</v>
      </c>
      <c r="G111" s="243">
        <v>646</v>
      </c>
      <c r="H111" s="243">
        <v>2179</v>
      </c>
      <c r="I111" s="243"/>
      <c r="J111" s="1346">
        <f t="shared" si="44"/>
        <v>0.72556829220905383</v>
      </c>
      <c r="K111" s="1346">
        <f t="shared" si="45"/>
        <v>0.27443170779094617</v>
      </c>
      <c r="L111" s="1346">
        <f t="shared" si="46"/>
        <v>6.2755002914319027E-2</v>
      </c>
      <c r="M111" s="1346">
        <f t="shared" si="47"/>
        <v>0.21167670487662715</v>
      </c>
      <c r="O111" s="1347">
        <f t="shared" si="48"/>
        <v>3685</v>
      </c>
      <c r="P111" s="1347">
        <v>2795</v>
      </c>
      <c r="Q111" s="1347">
        <f t="shared" si="49"/>
        <v>890</v>
      </c>
      <c r="R111" s="1347">
        <v>193</v>
      </c>
      <c r="S111" s="1347">
        <v>697</v>
      </c>
      <c r="U111" s="1348">
        <f t="shared" si="50"/>
        <v>0.75848032564450474</v>
      </c>
      <c r="V111" s="1348">
        <f t="shared" si="51"/>
        <v>0.24151967435549526</v>
      </c>
      <c r="W111" s="1348">
        <f t="shared" si="52"/>
        <v>5.2374491180461329E-2</v>
      </c>
      <c r="X111" s="1348">
        <f t="shared" si="53"/>
        <v>0.18914518317503393</v>
      </c>
    </row>
    <row r="112" spans="1:24" x14ac:dyDescent="0.25">
      <c r="A112" s="149" t="s">
        <v>144</v>
      </c>
      <c r="B112" s="189" t="s">
        <v>145</v>
      </c>
      <c r="C112" s="150" t="s">
        <v>267</v>
      </c>
      <c r="D112" s="243">
        <v>3313</v>
      </c>
      <c r="E112" s="243">
        <v>2674</v>
      </c>
      <c r="F112" s="243">
        <v>639</v>
      </c>
      <c r="G112" s="243">
        <v>60</v>
      </c>
      <c r="H112" s="243">
        <v>579</v>
      </c>
      <c r="I112" s="243"/>
      <c r="J112" s="1346">
        <f t="shared" si="44"/>
        <v>0.80712345306368849</v>
      </c>
      <c r="K112" s="1346">
        <f t="shared" si="45"/>
        <v>0.19287654693631151</v>
      </c>
      <c r="L112" s="1346">
        <f t="shared" si="46"/>
        <v>1.8110473890733475E-2</v>
      </c>
      <c r="M112" s="1346">
        <f t="shared" si="47"/>
        <v>0.17476607304557804</v>
      </c>
      <c r="O112" s="1347">
        <f t="shared" si="48"/>
        <v>1080</v>
      </c>
      <c r="P112" s="1347">
        <v>885</v>
      </c>
      <c r="Q112" s="1347">
        <f t="shared" si="49"/>
        <v>195</v>
      </c>
      <c r="R112" s="1347">
        <v>35</v>
      </c>
      <c r="S112" s="1347">
        <v>160</v>
      </c>
      <c r="U112" s="1348">
        <f t="shared" si="50"/>
        <v>0.81944444444444442</v>
      </c>
      <c r="V112" s="1348">
        <f t="shared" si="51"/>
        <v>0.18055555555555555</v>
      </c>
      <c r="W112" s="1348">
        <f t="shared" si="52"/>
        <v>3.2407407407407406E-2</v>
      </c>
      <c r="X112" s="1348">
        <f t="shared" si="53"/>
        <v>0.14814814814814814</v>
      </c>
    </row>
    <row r="113" spans="1:24" x14ac:dyDescent="0.25">
      <c r="A113" s="149" t="s">
        <v>158</v>
      </c>
      <c r="B113" s="189" t="s">
        <v>159</v>
      </c>
      <c r="C113" s="150" t="s">
        <v>264</v>
      </c>
      <c r="D113" s="243">
        <v>37656</v>
      </c>
      <c r="E113" s="243">
        <v>20775</v>
      </c>
      <c r="F113" s="243">
        <v>16881</v>
      </c>
      <c r="G113" s="243">
        <v>2857</v>
      </c>
      <c r="H113" s="243">
        <v>14024</v>
      </c>
      <c r="I113" s="243"/>
      <c r="J113" s="1346">
        <f t="shared" si="44"/>
        <v>0.55170490758444868</v>
      </c>
      <c r="K113" s="1346">
        <f t="shared" si="45"/>
        <v>0.44829509241555132</v>
      </c>
      <c r="L113" s="1346">
        <f t="shared" si="46"/>
        <v>7.5871043127257273E-2</v>
      </c>
      <c r="M113" s="1346">
        <f t="shared" si="47"/>
        <v>0.37242404928829403</v>
      </c>
      <c r="O113" s="1347">
        <f t="shared" si="48"/>
        <v>14262</v>
      </c>
      <c r="P113" s="1347">
        <v>7941</v>
      </c>
      <c r="Q113" s="1347">
        <f t="shared" si="49"/>
        <v>6321</v>
      </c>
      <c r="R113" s="1347">
        <v>948</v>
      </c>
      <c r="S113" s="1347">
        <v>5373</v>
      </c>
      <c r="U113" s="1348">
        <f t="shared" si="50"/>
        <v>0.55679427850231389</v>
      </c>
      <c r="V113" s="1348">
        <f t="shared" si="51"/>
        <v>0.44320572149768617</v>
      </c>
      <c r="W113" s="1348">
        <f t="shared" si="52"/>
        <v>6.6470340765671015E-2</v>
      </c>
      <c r="X113" s="1348">
        <f t="shared" si="53"/>
        <v>0.37673538073201512</v>
      </c>
    </row>
    <row r="114" spans="1:24" x14ac:dyDescent="0.25">
      <c r="A114" s="149" t="s">
        <v>160</v>
      </c>
      <c r="B114" s="189" t="s">
        <v>161</v>
      </c>
      <c r="C114" s="150" t="s">
        <v>264</v>
      </c>
      <c r="D114" s="243">
        <v>42403</v>
      </c>
      <c r="E114" s="243">
        <v>21865</v>
      </c>
      <c r="F114" s="243">
        <v>20538</v>
      </c>
      <c r="G114" s="243">
        <v>3178</v>
      </c>
      <c r="H114" s="243">
        <v>17360</v>
      </c>
      <c r="I114" s="243"/>
      <c r="J114" s="1346">
        <f t="shared" si="44"/>
        <v>0.51564747777279907</v>
      </c>
      <c r="K114" s="1346">
        <f t="shared" si="45"/>
        <v>0.48435252222720093</v>
      </c>
      <c r="L114" s="1346">
        <f t="shared" si="46"/>
        <v>7.4947527297596864E-2</v>
      </c>
      <c r="M114" s="1346">
        <f t="shared" si="47"/>
        <v>0.40940499492960403</v>
      </c>
      <c r="O114" s="1347">
        <f t="shared" si="48"/>
        <v>16458</v>
      </c>
      <c r="P114" s="1347">
        <v>9207</v>
      </c>
      <c r="Q114" s="1347">
        <f t="shared" si="49"/>
        <v>7251</v>
      </c>
      <c r="R114" s="1347">
        <v>1215</v>
      </c>
      <c r="S114" s="1347">
        <v>6036</v>
      </c>
      <c r="U114" s="1348">
        <f t="shared" si="50"/>
        <v>0.55942398833394091</v>
      </c>
      <c r="V114" s="1348">
        <f t="shared" si="51"/>
        <v>0.44057601166605909</v>
      </c>
      <c r="W114" s="1348">
        <f t="shared" si="52"/>
        <v>7.3824279985417421E-2</v>
      </c>
      <c r="X114" s="1348">
        <f t="shared" si="53"/>
        <v>0.36675173168064162</v>
      </c>
    </row>
    <row r="115" spans="1:24" x14ac:dyDescent="0.25">
      <c r="A115" s="149" t="s">
        <v>166</v>
      </c>
      <c r="B115" s="189" t="s">
        <v>167</v>
      </c>
      <c r="C115" s="150" t="s">
        <v>268</v>
      </c>
      <c r="D115" s="243">
        <v>646</v>
      </c>
      <c r="E115" s="243">
        <v>383</v>
      </c>
      <c r="F115" s="243">
        <v>263</v>
      </c>
      <c r="G115" s="243">
        <v>44</v>
      </c>
      <c r="H115" s="243">
        <v>219</v>
      </c>
      <c r="I115" s="243"/>
      <c r="J115" s="1346">
        <f t="shared" si="44"/>
        <v>0.59287925696594423</v>
      </c>
      <c r="K115" s="1346">
        <f t="shared" si="45"/>
        <v>0.40712074303405571</v>
      </c>
      <c r="L115" s="1346">
        <f t="shared" si="46"/>
        <v>6.8111455108359129E-2</v>
      </c>
      <c r="M115" s="1346">
        <f t="shared" si="47"/>
        <v>0.33900928792569657</v>
      </c>
      <c r="O115" s="1347">
        <f t="shared" si="48"/>
        <v>64</v>
      </c>
      <c r="P115" s="1347">
        <v>36</v>
      </c>
      <c r="Q115" s="1347">
        <f t="shared" si="49"/>
        <v>28</v>
      </c>
      <c r="R115" s="1347">
        <v>0</v>
      </c>
      <c r="S115" s="1347">
        <v>28</v>
      </c>
      <c r="U115" s="1348">
        <f t="shared" si="50"/>
        <v>0.5625</v>
      </c>
      <c r="V115" s="1348">
        <f t="shared" si="51"/>
        <v>0.4375</v>
      </c>
      <c r="W115" s="1348">
        <f t="shared" si="52"/>
        <v>0</v>
      </c>
      <c r="X115" s="1348">
        <f t="shared" si="53"/>
        <v>0.4375</v>
      </c>
    </row>
    <row r="116" spans="1:24" x14ac:dyDescent="0.25">
      <c r="A116" s="149" t="s">
        <v>176</v>
      </c>
      <c r="B116" s="189" t="s">
        <v>177</v>
      </c>
      <c r="C116" s="150" t="s">
        <v>266</v>
      </c>
      <c r="D116" s="243">
        <v>5609</v>
      </c>
      <c r="E116" s="243">
        <v>1834</v>
      </c>
      <c r="F116" s="243">
        <v>3775</v>
      </c>
      <c r="G116" s="243">
        <v>316</v>
      </c>
      <c r="H116" s="243">
        <v>3459</v>
      </c>
      <c r="I116" s="243"/>
      <c r="J116" s="1346">
        <f t="shared" si="44"/>
        <v>0.32697450525940452</v>
      </c>
      <c r="K116" s="1346">
        <f t="shared" si="45"/>
        <v>0.67302549474059548</v>
      </c>
      <c r="L116" s="1346">
        <f t="shared" si="46"/>
        <v>5.6338028169014086E-2</v>
      </c>
      <c r="M116" s="1346">
        <f t="shared" si="47"/>
        <v>0.61668746657158136</v>
      </c>
      <c r="O116" s="1347">
        <f t="shared" si="48"/>
        <v>2394</v>
      </c>
      <c r="P116" s="1347">
        <v>769</v>
      </c>
      <c r="Q116" s="1347">
        <f t="shared" si="49"/>
        <v>1625</v>
      </c>
      <c r="R116" s="1347">
        <v>177</v>
      </c>
      <c r="S116" s="1347">
        <v>1448</v>
      </c>
      <c r="U116" s="1348">
        <f t="shared" si="50"/>
        <v>0.32121971595655807</v>
      </c>
      <c r="V116" s="1348">
        <f t="shared" si="51"/>
        <v>0.67878028404344193</v>
      </c>
      <c r="W116" s="1348">
        <f t="shared" si="52"/>
        <v>7.3934837092731825E-2</v>
      </c>
      <c r="X116" s="1348">
        <f t="shared" si="53"/>
        <v>0.60484544695071008</v>
      </c>
    </row>
    <row r="117" spans="1:24" x14ac:dyDescent="0.25">
      <c r="A117" s="149" t="s">
        <v>180</v>
      </c>
      <c r="B117" s="189" t="s">
        <v>181</v>
      </c>
      <c r="C117" s="150" t="s">
        <v>264</v>
      </c>
      <c r="D117" s="243">
        <v>18432</v>
      </c>
      <c r="E117" s="243">
        <v>8717</v>
      </c>
      <c r="F117" s="243">
        <v>9715</v>
      </c>
      <c r="G117" s="243">
        <v>1261</v>
      </c>
      <c r="H117" s="243">
        <v>8454</v>
      </c>
      <c r="I117" s="243"/>
      <c r="J117" s="1346">
        <f t="shared" si="44"/>
        <v>0.4729275173611111</v>
      </c>
      <c r="K117" s="1346">
        <f t="shared" si="45"/>
        <v>0.52707248263888884</v>
      </c>
      <c r="L117" s="1346">
        <f t="shared" si="46"/>
        <v>6.8413628472222224E-2</v>
      </c>
      <c r="M117" s="1346">
        <f t="shared" si="47"/>
        <v>0.45865885416666669</v>
      </c>
      <c r="O117" s="1347">
        <f t="shared" si="48"/>
        <v>6875</v>
      </c>
      <c r="P117" s="1347">
        <v>3338</v>
      </c>
      <c r="Q117" s="1347">
        <f t="shared" si="49"/>
        <v>3537</v>
      </c>
      <c r="R117" s="1347">
        <v>406</v>
      </c>
      <c r="S117" s="1347">
        <v>3131</v>
      </c>
      <c r="U117" s="1348">
        <f t="shared" si="50"/>
        <v>0.48552727272727275</v>
      </c>
      <c r="V117" s="1348">
        <f t="shared" si="51"/>
        <v>0.5144727272727273</v>
      </c>
      <c r="W117" s="1348">
        <f t="shared" si="52"/>
        <v>5.9054545454545457E-2</v>
      </c>
      <c r="X117" s="1348">
        <f t="shared" si="53"/>
        <v>0.45541818181818183</v>
      </c>
    </row>
    <row r="118" spans="1:24" x14ac:dyDescent="0.25">
      <c r="A118" s="149" t="s">
        <v>192</v>
      </c>
      <c r="B118" s="189" t="s">
        <v>193</v>
      </c>
      <c r="C118" s="150" t="s">
        <v>268</v>
      </c>
      <c r="D118" s="243">
        <v>2095</v>
      </c>
      <c r="E118" s="243">
        <v>1226</v>
      </c>
      <c r="F118" s="243">
        <v>869</v>
      </c>
      <c r="G118" s="243">
        <v>194</v>
      </c>
      <c r="H118" s="243">
        <v>675</v>
      </c>
      <c r="I118" s="243"/>
      <c r="J118" s="1346">
        <f t="shared" si="44"/>
        <v>0.58520286396181387</v>
      </c>
      <c r="K118" s="1346">
        <f t="shared" si="45"/>
        <v>0.41479713603818613</v>
      </c>
      <c r="L118" s="1346">
        <f t="shared" si="46"/>
        <v>9.2601431980906923E-2</v>
      </c>
      <c r="M118" s="1346">
        <f t="shared" si="47"/>
        <v>0.32219570405727921</v>
      </c>
      <c r="O118" s="1347">
        <f t="shared" si="48"/>
        <v>526</v>
      </c>
      <c r="P118" s="1347">
        <v>318</v>
      </c>
      <c r="Q118" s="1347">
        <f t="shared" si="49"/>
        <v>208</v>
      </c>
      <c r="R118" s="1347">
        <v>43</v>
      </c>
      <c r="S118" s="1347">
        <v>165</v>
      </c>
      <c r="U118" s="1348">
        <f t="shared" si="50"/>
        <v>0.6045627376425855</v>
      </c>
      <c r="V118" s="1348">
        <f t="shared" si="51"/>
        <v>0.39543726235741444</v>
      </c>
      <c r="W118" s="1348">
        <f t="shared" si="52"/>
        <v>8.17490494296578E-2</v>
      </c>
      <c r="X118" s="1348">
        <f t="shared" si="53"/>
        <v>0.31368821292775667</v>
      </c>
    </row>
    <row r="119" spans="1:24" x14ac:dyDescent="0.25">
      <c r="A119" s="149" t="s">
        <v>196</v>
      </c>
      <c r="B119" s="189" t="s">
        <v>197</v>
      </c>
      <c r="C119" s="150" t="s">
        <v>266</v>
      </c>
      <c r="D119" s="243">
        <v>32495</v>
      </c>
      <c r="E119" s="243">
        <v>12813</v>
      </c>
      <c r="F119" s="243">
        <v>19682</v>
      </c>
      <c r="G119" s="243">
        <v>2431</v>
      </c>
      <c r="H119" s="243">
        <v>17251</v>
      </c>
      <c r="I119" s="243"/>
      <c r="J119" s="1346">
        <f t="shared" si="44"/>
        <v>0.39430681643329746</v>
      </c>
      <c r="K119" s="1346">
        <f t="shared" si="45"/>
        <v>0.60569318356670254</v>
      </c>
      <c r="L119" s="1346">
        <f t="shared" si="46"/>
        <v>7.4811509462994308E-2</v>
      </c>
      <c r="M119" s="1346">
        <f t="shared" si="47"/>
        <v>0.53088167410370823</v>
      </c>
      <c r="O119" s="1347">
        <f t="shared" si="48"/>
        <v>13682</v>
      </c>
      <c r="P119" s="1347">
        <v>5907</v>
      </c>
      <c r="Q119" s="1347">
        <f t="shared" si="49"/>
        <v>7775</v>
      </c>
      <c r="R119" s="1347">
        <v>1244</v>
      </c>
      <c r="S119" s="1347">
        <v>6531</v>
      </c>
      <c r="U119" s="1348">
        <f t="shared" si="50"/>
        <v>0.43173512644350243</v>
      </c>
      <c r="V119" s="1348">
        <f t="shared" si="51"/>
        <v>0.56826487355649757</v>
      </c>
      <c r="W119" s="1348">
        <f t="shared" si="52"/>
        <v>9.0922379769039607E-2</v>
      </c>
      <c r="X119" s="1348">
        <f t="shared" si="53"/>
        <v>0.47734249378745797</v>
      </c>
    </row>
    <row r="120" spans="1:24" x14ac:dyDescent="0.25">
      <c r="A120" s="149" t="s">
        <v>200</v>
      </c>
      <c r="B120" s="189" t="s">
        <v>201</v>
      </c>
      <c r="C120" s="150" t="s">
        <v>265</v>
      </c>
      <c r="D120" s="243">
        <v>18467</v>
      </c>
      <c r="E120" s="243">
        <v>9682</v>
      </c>
      <c r="F120" s="243">
        <v>8785</v>
      </c>
      <c r="G120" s="243">
        <v>1378</v>
      </c>
      <c r="H120" s="243">
        <v>7407</v>
      </c>
      <c r="I120" s="243"/>
      <c r="J120" s="1346">
        <f t="shared" si="44"/>
        <v>0.52428656522445438</v>
      </c>
      <c r="K120" s="1346">
        <f t="shared" si="45"/>
        <v>0.47571343477554556</v>
      </c>
      <c r="L120" s="1346">
        <f t="shared" si="46"/>
        <v>7.4619591704120858E-2</v>
      </c>
      <c r="M120" s="1346">
        <f t="shared" si="47"/>
        <v>0.4010938430714247</v>
      </c>
      <c r="O120" s="1347">
        <f t="shared" si="48"/>
        <v>6951</v>
      </c>
      <c r="P120" s="1347">
        <v>3998</v>
      </c>
      <c r="Q120" s="1347">
        <f t="shared" si="49"/>
        <v>2953</v>
      </c>
      <c r="R120" s="1347">
        <v>542</v>
      </c>
      <c r="S120" s="1347">
        <v>2411</v>
      </c>
      <c r="U120" s="1348">
        <f t="shared" si="50"/>
        <v>0.57516904042583805</v>
      </c>
      <c r="V120" s="1348">
        <f t="shared" si="51"/>
        <v>0.424830959574162</v>
      </c>
      <c r="W120" s="1348">
        <f t="shared" si="52"/>
        <v>7.7974392173787946E-2</v>
      </c>
      <c r="X120" s="1348">
        <f t="shared" si="53"/>
        <v>0.34685656740037407</v>
      </c>
    </row>
    <row r="121" spans="1:24" x14ac:dyDescent="0.25">
      <c r="A121" s="149" t="s">
        <v>222</v>
      </c>
      <c r="B121" s="189" t="s">
        <v>223</v>
      </c>
      <c r="C121" s="150" t="s">
        <v>264</v>
      </c>
      <c r="D121" s="243">
        <v>18561</v>
      </c>
      <c r="E121" s="243">
        <v>12004</v>
      </c>
      <c r="F121" s="243">
        <v>6557</v>
      </c>
      <c r="G121" s="243">
        <v>891</v>
      </c>
      <c r="H121" s="243">
        <v>5666</v>
      </c>
      <c r="I121" s="243"/>
      <c r="J121" s="1346">
        <f t="shared" si="44"/>
        <v>0.64673239588384246</v>
      </c>
      <c r="K121" s="1346">
        <f t="shared" si="45"/>
        <v>0.35326760411615754</v>
      </c>
      <c r="L121" s="1346">
        <f t="shared" si="46"/>
        <v>4.8003879101341525E-2</v>
      </c>
      <c r="M121" s="1346">
        <f t="shared" si="47"/>
        <v>0.30526372501481602</v>
      </c>
      <c r="O121" s="1347">
        <f t="shared" si="48"/>
        <v>5700</v>
      </c>
      <c r="P121" s="1347">
        <v>3701</v>
      </c>
      <c r="Q121" s="1347">
        <f t="shared" si="49"/>
        <v>1999</v>
      </c>
      <c r="R121" s="1347">
        <v>208</v>
      </c>
      <c r="S121" s="1347">
        <v>1791</v>
      </c>
      <c r="U121" s="1348">
        <f t="shared" si="50"/>
        <v>0.64929824561403504</v>
      </c>
      <c r="V121" s="1348">
        <f t="shared" si="51"/>
        <v>0.3507017543859649</v>
      </c>
      <c r="W121" s="1348">
        <f t="shared" si="52"/>
        <v>3.6491228070175435E-2</v>
      </c>
      <c r="X121" s="1348">
        <f t="shared" si="53"/>
        <v>0.3142105263157895</v>
      </c>
    </row>
    <row r="122" spans="1:24" x14ac:dyDescent="0.25">
      <c r="A122" s="149" t="s">
        <v>230</v>
      </c>
      <c r="B122" s="189" t="s">
        <v>231</v>
      </c>
      <c r="C122" s="150" t="s">
        <v>264</v>
      </c>
      <c r="D122" s="243">
        <v>93305</v>
      </c>
      <c r="E122" s="243">
        <v>65106</v>
      </c>
      <c r="F122" s="243">
        <v>28199</v>
      </c>
      <c r="G122" s="243">
        <v>4937</v>
      </c>
      <c r="H122" s="243">
        <v>23262</v>
      </c>
      <c r="I122" s="243"/>
      <c r="J122" s="1346">
        <f t="shared" si="44"/>
        <v>0.69777611060500511</v>
      </c>
      <c r="K122" s="1346">
        <f t="shared" si="45"/>
        <v>0.30222388939499489</v>
      </c>
      <c r="L122" s="1346">
        <f t="shared" si="46"/>
        <v>5.2912491291999354E-2</v>
      </c>
      <c r="M122" s="1346">
        <f t="shared" si="47"/>
        <v>0.24931139810299555</v>
      </c>
      <c r="O122" s="1347">
        <f t="shared" si="48"/>
        <v>30632</v>
      </c>
      <c r="P122" s="1347">
        <v>22520</v>
      </c>
      <c r="Q122" s="1347">
        <f t="shared" si="49"/>
        <v>8112</v>
      </c>
      <c r="R122" s="1347">
        <v>1452</v>
      </c>
      <c r="S122" s="1347">
        <v>6660</v>
      </c>
      <c r="U122" s="1348">
        <f t="shared" si="50"/>
        <v>0.73517889788456514</v>
      </c>
      <c r="V122" s="1348">
        <f t="shared" si="51"/>
        <v>0.26482110211543486</v>
      </c>
      <c r="W122" s="1348">
        <f t="shared" si="52"/>
        <v>4.740141028989292E-2</v>
      </c>
      <c r="X122" s="1348">
        <f t="shared" si="53"/>
        <v>0.21741969182554191</v>
      </c>
    </row>
    <row r="123" spans="1:24" x14ac:dyDescent="0.25">
      <c r="A123" s="149" t="s">
        <v>238</v>
      </c>
      <c r="B123" s="189" t="s">
        <v>239</v>
      </c>
      <c r="C123" s="150" t="s">
        <v>264</v>
      </c>
      <c r="D123" s="243">
        <v>1367</v>
      </c>
      <c r="E123" s="243">
        <v>798</v>
      </c>
      <c r="F123" s="243">
        <v>569</v>
      </c>
      <c r="G123" s="243">
        <v>134</v>
      </c>
      <c r="H123" s="243">
        <v>435</v>
      </c>
      <c r="I123" s="243"/>
      <c r="J123" s="1346">
        <f t="shared" si="44"/>
        <v>0.58376005852231161</v>
      </c>
      <c r="K123" s="1346">
        <f t="shared" si="45"/>
        <v>0.41623994147768839</v>
      </c>
      <c r="L123" s="1346">
        <f t="shared" si="46"/>
        <v>9.8024871982443307E-2</v>
      </c>
      <c r="M123" s="1346">
        <f t="shared" si="47"/>
        <v>0.31821506949524508</v>
      </c>
      <c r="O123" s="1347">
        <f t="shared" si="48"/>
        <v>504</v>
      </c>
      <c r="P123" s="1347">
        <v>338</v>
      </c>
      <c r="Q123" s="1347">
        <f t="shared" si="49"/>
        <v>166</v>
      </c>
      <c r="R123" s="1347">
        <v>40</v>
      </c>
      <c r="S123" s="1347">
        <v>126</v>
      </c>
      <c r="U123" s="1348">
        <f t="shared" si="50"/>
        <v>0.67063492063492058</v>
      </c>
      <c r="V123" s="1348">
        <f t="shared" si="51"/>
        <v>0.32936507936507936</v>
      </c>
      <c r="W123" s="1348">
        <f t="shared" si="52"/>
        <v>7.9365079365079361E-2</v>
      </c>
      <c r="X123" s="1348">
        <f t="shared" si="53"/>
        <v>0.25</v>
      </c>
    </row>
    <row r="124" spans="1:24" x14ac:dyDescent="0.25">
      <c r="A124" s="155" t="s">
        <v>240</v>
      </c>
      <c r="B124" s="191" t="s">
        <v>241</v>
      </c>
      <c r="C124" s="156" t="s">
        <v>267</v>
      </c>
      <c r="D124" s="243">
        <v>5520</v>
      </c>
      <c r="E124" s="243">
        <v>3462</v>
      </c>
      <c r="F124" s="243">
        <v>2058</v>
      </c>
      <c r="G124" s="243">
        <v>520</v>
      </c>
      <c r="H124" s="243">
        <v>1538</v>
      </c>
      <c r="I124" s="243"/>
      <c r="J124" s="1346">
        <f t="shared" si="44"/>
        <v>0.62717391304347825</v>
      </c>
      <c r="K124" s="1346">
        <f t="shared" si="45"/>
        <v>0.37282608695652175</v>
      </c>
      <c r="L124" s="1346">
        <f t="shared" si="46"/>
        <v>9.420289855072464E-2</v>
      </c>
      <c r="M124" s="1346">
        <f t="shared" si="47"/>
        <v>0.27862318840579708</v>
      </c>
      <c r="O124" s="1347">
        <f t="shared" si="48"/>
        <v>1824</v>
      </c>
      <c r="P124" s="1347">
        <v>1163</v>
      </c>
      <c r="Q124" s="1347">
        <f t="shared" si="49"/>
        <v>661</v>
      </c>
      <c r="R124" s="1347">
        <v>279</v>
      </c>
      <c r="S124" s="1347">
        <v>382</v>
      </c>
      <c r="U124" s="1348">
        <f t="shared" si="50"/>
        <v>0.63760964912280704</v>
      </c>
      <c r="V124" s="1348">
        <f t="shared" si="51"/>
        <v>0.36239035087719296</v>
      </c>
      <c r="W124" s="1348">
        <f t="shared" si="52"/>
        <v>0.15296052631578946</v>
      </c>
      <c r="X124" s="1348">
        <f t="shared" si="53"/>
        <v>0.20942982456140352</v>
      </c>
    </row>
    <row r="125" spans="1:24" x14ac:dyDescent="0.25">
      <c r="A125" s="283"/>
      <c r="B125" s="236"/>
      <c r="C125" s="284"/>
    </row>
    <row r="126" spans="1:24" x14ac:dyDescent="0.25">
      <c r="A126" s="283" t="s">
        <v>266</v>
      </c>
      <c r="B126" s="236"/>
      <c r="C126" s="284"/>
      <c r="D126" s="1358">
        <v>261936</v>
      </c>
      <c r="E126" s="1359">
        <v>174816</v>
      </c>
      <c r="F126" s="984">
        <v>87120</v>
      </c>
      <c r="G126" s="1359">
        <v>16004</v>
      </c>
      <c r="H126" s="1359">
        <v>71116</v>
      </c>
      <c r="J126" s="1346">
        <f t="shared" ref="J126:J130" si="54">E126/D126</f>
        <v>0.66739967014843316</v>
      </c>
      <c r="K126" s="1346">
        <f t="shared" ref="K126:K130" si="55">F126/D126</f>
        <v>0.33260032985156679</v>
      </c>
      <c r="L126" s="1346">
        <f t="shared" ref="L126:L130" si="56">G126/D126</f>
        <v>6.1098894386415005E-2</v>
      </c>
      <c r="M126" s="1346">
        <f t="shared" ref="M126:M130" si="57">H126/D126</f>
        <v>0.27150143546515182</v>
      </c>
      <c r="O126" s="984">
        <v>82864</v>
      </c>
      <c r="P126" s="984">
        <v>54000</v>
      </c>
      <c r="Q126" s="1855">
        <v>28684</v>
      </c>
      <c r="R126" s="984">
        <v>5524</v>
      </c>
      <c r="S126" s="984">
        <v>23160</v>
      </c>
      <c r="U126" s="1348">
        <f t="shared" ref="U126:U130" si="58">P126/O126</f>
        <v>0.65167020660359143</v>
      </c>
      <c r="V126" s="1348">
        <f t="shared" ref="V126:V130" si="59">Q126/O126</f>
        <v>0.34615755937439663</v>
      </c>
      <c r="W126" s="1348">
        <f t="shared" ref="W126:W130" si="60">R126/O126</f>
        <v>6.6663448542189613E-2</v>
      </c>
      <c r="X126" s="1348">
        <f t="shared" ref="X126:X130" si="61">S126/O126</f>
        <v>0.27949411083220699</v>
      </c>
    </row>
    <row r="127" spans="1:24" x14ac:dyDescent="0.25">
      <c r="A127" s="283" t="s">
        <v>264</v>
      </c>
      <c r="B127" s="236"/>
      <c r="C127" s="284"/>
      <c r="D127" s="1856">
        <v>365894</v>
      </c>
      <c r="E127" s="984">
        <v>233839</v>
      </c>
      <c r="F127" s="984">
        <v>132055</v>
      </c>
      <c r="G127" s="984">
        <v>21663</v>
      </c>
      <c r="H127" s="984">
        <v>110392</v>
      </c>
      <c r="J127" s="1346">
        <f t="shared" si="54"/>
        <v>0.63908946306853898</v>
      </c>
      <c r="K127" s="1346">
        <f t="shared" si="55"/>
        <v>0.36091053693146102</v>
      </c>
      <c r="L127" s="1346">
        <f t="shared" si="56"/>
        <v>5.9205671587946235E-2</v>
      </c>
      <c r="M127" s="1346">
        <f t="shared" si="57"/>
        <v>0.30170486534351476</v>
      </c>
      <c r="O127" s="984">
        <v>120028</v>
      </c>
      <c r="P127" s="984">
        <v>77651</v>
      </c>
      <c r="Q127" s="1855">
        <v>42377</v>
      </c>
      <c r="R127" s="984">
        <v>7159</v>
      </c>
      <c r="S127" s="984">
        <v>35218</v>
      </c>
      <c r="U127" s="1348">
        <f t="shared" si="58"/>
        <v>0.64694071383343887</v>
      </c>
      <c r="V127" s="1348">
        <f t="shared" si="59"/>
        <v>0.35305928616656113</v>
      </c>
      <c r="W127" s="1348">
        <f t="shared" si="60"/>
        <v>5.9644416302862664E-2</v>
      </c>
      <c r="X127" s="1348">
        <f t="shared" si="61"/>
        <v>0.29341486986369847</v>
      </c>
    </row>
    <row r="128" spans="1:24" x14ac:dyDescent="0.25">
      <c r="A128" s="283" t="s">
        <v>267</v>
      </c>
      <c r="B128" s="236"/>
      <c r="C128" s="284"/>
      <c r="D128" s="1856">
        <v>723748</v>
      </c>
      <c r="E128" s="984">
        <v>580205</v>
      </c>
      <c r="F128" s="984">
        <v>143543</v>
      </c>
      <c r="G128" s="984">
        <v>36438</v>
      </c>
      <c r="H128" s="984">
        <v>107105</v>
      </c>
      <c r="J128" s="1346">
        <f t="shared" si="54"/>
        <v>0.80166715486605833</v>
      </c>
      <c r="K128" s="1346">
        <f t="shared" si="55"/>
        <v>0.19833284513394164</v>
      </c>
      <c r="L128" s="1346">
        <f t="shared" si="56"/>
        <v>5.034625311572536E-2</v>
      </c>
      <c r="M128" s="1346">
        <f t="shared" si="57"/>
        <v>0.14798659201821629</v>
      </c>
      <c r="O128" s="984">
        <v>239071</v>
      </c>
      <c r="P128" s="984">
        <v>196521</v>
      </c>
      <c r="Q128" s="1855">
        <v>42550</v>
      </c>
      <c r="R128" s="984">
        <v>12297</v>
      </c>
      <c r="S128" s="984">
        <v>30253</v>
      </c>
      <c r="U128" s="1348">
        <f t="shared" si="58"/>
        <v>0.82201940009453256</v>
      </c>
      <c r="V128" s="1348">
        <f t="shared" si="59"/>
        <v>0.17798059990546741</v>
      </c>
      <c r="W128" s="1348">
        <f t="shared" si="60"/>
        <v>5.1436602515570688E-2</v>
      </c>
      <c r="X128" s="1348">
        <f t="shared" si="61"/>
        <v>0.12654399738989672</v>
      </c>
    </row>
    <row r="129" spans="1:24" x14ac:dyDescent="0.25">
      <c r="A129" s="283" t="s">
        <v>265</v>
      </c>
      <c r="B129" s="236"/>
      <c r="C129" s="284"/>
      <c r="D129" s="1856">
        <v>208956</v>
      </c>
      <c r="E129" s="984">
        <v>143906</v>
      </c>
      <c r="F129" s="984">
        <v>65050</v>
      </c>
      <c r="G129" s="984">
        <v>12739</v>
      </c>
      <c r="H129" s="984">
        <v>52311</v>
      </c>
      <c r="J129" s="1346">
        <f t="shared" si="54"/>
        <v>0.68869044200692964</v>
      </c>
      <c r="K129" s="1346">
        <f t="shared" si="55"/>
        <v>0.31130955799307031</v>
      </c>
      <c r="L129" s="1346">
        <f t="shared" si="56"/>
        <v>6.0964987844330867E-2</v>
      </c>
      <c r="M129" s="1346">
        <f t="shared" si="57"/>
        <v>0.25034457014873945</v>
      </c>
      <c r="O129" s="984">
        <v>63411</v>
      </c>
      <c r="P129" s="984">
        <v>44465</v>
      </c>
      <c r="Q129" s="1855">
        <v>18946</v>
      </c>
      <c r="R129" s="984">
        <v>4374</v>
      </c>
      <c r="S129" s="984">
        <v>14572</v>
      </c>
      <c r="U129" s="1348">
        <f t="shared" si="58"/>
        <v>0.70121903139833786</v>
      </c>
      <c r="V129" s="1348">
        <f t="shared" si="59"/>
        <v>0.29878096860166214</v>
      </c>
      <c r="W129" s="1348">
        <f t="shared" si="60"/>
        <v>6.8978568387188341E-2</v>
      </c>
      <c r="X129" s="1348">
        <f t="shared" si="61"/>
        <v>0.22980240021447382</v>
      </c>
    </row>
    <row r="130" spans="1:24" x14ac:dyDescent="0.25">
      <c r="A130" s="283" t="s">
        <v>268</v>
      </c>
      <c r="B130" s="236"/>
      <c r="C130" s="284"/>
      <c r="D130" s="1856">
        <v>97872</v>
      </c>
      <c r="E130" s="984">
        <v>69862</v>
      </c>
      <c r="F130" s="984">
        <v>28010</v>
      </c>
      <c r="G130" s="984">
        <v>7490</v>
      </c>
      <c r="H130" s="984">
        <v>20520</v>
      </c>
      <c r="J130" s="1346">
        <f t="shared" si="54"/>
        <v>0.71380987412130126</v>
      </c>
      <c r="K130" s="1346">
        <f t="shared" si="55"/>
        <v>0.28619012587869869</v>
      </c>
      <c r="L130" s="1346">
        <f t="shared" si="56"/>
        <v>7.6528527055746282E-2</v>
      </c>
      <c r="M130" s="1346">
        <f t="shared" si="57"/>
        <v>0.20966159882295243</v>
      </c>
      <c r="O130" s="984">
        <v>29377</v>
      </c>
      <c r="P130" s="984">
        <v>20859</v>
      </c>
      <c r="Q130" s="1855">
        <v>8518</v>
      </c>
      <c r="R130" s="984">
        <v>2433</v>
      </c>
      <c r="S130" s="984">
        <v>6085</v>
      </c>
      <c r="U130" s="1348">
        <f t="shared" si="58"/>
        <v>0.71004527351329272</v>
      </c>
      <c r="V130" s="1348">
        <f t="shared" si="59"/>
        <v>0.28995472648670728</v>
      </c>
      <c r="W130" s="1348">
        <f t="shared" si="60"/>
        <v>8.2819893113660351E-2</v>
      </c>
      <c r="X130" s="1348">
        <f t="shared" si="61"/>
        <v>0.20713483337304694</v>
      </c>
    </row>
    <row r="131" spans="1:24" x14ac:dyDescent="0.25">
      <c r="A131" s="283"/>
      <c r="B131" s="236"/>
      <c r="C131" s="284"/>
    </row>
    <row r="132" spans="1:24" x14ac:dyDescent="0.25">
      <c r="A132" s="1357" t="s">
        <v>1270</v>
      </c>
      <c r="B132"/>
      <c r="C132"/>
    </row>
    <row r="133" spans="1:24" x14ac:dyDescent="0.25">
      <c r="A133" s="185" t="s">
        <v>248</v>
      </c>
      <c r="B133" s="185"/>
      <c r="C133" s="185"/>
    </row>
    <row r="134" spans="1:24" x14ac:dyDescent="0.25">
      <c r="A134" s="192" t="s">
        <v>249</v>
      </c>
      <c r="B134" s="170" t="s">
        <v>250</v>
      </c>
      <c r="C134" s="185"/>
    </row>
  </sheetData>
  <autoFilter ref="A3:C124"/>
  <sortState ref="A5:X124">
    <sortCondition ref="A5:A124"/>
  </sortState>
  <hyperlinks>
    <hyperlink ref="B134" r:id="rId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U129"/>
  <sheetViews>
    <sheetView workbookViewId="0">
      <pane ySplit="4" topLeftCell="A106" activePane="bottomLeft" state="frozen"/>
      <selection pane="bottomLeft" activeCell="S85" sqref="S85"/>
    </sheetView>
  </sheetViews>
  <sheetFormatPr defaultRowHeight="12.75" customHeight="1" x14ac:dyDescent="0.25"/>
  <cols>
    <col min="1" max="1" width="9" style="532"/>
    <col min="2" max="2" width="33.375" style="532" customWidth="1"/>
    <col min="3" max="3" width="16.75" style="532" customWidth="1"/>
    <col min="4" max="14" width="8.875" style="532" customWidth="1"/>
    <col min="15" max="15" width="4.625" style="532" customWidth="1"/>
    <col min="16" max="16" width="10.5" style="532" customWidth="1"/>
    <col min="17" max="16384" width="9" style="532"/>
  </cols>
  <sheetData>
    <row r="1" spans="1:21" ht="12.75" customHeight="1" x14ac:dyDescent="0.25">
      <c r="A1" s="258" t="s">
        <v>1149</v>
      </c>
    </row>
    <row r="3" spans="1:21" ht="53.25" customHeight="1" x14ac:dyDescent="0.25">
      <c r="A3" s="537" t="s">
        <v>4</v>
      </c>
      <c r="B3" s="538" t="s">
        <v>5</v>
      </c>
      <c r="C3" s="595" t="s">
        <v>251</v>
      </c>
      <c r="D3" s="558" t="s">
        <v>530</v>
      </c>
      <c r="E3" s="558" t="s">
        <v>531</v>
      </c>
      <c r="F3" s="558" t="s">
        <v>532</v>
      </c>
      <c r="G3" s="558" t="s">
        <v>533</v>
      </c>
      <c r="H3" s="558" t="s">
        <v>534</v>
      </c>
      <c r="I3" s="558" t="s">
        <v>535</v>
      </c>
      <c r="J3" s="558" t="s">
        <v>740</v>
      </c>
      <c r="K3" s="558" t="s">
        <v>732</v>
      </c>
      <c r="L3" s="646" t="s">
        <v>831</v>
      </c>
      <c r="M3" s="646" t="s">
        <v>883</v>
      </c>
      <c r="N3" s="646" t="s">
        <v>1157</v>
      </c>
      <c r="O3" s="534"/>
      <c r="P3" s="534" t="s">
        <v>1151</v>
      </c>
      <c r="Q3" s="534" t="s">
        <v>1124</v>
      </c>
      <c r="R3" s="534" t="s">
        <v>1125</v>
      </c>
      <c r="S3" s="534"/>
      <c r="T3" s="534"/>
      <c r="U3" s="534"/>
    </row>
    <row r="4" spans="1:21" ht="15.75" x14ac:dyDescent="0.25">
      <c r="A4" s="632">
        <v>999</v>
      </c>
      <c r="B4" s="599" t="s">
        <v>9</v>
      </c>
      <c r="C4" s="633"/>
      <c r="D4" s="535">
        <f t="shared" ref="D4:L4" si="0">SUM(D5:D124)</f>
        <v>751272</v>
      </c>
      <c r="E4" s="535">
        <f t="shared" si="0"/>
        <v>788458</v>
      </c>
      <c r="F4" s="535">
        <f t="shared" si="0"/>
        <v>802040</v>
      </c>
      <c r="G4" s="535">
        <f t="shared" si="0"/>
        <v>843341</v>
      </c>
      <c r="H4" s="535">
        <f t="shared" si="0"/>
        <v>976493</v>
      </c>
      <c r="I4" s="535">
        <f t="shared" si="0"/>
        <v>1149555</v>
      </c>
      <c r="J4" s="536">
        <f t="shared" si="0"/>
        <v>1261099</v>
      </c>
      <c r="K4" s="536">
        <f t="shared" si="0"/>
        <v>1343272</v>
      </c>
      <c r="L4" s="957">
        <f t="shared" si="0"/>
        <v>1402476</v>
      </c>
      <c r="M4" s="957">
        <v>1359367</v>
      </c>
      <c r="N4" s="1597">
        <v>1287689</v>
      </c>
      <c r="O4" s="534"/>
      <c r="P4" s="534"/>
      <c r="Q4" s="534"/>
      <c r="R4" s="534"/>
      <c r="S4" s="534"/>
      <c r="T4" s="534"/>
      <c r="U4" s="534"/>
    </row>
    <row r="5" spans="1:21" ht="15.75" x14ac:dyDescent="0.25">
      <c r="A5" s="539" t="s">
        <v>10</v>
      </c>
      <c r="B5" s="542" t="s">
        <v>11</v>
      </c>
      <c r="C5" s="597" t="s">
        <v>264</v>
      </c>
      <c r="D5" s="545">
        <v>5982</v>
      </c>
      <c r="E5" s="545">
        <v>6196</v>
      </c>
      <c r="F5" s="545">
        <v>6487</v>
      </c>
      <c r="G5" s="545">
        <v>6764</v>
      </c>
      <c r="H5" s="545">
        <v>7393</v>
      </c>
      <c r="I5" s="545">
        <v>8490</v>
      </c>
      <c r="J5" s="545">
        <v>9362</v>
      </c>
      <c r="K5" s="546">
        <v>10046</v>
      </c>
      <c r="L5" s="958">
        <v>10332</v>
      </c>
      <c r="M5" s="958">
        <v>10088</v>
      </c>
      <c r="N5" s="1598">
        <v>9291</v>
      </c>
      <c r="P5" s="272">
        <f t="shared" ref="P5:P36" si="1">(M5-N5)/M5</f>
        <v>7.9004758128469466E-2</v>
      </c>
      <c r="Q5" s="272">
        <f t="shared" ref="Q5:Q36" si="2">(L5-M5)/L5</f>
        <v>2.3615950445218737E-2</v>
      </c>
      <c r="R5" s="272">
        <f t="shared" ref="R5:R36" si="3">(L5-K5)/K5</f>
        <v>2.8469042404937289E-2</v>
      </c>
    </row>
    <row r="6" spans="1:21" ht="15.75" x14ac:dyDescent="0.25">
      <c r="A6" s="540" t="s">
        <v>12</v>
      </c>
      <c r="B6" s="543" t="s">
        <v>13</v>
      </c>
      <c r="C6" s="598" t="s">
        <v>265</v>
      </c>
      <c r="D6" s="547">
        <v>4580</v>
      </c>
      <c r="E6" s="547">
        <v>5076</v>
      </c>
      <c r="F6" s="547">
        <v>5231</v>
      </c>
      <c r="G6" s="547">
        <v>5708</v>
      </c>
      <c r="H6" s="547">
        <v>7052</v>
      </c>
      <c r="I6" s="547">
        <v>8838</v>
      </c>
      <c r="J6" s="547">
        <v>9931</v>
      </c>
      <c r="K6" s="548">
        <v>10527</v>
      </c>
      <c r="L6" s="958">
        <v>10776</v>
      </c>
      <c r="M6" s="958">
        <v>10403</v>
      </c>
      <c r="N6" s="1598">
        <v>9833</v>
      </c>
      <c r="P6" s="272">
        <f t="shared" si="1"/>
        <v>5.4791886955685862E-2</v>
      </c>
      <c r="Q6" s="272">
        <f t="shared" si="2"/>
        <v>3.4613956941351151E-2</v>
      </c>
      <c r="R6" s="272">
        <f t="shared" si="3"/>
        <v>2.365346252493588E-2</v>
      </c>
    </row>
    <row r="7" spans="1:21" ht="15.75" x14ac:dyDescent="0.25">
      <c r="A7" s="540" t="s">
        <v>16</v>
      </c>
      <c r="B7" s="543" t="s">
        <v>297</v>
      </c>
      <c r="C7" s="598" t="s">
        <v>265</v>
      </c>
      <c r="D7" s="547">
        <v>3621</v>
      </c>
      <c r="E7" s="547">
        <v>3696</v>
      </c>
      <c r="F7" s="547">
        <v>3868</v>
      </c>
      <c r="G7" s="547">
        <v>4048</v>
      </c>
      <c r="H7" s="547">
        <v>4527</v>
      </c>
      <c r="I7" s="547">
        <v>4745</v>
      </c>
      <c r="J7" s="547">
        <v>4987</v>
      </c>
      <c r="K7" s="548">
        <v>5413</v>
      </c>
      <c r="L7" s="958">
        <v>5618</v>
      </c>
      <c r="M7" s="958">
        <v>5278</v>
      </c>
      <c r="N7" s="1598">
        <v>5000</v>
      </c>
      <c r="P7" s="272">
        <f t="shared" si="1"/>
        <v>5.267146646456991E-2</v>
      </c>
      <c r="Q7" s="1515">
        <f t="shared" si="2"/>
        <v>6.0519757920968316E-2</v>
      </c>
      <c r="R7" s="1515">
        <f t="shared" si="3"/>
        <v>3.7871790134860521E-2</v>
      </c>
    </row>
    <row r="8" spans="1:21" ht="15.75" x14ac:dyDescent="0.25">
      <c r="A8" s="540" t="s">
        <v>18</v>
      </c>
      <c r="B8" s="543" t="s">
        <v>19</v>
      </c>
      <c r="C8" s="598" t="s">
        <v>266</v>
      </c>
      <c r="D8" s="547">
        <v>1509</v>
      </c>
      <c r="E8" s="547">
        <v>1696</v>
      </c>
      <c r="F8" s="547">
        <v>1683</v>
      </c>
      <c r="G8" s="547">
        <v>1729</v>
      </c>
      <c r="H8" s="547">
        <v>2278</v>
      </c>
      <c r="I8" s="547">
        <v>2779</v>
      </c>
      <c r="J8" s="547">
        <v>2928</v>
      </c>
      <c r="K8" s="548">
        <v>3096</v>
      </c>
      <c r="L8" s="958">
        <v>3000</v>
      </c>
      <c r="M8" s="958">
        <v>2803</v>
      </c>
      <c r="N8" s="1598">
        <v>2546</v>
      </c>
      <c r="P8" s="272">
        <f t="shared" si="1"/>
        <v>9.1687477702461648E-2</v>
      </c>
      <c r="Q8" s="272">
        <f t="shared" si="2"/>
        <v>6.5666666666666665E-2</v>
      </c>
      <c r="R8" s="272">
        <f t="shared" si="3"/>
        <v>-3.1007751937984496E-2</v>
      </c>
    </row>
    <row r="9" spans="1:21" ht="15.75" x14ac:dyDescent="0.25">
      <c r="A9" s="540" t="s">
        <v>20</v>
      </c>
      <c r="B9" s="543" t="s">
        <v>21</v>
      </c>
      <c r="C9" s="598" t="s">
        <v>265</v>
      </c>
      <c r="D9" s="547">
        <v>4148</v>
      </c>
      <c r="E9" s="547">
        <v>4347</v>
      </c>
      <c r="F9" s="547">
        <v>4122</v>
      </c>
      <c r="G9" s="547">
        <v>4158</v>
      </c>
      <c r="H9" s="547">
        <v>4754</v>
      </c>
      <c r="I9" s="547">
        <v>5718</v>
      </c>
      <c r="J9" s="547">
        <v>5979</v>
      </c>
      <c r="K9" s="548">
        <v>6082</v>
      </c>
      <c r="L9" s="958">
        <v>6250</v>
      </c>
      <c r="M9" s="958">
        <v>5848</v>
      </c>
      <c r="N9" s="1598">
        <v>5298</v>
      </c>
      <c r="P9" s="272">
        <f t="shared" si="1"/>
        <v>9.4049247606019154E-2</v>
      </c>
      <c r="Q9" s="272">
        <f t="shared" si="2"/>
        <v>6.4320000000000002E-2</v>
      </c>
      <c r="R9" s="272">
        <f t="shared" si="3"/>
        <v>2.7622492601118053E-2</v>
      </c>
    </row>
    <row r="10" spans="1:21" ht="15.75" x14ac:dyDescent="0.25">
      <c r="A10" s="540" t="s">
        <v>22</v>
      </c>
      <c r="B10" s="543" t="s">
        <v>23</v>
      </c>
      <c r="C10" s="598" t="s">
        <v>265</v>
      </c>
      <c r="D10" s="547">
        <v>2212</v>
      </c>
      <c r="E10" s="547">
        <v>2324</v>
      </c>
      <c r="F10" s="547">
        <v>2356</v>
      </c>
      <c r="G10" s="547">
        <v>2555</v>
      </c>
      <c r="H10" s="547">
        <v>2809</v>
      </c>
      <c r="I10" s="547">
        <v>3211</v>
      </c>
      <c r="J10" s="547">
        <v>3456</v>
      </c>
      <c r="K10" s="548">
        <v>3681</v>
      </c>
      <c r="L10" s="958">
        <v>3788</v>
      </c>
      <c r="M10" s="958">
        <v>3667</v>
      </c>
      <c r="N10" s="1598">
        <v>3487</v>
      </c>
      <c r="P10" s="272">
        <f t="shared" si="1"/>
        <v>4.9086446686664849E-2</v>
      </c>
      <c r="Q10" s="272">
        <f t="shared" si="2"/>
        <v>3.1942977824709611E-2</v>
      </c>
      <c r="R10" s="272">
        <f t="shared" si="3"/>
        <v>2.9068187992393371E-2</v>
      </c>
    </row>
    <row r="11" spans="1:21" ht="15.75" x14ac:dyDescent="0.25">
      <c r="A11" s="540" t="s">
        <v>24</v>
      </c>
      <c r="B11" s="543" t="s">
        <v>25</v>
      </c>
      <c r="C11" s="598" t="s">
        <v>267</v>
      </c>
      <c r="D11" s="547">
        <v>7066</v>
      </c>
      <c r="E11" s="547">
        <v>6991</v>
      </c>
      <c r="F11" s="547">
        <v>6532</v>
      </c>
      <c r="G11" s="547">
        <v>6865</v>
      </c>
      <c r="H11" s="547">
        <v>8392</v>
      </c>
      <c r="I11" s="547">
        <v>10038</v>
      </c>
      <c r="J11" s="547">
        <v>11526</v>
      </c>
      <c r="K11" s="548">
        <v>12781</v>
      </c>
      <c r="L11" s="958">
        <v>13822</v>
      </c>
      <c r="M11" s="958">
        <v>13840</v>
      </c>
      <c r="N11" s="1598">
        <v>13383</v>
      </c>
      <c r="P11" s="272">
        <f t="shared" si="1"/>
        <v>3.3020231213872833E-2</v>
      </c>
      <c r="Q11" s="272">
        <f t="shared" si="2"/>
        <v>-1.3022717407032266E-3</v>
      </c>
      <c r="R11" s="272">
        <f t="shared" si="3"/>
        <v>8.1449025897817079E-2</v>
      </c>
    </row>
    <row r="12" spans="1:21" ht="15.75" x14ac:dyDescent="0.25">
      <c r="A12" s="540" t="s">
        <v>26</v>
      </c>
      <c r="B12" s="543" t="s">
        <v>686</v>
      </c>
      <c r="C12" s="598" t="s">
        <v>265</v>
      </c>
      <c r="D12" s="547">
        <v>11894</v>
      </c>
      <c r="E12" s="547">
        <v>12791</v>
      </c>
      <c r="F12" s="547">
        <v>13054</v>
      </c>
      <c r="G12" s="547">
        <v>14389</v>
      </c>
      <c r="H12" s="547">
        <v>17153</v>
      </c>
      <c r="I12" s="547">
        <v>20080</v>
      </c>
      <c r="J12" s="547">
        <v>22221</v>
      </c>
      <c r="K12" s="548">
        <v>23384</v>
      </c>
      <c r="L12" s="958">
        <v>25492</v>
      </c>
      <c r="M12" s="958">
        <v>22640</v>
      </c>
      <c r="N12" s="1598">
        <v>20472</v>
      </c>
      <c r="P12" s="272">
        <f t="shared" si="1"/>
        <v>9.5759717314487638E-2</v>
      </c>
      <c r="Q12" s="1515">
        <f t="shared" si="2"/>
        <v>0.1118782363094304</v>
      </c>
      <c r="R12" s="1515">
        <f t="shared" si="3"/>
        <v>9.0147109134450912E-2</v>
      </c>
    </row>
    <row r="13" spans="1:21" ht="15.75" x14ac:dyDescent="0.25">
      <c r="A13" s="540" t="s">
        <v>27</v>
      </c>
      <c r="B13" s="543" t="s">
        <v>28</v>
      </c>
      <c r="C13" s="598" t="s">
        <v>265</v>
      </c>
      <c r="D13" s="547">
        <v>285</v>
      </c>
      <c r="E13" s="547">
        <v>275</v>
      </c>
      <c r="F13" s="547">
        <v>306</v>
      </c>
      <c r="G13" s="547">
        <v>400</v>
      </c>
      <c r="H13" s="547">
        <v>470</v>
      </c>
      <c r="I13" s="547">
        <v>573</v>
      </c>
      <c r="J13" s="547">
        <v>579</v>
      </c>
      <c r="K13" s="548">
        <v>693</v>
      </c>
      <c r="L13" s="958">
        <v>750</v>
      </c>
      <c r="M13" s="958">
        <v>665</v>
      </c>
      <c r="N13" s="1598">
        <v>589</v>
      </c>
      <c r="P13" s="272">
        <f t="shared" si="1"/>
        <v>0.11428571428571428</v>
      </c>
      <c r="Q13" s="272">
        <f t="shared" si="2"/>
        <v>0.11333333333333333</v>
      </c>
      <c r="R13" s="272">
        <f t="shared" si="3"/>
        <v>8.2251082251082255E-2</v>
      </c>
    </row>
    <row r="14" spans="1:21" ht="15.75" x14ac:dyDescent="0.25">
      <c r="A14" s="540" t="s">
        <v>29</v>
      </c>
      <c r="B14" s="543" t="s">
        <v>941</v>
      </c>
      <c r="C14" s="598" t="s">
        <v>265</v>
      </c>
      <c r="D14" s="547">
        <v>6198</v>
      </c>
      <c r="E14" s="547">
        <v>6521</v>
      </c>
      <c r="F14" s="547">
        <v>6761</v>
      </c>
      <c r="G14" s="547">
        <v>6795</v>
      </c>
      <c r="H14" s="547">
        <v>8037</v>
      </c>
      <c r="I14" s="547">
        <v>9464</v>
      </c>
      <c r="J14" s="547">
        <v>10370</v>
      </c>
      <c r="K14" s="548">
        <v>10717</v>
      </c>
      <c r="L14" s="958">
        <v>11077</v>
      </c>
      <c r="M14" s="958">
        <v>11387</v>
      </c>
      <c r="N14" s="1598">
        <v>9512</v>
      </c>
      <c r="P14" s="272">
        <f t="shared" si="1"/>
        <v>0.16466145604636867</v>
      </c>
      <c r="Q14" s="272">
        <f t="shared" si="2"/>
        <v>-2.7985916764466913E-2</v>
      </c>
      <c r="R14" s="272">
        <f t="shared" si="3"/>
        <v>3.3591490155827193E-2</v>
      </c>
    </row>
    <row r="15" spans="1:21" ht="15.75" x14ac:dyDescent="0.25">
      <c r="A15" s="540" t="s">
        <v>30</v>
      </c>
      <c r="B15" s="636" t="s">
        <v>31</v>
      </c>
      <c r="C15" s="598" t="s">
        <v>268</v>
      </c>
      <c r="D15" s="547">
        <v>720</v>
      </c>
      <c r="E15" s="547">
        <v>758</v>
      </c>
      <c r="F15" s="547">
        <v>760</v>
      </c>
      <c r="G15" s="547">
        <v>762</v>
      </c>
      <c r="H15" s="547">
        <v>807</v>
      </c>
      <c r="I15" s="547">
        <v>875</v>
      </c>
      <c r="J15" s="547">
        <v>970</v>
      </c>
      <c r="K15" s="548">
        <v>953</v>
      </c>
      <c r="L15" s="958">
        <v>993</v>
      </c>
      <c r="M15" s="958">
        <v>923</v>
      </c>
      <c r="N15" s="1598">
        <v>826</v>
      </c>
      <c r="P15" s="272">
        <f t="shared" si="1"/>
        <v>0.10509209100758396</v>
      </c>
      <c r="Q15" s="272">
        <f t="shared" si="2"/>
        <v>7.0493454179254789E-2</v>
      </c>
      <c r="R15" s="272">
        <f t="shared" si="3"/>
        <v>4.197271773347324E-2</v>
      </c>
    </row>
    <row r="16" spans="1:21" ht="15.75" x14ac:dyDescent="0.25">
      <c r="A16" s="540" t="s">
        <v>32</v>
      </c>
      <c r="B16" s="543" t="s">
        <v>33</v>
      </c>
      <c r="C16" s="598" t="s">
        <v>265</v>
      </c>
      <c r="D16" s="547">
        <v>1372</v>
      </c>
      <c r="E16" s="547">
        <v>1459</v>
      </c>
      <c r="F16" s="547">
        <v>1481</v>
      </c>
      <c r="G16" s="547">
        <v>1634</v>
      </c>
      <c r="H16" s="547">
        <v>1929</v>
      </c>
      <c r="I16" s="547">
        <v>2461</v>
      </c>
      <c r="J16" s="547">
        <v>2522</v>
      </c>
      <c r="K16" s="548">
        <v>2764</v>
      </c>
      <c r="L16" s="958">
        <v>2819</v>
      </c>
      <c r="M16" s="958">
        <v>2794</v>
      </c>
      <c r="N16" s="1598">
        <v>2734</v>
      </c>
      <c r="P16" s="272">
        <f t="shared" si="1"/>
        <v>2.1474588403722263E-2</v>
      </c>
      <c r="Q16" s="272">
        <f t="shared" si="2"/>
        <v>8.8683930471798508E-3</v>
      </c>
      <c r="R16" s="272">
        <f t="shared" si="3"/>
        <v>1.9898697539797394E-2</v>
      </c>
    </row>
    <row r="17" spans="1:18" ht="15.75" x14ac:dyDescent="0.25">
      <c r="A17" s="540" t="s">
        <v>36</v>
      </c>
      <c r="B17" s="543" t="s">
        <v>37</v>
      </c>
      <c r="C17" s="598" t="s">
        <v>264</v>
      </c>
      <c r="D17" s="547">
        <v>3608</v>
      </c>
      <c r="E17" s="547">
        <v>3766</v>
      </c>
      <c r="F17" s="547">
        <v>3888</v>
      </c>
      <c r="G17" s="547">
        <v>3948</v>
      </c>
      <c r="H17" s="547">
        <v>4353</v>
      </c>
      <c r="I17" s="547">
        <v>4710</v>
      </c>
      <c r="J17" s="547">
        <v>5056</v>
      </c>
      <c r="K17" s="548">
        <v>5222</v>
      </c>
      <c r="L17" s="958">
        <v>5261</v>
      </c>
      <c r="M17" s="958">
        <v>5136</v>
      </c>
      <c r="N17" s="1598">
        <v>4806</v>
      </c>
      <c r="P17" s="272">
        <f t="shared" si="1"/>
        <v>6.4252336448598124E-2</v>
      </c>
      <c r="Q17" s="272">
        <f t="shared" si="2"/>
        <v>2.3759741494012544E-2</v>
      </c>
      <c r="R17" s="272">
        <f t="shared" si="3"/>
        <v>7.46840291076216E-3</v>
      </c>
    </row>
    <row r="18" spans="1:18" ht="15.75" x14ac:dyDescent="0.25">
      <c r="A18" s="540" t="s">
        <v>38</v>
      </c>
      <c r="B18" s="543" t="s">
        <v>39</v>
      </c>
      <c r="C18" s="598" t="s">
        <v>268</v>
      </c>
      <c r="D18" s="547">
        <v>5892</v>
      </c>
      <c r="E18" s="547">
        <v>5754</v>
      </c>
      <c r="F18" s="547">
        <v>5594</v>
      </c>
      <c r="G18" s="547">
        <v>5580</v>
      </c>
      <c r="H18" s="547">
        <v>5768</v>
      </c>
      <c r="I18" s="547">
        <v>6066</v>
      </c>
      <c r="J18" s="547">
        <v>6035</v>
      </c>
      <c r="K18" s="548">
        <v>6166</v>
      </c>
      <c r="L18" s="958">
        <v>6567</v>
      </c>
      <c r="M18" s="958">
        <v>6367</v>
      </c>
      <c r="N18" s="1598">
        <v>6262</v>
      </c>
      <c r="P18" s="272">
        <f t="shared" si="1"/>
        <v>1.6491283178891158E-2</v>
      </c>
      <c r="Q18" s="272">
        <f t="shared" si="2"/>
        <v>3.0455306837216384E-2</v>
      </c>
      <c r="R18" s="272">
        <f t="shared" si="3"/>
        <v>6.5034057735971457E-2</v>
      </c>
    </row>
    <row r="19" spans="1:18" ht="15.75" x14ac:dyDescent="0.25">
      <c r="A19" s="540" t="s">
        <v>40</v>
      </c>
      <c r="B19" s="543" t="s">
        <v>41</v>
      </c>
      <c r="C19" s="598" t="s">
        <v>266</v>
      </c>
      <c r="D19" s="547">
        <v>2763</v>
      </c>
      <c r="E19" s="547">
        <v>2828</v>
      </c>
      <c r="F19" s="547">
        <v>2954</v>
      </c>
      <c r="G19" s="547">
        <v>3089</v>
      </c>
      <c r="H19" s="547">
        <v>3524</v>
      </c>
      <c r="I19" s="547">
        <v>4135</v>
      </c>
      <c r="J19" s="547">
        <v>4476</v>
      </c>
      <c r="K19" s="548">
        <v>4756</v>
      </c>
      <c r="L19" s="958">
        <v>4849</v>
      </c>
      <c r="M19" s="958">
        <v>4470</v>
      </c>
      <c r="N19" s="1598">
        <v>4312</v>
      </c>
      <c r="P19" s="272">
        <f t="shared" si="1"/>
        <v>3.5346756152125278E-2</v>
      </c>
      <c r="Q19" s="272">
        <f t="shared" si="2"/>
        <v>7.816044545267066E-2</v>
      </c>
      <c r="R19" s="272">
        <f t="shared" si="3"/>
        <v>1.9554247266610598E-2</v>
      </c>
    </row>
    <row r="20" spans="1:18" ht="15.75" x14ac:dyDescent="0.25">
      <c r="A20" s="540" t="s">
        <v>42</v>
      </c>
      <c r="B20" s="543" t="s">
        <v>43</v>
      </c>
      <c r="C20" s="598" t="s">
        <v>265</v>
      </c>
      <c r="D20" s="547">
        <v>6928</v>
      </c>
      <c r="E20" s="547">
        <v>7181</v>
      </c>
      <c r="F20" s="547">
        <v>7315</v>
      </c>
      <c r="G20" s="547">
        <v>7596</v>
      </c>
      <c r="H20" s="547">
        <v>8550</v>
      </c>
      <c r="I20" s="547">
        <v>10067</v>
      </c>
      <c r="J20" s="547">
        <v>10878</v>
      </c>
      <c r="K20" s="548">
        <v>11338</v>
      </c>
      <c r="L20" s="958">
        <v>11586</v>
      </c>
      <c r="M20" s="958">
        <v>11206</v>
      </c>
      <c r="N20" s="1598">
        <v>10862</v>
      </c>
      <c r="P20" s="272">
        <f t="shared" si="1"/>
        <v>3.0697840442620025E-2</v>
      </c>
      <c r="Q20" s="272">
        <f t="shared" si="2"/>
        <v>3.2798204729846368E-2</v>
      </c>
      <c r="R20" s="272">
        <f t="shared" si="3"/>
        <v>2.1873346269183278E-2</v>
      </c>
    </row>
    <row r="21" spans="1:18" ht="15.75" x14ac:dyDescent="0.25">
      <c r="A21" s="540" t="s">
        <v>44</v>
      </c>
      <c r="B21" s="543" t="s">
        <v>45</v>
      </c>
      <c r="C21" s="598" t="s">
        <v>266</v>
      </c>
      <c r="D21" s="547">
        <v>3702</v>
      </c>
      <c r="E21" s="547">
        <v>3805</v>
      </c>
      <c r="F21" s="547">
        <v>4025</v>
      </c>
      <c r="G21" s="547">
        <v>4534</v>
      </c>
      <c r="H21" s="547">
        <v>5612</v>
      </c>
      <c r="I21" s="547">
        <v>6487</v>
      </c>
      <c r="J21" s="547">
        <v>6917</v>
      </c>
      <c r="K21" s="548">
        <v>7318</v>
      </c>
      <c r="L21" s="958">
        <v>7516</v>
      </c>
      <c r="M21" s="958">
        <v>7062</v>
      </c>
      <c r="N21" s="1598">
        <v>6873</v>
      </c>
      <c r="P21" s="272">
        <f t="shared" si="1"/>
        <v>2.6762956669498725E-2</v>
      </c>
      <c r="Q21" s="272">
        <f t="shared" si="2"/>
        <v>6.0404470463012241E-2</v>
      </c>
      <c r="R21" s="272">
        <f t="shared" si="3"/>
        <v>2.705657283410768E-2</v>
      </c>
    </row>
    <row r="22" spans="1:18" ht="15.75" x14ac:dyDescent="0.25">
      <c r="A22" s="540" t="s">
        <v>46</v>
      </c>
      <c r="B22" s="543" t="s">
        <v>47</v>
      </c>
      <c r="C22" s="598" t="s">
        <v>268</v>
      </c>
      <c r="D22" s="547">
        <v>4883</v>
      </c>
      <c r="E22" s="547">
        <v>5103</v>
      </c>
      <c r="F22" s="547">
        <v>5345</v>
      </c>
      <c r="G22" s="547">
        <v>5657</v>
      </c>
      <c r="H22" s="547">
        <v>6429</v>
      </c>
      <c r="I22" s="547">
        <v>7118</v>
      </c>
      <c r="J22" s="547">
        <v>7552</v>
      </c>
      <c r="K22" s="548">
        <v>7844</v>
      </c>
      <c r="L22" s="958">
        <v>8008</v>
      </c>
      <c r="M22" s="958">
        <v>7687</v>
      </c>
      <c r="N22" s="1598">
        <v>7132</v>
      </c>
      <c r="P22" s="272">
        <f t="shared" si="1"/>
        <v>7.2199817874333286E-2</v>
      </c>
      <c r="Q22" s="272">
        <f t="shared" si="2"/>
        <v>4.0084915084915088E-2</v>
      </c>
      <c r="R22" s="272">
        <f t="shared" si="3"/>
        <v>2.0907700152983173E-2</v>
      </c>
    </row>
    <row r="23" spans="1:18" ht="15.75" x14ac:dyDescent="0.25">
      <c r="A23" s="540" t="s">
        <v>48</v>
      </c>
      <c r="B23" s="543" t="s">
        <v>269</v>
      </c>
      <c r="C23" s="598" t="s">
        <v>266</v>
      </c>
      <c r="D23" s="547">
        <v>765</v>
      </c>
      <c r="E23" s="547">
        <v>824</v>
      </c>
      <c r="F23" s="547">
        <v>890</v>
      </c>
      <c r="G23" s="547">
        <v>970</v>
      </c>
      <c r="H23" s="547">
        <v>1174</v>
      </c>
      <c r="I23" s="547">
        <v>1318</v>
      </c>
      <c r="J23" s="547">
        <v>1361</v>
      </c>
      <c r="K23" s="548">
        <v>1455</v>
      </c>
      <c r="L23" s="958">
        <v>1544</v>
      </c>
      <c r="M23" s="958">
        <v>1458</v>
      </c>
      <c r="N23" s="1598">
        <v>1369</v>
      </c>
      <c r="P23" s="272">
        <f t="shared" si="1"/>
        <v>6.1042524005486966E-2</v>
      </c>
      <c r="Q23" s="272">
        <f t="shared" si="2"/>
        <v>5.5699481865284971E-2</v>
      </c>
      <c r="R23" s="272">
        <f t="shared" si="3"/>
        <v>6.1168384879725084E-2</v>
      </c>
    </row>
    <row r="24" spans="1:18" ht="15.75" x14ac:dyDescent="0.25">
      <c r="A24" s="540" t="s">
        <v>50</v>
      </c>
      <c r="B24" s="543" t="s">
        <v>51</v>
      </c>
      <c r="C24" s="598" t="s">
        <v>265</v>
      </c>
      <c r="D24" s="547">
        <v>2244</v>
      </c>
      <c r="E24" s="547">
        <v>2370</v>
      </c>
      <c r="F24" s="547">
        <v>2538</v>
      </c>
      <c r="G24" s="547">
        <v>2585</v>
      </c>
      <c r="H24" s="547">
        <v>2950</v>
      </c>
      <c r="I24" s="547">
        <v>3231</v>
      </c>
      <c r="J24" s="547">
        <v>3392</v>
      </c>
      <c r="K24" s="548">
        <v>3552</v>
      </c>
      <c r="L24" s="958">
        <v>3509</v>
      </c>
      <c r="M24" s="958">
        <v>3211</v>
      </c>
      <c r="N24" s="1598">
        <v>3084</v>
      </c>
      <c r="P24" s="272">
        <f t="shared" si="1"/>
        <v>3.9551541575833071E-2</v>
      </c>
      <c r="Q24" s="272">
        <f t="shared" si="2"/>
        <v>8.492447990880593E-2</v>
      </c>
      <c r="R24" s="272">
        <f t="shared" si="3"/>
        <v>-1.2105855855855855E-2</v>
      </c>
    </row>
    <row r="25" spans="1:18" ht="15.75" x14ac:dyDescent="0.25">
      <c r="A25" s="540" t="s">
        <v>56</v>
      </c>
      <c r="B25" s="543" t="s">
        <v>295</v>
      </c>
      <c r="C25" s="598" t="s">
        <v>266</v>
      </c>
      <c r="D25" s="547">
        <v>21320</v>
      </c>
      <c r="E25" s="547">
        <v>22790</v>
      </c>
      <c r="F25" s="547">
        <v>23749</v>
      </c>
      <c r="G25" s="547">
        <v>26017</v>
      </c>
      <c r="H25" s="547">
        <v>32304</v>
      </c>
      <c r="I25" s="547">
        <v>40766</v>
      </c>
      <c r="J25" s="547">
        <v>45795</v>
      </c>
      <c r="K25" s="548">
        <v>49220</v>
      </c>
      <c r="L25" s="958">
        <v>51844</v>
      </c>
      <c r="M25" s="958">
        <v>50895</v>
      </c>
      <c r="N25" s="1598">
        <v>48169</v>
      </c>
      <c r="P25" s="272">
        <f t="shared" si="1"/>
        <v>5.3561253561253561E-2</v>
      </c>
      <c r="Q25" s="272">
        <f t="shared" si="2"/>
        <v>1.8304914744232698E-2</v>
      </c>
      <c r="R25" s="272">
        <f t="shared" si="3"/>
        <v>5.3311661926046319E-2</v>
      </c>
    </row>
    <row r="26" spans="1:18" ht="15.75" x14ac:dyDescent="0.25">
      <c r="A26" s="540" t="s">
        <v>58</v>
      </c>
      <c r="B26" s="543" t="s">
        <v>59</v>
      </c>
      <c r="C26" s="598" t="s">
        <v>267</v>
      </c>
      <c r="D26" s="547">
        <v>550</v>
      </c>
      <c r="E26" s="547">
        <v>553</v>
      </c>
      <c r="F26" s="547">
        <v>690</v>
      </c>
      <c r="G26" s="547">
        <v>760</v>
      </c>
      <c r="H26" s="547">
        <v>1050</v>
      </c>
      <c r="I26" s="547">
        <v>1190</v>
      </c>
      <c r="J26" s="547">
        <v>1289</v>
      </c>
      <c r="K26" s="548">
        <v>1315</v>
      </c>
      <c r="L26" s="958">
        <v>1310</v>
      </c>
      <c r="M26" s="958">
        <v>1219</v>
      </c>
      <c r="N26" s="1598">
        <v>1008</v>
      </c>
      <c r="P26" s="272">
        <f t="shared" si="1"/>
        <v>0.17309269893355209</v>
      </c>
      <c r="Q26" s="272">
        <f t="shared" si="2"/>
        <v>6.9465648854961828E-2</v>
      </c>
      <c r="R26" s="272">
        <f t="shared" si="3"/>
        <v>-3.8022813688212928E-3</v>
      </c>
    </row>
    <row r="27" spans="1:18" ht="15.75" x14ac:dyDescent="0.25">
      <c r="A27" s="540" t="s">
        <v>60</v>
      </c>
      <c r="B27" s="543" t="s">
        <v>61</v>
      </c>
      <c r="C27" s="598" t="s">
        <v>265</v>
      </c>
      <c r="D27" s="547">
        <v>517</v>
      </c>
      <c r="E27" s="547">
        <v>542</v>
      </c>
      <c r="F27" s="547">
        <v>533</v>
      </c>
      <c r="G27" s="547">
        <v>578</v>
      </c>
      <c r="H27" s="547">
        <v>662</v>
      </c>
      <c r="I27" s="547">
        <v>800</v>
      </c>
      <c r="J27" s="547">
        <v>829</v>
      </c>
      <c r="K27" s="548">
        <v>911</v>
      </c>
      <c r="L27" s="958">
        <v>927</v>
      </c>
      <c r="M27" s="958">
        <v>851</v>
      </c>
      <c r="N27" s="1598">
        <v>853</v>
      </c>
      <c r="P27" s="272">
        <f t="shared" si="1"/>
        <v>-2.3501762632197414E-3</v>
      </c>
      <c r="Q27" s="272">
        <f t="shared" si="2"/>
        <v>8.1984897518878108E-2</v>
      </c>
      <c r="R27" s="272">
        <f t="shared" si="3"/>
        <v>1.756311745334797E-2</v>
      </c>
    </row>
    <row r="28" spans="1:18" ht="15.75" x14ac:dyDescent="0.25">
      <c r="A28" s="540" t="s">
        <v>62</v>
      </c>
      <c r="B28" s="543" t="s">
        <v>63</v>
      </c>
      <c r="C28" s="598" t="s">
        <v>267</v>
      </c>
      <c r="D28" s="547">
        <v>3359</v>
      </c>
      <c r="E28" s="547">
        <v>3705</v>
      </c>
      <c r="F28" s="547">
        <v>3982</v>
      </c>
      <c r="G28" s="547">
        <v>4656</v>
      </c>
      <c r="H28" s="547">
        <v>6257</v>
      </c>
      <c r="I28" s="547">
        <v>7702</v>
      </c>
      <c r="J28" s="547">
        <v>8297</v>
      </c>
      <c r="K28" s="548">
        <v>8619</v>
      </c>
      <c r="L28" s="958">
        <v>9095</v>
      </c>
      <c r="M28" s="958">
        <v>8623</v>
      </c>
      <c r="N28" s="1598">
        <v>8207</v>
      </c>
      <c r="P28" s="272">
        <f t="shared" si="1"/>
        <v>4.8243070857010323E-2</v>
      </c>
      <c r="Q28" s="272">
        <f t="shared" si="2"/>
        <v>5.1896646509070915E-2</v>
      </c>
      <c r="R28" s="272">
        <f t="shared" si="3"/>
        <v>5.5226824457593686E-2</v>
      </c>
    </row>
    <row r="29" spans="1:18" ht="15.75" x14ac:dyDescent="0.25">
      <c r="A29" s="540" t="s">
        <v>64</v>
      </c>
      <c r="B29" s="543" t="s">
        <v>65</v>
      </c>
      <c r="C29" s="598" t="s">
        <v>266</v>
      </c>
      <c r="D29" s="547">
        <v>1905</v>
      </c>
      <c r="E29" s="547">
        <v>1918</v>
      </c>
      <c r="F29" s="547">
        <v>2027</v>
      </c>
      <c r="G29" s="547">
        <v>2146</v>
      </c>
      <c r="H29" s="547">
        <v>2481</v>
      </c>
      <c r="I29" s="547">
        <v>2793</v>
      </c>
      <c r="J29" s="547">
        <v>2986</v>
      </c>
      <c r="K29" s="548">
        <v>3186</v>
      </c>
      <c r="L29" s="958">
        <v>3218</v>
      </c>
      <c r="M29" s="958">
        <v>3142</v>
      </c>
      <c r="N29" s="1598">
        <v>2949</v>
      </c>
      <c r="P29" s="272">
        <f t="shared" si="1"/>
        <v>6.1425843411839591E-2</v>
      </c>
      <c r="Q29" s="272">
        <f t="shared" si="2"/>
        <v>2.3617153511497825E-2</v>
      </c>
      <c r="R29" s="272">
        <f t="shared" si="3"/>
        <v>1.0043942247332079E-2</v>
      </c>
    </row>
    <row r="30" spans="1:18" ht="15.75" x14ac:dyDescent="0.25">
      <c r="A30" s="540" t="s">
        <v>68</v>
      </c>
      <c r="B30" s="543" t="s">
        <v>69</v>
      </c>
      <c r="C30" s="598" t="s">
        <v>268</v>
      </c>
      <c r="D30" s="547">
        <v>3875</v>
      </c>
      <c r="E30" s="547">
        <v>3908</v>
      </c>
      <c r="F30" s="547">
        <v>3822</v>
      </c>
      <c r="G30" s="547">
        <v>3878</v>
      </c>
      <c r="H30" s="547">
        <v>4017</v>
      </c>
      <c r="I30" s="547">
        <v>4315</v>
      </c>
      <c r="J30" s="547">
        <v>4437</v>
      </c>
      <c r="K30" s="548">
        <v>4585</v>
      </c>
      <c r="L30" s="958">
        <v>4838</v>
      </c>
      <c r="M30" s="958">
        <v>4598</v>
      </c>
      <c r="N30" s="1598">
        <v>4372</v>
      </c>
      <c r="P30" s="272">
        <f t="shared" si="1"/>
        <v>4.9151805132666378E-2</v>
      </c>
      <c r="Q30" s="272">
        <f t="shared" si="2"/>
        <v>4.9607275733774284E-2</v>
      </c>
      <c r="R30" s="272">
        <f t="shared" si="3"/>
        <v>5.5179934569247545E-2</v>
      </c>
    </row>
    <row r="31" spans="1:18" ht="15.75" x14ac:dyDescent="0.25">
      <c r="A31" s="540" t="s">
        <v>70</v>
      </c>
      <c r="B31" s="543" t="s">
        <v>71</v>
      </c>
      <c r="C31" s="598" t="s">
        <v>264</v>
      </c>
      <c r="D31" s="547">
        <v>3893</v>
      </c>
      <c r="E31" s="547">
        <v>4152</v>
      </c>
      <c r="F31" s="547">
        <v>4203</v>
      </c>
      <c r="G31" s="547">
        <v>4383</v>
      </c>
      <c r="H31" s="547">
        <v>5090</v>
      </c>
      <c r="I31" s="547">
        <v>6023</v>
      </c>
      <c r="J31" s="547">
        <v>6350</v>
      </c>
      <c r="K31" s="548">
        <v>6753</v>
      </c>
      <c r="L31" s="958">
        <v>6809</v>
      </c>
      <c r="M31" s="958">
        <v>6500</v>
      </c>
      <c r="N31" s="1598">
        <v>6326</v>
      </c>
      <c r="P31" s="272">
        <f t="shared" si="1"/>
        <v>2.6769230769230771E-2</v>
      </c>
      <c r="Q31" s="272">
        <f t="shared" si="2"/>
        <v>4.5381113232486413E-2</v>
      </c>
      <c r="R31" s="272">
        <f t="shared" si="3"/>
        <v>8.2926106915444994E-3</v>
      </c>
    </row>
    <row r="32" spans="1:18" ht="15.75" x14ac:dyDescent="0.25">
      <c r="A32" s="540" t="s">
        <v>72</v>
      </c>
      <c r="B32" s="543" t="s">
        <v>73</v>
      </c>
      <c r="C32" s="598" t="s">
        <v>266</v>
      </c>
      <c r="D32" s="547">
        <v>1985</v>
      </c>
      <c r="E32" s="547">
        <v>2061</v>
      </c>
      <c r="F32" s="547">
        <v>2062</v>
      </c>
      <c r="G32" s="547">
        <v>2206</v>
      </c>
      <c r="H32" s="547">
        <v>2628</v>
      </c>
      <c r="I32" s="547">
        <v>2960</v>
      </c>
      <c r="J32" s="547">
        <v>3207</v>
      </c>
      <c r="K32" s="548">
        <v>3507</v>
      </c>
      <c r="L32" s="958">
        <v>3536</v>
      </c>
      <c r="M32" s="958">
        <v>3358</v>
      </c>
      <c r="N32" s="1598">
        <v>3162</v>
      </c>
      <c r="P32" s="272">
        <f t="shared" si="1"/>
        <v>5.8368076235854674E-2</v>
      </c>
      <c r="Q32" s="272">
        <f t="shared" si="2"/>
        <v>5.0339366515837106E-2</v>
      </c>
      <c r="R32" s="272">
        <f t="shared" si="3"/>
        <v>8.2691759338465922E-3</v>
      </c>
    </row>
    <row r="33" spans="1:18" ht="15.75" x14ac:dyDescent="0.25">
      <c r="A33" s="540" t="s">
        <v>74</v>
      </c>
      <c r="B33" s="543" t="s">
        <v>296</v>
      </c>
      <c r="C33" s="598" t="s">
        <v>267</v>
      </c>
      <c r="D33" s="547">
        <v>30107</v>
      </c>
      <c r="E33" s="547">
        <v>32481</v>
      </c>
      <c r="F33" s="547">
        <v>33617</v>
      </c>
      <c r="G33" s="547">
        <v>36644</v>
      </c>
      <c r="H33" s="547">
        <v>46502</v>
      </c>
      <c r="I33" s="547">
        <v>59952</v>
      </c>
      <c r="J33" s="547">
        <v>70182</v>
      </c>
      <c r="K33" s="548">
        <v>78782</v>
      </c>
      <c r="L33" s="958">
        <v>85543</v>
      </c>
      <c r="M33" s="958">
        <v>85323</v>
      </c>
      <c r="N33" s="1598">
        <v>81349</v>
      </c>
      <c r="P33" s="272">
        <f t="shared" si="1"/>
        <v>4.6575952556754917E-2</v>
      </c>
      <c r="Q33" s="272">
        <f t="shared" si="2"/>
        <v>2.5718059923079623E-3</v>
      </c>
      <c r="R33" s="272">
        <f t="shared" si="3"/>
        <v>8.5819095732527731E-2</v>
      </c>
    </row>
    <row r="34" spans="1:18" ht="15.75" x14ac:dyDescent="0.25">
      <c r="A34" s="540" t="s">
        <v>76</v>
      </c>
      <c r="B34" s="543" t="s">
        <v>77</v>
      </c>
      <c r="C34" s="598" t="s">
        <v>267</v>
      </c>
      <c r="D34" s="547">
        <v>2873</v>
      </c>
      <c r="E34" s="547">
        <v>3091</v>
      </c>
      <c r="F34" s="547">
        <v>3341</v>
      </c>
      <c r="G34" s="547">
        <v>4012</v>
      </c>
      <c r="H34" s="547">
        <v>5197</v>
      </c>
      <c r="I34" s="547">
        <v>6214</v>
      </c>
      <c r="J34" s="547">
        <v>6501</v>
      </c>
      <c r="K34" s="548">
        <v>6922</v>
      </c>
      <c r="L34" s="958">
        <v>7049</v>
      </c>
      <c r="M34" s="958">
        <v>6553</v>
      </c>
      <c r="N34" s="1598">
        <v>5924</v>
      </c>
      <c r="P34" s="272">
        <f t="shared" si="1"/>
        <v>9.5986571036166646E-2</v>
      </c>
      <c r="Q34" s="272">
        <f t="shared" si="2"/>
        <v>7.0364590722088241E-2</v>
      </c>
      <c r="R34" s="272">
        <f t="shared" si="3"/>
        <v>1.8347298468650679E-2</v>
      </c>
    </row>
    <row r="35" spans="1:18" ht="15.75" x14ac:dyDescent="0.25">
      <c r="A35" s="540" t="s">
        <v>78</v>
      </c>
      <c r="B35" s="543" t="s">
        <v>79</v>
      </c>
      <c r="C35" s="598" t="s">
        <v>268</v>
      </c>
      <c r="D35" s="547">
        <v>1729</v>
      </c>
      <c r="E35" s="547">
        <v>1857</v>
      </c>
      <c r="F35" s="547">
        <v>1883</v>
      </c>
      <c r="G35" s="547">
        <v>1981</v>
      </c>
      <c r="H35" s="547">
        <v>2249</v>
      </c>
      <c r="I35" s="547">
        <v>2672</v>
      </c>
      <c r="J35" s="547">
        <v>2937</v>
      </c>
      <c r="K35" s="548">
        <v>3093</v>
      </c>
      <c r="L35" s="958">
        <v>3085</v>
      </c>
      <c r="M35" s="958">
        <v>2879</v>
      </c>
      <c r="N35" s="1598">
        <v>2646</v>
      </c>
      <c r="P35" s="272">
        <f t="shared" si="1"/>
        <v>8.0930878777353249E-2</v>
      </c>
      <c r="Q35" s="272">
        <f t="shared" si="2"/>
        <v>6.6774716369529988E-2</v>
      </c>
      <c r="R35" s="272">
        <f t="shared" si="3"/>
        <v>-2.5864856126737797E-3</v>
      </c>
    </row>
    <row r="36" spans="1:18" ht="15.75" x14ac:dyDescent="0.25">
      <c r="A36" s="540" t="s">
        <v>80</v>
      </c>
      <c r="B36" s="543" t="s">
        <v>81</v>
      </c>
      <c r="C36" s="598" t="s">
        <v>266</v>
      </c>
      <c r="D36" s="547">
        <v>1197</v>
      </c>
      <c r="E36" s="547">
        <v>1281</v>
      </c>
      <c r="F36" s="547">
        <v>1385</v>
      </c>
      <c r="G36" s="547">
        <v>1374</v>
      </c>
      <c r="H36" s="547">
        <v>1805</v>
      </c>
      <c r="I36" s="547">
        <v>2186</v>
      </c>
      <c r="J36" s="547">
        <v>2547</v>
      </c>
      <c r="K36" s="548">
        <v>2908</v>
      </c>
      <c r="L36" s="958">
        <v>2886</v>
      </c>
      <c r="M36" s="958">
        <v>2767</v>
      </c>
      <c r="N36" s="1598">
        <v>2569</v>
      </c>
      <c r="P36" s="272">
        <f t="shared" si="1"/>
        <v>7.1557643657390674E-2</v>
      </c>
      <c r="Q36" s="272">
        <f t="shared" si="2"/>
        <v>4.1233541233541234E-2</v>
      </c>
      <c r="R36" s="272">
        <f t="shared" si="3"/>
        <v>-7.5653370013755161E-3</v>
      </c>
    </row>
    <row r="37" spans="1:18" ht="15.75" x14ac:dyDescent="0.25">
      <c r="A37" s="540" t="s">
        <v>84</v>
      </c>
      <c r="B37" s="543" t="s">
        <v>85</v>
      </c>
      <c r="C37" s="598" t="s">
        <v>265</v>
      </c>
      <c r="D37" s="547">
        <v>6550</v>
      </c>
      <c r="E37" s="547">
        <v>6928</v>
      </c>
      <c r="F37" s="547">
        <v>7163</v>
      </c>
      <c r="G37" s="547">
        <v>8091</v>
      </c>
      <c r="H37" s="547">
        <v>9582</v>
      </c>
      <c r="I37" s="547">
        <v>10818</v>
      </c>
      <c r="J37" s="547">
        <v>11442</v>
      </c>
      <c r="K37" s="548">
        <v>11872</v>
      </c>
      <c r="L37" s="958">
        <v>11963</v>
      </c>
      <c r="M37" s="958">
        <v>11430</v>
      </c>
      <c r="N37" s="1598">
        <v>10616</v>
      </c>
      <c r="P37" s="272">
        <f t="shared" ref="P37:P68" si="4">(M37-N37)/M37</f>
        <v>7.1216097987751525E-2</v>
      </c>
      <c r="Q37" s="272">
        <f t="shared" ref="Q37:Q68" si="5">(L37-M37)/L37</f>
        <v>4.4554041628354094E-2</v>
      </c>
      <c r="R37" s="272">
        <f t="shared" ref="R37:R68" si="6">(L37-K37)/K37</f>
        <v>7.6650943396226415E-3</v>
      </c>
    </row>
    <row r="38" spans="1:18" ht="15.75" x14ac:dyDescent="0.25">
      <c r="A38" s="540" t="s">
        <v>86</v>
      </c>
      <c r="B38" s="543" t="s">
        <v>87</v>
      </c>
      <c r="C38" s="598" t="s">
        <v>267</v>
      </c>
      <c r="D38" s="547">
        <v>3824</v>
      </c>
      <c r="E38" s="547">
        <v>4185</v>
      </c>
      <c r="F38" s="547">
        <v>4735</v>
      </c>
      <c r="G38" s="547">
        <v>5839</v>
      </c>
      <c r="H38" s="547">
        <v>7765</v>
      </c>
      <c r="I38" s="547">
        <v>9789</v>
      </c>
      <c r="J38" s="547">
        <v>11003</v>
      </c>
      <c r="K38" s="548">
        <v>11618</v>
      </c>
      <c r="L38" s="958">
        <v>11979</v>
      </c>
      <c r="M38" s="958">
        <v>10590</v>
      </c>
      <c r="N38" s="1598">
        <v>9714</v>
      </c>
      <c r="P38" s="272">
        <f t="shared" si="4"/>
        <v>8.2719546742209632E-2</v>
      </c>
      <c r="Q38" s="272">
        <f t="shared" si="5"/>
        <v>0.11595291760581017</v>
      </c>
      <c r="R38" s="272">
        <f t="shared" si="6"/>
        <v>3.1072473747632983E-2</v>
      </c>
    </row>
    <row r="39" spans="1:18" ht="15.75" x14ac:dyDescent="0.25">
      <c r="A39" s="540" t="s">
        <v>92</v>
      </c>
      <c r="B39" s="543" t="s">
        <v>93</v>
      </c>
      <c r="C39" s="598" t="s">
        <v>268</v>
      </c>
      <c r="D39" s="547">
        <v>2334</v>
      </c>
      <c r="E39" s="547">
        <v>2397</v>
      </c>
      <c r="F39" s="547">
        <v>2460</v>
      </c>
      <c r="G39" s="547">
        <v>2619</v>
      </c>
      <c r="H39" s="547">
        <v>2961</v>
      </c>
      <c r="I39" s="547">
        <v>3399</v>
      </c>
      <c r="J39" s="547">
        <v>3645</v>
      </c>
      <c r="K39" s="548">
        <v>3547</v>
      </c>
      <c r="L39" s="958">
        <v>3510</v>
      </c>
      <c r="M39" s="958">
        <v>3507</v>
      </c>
      <c r="N39" s="1598">
        <v>3238</v>
      </c>
      <c r="P39" s="272">
        <f t="shared" si="4"/>
        <v>7.6703735386370112E-2</v>
      </c>
      <c r="Q39" s="272">
        <f t="shared" si="5"/>
        <v>8.547008547008547E-4</v>
      </c>
      <c r="R39" s="272">
        <f t="shared" si="6"/>
        <v>-1.0431350436989005E-2</v>
      </c>
    </row>
    <row r="40" spans="1:18" ht="15.75" x14ac:dyDescent="0.25">
      <c r="A40" s="540" t="s">
        <v>94</v>
      </c>
      <c r="B40" s="543" t="s">
        <v>95</v>
      </c>
      <c r="C40" s="598" t="s">
        <v>264</v>
      </c>
      <c r="D40" s="547">
        <v>3167</v>
      </c>
      <c r="E40" s="547">
        <v>3308</v>
      </c>
      <c r="F40" s="547">
        <v>3482</v>
      </c>
      <c r="G40" s="547">
        <v>3519</v>
      </c>
      <c r="H40" s="547">
        <v>4442</v>
      </c>
      <c r="I40" s="547">
        <v>5594</v>
      </c>
      <c r="J40" s="547">
        <v>6079</v>
      </c>
      <c r="K40" s="548">
        <v>6513</v>
      </c>
      <c r="L40" s="958">
        <v>6498</v>
      </c>
      <c r="M40" s="958">
        <v>6251</v>
      </c>
      <c r="N40" s="1598">
        <v>5851</v>
      </c>
      <c r="P40" s="272">
        <f t="shared" si="4"/>
        <v>6.3989761638137896E-2</v>
      </c>
      <c r="Q40" s="272">
        <f t="shared" si="5"/>
        <v>3.8011695906432746E-2</v>
      </c>
      <c r="R40" s="272">
        <f t="shared" si="6"/>
        <v>-2.3030861354214646E-3</v>
      </c>
    </row>
    <row r="41" spans="1:18" ht="15.75" x14ac:dyDescent="0.25">
      <c r="A41" s="540" t="s">
        <v>96</v>
      </c>
      <c r="B41" s="543" t="s">
        <v>97</v>
      </c>
      <c r="C41" s="598" t="s">
        <v>266</v>
      </c>
      <c r="D41" s="547">
        <v>951</v>
      </c>
      <c r="E41" s="547">
        <v>946</v>
      </c>
      <c r="F41" s="547">
        <v>882</v>
      </c>
      <c r="G41" s="547">
        <v>1069</v>
      </c>
      <c r="H41" s="547">
        <v>1359</v>
      </c>
      <c r="I41" s="547">
        <v>1734</v>
      </c>
      <c r="J41" s="547">
        <v>1946</v>
      </c>
      <c r="K41" s="548">
        <v>1931</v>
      </c>
      <c r="L41" s="958">
        <v>1969</v>
      </c>
      <c r="M41" s="958">
        <v>1959</v>
      </c>
      <c r="N41" s="1598">
        <v>1859</v>
      </c>
      <c r="P41" s="272">
        <f t="shared" si="4"/>
        <v>5.1046452271567129E-2</v>
      </c>
      <c r="Q41" s="272">
        <f t="shared" si="5"/>
        <v>5.0787201625190452E-3</v>
      </c>
      <c r="R41" s="272">
        <f t="shared" si="6"/>
        <v>1.9678922837907821E-2</v>
      </c>
    </row>
    <row r="42" spans="1:18" ht="15.75" x14ac:dyDescent="0.25">
      <c r="A42" s="540" t="s">
        <v>98</v>
      </c>
      <c r="B42" s="543" t="s">
        <v>99</v>
      </c>
      <c r="C42" s="598" t="s">
        <v>268</v>
      </c>
      <c r="D42" s="547">
        <v>2860</v>
      </c>
      <c r="E42" s="547">
        <v>3054</v>
      </c>
      <c r="F42" s="547">
        <v>3118</v>
      </c>
      <c r="G42" s="547">
        <v>3173</v>
      </c>
      <c r="H42" s="547">
        <v>3473</v>
      </c>
      <c r="I42" s="547">
        <v>3767</v>
      </c>
      <c r="J42" s="547">
        <v>3953</v>
      </c>
      <c r="K42" s="548">
        <v>4075</v>
      </c>
      <c r="L42" s="958">
        <v>4222</v>
      </c>
      <c r="M42" s="958">
        <v>4027</v>
      </c>
      <c r="N42" s="1598">
        <v>3788</v>
      </c>
      <c r="P42" s="272">
        <f t="shared" si="4"/>
        <v>5.9349391606655082E-2</v>
      </c>
      <c r="Q42" s="272">
        <f t="shared" si="5"/>
        <v>4.6186641402179061E-2</v>
      </c>
      <c r="R42" s="272">
        <f t="shared" si="6"/>
        <v>3.6073619631901838E-2</v>
      </c>
    </row>
    <row r="43" spans="1:18" ht="15.75" x14ac:dyDescent="0.25">
      <c r="A43" s="540" t="s">
        <v>100</v>
      </c>
      <c r="B43" s="543" t="s">
        <v>101</v>
      </c>
      <c r="C43" s="598" t="s">
        <v>267</v>
      </c>
      <c r="D43" s="547">
        <v>1644</v>
      </c>
      <c r="E43" s="547">
        <v>1718</v>
      </c>
      <c r="F43" s="547">
        <v>1673</v>
      </c>
      <c r="G43" s="547">
        <v>1748</v>
      </c>
      <c r="H43" s="547">
        <v>2141</v>
      </c>
      <c r="I43" s="547">
        <v>2648</v>
      </c>
      <c r="J43" s="547">
        <v>2924</v>
      </c>
      <c r="K43" s="548">
        <v>3162</v>
      </c>
      <c r="L43" s="958">
        <v>3242</v>
      </c>
      <c r="M43" s="958">
        <v>3160</v>
      </c>
      <c r="N43" s="1598">
        <v>3085</v>
      </c>
      <c r="P43" s="272">
        <f t="shared" si="4"/>
        <v>2.3734177215189875E-2</v>
      </c>
      <c r="Q43" s="272">
        <f t="shared" si="5"/>
        <v>2.5293028994447873E-2</v>
      </c>
      <c r="R43" s="272">
        <f t="shared" si="6"/>
        <v>2.5300442757748259E-2</v>
      </c>
    </row>
    <row r="44" spans="1:18" ht="15.75" x14ac:dyDescent="0.25">
      <c r="A44" s="540" t="s">
        <v>102</v>
      </c>
      <c r="B44" s="543" t="s">
        <v>282</v>
      </c>
      <c r="C44" s="598" t="s">
        <v>264</v>
      </c>
      <c r="D44" s="547">
        <v>3212</v>
      </c>
      <c r="E44" s="547">
        <v>3626</v>
      </c>
      <c r="F44" s="547">
        <v>3815</v>
      </c>
      <c r="G44" s="547">
        <v>4082</v>
      </c>
      <c r="H44" s="547">
        <v>4638</v>
      </c>
      <c r="I44" s="547">
        <v>5139</v>
      </c>
      <c r="J44" s="547">
        <v>5557</v>
      </c>
      <c r="K44" s="548">
        <v>5787</v>
      </c>
      <c r="L44" s="958">
        <v>6359</v>
      </c>
      <c r="M44" s="958">
        <v>5833</v>
      </c>
      <c r="N44" s="1598">
        <v>5772</v>
      </c>
      <c r="P44" s="272">
        <f t="shared" si="4"/>
        <v>1.045774044231099E-2</v>
      </c>
      <c r="Q44" s="1515">
        <f t="shared" si="5"/>
        <v>8.2717408397546779E-2</v>
      </c>
      <c r="R44" s="1515">
        <f t="shared" si="6"/>
        <v>9.8842232590288584E-2</v>
      </c>
    </row>
    <row r="45" spans="1:18" ht="15.75" x14ac:dyDescent="0.25">
      <c r="A45" s="540" t="s">
        <v>104</v>
      </c>
      <c r="B45" s="543" t="s">
        <v>105</v>
      </c>
      <c r="C45" s="598" t="s">
        <v>265</v>
      </c>
      <c r="D45" s="547">
        <v>6445</v>
      </c>
      <c r="E45" s="547">
        <v>6867</v>
      </c>
      <c r="F45" s="547">
        <v>7252</v>
      </c>
      <c r="G45" s="547">
        <v>7474</v>
      </c>
      <c r="H45" s="547">
        <v>8078</v>
      </c>
      <c r="I45" s="547">
        <v>8899</v>
      </c>
      <c r="J45" s="547">
        <v>9324</v>
      </c>
      <c r="K45" s="548">
        <v>9589</v>
      </c>
      <c r="L45" s="958">
        <v>9559</v>
      </c>
      <c r="M45" s="958">
        <v>9288</v>
      </c>
      <c r="N45" s="1598">
        <v>8959</v>
      </c>
      <c r="P45" s="272">
        <f t="shared" si="4"/>
        <v>3.5422049956933675E-2</v>
      </c>
      <c r="Q45" s="272">
        <f t="shared" si="5"/>
        <v>2.8350245841615232E-2</v>
      </c>
      <c r="R45" s="272">
        <f t="shared" si="6"/>
        <v>-3.1285848367921575E-3</v>
      </c>
    </row>
    <row r="46" spans="1:18" ht="15.75" x14ac:dyDescent="0.25">
      <c r="A46" s="540" t="s">
        <v>108</v>
      </c>
      <c r="B46" s="543" t="s">
        <v>109</v>
      </c>
      <c r="C46" s="598" t="s">
        <v>266</v>
      </c>
      <c r="D46" s="547">
        <v>4065</v>
      </c>
      <c r="E46" s="547">
        <v>4363</v>
      </c>
      <c r="F46" s="547">
        <v>4369</v>
      </c>
      <c r="G46" s="547">
        <v>4871</v>
      </c>
      <c r="H46" s="547">
        <v>5988</v>
      </c>
      <c r="I46" s="547">
        <v>7440</v>
      </c>
      <c r="J46" s="547">
        <v>8354</v>
      </c>
      <c r="K46" s="548">
        <v>8944</v>
      </c>
      <c r="L46" s="958">
        <v>9119</v>
      </c>
      <c r="M46" s="958">
        <v>8763</v>
      </c>
      <c r="N46" s="1598">
        <v>8161</v>
      </c>
      <c r="P46" s="272">
        <f t="shared" si="4"/>
        <v>6.8697934497318272E-2</v>
      </c>
      <c r="Q46" s="272">
        <f t="shared" si="5"/>
        <v>3.9039368351792961E-2</v>
      </c>
      <c r="R46" s="272">
        <f t="shared" si="6"/>
        <v>1.9566189624329159E-2</v>
      </c>
    </row>
    <row r="47" spans="1:18" ht="15.75" x14ac:dyDescent="0.25">
      <c r="A47" s="540" t="s">
        <v>110</v>
      </c>
      <c r="B47" s="543" t="s">
        <v>111</v>
      </c>
      <c r="C47" s="598" t="s">
        <v>266</v>
      </c>
      <c r="D47" s="547">
        <v>21918</v>
      </c>
      <c r="E47" s="547">
        <v>24148</v>
      </c>
      <c r="F47" s="547">
        <v>25085</v>
      </c>
      <c r="G47" s="547">
        <v>25969</v>
      </c>
      <c r="H47" s="547">
        <v>32264</v>
      </c>
      <c r="I47" s="547">
        <v>41200</v>
      </c>
      <c r="J47" s="547">
        <v>46417</v>
      </c>
      <c r="K47" s="548">
        <v>50139</v>
      </c>
      <c r="L47" s="958">
        <v>52765</v>
      </c>
      <c r="M47" s="958">
        <v>50799</v>
      </c>
      <c r="N47" s="1598">
        <v>48369</v>
      </c>
      <c r="P47" s="272">
        <f t="shared" si="4"/>
        <v>4.7835587314710923E-2</v>
      </c>
      <c r="Q47" s="272">
        <f t="shared" si="5"/>
        <v>3.7259547048232727E-2</v>
      </c>
      <c r="R47" s="272">
        <f t="shared" si="6"/>
        <v>5.2374399170306549E-2</v>
      </c>
    </row>
    <row r="48" spans="1:18" ht="15.75" x14ac:dyDescent="0.25">
      <c r="A48" s="540" t="s">
        <v>112</v>
      </c>
      <c r="B48" s="543" t="s">
        <v>300</v>
      </c>
      <c r="C48" s="598" t="s">
        <v>265</v>
      </c>
      <c r="D48" s="547">
        <v>14177</v>
      </c>
      <c r="E48" s="547">
        <v>14929</v>
      </c>
      <c r="F48" s="547">
        <v>15461</v>
      </c>
      <c r="G48" s="547">
        <v>16717</v>
      </c>
      <c r="H48" s="547">
        <v>19301</v>
      </c>
      <c r="I48" s="547">
        <v>21250</v>
      </c>
      <c r="J48" s="547">
        <v>22307</v>
      </c>
      <c r="K48" s="548">
        <v>23602</v>
      </c>
      <c r="L48" s="958">
        <v>24417</v>
      </c>
      <c r="M48" s="958">
        <v>22661</v>
      </c>
      <c r="N48" s="1598">
        <v>21507</v>
      </c>
      <c r="P48" s="272">
        <f t="shared" si="4"/>
        <v>5.0924495829839815E-2</v>
      </c>
      <c r="Q48" s="1515">
        <f t="shared" si="5"/>
        <v>7.1917106933693742E-2</v>
      </c>
      <c r="R48" s="1515">
        <f t="shared" si="6"/>
        <v>3.4530971951529529E-2</v>
      </c>
    </row>
    <row r="49" spans="1:18" ht="15.75" x14ac:dyDescent="0.25">
      <c r="A49" s="540" t="s">
        <v>114</v>
      </c>
      <c r="B49" s="543" t="s">
        <v>115</v>
      </c>
      <c r="C49" s="598" t="s">
        <v>265</v>
      </c>
      <c r="D49" s="547">
        <v>205</v>
      </c>
      <c r="E49" s="547">
        <v>214</v>
      </c>
      <c r="F49" s="547">
        <v>195</v>
      </c>
      <c r="G49" s="547">
        <v>206</v>
      </c>
      <c r="H49" s="547">
        <v>239</v>
      </c>
      <c r="I49" s="547">
        <v>226</v>
      </c>
      <c r="J49" s="547">
        <v>248</v>
      </c>
      <c r="K49" s="548">
        <v>261</v>
      </c>
      <c r="L49" s="958">
        <v>246</v>
      </c>
      <c r="M49" s="958">
        <v>244</v>
      </c>
      <c r="N49" s="1598">
        <v>221</v>
      </c>
      <c r="P49" s="272">
        <f t="shared" si="4"/>
        <v>9.4262295081967207E-2</v>
      </c>
      <c r="Q49" s="272">
        <f t="shared" si="5"/>
        <v>8.130081300813009E-3</v>
      </c>
      <c r="R49" s="272">
        <f t="shared" si="6"/>
        <v>-5.7471264367816091E-2</v>
      </c>
    </row>
    <row r="50" spans="1:18" ht="15.75" x14ac:dyDescent="0.25">
      <c r="A50" s="540" t="s">
        <v>118</v>
      </c>
      <c r="B50" s="543" t="s">
        <v>270</v>
      </c>
      <c r="C50" s="598" t="s">
        <v>264</v>
      </c>
      <c r="D50" s="547">
        <v>3593</v>
      </c>
      <c r="E50" s="547">
        <v>3643</v>
      </c>
      <c r="F50" s="547">
        <v>3663</v>
      </c>
      <c r="G50" s="547">
        <v>3884</v>
      </c>
      <c r="H50" s="547">
        <v>4484</v>
      </c>
      <c r="I50" s="547">
        <v>5248</v>
      </c>
      <c r="J50" s="547">
        <v>5686</v>
      </c>
      <c r="K50" s="548">
        <v>5940</v>
      </c>
      <c r="L50" s="958">
        <v>6119</v>
      </c>
      <c r="M50" s="958">
        <v>5727</v>
      </c>
      <c r="N50" s="1598">
        <v>5598</v>
      </c>
      <c r="P50" s="272">
        <f t="shared" si="4"/>
        <v>2.2524882137244632E-2</v>
      </c>
      <c r="Q50" s="272">
        <f t="shared" si="5"/>
        <v>6.4062755352181727E-2</v>
      </c>
      <c r="R50" s="272">
        <f t="shared" si="6"/>
        <v>3.0134680134680136E-2</v>
      </c>
    </row>
    <row r="51" spans="1:18" ht="15.75" x14ac:dyDescent="0.25">
      <c r="A51" s="540" t="s">
        <v>120</v>
      </c>
      <c r="B51" s="543" t="s">
        <v>121</v>
      </c>
      <c r="C51" s="598" t="s">
        <v>264</v>
      </c>
      <c r="D51" s="547">
        <v>3331</v>
      </c>
      <c r="E51" s="547">
        <v>3645</v>
      </c>
      <c r="F51" s="547">
        <v>3614</v>
      </c>
      <c r="G51" s="547">
        <v>3762</v>
      </c>
      <c r="H51" s="547">
        <v>4927</v>
      </c>
      <c r="I51" s="547">
        <v>5918</v>
      </c>
      <c r="J51" s="547">
        <v>6615</v>
      </c>
      <c r="K51" s="548">
        <v>7233</v>
      </c>
      <c r="L51" s="958">
        <v>7634</v>
      </c>
      <c r="M51" s="958">
        <v>7368</v>
      </c>
      <c r="N51" s="1598">
        <v>7058</v>
      </c>
      <c r="P51" s="272">
        <f t="shared" si="4"/>
        <v>4.2073832790445166E-2</v>
      </c>
      <c r="Q51" s="272">
        <f t="shared" si="5"/>
        <v>3.4844118417605451E-2</v>
      </c>
      <c r="R51" s="272">
        <f t="shared" si="6"/>
        <v>5.544034287294345E-2</v>
      </c>
    </row>
    <row r="52" spans="1:18" ht="15.75" x14ac:dyDescent="0.25">
      <c r="A52" s="540" t="s">
        <v>122</v>
      </c>
      <c r="B52" s="543" t="s">
        <v>287</v>
      </c>
      <c r="C52" s="598" t="s">
        <v>266</v>
      </c>
      <c r="D52" s="547">
        <v>1078</v>
      </c>
      <c r="E52" s="547">
        <v>1110</v>
      </c>
      <c r="F52" s="547">
        <v>1125</v>
      </c>
      <c r="G52" s="547">
        <v>1121</v>
      </c>
      <c r="H52" s="547">
        <v>1267</v>
      </c>
      <c r="I52" s="547">
        <v>1484</v>
      </c>
      <c r="J52" s="547">
        <v>1617</v>
      </c>
      <c r="K52" s="548">
        <v>1696</v>
      </c>
      <c r="L52" s="958">
        <v>1853</v>
      </c>
      <c r="M52" s="958">
        <v>1790</v>
      </c>
      <c r="N52" s="1598">
        <v>1705</v>
      </c>
      <c r="P52" s="272">
        <f t="shared" si="4"/>
        <v>4.7486033519553071E-2</v>
      </c>
      <c r="Q52" s="272">
        <f t="shared" si="5"/>
        <v>3.3998920669185105E-2</v>
      </c>
      <c r="R52" s="272">
        <f t="shared" si="6"/>
        <v>9.2570754716981132E-2</v>
      </c>
    </row>
    <row r="53" spans="1:18" ht="15.75" x14ac:dyDescent="0.25">
      <c r="A53" s="540" t="s">
        <v>124</v>
      </c>
      <c r="B53" s="543" t="s">
        <v>125</v>
      </c>
      <c r="C53" s="598" t="s">
        <v>267</v>
      </c>
      <c r="D53" s="547">
        <v>1828</v>
      </c>
      <c r="E53" s="547">
        <v>1830</v>
      </c>
      <c r="F53" s="547">
        <v>1926</v>
      </c>
      <c r="G53" s="547">
        <v>2242</v>
      </c>
      <c r="H53" s="547">
        <v>2832</v>
      </c>
      <c r="I53" s="547">
        <v>3315</v>
      </c>
      <c r="J53" s="547">
        <v>3822</v>
      </c>
      <c r="K53" s="548">
        <v>4260</v>
      </c>
      <c r="L53" s="958">
        <v>4467</v>
      </c>
      <c r="M53" s="958">
        <v>4417</v>
      </c>
      <c r="N53" s="1598">
        <v>4091</v>
      </c>
      <c r="P53" s="272">
        <f t="shared" si="4"/>
        <v>7.3805750509395515E-2</v>
      </c>
      <c r="Q53" s="272">
        <f t="shared" si="5"/>
        <v>1.1193194537721066E-2</v>
      </c>
      <c r="R53" s="272">
        <f t="shared" si="6"/>
        <v>4.8591549295774646E-2</v>
      </c>
    </row>
    <row r="54" spans="1:18" ht="15.75" x14ac:dyDescent="0.25">
      <c r="A54" s="540" t="s">
        <v>126</v>
      </c>
      <c r="B54" s="543" t="s">
        <v>127</v>
      </c>
      <c r="C54" s="598" t="s">
        <v>266</v>
      </c>
      <c r="D54" s="547">
        <v>1259</v>
      </c>
      <c r="E54" s="547">
        <v>1362</v>
      </c>
      <c r="F54" s="547">
        <v>1392</v>
      </c>
      <c r="G54" s="547">
        <v>1457</v>
      </c>
      <c r="H54" s="547">
        <v>1795</v>
      </c>
      <c r="I54" s="547">
        <v>2337</v>
      </c>
      <c r="J54" s="547">
        <v>2603</v>
      </c>
      <c r="K54" s="548">
        <v>2831</v>
      </c>
      <c r="L54" s="958">
        <v>2847</v>
      </c>
      <c r="M54" s="958">
        <v>2672</v>
      </c>
      <c r="N54" s="1598">
        <v>2497</v>
      </c>
      <c r="P54" s="272">
        <f t="shared" si="4"/>
        <v>6.54940119760479E-2</v>
      </c>
      <c r="Q54" s="272">
        <f t="shared" si="5"/>
        <v>6.1468212153143659E-2</v>
      </c>
      <c r="R54" s="272">
        <f t="shared" si="6"/>
        <v>5.6517131755563403E-3</v>
      </c>
    </row>
    <row r="55" spans="1:18" ht="15.75" x14ac:dyDescent="0.25">
      <c r="A55" s="540" t="s">
        <v>128</v>
      </c>
      <c r="B55" s="543" t="s">
        <v>129</v>
      </c>
      <c r="C55" s="598" t="s">
        <v>266</v>
      </c>
      <c r="D55" s="547">
        <v>1757</v>
      </c>
      <c r="E55" s="547">
        <v>1835</v>
      </c>
      <c r="F55" s="547">
        <v>1717</v>
      </c>
      <c r="G55" s="547">
        <v>1682</v>
      </c>
      <c r="H55" s="547">
        <v>1887</v>
      </c>
      <c r="I55" s="547">
        <v>2164</v>
      </c>
      <c r="J55" s="547">
        <v>2306</v>
      </c>
      <c r="K55" s="548">
        <v>2430</v>
      </c>
      <c r="L55" s="958">
        <v>2500</v>
      </c>
      <c r="M55" s="958">
        <v>2362</v>
      </c>
      <c r="N55" s="1598">
        <v>2233</v>
      </c>
      <c r="P55" s="272">
        <f t="shared" si="4"/>
        <v>5.4614733276883994E-2</v>
      </c>
      <c r="Q55" s="272">
        <f t="shared" si="5"/>
        <v>5.5199999999999999E-2</v>
      </c>
      <c r="R55" s="272">
        <f t="shared" si="6"/>
        <v>2.8806584362139918E-2</v>
      </c>
    </row>
    <row r="56" spans="1:18" ht="15.75" x14ac:dyDescent="0.25">
      <c r="A56" s="540" t="s">
        <v>130</v>
      </c>
      <c r="B56" s="543" t="s">
        <v>131</v>
      </c>
      <c r="C56" s="598" t="s">
        <v>268</v>
      </c>
      <c r="D56" s="547">
        <v>6577</v>
      </c>
      <c r="E56" s="547">
        <v>6638</v>
      </c>
      <c r="F56" s="547">
        <v>6627</v>
      </c>
      <c r="G56" s="547">
        <v>6715</v>
      </c>
      <c r="H56" s="547">
        <v>7032</v>
      </c>
      <c r="I56" s="547">
        <v>7489</v>
      </c>
      <c r="J56" s="547">
        <v>7843</v>
      </c>
      <c r="K56" s="548">
        <v>8103</v>
      </c>
      <c r="L56" s="958">
        <v>8338</v>
      </c>
      <c r="M56" s="958">
        <v>8222</v>
      </c>
      <c r="N56" s="1598">
        <v>7708</v>
      </c>
      <c r="P56" s="272">
        <f t="shared" si="4"/>
        <v>6.2515203113597664E-2</v>
      </c>
      <c r="Q56" s="272">
        <f t="shared" si="5"/>
        <v>1.3912209162868793E-2</v>
      </c>
      <c r="R56" s="272">
        <f t="shared" si="6"/>
        <v>2.9001604344070099E-2</v>
      </c>
    </row>
    <row r="57" spans="1:18" ht="15.75" x14ac:dyDescent="0.25">
      <c r="A57" s="540" t="s">
        <v>132</v>
      </c>
      <c r="B57" s="543" t="s">
        <v>133</v>
      </c>
      <c r="C57" s="598" t="s">
        <v>267</v>
      </c>
      <c r="D57" s="547">
        <v>5415</v>
      </c>
      <c r="E57" s="547">
        <v>5994</v>
      </c>
      <c r="F57" s="547">
        <v>6245</v>
      </c>
      <c r="G57" s="547">
        <v>6936</v>
      </c>
      <c r="H57" s="547">
        <v>9274</v>
      </c>
      <c r="I57" s="547">
        <v>12054</v>
      </c>
      <c r="J57" s="547">
        <v>14047</v>
      </c>
      <c r="K57" s="548">
        <v>15346</v>
      </c>
      <c r="L57" s="958">
        <v>16591</v>
      </c>
      <c r="M57" s="958">
        <v>16628</v>
      </c>
      <c r="N57" s="1598">
        <v>15764</v>
      </c>
      <c r="P57" s="272">
        <f t="shared" si="4"/>
        <v>5.1960548472456097E-2</v>
      </c>
      <c r="Q57" s="272">
        <f t="shared" si="5"/>
        <v>-2.2301247664396361E-3</v>
      </c>
      <c r="R57" s="272">
        <f t="shared" si="6"/>
        <v>8.1128632868499931E-2</v>
      </c>
    </row>
    <row r="58" spans="1:18" ht="15.75" x14ac:dyDescent="0.25">
      <c r="A58" s="540" t="s">
        <v>134</v>
      </c>
      <c r="B58" s="543" t="s">
        <v>135</v>
      </c>
      <c r="C58" s="598" t="s">
        <v>267</v>
      </c>
      <c r="D58" s="547">
        <v>3067</v>
      </c>
      <c r="E58" s="547">
        <v>3288</v>
      </c>
      <c r="F58" s="547">
        <v>3284</v>
      </c>
      <c r="G58" s="547">
        <v>3448</v>
      </c>
      <c r="H58" s="547">
        <v>4394</v>
      </c>
      <c r="I58" s="547">
        <v>5443</v>
      </c>
      <c r="J58" s="547">
        <v>6131</v>
      </c>
      <c r="K58" s="548">
        <v>6446</v>
      </c>
      <c r="L58" s="958">
        <v>6825</v>
      </c>
      <c r="M58" s="958">
        <v>6696</v>
      </c>
      <c r="N58" s="1598">
        <v>6371</v>
      </c>
      <c r="P58" s="272">
        <f t="shared" si="4"/>
        <v>4.8536439665471921E-2</v>
      </c>
      <c r="Q58" s="272">
        <f t="shared" si="5"/>
        <v>1.8901098901098902E-2</v>
      </c>
      <c r="R58" s="272">
        <f t="shared" si="6"/>
        <v>5.8796152652807944E-2</v>
      </c>
    </row>
    <row r="59" spans="1:18" ht="15.75" x14ac:dyDescent="0.25">
      <c r="A59" s="540" t="s">
        <v>136</v>
      </c>
      <c r="B59" s="543" t="s">
        <v>137</v>
      </c>
      <c r="C59" s="598" t="s">
        <v>266</v>
      </c>
      <c r="D59" s="547">
        <v>2340</v>
      </c>
      <c r="E59" s="547">
        <v>2500</v>
      </c>
      <c r="F59" s="547">
        <v>2477</v>
      </c>
      <c r="G59" s="547">
        <v>2636</v>
      </c>
      <c r="H59" s="547">
        <v>2906</v>
      </c>
      <c r="I59" s="547">
        <v>3282</v>
      </c>
      <c r="J59" s="547">
        <v>3460</v>
      </c>
      <c r="K59" s="548">
        <v>3575</v>
      </c>
      <c r="L59" s="958">
        <v>3562</v>
      </c>
      <c r="M59" s="958">
        <v>3523</v>
      </c>
      <c r="N59" s="1598">
        <v>3374</v>
      </c>
      <c r="P59" s="272">
        <f t="shared" si="4"/>
        <v>4.2293499858075505E-2</v>
      </c>
      <c r="Q59" s="272">
        <f t="shared" si="5"/>
        <v>1.0948905109489052E-2</v>
      </c>
      <c r="R59" s="272">
        <f t="shared" si="6"/>
        <v>-3.6363636363636364E-3</v>
      </c>
    </row>
    <row r="60" spans="1:18" ht="15.75" x14ac:dyDescent="0.25">
      <c r="A60" s="540" t="s">
        <v>140</v>
      </c>
      <c r="B60" s="543" t="s">
        <v>141</v>
      </c>
      <c r="C60" s="598" t="s">
        <v>267</v>
      </c>
      <c r="D60" s="547">
        <v>1043</v>
      </c>
      <c r="E60" s="547">
        <v>1023</v>
      </c>
      <c r="F60" s="547">
        <v>1067</v>
      </c>
      <c r="G60" s="547">
        <v>1191</v>
      </c>
      <c r="H60" s="547">
        <v>1572</v>
      </c>
      <c r="I60" s="547">
        <v>1991</v>
      </c>
      <c r="J60" s="547">
        <v>2203</v>
      </c>
      <c r="K60" s="548">
        <v>2360</v>
      </c>
      <c r="L60" s="958">
        <v>2566</v>
      </c>
      <c r="M60" s="958">
        <v>2452</v>
      </c>
      <c r="N60" s="1598">
        <v>2309</v>
      </c>
      <c r="P60" s="272">
        <f t="shared" si="4"/>
        <v>5.8319738988580748E-2</v>
      </c>
      <c r="Q60" s="272">
        <f t="shared" si="5"/>
        <v>4.4427123928293066E-2</v>
      </c>
      <c r="R60" s="272">
        <f t="shared" si="6"/>
        <v>8.7288135593220337E-2</v>
      </c>
    </row>
    <row r="61" spans="1:18" ht="15.75" x14ac:dyDescent="0.25">
      <c r="A61" s="540" t="s">
        <v>146</v>
      </c>
      <c r="B61" s="543" t="s">
        <v>147</v>
      </c>
      <c r="C61" s="598" t="s">
        <v>264</v>
      </c>
      <c r="D61" s="547">
        <v>839</v>
      </c>
      <c r="E61" s="547">
        <v>889</v>
      </c>
      <c r="F61" s="547">
        <v>881</v>
      </c>
      <c r="G61" s="547">
        <v>918</v>
      </c>
      <c r="H61" s="547">
        <v>1057</v>
      </c>
      <c r="I61" s="547">
        <v>1286</v>
      </c>
      <c r="J61" s="547">
        <v>1413</v>
      </c>
      <c r="K61" s="548">
        <v>1458</v>
      </c>
      <c r="L61" s="958">
        <v>1524</v>
      </c>
      <c r="M61" s="958">
        <v>1435</v>
      </c>
      <c r="N61" s="1598">
        <v>1360</v>
      </c>
      <c r="P61" s="272">
        <f t="shared" si="4"/>
        <v>5.2264808362369339E-2</v>
      </c>
      <c r="Q61" s="272">
        <f t="shared" si="5"/>
        <v>5.8398950131233598E-2</v>
      </c>
      <c r="R61" s="272">
        <f t="shared" si="6"/>
        <v>4.5267489711934158E-2</v>
      </c>
    </row>
    <row r="62" spans="1:18" ht="15.75" x14ac:dyDescent="0.25">
      <c r="A62" s="540" t="s">
        <v>148</v>
      </c>
      <c r="B62" s="543" t="s">
        <v>149</v>
      </c>
      <c r="C62" s="598" t="s">
        <v>265</v>
      </c>
      <c r="D62" s="547">
        <v>4961</v>
      </c>
      <c r="E62" s="547">
        <v>5123</v>
      </c>
      <c r="F62" s="547">
        <v>5061</v>
      </c>
      <c r="G62" s="547">
        <v>5189</v>
      </c>
      <c r="H62" s="547">
        <v>5792</v>
      </c>
      <c r="I62" s="547">
        <v>6849</v>
      </c>
      <c r="J62" s="547">
        <v>7227</v>
      </c>
      <c r="K62" s="548">
        <v>7611</v>
      </c>
      <c r="L62" s="958">
        <v>7939</v>
      </c>
      <c r="M62" s="958">
        <v>7635</v>
      </c>
      <c r="N62" s="1598">
        <v>7203</v>
      </c>
      <c r="P62" s="272">
        <f t="shared" si="4"/>
        <v>5.6581532416502947E-2</v>
      </c>
      <c r="Q62" s="272">
        <f t="shared" si="5"/>
        <v>3.8291976319435699E-2</v>
      </c>
      <c r="R62" s="272">
        <f t="shared" si="6"/>
        <v>4.3095519642622523E-2</v>
      </c>
    </row>
    <row r="63" spans="1:18" ht="15.75" x14ac:dyDescent="0.25">
      <c r="A63" s="540" t="s">
        <v>150</v>
      </c>
      <c r="B63" s="543" t="s">
        <v>151</v>
      </c>
      <c r="C63" s="598" t="s">
        <v>266</v>
      </c>
      <c r="D63" s="547">
        <v>1263</v>
      </c>
      <c r="E63" s="547">
        <v>1345</v>
      </c>
      <c r="F63" s="547">
        <v>1301</v>
      </c>
      <c r="G63" s="547">
        <v>1324</v>
      </c>
      <c r="H63" s="547">
        <v>1549</v>
      </c>
      <c r="I63" s="547">
        <v>1867</v>
      </c>
      <c r="J63" s="547">
        <v>2041</v>
      </c>
      <c r="K63" s="548">
        <v>2294</v>
      </c>
      <c r="L63" s="958">
        <v>2363</v>
      </c>
      <c r="M63" s="958">
        <v>2299</v>
      </c>
      <c r="N63" s="1598">
        <v>2204</v>
      </c>
      <c r="P63" s="272">
        <f t="shared" si="4"/>
        <v>4.1322314049586778E-2</v>
      </c>
      <c r="Q63" s="272">
        <f t="shared" si="5"/>
        <v>2.7084214980956412E-2</v>
      </c>
      <c r="R63" s="272">
        <f t="shared" si="6"/>
        <v>3.007846556233653E-2</v>
      </c>
    </row>
    <row r="64" spans="1:18" ht="15.75" x14ac:dyDescent="0.25">
      <c r="A64" s="540" t="s">
        <v>152</v>
      </c>
      <c r="B64" s="543" t="s">
        <v>153</v>
      </c>
      <c r="C64" s="598" t="s">
        <v>268</v>
      </c>
      <c r="D64" s="547">
        <v>7069</v>
      </c>
      <c r="E64" s="547">
        <v>7516</v>
      </c>
      <c r="F64" s="547">
        <v>7813</v>
      </c>
      <c r="G64" s="547">
        <v>8317</v>
      </c>
      <c r="H64" s="547">
        <v>9107</v>
      </c>
      <c r="I64" s="547">
        <v>10238</v>
      </c>
      <c r="J64" s="547">
        <v>10993</v>
      </c>
      <c r="K64" s="548">
        <v>11445</v>
      </c>
      <c r="L64" s="958">
        <v>11861</v>
      </c>
      <c r="M64" s="958">
        <v>11199</v>
      </c>
      <c r="N64" s="1598">
        <v>10381</v>
      </c>
      <c r="P64" s="272">
        <f t="shared" si="4"/>
        <v>7.304223591392088E-2</v>
      </c>
      <c r="Q64" s="272">
        <f t="shared" si="5"/>
        <v>5.5813169210016021E-2</v>
      </c>
      <c r="R64" s="272">
        <f t="shared" si="6"/>
        <v>3.6347750109218001E-2</v>
      </c>
    </row>
    <row r="65" spans="1:18" ht="15.75" x14ac:dyDescent="0.25">
      <c r="A65" s="540" t="s">
        <v>154</v>
      </c>
      <c r="B65" s="543" t="s">
        <v>155</v>
      </c>
      <c r="C65" s="598" t="s">
        <v>265</v>
      </c>
      <c r="D65" s="547">
        <v>1493</v>
      </c>
      <c r="E65" s="547">
        <v>1609</v>
      </c>
      <c r="F65" s="547">
        <v>1895</v>
      </c>
      <c r="G65" s="547">
        <v>2047</v>
      </c>
      <c r="H65" s="547">
        <v>2516</v>
      </c>
      <c r="I65" s="547">
        <v>2912</v>
      </c>
      <c r="J65" s="547">
        <v>3081</v>
      </c>
      <c r="K65" s="548">
        <v>3318</v>
      </c>
      <c r="L65" s="958">
        <v>3409</v>
      </c>
      <c r="M65" s="958">
        <v>3290</v>
      </c>
      <c r="N65" s="1598">
        <v>3046</v>
      </c>
      <c r="P65" s="272">
        <f t="shared" si="4"/>
        <v>7.4164133738601826E-2</v>
      </c>
      <c r="Q65" s="272">
        <f t="shared" si="5"/>
        <v>3.4907597535934289E-2</v>
      </c>
      <c r="R65" s="272">
        <f t="shared" si="6"/>
        <v>2.7426160337552744E-2</v>
      </c>
    </row>
    <row r="66" spans="1:18" ht="15.75" x14ac:dyDescent="0.25">
      <c r="A66" s="540" t="s">
        <v>156</v>
      </c>
      <c r="B66" s="543" t="s">
        <v>157</v>
      </c>
      <c r="C66" s="598" t="s">
        <v>266</v>
      </c>
      <c r="D66" s="547">
        <v>791</v>
      </c>
      <c r="E66" s="547">
        <v>819</v>
      </c>
      <c r="F66" s="547">
        <v>772</v>
      </c>
      <c r="G66" s="547">
        <v>898</v>
      </c>
      <c r="H66" s="547">
        <v>1097</v>
      </c>
      <c r="I66" s="547">
        <v>1427</v>
      </c>
      <c r="J66" s="547">
        <v>1722</v>
      </c>
      <c r="K66" s="548">
        <v>1932</v>
      </c>
      <c r="L66" s="958">
        <v>1969</v>
      </c>
      <c r="M66" s="958">
        <v>1872</v>
      </c>
      <c r="N66" s="1598">
        <v>1936</v>
      </c>
      <c r="P66" s="272">
        <f t="shared" si="4"/>
        <v>-3.4188034188034191E-2</v>
      </c>
      <c r="Q66" s="272">
        <f t="shared" si="5"/>
        <v>4.9263585576434739E-2</v>
      </c>
      <c r="R66" s="272">
        <f t="shared" si="6"/>
        <v>1.9151138716356108E-2</v>
      </c>
    </row>
    <row r="67" spans="1:18" ht="15.75" x14ac:dyDescent="0.25">
      <c r="A67" s="540" t="s">
        <v>162</v>
      </c>
      <c r="B67" s="543" t="s">
        <v>163</v>
      </c>
      <c r="C67" s="598" t="s">
        <v>264</v>
      </c>
      <c r="D67" s="547">
        <v>2991</v>
      </c>
      <c r="E67" s="547">
        <v>3211</v>
      </c>
      <c r="F67" s="547">
        <v>3193</v>
      </c>
      <c r="G67" s="547">
        <v>3131</v>
      </c>
      <c r="H67" s="547">
        <v>3392</v>
      </c>
      <c r="I67" s="547">
        <v>3682</v>
      </c>
      <c r="J67" s="547">
        <v>4028</v>
      </c>
      <c r="K67" s="548">
        <v>4062</v>
      </c>
      <c r="L67" s="958">
        <v>4139</v>
      </c>
      <c r="M67" s="958">
        <v>3992</v>
      </c>
      <c r="N67" s="1598">
        <v>3786</v>
      </c>
      <c r="P67" s="272">
        <f t="shared" si="4"/>
        <v>5.1603206412825654E-2</v>
      </c>
      <c r="Q67" s="272">
        <f t="shared" si="5"/>
        <v>3.5515825078521385E-2</v>
      </c>
      <c r="R67" s="272">
        <f t="shared" si="6"/>
        <v>1.8956179222058101E-2</v>
      </c>
    </row>
    <row r="68" spans="1:18" ht="15.75" x14ac:dyDescent="0.25">
      <c r="A68" s="540" t="s">
        <v>164</v>
      </c>
      <c r="B68" s="543" t="s">
        <v>165</v>
      </c>
      <c r="C68" s="598" t="s">
        <v>266</v>
      </c>
      <c r="D68" s="547">
        <v>1609</v>
      </c>
      <c r="E68" s="547">
        <v>1582</v>
      </c>
      <c r="F68" s="547">
        <v>1580</v>
      </c>
      <c r="G68" s="547">
        <v>1609</v>
      </c>
      <c r="H68" s="547">
        <v>1759</v>
      </c>
      <c r="I68" s="547">
        <v>2043</v>
      </c>
      <c r="J68" s="547">
        <v>2243</v>
      </c>
      <c r="K68" s="548">
        <v>2371</v>
      </c>
      <c r="L68" s="958">
        <v>2611</v>
      </c>
      <c r="M68" s="958">
        <v>2574</v>
      </c>
      <c r="N68" s="1598">
        <v>2461</v>
      </c>
      <c r="P68" s="272">
        <f t="shared" si="4"/>
        <v>4.3900543900543904E-2</v>
      </c>
      <c r="Q68" s="272">
        <f t="shared" si="5"/>
        <v>1.4170815779394868E-2</v>
      </c>
      <c r="R68" s="272">
        <f t="shared" si="6"/>
        <v>0.10122311261071278</v>
      </c>
    </row>
    <row r="69" spans="1:18" ht="15.75" x14ac:dyDescent="0.25">
      <c r="A69" s="540" t="s">
        <v>168</v>
      </c>
      <c r="B69" s="543" t="s">
        <v>169</v>
      </c>
      <c r="C69" s="598" t="s">
        <v>266</v>
      </c>
      <c r="D69" s="547">
        <v>2913</v>
      </c>
      <c r="E69" s="547">
        <v>3042</v>
      </c>
      <c r="F69" s="547">
        <v>3026</v>
      </c>
      <c r="G69" s="547">
        <v>3238</v>
      </c>
      <c r="H69" s="547">
        <v>3771</v>
      </c>
      <c r="I69" s="547">
        <v>4257</v>
      </c>
      <c r="J69" s="547">
        <v>4696</v>
      </c>
      <c r="K69" s="548">
        <v>5003</v>
      </c>
      <c r="L69" s="958">
        <v>5060</v>
      </c>
      <c r="M69" s="958">
        <v>4992</v>
      </c>
      <c r="N69" s="1598">
        <v>4682</v>
      </c>
      <c r="P69" s="272">
        <f t="shared" ref="P69:P100" si="7">(M69-N69)/M69</f>
        <v>6.2099358974358976E-2</v>
      </c>
      <c r="Q69" s="272">
        <f t="shared" ref="Q69:Q100" si="8">(L69-M69)/L69</f>
        <v>1.3438735177865613E-2</v>
      </c>
      <c r="R69" s="272">
        <f t="shared" ref="R69:R100" si="9">(L69-K69)/K69</f>
        <v>1.1393164101539077E-2</v>
      </c>
    </row>
    <row r="70" spans="1:18" ht="15.75" x14ac:dyDescent="0.25">
      <c r="A70" s="540" t="s">
        <v>170</v>
      </c>
      <c r="B70" s="543" t="s">
        <v>171</v>
      </c>
      <c r="C70" s="598" t="s">
        <v>267</v>
      </c>
      <c r="D70" s="547">
        <v>2459</v>
      </c>
      <c r="E70" s="547">
        <v>2480</v>
      </c>
      <c r="F70" s="547">
        <v>2549</v>
      </c>
      <c r="G70" s="547">
        <v>2966</v>
      </c>
      <c r="H70" s="547">
        <v>3782</v>
      </c>
      <c r="I70" s="547">
        <v>4511</v>
      </c>
      <c r="J70" s="547">
        <v>4983</v>
      </c>
      <c r="K70" s="548">
        <v>5279</v>
      </c>
      <c r="L70" s="958">
        <v>5384</v>
      </c>
      <c r="M70" s="958">
        <v>5248</v>
      </c>
      <c r="N70" s="1598">
        <v>4969</v>
      </c>
      <c r="P70" s="272">
        <f t="shared" si="7"/>
        <v>5.316310975609756E-2</v>
      </c>
      <c r="Q70" s="272">
        <f t="shared" si="8"/>
        <v>2.5260029717682021E-2</v>
      </c>
      <c r="R70" s="272">
        <f t="shared" si="9"/>
        <v>1.9890130706573216E-2</v>
      </c>
    </row>
    <row r="71" spans="1:18" ht="15.75" x14ac:dyDescent="0.25">
      <c r="A71" s="540" t="s">
        <v>172</v>
      </c>
      <c r="B71" s="543" t="s">
        <v>173</v>
      </c>
      <c r="C71" s="598" t="s">
        <v>267</v>
      </c>
      <c r="D71" s="547">
        <v>2891</v>
      </c>
      <c r="E71" s="547">
        <v>3166</v>
      </c>
      <c r="F71" s="547">
        <v>3418</v>
      </c>
      <c r="G71" s="547">
        <v>3698</v>
      </c>
      <c r="H71" s="547">
        <v>4426</v>
      </c>
      <c r="I71" s="547">
        <v>5111</v>
      </c>
      <c r="J71" s="547">
        <v>5336</v>
      </c>
      <c r="K71" s="548">
        <v>5652</v>
      </c>
      <c r="L71" s="958">
        <v>5766</v>
      </c>
      <c r="M71" s="958">
        <v>5558</v>
      </c>
      <c r="N71" s="1598">
        <v>5303</v>
      </c>
      <c r="P71" s="272">
        <f t="shared" si="7"/>
        <v>4.5879812882331776E-2</v>
      </c>
      <c r="Q71" s="272">
        <f t="shared" si="8"/>
        <v>3.6073534512660425E-2</v>
      </c>
      <c r="R71" s="272">
        <f t="shared" si="9"/>
        <v>2.0169851380042462E-2</v>
      </c>
    </row>
    <row r="72" spans="1:18" ht="15.75" x14ac:dyDescent="0.25">
      <c r="A72" s="540" t="s">
        <v>174</v>
      </c>
      <c r="B72" s="543" t="s">
        <v>175</v>
      </c>
      <c r="C72" s="598" t="s">
        <v>268</v>
      </c>
      <c r="D72" s="547">
        <v>3537</v>
      </c>
      <c r="E72" s="547">
        <v>3620</v>
      </c>
      <c r="F72" s="547">
        <v>3705</v>
      </c>
      <c r="G72" s="547">
        <v>3966</v>
      </c>
      <c r="H72" s="547">
        <v>4407</v>
      </c>
      <c r="I72" s="547">
        <v>4742</v>
      </c>
      <c r="J72" s="547">
        <v>4999</v>
      </c>
      <c r="K72" s="548">
        <v>5094</v>
      </c>
      <c r="L72" s="958">
        <v>4929</v>
      </c>
      <c r="M72" s="958">
        <v>4566</v>
      </c>
      <c r="N72" s="1598">
        <v>4264</v>
      </c>
      <c r="P72" s="272">
        <f t="shared" si="7"/>
        <v>6.6141042487954452E-2</v>
      </c>
      <c r="Q72" s="272">
        <f t="shared" si="8"/>
        <v>7.3645769933049304E-2</v>
      </c>
      <c r="R72" s="272">
        <f t="shared" si="9"/>
        <v>-3.2391048292108364E-2</v>
      </c>
    </row>
    <row r="73" spans="1:18" ht="15.75" x14ac:dyDescent="0.25">
      <c r="A73" s="540" t="s">
        <v>178</v>
      </c>
      <c r="B73" s="543" t="s">
        <v>179</v>
      </c>
      <c r="C73" s="598" t="s">
        <v>265</v>
      </c>
      <c r="D73" s="547">
        <v>8896</v>
      </c>
      <c r="E73" s="547">
        <v>9645</v>
      </c>
      <c r="F73" s="547">
        <v>10085</v>
      </c>
      <c r="G73" s="547">
        <v>10607</v>
      </c>
      <c r="H73" s="547">
        <v>11901</v>
      </c>
      <c r="I73" s="547">
        <v>13191</v>
      </c>
      <c r="J73" s="547">
        <v>13999</v>
      </c>
      <c r="K73" s="548">
        <v>14314</v>
      </c>
      <c r="L73" s="958">
        <v>14682</v>
      </c>
      <c r="M73" s="958">
        <v>14498</v>
      </c>
      <c r="N73" s="1598">
        <v>13584</v>
      </c>
      <c r="P73" s="272">
        <f t="shared" si="7"/>
        <v>6.3043178369430269E-2</v>
      </c>
      <c r="Q73" s="272">
        <f t="shared" si="8"/>
        <v>1.2532352540525813E-2</v>
      </c>
      <c r="R73" s="272">
        <f t="shared" si="9"/>
        <v>2.5709095989939919E-2</v>
      </c>
    </row>
    <row r="74" spans="1:18" ht="15.75" x14ac:dyDescent="0.25">
      <c r="A74" s="540" t="s">
        <v>182</v>
      </c>
      <c r="B74" s="543" t="s">
        <v>183</v>
      </c>
      <c r="C74" s="598" t="s">
        <v>266</v>
      </c>
      <c r="D74" s="547">
        <v>903</v>
      </c>
      <c r="E74" s="547">
        <v>932</v>
      </c>
      <c r="F74" s="547">
        <v>1049</v>
      </c>
      <c r="G74" s="547">
        <v>1120</v>
      </c>
      <c r="H74" s="547">
        <v>1409</v>
      </c>
      <c r="I74" s="547">
        <v>1829</v>
      </c>
      <c r="J74" s="547">
        <v>2061</v>
      </c>
      <c r="K74" s="548">
        <v>2295</v>
      </c>
      <c r="L74" s="958">
        <v>2354</v>
      </c>
      <c r="M74" s="958">
        <v>2244</v>
      </c>
      <c r="N74" s="1598">
        <v>2036</v>
      </c>
      <c r="P74" s="272">
        <f t="shared" si="7"/>
        <v>9.2691622103386814E-2</v>
      </c>
      <c r="Q74" s="272">
        <f t="shared" si="8"/>
        <v>4.6728971962616821E-2</v>
      </c>
      <c r="R74" s="272">
        <f t="shared" si="9"/>
        <v>2.570806100217865E-2</v>
      </c>
    </row>
    <row r="75" spans="1:18" ht="15.75" x14ac:dyDescent="0.25">
      <c r="A75" s="540" t="s">
        <v>184</v>
      </c>
      <c r="B75" s="543" t="s">
        <v>185</v>
      </c>
      <c r="C75" s="598" t="s">
        <v>266</v>
      </c>
      <c r="D75" s="547">
        <v>3363</v>
      </c>
      <c r="E75" s="547">
        <v>3633</v>
      </c>
      <c r="F75" s="547">
        <v>3631</v>
      </c>
      <c r="G75" s="547">
        <v>3814</v>
      </c>
      <c r="H75" s="547">
        <v>4162</v>
      </c>
      <c r="I75" s="547">
        <v>4684</v>
      </c>
      <c r="J75" s="547">
        <v>5034</v>
      </c>
      <c r="K75" s="548">
        <v>5286</v>
      </c>
      <c r="L75" s="958">
        <v>5421</v>
      </c>
      <c r="M75" s="958">
        <v>5208</v>
      </c>
      <c r="N75" s="1598">
        <v>4869</v>
      </c>
      <c r="P75" s="272">
        <f t="shared" si="7"/>
        <v>6.5092165898617507E-2</v>
      </c>
      <c r="Q75" s="272">
        <f t="shared" si="8"/>
        <v>3.9291643608190374E-2</v>
      </c>
      <c r="R75" s="272">
        <f t="shared" si="9"/>
        <v>2.553916004540295E-2</v>
      </c>
    </row>
    <row r="76" spans="1:18" ht="15.75" x14ac:dyDescent="0.25">
      <c r="A76" s="540" t="s">
        <v>186</v>
      </c>
      <c r="B76" s="543" t="s">
        <v>187</v>
      </c>
      <c r="C76" s="598" t="s">
        <v>264</v>
      </c>
      <c r="D76" s="547">
        <v>2279</v>
      </c>
      <c r="E76" s="547">
        <v>2452</v>
      </c>
      <c r="F76" s="547">
        <v>2648</v>
      </c>
      <c r="G76" s="547">
        <v>2805</v>
      </c>
      <c r="H76" s="547">
        <v>3044</v>
      </c>
      <c r="I76" s="547">
        <v>3637</v>
      </c>
      <c r="J76" s="547">
        <v>4023</v>
      </c>
      <c r="K76" s="548">
        <v>4340</v>
      </c>
      <c r="L76" s="958">
        <v>4688</v>
      </c>
      <c r="M76" s="958">
        <v>4725</v>
      </c>
      <c r="N76" s="1598">
        <v>4685</v>
      </c>
      <c r="P76" s="272">
        <f t="shared" si="7"/>
        <v>8.4656084656084662E-3</v>
      </c>
      <c r="Q76" s="272">
        <f t="shared" si="8"/>
        <v>-7.8924914675767913E-3</v>
      </c>
      <c r="R76" s="272">
        <f t="shared" si="9"/>
        <v>8.0184331797235026E-2</v>
      </c>
    </row>
    <row r="77" spans="1:18" ht="15.75" x14ac:dyDescent="0.25">
      <c r="A77" s="540" t="s">
        <v>188</v>
      </c>
      <c r="B77" s="543" t="s">
        <v>189</v>
      </c>
      <c r="C77" s="598" t="s">
        <v>267</v>
      </c>
      <c r="D77" s="547">
        <v>18234</v>
      </c>
      <c r="E77" s="547">
        <v>20079</v>
      </c>
      <c r="F77" s="547">
        <v>21242</v>
      </c>
      <c r="G77" s="547">
        <v>23240</v>
      </c>
      <c r="H77" s="547">
        <v>29717</v>
      </c>
      <c r="I77" s="547">
        <v>37357</v>
      </c>
      <c r="J77" s="547">
        <v>42476</v>
      </c>
      <c r="K77" s="548">
        <v>46591</v>
      </c>
      <c r="L77" s="958">
        <v>49867</v>
      </c>
      <c r="M77" s="958">
        <v>48721</v>
      </c>
      <c r="N77" s="1598">
        <v>46899</v>
      </c>
      <c r="P77" s="272">
        <f t="shared" si="7"/>
        <v>3.7396605159992609E-2</v>
      </c>
      <c r="Q77" s="272">
        <f t="shared" si="8"/>
        <v>2.2981129805282049E-2</v>
      </c>
      <c r="R77" s="272">
        <f t="shared" si="9"/>
        <v>7.0314009143396791E-2</v>
      </c>
    </row>
    <row r="78" spans="1:18" ht="15.75" x14ac:dyDescent="0.25">
      <c r="A78" s="540" t="s">
        <v>190</v>
      </c>
      <c r="B78" s="543" t="s">
        <v>191</v>
      </c>
      <c r="C78" s="598" t="s">
        <v>268</v>
      </c>
      <c r="D78" s="547">
        <v>5607</v>
      </c>
      <c r="E78" s="547">
        <v>5931</v>
      </c>
      <c r="F78" s="547">
        <v>6074</v>
      </c>
      <c r="G78" s="547">
        <v>6296</v>
      </c>
      <c r="H78" s="547">
        <v>7096</v>
      </c>
      <c r="I78" s="547">
        <v>8075</v>
      </c>
      <c r="J78" s="547">
        <v>8499</v>
      </c>
      <c r="K78" s="548">
        <v>8385</v>
      </c>
      <c r="L78" s="958">
        <v>8521</v>
      </c>
      <c r="M78" s="958">
        <v>8309</v>
      </c>
      <c r="N78" s="1598">
        <v>7764</v>
      </c>
      <c r="P78" s="272">
        <f t="shared" si="7"/>
        <v>6.559152725959802E-2</v>
      </c>
      <c r="Q78" s="272">
        <f t="shared" si="8"/>
        <v>2.487970895434808E-2</v>
      </c>
      <c r="R78" s="272">
        <f t="shared" si="9"/>
        <v>1.6219439475253429E-2</v>
      </c>
    </row>
    <row r="79" spans="1:18" ht="15.75" x14ac:dyDescent="0.25">
      <c r="A79" s="540" t="s">
        <v>194</v>
      </c>
      <c r="B79" s="543" t="s">
        <v>195</v>
      </c>
      <c r="C79" s="598" t="s">
        <v>267</v>
      </c>
      <c r="D79" s="547">
        <v>288</v>
      </c>
      <c r="E79" s="547">
        <v>339</v>
      </c>
      <c r="F79" s="547">
        <v>355</v>
      </c>
      <c r="G79" s="547">
        <v>407</v>
      </c>
      <c r="H79" s="547">
        <v>583</v>
      </c>
      <c r="I79" s="547">
        <v>706</v>
      </c>
      <c r="J79" s="547">
        <v>793</v>
      </c>
      <c r="K79" s="548">
        <v>894</v>
      </c>
      <c r="L79" s="958">
        <v>797</v>
      </c>
      <c r="M79" s="958">
        <v>750</v>
      </c>
      <c r="N79" s="1598">
        <v>648</v>
      </c>
      <c r="P79" s="272">
        <f t="shared" si="7"/>
        <v>0.13600000000000001</v>
      </c>
      <c r="Q79" s="272">
        <f t="shared" si="8"/>
        <v>5.8971141781681308E-2</v>
      </c>
      <c r="R79" s="272">
        <f t="shared" si="9"/>
        <v>-0.10850111856823266</v>
      </c>
    </row>
    <row r="80" spans="1:18" ht="15.75" x14ac:dyDescent="0.25">
      <c r="A80" s="540" t="s">
        <v>198</v>
      </c>
      <c r="B80" s="543" t="s">
        <v>272</v>
      </c>
      <c r="C80" s="598" t="s">
        <v>266</v>
      </c>
      <c r="D80" s="547">
        <v>1300</v>
      </c>
      <c r="E80" s="547">
        <v>1399</v>
      </c>
      <c r="F80" s="547">
        <v>1351</v>
      </c>
      <c r="G80" s="547">
        <v>1395</v>
      </c>
      <c r="H80" s="547">
        <v>1642</v>
      </c>
      <c r="I80" s="547">
        <v>1911</v>
      </c>
      <c r="J80" s="547">
        <v>2044</v>
      </c>
      <c r="K80" s="548">
        <v>2144</v>
      </c>
      <c r="L80" s="958">
        <v>2218</v>
      </c>
      <c r="M80" s="958">
        <v>2195</v>
      </c>
      <c r="N80" s="1598">
        <v>2120</v>
      </c>
      <c r="P80" s="272">
        <f t="shared" si="7"/>
        <v>3.4168564920273349E-2</v>
      </c>
      <c r="Q80" s="272">
        <f t="shared" si="8"/>
        <v>1.0369702434625788E-2</v>
      </c>
      <c r="R80" s="272">
        <f t="shared" si="9"/>
        <v>3.4514925373134331E-2</v>
      </c>
    </row>
    <row r="81" spans="1:18" ht="15.75" x14ac:dyDescent="0.25">
      <c r="A81" s="540" t="s">
        <v>202</v>
      </c>
      <c r="B81" s="543" t="s">
        <v>301</v>
      </c>
      <c r="C81" s="598" t="s">
        <v>265</v>
      </c>
      <c r="D81" s="547">
        <v>6822</v>
      </c>
      <c r="E81" s="547">
        <v>7586</v>
      </c>
      <c r="F81" s="547">
        <v>7840</v>
      </c>
      <c r="G81" s="547">
        <v>7974</v>
      </c>
      <c r="H81" s="547">
        <v>9054</v>
      </c>
      <c r="I81" s="547">
        <v>11142</v>
      </c>
      <c r="J81" s="547">
        <v>12248</v>
      </c>
      <c r="K81" s="548">
        <v>12726</v>
      </c>
      <c r="L81" s="958">
        <v>13189</v>
      </c>
      <c r="M81" s="958">
        <v>12926</v>
      </c>
      <c r="N81" s="1598">
        <v>12436</v>
      </c>
      <c r="P81" s="272">
        <f t="shared" si="7"/>
        <v>3.790809221723658E-2</v>
      </c>
      <c r="Q81" s="272">
        <f t="shared" si="8"/>
        <v>1.9940859807415272E-2</v>
      </c>
      <c r="R81" s="272">
        <f t="shared" si="9"/>
        <v>3.6382209649536382E-2</v>
      </c>
    </row>
    <row r="82" spans="1:18" ht="15.75" x14ac:dyDescent="0.25">
      <c r="A82" s="540" t="s">
        <v>204</v>
      </c>
      <c r="B82" s="543" t="s">
        <v>293</v>
      </c>
      <c r="C82" s="598" t="s">
        <v>265</v>
      </c>
      <c r="D82" s="547">
        <v>3053</v>
      </c>
      <c r="E82" s="547">
        <v>3199</v>
      </c>
      <c r="F82" s="547">
        <v>3305</v>
      </c>
      <c r="G82" s="547">
        <v>3568</v>
      </c>
      <c r="H82" s="547">
        <v>4480</v>
      </c>
      <c r="I82" s="547">
        <v>5243</v>
      </c>
      <c r="J82" s="547">
        <v>5700</v>
      </c>
      <c r="K82" s="548">
        <v>5967</v>
      </c>
      <c r="L82" s="958">
        <v>6522</v>
      </c>
      <c r="M82" s="958">
        <v>6176</v>
      </c>
      <c r="N82" s="1598">
        <v>5764</v>
      </c>
      <c r="P82" s="272">
        <f t="shared" si="7"/>
        <v>6.6709844559585493E-2</v>
      </c>
      <c r="Q82" s="1859">
        <f t="shared" si="8"/>
        <v>5.3051211284881938E-2</v>
      </c>
      <c r="R82" s="1859">
        <f t="shared" si="9"/>
        <v>9.3011563599798897E-2</v>
      </c>
    </row>
    <row r="83" spans="1:18" ht="15.75" x14ac:dyDescent="0.25">
      <c r="A83" s="540" t="s">
        <v>206</v>
      </c>
      <c r="B83" s="543" t="s">
        <v>294</v>
      </c>
      <c r="C83" s="598" t="s">
        <v>267</v>
      </c>
      <c r="D83" s="547">
        <v>10200</v>
      </c>
      <c r="E83" s="547">
        <v>10962</v>
      </c>
      <c r="F83" s="547">
        <v>11116</v>
      </c>
      <c r="G83" s="547">
        <v>11547</v>
      </c>
      <c r="H83" s="547">
        <v>13415</v>
      </c>
      <c r="I83" s="547">
        <v>16262</v>
      </c>
      <c r="J83" s="547">
        <v>18232</v>
      </c>
      <c r="K83" s="548">
        <v>19010</v>
      </c>
      <c r="L83" s="958">
        <v>20329</v>
      </c>
      <c r="M83" s="958">
        <v>18812</v>
      </c>
      <c r="N83" s="1598">
        <v>17316</v>
      </c>
      <c r="P83" s="272">
        <f t="shared" si="7"/>
        <v>7.9523708271316176E-2</v>
      </c>
      <c r="Q83" s="1859">
        <f t="shared" si="8"/>
        <v>7.4622460524374046E-2</v>
      </c>
      <c r="R83" s="1859">
        <f t="shared" si="9"/>
        <v>6.9384534455549707E-2</v>
      </c>
    </row>
    <row r="84" spans="1:18" ht="15.75" x14ac:dyDescent="0.25">
      <c r="A84" s="540" t="s">
        <v>208</v>
      </c>
      <c r="B84" s="543" t="s">
        <v>209</v>
      </c>
      <c r="C84" s="598" t="s">
        <v>268</v>
      </c>
      <c r="D84" s="547">
        <v>6442</v>
      </c>
      <c r="E84" s="547">
        <v>6448</v>
      </c>
      <c r="F84" s="547">
        <v>6597</v>
      </c>
      <c r="G84" s="547">
        <v>6759</v>
      </c>
      <c r="H84" s="547">
        <v>7059</v>
      </c>
      <c r="I84" s="547">
        <v>7694</v>
      </c>
      <c r="J84" s="547">
        <v>7896</v>
      </c>
      <c r="K84" s="548">
        <v>7958</v>
      </c>
      <c r="L84" s="958">
        <v>8237</v>
      </c>
      <c r="M84" s="958">
        <v>8253</v>
      </c>
      <c r="N84" s="1598">
        <v>7934</v>
      </c>
      <c r="P84" s="272">
        <f t="shared" si="7"/>
        <v>3.8652611171695141E-2</v>
      </c>
      <c r="Q84" s="272">
        <f t="shared" si="8"/>
        <v>-1.9424547772247177E-3</v>
      </c>
      <c r="R84" s="272">
        <f t="shared" si="9"/>
        <v>3.5059060065343053E-2</v>
      </c>
    </row>
    <row r="85" spans="1:18" ht="15.75" x14ac:dyDescent="0.25">
      <c r="A85" s="540" t="s">
        <v>210</v>
      </c>
      <c r="B85" s="543" t="s">
        <v>211</v>
      </c>
      <c r="C85" s="598" t="s">
        <v>268</v>
      </c>
      <c r="D85" s="547">
        <v>3591</v>
      </c>
      <c r="E85" s="547">
        <v>3779</v>
      </c>
      <c r="F85" s="547">
        <v>3886</v>
      </c>
      <c r="G85" s="547">
        <v>3856</v>
      </c>
      <c r="H85" s="547">
        <v>4327</v>
      </c>
      <c r="I85" s="547">
        <v>4929</v>
      </c>
      <c r="J85" s="547">
        <v>5312</v>
      </c>
      <c r="K85" s="548">
        <v>5580</v>
      </c>
      <c r="L85" s="958">
        <v>5790</v>
      </c>
      <c r="M85" s="958">
        <v>5664</v>
      </c>
      <c r="N85" s="1598">
        <v>5172</v>
      </c>
      <c r="P85" s="272">
        <f t="shared" si="7"/>
        <v>8.6864406779661021E-2</v>
      </c>
      <c r="Q85" s="272">
        <f t="shared" si="8"/>
        <v>2.1761658031088083E-2</v>
      </c>
      <c r="R85" s="272">
        <f t="shared" si="9"/>
        <v>3.7634408602150539E-2</v>
      </c>
    </row>
    <row r="86" spans="1:18" ht="15.75" x14ac:dyDescent="0.25">
      <c r="A86" s="540" t="s">
        <v>212</v>
      </c>
      <c r="B86" s="543" t="s">
        <v>213</v>
      </c>
      <c r="C86" s="598" t="s">
        <v>267</v>
      </c>
      <c r="D86" s="547">
        <v>3450</v>
      </c>
      <c r="E86" s="547">
        <v>3711</v>
      </c>
      <c r="F86" s="547">
        <v>3919</v>
      </c>
      <c r="G86" s="547">
        <v>4544</v>
      </c>
      <c r="H86" s="547">
        <v>5893</v>
      </c>
      <c r="I86" s="547">
        <v>7133</v>
      </c>
      <c r="J86" s="547">
        <v>7536</v>
      </c>
      <c r="K86" s="548">
        <v>8245</v>
      </c>
      <c r="L86" s="958">
        <v>8511</v>
      </c>
      <c r="M86" s="958">
        <v>8165</v>
      </c>
      <c r="N86" s="1598">
        <v>7606</v>
      </c>
      <c r="P86" s="272">
        <f t="shared" si="7"/>
        <v>6.8462951622780155E-2</v>
      </c>
      <c r="Q86" s="272">
        <f t="shared" si="8"/>
        <v>4.0653272235929974E-2</v>
      </c>
      <c r="R86" s="272">
        <f t="shared" si="9"/>
        <v>3.2261976955730749E-2</v>
      </c>
    </row>
    <row r="87" spans="1:18" ht="15.75" x14ac:dyDescent="0.25">
      <c r="A87" s="540" t="s">
        <v>214</v>
      </c>
      <c r="B87" s="543" t="s">
        <v>215</v>
      </c>
      <c r="C87" s="598" t="s">
        <v>268</v>
      </c>
      <c r="D87" s="547">
        <v>5860</v>
      </c>
      <c r="E87" s="547">
        <v>6278</v>
      </c>
      <c r="F87" s="547">
        <v>6640</v>
      </c>
      <c r="G87" s="547">
        <v>7005</v>
      </c>
      <c r="H87" s="547">
        <v>7745</v>
      </c>
      <c r="I87" s="547">
        <v>8433</v>
      </c>
      <c r="J87" s="547">
        <v>8932</v>
      </c>
      <c r="K87" s="548">
        <v>9201</v>
      </c>
      <c r="L87" s="958">
        <v>9350</v>
      </c>
      <c r="M87" s="958">
        <v>8924</v>
      </c>
      <c r="N87" s="1598">
        <v>8508</v>
      </c>
      <c r="P87" s="272">
        <f t="shared" si="7"/>
        <v>4.6615867324069922E-2</v>
      </c>
      <c r="Q87" s="272">
        <f t="shared" si="8"/>
        <v>4.556149732620321E-2</v>
      </c>
      <c r="R87" s="272">
        <f t="shared" si="9"/>
        <v>1.6193891968264318E-2</v>
      </c>
    </row>
    <row r="88" spans="1:18" ht="15.75" x14ac:dyDescent="0.25">
      <c r="A88" s="540" t="s">
        <v>216</v>
      </c>
      <c r="B88" s="543" t="s">
        <v>217</v>
      </c>
      <c r="C88" s="598" t="s">
        <v>264</v>
      </c>
      <c r="D88" s="547">
        <v>2811</v>
      </c>
      <c r="E88" s="547">
        <v>3041</v>
      </c>
      <c r="F88" s="547">
        <v>3172</v>
      </c>
      <c r="G88" s="547">
        <v>3318</v>
      </c>
      <c r="H88" s="547">
        <v>3549</v>
      </c>
      <c r="I88" s="547">
        <v>3784</v>
      </c>
      <c r="J88" s="547">
        <v>3972</v>
      </c>
      <c r="K88" s="548">
        <v>4294</v>
      </c>
      <c r="L88" s="958">
        <v>4406</v>
      </c>
      <c r="M88" s="958">
        <v>4273</v>
      </c>
      <c r="N88" s="1598">
        <v>4034</v>
      </c>
      <c r="P88" s="272">
        <f t="shared" si="7"/>
        <v>5.5932600046805524E-2</v>
      </c>
      <c r="Q88" s="272">
        <f t="shared" si="8"/>
        <v>3.0186109850204267E-2</v>
      </c>
      <c r="R88" s="272">
        <f t="shared" si="9"/>
        <v>2.6082906380996741E-2</v>
      </c>
    </row>
    <row r="89" spans="1:18" ht="15.75" x14ac:dyDescent="0.25">
      <c r="A89" s="540" t="s">
        <v>218</v>
      </c>
      <c r="B89" s="543" t="s">
        <v>219</v>
      </c>
      <c r="C89" s="598" t="s">
        <v>267</v>
      </c>
      <c r="D89" s="547">
        <v>6868</v>
      </c>
      <c r="E89" s="547">
        <v>7494</v>
      </c>
      <c r="F89" s="547">
        <v>8348</v>
      </c>
      <c r="G89" s="547">
        <v>9931</v>
      </c>
      <c r="H89" s="547">
        <v>12903</v>
      </c>
      <c r="I89" s="547">
        <v>15463</v>
      </c>
      <c r="J89" s="547">
        <v>17402</v>
      </c>
      <c r="K89" s="548">
        <v>18439</v>
      </c>
      <c r="L89" s="958">
        <v>19075</v>
      </c>
      <c r="M89" s="958">
        <v>18892</v>
      </c>
      <c r="N89" s="1598">
        <v>17924</v>
      </c>
      <c r="P89" s="272">
        <f t="shared" si="7"/>
        <v>5.1238619521490579E-2</v>
      </c>
      <c r="Q89" s="272">
        <f t="shared" si="8"/>
        <v>9.5937090432503275E-3</v>
      </c>
      <c r="R89" s="272">
        <f t="shared" si="9"/>
        <v>3.4492109116546453E-2</v>
      </c>
    </row>
    <row r="90" spans="1:18" ht="15.75" x14ac:dyDescent="0.25">
      <c r="A90" s="540" t="s">
        <v>220</v>
      </c>
      <c r="B90" s="543" t="s">
        <v>221</v>
      </c>
      <c r="C90" s="598" t="s">
        <v>267</v>
      </c>
      <c r="D90" s="547">
        <v>6097</v>
      </c>
      <c r="E90" s="547">
        <v>6771</v>
      </c>
      <c r="F90" s="547">
        <v>7609</v>
      </c>
      <c r="G90" s="547">
        <v>8638</v>
      </c>
      <c r="H90" s="547">
        <v>10384</v>
      </c>
      <c r="I90" s="547">
        <v>12571</v>
      </c>
      <c r="J90" s="547">
        <v>13924</v>
      </c>
      <c r="K90" s="548">
        <v>14744</v>
      </c>
      <c r="L90" s="958">
        <v>15696</v>
      </c>
      <c r="M90" s="958">
        <v>15456</v>
      </c>
      <c r="N90" s="1598">
        <v>14707</v>
      </c>
      <c r="P90" s="272">
        <f t="shared" si="7"/>
        <v>4.8460144927536232E-2</v>
      </c>
      <c r="Q90" s="272">
        <f t="shared" si="8"/>
        <v>1.5290519877675841E-2</v>
      </c>
      <c r="R90" s="272">
        <f t="shared" si="9"/>
        <v>6.4568638090070532E-2</v>
      </c>
    </row>
    <row r="91" spans="1:18" ht="15.75" x14ac:dyDescent="0.25">
      <c r="A91" s="540" t="s">
        <v>224</v>
      </c>
      <c r="B91" s="543" t="s">
        <v>225</v>
      </c>
      <c r="C91" s="598" t="s">
        <v>264</v>
      </c>
      <c r="D91" s="547">
        <v>957</v>
      </c>
      <c r="E91" s="547">
        <v>1028</v>
      </c>
      <c r="F91" s="547">
        <v>1009</v>
      </c>
      <c r="G91" s="547">
        <v>952</v>
      </c>
      <c r="H91" s="547">
        <v>1083</v>
      </c>
      <c r="I91" s="547">
        <v>1345</v>
      </c>
      <c r="J91" s="547">
        <v>1412</v>
      </c>
      <c r="K91" s="548">
        <v>1421</v>
      </c>
      <c r="L91" s="958">
        <v>1594</v>
      </c>
      <c r="M91" s="958">
        <v>1518</v>
      </c>
      <c r="N91" s="1598">
        <v>1420</v>
      </c>
      <c r="P91" s="272">
        <f t="shared" si="7"/>
        <v>6.4558629776021087E-2</v>
      </c>
      <c r="Q91" s="272">
        <f t="shared" si="8"/>
        <v>4.7678795483061483E-2</v>
      </c>
      <c r="R91" s="272">
        <f t="shared" si="9"/>
        <v>0.12174524982406756</v>
      </c>
    </row>
    <row r="92" spans="1:18" ht="15.75" x14ac:dyDescent="0.25">
      <c r="A92" s="540" t="s">
        <v>226</v>
      </c>
      <c r="B92" s="543" t="s">
        <v>227</v>
      </c>
      <c r="C92" s="598" t="s">
        <v>264</v>
      </c>
      <c r="D92" s="547">
        <v>1873</v>
      </c>
      <c r="E92" s="547">
        <v>2072</v>
      </c>
      <c r="F92" s="547">
        <v>2049</v>
      </c>
      <c r="G92" s="547">
        <v>2029</v>
      </c>
      <c r="H92" s="547">
        <v>2222</v>
      </c>
      <c r="I92" s="547">
        <v>2521</v>
      </c>
      <c r="J92" s="547">
        <v>2666</v>
      </c>
      <c r="K92" s="548">
        <v>2746</v>
      </c>
      <c r="L92" s="958">
        <v>2854</v>
      </c>
      <c r="M92" s="958">
        <v>2851</v>
      </c>
      <c r="N92" s="1598">
        <v>2777</v>
      </c>
      <c r="P92" s="272">
        <f t="shared" si="7"/>
        <v>2.5955804980708524E-2</v>
      </c>
      <c r="Q92" s="272">
        <f t="shared" si="8"/>
        <v>1.0511562718990891E-3</v>
      </c>
      <c r="R92" s="272">
        <f t="shared" si="9"/>
        <v>3.9329934450109252E-2</v>
      </c>
    </row>
    <row r="93" spans="1:18" ht="15.75" x14ac:dyDescent="0.25">
      <c r="A93" s="540" t="s">
        <v>228</v>
      </c>
      <c r="B93" s="543" t="s">
        <v>229</v>
      </c>
      <c r="C93" s="598" t="s">
        <v>268</v>
      </c>
      <c r="D93" s="547">
        <v>8509</v>
      </c>
      <c r="E93" s="547">
        <v>8628</v>
      </c>
      <c r="F93" s="547">
        <v>8828</v>
      </c>
      <c r="G93" s="547">
        <v>8512</v>
      </c>
      <c r="H93" s="547">
        <v>8652</v>
      </c>
      <c r="I93" s="547">
        <v>9800</v>
      </c>
      <c r="J93" s="547">
        <v>10221</v>
      </c>
      <c r="K93" s="548">
        <v>10664</v>
      </c>
      <c r="L93" s="958">
        <v>11590</v>
      </c>
      <c r="M93" s="958">
        <v>11636</v>
      </c>
      <c r="N93" s="1598">
        <v>11404</v>
      </c>
      <c r="P93" s="272">
        <f t="shared" si="7"/>
        <v>1.9938123066345823E-2</v>
      </c>
      <c r="Q93" s="272">
        <f t="shared" si="8"/>
        <v>-3.9689387402933561E-3</v>
      </c>
      <c r="R93" s="272">
        <f t="shared" si="9"/>
        <v>8.683420855213804E-2</v>
      </c>
    </row>
    <row r="94" spans="1:18" ht="15.75" x14ac:dyDescent="0.25">
      <c r="A94" s="540" t="s">
        <v>232</v>
      </c>
      <c r="B94" s="543" t="s">
        <v>233</v>
      </c>
      <c r="C94" s="598" t="s">
        <v>267</v>
      </c>
      <c r="D94" s="547">
        <v>3306</v>
      </c>
      <c r="E94" s="547">
        <v>3409</v>
      </c>
      <c r="F94" s="547">
        <v>3630</v>
      </c>
      <c r="G94" s="547">
        <v>4186</v>
      </c>
      <c r="H94" s="547">
        <v>5407</v>
      </c>
      <c r="I94" s="547">
        <v>6542</v>
      </c>
      <c r="J94" s="547">
        <v>7176</v>
      </c>
      <c r="K94" s="548">
        <v>7403</v>
      </c>
      <c r="L94" s="958">
        <v>7736</v>
      </c>
      <c r="M94" s="958">
        <v>7323</v>
      </c>
      <c r="N94" s="1598">
        <v>6890</v>
      </c>
      <c r="P94" s="272">
        <f t="shared" si="7"/>
        <v>5.912877236105421E-2</v>
      </c>
      <c r="Q94" s="272">
        <f t="shared" si="8"/>
        <v>5.3386763185108585E-2</v>
      </c>
      <c r="R94" s="272">
        <f t="shared" si="9"/>
        <v>4.4981764149669055E-2</v>
      </c>
    </row>
    <row r="95" spans="1:18" ht="15.75" x14ac:dyDescent="0.25">
      <c r="A95" s="540" t="s">
        <v>234</v>
      </c>
      <c r="B95" s="543" t="s">
        <v>235</v>
      </c>
      <c r="C95" s="598" t="s">
        <v>268</v>
      </c>
      <c r="D95" s="547">
        <v>6606</v>
      </c>
      <c r="E95" s="547">
        <v>7053</v>
      </c>
      <c r="F95" s="547">
        <v>7290</v>
      </c>
      <c r="G95" s="547">
        <v>7722</v>
      </c>
      <c r="H95" s="547">
        <v>8728</v>
      </c>
      <c r="I95" s="547">
        <v>9895</v>
      </c>
      <c r="J95" s="547">
        <v>10532</v>
      </c>
      <c r="K95" s="548">
        <v>10928</v>
      </c>
      <c r="L95" s="958">
        <v>11262</v>
      </c>
      <c r="M95" s="958">
        <v>11084</v>
      </c>
      <c r="N95" s="1598">
        <v>10665</v>
      </c>
      <c r="P95" s="272">
        <f t="shared" si="7"/>
        <v>3.7802237459400936E-2</v>
      </c>
      <c r="Q95" s="272">
        <f t="shared" si="8"/>
        <v>1.5805363168176167E-2</v>
      </c>
      <c r="R95" s="272">
        <f t="shared" si="9"/>
        <v>3.0563689604685213E-2</v>
      </c>
    </row>
    <row r="96" spans="1:18" ht="15.75" x14ac:dyDescent="0.25">
      <c r="A96" s="540" t="s">
        <v>236</v>
      </c>
      <c r="B96" s="543" t="s">
        <v>237</v>
      </c>
      <c r="C96" s="598" t="s">
        <v>266</v>
      </c>
      <c r="D96" s="547">
        <v>2827</v>
      </c>
      <c r="E96" s="547">
        <v>2759</v>
      </c>
      <c r="F96" s="547">
        <v>2667</v>
      </c>
      <c r="G96" s="547">
        <v>2810</v>
      </c>
      <c r="H96" s="547">
        <v>3374</v>
      </c>
      <c r="I96" s="547">
        <v>3969</v>
      </c>
      <c r="J96" s="547">
        <v>4431</v>
      </c>
      <c r="K96" s="548">
        <v>4655</v>
      </c>
      <c r="L96" s="958">
        <v>4874</v>
      </c>
      <c r="M96" s="958">
        <v>4677</v>
      </c>
      <c r="N96" s="1598">
        <v>4648</v>
      </c>
      <c r="P96" s="272">
        <f t="shared" si="7"/>
        <v>6.200555911909344E-3</v>
      </c>
      <c r="Q96" s="272">
        <f t="shared" si="8"/>
        <v>4.0418547394337298E-2</v>
      </c>
      <c r="R96" s="272">
        <f t="shared" si="9"/>
        <v>4.7046186895810957E-2</v>
      </c>
    </row>
    <row r="97" spans="1:18" ht="15.75" x14ac:dyDescent="0.25">
      <c r="A97" s="540" t="s">
        <v>242</v>
      </c>
      <c r="B97" s="543" t="s">
        <v>243</v>
      </c>
      <c r="C97" s="598" t="s">
        <v>268</v>
      </c>
      <c r="D97" s="547">
        <v>10226</v>
      </c>
      <c r="E97" s="547">
        <v>10129</v>
      </c>
      <c r="F97" s="547">
        <v>10211</v>
      </c>
      <c r="G97" s="547">
        <v>10166</v>
      </c>
      <c r="H97" s="547">
        <v>10486</v>
      </c>
      <c r="I97" s="547">
        <v>11048</v>
      </c>
      <c r="J97" s="547">
        <v>11480</v>
      </c>
      <c r="K97" s="548">
        <v>12027</v>
      </c>
      <c r="L97" s="958">
        <v>12550</v>
      </c>
      <c r="M97" s="958">
        <v>12467</v>
      </c>
      <c r="N97" s="1598">
        <v>11428</v>
      </c>
      <c r="P97" s="272">
        <f t="shared" si="7"/>
        <v>8.3340017646586995E-2</v>
      </c>
      <c r="Q97" s="272">
        <f t="shared" si="8"/>
        <v>6.6135458167330676E-3</v>
      </c>
      <c r="R97" s="272">
        <f t="shared" si="9"/>
        <v>4.3485490978631414E-2</v>
      </c>
    </row>
    <row r="98" spans="1:18" ht="15.75" x14ac:dyDescent="0.25">
      <c r="A98" s="540" t="s">
        <v>244</v>
      </c>
      <c r="B98" s="543" t="s">
        <v>245</v>
      </c>
      <c r="C98" s="598" t="s">
        <v>268</v>
      </c>
      <c r="D98" s="547">
        <v>4160</v>
      </c>
      <c r="E98" s="547">
        <v>4403</v>
      </c>
      <c r="F98" s="547">
        <v>4582</v>
      </c>
      <c r="G98" s="547">
        <v>4900</v>
      </c>
      <c r="H98" s="547">
        <v>5560</v>
      </c>
      <c r="I98" s="547">
        <v>6315</v>
      </c>
      <c r="J98" s="547">
        <v>6660</v>
      </c>
      <c r="K98" s="548">
        <v>6687</v>
      </c>
      <c r="L98" s="958">
        <v>6643</v>
      </c>
      <c r="M98" s="958">
        <v>6373</v>
      </c>
      <c r="N98" s="1598">
        <v>5967</v>
      </c>
      <c r="P98" s="272">
        <f t="shared" si="7"/>
        <v>6.3706260787698102E-2</v>
      </c>
      <c r="Q98" s="272">
        <f t="shared" si="8"/>
        <v>4.0644287219629684E-2</v>
      </c>
      <c r="R98" s="272">
        <f t="shared" si="9"/>
        <v>-6.5799312098100788E-3</v>
      </c>
    </row>
    <row r="99" spans="1:18" ht="15.75" x14ac:dyDescent="0.25">
      <c r="A99" s="540" t="s">
        <v>246</v>
      </c>
      <c r="B99" s="636" t="s">
        <v>247</v>
      </c>
      <c r="C99" s="636" t="s">
        <v>264</v>
      </c>
      <c r="D99" s="637">
        <v>2531</v>
      </c>
      <c r="E99" s="637">
        <v>2706</v>
      </c>
      <c r="F99" s="637">
        <v>2733</v>
      </c>
      <c r="G99" s="637">
        <v>2796</v>
      </c>
      <c r="H99" s="637">
        <v>3473</v>
      </c>
      <c r="I99" s="637">
        <v>4195</v>
      </c>
      <c r="J99" s="637">
        <v>4936</v>
      </c>
      <c r="K99" s="548">
        <v>5297</v>
      </c>
      <c r="L99" s="958">
        <v>5494</v>
      </c>
      <c r="M99" s="958">
        <v>5501</v>
      </c>
      <c r="N99" s="1598">
        <v>5213</v>
      </c>
      <c r="P99" s="272">
        <f t="shared" si="7"/>
        <v>5.2354117433193965E-2</v>
      </c>
      <c r="Q99" s="272">
        <f t="shared" si="8"/>
        <v>-1.2741172187841281E-3</v>
      </c>
      <c r="R99" s="272">
        <f t="shared" si="9"/>
        <v>3.7190862752501413E-2</v>
      </c>
    </row>
    <row r="100" spans="1:18" ht="15.75" x14ac:dyDescent="0.25">
      <c r="A100" s="540" t="s">
        <v>14</v>
      </c>
      <c r="B100" s="543" t="s">
        <v>15</v>
      </c>
      <c r="C100" s="598" t="s">
        <v>267</v>
      </c>
      <c r="D100" s="547">
        <v>8617</v>
      </c>
      <c r="E100" s="547">
        <v>8531</v>
      </c>
      <c r="F100" s="547">
        <v>8415</v>
      </c>
      <c r="G100" s="547">
        <v>8784</v>
      </c>
      <c r="H100" s="547">
        <v>10382</v>
      </c>
      <c r="I100" s="547">
        <v>12462</v>
      </c>
      <c r="J100" s="547">
        <v>13844</v>
      </c>
      <c r="K100" s="548">
        <v>14794</v>
      </c>
      <c r="L100" s="958">
        <v>15448</v>
      </c>
      <c r="M100" s="958">
        <v>14854</v>
      </c>
      <c r="N100" s="1598">
        <v>14548</v>
      </c>
      <c r="P100" s="272">
        <f t="shared" si="7"/>
        <v>2.0600511646694492E-2</v>
      </c>
      <c r="Q100" s="272">
        <f t="shared" si="8"/>
        <v>3.8451579492490937E-2</v>
      </c>
      <c r="R100" s="272">
        <f t="shared" si="9"/>
        <v>4.4207110990942274E-2</v>
      </c>
    </row>
    <row r="101" spans="1:18" ht="15.75" x14ac:dyDescent="0.25">
      <c r="A101" s="540" t="s">
        <v>34</v>
      </c>
      <c r="B101" s="543" t="s">
        <v>35</v>
      </c>
      <c r="C101" s="598" t="s">
        <v>268</v>
      </c>
      <c r="D101" s="547">
        <v>4478</v>
      </c>
      <c r="E101" s="547">
        <v>4811</v>
      </c>
      <c r="F101" s="547">
        <v>4980</v>
      </c>
      <c r="G101" s="547">
        <v>5320</v>
      </c>
      <c r="H101" s="547">
        <v>6079</v>
      </c>
      <c r="I101" s="547">
        <v>6477</v>
      </c>
      <c r="J101" s="547">
        <v>6655</v>
      </c>
      <c r="K101" s="548">
        <v>6821</v>
      </c>
      <c r="L101" s="958">
        <v>7127</v>
      </c>
      <c r="M101" s="958">
        <v>6775</v>
      </c>
      <c r="N101" s="1598">
        <v>6307</v>
      </c>
      <c r="P101" s="272">
        <f t="shared" ref="P101:P124" si="10">(M101-N101)/M101</f>
        <v>6.9077490774907754E-2</v>
      </c>
      <c r="Q101" s="272">
        <f t="shared" ref="Q101:Q124" si="11">(L101-M101)/L101</f>
        <v>4.9389645011926477E-2</v>
      </c>
      <c r="R101" s="272">
        <f t="shared" ref="R101:R124" si="12">(L101-K101)/K101</f>
        <v>4.4861457264330745E-2</v>
      </c>
    </row>
    <row r="102" spans="1:18" ht="15.75" x14ac:dyDescent="0.25">
      <c r="A102" s="540" t="s">
        <v>52</v>
      </c>
      <c r="B102" s="543" t="s">
        <v>53</v>
      </c>
      <c r="C102" s="598" t="s">
        <v>265</v>
      </c>
      <c r="D102" s="547">
        <v>6119</v>
      </c>
      <c r="E102" s="547">
        <v>6225</v>
      </c>
      <c r="F102" s="547">
        <v>6016</v>
      </c>
      <c r="G102" s="547">
        <v>6105</v>
      </c>
      <c r="H102" s="547">
        <v>6948</v>
      </c>
      <c r="I102" s="547">
        <v>7945</v>
      </c>
      <c r="J102" s="547">
        <v>8336</v>
      </c>
      <c r="K102" s="548">
        <v>8600</v>
      </c>
      <c r="L102" s="958">
        <v>8645</v>
      </c>
      <c r="M102" s="958">
        <v>7934</v>
      </c>
      <c r="N102" s="1598">
        <v>7480</v>
      </c>
      <c r="P102" s="272">
        <f t="shared" si="10"/>
        <v>5.7222082177968238E-2</v>
      </c>
      <c r="Q102" s="272">
        <f t="shared" si="11"/>
        <v>8.2244071717755926E-2</v>
      </c>
      <c r="R102" s="272">
        <f t="shared" si="12"/>
        <v>5.2325581395348836E-3</v>
      </c>
    </row>
    <row r="103" spans="1:18" ht="15.75" x14ac:dyDescent="0.25">
      <c r="A103" s="540" t="s">
        <v>54</v>
      </c>
      <c r="B103" s="543" t="s">
        <v>55</v>
      </c>
      <c r="C103" s="598" t="s">
        <v>264</v>
      </c>
      <c r="D103" s="547">
        <v>18719</v>
      </c>
      <c r="E103" s="547">
        <v>19669</v>
      </c>
      <c r="F103" s="547">
        <v>19177</v>
      </c>
      <c r="G103" s="547">
        <v>20156</v>
      </c>
      <c r="H103" s="547">
        <v>23810</v>
      </c>
      <c r="I103" s="547">
        <v>28721</v>
      </c>
      <c r="J103" s="547">
        <v>31946</v>
      </c>
      <c r="K103" s="548">
        <v>34474</v>
      </c>
      <c r="L103" s="958">
        <v>36392</v>
      </c>
      <c r="M103" s="958">
        <v>35735</v>
      </c>
      <c r="N103" s="1598">
        <v>33945</v>
      </c>
      <c r="P103" s="272">
        <f t="shared" si="10"/>
        <v>5.0090947250594653E-2</v>
      </c>
      <c r="Q103" s="272">
        <f t="shared" si="11"/>
        <v>1.8053418333699715E-2</v>
      </c>
      <c r="R103" s="272">
        <f t="shared" si="12"/>
        <v>5.5636131577420665E-2</v>
      </c>
    </row>
    <row r="104" spans="1:18" ht="15.75" x14ac:dyDescent="0.25">
      <c r="A104" s="540" t="s">
        <v>66</v>
      </c>
      <c r="B104" s="543" t="s">
        <v>67</v>
      </c>
      <c r="C104" s="598" t="s">
        <v>265</v>
      </c>
      <c r="D104" s="547">
        <v>12334</v>
      </c>
      <c r="E104" s="547">
        <v>13141</v>
      </c>
      <c r="F104" s="547">
        <v>13765</v>
      </c>
      <c r="G104" s="547">
        <v>14215</v>
      </c>
      <c r="H104" s="547">
        <v>15223</v>
      </c>
      <c r="I104" s="547">
        <v>16775</v>
      </c>
      <c r="J104" s="547">
        <v>17556</v>
      </c>
      <c r="K104" s="548">
        <v>18260</v>
      </c>
      <c r="L104" s="958">
        <v>18517</v>
      </c>
      <c r="M104" s="958">
        <v>18039</v>
      </c>
      <c r="N104" s="1598">
        <v>17323</v>
      </c>
      <c r="P104" s="272">
        <f t="shared" si="10"/>
        <v>3.9691778923443652E-2</v>
      </c>
      <c r="Q104" s="272">
        <f t="shared" si="11"/>
        <v>2.581411675757412E-2</v>
      </c>
      <c r="R104" s="272">
        <f t="shared" si="12"/>
        <v>1.407447973713034E-2</v>
      </c>
    </row>
    <row r="105" spans="1:18" ht="15.75" x14ac:dyDescent="0.25">
      <c r="A105" s="540" t="s">
        <v>82</v>
      </c>
      <c r="B105" s="543" t="s">
        <v>83</v>
      </c>
      <c r="C105" s="598" t="s">
        <v>264</v>
      </c>
      <c r="D105" s="547">
        <v>2389</v>
      </c>
      <c r="E105" s="547">
        <v>2571</v>
      </c>
      <c r="F105" s="547">
        <v>2429</v>
      </c>
      <c r="G105" s="547">
        <v>2414</v>
      </c>
      <c r="H105" s="547">
        <v>2663</v>
      </c>
      <c r="I105" s="547">
        <v>3097</v>
      </c>
      <c r="J105" s="547">
        <v>3422</v>
      </c>
      <c r="K105" s="548">
        <v>3686</v>
      </c>
      <c r="L105" s="958">
        <v>3792</v>
      </c>
      <c r="M105" s="958">
        <v>3557</v>
      </c>
      <c r="N105" s="1598">
        <v>3448</v>
      </c>
      <c r="P105" s="272">
        <f t="shared" si="10"/>
        <v>3.064380095586168E-2</v>
      </c>
      <c r="Q105" s="272">
        <f t="shared" si="11"/>
        <v>6.1972573839662447E-2</v>
      </c>
      <c r="R105" s="272">
        <f t="shared" si="12"/>
        <v>2.875746066196419E-2</v>
      </c>
    </row>
    <row r="106" spans="1:18" ht="15.75" x14ac:dyDescent="0.25">
      <c r="A106" s="540" t="s">
        <v>88</v>
      </c>
      <c r="B106" s="543" t="s">
        <v>89</v>
      </c>
      <c r="C106" s="598" t="s">
        <v>267</v>
      </c>
      <c r="D106" s="547">
        <v>3824</v>
      </c>
      <c r="E106" s="547">
        <v>4088</v>
      </c>
      <c r="F106" s="547">
        <v>4156</v>
      </c>
      <c r="G106" s="547">
        <v>4570</v>
      </c>
      <c r="H106" s="547">
        <v>5232</v>
      </c>
      <c r="I106" s="547">
        <v>6129</v>
      </c>
      <c r="J106" s="547">
        <v>6956</v>
      </c>
      <c r="K106" s="548">
        <v>7545</v>
      </c>
      <c r="L106" s="958">
        <v>7664</v>
      </c>
      <c r="M106" s="958">
        <v>7338</v>
      </c>
      <c r="N106" s="1598">
        <v>6982</v>
      </c>
      <c r="P106" s="272">
        <f t="shared" si="10"/>
        <v>4.8514581629871899E-2</v>
      </c>
      <c r="Q106" s="272">
        <f t="shared" si="11"/>
        <v>4.2536534446764092E-2</v>
      </c>
      <c r="R106" s="272">
        <f t="shared" si="12"/>
        <v>1.5772034459907224E-2</v>
      </c>
    </row>
    <row r="107" spans="1:18" ht="15.75" x14ac:dyDescent="0.25">
      <c r="A107" s="540" t="s">
        <v>90</v>
      </c>
      <c r="B107" s="543" t="s">
        <v>91</v>
      </c>
      <c r="C107" s="598" t="s">
        <v>268</v>
      </c>
      <c r="D107" s="547">
        <v>1984</v>
      </c>
      <c r="E107" s="547">
        <v>2105</v>
      </c>
      <c r="F107" s="547">
        <v>2157</v>
      </c>
      <c r="G107" s="547">
        <v>2353</v>
      </c>
      <c r="H107" s="547">
        <v>2567</v>
      </c>
      <c r="I107" s="547">
        <v>2723</v>
      </c>
      <c r="J107" s="547">
        <v>2793</v>
      </c>
      <c r="K107" s="548">
        <v>2935</v>
      </c>
      <c r="L107" s="958">
        <v>2975</v>
      </c>
      <c r="M107" s="958">
        <v>2964</v>
      </c>
      <c r="N107" s="1598">
        <v>2735</v>
      </c>
      <c r="P107" s="272">
        <f t="shared" si="10"/>
        <v>7.7260458839406201E-2</v>
      </c>
      <c r="Q107" s="272">
        <f t="shared" si="11"/>
        <v>3.6974789915966387E-3</v>
      </c>
      <c r="R107" s="272">
        <f t="shared" si="12"/>
        <v>1.3628620102214651E-2</v>
      </c>
    </row>
    <row r="108" spans="1:18" ht="15.75" x14ac:dyDescent="0.25">
      <c r="A108" s="540" t="s">
        <v>106</v>
      </c>
      <c r="B108" s="543" t="s">
        <v>107</v>
      </c>
      <c r="C108" s="598" t="s">
        <v>264</v>
      </c>
      <c r="D108" s="547">
        <v>20801</v>
      </c>
      <c r="E108" s="547">
        <v>21510</v>
      </c>
      <c r="F108" s="547">
        <v>20751</v>
      </c>
      <c r="G108" s="547">
        <v>20617</v>
      </c>
      <c r="H108" s="547">
        <v>22561</v>
      </c>
      <c r="I108" s="547">
        <v>25894</v>
      </c>
      <c r="J108" s="547">
        <v>29642</v>
      </c>
      <c r="K108" s="548">
        <v>32577</v>
      </c>
      <c r="L108" s="958">
        <v>34257</v>
      </c>
      <c r="M108" s="958">
        <v>33529</v>
      </c>
      <c r="N108" s="1598">
        <v>31534</v>
      </c>
      <c r="P108" s="272">
        <f t="shared" si="10"/>
        <v>5.9500730710728027E-2</v>
      </c>
      <c r="Q108" s="272">
        <f t="shared" si="11"/>
        <v>2.1251131155676211E-2</v>
      </c>
      <c r="R108" s="272">
        <f t="shared" si="12"/>
        <v>5.1570126162630077E-2</v>
      </c>
    </row>
    <row r="109" spans="1:18" ht="15.75" x14ac:dyDescent="0.25">
      <c r="A109" s="540" t="s">
        <v>116</v>
      </c>
      <c r="B109" s="543" t="s">
        <v>117</v>
      </c>
      <c r="C109" s="598" t="s">
        <v>266</v>
      </c>
      <c r="D109" s="547">
        <v>6080</v>
      </c>
      <c r="E109" s="547">
        <v>6473</v>
      </c>
      <c r="F109" s="547">
        <v>6519</v>
      </c>
      <c r="G109" s="547">
        <v>6980</v>
      </c>
      <c r="H109" s="547">
        <v>7634</v>
      </c>
      <c r="I109" s="547">
        <v>8487</v>
      </c>
      <c r="J109" s="547">
        <v>9238</v>
      </c>
      <c r="K109" s="548">
        <v>9773</v>
      </c>
      <c r="L109" s="958">
        <v>10047</v>
      </c>
      <c r="M109" s="958">
        <v>9954</v>
      </c>
      <c r="N109" s="1598">
        <v>9803</v>
      </c>
      <c r="P109" s="272">
        <f t="shared" si="10"/>
        <v>1.5169780992565803E-2</v>
      </c>
      <c r="Q109" s="272">
        <f t="shared" si="11"/>
        <v>9.2564944759629744E-3</v>
      </c>
      <c r="R109" s="272">
        <f t="shared" si="12"/>
        <v>2.8036426890412362E-2</v>
      </c>
    </row>
    <row r="110" spans="1:18" ht="15.75" x14ac:dyDescent="0.25">
      <c r="A110" s="540" t="s">
        <v>138</v>
      </c>
      <c r="B110" s="543" t="s">
        <v>139</v>
      </c>
      <c r="C110" s="598" t="s">
        <v>265</v>
      </c>
      <c r="D110" s="547">
        <v>11871</v>
      </c>
      <c r="E110" s="547">
        <v>12443</v>
      </c>
      <c r="F110" s="547">
        <v>12733</v>
      </c>
      <c r="G110" s="547">
        <v>12854</v>
      </c>
      <c r="H110" s="547">
        <v>14308</v>
      </c>
      <c r="I110" s="547">
        <v>16187</v>
      </c>
      <c r="J110" s="547">
        <v>17521</v>
      </c>
      <c r="K110" s="548">
        <v>18989</v>
      </c>
      <c r="L110" s="958">
        <v>19833</v>
      </c>
      <c r="M110" s="958">
        <v>19438</v>
      </c>
      <c r="N110" s="1598">
        <v>18329</v>
      </c>
      <c r="P110" s="272">
        <f t="shared" si="10"/>
        <v>5.7053194773124809E-2</v>
      </c>
      <c r="Q110" s="272">
        <f t="shared" si="11"/>
        <v>1.9916301114304442E-2</v>
      </c>
      <c r="R110" s="272">
        <f t="shared" si="12"/>
        <v>4.4446784980778344E-2</v>
      </c>
    </row>
    <row r="111" spans="1:18" ht="15.75" x14ac:dyDescent="0.25">
      <c r="A111" s="540" t="s">
        <v>142</v>
      </c>
      <c r="B111" s="543" t="s">
        <v>143</v>
      </c>
      <c r="C111" s="598" t="s">
        <v>267</v>
      </c>
      <c r="D111" s="547">
        <v>2747</v>
      </c>
      <c r="E111" s="547">
        <v>2921</v>
      </c>
      <c r="F111" s="547">
        <v>3291</v>
      </c>
      <c r="G111" s="547">
        <v>3873</v>
      </c>
      <c r="H111" s="547">
        <v>5113</v>
      </c>
      <c r="I111" s="547">
        <v>6487</v>
      </c>
      <c r="J111" s="547">
        <v>7188</v>
      </c>
      <c r="K111" s="548">
        <v>7479</v>
      </c>
      <c r="L111" s="958">
        <v>7916</v>
      </c>
      <c r="M111" s="958">
        <v>7794</v>
      </c>
      <c r="N111" s="1598">
        <v>7520</v>
      </c>
      <c r="P111" s="272">
        <f t="shared" si="10"/>
        <v>3.5155247626379268E-2</v>
      </c>
      <c r="Q111" s="272">
        <f t="shared" si="11"/>
        <v>1.5411824153612936E-2</v>
      </c>
      <c r="R111" s="272">
        <f t="shared" si="12"/>
        <v>5.8430271426661316E-2</v>
      </c>
    </row>
    <row r="112" spans="1:18" ht="15.75" x14ac:dyDescent="0.25">
      <c r="A112" s="540" t="s">
        <v>144</v>
      </c>
      <c r="B112" s="543" t="s">
        <v>145</v>
      </c>
      <c r="C112" s="598" t="s">
        <v>267</v>
      </c>
      <c r="D112" s="547">
        <v>764</v>
      </c>
      <c r="E112" s="547">
        <v>1055</v>
      </c>
      <c r="F112" s="547">
        <v>1218</v>
      </c>
      <c r="G112" s="547">
        <v>1456</v>
      </c>
      <c r="H112" s="547">
        <v>1865</v>
      </c>
      <c r="I112" s="547">
        <v>2197</v>
      </c>
      <c r="J112" s="547">
        <v>2241</v>
      </c>
      <c r="K112" s="548">
        <v>2221</v>
      </c>
      <c r="L112" s="958">
        <v>2342</v>
      </c>
      <c r="M112" s="958">
        <v>2223</v>
      </c>
      <c r="N112" s="1598">
        <v>2188</v>
      </c>
      <c r="P112" s="272">
        <f t="shared" si="10"/>
        <v>1.5744489428699954E-2</v>
      </c>
      <c r="Q112" s="272">
        <f t="shared" si="11"/>
        <v>5.0811272416737829E-2</v>
      </c>
      <c r="R112" s="272">
        <f t="shared" si="12"/>
        <v>5.4479963980189103E-2</v>
      </c>
    </row>
    <row r="113" spans="1:18" ht="15.75" x14ac:dyDescent="0.25">
      <c r="A113" s="540" t="s">
        <v>158</v>
      </c>
      <c r="B113" s="543" t="s">
        <v>159</v>
      </c>
      <c r="C113" s="598" t="s">
        <v>264</v>
      </c>
      <c r="D113" s="547">
        <v>31185</v>
      </c>
      <c r="E113" s="547">
        <v>32205</v>
      </c>
      <c r="F113" s="547">
        <v>31668</v>
      </c>
      <c r="G113" s="547">
        <v>32874</v>
      </c>
      <c r="H113" s="547">
        <v>37456</v>
      </c>
      <c r="I113" s="547">
        <v>43763</v>
      </c>
      <c r="J113" s="547">
        <v>48328</v>
      </c>
      <c r="K113" s="548">
        <v>50910</v>
      </c>
      <c r="L113" s="958">
        <v>53108</v>
      </c>
      <c r="M113" s="958">
        <v>51766</v>
      </c>
      <c r="N113" s="1598">
        <v>49407</v>
      </c>
      <c r="P113" s="272">
        <f t="shared" si="10"/>
        <v>4.5570451647799715E-2</v>
      </c>
      <c r="Q113" s="272">
        <f t="shared" si="11"/>
        <v>2.5269262634631317E-2</v>
      </c>
      <c r="R113" s="272">
        <f t="shared" si="12"/>
        <v>4.3174229031624434E-2</v>
      </c>
    </row>
    <row r="114" spans="1:18" ht="15.75" x14ac:dyDescent="0.25">
      <c r="A114" s="540" t="s">
        <v>160</v>
      </c>
      <c r="B114" s="543" t="s">
        <v>161</v>
      </c>
      <c r="C114" s="598" t="s">
        <v>264</v>
      </c>
      <c r="D114" s="547">
        <v>46884</v>
      </c>
      <c r="E114" s="547">
        <v>47455</v>
      </c>
      <c r="F114" s="547">
        <v>46778</v>
      </c>
      <c r="G114" s="547">
        <v>47861</v>
      </c>
      <c r="H114" s="547">
        <v>52022</v>
      </c>
      <c r="I114" s="547">
        <v>59459</v>
      </c>
      <c r="J114" s="547">
        <v>64233</v>
      </c>
      <c r="K114" s="548">
        <v>68281</v>
      </c>
      <c r="L114" s="958">
        <v>70790</v>
      </c>
      <c r="M114" s="958">
        <v>68640</v>
      </c>
      <c r="N114" s="1598">
        <v>64601</v>
      </c>
      <c r="P114" s="272">
        <f t="shared" si="10"/>
        <v>5.8843240093240094E-2</v>
      </c>
      <c r="Q114" s="272">
        <f t="shared" si="11"/>
        <v>3.0371521401327872E-2</v>
      </c>
      <c r="R114" s="272">
        <f t="shared" si="12"/>
        <v>3.6745214627788111E-2</v>
      </c>
    </row>
    <row r="115" spans="1:18" ht="15.75" x14ac:dyDescent="0.25">
      <c r="A115" s="540" t="s">
        <v>166</v>
      </c>
      <c r="B115" s="543" t="s">
        <v>167</v>
      </c>
      <c r="C115" s="598" t="s">
        <v>268</v>
      </c>
      <c r="D115" s="547">
        <v>1214</v>
      </c>
      <c r="E115" s="547">
        <v>1273</v>
      </c>
      <c r="F115" s="547">
        <v>1341</v>
      </c>
      <c r="G115" s="547">
        <v>1371</v>
      </c>
      <c r="H115" s="547">
        <v>1414</v>
      </c>
      <c r="I115" s="547">
        <v>1412</v>
      </c>
      <c r="J115" s="547">
        <v>1477</v>
      </c>
      <c r="K115" s="548">
        <v>1593</v>
      </c>
      <c r="L115" s="958">
        <v>1594</v>
      </c>
      <c r="M115" s="958">
        <v>1533</v>
      </c>
      <c r="N115" s="1598">
        <v>1448</v>
      </c>
      <c r="P115" s="272">
        <f t="shared" si="10"/>
        <v>5.5446836268754074E-2</v>
      </c>
      <c r="Q115" s="272">
        <f t="shared" si="11"/>
        <v>3.8268506900878296E-2</v>
      </c>
      <c r="R115" s="272">
        <f t="shared" si="12"/>
        <v>6.2774639045825491E-4</v>
      </c>
    </row>
    <row r="116" spans="1:18" ht="15.75" x14ac:dyDescent="0.25">
      <c r="A116" s="540" t="s">
        <v>176</v>
      </c>
      <c r="B116" s="543" t="s">
        <v>177</v>
      </c>
      <c r="C116" s="598" t="s">
        <v>266</v>
      </c>
      <c r="D116" s="547">
        <v>9981</v>
      </c>
      <c r="E116" s="547">
        <v>10336</v>
      </c>
      <c r="F116" s="547">
        <v>10560</v>
      </c>
      <c r="G116" s="547">
        <v>10768</v>
      </c>
      <c r="H116" s="547">
        <v>11898</v>
      </c>
      <c r="I116" s="547">
        <v>13458</v>
      </c>
      <c r="J116" s="547">
        <v>14705</v>
      </c>
      <c r="K116" s="548">
        <v>15321</v>
      </c>
      <c r="L116" s="958">
        <v>15672</v>
      </c>
      <c r="M116" s="958">
        <v>15347</v>
      </c>
      <c r="N116" s="1598">
        <v>14696</v>
      </c>
      <c r="P116" s="272">
        <f t="shared" si="10"/>
        <v>4.2418713755131295E-2</v>
      </c>
      <c r="Q116" s="272">
        <f t="shared" si="11"/>
        <v>2.0737621235324143E-2</v>
      </c>
      <c r="R116" s="272">
        <f t="shared" si="12"/>
        <v>2.2909731740747993E-2</v>
      </c>
    </row>
    <row r="117" spans="1:18" ht="15.75" x14ac:dyDescent="0.25">
      <c r="A117" s="540" t="s">
        <v>180</v>
      </c>
      <c r="B117" s="543" t="s">
        <v>181</v>
      </c>
      <c r="C117" s="598" t="s">
        <v>264</v>
      </c>
      <c r="D117" s="547">
        <v>20721</v>
      </c>
      <c r="E117" s="547">
        <v>21598</v>
      </c>
      <c r="F117" s="547">
        <v>21494</v>
      </c>
      <c r="G117" s="547">
        <v>21648</v>
      </c>
      <c r="H117" s="547">
        <v>23784</v>
      </c>
      <c r="I117" s="547">
        <v>27393</v>
      </c>
      <c r="J117" s="547">
        <v>29895</v>
      </c>
      <c r="K117" s="548">
        <v>32370</v>
      </c>
      <c r="L117" s="958">
        <v>33997</v>
      </c>
      <c r="M117" s="958">
        <v>32765</v>
      </c>
      <c r="N117" s="1598">
        <v>31226</v>
      </c>
      <c r="P117" s="272">
        <f t="shared" si="10"/>
        <v>4.6970853044407145E-2</v>
      </c>
      <c r="Q117" s="272">
        <f t="shared" si="11"/>
        <v>3.6238491631614557E-2</v>
      </c>
      <c r="R117" s="272">
        <f t="shared" si="12"/>
        <v>5.0262588816805683E-2</v>
      </c>
    </row>
    <row r="118" spans="1:18" ht="15.75" x14ac:dyDescent="0.25">
      <c r="A118" s="540" t="s">
        <v>192</v>
      </c>
      <c r="B118" s="543" t="s">
        <v>193</v>
      </c>
      <c r="C118" s="598" t="s">
        <v>268</v>
      </c>
      <c r="D118" s="547">
        <v>1823</v>
      </c>
      <c r="E118" s="547">
        <v>1952</v>
      </c>
      <c r="F118" s="547">
        <v>1993</v>
      </c>
      <c r="G118" s="547">
        <v>2066</v>
      </c>
      <c r="H118" s="547">
        <v>2353</v>
      </c>
      <c r="I118" s="547">
        <v>2553</v>
      </c>
      <c r="J118" s="547">
        <v>2647</v>
      </c>
      <c r="K118" s="548">
        <v>2701</v>
      </c>
      <c r="L118" s="958">
        <v>2788</v>
      </c>
      <c r="M118" s="958">
        <v>2756</v>
      </c>
      <c r="N118" s="1598">
        <v>2609</v>
      </c>
      <c r="P118" s="272">
        <f t="shared" si="10"/>
        <v>5.3338171262699567E-2</v>
      </c>
      <c r="Q118" s="272">
        <f t="shared" si="11"/>
        <v>1.1477761836441894E-2</v>
      </c>
      <c r="R118" s="272">
        <f t="shared" si="12"/>
        <v>3.2210292484265088E-2</v>
      </c>
    </row>
    <row r="119" spans="1:18" ht="15.75" x14ac:dyDescent="0.25">
      <c r="A119" s="540" t="s">
        <v>196</v>
      </c>
      <c r="B119" s="543" t="s">
        <v>197</v>
      </c>
      <c r="C119" s="598" t="s">
        <v>266</v>
      </c>
      <c r="D119" s="547">
        <v>49423</v>
      </c>
      <c r="E119" s="547">
        <v>50881</v>
      </c>
      <c r="F119" s="547">
        <v>51055</v>
      </c>
      <c r="G119" s="547">
        <v>51410</v>
      </c>
      <c r="H119" s="547">
        <v>54502</v>
      </c>
      <c r="I119" s="547">
        <v>62670</v>
      </c>
      <c r="J119" s="547">
        <v>67983</v>
      </c>
      <c r="K119" s="548">
        <v>72851</v>
      </c>
      <c r="L119" s="958">
        <v>75700</v>
      </c>
      <c r="M119" s="958">
        <v>72640</v>
      </c>
      <c r="N119" s="1598">
        <v>68448</v>
      </c>
      <c r="P119" s="272">
        <f t="shared" si="10"/>
        <v>5.7709251101321586E-2</v>
      </c>
      <c r="Q119" s="272">
        <f t="shared" si="11"/>
        <v>4.0422721268163805E-2</v>
      </c>
      <c r="R119" s="272">
        <f t="shared" si="12"/>
        <v>3.9107218843941742E-2</v>
      </c>
    </row>
    <row r="120" spans="1:18" ht="15.75" x14ac:dyDescent="0.25">
      <c r="A120" s="540" t="s">
        <v>200</v>
      </c>
      <c r="B120" s="543" t="s">
        <v>201</v>
      </c>
      <c r="C120" s="598" t="s">
        <v>265</v>
      </c>
      <c r="D120" s="547">
        <v>19436</v>
      </c>
      <c r="E120" s="547">
        <v>20626</v>
      </c>
      <c r="F120" s="547">
        <v>21476</v>
      </c>
      <c r="G120" s="547">
        <v>22766</v>
      </c>
      <c r="H120" s="547">
        <v>25844</v>
      </c>
      <c r="I120" s="547">
        <v>29554</v>
      </c>
      <c r="J120" s="547">
        <v>31980</v>
      </c>
      <c r="K120" s="548">
        <v>34163</v>
      </c>
      <c r="L120" s="958">
        <v>36216</v>
      </c>
      <c r="M120" s="958">
        <v>35249</v>
      </c>
      <c r="N120" s="1598">
        <v>33600</v>
      </c>
      <c r="P120" s="272">
        <f t="shared" si="10"/>
        <v>4.6781468977843341E-2</v>
      </c>
      <c r="Q120" s="272">
        <f t="shared" si="11"/>
        <v>2.6700905677048817E-2</v>
      </c>
      <c r="R120" s="272">
        <f t="shared" si="12"/>
        <v>6.0094254017504317E-2</v>
      </c>
    </row>
    <row r="121" spans="1:18" ht="15.75" x14ac:dyDescent="0.25">
      <c r="A121" s="540" t="s">
        <v>222</v>
      </c>
      <c r="B121" s="636" t="s">
        <v>223</v>
      </c>
      <c r="C121" s="636" t="s">
        <v>264</v>
      </c>
      <c r="D121" s="637">
        <v>11261</v>
      </c>
      <c r="E121" s="637">
        <v>11423</v>
      </c>
      <c r="F121" s="637">
        <v>11272</v>
      </c>
      <c r="G121" s="637">
        <v>11546</v>
      </c>
      <c r="H121" s="637">
        <v>12901</v>
      </c>
      <c r="I121" s="637">
        <v>14825</v>
      </c>
      <c r="J121" s="637">
        <v>16549</v>
      </c>
      <c r="K121" s="958">
        <v>17699</v>
      </c>
      <c r="L121" s="958">
        <v>18547</v>
      </c>
      <c r="M121" s="958">
        <v>18249</v>
      </c>
      <c r="N121" s="1598">
        <v>17471</v>
      </c>
      <c r="P121" s="272">
        <f t="shared" si="10"/>
        <v>4.2632473012219847E-2</v>
      </c>
      <c r="Q121" s="272">
        <f t="shared" si="11"/>
        <v>1.6067288510271203E-2</v>
      </c>
      <c r="R121" s="272">
        <f t="shared" si="12"/>
        <v>4.7912311430024293E-2</v>
      </c>
    </row>
    <row r="122" spans="1:18" ht="15.75" x14ac:dyDescent="0.25">
      <c r="A122" s="540" t="s">
        <v>230</v>
      </c>
      <c r="B122" s="543" t="s">
        <v>231</v>
      </c>
      <c r="C122" s="598" t="s">
        <v>264</v>
      </c>
      <c r="D122" s="547">
        <v>28215</v>
      </c>
      <c r="E122" s="547">
        <v>28835</v>
      </c>
      <c r="F122" s="547">
        <v>27798</v>
      </c>
      <c r="G122" s="547">
        <v>29065</v>
      </c>
      <c r="H122" s="547">
        <v>34362</v>
      </c>
      <c r="I122" s="547">
        <v>43390</v>
      </c>
      <c r="J122" s="547">
        <v>48823</v>
      </c>
      <c r="K122" s="548">
        <v>53010</v>
      </c>
      <c r="L122" s="958">
        <v>54998</v>
      </c>
      <c r="M122" s="958">
        <v>54484</v>
      </c>
      <c r="N122" s="1598">
        <v>52144</v>
      </c>
      <c r="P122" s="272">
        <f t="shared" si="10"/>
        <v>4.2948388517729974E-2</v>
      </c>
      <c r="Q122" s="272">
        <f t="shared" si="11"/>
        <v>9.3457943925233638E-3</v>
      </c>
      <c r="R122" s="272">
        <f t="shared" si="12"/>
        <v>3.7502358045651767E-2</v>
      </c>
    </row>
    <row r="123" spans="1:18" ht="15.75" x14ac:dyDescent="0.25">
      <c r="A123" s="540" t="s">
        <v>238</v>
      </c>
      <c r="B123" s="543" t="s">
        <v>239</v>
      </c>
      <c r="C123" s="598" t="s">
        <v>264</v>
      </c>
      <c r="D123" s="547">
        <v>857</v>
      </c>
      <c r="E123" s="547">
        <v>991</v>
      </c>
      <c r="F123" s="547">
        <v>953</v>
      </c>
      <c r="G123" s="547">
        <v>1015</v>
      </c>
      <c r="H123" s="547">
        <v>1223</v>
      </c>
      <c r="I123" s="547">
        <v>1515</v>
      </c>
      <c r="J123" s="547">
        <v>1885</v>
      </c>
      <c r="K123" s="548">
        <v>1929</v>
      </c>
      <c r="L123" s="958">
        <v>2096</v>
      </c>
      <c r="M123" s="958">
        <v>2072</v>
      </c>
      <c r="N123" s="1598">
        <v>2012</v>
      </c>
      <c r="P123" s="272">
        <f t="shared" si="10"/>
        <v>2.8957528957528959E-2</v>
      </c>
      <c r="Q123" s="272">
        <f t="shared" si="11"/>
        <v>1.1450381679389313E-2</v>
      </c>
      <c r="R123" s="272">
        <f t="shared" si="12"/>
        <v>8.6573354069466049E-2</v>
      </c>
    </row>
    <row r="124" spans="1:18" ht="15.75" x14ac:dyDescent="0.25">
      <c r="A124" s="541" t="s">
        <v>240</v>
      </c>
      <c r="B124" s="544" t="s">
        <v>241</v>
      </c>
      <c r="C124" s="544" t="s">
        <v>267</v>
      </c>
      <c r="D124" s="549">
        <v>3348</v>
      </c>
      <c r="E124" s="549">
        <v>3421</v>
      </c>
      <c r="F124" s="549">
        <v>3674</v>
      </c>
      <c r="G124" s="549">
        <v>4204</v>
      </c>
      <c r="H124" s="549">
        <v>5542</v>
      </c>
      <c r="I124" s="549">
        <v>6778</v>
      </c>
      <c r="J124" s="549">
        <v>7510</v>
      </c>
      <c r="K124" s="959">
        <v>7681</v>
      </c>
      <c r="L124" s="959">
        <v>7964</v>
      </c>
      <c r="M124" s="959">
        <v>7441</v>
      </c>
      <c r="N124" s="1598">
        <v>6819</v>
      </c>
      <c r="P124" s="272">
        <f t="shared" si="10"/>
        <v>8.3590915199569946E-2</v>
      </c>
      <c r="Q124" s="272">
        <f t="shared" si="11"/>
        <v>6.5670517327975894E-2</v>
      </c>
      <c r="R124" s="272">
        <f t="shared" si="12"/>
        <v>3.6844160916547325E-2</v>
      </c>
    </row>
    <row r="126" spans="1:18" ht="34.5" customHeight="1" x14ac:dyDescent="0.25">
      <c r="A126" s="2104" t="s">
        <v>1150</v>
      </c>
      <c r="B126" s="2104"/>
      <c r="C126" s="2104"/>
      <c r="D126" s="2104"/>
      <c r="E126" s="2104"/>
      <c r="F126" s="2104"/>
      <c r="G126" s="2104"/>
      <c r="H126" s="2104"/>
      <c r="I126" s="2104"/>
      <c r="J126" s="2104"/>
      <c r="K126" s="2104"/>
      <c r="L126" s="2104"/>
      <c r="M126" s="1161"/>
      <c r="N126" s="1574"/>
    </row>
    <row r="128" spans="1:18" s="414" customFormat="1" ht="15.75" x14ac:dyDescent="0.25">
      <c r="A128" s="414" t="s">
        <v>248</v>
      </c>
    </row>
    <row r="129" spans="1:3" s="414" customFormat="1" ht="15.75" x14ac:dyDescent="0.25">
      <c r="A129" s="415" t="s">
        <v>249</v>
      </c>
      <c r="B129" s="416" t="s">
        <v>250</v>
      </c>
      <c r="C129" s="416"/>
    </row>
  </sheetData>
  <autoFilter ref="A3:C3"/>
  <sortState ref="A5:U124">
    <sortCondition ref="A5:A124"/>
  </sortState>
  <mergeCells count="1">
    <mergeCell ref="A126:L126"/>
  </mergeCells>
  <hyperlinks>
    <hyperlink ref="B129" r:id="rId1"/>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9"/>
  <sheetViews>
    <sheetView workbookViewId="0">
      <pane ySplit="4" topLeftCell="A106" activePane="bottomLeft" state="frozen"/>
      <selection pane="bottomLeft" activeCell="A127" sqref="A127"/>
    </sheetView>
  </sheetViews>
  <sheetFormatPr defaultRowHeight="15.75" x14ac:dyDescent="0.25"/>
  <cols>
    <col min="1" max="1" width="5.875" style="532" customWidth="1"/>
    <col min="2" max="2" width="30.25" style="532" customWidth="1"/>
    <col min="3" max="3" width="12.375" style="532" customWidth="1"/>
    <col min="4" max="14" width="10.875" style="532" customWidth="1"/>
    <col min="15" max="15" width="2.5" style="532" customWidth="1"/>
    <col min="16" max="16384" width="9" style="532"/>
  </cols>
  <sheetData>
    <row r="1" spans="1:14" x14ac:dyDescent="0.25">
      <c r="A1" s="258" t="s">
        <v>1152</v>
      </c>
    </row>
    <row r="3" spans="1:14" ht="31.5" x14ac:dyDescent="0.25">
      <c r="A3" s="557" t="s">
        <v>4</v>
      </c>
      <c r="B3" s="538" t="s">
        <v>5</v>
      </c>
      <c r="C3" s="595" t="s">
        <v>251</v>
      </c>
      <c r="D3" s="558" t="s">
        <v>536</v>
      </c>
      <c r="E3" s="558" t="s">
        <v>537</v>
      </c>
      <c r="F3" s="558" t="s">
        <v>538</v>
      </c>
      <c r="G3" s="558" t="s">
        <v>539</v>
      </c>
      <c r="H3" s="558" t="s">
        <v>540</v>
      </c>
      <c r="I3" s="558" t="s">
        <v>541</v>
      </c>
      <c r="J3" s="558" t="s">
        <v>588</v>
      </c>
      <c r="K3" s="533" t="s">
        <v>741</v>
      </c>
      <c r="L3" s="533" t="s">
        <v>832</v>
      </c>
      <c r="M3" s="533" t="s">
        <v>884</v>
      </c>
      <c r="N3" s="533" t="s">
        <v>1153</v>
      </c>
    </row>
    <row r="4" spans="1:14" x14ac:dyDescent="0.25">
      <c r="A4" s="600">
        <v>999</v>
      </c>
      <c r="B4" s="599" t="s">
        <v>9</v>
      </c>
      <c r="C4" s="596"/>
      <c r="D4" s="559">
        <f t="shared" ref="D4:L4" si="0">SUM(D5:D124)</f>
        <v>180378</v>
      </c>
      <c r="E4" s="559">
        <f t="shared" si="0"/>
        <v>179388</v>
      </c>
      <c r="F4" s="559">
        <f t="shared" si="0"/>
        <v>168934</v>
      </c>
      <c r="G4" s="559">
        <f t="shared" si="0"/>
        <v>161280</v>
      </c>
      <c r="H4" s="559">
        <f t="shared" si="0"/>
        <v>177017</v>
      </c>
      <c r="I4" s="559">
        <f t="shared" si="0"/>
        <v>194549</v>
      </c>
      <c r="J4" s="559">
        <f t="shared" si="0"/>
        <v>195553</v>
      </c>
      <c r="K4" s="560">
        <f t="shared" si="0"/>
        <v>185234</v>
      </c>
      <c r="L4" s="560">
        <f t="shared" si="0"/>
        <v>172295</v>
      </c>
      <c r="M4" s="1190">
        <v>154991</v>
      </c>
      <c r="N4" s="1599">
        <v>134462</v>
      </c>
    </row>
    <row r="5" spans="1:14" x14ac:dyDescent="0.25">
      <c r="A5" s="551" t="s">
        <v>10</v>
      </c>
      <c r="B5" s="542" t="s">
        <v>11</v>
      </c>
      <c r="C5" s="597" t="s">
        <v>264</v>
      </c>
      <c r="D5" s="545">
        <v>1056</v>
      </c>
      <c r="E5" s="545">
        <v>1003</v>
      </c>
      <c r="F5" s="545">
        <v>878</v>
      </c>
      <c r="G5" s="545">
        <v>898</v>
      </c>
      <c r="H5" s="545">
        <v>946</v>
      </c>
      <c r="I5" s="545">
        <v>1098</v>
      </c>
      <c r="J5" s="545">
        <v>1096</v>
      </c>
      <c r="K5" s="552">
        <v>1127</v>
      </c>
      <c r="L5" s="554">
        <v>1131</v>
      </c>
      <c r="M5" s="554">
        <v>974</v>
      </c>
      <c r="N5" s="1600">
        <v>810</v>
      </c>
    </row>
    <row r="6" spans="1:14" x14ac:dyDescent="0.25">
      <c r="A6" s="553" t="s">
        <v>12</v>
      </c>
      <c r="B6" s="543" t="s">
        <v>13</v>
      </c>
      <c r="C6" s="598" t="s">
        <v>265</v>
      </c>
      <c r="D6" s="547">
        <v>703</v>
      </c>
      <c r="E6" s="547">
        <v>797</v>
      </c>
      <c r="F6" s="547">
        <v>664</v>
      </c>
      <c r="G6" s="547">
        <v>611</v>
      </c>
      <c r="H6" s="547">
        <v>809</v>
      </c>
      <c r="I6" s="547">
        <v>921</v>
      </c>
      <c r="J6" s="547">
        <v>855</v>
      </c>
      <c r="K6" s="554">
        <v>746</v>
      </c>
      <c r="L6" s="554">
        <v>837</v>
      </c>
      <c r="M6" s="554">
        <v>807</v>
      </c>
      <c r="N6" s="1600">
        <v>707</v>
      </c>
    </row>
    <row r="7" spans="1:14" x14ac:dyDescent="0.25">
      <c r="A7" s="553" t="s">
        <v>16</v>
      </c>
      <c r="B7" s="543" t="s">
        <v>297</v>
      </c>
      <c r="C7" s="598" t="s">
        <v>265</v>
      </c>
      <c r="D7" s="547">
        <v>741</v>
      </c>
      <c r="E7" s="547">
        <v>693</v>
      </c>
      <c r="F7" s="547">
        <v>706</v>
      </c>
      <c r="G7" s="547">
        <v>664</v>
      </c>
      <c r="H7" s="547">
        <v>704</v>
      </c>
      <c r="I7" s="547">
        <v>677</v>
      </c>
      <c r="J7" s="547">
        <v>644</v>
      </c>
      <c r="K7" s="554">
        <v>528</v>
      </c>
      <c r="L7" s="554">
        <v>512</v>
      </c>
      <c r="M7" s="554">
        <v>476</v>
      </c>
      <c r="N7" s="1600">
        <v>439</v>
      </c>
    </row>
    <row r="8" spans="1:14" x14ac:dyDescent="0.25">
      <c r="A8" s="553" t="s">
        <v>18</v>
      </c>
      <c r="B8" s="543" t="s">
        <v>19</v>
      </c>
      <c r="C8" s="598" t="s">
        <v>266</v>
      </c>
      <c r="D8" s="547">
        <v>324</v>
      </c>
      <c r="E8" s="547">
        <v>364</v>
      </c>
      <c r="F8" s="547">
        <v>319</v>
      </c>
      <c r="G8" s="547">
        <v>321</v>
      </c>
      <c r="H8" s="547">
        <v>373</v>
      </c>
      <c r="I8" s="547">
        <v>430</v>
      </c>
      <c r="J8" s="547">
        <v>434</v>
      </c>
      <c r="K8" s="554">
        <v>408</v>
      </c>
      <c r="L8" s="554">
        <v>378</v>
      </c>
      <c r="M8" s="554">
        <v>275</v>
      </c>
      <c r="N8" s="1600">
        <v>205</v>
      </c>
    </row>
    <row r="9" spans="1:14" x14ac:dyDescent="0.25">
      <c r="A9" s="553" t="s">
        <v>20</v>
      </c>
      <c r="B9" s="543" t="s">
        <v>21</v>
      </c>
      <c r="C9" s="598" t="s">
        <v>265</v>
      </c>
      <c r="D9" s="547">
        <v>608</v>
      </c>
      <c r="E9" s="547">
        <v>613</v>
      </c>
      <c r="F9" s="547">
        <v>443</v>
      </c>
      <c r="G9" s="547">
        <v>449</v>
      </c>
      <c r="H9" s="547">
        <v>533</v>
      </c>
      <c r="I9" s="547">
        <v>645</v>
      </c>
      <c r="J9" s="547">
        <v>573</v>
      </c>
      <c r="K9" s="554">
        <v>538</v>
      </c>
      <c r="L9" s="554">
        <v>538</v>
      </c>
      <c r="M9" s="554">
        <v>456</v>
      </c>
      <c r="N9" s="1600">
        <v>407</v>
      </c>
    </row>
    <row r="10" spans="1:14" x14ac:dyDescent="0.25">
      <c r="A10" s="553" t="s">
        <v>22</v>
      </c>
      <c r="B10" s="543" t="s">
        <v>23</v>
      </c>
      <c r="C10" s="598" t="s">
        <v>265</v>
      </c>
      <c r="D10" s="547">
        <v>436</v>
      </c>
      <c r="E10" s="547">
        <v>404</v>
      </c>
      <c r="F10" s="547">
        <v>394</v>
      </c>
      <c r="G10" s="547">
        <v>417</v>
      </c>
      <c r="H10" s="547">
        <v>419</v>
      </c>
      <c r="I10" s="547">
        <v>507</v>
      </c>
      <c r="J10" s="547">
        <v>456</v>
      </c>
      <c r="K10" s="554">
        <v>477</v>
      </c>
      <c r="L10" s="554">
        <v>522</v>
      </c>
      <c r="M10" s="554">
        <v>492</v>
      </c>
      <c r="N10" s="1600">
        <v>395</v>
      </c>
    </row>
    <row r="11" spans="1:14" x14ac:dyDescent="0.25">
      <c r="A11" s="553" t="s">
        <v>24</v>
      </c>
      <c r="B11" s="543" t="s">
        <v>25</v>
      </c>
      <c r="C11" s="598" t="s">
        <v>267</v>
      </c>
      <c r="D11" s="547">
        <v>1469</v>
      </c>
      <c r="E11" s="547">
        <v>1479</v>
      </c>
      <c r="F11" s="547">
        <v>1312</v>
      </c>
      <c r="G11" s="547">
        <v>1233</v>
      </c>
      <c r="H11" s="547">
        <v>1547</v>
      </c>
      <c r="I11" s="547">
        <v>1702</v>
      </c>
      <c r="J11" s="547">
        <v>1633</v>
      </c>
      <c r="K11" s="554">
        <v>1512</v>
      </c>
      <c r="L11" s="554">
        <v>1315</v>
      </c>
      <c r="M11" s="554">
        <v>1107</v>
      </c>
      <c r="N11" s="1600">
        <v>1008</v>
      </c>
    </row>
    <row r="12" spans="1:14" x14ac:dyDescent="0.25">
      <c r="A12" s="553" t="s">
        <v>26</v>
      </c>
      <c r="B12" s="543" t="s">
        <v>686</v>
      </c>
      <c r="C12" s="598" t="s">
        <v>265</v>
      </c>
      <c r="D12" s="547">
        <v>3004</v>
      </c>
      <c r="E12" s="547">
        <v>3221</v>
      </c>
      <c r="F12" s="547">
        <v>3029</v>
      </c>
      <c r="G12" s="547">
        <v>2946</v>
      </c>
      <c r="H12" s="547">
        <v>3320</v>
      </c>
      <c r="I12" s="547">
        <v>3468</v>
      </c>
      <c r="J12" s="547">
        <v>3345</v>
      </c>
      <c r="K12" s="554">
        <v>3125</v>
      </c>
      <c r="L12" s="554">
        <v>2949</v>
      </c>
      <c r="M12" s="554">
        <v>2534</v>
      </c>
      <c r="N12" s="1600">
        <v>1916</v>
      </c>
    </row>
    <row r="13" spans="1:14" x14ac:dyDescent="0.25">
      <c r="A13" s="553" t="s">
        <v>27</v>
      </c>
      <c r="B13" s="543" t="s">
        <v>28</v>
      </c>
      <c r="C13" s="598" t="s">
        <v>265</v>
      </c>
      <c r="D13" s="547">
        <v>31</v>
      </c>
      <c r="E13" s="547">
        <v>33</v>
      </c>
      <c r="F13" s="547">
        <v>24</v>
      </c>
      <c r="G13" s="547">
        <v>41</v>
      </c>
      <c r="H13" s="547">
        <v>28</v>
      </c>
      <c r="I13" s="547">
        <v>47</v>
      </c>
      <c r="J13" s="547">
        <v>40</v>
      </c>
      <c r="K13" s="554">
        <v>42</v>
      </c>
      <c r="L13" s="554">
        <v>24</v>
      </c>
      <c r="M13" s="554">
        <v>24</v>
      </c>
      <c r="N13" s="1600">
        <v>13</v>
      </c>
    </row>
    <row r="14" spans="1:14" x14ac:dyDescent="0.25">
      <c r="A14" s="553" t="s">
        <v>29</v>
      </c>
      <c r="B14" s="543" t="s">
        <v>941</v>
      </c>
      <c r="C14" s="598" t="s">
        <v>265</v>
      </c>
      <c r="D14" s="547">
        <v>1178</v>
      </c>
      <c r="E14" s="547">
        <v>1115</v>
      </c>
      <c r="F14" s="547">
        <v>1092</v>
      </c>
      <c r="G14" s="547">
        <v>953</v>
      </c>
      <c r="H14" s="547">
        <v>1096</v>
      </c>
      <c r="I14" s="547">
        <v>1235</v>
      </c>
      <c r="J14" s="547">
        <v>1269</v>
      </c>
      <c r="K14" s="554">
        <v>1163</v>
      </c>
      <c r="L14" s="554">
        <v>1046</v>
      </c>
      <c r="M14" s="554">
        <v>1080</v>
      </c>
      <c r="N14" s="1600">
        <v>859</v>
      </c>
    </row>
    <row r="15" spans="1:14" x14ac:dyDescent="0.25">
      <c r="A15" s="553" t="s">
        <v>30</v>
      </c>
      <c r="B15" s="636" t="s">
        <v>31</v>
      </c>
      <c r="C15" s="598" t="s">
        <v>268</v>
      </c>
      <c r="D15" s="547">
        <v>131</v>
      </c>
      <c r="E15" s="547">
        <v>147</v>
      </c>
      <c r="F15" s="547">
        <v>127</v>
      </c>
      <c r="G15" s="547">
        <v>110</v>
      </c>
      <c r="H15" s="547">
        <v>115</v>
      </c>
      <c r="I15" s="547">
        <v>86</v>
      </c>
      <c r="J15" s="547">
        <v>120</v>
      </c>
      <c r="K15" s="554">
        <v>103</v>
      </c>
      <c r="L15" s="554">
        <v>85</v>
      </c>
      <c r="M15" s="554">
        <v>78</v>
      </c>
      <c r="N15" s="1600">
        <v>65</v>
      </c>
    </row>
    <row r="16" spans="1:14" x14ac:dyDescent="0.25">
      <c r="A16" s="553" t="s">
        <v>32</v>
      </c>
      <c r="B16" s="543" t="s">
        <v>33</v>
      </c>
      <c r="C16" s="598" t="s">
        <v>265</v>
      </c>
      <c r="D16" s="547">
        <v>198</v>
      </c>
      <c r="E16" s="547">
        <v>200</v>
      </c>
      <c r="F16" s="547">
        <v>155</v>
      </c>
      <c r="G16" s="547">
        <v>158</v>
      </c>
      <c r="H16" s="547">
        <v>175</v>
      </c>
      <c r="I16" s="547">
        <v>219</v>
      </c>
      <c r="J16" s="547">
        <v>223</v>
      </c>
      <c r="K16" s="554">
        <v>238</v>
      </c>
      <c r="L16" s="554">
        <v>212</v>
      </c>
      <c r="M16" s="554">
        <v>175</v>
      </c>
      <c r="N16" s="1600">
        <v>166</v>
      </c>
    </row>
    <row r="17" spans="1:14" x14ac:dyDescent="0.25">
      <c r="A17" s="553" t="s">
        <v>36</v>
      </c>
      <c r="B17" s="543" t="s">
        <v>37</v>
      </c>
      <c r="C17" s="598" t="s">
        <v>264</v>
      </c>
      <c r="D17" s="547">
        <v>680</v>
      </c>
      <c r="E17" s="547">
        <v>752</v>
      </c>
      <c r="F17" s="547">
        <v>712</v>
      </c>
      <c r="G17" s="547">
        <v>598</v>
      </c>
      <c r="H17" s="547">
        <v>597</v>
      </c>
      <c r="I17" s="547">
        <v>646</v>
      </c>
      <c r="J17" s="547">
        <v>609</v>
      </c>
      <c r="K17" s="554">
        <v>595</v>
      </c>
      <c r="L17" s="554">
        <v>545</v>
      </c>
      <c r="M17" s="554">
        <v>501</v>
      </c>
      <c r="N17" s="1600">
        <v>442</v>
      </c>
    </row>
    <row r="18" spans="1:14" x14ac:dyDescent="0.25">
      <c r="A18" s="553" t="s">
        <v>38</v>
      </c>
      <c r="B18" s="543" t="s">
        <v>39</v>
      </c>
      <c r="C18" s="598" t="s">
        <v>268</v>
      </c>
      <c r="D18" s="547">
        <v>1375</v>
      </c>
      <c r="E18" s="547">
        <v>1260</v>
      </c>
      <c r="F18" s="547">
        <v>1119</v>
      </c>
      <c r="G18" s="547">
        <v>1027</v>
      </c>
      <c r="H18" s="547">
        <v>971</v>
      </c>
      <c r="I18" s="547">
        <v>906</v>
      </c>
      <c r="J18" s="547">
        <v>743</v>
      </c>
      <c r="K18" s="554">
        <v>611</v>
      </c>
      <c r="L18" s="554">
        <v>724</v>
      </c>
      <c r="M18" s="554">
        <v>693</v>
      </c>
      <c r="N18" s="1600">
        <v>640</v>
      </c>
    </row>
    <row r="19" spans="1:14" x14ac:dyDescent="0.25">
      <c r="A19" s="553" t="s">
        <v>40</v>
      </c>
      <c r="B19" s="543" t="s">
        <v>41</v>
      </c>
      <c r="C19" s="598" t="s">
        <v>266</v>
      </c>
      <c r="D19" s="547">
        <v>590</v>
      </c>
      <c r="E19" s="547">
        <v>451</v>
      </c>
      <c r="F19" s="547">
        <v>480</v>
      </c>
      <c r="G19" s="547">
        <v>432</v>
      </c>
      <c r="H19" s="547">
        <v>500</v>
      </c>
      <c r="I19" s="547">
        <v>532</v>
      </c>
      <c r="J19" s="547">
        <v>432</v>
      </c>
      <c r="K19" s="554">
        <v>430</v>
      </c>
      <c r="L19" s="554">
        <v>416</v>
      </c>
      <c r="M19" s="554">
        <v>335</v>
      </c>
      <c r="N19" s="1600">
        <v>302</v>
      </c>
    </row>
    <row r="20" spans="1:14" x14ac:dyDescent="0.25">
      <c r="A20" s="553" t="s">
        <v>42</v>
      </c>
      <c r="B20" s="543" t="s">
        <v>43</v>
      </c>
      <c r="C20" s="598" t="s">
        <v>265</v>
      </c>
      <c r="D20" s="547">
        <v>1481</v>
      </c>
      <c r="E20" s="547">
        <v>1340</v>
      </c>
      <c r="F20" s="547">
        <v>1344</v>
      </c>
      <c r="G20" s="547">
        <v>1258</v>
      </c>
      <c r="H20" s="547">
        <v>1366</v>
      </c>
      <c r="I20" s="547">
        <v>1511</v>
      </c>
      <c r="J20" s="547">
        <v>1498</v>
      </c>
      <c r="K20" s="554">
        <v>1562</v>
      </c>
      <c r="L20" s="554">
        <v>1382</v>
      </c>
      <c r="M20" s="554">
        <v>1204</v>
      </c>
      <c r="N20" s="1600">
        <v>1026</v>
      </c>
    </row>
    <row r="21" spans="1:14" x14ac:dyDescent="0.25">
      <c r="A21" s="553" t="s">
        <v>44</v>
      </c>
      <c r="B21" s="543" t="s">
        <v>45</v>
      </c>
      <c r="C21" s="598" t="s">
        <v>266</v>
      </c>
      <c r="D21" s="547">
        <v>686</v>
      </c>
      <c r="E21" s="547">
        <v>640</v>
      </c>
      <c r="F21" s="547">
        <v>613</v>
      </c>
      <c r="G21" s="547">
        <v>634</v>
      </c>
      <c r="H21" s="547">
        <v>915</v>
      </c>
      <c r="I21" s="547">
        <v>1096</v>
      </c>
      <c r="J21" s="547">
        <v>1148</v>
      </c>
      <c r="K21" s="554">
        <v>1048</v>
      </c>
      <c r="L21" s="554">
        <v>959</v>
      </c>
      <c r="M21" s="554">
        <v>850</v>
      </c>
      <c r="N21" s="1600">
        <v>709</v>
      </c>
    </row>
    <row r="22" spans="1:14" x14ac:dyDescent="0.25">
      <c r="A22" s="553" t="s">
        <v>46</v>
      </c>
      <c r="B22" s="543" t="s">
        <v>47</v>
      </c>
      <c r="C22" s="598" t="s">
        <v>268</v>
      </c>
      <c r="D22" s="547">
        <v>802</v>
      </c>
      <c r="E22" s="547">
        <v>707</v>
      </c>
      <c r="F22" s="547">
        <v>662</v>
      </c>
      <c r="G22" s="547">
        <v>617</v>
      </c>
      <c r="H22" s="547">
        <v>702</v>
      </c>
      <c r="I22" s="547">
        <v>746</v>
      </c>
      <c r="J22" s="547">
        <v>675</v>
      </c>
      <c r="K22" s="554">
        <v>704</v>
      </c>
      <c r="L22" s="554">
        <v>585</v>
      </c>
      <c r="M22" s="554">
        <v>502</v>
      </c>
      <c r="N22" s="1600">
        <v>428</v>
      </c>
    </row>
    <row r="23" spans="1:14" x14ac:dyDescent="0.25">
      <c r="A23" s="553" t="s">
        <v>48</v>
      </c>
      <c r="B23" s="543" t="s">
        <v>269</v>
      </c>
      <c r="C23" s="598" t="s">
        <v>266</v>
      </c>
      <c r="D23" s="547">
        <v>118</v>
      </c>
      <c r="E23" s="547">
        <v>108</v>
      </c>
      <c r="F23" s="547">
        <v>113</v>
      </c>
      <c r="G23" s="547">
        <v>135</v>
      </c>
      <c r="H23" s="547">
        <v>118</v>
      </c>
      <c r="I23" s="547">
        <v>99</v>
      </c>
      <c r="J23" s="547">
        <v>145</v>
      </c>
      <c r="K23" s="554">
        <v>125</v>
      </c>
      <c r="L23" s="554">
        <v>96</v>
      </c>
      <c r="M23" s="554">
        <v>69</v>
      </c>
      <c r="N23" s="1600">
        <v>76</v>
      </c>
    </row>
    <row r="24" spans="1:14" x14ac:dyDescent="0.25">
      <c r="A24" s="553" t="s">
        <v>50</v>
      </c>
      <c r="B24" s="543" t="s">
        <v>51</v>
      </c>
      <c r="C24" s="598" t="s">
        <v>265</v>
      </c>
      <c r="D24" s="547">
        <v>452</v>
      </c>
      <c r="E24" s="547">
        <v>491</v>
      </c>
      <c r="F24" s="547">
        <v>405</v>
      </c>
      <c r="G24" s="547">
        <v>310</v>
      </c>
      <c r="H24" s="547">
        <v>422</v>
      </c>
      <c r="I24" s="547">
        <v>472</v>
      </c>
      <c r="J24" s="547">
        <v>452</v>
      </c>
      <c r="K24" s="554">
        <v>508</v>
      </c>
      <c r="L24" s="554">
        <v>504</v>
      </c>
      <c r="M24" s="554">
        <v>424</v>
      </c>
      <c r="N24" s="1600">
        <v>333</v>
      </c>
    </row>
    <row r="25" spans="1:14" x14ac:dyDescent="0.25">
      <c r="A25" s="553" t="s">
        <v>56</v>
      </c>
      <c r="B25" s="543" t="s">
        <v>295</v>
      </c>
      <c r="C25" s="598" t="s">
        <v>266</v>
      </c>
      <c r="D25" s="547">
        <v>4958</v>
      </c>
      <c r="E25" s="547">
        <v>4835</v>
      </c>
      <c r="F25" s="547">
        <v>4528</v>
      </c>
      <c r="G25" s="547">
        <v>4450</v>
      </c>
      <c r="H25" s="547">
        <v>5198</v>
      </c>
      <c r="I25" s="547">
        <v>5833</v>
      </c>
      <c r="J25" s="547">
        <v>6002</v>
      </c>
      <c r="K25" s="554">
        <v>5765</v>
      </c>
      <c r="L25" s="554">
        <v>5269</v>
      </c>
      <c r="M25" s="554">
        <v>4523</v>
      </c>
      <c r="N25" s="1600">
        <v>3656</v>
      </c>
    </row>
    <row r="26" spans="1:14" x14ac:dyDescent="0.25">
      <c r="A26" s="553" t="s">
        <v>58</v>
      </c>
      <c r="B26" s="543" t="s">
        <v>59</v>
      </c>
      <c r="C26" s="598" t="s">
        <v>267</v>
      </c>
      <c r="D26" s="547">
        <v>70</v>
      </c>
      <c r="E26" s="547">
        <v>72</v>
      </c>
      <c r="F26" s="547">
        <v>67</v>
      </c>
      <c r="G26" s="547">
        <v>63</v>
      </c>
      <c r="H26" s="547">
        <v>101</v>
      </c>
      <c r="I26" s="547">
        <v>110</v>
      </c>
      <c r="J26" s="547">
        <v>121</v>
      </c>
      <c r="K26" s="554">
        <v>117</v>
      </c>
      <c r="L26" s="554">
        <v>114</v>
      </c>
      <c r="M26" s="554">
        <v>80</v>
      </c>
      <c r="N26" s="1600">
        <v>48</v>
      </c>
    </row>
    <row r="27" spans="1:14" x14ac:dyDescent="0.25">
      <c r="A27" s="553" t="s">
        <v>60</v>
      </c>
      <c r="B27" s="543" t="s">
        <v>61</v>
      </c>
      <c r="C27" s="598" t="s">
        <v>265</v>
      </c>
      <c r="D27" s="547">
        <v>57</v>
      </c>
      <c r="E27" s="547">
        <v>55</v>
      </c>
      <c r="F27" s="547">
        <v>46</v>
      </c>
      <c r="G27" s="547">
        <v>45</v>
      </c>
      <c r="H27" s="547">
        <v>55</v>
      </c>
      <c r="I27" s="547">
        <v>59</v>
      </c>
      <c r="J27" s="547">
        <v>67</v>
      </c>
      <c r="K27" s="554">
        <v>78</v>
      </c>
      <c r="L27" s="554">
        <v>59</v>
      </c>
      <c r="M27" s="554">
        <v>59</v>
      </c>
      <c r="N27" s="1600">
        <v>66</v>
      </c>
    </row>
    <row r="28" spans="1:14" x14ac:dyDescent="0.25">
      <c r="A28" s="553" t="s">
        <v>62</v>
      </c>
      <c r="B28" s="543" t="s">
        <v>63</v>
      </c>
      <c r="C28" s="598" t="s">
        <v>267</v>
      </c>
      <c r="D28" s="547">
        <v>836</v>
      </c>
      <c r="E28" s="547">
        <v>801</v>
      </c>
      <c r="F28" s="547">
        <v>818</v>
      </c>
      <c r="G28" s="547">
        <v>841</v>
      </c>
      <c r="H28" s="547">
        <v>995</v>
      </c>
      <c r="I28" s="547">
        <v>1105</v>
      </c>
      <c r="J28" s="547">
        <v>1059</v>
      </c>
      <c r="K28" s="554">
        <v>932</v>
      </c>
      <c r="L28" s="554">
        <v>900</v>
      </c>
      <c r="M28" s="554">
        <v>792</v>
      </c>
      <c r="N28" s="1600">
        <v>641</v>
      </c>
    </row>
    <row r="29" spans="1:14" x14ac:dyDescent="0.25">
      <c r="A29" s="553" t="s">
        <v>64</v>
      </c>
      <c r="B29" s="543" t="s">
        <v>65</v>
      </c>
      <c r="C29" s="598" t="s">
        <v>266</v>
      </c>
      <c r="D29" s="547">
        <v>378</v>
      </c>
      <c r="E29" s="547">
        <v>307</v>
      </c>
      <c r="F29" s="547">
        <v>309</v>
      </c>
      <c r="G29" s="547">
        <v>313</v>
      </c>
      <c r="H29" s="547">
        <v>361</v>
      </c>
      <c r="I29" s="547">
        <v>354</v>
      </c>
      <c r="J29" s="547">
        <v>346</v>
      </c>
      <c r="K29" s="554">
        <v>336</v>
      </c>
      <c r="L29" s="554">
        <v>399</v>
      </c>
      <c r="M29" s="554">
        <v>328</v>
      </c>
      <c r="N29" s="1600">
        <v>289</v>
      </c>
    </row>
    <row r="30" spans="1:14" x14ac:dyDescent="0.25">
      <c r="A30" s="553" t="s">
        <v>68</v>
      </c>
      <c r="B30" s="543" t="s">
        <v>69</v>
      </c>
      <c r="C30" s="598" t="s">
        <v>268</v>
      </c>
      <c r="D30" s="547">
        <v>722</v>
      </c>
      <c r="E30" s="547">
        <v>666</v>
      </c>
      <c r="F30" s="547">
        <v>604</v>
      </c>
      <c r="G30" s="547">
        <v>595</v>
      </c>
      <c r="H30" s="547">
        <v>524</v>
      </c>
      <c r="I30" s="547">
        <v>547</v>
      </c>
      <c r="J30" s="547">
        <v>480</v>
      </c>
      <c r="K30" s="554">
        <v>440</v>
      </c>
      <c r="L30" s="554">
        <v>343</v>
      </c>
      <c r="M30" s="554">
        <v>364</v>
      </c>
      <c r="N30" s="1600">
        <v>293</v>
      </c>
    </row>
    <row r="31" spans="1:14" x14ac:dyDescent="0.25">
      <c r="A31" s="553" t="s">
        <v>70</v>
      </c>
      <c r="B31" s="543" t="s">
        <v>71</v>
      </c>
      <c r="C31" s="598" t="s">
        <v>264</v>
      </c>
      <c r="D31" s="547">
        <v>714</v>
      </c>
      <c r="E31" s="547">
        <v>761</v>
      </c>
      <c r="F31" s="547">
        <v>644</v>
      </c>
      <c r="G31" s="547">
        <v>581</v>
      </c>
      <c r="H31" s="547">
        <v>662</v>
      </c>
      <c r="I31" s="547">
        <v>772</v>
      </c>
      <c r="J31" s="547">
        <v>773</v>
      </c>
      <c r="K31" s="554">
        <v>726</v>
      </c>
      <c r="L31" s="554">
        <v>700</v>
      </c>
      <c r="M31" s="554">
        <v>693</v>
      </c>
      <c r="N31" s="1600">
        <v>561</v>
      </c>
    </row>
    <row r="32" spans="1:14" x14ac:dyDescent="0.25">
      <c r="A32" s="553" t="s">
        <v>72</v>
      </c>
      <c r="B32" s="543" t="s">
        <v>73</v>
      </c>
      <c r="C32" s="598" t="s">
        <v>266</v>
      </c>
      <c r="D32" s="547">
        <v>341</v>
      </c>
      <c r="E32" s="547">
        <v>355</v>
      </c>
      <c r="F32" s="547">
        <v>325</v>
      </c>
      <c r="G32" s="547">
        <v>415</v>
      </c>
      <c r="H32" s="547">
        <v>462</v>
      </c>
      <c r="I32" s="547">
        <v>529</v>
      </c>
      <c r="J32" s="547">
        <v>466</v>
      </c>
      <c r="K32" s="554">
        <v>480</v>
      </c>
      <c r="L32" s="554">
        <v>386</v>
      </c>
      <c r="M32" s="554">
        <v>389</v>
      </c>
      <c r="N32" s="1600">
        <v>347</v>
      </c>
    </row>
    <row r="33" spans="1:14" x14ac:dyDescent="0.25">
      <c r="A33" s="553" t="s">
        <v>74</v>
      </c>
      <c r="B33" s="543" t="s">
        <v>296</v>
      </c>
      <c r="C33" s="598" t="s">
        <v>267</v>
      </c>
      <c r="D33" s="547">
        <v>6971</v>
      </c>
      <c r="E33" s="547">
        <v>7215</v>
      </c>
      <c r="F33" s="547">
        <v>7034</v>
      </c>
      <c r="G33" s="547">
        <v>6735</v>
      </c>
      <c r="H33" s="547">
        <v>7821</v>
      </c>
      <c r="I33" s="547">
        <v>8890</v>
      </c>
      <c r="J33" s="547">
        <v>9227</v>
      </c>
      <c r="K33" s="554">
        <v>8653</v>
      </c>
      <c r="L33" s="554">
        <v>8530</v>
      </c>
      <c r="M33" s="554">
        <v>7508</v>
      </c>
      <c r="N33" s="1600">
        <v>6270</v>
      </c>
    </row>
    <row r="34" spans="1:14" x14ac:dyDescent="0.25">
      <c r="A34" s="553" t="s">
        <v>76</v>
      </c>
      <c r="B34" s="543" t="s">
        <v>77</v>
      </c>
      <c r="C34" s="598" t="s">
        <v>267</v>
      </c>
      <c r="D34" s="547">
        <v>567</v>
      </c>
      <c r="E34" s="547">
        <v>550</v>
      </c>
      <c r="F34" s="547">
        <v>560</v>
      </c>
      <c r="G34" s="547">
        <v>577</v>
      </c>
      <c r="H34" s="547">
        <v>681</v>
      </c>
      <c r="I34" s="547">
        <v>684</v>
      </c>
      <c r="J34" s="547">
        <v>646</v>
      </c>
      <c r="K34" s="554">
        <v>631</v>
      </c>
      <c r="L34" s="554">
        <v>517</v>
      </c>
      <c r="M34" s="554">
        <v>449</v>
      </c>
      <c r="N34" s="1600">
        <v>383</v>
      </c>
    </row>
    <row r="35" spans="1:14" x14ac:dyDescent="0.25">
      <c r="A35" s="553" t="s">
        <v>78</v>
      </c>
      <c r="B35" s="543" t="s">
        <v>79</v>
      </c>
      <c r="C35" s="598" t="s">
        <v>268</v>
      </c>
      <c r="D35" s="547">
        <v>227</v>
      </c>
      <c r="E35" s="547">
        <v>286</v>
      </c>
      <c r="F35" s="547">
        <v>230</v>
      </c>
      <c r="G35" s="547">
        <v>212</v>
      </c>
      <c r="H35" s="547">
        <v>247</v>
      </c>
      <c r="I35" s="547">
        <v>280</v>
      </c>
      <c r="J35" s="547">
        <v>317</v>
      </c>
      <c r="K35" s="554">
        <v>336</v>
      </c>
      <c r="L35" s="554">
        <v>329</v>
      </c>
      <c r="M35" s="554">
        <v>254</v>
      </c>
      <c r="N35" s="1600">
        <v>185</v>
      </c>
    </row>
    <row r="36" spans="1:14" x14ac:dyDescent="0.25">
      <c r="A36" s="553" t="s">
        <v>80</v>
      </c>
      <c r="B36" s="543" t="s">
        <v>81</v>
      </c>
      <c r="C36" s="598" t="s">
        <v>266</v>
      </c>
      <c r="D36" s="547">
        <v>154</v>
      </c>
      <c r="E36" s="547">
        <v>142</v>
      </c>
      <c r="F36" s="547">
        <v>122</v>
      </c>
      <c r="G36" s="547">
        <v>131</v>
      </c>
      <c r="H36" s="547">
        <v>146</v>
      </c>
      <c r="I36" s="547">
        <v>168</v>
      </c>
      <c r="J36" s="547">
        <v>239</v>
      </c>
      <c r="K36" s="554">
        <v>286</v>
      </c>
      <c r="L36" s="554">
        <v>261</v>
      </c>
      <c r="M36" s="554">
        <v>204</v>
      </c>
      <c r="N36" s="1600">
        <v>214</v>
      </c>
    </row>
    <row r="37" spans="1:14" x14ac:dyDescent="0.25">
      <c r="A37" s="553" t="s">
        <v>84</v>
      </c>
      <c r="B37" s="543" t="s">
        <v>85</v>
      </c>
      <c r="C37" s="598" t="s">
        <v>265</v>
      </c>
      <c r="D37" s="547">
        <v>1106</v>
      </c>
      <c r="E37" s="547">
        <v>1147</v>
      </c>
      <c r="F37" s="547">
        <v>1015</v>
      </c>
      <c r="G37" s="547">
        <v>1048</v>
      </c>
      <c r="H37" s="547">
        <v>1291</v>
      </c>
      <c r="I37" s="547">
        <v>1302</v>
      </c>
      <c r="J37" s="547">
        <v>1398</v>
      </c>
      <c r="K37" s="554">
        <v>1319</v>
      </c>
      <c r="L37" s="554">
        <v>1158</v>
      </c>
      <c r="M37" s="554">
        <v>1018</v>
      </c>
      <c r="N37" s="1600">
        <v>860</v>
      </c>
    </row>
    <row r="38" spans="1:14" x14ac:dyDescent="0.25">
      <c r="A38" s="553" t="s">
        <v>86</v>
      </c>
      <c r="B38" s="543" t="s">
        <v>87</v>
      </c>
      <c r="C38" s="598" t="s">
        <v>267</v>
      </c>
      <c r="D38" s="547">
        <v>444</v>
      </c>
      <c r="E38" s="547">
        <v>505</v>
      </c>
      <c r="F38" s="547">
        <v>543</v>
      </c>
      <c r="G38" s="547">
        <v>603</v>
      </c>
      <c r="H38" s="547">
        <v>843</v>
      </c>
      <c r="I38" s="547">
        <v>1006</v>
      </c>
      <c r="J38" s="547">
        <v>1133</v>
      </c>
      <c r="K38" s="554">
        <v>1048</v>
      </c>
      <c r="L38" s="554">
        <v>932</v>
      </c>
      <c r="M38" s="554">
        <v>648</v>
      </c>
      <c r="N38" s="1600">
        <v>381</v>
      </c>
    </row>
    <row r="39" spans="1:14" x14ac:dyDescent="0.25">
      <c r="A39" s="553" t="s">
        <v>92</v>
      </c>
      <c r="B39" s="543" t="s">
        <v>93</v>
      </c>
      <c r="C39" s="598" t="s">
        <v>268</v>
      </c>
      <c r="D39" s="547">
        <v>293</v>
      </c>
      <c r="E39" s="547">
        <v>237</v>
      </c>
      <c r="F39" s="547">
        <v>241</v>
      </c>
      <c r="G39" s="547">
        <v>214</v>
      </c>
      <c r="H39" s="547">
        <v>272</v>
      </c>
      <c r="I39" s="547">
        <v>282</v>
      </c>
      <c r="J39" s="547">
        <v>325</v>
      </c>
      <c r="K39" s="554">
        <v>284</v>
      </c>
      <c r="L39" s="554">
        <v>331</v>
      </c>
      <c r="M39" s="554">
        <v>223</v>
      </c>
      <c r="N39" s="1600">
        <v>174</v>
      </c>
    </row>
    <row r="40" spans="1:14" x14ac:dyDescent="0.25">
      <c r="A40" s="553" t="s">
        <v>94</v>
      </c>
      <c r="B40" s="543" t="s">
        <v>95</v>
      </c>
      <c r="C40" s="598" t="s">
        <v>264</v>
      </c>
      <c r="D40" s="547">
        <v>530</v>
      </c>
      <c r="E40" s="547">
        <v>530</v>
      </c>
      <c r="F40" s="547">
        <v>518</v>
      </c>
      <c r="G40" s="547">
        <v>543</v>
      </c>
      <c r="H40" s="547">
        <v>567</v>
      </c>
      <c r="I40" s="547">
        <v>668</v>
      </c>
      <c r="J40" s="547">
        <v>593</v>
      </c>
      <c r="K40" s="554">
        <v>543</v>
      </c>
      <c r="L40" s="554">
        <v>486</v>
      </c>
      <c r="M40" s="554">
        <v>528</v>
      </c>
      <c r="N40" s="1600">
        <v>535</v>
      </c>
    </row>
    <row r="41" spans="1:14" x14ac:dyDescent="0.25">
      <c r="A41" s="553" t="s">
        <v>96</v>
      </c>
      <c r="B41" s="543" t="s">
        <v>97</v>
      </c>
      <c r="C41" s="598" t="s">
        <v>266</v>
      </c>
      <c r="D41" s="547">
        <v>117</v>
      </c>
      <c r="E41" s="547">
        <v>166</v>
      </c>
      <c r="F41" s="547">
        <v>158</v>
      </c>
      <c r="G41" s="547">
        <v>178</v>
      </c>
      <c r="H41" s="547">
        <v>162</v>
      </c>
      <c r="I41" s="547">
        <v>222</v>
      </c>
      <c r="J41" s="547">
        <v>265</v>
      </c>
      <c r="K41" s="554">
        <v>230</v>
      </c>
      <c r="L41" s="554">
        <v>178</v>
      </c>
      <c r="M41" s="554">
        <v>121</v>
      </c>
      <c r="N41" s="1600">
        <v>127</v>
      </c>
    </row>
    <row r="42" spans="1:14" x14ac:dyDescent="0.25">
      <c r="A42" s="553" t="s">
        <v>98</v>
      </c>
      <c r="B42" s="543" t="s">
        <v>99</v>
      </c>
      <c r="C42" s="598" t="s">
        <v>268</v>
      </c>
      <c r="D42" s="547">
        <v>465</v>
      </c>
      <c r="E42" s="547">
        <v>481</v>
      </c>
      <c r="F42" s="547">
        <v>377</v>
      </c>
      <c r="G42" s="547">
        <v>253</v>
      </c>
      <c r="H42" s="547">
        <v>294</v>
      </c>
      <c r="I42" s="547">
        <v>312</v>
      </c>
      <c r="J42" s="547">
        <v>274</v>
      </c>
      <c r="K42" s="554">
        <v>263</v>
      </c>
      <c r="L42" s="554">
        <v>251</v>
      </c>
      <c r="M42" s="554">
        <v>251</v>
      </c>
      <c r="N42" s="1600">
        <v>196</v>
      </c>
    </row>
    <row r="43" spans="1:14" x14ac:dyDescent="0.25">
      <c r="A43" s="553" t="s">
        <v>100</v>
      </c>
      <c r="B43" s="543" t="s">
        <v>101</v>
      </c>
      <c r="C43" s="598" t="s">
        <v>267</v>
      </c>
      <c r="D43" s="547">
        <v>269</v>
      </c>
      <c r="E43" s="547">
        <v>305</v>
      </c>
      <c r="F43" s="547">
        <v>308</v>
      </c>
      <c r="G43" s="547">
        <v>248</v>
      </c>
      <c r="H43" s="547">
        <v>313</v>
      </c>
      <c r="I43" s="547">
        <v>328</v>
      </c>
      <c r="J43" s="547">
        <v>303</v>
      </c>
      <c r="K43" s="554">
        <v>286</v>
      </c>
      <c r="L43" s="554">
        <v>220</v>
      </c>
      <c r="M43" s="554">
        <v>202</v>
      </c>
      <c r="N43" s="1600">
        <v>246</v>
      </c>
    </row>
    <row r="44" spans="1:14" x14ac:dyDescent="0.25">
      <c r="A44" s="553" t="s">
        <v>102</v>
      </c>
      <c r="B44" s="543" t="s">
        <v>282</v>
      </c>
      <c r="C44" s="598" t="s">
        <v>264</v>
      </c>
      <c r="D44" s="547">
        <v>674</v>
      </c>
      <c r="E44" s="547">
        <v>824</v>
      </c>
      <c r="F44" s="547">
        <v>792</v>
      </c>
      <c r="G44" s="547">
        <v>851</v>
      </c>
      <c r="H44" s="547">
        <v>801</v>
      </c>
      <c r="I44" s="547">
        <v>824</v>
      </c>
      <c r="J44" s="547">
        <v>893</v>
      </c>
      <c r="K44" s="554">
        <v>803</v>
      </c>
      <c r="L44" s="554">
        <v>824</v>
      </c>
      <c r="M44" s="554">
        <v>834</v>
      </c>
      <c r="N44" s="1600">
        <v>707</v>
      </c>
    </row>
    <row r="45" spans="1:14" x14ac:dyDescent="0.25">
      <c r="A45" s="553" t="s">
        <v>104</v>
      </c>
      <c r="B45" s="543" t="s">
        <v>105</v>
      </c>
      <c r="C45" s="598" t="s">
        <v>265</v>
      </c>
      <c r="D45" s="547">
        <v>1533</v>
      </c>
      <c r="E45" s="547">
        <v>1532</v>
      </c>
      <c r="F45" s="547">
        <v>1472</v>
      </c>
      <c r="G45" s="547">
        <v>1418</v>
      </c>
      <c r="H45" s="547">
        <v>1374</v>
      </c>
      <c r="I45" s="547">
        <v>1362</v>
      </c>
      <c r="J45" s="547">
        <v>1324</v>
      </c>
      <c r="K45" s="554">
        <v>1150</v>
      </c>
      <c r="L45" s="554">
        <v>1053</v>
      </c>
      <c r="M45" s="554">
        <v>945</v>
      </c>
      <c r="N45" s="1600">
        <v>843</v>
      </c>
    </row>
    <row r="46" spans="1:14" x14ac:dyDescent="0.25">
      <c r="A46" s="553" t="s">
        <v>108</v>
      </c>
      <c r="B46" s="543" t="s">
        <v>109</v>
      </c>
      <c r="C46" s="598" t="s">
        <v>266</v>
      </c>
      <c r="D46" s="547">
        <v>794</v>
      </c>
      <c r="E46" s="547">
        <v>737</v>
      </c>
      <c r="F46" s="547">
        <v>708</v>
      </c>
      <c r="G46" s="547">
        <v>723</v>
      </c>
      <c r="H46" s="547">
        <v>820</v>
      </c>
      <c r="I46" s="547">
        <v>965</v>
      </c>
      <c r="J46" s="547">
        <v>988</v>
      </c>
      <c r="K46" s="554">
        <v>834</v>
      </c>
      <c r="L46" s="554">
        <v>731</v>
      </c>
      <c r="M46" s="554">
        <v>718</v>
      </c>
      <c r="N46" s="1600">
        <v>565</v>
      </c>
    </row>
    <row r="47" spans="1:14" x14ac:dyDescent="0.25">
      <c r="A47" s="553" t="s">
        <v>110</v>
      </c>
      <c r="B47" s="543" t="s">
        <v>111</v>
      </c>
      <c r="C47" s="598" t="s">
        <v>266</v>
      </c>
      <c r="D47" s="547">
        <v>6186</v>
      </c>
      <c r="E47" s="547">
        <v>6388</v>
      </c>
      <c r="F47" s="547">
        <v>6032</v>
      </c>
      <c r="G47" s="547">
        <v>5646</v>
      </c>
      <c r="H47" s="547">
        <v>6393</v>
      </c>
      <c r="I47" s="547">
        <v>7706</v>
      </c>
      <c r="J47" s="547">
        <v>7953</v>
      </c>
      <c r="K47" s="554">
        <v>7735</v>
      </c>
      <c r="L47" s="554">
        <v>6921</v>
      </c>
      <c r="M47" s="554">
        <v>6101</v>
      </c>
      <c r="N47" s="1600">
        <v>5482</v>
      </c>
    </row>
    <row r="48" spans="1:14" x14ac:dyDescent="0.25">
      <c r="A48" s="553" t="s">
        <v>112</v>
      </c>
      <c r="B48" s="543" t="s">
        <v>300</v>
      </c>
      <c r="C48" s="598" t="s">
        <v>265</v>
      </c>
      <c r="D48" s="547">
        <v>2840</v>
      </c>
      <c r="E48" s="547">
        <v>2769</v>
      </c>
      <c r="F48" s="547">
        <v>2605</v>
      </c>
      <c r="G48" s="547">
        <v>2515</v>
      </c>
      <c r="H48" s="547">
        <v>2783</v>
      </c>
      <c r="I48" s="547">
        <v>2992</v>
      </c>
      <c r="J48" s="547">
        <v>2932</v>
      </c>
      <c r="K48" s="554">
        <v>2620</v>
      </c>
      <c r="L48" s="554">
        <v>2347</v>
      </c>
      <c r="M48" s="554">
        <v>2085</v>
      </c>
      <c r="N48" s="1600">
        <v>1969</v>
      </c>
    </row>
    <row r="49" spans="1:14" x14ac:dyDescent="0.25">
      <c r="A49" s="553" t="s">
        <v>114</v>
      </c>
      <c r="B49" s="543" t="s">
        <v>115</v>
      </c>
      <c r="C49" s="598" t="s">
        <v>265</v>
      </c>
      <c r="D49" s="547">
        <v>21</v>
      </c>
      <c r="E49" s="547">
        <v>19</v>
      </c>
      <c r="F49" s="547">
        <v>11</v>
      </c>
      <c r="G49" s="547">
        <v>4</v>
      </c>
      <c r="H49" s="547">
        <v>4</v>
      </c>
      <c r="I49" s="547">
        <v>1</v>
      </c>
      <c r="J49" s="547">
        <v>6</v>
      </c>
      <c r="K49" s="554">
        <v>8</v>
      </c>
      <c r="L49" s="554">
        <v>12</v>
      </c>
      <c r="M49" s="554">
        <v>9</v>
      </c>
      <c r="N49" s="1600">
        <v>10</v>
      </c>
    </row>
    <row r="50" spans="1:14" x14ac:dyDescent="0.25">
      <c r="A50" s="553" t="s">
        <v>118</v>
      </c>
      <c r="B50" s="543" t="s">
        <v>270</v>
      </c>
      <c r="C50" s="598" t="s">
        <v>264</v>
      </c>
      <c r="D50" s="547">
        <v>655</v>
      </c>
      <c r="E50" s="547">
        <v>681</v>
      </c>
      <c r="F50" s="547">
        <v>635</v>
      </c>
      <c r="G50" s="547">
        <v>615</v>
      </c>
      <c r="H50" s="547">
        <v>711</v>
      </c>
      <c r="I50" s="547">
        <v>812</v>
      </c>
      <c r="J50" s="547">
        <v>832</v>
      </c>
      <c r="K50" s="554">
        <v>709</v>
      </c>
      <c r="L50" s="554">
        <v>632</v>
      </c>
      <c r="M50" s="554">
        <v>555</v>
      </c>
      <c r="N50" s="1600">
        <v>464</v>
      </c>
    </row>
    <row r="51" spans="1:14" x14ac:dyDescent="0.25">
      <c r="A51" s="553" t="s">
        <v>120</v>
      </c>
      <c r="B51" s="543" t="s">
        <v>121</v>
      </c>
      <c r="C51" s="598" t="s">
        <v>264</v>
      </c>
      <c r="D51" s="547">
        <v>624</v>
      </c>
      <c r="E51" s="547">
        <v>606</v>
      </c>
      <c r="F51" s="547">
        <v>522</v>
      </c>
      <c r="G51" s="547">
        <v>522</v>
      </c>
      <c r="H51" s="547">
        <v>624</v>
      </c>
      <c r="I51" s="547">
        <v>791</v>
      </c>
      <c r="J51" s="547">
        <v>820</v>
      </c>
      <c r="K51" s="554">
        <v>836</v>
      </c>
      <c r="L51" s="554">
        <v>881</v>
      </c>
      <c r="M51" s="554">
        <v>763</v>
      </c>
      <c r="N51" s="1600">
        <v>700</v>
      </c>
    </row>
    <row r="52" spans="1:14" x14ac:dyDescent="0.25">
      <c r="A52" s="553" t="s">
        <v>122</v>
      </c>
      <c r="B52" s="543" t="s">
        <v>287</v>
      </c>
      <c r="C52" s="598" t="s">
        <v>266</v>
      </c>
      <c r="D52" s="547">
        <v>163</v>
      </c>
      <c r="E52" s="547">
        <v>153</v>
      </c>
      <c r="F52" s="547">
        <v>130</v>
      </c>
      <c r="G52" s="547">
        <v>128</v>
      </c>
      <c r="H52" s="547">
        <v>147</v>
      </c>
      <c r="I52" s="547">
        <v>178</v>
      </c>
      <c r="J52" s="547">
        <v>162</v>
      </c>
      <c r="K52" s="554">
        <v>145</v>
      </c>
      <c r="L52" s="554">
        <v>133</v>
      </c>
      <c r="M52" s="554">
        <v>134</v>
      </c>
      <c r="N52" s="1600">
        <v>180</v>
      </c>
    </row>
    <row r="53" spans="1:14" x14ac:dyDescent="0.25">
      <c r="A53" s="553" t="s">
        <v>124</v>
      </c>
      <c r="B53" s="543" t="s">
        <v>125</v>
      </c>
      <c r="C53" s="598" t="s">
        <v>267</v>
      </c>
      <c r="D53" s="547">
        <v>176</v>
      </c>
      <c r="E53" s="547">
        <v>183</v>
      </c>
      <c r="F53" s="547">
        <v>209</v>
      </c>
      <c r="G53" s="547">
        <v>249</v>
      </c>
      <c r="H53" s="547">
        <v>234</v>
      </c>
      <c r="I53" s="547">
        <v>292</v>
      </c>
      <c r="J53" s="547">
        <v>330</v>
      </c>
      <c r="K53" s="554">
        <v>338</v>
      </c>
      <c r="L53" s="554">
        <v>367</v>
      </c>
      <c r="M53" s="554">
        <v>361</v>
      </c>
      <c r="N53" s="1600">
        <v>258</v>
      </c>
    </row>
    <row r="54" spans="1:14" x14ac:dyDescent="0.25">
      <c r="A54" s="553" t="s">
        <v>126</v>
      </c>
      <c r="B54" s="543" t="s">
        <v>127</v>
      </c>
      <c r="C54" s="598" t="s">
        <v>266</v>
      </c>
      <c r="D54" s="547">
        <v>241</v>
      </c>
      <c r="E54" s="547">
        <v>189</v>
      </c>
      <c r="F54" s="547">
        <v>193</v>
      </c>
      <c r="G54" s="547">
        <v>164</v>
      </c>
      <c r="H54" s="547">
        <v>215</v>
      </c>
      <c r="I54" s="547">
        <v>296</v>
      </c>
      <c r="J54" s="547">
        <v>295</v>
      </c>
      <c r="K54" s="554">
        <v>246</v>
      </c>
      <c r="L54" s="554">
        <v>231</v>
      </c>
      <c r="M54" s="554">
        <v>217</v>
      </c>
      <c r="N54" s="1600">
        <v>167</v>
      </c>
    </row>
    <row r="55" spans="1:14" x14ac:dyDescent="0.25">
      <c r="A55" s="553" t="s">
        <v>128</v>
      </c>
      <c r="B55" s="543" t="s">
        <v>129</v>
      </c>
      <c r="C55" s="598" t="s">
        <v>266</v>
      </c>
      <c r="D55" s="547">
        <v>286</v>
      </c>
      <c r="E55" s="547">
        <v>268</v>
      </c>
      <c r="F55" s="547">
        <v>216</v>
      </c>
      <c r="G55" s="547">
        <v>195</v>
      </c>
      <c r="H55" s="547">
        <v>250</v>
      </c>
      <c r="I55" s="547">
        <v>236</v>
      </c>
      <c r="J55" s="547">
        <v>250</v>
      </c>
      <c r="K55" s="554">
        <v>295</v>
      </c>
      <c r="L55" s="554">
        <v>216</v>
      </c>
      <c r="M55" s="554">
        <v>196</v>
      </c>
      <c r="N55" s="1600">
        <v>177</v>
      </c>
    </row>
    <row r="56" spans="1:14" x14ac:dyDescent="0.25">
      <c r="A56" s="553" t="s">
        <v>130</v>
      </c>
      <c r="B56" s="543" t="s">
        <v>131</v>
      </c>
      <c r="C56" s="598" t="s">
        <v>268</v>
      </c>
      <c r="D56" s="547">
        <v>1634</v>
      </c>
      <c r="E56" s="547">
        <v>1562</v>
      </c>
      <c r="F56" s="547">
        <v>1426</v>
      </c>
      <c r="G56" s="547">
        <v>1267</v>
      </c>
      <c r="H56" s="547">
        <v>1288</v>
      </c>
      <c r="I56" s="547">
        <v>1422</v>
      </c>
      <c r="J56" s="547">
        <v>1426</v>
      </c>
      <c r="K56" s="554">
        <v>1403</v>
      </c>
      <c r="L56" s="554">
        <v>1402</v>
      </c>
      <c r="M56" s="554">
        <v>1262</v>
      </c>
      <c r="N56" s="1600">
        <v>1098</v>
      </c>
    </row>
    <row r="57" spans="1:14" x14ac:dyDescent="0.25">
      <c r="A57" s="553" t="s">
        <v>132</v>
      </c>
      <c r="B57" s="543" t="s">
        <v>133</v>
      </c>
      <c r="C57" s="598" t="s">
        <v>267</v>
      </c>
      <c r="D57" s="547">
        <v>1331</v>
      </c>
      <c r="E57" s="547">
        <v>1415</v>
      </c>
      <c r="F57" s="547">
        <v>1409</v>
      </c>
      <c r="G57" s="547">
        <v>1550</v>
      </c>
      <c r="H57" s="547">
        <v>1690</v>
      </c>
      <c r="I57" s="547">
        <v>1838</v>
      </c>
      <c r="J57" s="547">
        <v>1554</v>
      </c>
      <c r="K57" s="554">
        <v>1523</v>
      </c>
      <c r="L57" s="554">
        <v>1438</v>
      </c>
      <c r="M57" s="554">
        <v>1298</v>
      </c>
      <c r="N57" s="1600">
        <v>1274</v>
      </c>
    </row>
    <row r="58" spans="1:14" x14ac:dyDescent="0.25">
      <c r="A58" s="553" t="s">
        <v>134</v>
      </c>
      <c r="B58" s="543" t="s">
        <v>135</v>
      </c>
      <c r="C58" s="598" t="s">
        <v>267</v>
      </c>
      <c r="D58" s="547">
        <v>558</v>
      </c>
      <c r="E58" s="547">
        <v>568</v>
      </c>
      <c r="F58" s="547">
        <v>558</v>
      </c>
      <c r="G58" s="547">
        <v>503</v>
      </c>
      <c r="H58" s="547">
        <v>578</v>
      </c>
      <c r="I58" s="547">
        <v>621</v>
      </c>
      <c r="J58" s="547">
        <v>651</v>
      </c>
      <c r="K58" s="554">
        <v>567</v>
      </c>
      <c r="L58" s="554">
        <v>603</v>
      </c>
      <c r="M58" s="554">
        <v>539</v>
      </c>
      <c r="N58" s="1600">
        <v>486</v>
      </c>
    </row>
    <row r="59" spans="1:14" x14ac:dyDescent="0.25">
      <c r="A59" s="553" t="s">
        <v>136</v>
      </c>
      <c r="B59" s="543" t="s">
        <v>137</v>
      </c>
      <c r="C59" s="598" t="s">
        <v>266</v>
      </c>
      <c r="D59" s="547">
        <v>225</v>
      </c>
      <c r="E59" s="547">
        <v>210</v>
      </c>
      <c r="F59" s="547">
        <v>187</v>
      </c>
      <c r="G59" s="547">
        <v>216</v>
      </c>
      <c r="H59" s="547">
        <v>229</v>
      </c>
      <c r="I59" s="547">
        <v>285</v>
      </c>
      <c r="J59" s="547">
        <v>349</v>
      </c>
      <c r="K59" s="554">
        <v>412</v>
      </c>
      <c r="L59" s="554">
        <v>336</v>
      </c>
      <c r="M59" s="554">
        <v>326</v>
      </c>
      <c r="N59" s="1600">
        <v>211</v>
      </c>
    </row>
    <row r="60" spans="1:14" x14ac:dyDescent="0.25">
      <c r="A60" s="553" t="s">
        <v>140</v>
      </c>
      <c r="B60" s="543" t="s">
        <v>141</v>
      </c>
      <c r="C60" s="598" t="s">
        <v>267</v>
      </c>
      <c r="D60" s="547">
        <v>182</v>
      </c>
      <c r="E60" s="547">
        <v>154</v>
      </c>
      <c r="F60" s="547">
        <v>187</v>
      </c>
      <c r="G60" s="547">
        <v>161</v>
      </c>
      <c r="H60" s="547">
        <v>197</v>
      </c>
      <c r="I60" s="547">
        <v>199</v>
      </c>
      <c r="J60" s="547">
        <v>173</v>
      </c>
      <c r="K60" s="554">
        <v>152</v>
      </c>
      <c r="L60" s="554">
        <v>143</v>
      </c>
      <c r="M60" s="554">
        <v>135</v>
      </c>
      <c r="N60" s="1600">
        <v>132</v>
      </c>
    </row>
    <row r="61" spans="1:14" x14ac:dyDescent="0.25">
      <c r="A61" s="553" t="s">
        <v>146</v>
      </c>
      <c r="B61" s="543" t="s">
        <v>147</v>
      </c>
      <c r="C61" s="598" t="s">
        <v>264</v>
      </c>
      <c r="D61" s="547">
        <v>118</v>
      </c>
      <c r="E61" s="547">
        <v>108</v>
      </c>
      <c r="F61" s="547">
        <v>110</v>
      </c>
      <c r="G61" s="547">
        <v>83</v>
      </c>
      <c r="H61" s="547">
        <v>107</v>
      </c>
      <c r="I61" s="547">
        <v>115</v>
      </c>
      <c r="J61" s="547">
        <v>121</v>
      </c>
      <c r="K61" s="554">
        <v>113</v>
      </c>
      <c r="L61" s="554">
        <v>123</v>
      </c>
      <c r="M61" s="554">
        <v>92</v>
      </c>
      <c r="N61" s="1600">
        <v>81</v>
      </c>
    </row>
    <row r="62" spans="1:14" x14ac:dyDescent="0.25">
      <c r="A62" s="553" t="s">
        <v>148</v>
      </c>
      <c r="B62" s="543" t="s">
        <v>149</v>
      </c>
      <c r="C62" s="598" t="s">
        <v>265</v>
      </c>
      <c r="D62" s="547">
        <v>932</v>
      </c>
      <c r="E62" s="547">
        <v>969</v>
      </c>
      <c r="F62" s="547">
        <v>862</v>
      </c>
      <c r="G62" s="547">
        <v>862</v>
      </c>
      <c r="H62" s="547">
        <v>930</v>
      </c>
      <c r="I62" s="547">
        <v>1009</v>
      </c>
      <c r="J62" s="547">
        <v>920</v>
      </c>
      <c r="K62" s="554">
        <v>814</v>
      </c>
      <c r="L62" s="554">
        <v>814</v>
      </c>
      <c r="M62" s="554">
        <v>813</v>
      </c>
      <c r="N62" s="1600">
        <v>630</v>
      </c>
    </row>
    <row r="63" spans="1:14" x14ac:dyDescent="0.25">
      <c r="A63" s="553" t="s">
        <v>150</v>
      </c>
      <c r="B63" s="543" t="s">
        <v>151</v>
      </c>
      <c r="C63" s="598" t="s">
        <v>266</v>
      </c>
      <c r="D63" s="547">
        <v>178</v>
      </c>
      <c r="E63" s="547">
        <v>215</v>
      </c>
      <c r="F63" s="547">
        <v>195</v>
      </c>
      <c r="G63" s="547">
        <v>146</v>
      </c>
      <c r="H63" s="547">
        <v>221</v>
      </c>
      <c r="I63" s="547">
        <v>258</v>
      </c>
      <c r="J63" s="547">
        <v>222</v>
      </c>
      <c r="K63" s="554">
        <v>253</v>
      </c>
      <c r="L63" s="554">
        <v>282</v>
      </c>
      <c r="M63" s="554">
        <v>331</v>
      </c>
      <c r="N63" s="1600">
        <v>232</v>
      </c>
    </row>
    <row r="64" spans="1:14" x14ac:dyDescent="0.25">
      <c r="A64" s="553" t="s">
        <v>152</v>
      </c>
      <c r="B64" s="543" t="s">
        <v>153</v>
      </c>
      <c r="C64" s="598" t="s">
        <v>268</v>
      </c>
      <c r="D64" s="547">
        <v>1868</v>
      </c>
      <c r="E64" s="547">
        <v>1987</v>
      </c>
      <c r="F64" s="547">
        <v>1890</v>
      </c>
      <c r="G64" s="547">
        <v>1717</v>
      </c>
      <c r="H64" s="547">
        <v>1897</v>
      </c>
      <c r="I64" s="547">
        <v>2045</v>
      </c>
      <c r="J64" s="547">
        <v>2069</v>
      </c>
      <c r="K64" s="554">
        <v>1851</v>
      </c>
      <c r="L64" s="554">
        <v>1570</v>
      </c>
      <c r="M64" s="554">
        <v>1421</v>
      </c>
      <c r="N64" s="1600">
        <v>1129</v>
      </c>
    </row>
    <row r="65" spans="1:14" x14ac:dyDescent="0.25">
      <c r="A65" s="553" t="s">
        <v>154</v>
      </c>
      <c r="B65" s="543" t="s">
        <v>155</v>
      </c>
      <c r="C65" s="598" t="s">
        <v>265</v>
      </c>
      <c r="D65" s="547">
        <v>173</v>
      </c>
      <c r="E65" s="547">
        <v>182</v>
      </c>
      <c r="F65" s="547">
        <v>225</v>
      </c>
      <c r="G65" s="547">
        <v>172</v>
      </c>
      <c r="H65" s="547">
        <v>214</v>
      </c>
      <c r="I65" s="547">
        <v>229</v>
      </c>
      <c r="J65" s="547">
        <v>212</v>
      </c>
      <c r="K65" s="554">
        <v>241</v>
      </c>
      <c r="L65" s="554">
        <v>217</v>
      </c>
      <c r="M65" s="554">
        <v>189</v>
      </c>
      <c r="N65" s="1600">
        <v>189</v>
      </c>
    </row>
    <row r="66" spans="1:14" x14ac:dyDescent="0.25">
      <c r="A66" s="553" t="s">
        <v>156</v>
      </c>
      <c r="B66" s="543" t="s">
        <v>157</v>
      </c>
      <c r="C66" s="598" t="s">
        <v>266</v>
      </c>
      <c r="D66" s="547">
        <v>219</v>
      </c>
      <c r="E66" s="547">
        <v>197</v>
      </c>
      <c r="F66" s="547">
        <v>159</v>
      </c>
      <c r="G66" s="547">
        <v>166</v>
      </c>
      <c r="H66" s="547">
        <v>197</v>
      </c>
      <c r="I66" s="547">
        <v>198</v>
      </c>
      <c r="J66" s="547">
        <v>238</v>
      </c>
      <c r="K66" s="554">
        <v>266</v>
      </c>
      <c r="L66" s="554">
        <v>219</v>
      </c>
      <c r="M66" s="554">
        <v>196</v>
      </c>
      <c r="N66" s="1600">
        <v>196</v>
      </c>
    </row>
    <row r="67" spans="1:14" x14ac:dyDescent="0.25">
      <c r="A67" s="553" t="s">
        <v>162</v>
      </c>
      <c r="B67" s="543" t="s">
        <v>163</v>
      </c>
      <c r="C67" s="598" t="s">
        <v>264</v>
      </c>
      <c r="D67" s="547">
        <v>587</v>
      </c>
      <c r="E67" s="547">
        <v>621</v>
      </c>
      <c r="F67" s="547">
        <v>596</v>
      </c>
      <c r="G67" s="547">
        <v>557</v>
      </c>
      <c r="H67" s="547">
        <v>560</v>
      </c>
      <c r="I67" s="547">
        <v>561</v>
      </c>
      <c r="J67" s="547">
        <v>615</v>
      </c>
      <c r="K67" s="554">
        <v>552</v>
      </c>
      <c r="L67" s="554">
        <v>491</v>
      </c>
      <c r="M67" s="554">
        <v>428</v>
      </c>
      <c r="N67" s="1600">
        <v>378</v>
      </c>
    </row>
    <row r="68" spans="1:14" x14ac:dyDescent="0.25">
      <c r="A68" s="553" t="s">
        <v>164</v>
      </c>
      <c r="B68" s="543" t="s">
        <v>165</v>
      </c>
      <c r="C68" s="598" t="s">
        <v>266</v>
      </c>
      <c r="D68" s="547">
        <v>199</v>
      </c>
      <c r="E68" s="547">
        <v>187</v>
      </c>
      <c r="F68" s="547">
        <v>186</v>
      </c>
      <c r="G68" s="547">
        <v>174</v>
      </c>
      <c r="H68" s="547">
        <v>147</v>
      </c>
      <c r="I68" s="547">
        <v>144</v>
      </c>
      <c r="J68" s="547">
        <v>168</v>
      </c>
      <c r="K68" s="554">
        <v>168</v>
      </c>
      <c r="L68" s="554">
        <v>194</v>
      </c>
      <c r="M68" s="554">
        <v>182</v>
      </c>
      <c r="N68" s="1600">
        <v>177</v>
      </c>
    </row>
    <row r="69" spans="1:14" x14ac:dyDescent="0.25">
      <c r="A69" s="553" t="s">
        <v>168</v>
      </c>
      <c r="B69" s="543" t="s">
        <v>169</v>
      </c>
      <c r="C69" s="598" t="s">
        <v>266</v>
      </c>
      <c r="D69" s="547">
        <v>572</v>
      </c>
      <c r="E69" s="547">
        <v>683</v>
      </c>
      <c r="F69" s="547">
        <v>754</v>
      </c>
      <c r="G69" s="547">
        <v>692</v>
      </c>
      <c r="H69" s="547">
        <v>686</v>
      </c>
      <c r="I69" s="547">
        <v>652</v>
      </c>
      <c r="J69" s="547">
        <v>719</v>
      </c>
      <c r="K69" s="554">
        <v>730</v>
      </c>
      <c r="L69" s="554">
        <v>737</v>
      </c>
      <c r="M69" s="554">
        <v>653</v>
      </c>
      <c r="N69" s="1600">
        <v>522</v>
      </c>
    </row>
    <row r="70" spans="1:14" x14ac:dyDescent="0.25">
      <c r="A70" s="553" t="s">
        <v>170</v>
      </c>
      <c r="B70" s="543" t="s">
        <v>171</v>
      </c>
      <c r="C70" s="598" t="s">
        <v>267</v>
      </c>
      <c r="D70" s="547">
        <v>475</v>
      </c>
      <c r="E70" s="547">
        <v>447</v>
      </c>
      <c r="F70" s="547">
        <v>404</v>
      </c>
      <c r="G70" s="547">
        <v>421</v>
      </c>
      <c r="H70" s="547">
        <v>434</v>
      </c>
      <c r="I70" s="547">
        <v>463</v>
      </c>
      <c r="J70" s="547">
        <v>466</v>
      </c>
      <c r="K70" s="554">
        <v>433</v>
      </c>
      <c r="L70" s="554">
        <v>393</v>
      </c>
      <c r="M70" s="554">
        <v>408</v>
      </c>
      <c r="N70" s="1600">
        <v>437</v>
      </c>
    </row>
    <row r="71" spans="1:14" x14ac:dyDescent="0.25">
      <c r="A71" s="553" t="s">
        <v>172</v>
      </c>
      <c r="B71" s="543" t="s">
        <v>173</v>
      </c>
      <c r="C71" s="598" t="s">
        <v>267</v>
      </c>
      <c r="D71" s="547">
        <v>384</v>
      </c>
      <c r="E71" s="547">
        <v>396</v>
      </c>
      <c r="F71" s="547">
        <v>326</v>
      </c>
      <c r="G71" s="547">
        <v>289</v>
      </c>
      <c r="H71" s="547">
        <v>428</v>
      </c>
      <c r="I71" s="547">
        <v>555</v>
      </c>
      <c r="J71" s="547">
        <v>522</v>
      </c>
      <c r="K71" s="554">
        <v>443</v>
      </c>
      <c r="L71" s="554">
        <v>385</v>
      </c>
      <c r="M71" s="554">
        <v>323</v>
      </c>
      <c r="N71" s="1600">
        <v>237</v>
      </c>
    </row>
    <row r="72" spans="1:14" x14ac:dyDescent="0.25">
      <c r="A72" s="553" t="s">
        <v>174</v>
      </c>
      <c r="B72" s="543" t="s">
        <v>175</v>
      </c>
      <c r="C72" s="598" t="s">
        <v>268</v>
      </c>
      <c r="D72" s="547">
        <v>749</v>
      </c>
      <c r="E72" s="547">
        <v>780</v>
      </c>
      <c r="F72" s="547">
        <v>731</v>
      </c>
      <c r="G72" s="547">
        <v>664</v>
      </c>
      <c r="H72" s="547">
        <v>653</v>
      </c>
      <c r="I72" s="547">
        <v>614</v>
      </c>
      <c r="J72" s="547">
        <v>623</v>
      </c>
      <c r="K72" s="554">
        <v>664</v>
      </c>
      <c r="L72" s="554">
        <v>539</v>
      </c>
      <c r="M72" s="554">
        <v>508</v>
      </c>
      <c r="N72" s="1600">
        <v>438</v>
      </c>
    </row>
    <row r="73" spans="1:14" x14ac:dyDescent="0.25">
      <c r="A73" s="553" t="s">
        <v>178</v>
      </c>
      <c r="B73" s="543" t="s">
        <v>179</v>
      </c>
      <c r="C73" s="598" t="s">
        <v>265</v>
      </c>
      <c r="D73" s="547">
        <v>1510</v>
      </c>
      <c r="E73" s="547">
        <v>1453</v>
      </c>
      <c r="F73" s="547">
        <v>1360</v>
      </c>
      <c r="G73" s="547">
        <v>1292</v>
      </c>
      <c r="H73" s="547">
        <v>1380</v>
      </c>
      <c r="I73" s="547">
        <v>1418</v>
      </c>
      <c r="J73" s="547">
        <v>1355</v>
      </c>
      <c r="K73" s="554">
        <v>1273</v>
      </c>
      <c r="L73" s="554">
        <v>1191</v>
      </c>
      <c r="M73" s="554">
        <v>1137</v>
      </c>
      <c r="N73" s="1600">
        <v>940</v>
      </c>
    </row>
    <row r="74" spans="1:14" x14ac:dyDescent="0.25">
      <c r="A74" s="553" t="s">
        <v>182</v>
      </c>
      <c r="B74" s="543" t="s">
        <v>183</v>
      </c>
      <c r="C74" s="598" t="s">
        <v>266</v>
      </c>
      <c r="D74" s="547">
        <v>186</v>
      </c>
      <c r="E74" s="547">
        <v>217</v>
      </c>
      <c r="F74" s="547">
        <v>169</v>
      </c>
      <c r="G74" s="547">
        <v>183</v>
      </c>
      <c r="H74" s="547">
        <v>192</v>
      </c>
      <c r="I74" s="547">
        <v>188</v>
      </c>
      <c r="J74" s="547">
        <v>268</v>
      </c>
      <c r="K74" s="554">
        <v>244</v>
      </c>
      <c r="L74" s="554">
        <v>246</v>
      </c>
      <c r="M74" s="554">
        <v>194</v>
      </c>
      <c r="N74" s="1600">
        <v>176</v>
      </c>
    </row>
    <row r="75" spans="1:14" x14ac:dyDescent="0.25">
      <c r="A75" s="553" t="s">
        <v>184</v>
      </c>
      <c r="B75" s="543" t="s">
        <v>185</v>
      </c>
      <c r="C75" s="598" t="s">
        <v>266</v>
      </c>
      <c r="D75" s="547">
        <v>687</v>
      </c>
      <c r="E75" s="547">
        <v>799</v>
      </c>
      <c r="F75" s="547">
        <v>779</v>
      </c>
      <c r="G75" s="547">
        <v>726</v>
      </c>
      <c r="H75" s="547">
        <v>729</v>
      </c>
      <c r="I75" s="547">
        <v>822</v>
      </c>
      <c r="J75" s="547">
        <v>795</v>
      </c>
      <c r="K75" s="554">
        <v>700</v>
      </c>
      <c r="L75" s="554">
        <v>766</v>
      </c>
      <c r="M75" s="554">
        <v>680</v>
      </c>
      <c r="N75" s="1600">
        <v>563</v>
      </c>
    </row>
    <row r="76" spans="1:14" x14ac:dyDescent="0.25">
      <c r="A76" s="553" t="s">
        <v>186</v>
      </c>
      <c r="B76" s="543" t="s">
        <v>187</v>
      </c>
      <c r="C76" s="598" t="s">
        <v>264</v>
      </c>
      <c r="D76" s="547">
        <v>472</v>
      </c>
      <c r="E76" s="547">
        <v>535</v>
      </c>
      <c r="F76" s="547">
        <v>522</v>
      </c>
      <c r="G76" s="547">
        <v>508</v>
      </c>
      <c r="H76" s="547">
        <v>558</v>
      </c>
      <c r="I76" s="547">
        <v>546</v>
      </c>
      <c r="J76" s="547">
        <v>502</v>
      </c>
      <c r="K76" s="554">
        <v>465</v>
      </c>
      <c r="L76" s="554">
        <v>471</v>
      </c>
      <c r="M76" s="554">
        <v>466</v>
      </c>
      <c r="N76" s="1600">
        <v>510</v>
      </c>
    </row>
    <row r="77" spans="1:14" x14ac:dyDescent="0.25">
      <c r="A77" s="553" t="s">
        <v>188</v>
      </c>
      <c r="B77" s="543" t="s">
        <v>189</v>
      </c>
      <c r="C77" s="598" t="s">
        <v>267</v>
      </c>
      <c r="D77" s="547">
        <v>6216</v>
      </c>
      <c r="E77" s="547">
        <v>6226</v>
      </c>
      <c r="F77" s="547">
        <v>5952</v>
      </c>
      <c r="G77" s="547">
        <v>5958</v>
      </c>
      <c r="H77" s="547">
        <v>6900</v>
      </c>
      <c r="I77" s="547">
        <v>7959</v>
      </c>
      <c r="J77" s="547">
        <v>7877</v>
      </c>
      <c r="K77" s="554">
        <v>7093</v>
      </c>
      <c r="L77" s="554">
        <v>6379</v>
      </c>
      <c r="M77" s="554">
        <v>5702</v>
      </c>
      <c r="N77" s="1600">
        <v>4887</v>
      </c>
    </row>
    <row r="78" spans="1:14" x14ac:dyDescent="0.25">
      <c r="A78" s="553" t="s">
        <v>190</v>
      </c>
      <c r="B78" s="543" t="s">
        <v>191</v>
      </c>
      <c r="C78" s="598" t="s">
        <v>268</v>
      </c>
      <c r="D78" s="547">
        <v>1078</v>
      </c>
      <c r="E78" s="547">
        <v>988</v>
      </c>
      <c r="F78" s="547">
        <v>1030</v>
      </c>
      <c r="G78" s="547">
        <v>954</v>
      </c>
      <c r="H78" s="547">
        <v>992</v>
      </c>
      <c r="I78" s="547">
        <v>1043</v>
      </c>
      <c r="J78" s="547">
        <v>1048</v>
      </c>
      <c r="K78" s="554">
        <v>992</v>
      </c>
      <c r="L78" s="554">
        <v>866</v>
      </c>
      <c r="M78" s="554">
        <v>814</v>
      </c>
      <c r="N78" s="1600">
        <v>654</v>
      </c>
    </row>
    <row r="79" spans="1:14" x14ac:dyDescent="0.25">
      <c r="A79" s="553" t="s">
        <v>194</v>
      </c>
      <c r="B79" s="543" t="s">
        <v>195</v>
      </c>
      <c r="C79" s="598" t="s">
        <v>267</v>
      </c>
      <c r="D79" s="547">
        <v>41</v>
      </c>
      <c r="E79" s="547">
        <v>26</v>
      </c>
      <c r="F79" s="547">
        <v>26</v>
      </c>
      <c r="G79" s="547">
        <v>51</v>
      </c>
      <c r="H79" s="547">
        <v>54</v>
      </c>
      <c r="I79" s="547">
        <v>29</v>
      </c>
      <c r="J79" s="547">
        <v>38</v>
      </c>
      <c r="K79" s="554">
        <v>47</v>
      </c>
      <c r="L79" s="554">
        <v>66</v>
      </c>
      <c r="M79" s="554">
        <v>54</v>
      </c>
      <c r="N79" s="1600">
        <v>52</v>
      </c>
    </row>
    <row r="80" spans="1:14" x14ac:dyDescent="0.25">
      <c r="A80" s="553" t="s">
        <v>198</v>
      </c>
      <c r="B80" s="543" t="s">
        <v>272</v>
      </c>
      <c r="C80" s="598" t="s">
        <v>266</v>
      </c>
      <c r="D80" s="547">
        <v>255</v>
      </c>
      <c r="E80" s="547">
        <v>236</v>
      </c>
      <c r="F80" s="547">
        <v>218</v>
      </c>
      <c r="G80" s="547">
        <v>190</v>
      </c>
      <c r="H80" s="547">
        <v>213</v>
      </c>
      <c r="I80" s="547">
        <v>212</v>
      </c>
      <c r="J80" s="547">
        <v>198</v>
      </c>
      <c r="K80" s="554">
        <v>208</v>
      </c>
      <c r="L80" s="554">
        <v>227</v>
      </c>
      <c r="M80" s="554">
        <v>216</v>
      </c>
      <c r="N80" s="1600">
        <v>183</v>
      </c>
    </row>
    <row r="81" spans="1:14" x14ac:dyDescent="0.25">
      <c r="A81" s="553" t="s">
        <v>202</v>
      </c>
      <c r="B81" s="543" t="s">
        <v>301</v>
      </c>
      <c r="C81" s="598" t="s">
        <v>265</v>
      </c>
      <c r="D81" s="547">
        <v>1383</v>
      </c>
      <c r="E81" s="547">
        <v>1386</v>
      </c>
      <c r="F81" s="547">
        <v>1438</v>
      </c>
      <c r="G81" s="547">
        <v>1467</v>
      </c>
      <c r="H81" s="547">
        <v>1623</v>
      </c>
      <c r="I81" s="547">
        <v>1762</v>
      </c>
      <c r="J81" s="547">
        <v>1720</v>
      </c>
      <c r="K81" s="554">
        <v>1527</v>
      </c>
      <c r="L81" s="554">
        <v>1394</v>
      </c>
      <c r="M81" s="554">
        <v>1281</v>
      </c>
      <c r="N81" s="1600">
        <v>1056</v>
      </c>
    </row>
    <row r="82" spans="1:14" x14ac:dyDescent="0.25">
      <c r="A82" s="553" t="s">
        <v>204</v>
      </c>
      <c r="B82" s="543" t="s">
        <v>293</v>
      </c>
      <c r="C82" s="598" t="s">
        <v>265</v>
      </c>
      <c r="D82" s="547">
        <v>470</v>
      </c>
      <c r="E82" s="547">
        <v>430</v>
      </c>
      <c r="F82" s="547">
        <v>383</v>
      </c>
      <c r="G82" s="547">
        <v>330</v>
      </c>
      <c r="H82" s="547">
        <v>434</v>
      </c>
      <c r="I82" s="547">
        <v>443</v>
      </c>
      <c r="J82" s="547">
        <v>529</v>
      </c>
      <c r="K82" s="554">
        <v>420</v>
      </c>
      <c r="L82" s="554">
        <v>381</v>
      </c>
      <c r="M82" s="554">
        <v>396</v>
      </c>
      <c r="N82" s="1600">
        <v>303</v>
      </c>
    </row>
    <row r="83" spans="1:14" x14ac:dyDescent="0.25">
      <c r="A83" s="553" t="s">
        <v>206</v>
      </c>
      <c r="B83" s="543" t="s">
        <v>294</v>
      </c>
      <c r="C83" s="598" t="s">
        <v>267</v>
      </c>
      <c r="D83" s="547">
        <v>1680</v>
      </c>
      <c r="E83" s="547">
        <v>1967</v>
      </c>
      <c r="F83" s="547">
        <v>1842</v>
      </c>
      <c r="G83" s="547">
        <v>1676</v>
      </c>
      <c r="H83" s="547">
        <v>1758</v>
      </c>
      <c r="I83" s="547">
        <v>2208</v>
      </c>
      <c r="J83" s="547">
        <v>2243</v>
      </c>
      <c r="K83" s="554">
        <v>2001</v>
      </c>
      <c r="L83" s="554">
        <v>1886</v>
      </c>
      <c r="M83" s="554">
        <v>1636</v>
      </c>
      <c r="N83" s="1600">
        <v>1332</v>
      </c>
    </row>
    <row r="84" spans="1:14" x14ac:dyDescent="0.25">
      <c r="A84" s="553" t="s">
        <v>208</v>
      </c>
      <c r="B84" s="543" t="s">
        <v>209</v>
      </c>
      <c r="C84" s="598" t="s">
        <v>268</v>
      </c>
      <c r="D84" s="547">
        <v>1511</v>
      </c>
      <c r="E84" s="547">
        <v>1462</v>
      </c>
      <c r="F84" s="547">
        <v>1360</v>
      </c>
      <c r="G84" s="547">
        <v>1245</v>
      </c>
      <c r="H84" s="547">
        <v>1306</v>
      </c>
      <c r="I84" s="547">
        <v>1411</v>
      </c>
      <c r="J84" s="547">
        <v>1293</v>
      </c>
      <c r="K84" s="554">
        <v>1113</v>
      </c>
      <c r="L84" s="554">
        <v>1094</v>
      </c>
      <c r="M84" s="554">
        <v>1050</v>
      </c>
      <c r="N84" s="1600">
        <v>836</v>
      </c>
    </row>
    <row r="85" spans="1:14" x14ac:dyDescent="0.25">
      <c r="A85" s="553" t="s">
        <v>210</v>
      </c>
      <c r="B85" s="543" t="s">
        <v>211</v>
      </c>
      <c r="C85" s="598" t="s">
        <v>268</v>
      </c>
      <c r="D85" s="547">
        <v>1054</v>
      </c>
      <c r="E85" s="547">
        <v>983</v>
      </c>
      <c r="F85" s="547">
        <v>991</v>
      </c>
      <c r="G85" s="547">
        <v>916</v>
      </c>
      <c r="H85" s="547">
        <v>1020</v>
      </c>
      <c r="I85" s="547">
        <v>1100</v>
      </c>
      <c r="J85" s="547">
        <v>1051</v>
      </c>
      <c r="K85" s="554">
        <v>963</v>
      </c>
      <c r="L85" s="554">
        <v>829</v>
      </c>
      <c r="M85" s="554">
        <v>768</v>
      </c>
      <c r="N85" s="1600">
        <v>700</v>
      </c>
    </row>
    <row r="86" spans="1:14" x14ac:dyDescent="0.25">
      <c r="A86" s="553" t="s">
        <v>212</v>
      </c>
      <c r="B86" s="543" t="s">
        <v>213</v>
      </c>
      <c r="C86" s="598" t="s">
        <v>267</v>
      </c>
      <c r="D86" s="547">
        <v>244</v>
      </c>
      <c r="E86" s="547">
        <v>287</v>
      </c>
      <c r="F86" s="547">
        <v>227</v>
      </c>
      <c r="G86" s="547">
        <v>244</v>
      </c>
      <c r="H86" s="547">
        <v>358</v>
      </c>
      <c r="I86" s="547">
        <v>320</v>
      </c>
      <c r="J86" s="547">
        <v>386</v>
      </c>
      <c r="K86" s="554">
        <v>397</v>
      </c>
      <c r="L86" s="554">
        <v>329</v>
      </c>
      <c r="M86" s="554">
        <v>297</v>
      </c>
      <c r="N86" s="1600">
        <v>316</v>
      </c>
    </row>
    <row r="87" spans="1:14" x14ac:dyDescent="0.25">
      <c r="A87" s="553" t="s">
        <v>214</v>
      </c>
      <c r="B87" s="543" t="s">
        <v>215</v>
      </c>
      <c r="C87" s="598" t="s">
        <v>268</v>
      </c>
      <c r="D87" s="547">
        <v>925</v>
      </c>
      <c r="E87" s="547">
        <v>967</v>
      </c>
      <c r="F87" s="547">
        <v>907</v>
      </c>
      <c r="G87" s="547">
        <v>867</v>
      </c>
      <c r="H87" s="547">
        <v>1069</v>
      </c>
      <c r="I87" s="547">
        <v>1173</v>
      </c>
      <c r="J87" s="547">
        <v>1214</v>
      </c>
      <c r="K87" s="554">
        <v>1138</v>
      </c>
      <c r="L87" s="554">
        <v>1054</v>
      </c>
      <c r="M87" s="554">
        <v>976</v>
      </c>
      <c r="N87" s="1600">
        <v>893</v>
      </c>
    </row>
    <row r="88" spans="1:14" x14ac:dyDescent="0.25">
      <c r="A88" s="553" t="s">
        <v>216</v>
      </c>
      <c r="B88" s="543" t="s">
        <v>217</v>
      </c>
      <c r="C88" s="598" t="s">
        <v>264</v>
      </c>
      <c r="D88" s="547">
        <v>598</v>
      </c>
      <c r="E88" s="547">
        <v>637</v>
      </c>
      <c r="F88" s="547">
        <v>632</v>
      </c>
      <c r="G88" s="547">
        <v>654</v>
      </c>
      <c r="H88" s="547">
        <v>663</v>
      </c>
      <c r="I88" s="547">
        <v>663</v>
      </c>
      <c r="J88" s="547">
        <v>699</v>
      </c>
      <c r="K88" s="554">
        <v>676</v>
      </c>
      <c r="L88" s="554">
        <v>565</v>
      </c>
      <c r="M88" s="554">
        <v>463</v>
      </c>
      <c r="N88" s="1600">
        <v>376</v>
      </c>
    </row>
    <row r="89" spans="1:14" x14ac:dyDescent="0.25">
      <c r="A89" s="553" t="s">
        <v>218</v>
      </c>
      <c r="B89" s="543" t="s">
        <v>219</v>
      </c>
      <c r="C89" s="598" t="s">
        <v>267</v>
      </c>
      <c r="D89" s="547">
        <v>1133</v>
      </c>
      <c r="E89" s="547">
        <v>1185</v>
      </c>
      <c r="F89" s="547">
        <v>1321</v>
      </c>
      <c r="G89" s="547">
        <v>1442</v>
      </c>
      <c r="H89" s="547">
        <v>1898</v>
      </c>
      <c r="I89" s="547">
        <v>2280</v>
      </c>
      <c r="J89" s="547">
        <v>2468</v>
      </c>
      <c r="K89" s="554">
        <v>2343</v>
      </c>
      <c r="L89" s="554">
        <v>2149</v>
      </c>
      <c r="M89" s="554">
        <v>2019</v>
      </c>
      <c r="N89" s="1600">
        <v>1948</v>
      </c>
    </row>
    <row r="90" spans="1:14" x14ac:dyDescent="0.25">
      <c r="A90" s="553" t="s">
        <v>220</v>
      </c>
      <c r="B90" s="543" t="s">
        <v>221</v>
      </c>
      <c r="C90" s="598" t="s">
        <v>267</v>
      </c>
      <c r="D90" s="547">
        <v>1124</v>
      </c>
      <c r="E90" s="547">
        <v>1355</v>
      </c>
      <c r="F90" s="547">
        <v>1465</v>
      </c>
      <c r="G90" s="547">
        <v>1623</v>
      </c>
      <c r="H90" s="547">
        <v>1806</v>
      </c>
      <c r="I90" s="547">
        <v>1842</v>
      </c>
      <c r="J90" s="547">
        <v>1799</v>
      </c>
      <c r="K90" s="554">
        <v>1866</v>
      </c>
      <c r="L90" s="554">
        <v>1840</v>
      </c>
      <c r="M90" s="554">
        <v>1580</v>
      </c>
      <c r="N90" s="1600">
        <v>1492</v>
      </c>
    </row>
    <row r="91" spans="1:14" x14ac:dyDescent="0.25">
      <c r="A91" s="553" t="s">
        <v>224</v>
      </c>
      <c r="B91" s="543" t="s">
        <v>225</v>
      </c>
      <c r="C91" s="598" t="s">
        <v>264</v>
      </c>
      <c r="D91" s="547">
        <v>179</v>
      </c>
      <c r="E91" s="547">
        <v>218</v>
      </c>
      <c r="F91" s="547">
        <v>181</v>
      </c>
      <c r="G91" s="547">
        <v>145</v>
      </c>
      <c r="H91" s="547">
        <v>221</v>
      </c>
      <c r="I91" s="547">
        <v>290</v>
      </c>
      <c r="J91" s="547">
        <v>261</v>
      </c>
      <c r="K91" s="554">
        <v>237</v>
      </c>
      <c r="L91" s="554">
        <v>229</v>
      </c>
      <c r="M91" s="554">
        <v>195</v>
      </c>
      <c r="N91" s="1600">
        <v>165</v>
      </c>
    </row>
    <row r="92" spans="1:14" x14ac:dyDescent="0.25">
      <c r="A92" s="553" t="s">
        <v>226</v>
      </c>
      <c r="B92" s="543" t="s">
        <v>227</v>
      </c>
      <c r="C92" s="598" t="s">
        <v>264</v>
      </c>
      <c r="D92" s="547">
        <v>410</v>
      </c>
      <c r="E92" s="547">
        <v>443</v>
      </c>
      <c r="F92" s="547">
        <v>451</v>
      </c>
      <c r="G92" s="547">
        <v>443</v>
      </c>
      <c r="H92" s="547">
        <v>414</v>
      </c>
      <c r="I92" s="547">
        <v>434</v>
      </c>
      <c r="J92" s="547">
        <v>433</v>
      </c>
      <c r="K92" s="554">
        <v>406</v>
      </c>
      <c r="L92" s="554">
        <v>354</v>
      </c>
      <c r="M92" s="554">
        <v>404</v>
      </c>
      <c r="N92" s="1600">
        <v>368</v>
      </c>
    </row>
    <row r="93" spans="1:14" x14ac:dyDescent="0.25">
      <c r="A93" s="553" t="s">
        <v>228</v>
      </c>
      <c r="B93" s="543" t="s">
        <v>229</v>
      </c>
      <c r="C93" s="598" t="s">
        <v>268</v>
      </c>
      <c r="D93" s="547">
        <v>2148</v>
      </c>
      <c r="E93" s="547">
        <v>1963</v>
      </c>
      <c r="F93" s="547">
        <v>1851</v>
      </c>
      <c r="G93" s="547">
        <v>1615</v>
      </c>
      <c r="H93" s="547">
        <v>1584</v>
      </c>
      <c r="I93" s="547">
        <v>1696</v>
      </c>
      <c r="J93" s="547">
        <v>1454</v>
      </c>
      <c r="K93" s="554">
        <v>1398</v>
      </c>
      <c r="L93" s="554">
        <v>1290</v>
      </c>
      <c r="M93" s="554">
        <v>1183</v>
      </c>
      <c r="N93" s="1600">
        <v>990</v>
      </c>
    </row>
    <row r="94" spans="1:14" x14ac:dyDescent="0.25">
      <c r="A94" s="553" t="s">
        <v>232</v>
      </c>
      <c r="B94" s="543" t="s">
        <v>233</v>
      </c>
      <c r="C94" s="598" t="s">
        <v>267</v>
      </c>
      <c r="D94" s="547">
        <v>540</v>
      </c>
      <c r="E94" s="547">
        <v>535</v>
      </c>
      <c r="F94" s="547">
        <v>495</v>
      </c>
      <c r="G94" s="547">
        <v>512</v>
      </c>
      <c r="H94" s="547">
        <v>731</v>
      </c>
      <c r="I94" s="547">
        <v>773</v>
      </c>
      <c r="J94" s="547">
        <v>767</v>
      </c>
      <c r="K94" s="554">
        <v>718</v>
      </c>
      <c r="L94" s="554">
        <v>687</v>
      </c>
      <c r="M94" s="554">
        <v>632</v>
      </c>
      <c r="N94" s="1600">
        <v>529</v>
      </c>
    </row>
    <row r="95" spans="1:14" x14ac:dyDescent="0.25">
      <c r="A95" s="553" t="s">
        <v>234</v>
      </c>
      <c r="B95" s="543" t="s">
        <v>235</v>
      </c>
      <c r="C95" s="598" t="s">
        <v>268</v>
      </c>
      <c r="D95" s="547">
        <v>990</v>
      </c>
      <c r="E95" s="547">
        <v>990</v>
      </c>
      <c r="F95" s="547">
        <v>1042</v>
      </c>
      <c r="G95" s="547">
        <v>945</v>
      </c>
      <c r="H95" s="547">
        <v>1125</v>
      </c>
      <c r="I95" s="547">
        <v>1282</v>
      </c>
      <c r="J95" s="547">
        <v>1188</v>
      </c>
      <c r="K95" s="554">
        <v>1045</v>
      </c>
      <c r="L95" s="554">
        <v>1016</v>
      </c>
      <c r="M95" s="554">
        <v>980</v>
      </c>
      <c r="N95" s="1600">
        <v>882</v>
      </c>
    </row>
    <row r="96" spans="1:14" x14ac:dyDescent="0.25">
      <c r="A96" s="553" t="s">
        <v>236</v>
      </c>
      <c r="B96" s="543" t="s">
        <v>237</v>
      </c>
      <c r="C96" s="598" t="s">
        <v>266</v>
      </c>
      <c r="D96" s="547">
        <v>513</v>
      </c>
      <c r="E96" s="547">
        <v>452</v>
      </c>
      <c r="F96" s="547">
        <v>425</v>
      </c>
      <c r="G96" s="547">
        <v>416</v>
      </c>
      <c r="H96" s="547">
        <v>472</v>
      </c>
      <c r="I96" s="547">
        <v>443</v>
      </c>
      <c r="J96" s="547">
        <v>556</v>
      </c>
      <c r="K96" s="554">
        <v>461</v>
      </c>
      <c r="L96" s="554">
        <v>417</v>
      </c>
      <c r="M96" s="554">
        <v>345</v>
      </c>
      <c r="N96" s="1600">
        <v>384</v>
      </c>
    </row>
    <row r="97" spans="1:14" x14ac:dyDescent="0.25">
      <c r="A97" s="553" t="s">
        <v>242</v>
      </c>
      <c r="B97" s="543" t="s">
        <v>243</v>
      </c>
      <c r="C97" s="598" t="s">
        <v>268</v>
      </c>
      <c r="D97" s="547">
        <v>2566</v>
      </c>
      <c r="E97" s="547">
        <v>2449</v>
      </c>
      <c r="F97" s="547">
        <v>2297</v>
      </c>
      <c r="G97" s="547">
        <v>2245</v>
      </c>
      <c r="H97" s="547">
        <v>2288</v>
      </c>
      <c r="I97" s="547">
        <v>2402</v>
      </c>
      <c r="J97" s="547">
        <v>2138</v>
      </c>
      <c r="K97" s="554">
        <v>2100</v>
      </c>
      <c r="L97" s="554">
        <v>2030</v>
      </c>
      <c r="M97" s="554">
        <v>1815</v>
      </c>
      <c r="N97" s="1600">
        <v>1426</v>
      </c>
    </row>
    <row r="98" spans="1:14" x14ac:dyDescent="0.25">
      <c r="A98" s="553" t="s">
        <v>244</v>
      </c>
      <c r="B98" s="543" t="s">
        <v>245</v>
      </c>
      <c r="C98" s="598" t="s">
        <v>268</v>
      </c>
      <c r="D98" s="547">
        <v>785</v>
      </c>
      <c r="E98" s="547">
        <v>845</v>
      </c>
      <c r="F98" s="547">
        <v>772</v>
      </c>
      <c r="G98" s="547">
        <v>724</v>
      </c>
      <c r="H98" s="547">
        <v>744</v>
      </c>
      <c r="I98" s="547">
        <v>812</v>
      </c>
      <c r="J98" s="547">
        <v>812</v>
      </c>
      <c r="K98" s="554">
        <v>706</v>
      </c>
      <c r="L98" s="554">
        <v>540</v>
      </c>
      <c r="M98" s="554">
        <v>525</v>
      </c>
      <c r="N98" s="1600">
        <v>497</v>
      </c>
    </row>
    <row r="99" spans="1:14" x14ac:dyDescent="0.25">
      <c r="A99" s="635" t="s">
        <v>246</v>
      </c>
      <c r="B99" s="636" t="s">
        <v>247</v>
      </c>
      <c r="C99" s="636" t="s">
        <v>264</v>
      </c>
      <c r="D99" s="637">
        <v>450</v>
      </c>
      <c r="E99" s="637">
        <v>514</v>
      </c>
      <c r="F99" s="637">
        <v>478</v>
      </c>
      <c r="G99" s="637">
        <v>442</v>
      </c>
      <c r="H99" s="637">
        <v>523</v>
      </c>
      <c r="I99" s="637">
        <v>628</v>
      </c>
      <c r="J99" s="637">
        <v>752</v>
      </c>
      <c r="K99" s="554">
        <v>712</v>
      </c>
      <c r="L99" s="554">
        <v>685</v>
      </c>
      <c r="M99" s="554">
        <v>639</v>
      </c>
      <c r="N99" s="1600">
        <v>569</v>
      </c>
    </row>
    <row r="100" spans="1:14" x14ac:dyDescent="0.25">
      <c r="A100" s="553" t="s">
        <v>14</v>
      </c>
      <c r="B100" s="543" t="s">
        <v>15</v>
      </c>
      <c r="C100" s="598" t="s">
        <v>267</v>
      </c>
      <c r="D100" s="547">
        <v>2564</v>
      </c>
      <c r="E100" s="547">
        <v>2274</v>
      </c>
      <c r="F100" s="547">
        <v>2167</v>
      </c>
      <c r="G100" s="547">
        <v>2154</v>
      </c>
      <c r="H100" s="547">
        <v>2332</v>
      </c>
      <c r="I100" s="547">
        <v>2520</v>
      </c>
      <c r="J100" s="547">
        <v>2596</v>
      </c>
      <c r="K100" s="554">
        <v>2346</v>
      </c>
      <c r="L100" s="554">
        <v>2184</v>
      </c>
      <c r="M100" s="554">
        <v>2121</v>
      </c>
      <c r="N100" s="1600">
        <v>2195</v>
      </c>
    </row>
    <row r="101" spans="1:14" x14ac:dyDescent="0.25">
      <c r="A101" s="553" t="s">
        <v>34</v>
      </c>
      <c r="B101" s="543" t="s">
        <v>35</v>
      </c>
      <c r="C101" s="598" t="s">
        <v>268</v>
      </c>
      <c r="D101" s="547">
        <v>1224</v>
      </c>
      <c r="E101" s="547">
        <v>1318</v>
      </c>
      <c r="F101" s="547">
        <v>1301</v>
      </c>
      <c r="G101" s="547">
        <v>1284</v>
      </c>
      <c r="H101" s="547">
        <v>1355</v>
      </c>
      <c r="I101" s="547">
        <v>1401</v>
      </c>
      <c r="J101" s="547">
        <v>1518</v>
      </c>
      <c r="K101" s="554">
        <v>1559</v>
      </c>
      <c r="L101" s="554">
        <v>1475</v>
      </c>
      <c r="M101" s="554">
        <v>1225</v>
      </c>
      <c r="N101" s="1600">
        <v>1018</v>
      </c>
    </row>
    <row r="102" spans="1:14" x14ac:dyDescent="0.25">
      <c r="A102" s="553" t="s">
        <v>52</v>
      </c>
      <c r="B102" s="543" t="s">
        <v>53</v>
      </c>
      <c r="C102" s="598" t="s">
        <v>265</v>
      </c>
      <c r="D102" s="547">
        <v>1699</v>
      </c>
      <c r="E102" s="547">
        <v>1614</v>
      </c>
      <c r="F102" s="547">
        <v>1469</v>
      </c>
      <c r="G102" s="547">
        <v>1451</v>
      </c>
      <c r="H102" s="547">
        <v>1614</v>
      </c>
      <c r="I102" s="547">
        <v>1699</v>
      </c>
      <c r="J102" s="547">
        <v>1691</v>
      </c>
      <c r="K102" s="554">
        <v>1604</v>
      </c>
      <c r="L102" s="554">
        <v>1499</v>
      </c>
      <c r="M102" s="554">
        <v>1329</v>
      </c>
      <c r="N102" s="1600">
        <v>1189</v>
      </c>
    </row>
    <row r="103" spans="1:14" x14ac:dyDescent="0.25">
      <c r="A103" s="553" t="s">
        <v>54</v>
      </c>
      <c r="B103" s="543" t="s">
        <v>55</v>
      </c>
      <c r="C103" s="598" t="s">
        <v>264</v>
      </c>
      <c r="D103" s="547">
        <v>5474</v>
      </c>
      <c r="E103" s="547">
        <v>5520</v>
      </c>
      <c r="F103" s="547">
        <v>4950</v>
      </c>
      <c r="G103" s="547">
        <v>5052</v>
      </c>
      <c r="H103" s="547">
        <v>5636</v>
      </c>
      <c r="I103" s="547">
        <v>6110</v>
      </c>
      <c r="J103" s="547">
        <v>6029</v>
      </c>
      <c r="K103" s="554">
        <v>5484</v>
      </c>
      <c r="L103" s="554">
        <v>5058</v>
      </c>
      <c r="M103" s="554">
        <v>4574</v>
      </c>
      <c r="N103" s="1600">
        <v>4136</v>
      </c>
    </row>
    <row r="104" spans="1:14" x14ac:dyDescent="0.25">
      <c r="A104" s="553" t="s">
        <v>66</v>
      </c>
      <c r="B104" s="543" t="s">
        <v>67</v>
      </c>
      <c r="C104" s="598" t="s">
        <v>265</v>
      </c>
      <c r="D104" s="547">
        <v>3276</v>
      </c>
      <c r="E104" s="547">
        <v>3249</v>
      </c>
      <c r="F104" s="547">
        <v>3126</v>
      </c>
      <c r="G104" s="547">
        <v>2779</v>
      </c>
      <c r="H104" s="547">
        <v>2892</v>
      </c>
      <c r="I104" s="547">
        <v>2912</v>
      </c>
      <c r="J104" s="547">
        <v>2697</v>
      </c>
      <c r="K104" s="554">
        <v>2571</v>
      </c>
      <c r="L104" s="554">
        <v>2499</v>
      </c>
      <c r="M104" s="554">
        <v>2272</v>
      </c>
      <c r="N104" s="1600">
        <v>2086</v>
      </c>
    </row>
    <row r="105" spans="1:14" x14ac:dyDescent="0.25">
      <c r="A105" s="553" t="s">
        <v>82</v>
      </c>
      <c r="B105" s="543" t="s">
        <v>83</v>
      </c>
      <c r="C105" s="598" t="s">
        <v>264</v>
      </c>
      <c r="D105" s="547">
        <v>600</v>
      </c>
      <c r="E105" s="547">
        <v>626</v>
      </c>
      <c r="F105" s="547">
        <v>493</v>
      </c>
      <c r="G105" s="547">
        <v>483</v>
      </c>
      <c r="H105" s="547">
        <v>487</v>
      </c>
      <c r="I105" s="547">
        <v>575</v>
      </c>
      <c r="J105" s="547">
        <v>644</v>
      </c>
      <c r="K105" s="554">
        <v>748</v>
      </c>
      <c r="L105" s="554">
        <v>667</v>
      </c>
      <c r="M105" s="554">
        <v>493</v>
      </c>
      <c r="N105" s="1600">
        <v>413</v>
      </c>
    </row>
    <row r="106" spans="1:14" x14ac:dyDescent="0.25">
      <c r="A106" s="553" t="s">
        <v>88</v>
      </c>
      <c r="B106" s="543" t="s">
        <v>89</v>
      </c>
      <c r="C106" s="598" t="s">
        <v>267</v>
      </c>
      <c r="D106" s="547">
        <v>827</v>
      </c>
      <c r="E106" s="547">
        <v>874</v>
      </c>
      <c r="F106" s="547">
        <v>851</v>
      </c>
      <c r="G106" s="547">
        <v>904</v>
      </c>
      <c r="H106" s="547">
        <v>1105</v>
      </c>
      <c r="I106" s="547">
        <v>1208</v>
      </c>
      <c r="J106" s="547">
        <v>1219</v>
      </c>
      <c r="K106" s="554">
        <v>1162</v>
      </c>
      <c r="L106" s="554">
        <v>1055</v>
      </c>
      <c r="M106" s="554">
        <v>980</v>
      </c>
      <c r="N106" s="1600">
        <v>912</v>
      </c>
    </row>
    <row r="107" spans="1:14" x14ac:dyDescent="0.25">
      <c r="A107" s="553" t="s">
        <v>90</v>
      </c>
      <c r="B107" s="543" t="s">
        <v>91</v>
      </c>
      <c r="C107" s="598" t="s">
        <v>268</v>
      </c>
      <c r="D107" s="547">
        <v>398</v>
      </c>
      <c r="E107" s="547">
        <v>370</v>
      </c>
      <c r="F107" s="547">
        <v>366</v>
      </c>
      <c r="G107" s="547">
        <v>365</v>
      </c>
      <c r="H107" s="547">
        <v>481</v>
      </c>
      <c r="I107" s="547">
        <v>559</v>
      </c>
      <c r="J107" s="547">
        <v>480</v>
      </c>
      <c r="K107" s="554">
        <v>426</v>
      </c>
      <c r="L107" s="554">
        <v>368</v>
      </c>
      <c r="M107" s="554">
        <v>280</v>
      </c>
      <c r="N107" s="1600">
        <v>210</v>
      </c>
    </row>
    <row r="108" spans="1:14" x14ac:dyDescent="0.25">
      <c r="A108" s="553" t="s">
        <v>106</v>
      </c>
      <c r="B108" s="543" t="s">
        <v>107</v>
      </c>
      <c r="C108" s="598" t="s">
        <v>264</v>
      </c>
      <c r="D108" s="547">
        <v>6707</v>
      </c>
      <c r="E108" s="547">
        <v>6416</v>
      </c>
      <c r="F108" s="547">
        <v>5896</v>
      </c>
      <c r="G108" s="547">
        <v>5425</v>
      </c>
      <c r="H108" s="547">
        <v>5890</v>
      </c>
      <c r="I108" s="547">
        <v>6335</v>
      </c>
      <c r="J108" s="547">
        <v>6670</v>
      </c>
      <c r="K108" s="554">
        <v>6619</v>
      </c>
      <c r="L108" s="554">
        <v>6201</v>
      </c>
      <c r="M108" s="554">
        <v>5656</v>
      </c>
      <c r="N108" s="1600">
        <v>4807</v>
      </c>
    </row>
    <row r="109" spans="1:14" x14ac:dyDescent="0.25">
      <c r="A109" s="553" t="s">
        <v>116</v>
      </c>
      <c r="B109" s="543" t="s">
        <v>117</v>
      </c>
      <c r="C109" s="598" t="s">
        <v>266</v>
      </c>
      <c r="D109" s="547">
        <v>1613</v>
      </c>
      <c r="E109" s="547">
        <v>1650</v>
      </c>
      <c r="F109" s="547">
        <v>1472</v>
      </c>
      <c r="G109" s="547">
        <v>1513</v>
      </c>
      <c r="H109" s="547">
        <v>1642</v>
      </c>
      <c r="I109" s="547">
        <v>1726</v>
      </c>
      <c r="J109" s="547">
        <v>1732</v>
      </c>
      <c r="K109" s="554">
        <v>1610</v>
      </c>
      <c r="L109" s="554">
        <v>1604</v>
      </c>
      <c r="M109" s="554">
        <v>1554</v>
      </c>
      <c r="N109" s="1600">
        <v>1468</v>
      </c>
    </row>
    <row r="110" spans="1:14" x14ac:dyDescent="0.25">
      <c r="A110" s="553" t="s">
        <v>138</v>
      </c>
      <c r="B110" s="543" t="s">
        <v>139</v>
      </c>
      <c r="C110" s="598" t="s">
        <v>265</v>
      </c>
      <c r="D110" s="547">
        <v>3009</v>
      </c>
      <c r="E110" s="547">
        <v>2946</v>
      </c>
      <c r="F110" s="547">
        <v>2805</v>
      </c>
      <c r="G110" s="547">
        <v>2632</v>
      </c>
      <c r="H110" s="547">
        <v>2821</v>
      </c>
      <c r="I110" s="547">
        <v>3316</v>
      </c>
      <c r="J110" s="547">
        <v>3361</v>
      </c>
      <c r="K110" s="554">
        <v>3308</v>
      </c>
      <c r="L110" s="554">
        <v>2938</v>
      </c>
      <c r="M110" s="554">
        <v>2628</v>
      </c>
      <c r="N110" s="1600">
        <v>2333</v>
      </c>
    </row>
    <row r="111" spans="1:14" x14ac:dyDescent="0.25">
      <c r="A111" s="553" t="s">
        <v>142</v>
      </c>
      <c r="B111" s="543" t="s">
        <v>143</v>
      </c>
      <c r="C111" s="598" t="s">
        <v>267</v>
      </c>
      <c r="D111" s="547">
        <v>912</v>
      </c>
      <c r="E111" s="547">
        <v>882</v>
      </c>
      <c r="F111" s="547">
        <v>876</v>
      </c>
      <c r="G111" s="547">
        <v>1015</v>
      </c>
      <c r="H111" s="547">
        <v>1120</v>
      </c>
      <c r="I111" s="547">
        <v>1298</v>
      </c>
      <c r="J111" s="547">
        <v>1317</v>
      </c>
      <c r="K111" s="554">
        <v>1176</v>
      </c>
      <c r="L111" s="554">
        <v>921</v>
      </c>
      <c r="M111" s="554">
        <v>911</v>
      </c>
      <c r="N111" s="1600">
        <v>783</v>
      </c>
    </row>
    <row r="112" spans="1:14" x14ac:dyDescent="0.25">
      <c r="A112" s="553" t="s">
        <v>144</v>
      </c>
      <c r="B112" s="543" t="s">
        <v>145</v>
      </c>
      <c r="C112" s="598" t="s">
        <v>267</v>
      </c>
      <c r="D112" s="547">
        <v>270</v>
      </c>
      <c r="E112" s="547">
        <v>337</v>
      </c>
      <c r="F112" s="547">
        <v>312</v>
      </c>
      <c r="G112" s="547">
        <v>334</v>
      </c>
      <c r="H112" s="547">
        <v>336</v>
      </c>
      <c r="I112" s="547">
        <v>337</v>
      </c>
      <c r="J112" s="547">
        <v>250</v>
      </c>
      <c r="K112" s="554">
        <v>274</v>
      </c>
      <c r="L112" s="554">
        <v>250</v>
      </c>
      <c r="M112" s="554">
        <v>238</v>
      </c>
      <c r="N112" s="1600">
        <v>175</v>
      </c>
    </row>
    <row r="113" spans="1:14" x14ac:dyDescent="0.25">
      <c r="A113" s="553" t="s">
        <v>158</v>
      </c>
      <c r="B113" s="543" t="s">
        <v>159</v>
      </c>
      <c r="C113" s="598" t="s">
        <v>264</v>
      </c>
      <c r="D113" s="547">
        <v>8771</v>
      </c>
      <c r="E113" s="547">
        <v>8922</v>
      </c>
      <c r="F113" s="547">
        <v>8257</v>
      </c>
      <c r="G113" s="547">
        <v>7622</v>
      </c>
      <c r="H113" s="547">
        <v>8469</v>
      </c>
      <c r="I113" s="547">
        <v>9376</v>
      </c>
      <c r="J113" s="547">
        <v>9737</v>
      </c>
      <c r="K113" s="554">
        <v>9540</v>
      </c>
      <c r="L113" s="554">
        <v>9135</v>
      </c>
      <c r="M113" s="554">
        <v>8051</v>
      </c>
      <c r="N113" s="1600">
        <v>7164</v>
      </c>
    </row>
    <row r="114" spans="1:14" x14ac:dyDescent="0.25">
      <c r="A114" s="553" t="s">
        <v>160</v>
      </c>
      <c r="B114" s="543" t="s">
        <v>161</v>
      </c>
      <c r="C114" s="598" t="s">
        <v>264</v>
      </c>
      <c r="D114" s="547">
        <v>11826</v>
      </c>
      <c r="E114" s="547">
        <v>11398</v>
      </c>
      <c r="F114" s="547">
        <v>10790</v>
      </c>
      <c r="G114" s="547">
        <v>10129</v>
      </c>
      <c r="H114" s="547">
        <v>10847</v>
      </c>
      <c r="I114" s="547">
        <v>11828</v>
      </c>
      <c r="J114" s="547">
        <v>11996</v>
      </c>
      <c r="K114" s="554">
        <v>11553</v>
      </c>
      <c r="L114" s="554">
        <v>10730</v>
      </c>
      <c r="M114" s="554">
        <v>9675</v>
      </c>
      <c r="N114" s="1600">
        <v>8098</v>
      </c>
    </row>
    <row r="115" spans="1:14" x14ac:dyDescent="0.25">
      <c r="A115" s="553" t="s">
        <v>166</v>
      </c>
      <c r="B115" s="543" t="s">
        <v>167</v>
      </c>
      <c r="C115" s="598" t="s">
        <v>268</v>
      </c>
      <c r="D115" s="547">
        <v>273</v>
      </c>
      <c r="E115" s="547">
        <v>319</v>
      </c>
      <c r="F115" s="547">
        <v>291</v>
      </c>
      <c r="G115" s="547">
        <v>280</v>
      </c>
      <c r="H115" s="547">
        <v>297</v>
      </c>
      <c r="I115" s="547">
        <v>329</v>
      </c>
      <c r="J115" s="547">
        <v>280</v>
      </c>
      <c r="K115" s="554">
        <v>255</v>
      </c>
      <c r="L115" s="554">
        <v>244</v>
      </c>
      <c r="M115" s="554">
        <v>259</v>
      </c>
      <c r="N115" s="1600">
        <v>245</v>
      </c>
    </row>
    <row r="116" spans="1:14" x14ac:dyDescent="0.25">
      <c r="A116" s="553" t="s">
        <v>176</v>
      </c>
      <c r="B116" s="543" t="s">
        <v>177</v>
      </c>
      <c r="C116" s="598" t="s">
        <v>266</v>
      </c>
      <c r="D116" s="547">
        <v>2982</v>
      </c>
      <c r="E116" s="547">
        <v>2896</v>
      </c>
      <c r="F116" s="547">
        <v>2620</v>
      </c>
      <c r="G116" s="547">
        <v>2508</v>
      </c>
      <c r="H116" s="547">
        <v>2744</v>
      </c>
      <c r="I116" s="547">
        <v>3147</v>
      </c>
      <c r="J116" s="547">
        <v>3158</v>
      </c>
      <c r="K116" s="554">
        <v>2741</v>
      </c>
      <c r="L116" s="554">
        <v>2556</v>
      </c>
      <c r="M116" s="554">
        <v>2417</v>
      </c>
      <c r="N116" s="1600">
        <v>2319</v>
      </c>
    </row>
    <row r="117" spans="1:14" x14ac:dyDescent="0.25">
      <c r="A117" s="553" t="s">
        <v>180</v>
      </c>
      <c r="B117" s="543" t="s">
        <v>181</v>
      </c>
      <c r="C117" s="598" t="s">
        <v>264</v>
      </c>
      <c r="D117" s="547">
        <v>6846</v>
      </c>
      <c r="E117" s="547">
        <v>6807</v>
      </c>
      <c r="F117" s="547">
        <v>6503</v>
      </c>
      <c r="G117" s="547">
        <v>5774</v>
      </c>
      <c r="H117" s="547">
        <v>5917</v>
      </c>
      <c r="I117" s="547">
        <v>6307</v>
      </c>
      <c r="J117" s="547">
        <v>6223</v>
      </c>
      <c r="K117" s="554">
        <v>5988</v>
      </c>
      <c r="L117" s="554">
        <v>5595</v>
      </c>
      <c r="M117" s="554">
        <v>5041</v>
      </c>
      <c r="N117" s="1600">
        <v>4571</v>
      </c>
    </row>
    <row r="118" spans="1:14" x14ac:dyDescent="0.25">
      <c r="A118" s="553" t="s">
        <v>192</v>
      </c>
      <c r="B118" s="543" t="s">
        <v>193</v>
      </c>
      <c r="C118" s="598" t="s">
        <v>268</v>
      </c>
      <c r="D118" s="547">
        <v>449</v>
      </c>
      <c r="E118" s="547">
        <v>469</v>
      </c>
      <c r="F118" s="547">
        <v>480</v>
      </c>
      <c r="G118" s="547">
        <v>435</v>
      </c>
      <c r="H118" s="547">
        <v>418</v>
      </c>
      <c r="I118" s="547">
        <v>454</v>
      </c>
      <c r="J118" s="547">
        <v>447</v>
      </c>
      <c r="K118" s="554">
        <v>434</v>
      </c>
      <c r="L118" s="554">
        <v>402</v>
      </c>
      <c r="M118" s="554">
        <v>427</v>
      </c>
      <c r="N118" s="1600">
        <v>322</v>
      </c>
    </row>
    <row r="119" spans="1:14" x14ac:dyDescent="0.25">
      <c r="A119" s="553" t="s">
        <v>196</v>
      </c>
      <c r="B119" s="543" t="s">
        <v>197</v>
      </c>
      <c r="C119" s="598" t="s">
        <v>266</v>
      </c>
      <c r="D119" s="547">
        <v>15835</v>
      </c>
      <c r="E119" s="547">
        <v>15094</v>
      </c>
      <c r="F119" s="547">
        <v>13822</v>
      </c>
      <c r="G119" s="547">
        <v>12850</v>
      </c>
      <c r="H119" s="547">
        <v>12937</v>
      </c>
      <c r="I119" s="547">
        <v>14143</v>
      </c>
      <c r="J119" s="547">
        <v>14534</v>
      </c>
      <c r="K119" s="554">
        <v>13800</v>
      </c>
      <c r="L119" s="554">
        <v>12727</v>
      </c>
      <c r="M119" s="554">
        <v>11361</v>
      </c>
      <c r="N119" s="1600">
        <v>9957</v>
      </c>
    </row>
    <row r="120" spans="1:14" x14ac:dyDescent="0.25">
      <c r="A120" s="553" t="s">
        <v>200</v>
      </c>
      <c r="B120" s="543" t="s">
        <v>201</v>
      </c>
      <c r="C120" s="598" t="s">
        <v>265</v>
      </c>
      <c r="D120" s="547">
        <v>6087</v>
      </c>
      <c r="E120" s="547">
        <v>5921</v>
      </c>
      <c r="F120" s="547">
        <v>5611</v>
      </c>
      <c r="G120" s="547">
        <v>5580</v>
      </c>
      <c r="H120" s="547">
        <v>6098</v>
      </c>
      <c r="I120" s="547">
        <v>6773</v>
      </c>
      <c r="J120" s="547">
        <v>6918</v>
      </c>
      <c r="K120" s="554">
        <v>6804</v>
      </c>
      <c r="L120" s="554">
        <v>6265</v>
      </c>
      <c r="M120" s="554">
        <v>5658</v>
      </c>
      <c r="N120" s="1600">
        <v>4841</v>
      </c>
    </row>
    <row r="121" spans="1:14" x14ac:dyDescent="0.25">
      <c r="A121" s="635" t="s">
        <v>222</v>
      </c>
      <c r="B121" s="636" t="s">
        <v>223</v>
      </c>
      <c r="C121" s="636" t="s">
        <v>264</v>
      </c>
      <c r="D121" s="637">
        <v>2668</v>
      </c>
      <c r="E121" s="637">
        <v>2793</v>
      </c>
      <c r="F121" s="637">
        <v>2567</v>
      </c>
      <c r="G121" s="637">
        <v>2142</v>
      </c>
      <c r="H121" s="637">
        <v>2227</v>
      </c>
      <c r="I121" s="637">
        <v>2401</v>
      </c>
      <c r="J121" s="637">
        <v>2323</v>
      </c>
      <c r="K121" s="554">
        <v>2095</v>
      </c>
      <c r="L121" s="554">
        <v>2090</v>
      </c>
      <c r="M121" s="554">
        <v>2019</v>
      </c>
      <c r="N121" s="1600">
        <v>1765</v>
      </c>
    </row>
    <row r="122" spans="1:14" x14ac:dyDescent="0.25">
      <c r="A122" s="553" t="s">
        <v>230</v>
      </c>
      <c r="B122" s="543" t="s">
        <v>231</v>
      </c>
      <c r="C122" s="598" t="s">
        <v>264</v>
      </c>
      <c r="D122" s="547">
        <v>6267</v>
      </c>
      <c r="E122" s="547">
        <v>6022</v>
      </c>
      <c r="F122" s="547">
        <v>5708</v>
      </c>
      <c r="G122" s="547">
        <v>5498</v>
      </c>
      <c r="H122" s="547">
        <v>5784</v>
      </c>
      <c r="I122" s="547">
        <v>6268</v>
      </c>
      <c r="J122" s="547">
        <v>6378</v>
      </c>
      <c r="K122" s="554">
        <v>6070</v>
      </c>
      <c r="L122" s="554">
        <v>5464</v>
      </c>
      <c r="M122" s="554">
        <v>4838</v>
      </c>
      <c r="N122" s="1600">
        <v>3986</v>
      </c>
    </row>
    <row r="123" spans="1:14" x14ac:dyDescent="0.25">
      <c r="A123" s="553" t="s">
        <v>238</v>
      </c>
      <c r="B123" s="543" t="s">
        <v>239</v>
      </c>
      <c r="C123" s="598" t="s">
        <v>264</v>
      </c>
      <c r="D123" s="547">
        <v>166</v>
      </c>
      <c r="E123" s="547">
        <v>229</v>
      </c>
      <c r="F123" s="547">
        <v>184</v>
      </c>
      <c r="G123" s="547">
        <v>156</v>
      </c>
      <c r="H123" s="547">
        <v>217</v>
      </c>
      <c r="I123" s="547">
        <v>258</v>
      </c>
      <c r="J123" s="547">
        <v>277</v>
      </c>
      <c r="K123" s="554">
        <v>283</v>
      </c>
      <c r="L123" s="554">
        <v>248</v>
      </c>
      <c r="M123" s="554">
        <v>220</v>
      </c>
      <c r="N123" s="1600">
        <v>191</v>
      </c>
    </row>
    <row r="124" spans="1:14" x14ac:dyDescent="0.25">
      <c r="A124" s="555" t="s">
        <v>240</v>
      </c>
      <c r="B124" s="544" t="s">
        <v>241</v>
      </c>
      <c r="C124" s="544" t="s">
        <v>267</v>
      </c>
      <c r="D124" s="549">
        <v>628</v>
      </c>
      <c r="E124" s="549">
        <v>630</v>
      </c>
      <c r="F124" s="549">
        <v>635</v>
      </c>
      <c r="G124" s="549">
        <v>575</v>
      </c>
      <c r="H124" s="549">
        <v>833</v>
      </c>
      <c r="I124" s="549">
        <v>933</v>
      </c>
      <c r="J124" s="549">
        <v>977</v>
      </c>
      <c r="K124" s="556">
        <v>888</v>
      </c>
      <c r="L124" s="556">
        <v>782</v>
      </c>
      <c r="M124" s="556">
        <v>605</v>
      </c>
      <c r="N124" s="1600">
        <v>464</v>
      </c>
    </row>
    <row r="126" spans="1:14" ht="33.75" customHeight="1" x14ac:dyDescent="0.25">
      <c r="A126" s="2104" t="s">
        <v>1150</v>
      </c>
      <c r="B126" s="2104"/>
      <c r="C126" s="2104"/>
      <c r="D126" s="2104"/>
      <c r="E126" s="2104"/>
      <c r="F126" s="2104"/>
      <c r="G126" s="2104"/>
      <c r="H126" s="2104"/>
      <c r="I126" s="2104"/>
      <c r="J126" s="2104"/>
      <c r="K126" s="2104"/>
      <c r="L126" s="2104"/>
      <c r="M126" s="1161"/>
      <c r="N126" s="1574"/>
    </row>
    <row r="128" spans="1:14" s="414" customFormat="1" x14ac:dyDescent="0.25">
      <c r="A128" s="414" t="s">
        <v>248</v>
      </c>
    </row>
    <row r="129" spans="1:3" s="414" customFormat="1" x14ac:dyDescent="0.25">
      <c r="A129" s="415" t="s">
        <v>249</v>
      </c>
      <c r="B129" s="416" t="s">
        <v>250</v>
      </c>
      <c r="C129" s="416"/>
    </row>
  </sheetData>
  <autoFilter ref="A3:C3"/>
  <sortState ref="A5:N124">
    <sortCondition ref="A5:A124"/>
  </sortState>
  <mergeCells count="1">
    <mergeCell ref="A126:L126"/>
  </mergeCells>
  <hyperlinks>
    <hyperlink ref="B129" r:id="rId1"/>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32"/>
  <sheetViews>
    <sheetView workbookViewId="0">
      <pane ySplit="4" topLeftCell="A101" activePane="bottomLeft" state="frozen"/>
      <selection pane="bottomLeft" activeCell="L119" sqref="L119"/>
    </sheetView>
  </sheetViews>
  <sheetFormatPr defaultRowHeight="15.75" x14ac:dyDescent="0.25"/>
  <cols>
    <col min="1" max="1" width="5.875" style="532" customWidth="1"/>
    <col min="2" max="2" width="29.5" style="532" customWidth="1"/>
    <col min="3" max="3" width="16.25" style="532" customWidth="1"/>
    <col min="4" max="10" width="11.375" style="532" customWidth="1"/>
    <col min="11" max="11" width="3.875" style="532" customWidth="1"/>
    <col min="12" max="16384" width="9" style="532"/>
  </cols>
  <sheetData>
    <row r="1" spans="1:10" x14ac:dyDescent="0.25">
      <c r="A1" s="258" t="s">
        <v>1155</v>
      </c>
    </row>
    <row r="3" spans="1:10" ht="31.5" x14ac:dyDescent="0.25">
      <c r="A3" s="640" t="s">
        <v>4</v>
      </c>
      <c r="B3" s="595" t="s">
        <v>5</v>
      </c>
      <c r="C3" s="595" t="s">
        <v>251</v>
      </c>
      <c r="D3" s="646" t="s">
        <v>764</v>
      </c>
      <c r="E3" s="646" t="s">
        <v>765</v>
      </c>
      <c r="F3" s="646" t="s">
        <v>766</v>
      </c>
      <c r="G3" s="646" t="s">
        <v>767</v>
      </c>
      <c r="H3" s="646" t="s">
        <v>833</v>
      </c>
      <c r="I3" s="646" t="s">
        <v>885</v>
      </c>
      <c r="J3" s="1603" t="s">
        <v>1154</v>
      </c>
    </row>
    <row r="4" spans="1:10" x14ac:dyDescent="0.25">
      <c r="A4" s="643">
        <v>999</v>
      </c>
      <c r="B4" s="644" t="s">
        <v>798</v>
      </c>
      <c r="C4" s="644"/>
      <c r="D4" s="645">
        <f>SUM(D5:D124)</f>
        <v>1063886</v>
      </c>
      <c r="E4" s="645">
        <f>SUM(E5:E124)</f>
        <v>1129713</v>
      </c>
      <c r="F4" s="645">
        <f>SUM(F5:F124)</f>
        <v>1188712</v>
      </c>
      <c r="G4" s="645">
        <f>SUM(G5:G124)</f>
        <v>1236732</v>
      </c>
      <c r="H4" s="960">
        <f>SUM(H5:H124)</f>
        <v>1291480</v>
      </c>
      <c r="I4" s="960">
        <v>1313599</v>
      </c>
      <c r="J4" s="1604">
        <v>1389412</v>
      </c>
    </row>
    <row r="5" spans="1:10" s="639" customFormat="1" x14ac:dyDescent="0.25">
      <c r="A5" s="635" t="s">
        <v>10</v>
      </c>
      <c r="B5" s="636" t="s">
        <v>11</v>
      </c>
      <c r="C5" s="636" t="s">
        <v>264</v>
      </c>
      <c r="D5" s="637">
        <v>7838</v>
      </c>
      <c r="E5" s="637">
        <v>7933</v>
      </c>
      <c r="F5" s="637">
        <v>8275</v>
      </c>
      <c r="G5" s="638">
        <v>8453</v>
      </c>
      <c r="H5" s="961">
        <v>8723</v>
      </c>
      <c r="I5" s="961">
        <v>8834</v>
      </c>
      <c r="J5" s="1605">
        <v>9118</v>
      </c>
    </row>
    <row r="6" spans="1:10" s="639" customFormat="1" x14ac:dyDescent="0.25">
      <c r="A6" s="635" t="s">
        <v>12</v>
      </c>
      <c r="B6" s="636" t="s">
        <v>13</v>
      </c>
      <c r="C6" s="636" t="s">
        <v>265</v>
      </c>
      <c r="D6" s="637">
        <v>8176</v>
      </c>
      <c r="E6" s="637">
        <v>8802</v>
      </c>
      <c r="F6" s="637">
        <v>9342</v>
      </c>
      <c r="G6" s="638">
        <v>9739</v>
      </c>
      <c r="H6" s="961">
        <v>10033</v>
      </c>
      <c r="I6" s="961">
        <v>10311</v>
      </c>
      <c r="J6" s="1605">
        <v>11019</v>
      </c>
    </row>
    <row r="7" spans="1:10" s="639" customFormat="1" x14ac:dyDescent="0.25">
      <c r="A7" s="635" t="s">
        <v>16</v>
      </c>
      <c r="B7" s="636" t="s">
        <v>297</v>
      </c>
      <c r="C7" s="636" t="s">
        <v>265</v>
      </c>
      <c r="D7" s="637">
        <v>4828</v>
      </c>
      <c r="E7" s="637">
        <v>4948</v>
      </c>
      <c r="F7" s="637">
        <v>5104</v>
      </c>
      <c r="G7" s="638">
        <v>5268</v>
      </c>
      <c r="H7" s="961">
        <v>5201</v>
      </c>
      <c r="I7" s="961">
        <v>5268</v>
      </c>
      <c r="J7" s="1605">
        <v>5544</v>
      </c>
    </row>
    <row r="8" spans="1:10" s="639" customFormat="1" x14ac:dyDescent="0.25">
      <c r="A8" s="635" t="s">
        <v>18</v>
      </c>
      <c r="B8" s="636" t="s">
        <v>19</v>
      </c>
      <c r="C8" s="636" t="s">
        <v>266</v>
      </c>
      <c r="D8" s="637">
        <v>2246</v>
      </c>
      <c r="E8" s="637">
        <v>2521</v>
      </c>
      <c r="F8" s="637">
        <v>2605</v>
      </c>
      <c r="G8" s="638">
        <v>2798</v>
      </c>
      <c r="H8" s="961">
        <v>2751</v>
      </c>
      <c r="I8" s="961">
        <v>2678</v>
      </c>
      <c r="J8" s="1605">
        <v>2712</v>
      </c>
    </row>
    <row r="9" spans="1:10" s="639" customFormat="1" x14ac:dyDescent="0.25">
      <c r="A9" s="635" t="s">
        <v>20</v>
      </c>
      <c r="B9" s="636" t="s">
        <v>21</v>
      </c>
      <c r="C9" s="636" t="s">
        <v>265</v>
      </c>
      <c r="D9" s="637">
        <v>5174</v>
      </c>
      <c r="E9" s="637">
        <v>5467</v>
      </c>
      <c r="F9" s="637">
        <v>5594</v>
      </c>
      <c r="G9" s="638">
        <v>5642</v>
      </c>
      <c r="H9" s="961">
        <v>5907</v>
      </c>
      <c r="I9" s="961">
        <v>5814</v>
      </c>
      <c r="J9" s="1605">
        <v>6134</v>
      </c>
    </row>
    <row r="10" spans="1:10" s="639" customFormat="1" x14ac:dyDescent="0.25">
      <c r="A10" s="635" t="s">
        <v>22</v>
      </c>
      <c r="B10" s="636" t="s">
        <v>23</v>
      </c>
      <c r="C10" s="636" t="s">
        <v>265</v>
      </c>
      <c r="D10" s="637">
        <v>2975</v>
      </c>
      <c r="E10" s="637">
        <v>3152</v>
      </c>
      <c r="F10" s="637">
        <v>3225</v>
      </c>
      <c r="G10" s="638">
        <v>3410</v>
      </c>
      <c r="H10" s="961">
        <v>3595</v>
      </c>
      <c r="I10" s="961">
        <v>3521</v>
      </c>
      <c r="J10" s="1605">
        <v>3731</v>
      </c>
    </row>
    <row r="11" spans="1:10" s="639" customFormat="1" x14ac:dyDescent="0.25">
      <c r="A11" s="635" t="s">
        <v>24</v>
      </c>
      <c r="B11" s="636" t="s">
        <v>25</v>
      </c>
      <c r="C11" s="636" t="s">
        <v>267</v>
      </c>
      <c r="D11" s="637">
        <v>12005</v>
      </c>
      <c r="E11" s="637">
        <v>12767</v>
      </c>
      <c r="F11" s="637">
        <v>13291</v>
      </c>
      <c r="G11" s="638">
        <v>13920</v>
      </c>
      <c r="H11" s="961">
        <v>14811</v>
      </c>
      <c r="I11" s="961">
        <v>15509</v>
      </c>
      <c r="J11" s="1605">
        <v>16707</v>
      </c>
    </row>
    <row r="12" spans="1:10" s="639" customFormat="1" x14ac:dyDescent="0.25">
      <c r="A12" s="635" t="s">
        <v>26</v>
      </c>
      <c r="B12" s="636" t="s">
        <v>686</v>
      </c>
      <c r="C12" s="636" t="s">
        <v>265</v>
      </c>
      <c r="D12" s="637">
        <v>18094</v>
      </c>
      <c r="E12" s="637">
        <v>19350</v>
      </c>
      <c r="F12" s="637">
        <v>20252</v>
      </c>
      <c r="G12" s="638">
        <v>21261</v>
      </c>
      <c r="H12" s="961">
        <v>22605</v>
      </c>
      <c r="I12" s="961">
        <v>22667</v>
      </c>
      <c r="J12" s="1605">
        <v>23088</v>
      </c>
    </row>
    <row r="13" spans="1:10" s="639" customFormat="1" x14ac:dyDescent="0.25">
      <c r="A13" s="635" t="s">
        <v>27</v>
      </c>
      <c r="B13" s="636" t="s">
        <v>28</v>
      </c>
      <c r="C13" s="636" t="s">
        <v>265</v>
      </c>
      <c r="D13" s="637">
        <v>581</v>
      </c>
      <c r="E13" s="637">
        <v>645</v>
      </c>
      <c r="F13" s="637">
        <v>700</v>
      </c>
      <c r="G13" s="638">
        <v>711</v>
      </c>
      <c r="H13" s="961">
        <v>794</v>
      </c>
      <c r="I13" s="961">
        <v>736</v>
      </c>
      <c r="J13" s="1605">
        <v>847</v>
      </c>
    </row>
    <row r="14" spans="1:10" s="639" customFormat="1" x14ac:dyDescent="0.25">
      <c r="A14" s="635" t="s">
        <v>29</v>
      </c>
      <c r="B14" s="636" t="s">
        <v>941</v>
      </c>
      <c r="C14" s="636" t="s">
        <v>265</v>
      </c>
      <c r="D14" s="637">
        <v>8794</v>
      </c>
      <c r="E14" s="637">
        <v>9666</v>
      </c>
      <c r="F14" s="637">
        <v>10011</v>
      </c>
      <c r="G14" s="638">
        <v>10434</v>
      </c>
      <c r="H14" s="961">
        <v>10773</v>
      </c>
      <c r="I14" s="961">
        <v>11727</v>
      </c>
      <c r="J14" s="1605">
        <v>11159</v>
      </c>
    </row>
    <row r="15" spans="1:10" s="639" customFormat="1" x14ac:dyDescent="0.25">
      <c r="A15" s="635" t="s">
        <v>30</v>
      </c>
      <c r="B15" s="636" t="s">
        <v>31</v>
      </c>
      <c r="C15" s="636" t="s">
        <v>268</v>
      </c>
      <c r="D15" s="637">
        <v>1012</v>
      </c>
      <c r="E15" s="637">
        <v>1033</v>
      </c>
      <c r="F15" s="637">
        <v>1013</v>
      </c>
      <c r="G15" s="638">
        <v>1072</v>
      </c>
      <c r="H15" s="961">
        <v>1141</v>
      </c>
      <c r="I15" s="961">
        <v>1071</v>
      </c>
      <c r="J15" s="1605">
        <v>1135</v>
      </c>
    </row>
    <row r="16" spans="1:10" s="639" customFormat="1" x14ac:dyDescent="0.25">
      <c r="A16" s="635" t="s">
        <v>32</v>
      </c>
      <c r="B16" s="636" t="s">
        <v>33</v>
      </c>
      <c r="C16" s="636" t="s">
        <v>265</v>
      </c>
      <c r="D16" s="637">
        <v>2552</v>
      </c>
      <c r="E16" s="637">
        <v>2753</v>
      </c>
      <c r="F16" s="637">
        <v>2765</v>
      </c>
      <c r="G16" s="638">
        <v>2911</v>
      </c>
      <c r="H16" s="961">
        <v>3022</v>
      </c>
      <c r="I16" s="961">
        <v>3149</v>
      </c>
      <c r="J16" s="1605">
        <v>3509</v>
      </c>
    </row>
    <row r="17" spans="1:10" s="639" customFormat="1" x14ac:dyDescent="0.25">
      <c r="A17" s="635" t="s">
        <v>36</v>
      </c>
      <c r="B17" s="636" t="s">
        <v>37</v>
      </c>
      <c r="C17" s="636" t="s">
        <v>264</v>
      </c>
      <c r="D17" s="637">
        <v>4252</v>
      </c>
      <c r="E17" s="637">
        <v>4356</v>
      </c>
      <c r="F17" s="637">
        <v>4431</v>
      </c>
      <c r="G17" s="638">
        <v>4447</v>
      </c>
      <c r="H17" s="961">
        <v>4598</v>
      </c>
      <c r="I17" s="961">
        <v>4694</v>
      </c>
      <c r="J17" s="1605">
        <v>4883</v>
      </c>
    </row>
    <row r="18" spans="1:10" s="639" customFormat="1" x14ac:dyDescent="0.25">
      <c r="A18" s="635" t="s">
        <v>38</v>
      </c>
      <c r="B18" s="636" t="s">
        <v>39</v>
      </c>
      <c r="C18" s="636" t="s">
        <v>268</v>
      </c>
      <c r="D18" s="637">
        <v>6675</v>
      </c>
      <c r="E18" s="637">
        <v>6666</v>
      </c>
      <c r="F18" s="637">
        <v>6581</v>
      </c>
      <c r="G18" s="638">
        <v>6599</v>
      </c>
      <c r="H18" s="961">
        <v>6789</v>
      </c>
      <c r="I18" s="961">
        <v>6755</v>
      </c>
      <c r="J18" s="1605">
        <v>6989</v>
      </c>
    </row>
    <row r="19" spans="1:10" s="639" customFormat="1" x14ac:dyDescent="0.25">
      <c r="A19" s="635" t="s">
        <v>40</v>
      </c>
      <c r="B19" s="636" t="s">
        <v>41</v>
      </c>
      <c r="C19" s="636" t="s">
        <v>266</v>
      </c>
      <c r="D19" s="637">
        <v>3183</v>
      </c>
      <c r="E19" s="637">
        <v>3390</v>
      </c>
      <c r="F19" s="637">
        <v>3515</v>
      </c>
      <c r="G19" s="638">
        <v>3661</v>
      </c>
      <c r="H19" s="961">
        <v>3855</v>
      </c>
      <c r="I19" s="961">
        <v>3873</v>
      </c>
      <c r="J19" s="1605">
        <v>4087</v>
      </c>
    </row>
    <row r="20" spans="1:10" s="639" customFormat="1" x14ac:dyDescent="0.25">
      <c r="A20" s="635" t="s">
        <v>42</v>
      </c>
      <c r="B20" s="636" t="s">
        <v>43</v>
      </c>
      <c r="C20" s="636" t="s">
        <v>265</v>
      </c>
      <c r="D20" s="637">
        <v>9260</v>
      </c>
      <c r="E20" s="637">
        <v>9829</v>
      </c>
      <c r="F20" s="637">
        <v>10297</v>
      </c>
      <c r="G20" s="638">
        <v>10702</v>
      </c>
      <c r="H20" s="961">
        <v>11112</v>
      </c>
      <c r="I20" s="961">
        <v>11215</v>
      </c>
      <c r="J20" s="1605">
        <v>11752</v>
      </c>
    </row>
    <row r="21" spans="1:10" s="639" customFormat="1" x14ac:dyDescent="0.25">
      <c r="A21" s="635" t="s">
        <v>44</v>
      </c>
      <c r="B21" s="636" t="s">
        <v>45</v>
      </c>
      <c r="C21" s="636" t="s">
        <v>266</v>
      </c>
      <c r="D21" s="637">
        <v>4948</v>
      </c>
      <c r="E21" s="637">
        <v>5235</v>
      </c>
      <c r="F21" s="637">
        <v>5427</v>
      </c>
      <c r="G21" s="638">
        <v>5688</v>
      </c>
      <c r="H21" s="961">
        <v>5852</v>
      </c>
      <c r="I21" s="961">
        <v>5813</v>
      </c>
      <c r="J21" s="1605">
        <v>6396</v>
      </c>
    </row>
    <row r="22" spans="1:10" s="639" customFormat="1" x14ac:dyDescent="0.25">
      <c r="A22" s="635" t="s">
        <v>46</v>
      </c>
      <c r="B22" s="636" t="s">
        <v>47</v>
      </c>
      <c r="C22" s="636" t="s">
        <v>268</v>
      </c>
      <c r="D22" s="637">
        <v>6445</v>
      </c>
      <c r="E22" s="637">
        <v>6690</v>
      </c>
      <c r="F22" s="637">
        <v>6980</v>
      </c>
      <c r="G22" s="638">
        <v>7218</v>
      </c>
      <c r="H22" s="961">
        <v>7309</v>
      </c>
      <c r="I22" s="961">
        <v>7237</v>
      </c>
      <c r="J22" s="1605">
        <v>7486</v>
      </c>
    </row>
    <row r="23" spans="1:10" s="639" customFormat="1" x14ac:dyDescent="0.25">
      <c r="A23" s="635" t="s">
        <v>48</v>
      </c>
      <c r="B23" s="636" t="s">
        <v>269</v>
      </c>
      <c r="C23" s="636" t="s">
        <v>266</v>
      </c>
      <c r="D23" s="637">
        <v>1111</v>
      </c>
      <c r="E23" s="637">
        <v>1161</v>
      </c>
      <c r="F23" s="637">
        <v>1216</v>
      </c>
      <c r="G23" s="638">
        <v>1224</v>
      </c>
      <c r="H23" s="961">
        <v>1262</v>
      </c>
      <c r="I23" s="961">
        <v>1227</v>
      </c>
      <c r="J23" s="1605">
        <v>1344</v>
      </c>
    </row>
    <row r="24" spans="1:10" s="639" customFormat="1" x14ac:dyDescent="0.25">
      <c r="A24" s="635" t="s">
        <v>50</v>
      </c>
      <c r="B24" s="636" t="s">
        <v>51</v>
      </c>
      <c r="C24" s="636" t="s">
        <v>265</v>
      </c>
      <c r="D24" s="637">
        <v>3207</v>
      </c>
      <c r="E24" s="637">
        <v>3258</v>
      </c>
      <c r="F24" s="637">
        <v>3332</v>
      </c>
      <c r="G24" s="638">
        <v>3389</v>
      </c>
      <c r="H24" s="961">
        <v>3384</v>
      </c>
      <c r="I24" s="961">
        <v>3295</v>
      </c>
      <c r="J24" s="1605">
        <v>3441</v>
      </c>
    </row>
    <row r="25" spans="1:10" s="639" customFormat="1" x14ac:dyDescent="0.25">
      <c r="A25" s="635" t="s">
        <v>56</v>
      </c>
      <c r="B25" s="636" t="s">
        <v>295</v>
      </c>
      <c r="C25" s="636" t="s">
        <v>266</v>
      </c>
      <c r="D25" s="637">
        <v>35855</v>
      </c>
      <c r="E25" s="637">
        <v>39703</v>
      </c>
      <c r="F25" s="637">
        <v>42522</v>
      </c>
      <c r="G25" s="638">
        <v>44327</v>
      </c>
      <c r="H25" s="961">
        <v>46644</v>
      </c>
      <c r="I25" s="961">
        <v>47977</v>
      </c>
      <c r="J25" s="1605">
        <v>52998</v>
      </c>
    </row>
    <row r="26" spans="1:10" s="639" customFormat="1" x14ac:dyDescent="0.25">
      <c r="A26" s="635" t="s">
        <v>58</v>
      </c>
      <c r="B26" s="636" t="s">
        <v>59</v>
      </c>
      <c r="C26" s="636" t="s">
        <v>267</v>
      </c>
      <c r="D26" s="637">
        <v>1146</v>
      </c>
      <c r="E26" s="637">
        <v>1243</v>
      </c>
      <c r="F26" s="637">
        <v>1250</v>
      </c>
      <c r="G26" s="638">
        <v>1266</v>
      </c>
      <c r="H26" s="961">
        <v>1329</v>
      </c>
      <c r="I26" s="961">
        <v>1366</v>
      </c>
      <c r="J26" s="1605">
        <v>1380</v>
      </c>
    </row>
    <row r="27" spans="1:10" s="639" customFormat="1" x14ac:dyDescent="0.25">
      <c r="A27" s="635" t="s">
        <v>60</v>
      </c>
      <c r="B27" s="636" t="s">
        <v>61</v>
      </c>
      <c r="C27" s="636" t="s">
        <v>265</v>
      </c>
      <c r="D27" s="637">
        <v>768</v>
      </c>
      <c r="E27" s="637">
        <v>856</v>
      </c>
      <c r="F27" s="637">
        <v>908</v>
      </c>
      <c r="G27" s="638">
        <v>931</v>
      </c>
      <c r="H27" s="961">
        <v>1004</v>
      </c>
      <c r="I27" s="961">
        <v>992</v>
      </c>
      <c r="J27" s="1605">
        <v>1091</v>
      </c>
    </row>
    <row r="28" spans="1:10" s="639" customFormat="1" x14ac:dyDescent="0.25">
      <c r="A28" s="635" t="s">
        <v>62</v>
      </c>
      <c r="B28" s="636" t="s">
        <v>63</v>
      </c>
      <c r="C28" s="636" t="s">
        <v>267</v>
      </c>
      <c r="D28" s="637">
        <v>6626</v>
      </c>
      <c r="E28" s="637">
        <v>7181</v>
      </c>
      <c r="F28" s="637">
        <v>7680</v>
      </c>
      <c r="G28" s="638">
        <v>8058</v>
      </c>
      <c r="H28" s="961">
        <v>8468</v>
      </c>
      <c r="I28" s="961">
        <v>8570</v>
      </c>
      <c r="J28" s="1605">
        <v>9104</v>
      </c>
    </row>
    <row r="29" spans="1:10" s="639" customFormat="1" x14ac:dyDescent="0.25">
      <c r="A29" s="635" t="s">
        <v>64</v>
      </c>
      <c r="B29" s="636" t="s">
        <v>65</v>
      </c>
      <c r="C29" s="636" t="s">
        <v>266</v>
      </c>
      <c r="D29" s="637">
        <v>2383</v>
      </c>
      <c r="E29" s="637">
        <v>2460</v>
      </c>
      <c r="F29" s="637">
        <v>2552</v>
      </c>
      <c r="G29" s="638">
        <v>2632</v>
      </c>
      <c r="H29" s="961">
        <v>2756</v>
      </c>
      <c r="I29" s="961">
        <v>2814</v>
      </c>
      <c r="J29" s="1605">
        <v>2900</v>
      </c>
    </row>
    <row r="30" spans="1:10" s="639" customFormat="1" x14ac:dyDescent="0.25">
      <c r="A30" s="635" t="s">
        <v>68</v>
      </c>
      <c r="B30" s="636" t="s">
        <v>69</v>
      </c>
      <c r="C30" s="636" t="s">
        <v>268</v>
      </c>
      <c r="D30" s="637">
        <v>4826</v>
      </c>
      <c r="E30" s="637">
        <v>4741</v>
      </c>
      <c r="F30" s="637">
        <v>4783</v>
      </c>
      <c r="G30" s="638">
        <v>4812</v>
      </c>
      <c r="H30" s="961">
        <v>4986</v>
      </c>
      <c r="I30" s="961">
        <v>4913</v>
      </c>
      <c r="J30" s="1605">
        <v>5086</v>
      </c>
    </row>
    <row r="31" spans="1:10" s="639" customFormat="1" x14ac:dyDescent="0.25">
      <c r="A31" s="635" t="s">
        <v>70</v>
      </c>
      <c r="B31" s="636" t="s">
        <v>71</v>
      </c>
      <c r="C31" s="636" t="s">
        <v>264</v>
      </c>
      <c r="D31" s="637">
        <v>4897</v>
      </c>
      <c r="E31" s="637">
        <v>5141</v>
      </c>
      <c r="F31" s="637">
        <v>5363</v>
      </c>
      <c r="G31" s="638">
        <v>5597</v>
      </c>
      <c r="H31" s="961">
        <v>5744</v>
      </c>
      <c r="I31" s="961">
        <v>5702</v>
      </c>
      <c r="J31" s="1605">
        <v>6145</v>
      </c>
    </row>
    <row r="32" spans="1:10" s="639" customFormat="1" x14ac:dyDescent="0.25">
      <c r="A32" s="635" t="s">
        <v>72</v>
      </c>
      <c r="B32" s="636" t="s">
        <v>73</v>
      </c>
      <c r="C32" s="636" t="s">
        <v>266</v>
      </c>
      <c r="D32" s="637">
        <v>2500</v>
      </c>
      <c r="E32" s="637">
        <v>2606</v>
      </c>
      <c r="F32" s="637">
        <v>2734</v>
      </c>
      <c r="G32" s="638">
        <v>2886</v>
      </c>
      <c r="H32" s="961">
        <v>2966</v>
      </c>
      <c r="I32" s="961">
        <v>2901</v>
      </c>
      <c r="J32" s="1605">
        <v>3036</v>
      </c>
    </row>
    <row r="33" spans="1:10" s="639" customFormat="1" x14ac:dyDescent="0.25">
      <c r="A33" s="635" t="s">
        <v>74</v>
      </c>
      <c r="B33" s="636" t="s">
        <v>296</v>
      </c>
      <c r="C33" s="636" t="s">
        <v>267</v>
      </c>
      <c r="D33" s="637">
        <v>75812</v>
      </c>
      <c r="E33" s="637">
        <v>84858</v>
      </c>
      <c r="F33" s="637">
        <v>92407</v>
      </c>
      <c r="G33" s="638">
        <v>93029</v>
      </c>
      <c r="H33" s="961">
        <v>98429</v>
      </c>
      <c r="I33" s="961">
        <v>100667</v>
      </c>
      <c r="J33" s="1605">
        <v>109634</v>
      </c>
    </row>
    <row r="34" spans="1:10" s="639" customFormat="1" x14ac:dyDescent="0.25">
      <c r="A34" s="635" t="s">
        <v>76</v>
      </c>
      <c r="B34" s="636" t="s">
        <v>77</v>
      </c>
      <c r="C34" s="636" t="s">
        <v>267</v>
      </c>
      <c r="D34" s="637">
        <v>5699</v>
      </c>
      <c r="E34" s="637">
        <v>6253</v>
      </c>
      <c r="F34" s="637">
        <v>6341</v>
      </c>
      <c r="G34" s="638">
        <v>6717</v>
      </c>
      <c r="H34" s="961">
        <v>7064</v>
      </c>
      <c r="I34" s="961">
        <v>7051</v>
      </c>
      <c r="J34" s="1605">
        <v>7690</v>
      </c>
    </row>
    <row r="35" spans="1:10" s="639" customFormat="1" x14ac:dyDescent="0.25">
      <c r="A35" s="635" t="s">
        <v>78</v>
      </c>
      <c r="B35" s="636" t="s">
        <v>79</v>
      </c>
      <c r="C35" s="636" t="s">
        <v>268</v>
      </c>
      <c r="D35" s="637">
        <v>2390</v>
      </c>
      <c r="E35" s="637">
        <v>2606</v>
      </c>
      <c r="F35" s="637">
        <v>2757</v>
      </c>
      <c r="G35" s="638">
        <v>2879</v>
      </c>
      <c r="H35" s="961">
        <v>2997</v>
      </c>
      <c r="I35" s="961">
        <v>2979</v>
      </c>
      <c r="J35" s="1605">
        <v>3154</v>
      </c>
    </row>
    <row r="36" spans="1:10" s="639" customFormat="1" x14ac:dyDescent="0.25">
      <c r="A36" s="635" t="s">
        <v>80</v>
      </c>
      <c r="B36" s="636" t="s">
        <v>81</v>
      </c>
      <c r="C36" s="636" t="s">
        <v>266</v>
      </c>
      <c r="D36" s="637">
        <v>2221</v>
      </c>
      <c r="E36" s="637">
        <v>2414</v>
      </c>
      <c r="F36" s="637">
        <v>2576</v>
      </c>
      <c r="G36" s="638">
        <v>2788</v>
      </c>
      <c r="H36" s="961">
        <v>3055</v>
      </c>
      <c r="I36" s="961">
        <v>3091</v>
      </c>
      <c r="J36" s="1605">
        <v>3269</v>
      </c>
    </row>
    <row r="37" spans="1:10" s="639" customFormat="1" x14ac:dyDescent="0.25">
      <c r="A37" s="635" t="s">
        <v>84</v>
      </c>
      <c r="B37" s="636" t="s">
        <v>85</v>
      </c>
      <c r="C37" s="636" t="s">
        <v>265</v>
      </c>
      <c r="D37" s="637">
        <v>9262</v>
      </c>
      <c r="E37" s="637">
        <v>9646</v>
      </c>
      <c r="F37" s="637">
        <v>9931</v>
      </c>
      <c r="G37" s="638">
        <v>10534</v>
      </c>
      <c r="H37" s="961">
        <v>10836</v>
      </c>
      <c r="I37" s="961">
        <v>10648</v>
      </c>
      <c r="J37" s="1605">
        <v>11100</v>
      </c>
    </row>
    <row r="38" spans="1:10" s="639" customFormat="1" x14ac:dyDescent="0.25">
      <c r="A38" s="635" t="s">
        <v>86</v>
      </c>
      <c r="B38" s="636" t="s">
        <v>87</v>
      </c>
      <c r="C38" s="636" t="s">
        <v>267</v>
      </c>
      <c r="D38" s="637">
        <v>8033</v>
      </c>
      <c r="E38" s="637">
        <v>9008</v>
      </c>
      <c r="F38" s="637">
        <v>10014</v>
      </c>
      <c r="G38" s="638">
        <v>10594</v>
      </c>
      <c r="H38" s="961">
        <v>11299</v>
      </c>
      <c r="I38" s="961">
        <v>11379</v>
      </c>
      <c r="J38" s="1605">
        <v>11993</v>
      </c>
    </row>
    <row r="39" spans="1:10" s="639" customFormat="1" x14ac:dyDescent="0.25">
      <c r="A39" s="635" t="s">
        <v>92</v>
      </c>
      <c r="B39" s="636" t="s">
        <v>93</v>
      </c>
      <c r="C39" s="636" t="s">
        <v>268</v>
      </c>
      <c r="D39" s="637">
        <v>3194</v>
      </c>
      <c r="E39" s="637">
        <v>3335</v>
      </c>
      <c r="F39" s="637">
        <v>3529</v>
      </c>
      <c r="G39" s="638">
        <v>3525</v>
      </c>
      <c r="H39" s="961">
        <v>3480</v>
      </c>
      <c r="I39" s="961">
        <v>3563</v>
      </c>
      <c r="J39" s="1605">
        <v>3854</v>
      </c>
    </row>
    <row r="40" spans="1:10" s="639" customFormat="1" x14ac:dyDescent="0.25">
      <c r="A40" s="635" t="s">
        <v>94</v>
      </c>
      <c r="B40" s="636" t="s">
        <v>95</v>
      </c>
      <c r="C40" s="636" t="s">
        <v>264</v>
      </c>
      <c r="D40" s="637">
        <v>4441</v>
      </c>
      <c r="E40" s="637">
        <v>4854</v>
      </c>
      <c r="F40" s="637">
        <v>5019</v>
      </c>
      <c r="G40" s="638">
        <v>5270</v>
      </c>
      <c r="H40" s="961">
        <v>5430</v>
      </c>
      <c r="I40" s="961">
        <v>5549</v>
      </c>
      <c r="J40" s="1605">
        <v>5882</v>
      </c>
    </row>
    <row r="41" spans="1:10" s="639" customFormat="1" x14ac:dyDescent="0.25">
      <c r="A41" s="635" t="s">
        <v>96</v>
      </c>
      <c r="B41" s="636" t="s">
        <v>97</v>
      </c>
      <c r="C41" s="636" t="s">
        <v>266</v>
      </c>
      <c r="D41" s="637">
        <v>1610</v>
      </c>
      <c r="E41" s="637">
        <v>1710</v>
      </c>
      <c r="F41" s="637">
        <v>1846</v>
      </c>
      <c r="G41" s="638">
        <v>1847</v>
      </c>
      <c r="H41" s="961">
        <v>1930</v>
      </c>
      <c r="I41" s="961">
        <v>1965</v>
      </c>
      <c r="J41" s="1605">
        <v>2153</v>
      </c>
    </row>
    <row r="42" spans="1:10" s="639" customFormat="1" x14ac:dyDescent="0.25">
      <c r="A42" s="635" t="s">
        <v>98</v>
      </c>
      <c r="B42" s="636" t="s">
        <v>99</v>
      </c>
      <c r="C42" s="636" t="s">
        <v>268</v>
      </c>
      <c r="D42" s="637">
        <v>3701</v>
      </c>
      <c r="E42" s="637">
        <v>3745</v>
      </c>
      <c r="F42" s="637">
        <v>3855</v>
      </c>
      <c r="G42" s="638">
        <v>3956</v>
      </c>
      <c r="H42" s="961">
        <v>4123</v>
      </c>
      <c r="I42" s="961">
        <v>4094</v>
      </c>
      <c r="J42" s="1605">
        <v>4204</v>
      </c>
    </row>
    <row r="43" spans="1:10" s="639" customFormat="1" x14ac:dyDescent="0.25">
      <c r="A43" s="635" t="s">
        <v>100</v>
      </c>
      <c r="B43" s="636" t="s">
        <v>101</v>
      </c>
      <c r="C43" s="636" t="s">
        <v>267</v>
      </c>
      <c r="D43" s="637">
        <v>2456</v>
      </c>
      <c r="E43" s="637">
        <v>2711</v>
      </c>
      <c r="F43" s="637">
        <v>2814</v>
      </c>
      <c r="G43" s="638">
        <v>2943</v>
      </c>
      <c r="H43" s="961">
        <v>3142</v>
      </c>
      <c r="I43" s="961">
        <v>3216</v>
      </c>
      <c r="J43" s="1605">
        <v>3371</v>
      </c>
    </row>
    <row r="44" spans="1:10" s="639" customFormat="1" x14ac:dyDescent="0.25">
      <c r="A44" s="635" t="s">
        <v>102</v>
      </c>
      <c r="B44" s="636" t="s">
        <v>282</v>
      </c>
      <c r="C44" s="636" t="s">
        <v>264</v>
      </c>
      <c r="D44" s="637">
        <v>4538</v>
      </c>
      <c r="E44" s="637">
        <v>4651</v>
      </c>
      <c r="F44" s="637">
        <v>4913</v>
      </c>
      <c r="G44" s="638">
        <v>5090</v>
      </c>
      <c r="H44" s="961">
        <v>5264</v>
      </c>
      <c r="I44" s="961">
        <v>5214</v>
      </c>
      <c r="J44" s="1605">
        <v>5555</v>
      </c>
    </row>
    <row r="45" spans="1:10" s="639" customFormat="1" x14ac:dyDescent="0.25">
      <c r="A45" s="635" t="s">
        <v>104</v>
      </c>
      <c r="B45" s="636" t="s">
        <v>105</v>
      </c>
      <c r="C45" s="636" t="s">
        <v>265</v>
      </c>
      <c r="D45" s="637">
        <v>8753</v>
      </c>
      <c r="E45" s="637">
        <v>9055</v>
      </c>
      <c r="F45" s="637">
        <v>9295</v>
      </c>
      <c r="G45" s="638">
        <v>9493</v>
      </c>
      <c r="H45" s="961">
        <v>9608</v>
      </c>
      <c r="I45" s="961">
        <v>9623</v>
      </c>
      <c r="J45" s="1605">
        <v>10065</v>
      </c>
    </row>
    <row r="46" spans="1:10" s="639" customFormat="1" x14ac:dyDescent="0.25">
      <c r="A46" s="635" t="s">
        <v>108</v>
      </c>
      <c r="B46" s="636" t="s">
        <v>109</v>
      </c>
      <c r="C46" s="636" t="s">
        <v>266</v>
      </c>
      <c r="D46" s="637">
        <v>6854</v>
      </c>
      <c r="E46" s="637">
        <v>7567</v>
      </c>
      <c r="F46" s="637">
        <v>8063</v>
      </c>
      <c r="G46" s="638">
        <v>8392</v>
      </c>
      <c r="H46" s="961">
        <v>8666</v>
      </c>
      <c r="I46" s="961">
        <v>8913</v>
      </c>
      <c r="J46" s="1605">
        <v>9663</v>
      </c>
    </row>
    <row r="47" spans="1:10" s="639" customFormat="1" x14ac:dyDescent="0.25">
      <c r="A47" s="635" t="s">
        <v>110</v>
      </c>
      <c r="B47" s="636" t="s">
        <v>111</v>
      </c>
      <c r="C47" s="636" t="s">
        <v>266</v>
      </c>
      <c r="D47" s="637">
        <v>35618</v>
      </c>
      <c r="E47" s="637">
        <v>39553</v>
      </c>
      <c r="F47" s="637">
        <v>42070</v>
      </c>
      <c r="G47" s="638">
        <v>44367</v>
      </c>
      <c r="H47" s="961">
        <v>46486</v>
      </c>
      <c r="I47" s="961">
        <v>47798</v>
      </c>
      <c r="J47" s="1605">
        <v>49934</v>
      </c>
    </row>
    <row r="48" spans="1:10" s="639" customFormat="1" x14ac:dyDescent="0.25">
      <c r="A48" s="635" t="s">
        <v>112</v>
      </c>
      <c r="B48" s="636" t="s">
        <v>300</v>
      </c>
      <c r="C48" s="636" t="s">
        <v>265</v>
      </c>
      <c r="D48" s="637">
        <v>17644</v>
      </c>
      <c r="E48" s="637">
        <v>18295</v>
      </c>
      <c r="F48" s="637">
        <v>18853</v>
      </c>
      <c r="G48" s="638">
        <v>20095</v>
      </c>
      <c r="H48" s="961">
        <v>20770</v>
      </c>
      <c r="I48" s="961">
        <v>20831</v>
      </c>
      <c r="J48" s="1605">
        <v>21857</v>
      </c>
    </row>
    <row r="49" spans="1:10" s="639" customFormat="1" x14ac:dyDescent="0.25">
      <c r="A49" s="635" t="s">
        <v>114</v>
      </c>
      <c r="B49" s="636" t="s">
        <v>115</v>
      </c>
      <c r="C49" s="636" t="s">
        <v>265</v>
      </c>
      <c r="D49" s="637">
        <v>275</v>
      </c>
      <c r="E49" s="637">
        <v>261</v>
      </c>
      <c r="F49" s="637">
        <v>287</v>
      </c>
      <c r="G49" s="638">
        <v>295</v>
      </c>
      <c r="H49" s="961">
        <v>267</v>
      </c>
      <c r="I49" s="961">
        <v>351</v>
      </c>
      <c r="J49" s="1605">
        <v>442</v>
      </c>
    </row>
    <row r="50" spans="1:10" s="639" customFormat="1" x14ac:dyDescent="0.25">
      <c r="A50" s="635" t="s">
        <v>118</v>
      </c>
      <c r="B50" s="636" t="s">
        <v>270</v>
      </c>
      <c r="C50" s="636" t="s">
        <v>264</v>
      </c>
      <c r="D50" s="637">
        <v>4709</v>
      </c>
      <c r="E50" s="637">
        <v>4874</v>
      </c>
      <c r="F50" s="637">
        <v>5101</v>
      </c>
      <c r="G50" s="638">
        <v>5242</v>
      </c>
      <c r="H50" s="961">
        <v>5453</v>
      </c>
      <c r="I50" s="961">
        <v>5323</v>
      </c>
      <c r="J50" s="1605">
        <v>5693</v>
      </c>
    </row>
    <row r="51" spans="1:10" s="639" customFormat="1" x14ac:dyDescent="0.25">
      <c r="A51" s="635" t="s">
        <v>120</v>
      </c>
      <c r="B51" s="636" t="s">
        <v>121</v>
      </c>
      <c r="C51" s="636" t="s">
        <v>264</v>
      </c>
      <c r="D51" s="637">
        <v>5508</v>
      </c>
      <c r="E51" s="637">
        <v>5830</v>
      </c>
      <c r="F51" s="637">
        <v>6130</v>
      </c>
      <c r="G51" s="638">
        <v>6540</v>
      </c>
      <c r="H51" s="961">
        <v>6928</v>
      </c>
      <c r="I51" s="961">
        <v>7079</v>
      </c>
      <c r="J51" s="1605">
        <v>7542</v>
      </c>
    </row>
    <row r="52" spans="1:10" s="639" customFormat="1" x14ac:dyDescent="0.25">
      <c r="A52" s="635" t="s">
        <v>122</v>
      </c>
      <c r="B52" s="636" t="s">
        <v>287</v>
      </c>
      <c r="C52" s="636" t="s">
        <v>266</v>
      </c>
      <c r="D52" s="637">
        <v>1384</v>
      </c>
      <c r="E52" s="637">
        <v>1512</v>
      </c>
      <c r="F52" s="637">
        <v>1551</v>
      </c>
      <c r="G52" s="638">
        <v>1573</v>
      </c>
      <c r="H52" s="961">
        <v>1638</v>
      </c>
      <c r="I52" s="961">
        <v>1720</v>
      </c>
      <c r="J52" s="1605">
        <v>1765</v>
      </c>
    </row>
    <row r="53" spans="1:10" s="639" customFormat="1" x14ac:dyDescent="0.25">
      <c r="A53" s="635" t="s">
        <v>124</v>
      </c>
      <c r="B53" s="636" t="s">
        <v>125</v>
      </c>
      <c r="C53" s="636" t="s">
        <v>267</v>
      </c>
      <c r="D53" s="637">
        <v>2611</v>
      </c>
      <c r="E53" s="637">
        <v>2863</v>
      </c>
      <c r="F53" s="637">
        <v>3263</v>
      </c>
      <c r="G53" s="638">
        <v>3559</v>
      </c>
      <c r="H53" s="961">
        <v>3685</v>
      </c>
      <c r="I53" s="961">
        <v>3720</v>
      </c>
      <c r="J53" s="1605">
        <v>3985</v>
      </c>
    </row>
    <row r="54" spans="1:10" s="639" customFormat="1" x14ac:dyDescent="0.25">
      <c r="A54" s="635" t="s">
        <v>126</v>
      </c>
      <c r="B54" s="636" t="s">
        <v>127</v>
      </c>
      <c r="C54" s="636" t="s">
        <v>266</v>
      </c>
      <c r="D54" s="637">
        <v>1893</v>
      </c>
      <c r="E54" s="637">
        <v>2108</v>
      </c>
      <c r="F54" s="637">
        <v>2304</v>
      </c>
      <c r="G54" s="638">
        <v>2499</v>
      </c>
      <c r="H54" s="961">
        <v>2536</v>
      </c>
      <c r="I54" s="961">
        <v>2563</v>
      </c>
      <c r="J54" s="1605">
        <v>2623</v>
      </c>
    </row>
    <row r="55" spans="1:10" s="639" customFormat="1" x14ac:dyDescent="0.25">
      <c r="A55" s="635" t="s">
        <v>128</v>
      </c>
      <c r="B55" s="636" t="s">
        <v>129</v>
      </c>
      <c r="C55" s="636" t="s">
        <v>266</v>
      </c>
      <c r="D55" s="637">
        <v>1959</v>
      </c>
      <c r="E55" s="637">
        <v>2012</v>
      </c>
      <c r="F55" s="637">
        <v>2116</v>
      </c>
      <c r="G55" s="638">
        <v>2213</v>
      </c>
      <c r="H55" s="961">
        <v>2298</v>
      </c>
      <c r="I55" s="961">
        <v>2289</v>
      </c>
      <c r="J55" s="1605">
        <v>2376</v>
      </c>
    </row>
    <row r="56" spans="1:10" s="639" customFormat="1" x14ac:dyDescent="0.25">
      <c r="A56" s="635" t="s">
        <v>130</v>
      </c>
      <c r="B56" s="636" t="s">
        <v>131</v>
      </c>
      <c r="C56" s="636" t="s">
        <v>268</v>
      </c>
      <c r="D56" s="637">
        <v>7825</v>
      </c>
      <c r="E56" s="637">
        <v>7866</v>
      </c>
      <c r="F56" s="637">
        <v>7907</v>
      </c>
      <c r="G56" s="638">
        <v>8111</v>
      </c>
      <c r="H56" s="961">
        <v>8264</v>
      </c>
      <c r="I56" s="961">
        <v>8287</v>
      </c>
      <c r="J56" s="1605">
        <v>8384</v>
      </c>
    </row>
    <row r="57" spans="1:10" s="639" customFormat="1" x14ac:dyDescent="0.25">
      <c r="A57" s="635" t="s">
        <v>132</v>
      </c>
      <c r="B57" s="636" t="s">
        <v>133</v>
      </c>
      <c r="C57" s="636" t="s">
        <v>267</v>
      </c>
      <c r="D57" s="637">
        <v>13527</v>
      </c>
      <c r="E57" s="637">
        <v>15547</v>
      </c>
      <c r="F57" s="637">
        <v>17321</v>
      </c>
      <c r="G57" s="638">
        <v>18721</v>
      </c>
      <c r="H57" s="961">
        <v>20358</v>
      </c>
      <c r="I57" s="961">
        <v>21076</v>
      </c>
      <c r="J57" s="1605">
        <v>24210</v>
      </c>
    </row>
    <row r="58" spans="1:10" s="639" customFormat="1" x14ac:dyDescent="0.25">
      <c r="A58" s="635" t="s">
        <v>134</v>
      </c>
      <c r="B58" s="636" t="s">
        <v>135</v>
      </c>
      <c r="C58" s="636" t="s">
        <v>267</v>
      </c>
      <c r="D58" s="637">
        <v>4734</v>
      </c>
      <c r="E58" s="637">
        <v>5158</v>
      </c>
      <c r="F58" s="637">
        <v>5533</v>
      </c>
      <c r="G58" s="638">
        <v>5794</v>
      </c>
      <c r="H58" s="961">
        <v>6083</v>
      </c>
      <c r="I58" s="961">
        <v>6281</v>
      </c>
      <c r="J58" s="1605">
        <v>6853</v>
      </c>
    </row>
    <row r="59" spans="1:10" s="639" customFormat="1" x14ac:dyDescent="0.25">
      <c r="A59" s="635" t="s">
        <v>136</v>
      </c>
      <c r="B59" s="636" t="s">
        <v>137</v>
      </c>
      <c r="C59" s="636" t="s">
        <v>266</v>
      </c>
      <c r="D59" s="637">
        <v>2964</v>
      </c>
      <c r="E59" s="637">
        <v>2969</v>
      </c>
      <c r="F59" s="637">
        <v>3156</v>
      </c>
      <c r="G59" s="638">
        <v>3163</v>
      </c>
      <c r="H59" s="961">
        <v>3160</v>
      </c>
      <c r="I59" s="961">
        <v>3264</v>
      </c>
      <c r="J59" s="1605">
        <v>3422</v>
      </c>
    </row>
    <row r="60" spans="1:10" s="639" customFormat="1" x14ac:dyDescent="0.25">
      <c r="A60" s="635" t="s">
        <v>140</v>
      </c>
      <c r="B60" s="636" t="s">
        <v>141</v>
      </c>
      <c r="C60" s="636" t="s">
        <v>267</v>
      </c>
      <c r="D60" s="637">
        <v>1705</v>
      </c>
      <c r="E60" s="637">
        <v>1925</v>
      </c>
      <c r="F60" s="637">
        <v>2021</v>
      </c>
      <c r="G60" s="638">
        <v>2143</v>
      </c>
      <c r="H60" s="961">
        <v>2306</v>
      </c>
      <c r="I60" s="961">
        <v>2312</v>
      </c>
      <c r="J60" s="1605">
        <v>2483</v>
      </c>
    </row>
    <row r="61" spans="1:10" s="639" customFormat="1" x14ac:dyDescent="0.25">
      <c r="A61" s="635" t="s">
        <v>146</v>
      </c>
      <c r="B61" s="636" t="s">
        <v>147</v>
      </c>
      <c r="C61" s="636" t="s">
        <v>264</v>
      </c>
      <c r="D61" s="637">
        <v>1066</v>
      </c>
      <c r="E61" s="637">
        <v>1162</v>
      </c>
      <c r="F61" s="637">
        <v>1164</v>
      </c>
      <c r="G61" s="638">
        <v>1206</v>
      </c>
      <c r="H61" s="961">
        <v>1249</v>
      </c>
      <c r="I61" s="961">
        <v>1254</v>
      </c>
      <c r="J61" s="1605">
        <v>1352</v>
      </c>
    </row>
    <row r="62" spans="1:10" s="639" customFormat="1" x14ac:dyDescent="0.25">
      <c r="A62" s="635" t="s">
        <v>148</v>
      </c>
      <c r="B62" s="636" t="s">
        <v>149</v>
      </c>
      <c r="C62" s="636" t="s">
        <v>265</v>
      </c>
      <c r="D62" s="637">
        <v>6628</v>
      </c>
      <c r="E62" s="637">
        <v>6924</v>
      </c>
      <c r="F62" s="637">
        <v>7151</v>
      </c>
      <c r="G62" s="638">
        <v>7468</v>
      </c>
      <c r="H62" s="961">
        <v>7722</v>
      </c>
      <c r="I62" s="961">
        <v>7792</v>
      </c>
      <c r="J62" s="1605">
        <v>7996</v>
      </c>
    </row>
    <row r="63" spans="1:10" s="639" customFormat="1" x14ac:dyDescent="0.25">
      <c r="A63" s="635" t="s">
        <v>150</v>
      </c>
      <c r="B63" s="636" t="s">
        <v>151</v>
      </c>
      <c r="C63" s="636" t="s">
        <v>266</v>
      </c>
      <c r="D63" s="637">
        <v>1547</v>
      </c>
      <c r="E63" s="637">
        <v>1614</v>
      </c>
      <c r="F63" s="637">
        <v>1767</v>
      </c>
      <c r="G63" s="638">
        <v>2018</v>
      </c>
      <c r="H63" s="961">
        <v>2100</v>
      </c>
      <c r="I63" s="961">
        <v>2108</v>
      </c>
      <c r="J63" s="1605">
        <v>2268</v>
      </c>
    </row>
    <row r="64" spans="1:10" s="639" customFormat="1" x14ac:dyDescent="0.25">
      <c r="A64" s="635" t="s">
        <v>152</v>
      </c>
      <c r="B64" s="636" t="s">
        <v>153</v>
      </c>
      <c r="C64" s="636" t="s">
        <v>268</v>
      </c>
      <c r="D64" s="637">
        <v>9697</v>
      </c>
      <c r="E64" s="637">
        <v>10197</v>
      </c>
      <c r="F64" s="637">
        <v>10461</v>
      </c>
      <c r="G64" s="638">
        <v>10787</v>
      </c>
      <c r="H64" s="961">
        <v>11158</v>
      </c>
      <c r="I64" s="961">
        <v>11243</v>
      </c>
      <c r="J64" s="1605">
        <v>11453</v>
      </c>
    </row>
    <row r="65" spans="1:10" s="639" customFormat="1" x14ac:dyDescent="0.25">
      <c r="A65" s="635" t="s">
        <v>154</v>
      </c>
      <c r="B65" s="636" t="s">
        <v>155</v>
      </c>
      <c r="C65" s="636" t="s">
        <v>265</v>
      </c>
      <c r="D65" s="637">
        <v>2711</v>
      </c>
      <c r="E65" s="637">
        <v>2812</v>
      </c>
      <c r="F65" s="637">
        <v>2904</v>
      </c>
      <c r="G65" s="638">
        <v>3017</v>
      </c>
      <c r="H65" s="961">
        <v>3094</v>
      </c>
      <c r="I65" s="961">
        <v>3113</v>
      </c>
      <c r="J65" s="1605">
        <v>3327</v>
      </c>
    </row>
    <row r="66" spans="1:10" s="639" customFormat="1" x14ac:dyDescent="0.25">
      <c r="A66" s="635" t="s">
        <v>156</v>
      </c>
      <c r="B66" s="636" t="s">
        <v>157</v>
      </c>
      <c r="C66" s="636" t="s">
        <v>266</v>
      </c>
      <c r="D66" s="637">
        <v>1293</v>
      </c>
      <c r="E66" s="637">
        <v>1499</v>
      </c>
      <c r="F66" s="637">
        <v>1602</v>
      </c>
      <c r="G66" s="638">
        <v>1778</v>
      </c>
      <c r="H66" s="961">
        <v>1812</v>
      </c>
      <c r="I66" s="961">
        <v>1879</v>
      </c>
      <c r="J66" s="1605">
        <v>2187</v>
      </c>
    </row>
    <row r="67" spans="1:10" s="639" customFormat="1" x14ac:dyDescent="0.25">
      <c r="A67" s="635" t="s">
        <v>162</v>
      </c>
      <c r="B67" s="636" t="s">
        <v>163</v>
      </c>
      <c r="C67" s="636" t="s">
        <v>264</v>
      </c>
      <c r="D67" s="637">
        <v>3586</v>
      </c>
      <c r="E67" s="637">
        <v>3602</v>
      </c>
      <c r="F67" s="637">
        <v>3685</v>
      </c>
      <c r="G67" s="638">
        <v>3771</v>
      </c>
      <c r="H67" s="961">
        <v>3905</v>
      </c>
      <c r="I67" s="961">
        <v>3874</v>
      </c>
      <c r="J67" s="1605">
        <v>3933</v>
      </c>
    </row>
    <row r="68" spans="1:10" s="639" customFormat="1" x14ac:dyDescent="0.25">
      <c r="A68" s="635" t="s">
        <v>164</v>
      </c>
      <c r="B68" s="636" t="s">
        <v>165</v>
      </c>
      <c r="C68" s="636" t="s">
        <v>266</v>
      </c>
      <c r="D68" s="637">
        <v>1835</v>
      </c>
      <c r="E68" s="637">
        <v>1998</v>
      </c>
      <c r="F68" s="637">
        <v>2101</v>
      </c>
      <c r="G68" s="638">
        <v>2234</v>
      </c>
      <c r="H68" s="961">
        <v>2458</v>
      </c>
      <c r="I68" s="961">
        <v>2492</v>
      </c>
      <c r="J68" s="1605">
        <v>2579</v>
      </c>
    </row>
    <row r="69" spans="1:10" s="639" customFormat="1" x14ac:dyDescent="0.25">
      <c r="A69" s="635" t="s">
        <v>168</v>
      </c>
      <c r="B69" s="636" t="s">
        <v>169</v>
      </c>
      <c r="C69" s="636" t="s">
        <v>266</v>
      </c>
      <c r="D69" s="637">
        <v>3728</v>
      </c>
      <c r="E69" s="637">
        <v>3802</v>
      </c>
      <c r="F69" s="637">
        <v>4039</v>
      </c>
      <c r="G69" s="638">
        <v>4252</v>
      </c>
      <c r="H69" s="961">
        <v>4410</v>
      </c>
      <c r="I69" s="961">
        <v>4431</v>
      </c>
      <c r="J69" s="1605">
        <v>4600</v>
      </c>
    </row>
    <row r="70" spans="1:10" s="639" customFormat="1" x14ac:dyDescent="0.25">
      <c r="A70" s="635" t="s">
        <v>170</v>
      </c>
      <c r="B70" s="636" t="s">
        <v>171</v>
      </c>
      <c r="C70" s="636" t="s">
        <v>267</v>
      </c>
      <c r="D70" s="637">
        <v>4386</v>
      </c>
      <c r="E70" s="637">
        <v>4670</v>
      </c>
      <c r="F70" s="637">
        <v>4928</v>
      </c>
      <c r="G70" s="638">
        <v>5150</v>
      </c>
      <c r="H70" s="961">
        <v>5445</v>
      </c>
      <c r="I70" s="961">
        <v>5604</v>
      </c>
      <c r="J70" s="1605">
        <v>6030</v>
      </c>
    </row>
    <row r="71" spans="1:10" s="639" customFormat="1" x14ac:dyDescent="0.25">
      <c r="A71" s="635" t="s">
        <v>172</v>
      </c>
      <c r="B71" s="636" t="s">
        <v>173</v>
      </c>
      <c r="C71" s="636" t="s">
        <v>267</v>
      </c>
      <c r="D71" s="637">
        <v>4471</v>
      </c>
      <c r="E71" s="637">
        <v>4781</v>
      </c>
      <c r="F71" s="637">
        <v>4859</v>
      </c>
      <c r="G71" s="638">
        <v>5128</v>
      </c>
      <c r="H71" s="961">
        <v>5306</v>
      </c>
      <c r="I71" s="961">
        <v>5237</v>
      </c>
      <c r="J71" s="1605">
        <v>5512</v>
      </c>
    </row>
    <row r="72" spans="1:10" s="639" customFormat="1" x14ac:dyDescent="0.25">
      <c r="A72" s="635" t="s">
        <v>174</v>
      </c>
      <c r="B72" s="636" t="s">
        <v>175</v>
      </c>
      <c r="C72" s="636" t="s">
        <v>268</v>
      </c>
      <c r="D72" s="637">
        <v>4334</v>
      </c>
      <c r="E72" s="637">
        <v>4332</v>
      </c>
      <c r="F72" s="637">
        <v>4497</v>
      </c>
      <c r="G72" s="638">
        <v>4727</v>
      </c>
      <c r="H72" s="961">
        <v>4850</v>
      </c>
      <c r="I72" s="961">
        <v>4753</v>
      </c>
      <c r="J72" s="1605">
        <v>4882</v>
      </c>
    </row>
    <row r="73" spans="1:10" s="639" customFormat="1" x14ac:dyDescent="0.25">
      <c r="A73" s="635" t="s">
        <v>178</v>
      </c>
      <c r="B73" s="636" t="s">
        <v>179</v>
      </c>
      <c r="C73" s="636" t="s">
        <v>265</v>
      </c>
      <c r="D73" s="637">
        <v>12093</v>
      </c>
      <c r="E73" s="637">
        <v>12723</v>
      </c>
      <c r="F73" s="637">
        <v>13387</v>
      </c>
      <c r="G73" s="638">
        <v>13553</v>
      </c>
      <c r="H73" s="961">
        <v>14060</v>
      </c>
      <c r="I73" s="961">
        <v>14469</v>
      </c>
      <c r="J73" s="1605">
        <v>15185</v>
      </c>
    </row>
    <row r="74" spans="1:10" s="639" customFormat="1" x14ac:dyDescent="0.25">
      <c r="A74" s="635" t="s">
        <v>182</v>
      </c>
      <c r="B74" s="636" t="s">
        <v>183</v>
      </c>
      <c r="C74" s="636" t="s">
        <v>266</v>
      </c>
      <c r="D74" s="637">
        <v>1774</v>
      </c>
      <c r="E74" s="637">
        <v>1994</v>
      </c>
      <c r="F74" s="637">
        <v>2185</v>
      </c>
      <c r="G74" s="638">
        <v>2340</v>
      </c>
      <c r="H74" s="961">
        <v>2414</v>
      </c>
      <c r="I74" s="961">
        <v>2398</v>
      </c>
      <c r="J74" s="1605">
        <v>2552</v>
      </c>
    </row>
    <row r="75" spans="1:10" s="639" customFormat="1" x14ac:dyDescent="0.25">
      <c r="A75" s="635" t="s">
        <v>184</v>
      </c>
      <c r="B75" s="636" t="s">
        <v>185</v>
      </c>
      <c r="C75" s="636" t="s">
        <v>266</v>
      </c>
      <c r="D75" s="637">
        <v>4344</v>
      </c>
      <c r="E75" s="637">
        <v>4516</v>
      </c>
      <c r="F75" s="637">
        <v>4758</v>
      </c>
      <c r="G75" s="638">
        <v>4873</v>
      </c>
      <c r="H75" s="961">
        <v>4999</v>
      </c>
      <c r="I75" s="961">
        <v>5166</v>
      </c>
      <c r="J75" s="1605">
        <v>5249</v>
      </c>
    </row>
    <row r="76" spans="1:10" s="639" customFormat="1" x14ac:dyDescent="0.25">
      <c r="A76" s="635" t="s">
        <v>186</v>
      </c>
      <c r="B76" s="636" t="s">
        <v>187</v>
      </c>
      <c r="C76" s="636" t="s">
        <v>264</v>
      </c>
      <c r="D76" s="637">
        <v>3101</v>
      </c>
      <c r="E76" s="637">
        <v>3307</v>
      </c>
      <c r="F76" s="637">
        <v>3567</v>
      </c>
      <c r="G76" s="638">
        <v>3756</v>
      </c>
      <c r="H76" s="961">
        <v>3948</v>
      </c>
      <c r="I76" s="961">
        <v>4265</v>
      </c>
      <c r="J76" s="1605">
        <v>4774</v>
      </c>
    </row>
    <row r="77" spans="1:10" s="639" customFormat="1" x14ac:dyDescent="0.25">
      <c r="A77" s="635" t="s">
        <v>188</v>
      </c>
      <c r="B77" s="636" t="s">
        <v>189</v>
      </c>
      <c r="C77" s="636" t="s">
        <v>267</v>
      </c>
      <c r="D77" s="637">
        <v>41210</v>
      </c>
      <c r="E77" s="637">
        <v>45513</v>
      </c>
      <c r="F77" s="637">
        <v>49733</v>
      </c>
      <c r="G77" s="638">
        <v>52912</v>
      </c>
      <c r="H77" s="961">
        <v>56295</v>
      </c>
      <c r="I77" s="961">
        <v>57308</v>
      </c>
      <c r="J77" s="1605">
        <v>61561</v>
      </c>
    </row>
    <row r="78" spans="1:10" s="639" customFormat="1" x14ac:dyDescent="0.25">
      <c r="A78" s="635" t="s">
        <v>190</v>
      </c>
      <c r="B78" s="636" t="s">
        <v>191</v>
      </c>
      <c r="C78" s="636" t="s">
        <v>268</v>
      </c>
      <c r="D78" s="637">
        <v>6537</v>
      </c>
      <c r="E78" s="637">
        <v>6915</v>
      </c>
      <c r="F78" s="637">
        <v>7262</v>
      </c>
      <c r="G78" s="638">
        <v>7440</v>
      </c>
      <c r="H78" s="961">
        <v>7718</v>
      </c>
      <c r="I78" s="961">
        <v>7885</v>
      </c>
      <c r="J78" s="1605">
        <v>8022</v>
      </c>
    </row>
    <row r="79" spans="1:10" s="639" customFormat="1" x14ac:dyDescent="0.25">
      <c r="A79" s="635" t="s">
        <v>194</v>
      </c>
      <c r="B79" s="636" t="s">
        <v>195</v>
      </c>
      <c r="C79" s="636" t="s">
        <v>267</v>
      </c>
      <c r="D79" s="637">
        <v>750</v>
      </c>
      <c r="E79" s="637">
        <v>778</v>
      </c>
      <c r="F79" s="637">
        <v>857</v>
      </c>
      <c r="G79" s="638">
        <v>972</v>
      </c>
      <c r="H79" s="961">
        <v>986</v>
      </c>
      <c r="I79" s="961">
        <v>977</v>
      </c>
      <c r="J79" s="1605">
        <v>1027</v>
      </c>
    </row>
    <row r="80" spans="1:10" s="639" customFormat="1" x14ac:dyDescent="0.25">
      <c r="A80" s="635" t="s">
        <v>198</v>
      </c>
      <c r="B80" s="636" t="s">
        <v>272</v>
      </c>
      <c r="C80" s="636" t="s">
        <v>266</v>
      </c>
      <c r="D80" s="637">
        <v>1605</v>
      </c>
      <c r="E80" s="637">
        <v>1668</v>
      </c>
      <c r="F80" s="637">
        <v>1752</v>
      </c>
      <c r="G80" s="638">
        <v>1755</v>
      </c>
      <c r="H80" s="961">
        <v>1874</v>
      </c>
      <c r="I80" s="961">
        <v>1914</v>
      </c>
      <c r="J80" s="1605">
        <v>2077</v>
      </c>
    </row>
    <row r="81" spans="1:10" s="639" customFormat="1" x14ac:dyDescent="0.25">
      <c r="A81" s="635" t="s">
        <v>202</v>
      </c>
      <c r="B81" s="636" t="s">
        <v>301</v>
      </c>
      <c r="C81" s="636" t="s">
        <v>265</v>
      </c>
      <c r="D81" s="637">
        <v>11187</v>
      </c>
      <c r="E81" s="637">
        <v>12292</v>
      </c>
      <c r="F81" s="637">
        <v>13171</v>
      </c>
      <c r="G81" s="638">
        <v>13784</v>
      </c>
      <c r="H81" s="961">
        <v>14474</v>
      </c>
      <c r="I81" s="961">
        <v>14703</v>
      </c>
      <c r="J81" s="1605">
        <v>15407</v>
      </c>
    </row>
    <row r="82" spans="1:10" s="639" customFormat="1" x14ac:dyDescent="0.25">
      <c r="A82" s="635" t="s">
        <v>204</v>
      </c>
      <c r="B82" s="636" t="s">
        <v>293</v>
      </c>
      <c r="C82" s="636" t="s">
        <v>265</v>
      </c>
      <c r="D82" s="637">
        <v>5155</v>
      </c>
      <c r="E82" s="637">
        <v>5260</v>
      </c>
      <c r="F82" s="637">
        <v>5506</v>
      </c>
      <c r="G82" s="638">
        <v>5785</v>
      </c>
      <c r="H82" s="961">
        <v>6052</v>
      </c>
      <c r="I82" s="961">
        <v>6236</v>
      </c>
      <c r="J82" s="1605">
        <v>6453</v>
      </c>
    </row>
    <row r="83" spans="1:10" s="639" customFormat="1" x14ac:dyDescent="0.25">
      <c r="A83" s="635" t="s">
        <v>206</v>
      </c>
      <c r="B83" s="636" t="s">
        <v>294</v>
      </c>
      <c r="C83" s="636" t="s">
        <v>267</v>
      </c>
      <c r="D83" s="637">
        <v>15002</v>
      </c>
      <c r="E83" s="637">
        <v>16315</v>
      </c>
      <c r="F83" s="637">
        <v>17090</v>
      </c>
      <c r="G83" s="638">
        <v>17852</v>
      </c>
      <c r="H83" s="961">
        <v>18900</v>
      </c>
      <c r="I83" s="961">
        <v>19327</v>
      </c>
      <c r="J83" s="1605">
        <v>20248</v>
      </c>
    </row>
    <row r="84" spans="1:10" s="639" customFormat="1" x14ac:dyDescent="0.25">
      <c r="A84" s="635" t="s">
        <v>208</v>
      </c>
      <c r="B84" s="636" t="s">
        <v>209</v>
      </c>
      <c r="C84" s="636" t="s">
        <v>268</v>
      </c>
      <c r="D84" s="637">
        <v>7701</v>
      </c>
      <c r="E84" s="637">
        <v>7806</v>
      </c>
      <c r="F84" s="637">
        <v>7863</v>
      </c>
      <c r="G84" s="638">
        <v>7829</v>
      </c>
      <c r="H84" s="961">
        <v>8019</v>
      </c>
      <c r="I84" s="961">
        <v>8260</v>
      </c>
      <c r="J84" s="1605">
        <v>8420</v>
      </c>
    </row>
    <row r="85" spans="1:10" s="639" customFormat="1" x14ac:dyDescent="0.25">
      <c r="A85" s="635" t="s">
        <v>210</v>
      </c>
      <c r="B85" s="636" t="s">
        <v>211</v>
      </c>
      <c r="C85" s="636" t="s">
        <v>268</v>
      </c>
      <c r="D85" s="637">
        <v>5369</v>
      </c>
      <c r="E85" s="637">
        <v>5449</v>
      </c>
      <c r="F85" s="637">
        <v>5614</v>
      </c>
      <c r="G85" s="638">
        <v>5825</v>
      </c>
      <c r="H85" s="961">
        <v>6025</v>
      </c>
      <c r="I85" s="961">
        <v>6067</v>
      </c>
      <c r="J85" s="1605">
        <v>6114</v>
      </c>
    </row>
    <row r="86" spans="1:10" s="639" customFormat="1" x14ac:dyDescent="0.25">
      <c r="A86" s="635" t="s">
        <v>212</v>
      </c>
      <c r="B86" s="636" t="s">
        <v>213</v>
      </c>
      <c r="C86" s="636" t="s">
        <v>267</v>
      </c>
      <c r="D86" s="637">
        <v>6009</v>
      </c>
      <c r="E86" s="637">
        <v>6355</v>
      </c>
      <c r="F86" s="637">
        <v>6712</v>
      </c>
      <c r="G86" s="638">
        <v>7275</v>
      </c>
      <c r="H86" s="961">
        <v>7645</v>
      </c>
      <c r="I86" s="961">
        <v>7718</v>
      </c>
      <c r="J86" s="1605">
        <v>7931</v>
      </c>
    </row>
    <row r="87" spans="1:10" s="639" customFormat="1" x14ac:dyDescent="0.25">
      <c r="A87" s="635" t="s">
        <v>214</v>
      </c>
      <c r="B87" s="636" t="s">
        <v>215</v>
      </c>
      <c r="C87" s="636" t="s">
        <v>268</v>
      </c>
      <c r="D87" s="637">
        <v>7664</v>
      </c>
      <c r="E87" s="637">
        <v>7866</v>
      </c>
      <c r="F87" s="637">
        <v>8130</v>
      </c>
      <c r="G87" s="638">
        <v>8383</v>
      </c>
      <c r="H87" s="961">
        <v>8746</v>
      </c>
      <c r="I87" s="961">
        <v>8726</v>
      </c>
      <c r="J87" s="1605">
        <v>8822</v>
      </c>
    </row>
    <row r="88" spans="1:10" s="639" customFormat="1" x14ac:dyDescent="0.25">
      <c r="A88" s="635" t="s">
        <v>216</v>
      </c>
      <c r="B88" s="636" t="s">
        <v>217</v>
      </c>
      <c r="C88" s="636" t="s">
        <v>264</v>
      </c>
      <c r="D88" s="637">
        <v>3635</v>
      </c>
      <c r="E88" s="637">
        <v>3656</v>
      </c>
      <c r="F88" s="637">
        <v>3702</v>
      </c>
      <c r="G88" s="638">
        <v>3898</v>
      </c>
      <c r="H88" s="961">
        <v>3971</v>
      </c>
      <c r="I88" s="961">
        <v>4048</v>
      </c>
      <c r="J88" s="1605">
        <v>4156</v>
      </c>
    </row>
    <row r="89" spans="1:10" s="639" customFormat="1" x14ac:dyDescent="0.25">
      <c r="A89" s="635" t="s">
        <v>218</v>
      </c>
      <c r="B89" s="636" t="s">
        <v>219</v>
      </c>
      <c r="C89" s="636" t="s">
        <v>267</v>
      </c>
      <c r="D89" s="637">
        <v>13315</v>
      </c>
      <c r="E89" s="637">
        <v>14447</v>
      </c>
      <c r="F89" s="637">
        <v>15933</v>
      </c>
      <c r="G89" s="638">
        <v>16451</v>
      </c>
      <c r="H89" s="961">
        <v>17598</v>
      </c>
      <c r="I89" s="961">
        <v>18481</v>
      </c>
      <c r="J89" s="1605">
        <v>20416</v>
      </c>
    </row>
    <row r="90" spans="1:10" s="639" customFormat="1" x14ac:dyDescent="0.25">
      <c r="A90" s="635" t="s">
        <v>220</v>
      </c>
      <c r="B90" s="636" t="s">
        <v>221</v>
      </c>
      <c r="C90" s="636" t="s">
        <v>267</v>
      </c>
      <c r="D90" s="637">
        <v>11208</v>
      </c>
      <c r="E90" s="637">
        <v>12273</v>
      </c>
      <c r="F90" s="637">
        <v>13088</v>
      </c>
      <c r="G90" s="638">
        <v>13923</v>
      </c>
      <c r="H90" s="961">
        <v>14780</v>
      </c>
      <c r="I90" s="961">
        <v>15224</v>
      </c>
      <c r="J90" s="1605">
        <v>16832</v>
      </c>
    </row>
    <row r="91" spans="1:10" s="639" customFormat="1" x14ac:dyDescent="0.25">
      <c r="A91" s="635" t="s">
        <v>224</v>
      </c>
      <c r="B91" s="636" t="s">
        <v>225</v>
      </c>
      <c r="C91" s="636" t="s">
        <v>264</v>
      </c>
      <c r="D91" s="637">
        <v>1186</v>
      </c>
      <c r="E91" s="637">
        <v>1276</v>
      </c>
      <c r="F91" s="637">
        <v>1312</v>
      </c>
      <c r="G91" s="638">
        <v>1314</v>
      </c>
      <c r="H91" s="961">
        <v>1369</v>
      </c>
      <c r="I91" s="961">
        <v>1407</v>
      </c>
      <c r="J91" s="1605">
        <v>1433</v>
      </c>
    </row>
    <row r="92" spans="1:10" s="639" customFormat="1" x14ac:dyDescent="0.25">
      <c r="A92" s="635" t="s">
        <v>226</v>
      </c>
      <c r="B92" s="636" t="s">
        <v>227</v>
      </c>
      <c r="C92" s="636" t="s">
        <v>264</v>
      </c>
      <c r="D92" s="637">
        <v>2270</v>
      </c>
      <c r="E92" s="637">
        <v>2364</v>
      </c>
      <c r="F92" s="637">
        <v>2319</v>
      </c>
      <c r="G92" s="638">
        <v>2430</v>
      </c>
      <c r="H92" s="961">
        <v>2579</v>
      </c>
      <c r="I92" s="961">
        <v>2575</v>
      </c>
      <c r="J92" s="1605">
        <v>2658</v>
      </c>
    </row>
    <row r="93" spans="1:10" s="639" customFormat="1" x14ac:dyDescent="0.25">
      <c r="A93" s="635" t="s">
        <v>228</v>
      </c>
      <c r="B93" s="636" t="s">
        <v>229</v>
      </c>
      <c r="C93" s="636" t="s">
        <v>268</v>
      </c>
      <c r="D93" s="637">
        <v>10056</v>
      </c>
      <c r="E93" s="637">
        <v>10416</v>
      </c>
      <c r="F93" s="637">
        <v>10534</v>
      </c>
      <c r="G93" s="638">
        <v>10662</v>
      </c>
      <c r="H93" s="961">
        <v>11056</v>
      </c>
      <c r="I93" s="961">
        <v>11169</v>
      </c>
      <c r="J93" s="1605">
        <v>11591</v>
      </c>
    </row>
    <row r="94" spans="1:10" s="639" customFormat="1" x14ac:dyDescent="0.25">
      <c r="A94" s="635" t="s">
        <v>232</v>
      </c>
      <c r="B94" s="636" t="s">
        <v>233</v>
      </c>
      <c r="C94" s="636" t="s">
        <v>267</v>
      </c>
      <c r="D94" s="637">
        <v>5021</v>
      </c>
      <c r="E94" s="637">
        <v>5496</v>
      </c>
      <c r="F94" s="637">
        <v>5898</v>
      </c>
      <c r="G94" s="638">
        <v>6197</v>
      </c>
      <c r="H94" s="961">
        <v>6615</v>
      </c>
      <c r="I94" s="961">
        <v>6678</v>
      </c>
      <c r="J94" s="1605">
        <v>7167</v>
      </c>
    </row>
    <row r="95" spans="1:10" s="639" customFormat="1" x14ac:dyDescent="0.25">
      <c r="A95" s="635" t="s">
        <v>234</v>
      </c>
      <c r="B95" s="636" t="s">
        <v>235</v>
      </c>
      <c r="C95" s="636" t="s">
        <v>268</v>
      </c>
      <c r="D95" s="637">
        <v>9268</v>
      </c>
      <c r="E95" s="637">
        <v>9845</v>
      </c>
      <c r="F95" s="637">
        <v>10107</v>
      </c>
      <c r="G95" s="638">
        <v>10502</v>
      </c>
      <c r="H95" s="961">
        <v>11157</v>
      </c>
      <c r="I95" s="961">
        <v>11412</v>
      </c>
      <c r="J95" s="1605">
        <v>11609</v>
      </c>
    </row>
    <row r="96" spans="1:10" s="639" customFormat="1" x14ac:dyDescent="0.25">
      <c r="A96" s="635" t="s">
        <v>236</v>
      </c>
      <c r="B96" s="636" t="s">
        <v>237</v>
      </c>
      <c r="C96" s="636" t="s">
        <v>266</v>
      </c>
      <c r="D96" s="637">
        <v>3399</v>
      </c>
      <c r="E96" s="637">
        <v>3659</v>
      </c>
      <c r="F96" s="637">
        <v>3951</v>
      </c>
      <c r="G96" s="638">
        <v>4039</v>
      </c>
      <c r="H96" s="961">
        <v>4123</v>
      </c>
      <c r="I96" s="961">
        <v>4117</v>
      </c>
      <c r="J96" s="1605">
        <v>4495</v>
      </c>
    </row>
    <row r="97" spans="1:10" s="639" customFormat="1" x14ac:dyDescent="0.25">
      <c r="A97" s="635" t="s">
        <v>242</v>
      </c>
      <c r="B97" s="636" t="s">
        <v>243</v>
      </c>
      <c r="C97" s="636" t="s">
        <v>268</v>
      </c>
      <c r="D97" s="637">
        <v>11363</v>
      </c>
      <c r="E97" s="637">
        <v>11376</v>
      </c>
      <c r="F97" s="637">
        <v>11483</v>
      </c>
      <c r="G97" s="638">
        <v>11654</v>
      </c>
      <c r="H97" s="961">
        <v>12033</v>
      </c>
      <c r="I97" s="961">
        <v>12226</v>
      </c>
      <c r="J97" s="1605">
        <v>12301</v>
      </c>
    </row>
    <row r="98" spans="1:10" s="639" customFormat="1" x14ac:dyDescent="0.25">
      <c r="A98" s="635" t="s">
        <v>244</v>
      </c>
      <c r="B98" s="636" t="s">
        <v>245</v>
      </c>
      <c r="C98" s="636" t="s">
        <v>268</v>
      </c>
      <c r="D98" s="637">
        <v>5811</v>
      </c>
      <c r="E98" s="637">
        <v>5977</v>
      </c>
      <c r="F98" s="637">
        <v>6171</v>
      </c>
      <c r="G98" s="638">
        <v>6459</v>
      </c>
      <c r="H98" s="961">
        <v>6701</v>
      </c>
      <c r="I98" s="961">
        <v>6669</v>
      </c>
      <c r="J98" s="1605">
        <v>6866</v>
      </c>
    </row>
    <row r="99" spans="1:10" s="639" customFormat="1" x14ac:dyDescent="0.25">
      <c r="A99" s="635" t="s">
        <v>246</v>
      </c>
      <c r="B99" s="636" t="s">
        <v>247</v>
      </c>
      <c r="C99" s="636" t="s">
        <v>264</v>
      </c>
      <c r="D99" s="637">
        <v>4081</v>
      </c>
      <c r="E99" s="637">
        <v>4442</v>
      </c>
      <c r="F99" s="637">
        <v>4995</v>
      </c>
      <c r="G99" s="638">
        <v>5306</v>
      </c>
      <c r="H99" s="961">
        <v>5520</v>
      </c>
      <c r="I99" s="961">
        <v>5698</v>
      </c>
      <c r="J99" s="1605">
        <v>6071</v>
      </c>
    </row>
    <row r="100" spans="1:10" s="639" customFormat="1" x14ac:dyDescent="0.25">
      <c r="A100" s="635" t="s">
        <v>14</v>
      </c>
      <c r="B100" s="636" t="s">
        <v>15</v>
      </c>
      <c r="C100" s="636" t="s">
        <v>267</v>
      </c>
      <c r="D100" s="637">
        <v>13029</v>
      </c>
      <c r="E100" s="637">
        <v>14056</v>
      </c>
      <c r="F100" s="637">
        <v>14657</v>
      </c>
      <c r="G100" s="638">
        <v>15158</v>
      </c>
      <c r="H100" s="961">
        <v>16053</v>
      </c>
      <c r="I100" s="961">
        <v>16347</v>
      </c>
      <c r="J100" s="1605">
        <v>18338</v>
      </c>
    </row>
    <row r="101" spans="1:10" s="639" customFormat="1" x14ac:dyDescent="0.25">
      <c r="A101" s="635" t="s">
        <v>34</v>
      </c>
      <c r="B101" s="636" t="s">
        <v>35</v>
      </c>
      <c r="C101" s="636" t="s">
        <v>268</v>
      </c>
      <c r="D101" s="637">
        <v>5372</v>
      </c>
      <c r="E101" s="637">
        <v>5548</v>
      </c>
      <c r="F101" s="637">
        <v>5763</v>
      </c>
      <c r="G101" s="638">
        <v>5907</v>
      </c>
      <c r="H101" s="961">
        <v>6229</v>
      </c>
      <c r="I101" s="961">
        <v>6006</v>
      </c>
      <c r="J101" s="1605">
        <v>5833</v>
      </c>
    </row>
    <row r="102" spans="1:10" s="639" customFormat="1" x14ac:dyDescent="0.25">
      <c r="A102" s="635" t="s">
        <v>52</v>
      </c>
      <c r="B102" s="636" t="s">
        <v>53</v>
      </c>
      <c r="C102" s="636" t="s">
        <v>265</v>
      </c>
      <c r="D102" s="637">
        <v>7041</v>
      </c>
      <c r="E102" s="637">
        <v>7248</v>
      </c>
      <c r="F102" s="637">
        <v>7391</v>
      </c>
      <c r="G102" s="638">
        <v>7564</v>
      </c>
      <c r="H102" s="961">
        <v>7765</v>
      </c>
      <c r="I102" s="961">
        <v>7497</v>
      </c>
      <c r="J102" s="1605">
        <v>7686</v>
      </c>
    </row>
    <row r="103" spans="1:10" s="639" customFormat="1" x14ac:dyDescent="0.25">
      <c r="A103" s="635" t="s">
        <v>54</v>
      </c>
      <c r="B103" s="636" t="s">
        <v>55</v>
      </c>
      <c r="C103" s="636" t="s">
        <v>264</v>
      </c>
      <c r="D103" s="637">
        <v>26544</v>
      </c>
      <c r="E103" s="637">
        <v>28694</v>
      </c>
      <c r="F103" s="637">
        <v>30023</v>
      </c>
      <c r="G103" s="638">
        <v>31405</v>
      </c>
      <c r="H103" s="961">
        <v>33054</v>
      </c>
      <c r="I103" s="961">
        <v>34104</v>
      </c>
      <c r="J103" s="1605">
        <v>35837</v>
      </c>
    </row>
    <row r="104" spans="1:10" s="639" customFormat="1" x14ac:dyDescent="0.25">
      <c r="A104" s="635" t="s">
        <v>66</v>
      </c>
      <c r="B104" s="636" t="s">
        <v>67</v>
      </c>
      <c r="C104" s="636" t="s">
        <v>265</v>
      </c>
      <c r="D104" s="637">
        <v>14027</v>
      </c>
      <c r="E104" s="637">
        <v>14616</v>
      </c>
      <c r="F104" s="637">
        <v>15065</v>
      </c>
      <c r="G104" s="638">
        <v>15726</v>
      </c>
      <c r="H104" s="961">
        <v>16291</v>
      </c>
      <c r="I104" s="961">
        <v>16561</v>
      </c>
      <c r="J104" s="1605">
        <v>17125</v>
      </c>
    </row>
    <row r="105" spans="1:10" s="639" customFormat="1" x14ac:dyDescent="0.25">
      <c r="A105" s="635" t="s">
        <v>82</v>
      </c>
      <c r="B105" s="636" t="s">
        <v>83</v>
      </c>
      <c r="C105" s="636" t="s">
        <v>264</v>
      </c>
      <c r="D105" s="637">
        <v>2546</v>
      </c>
      <c r="E105" s="637">
        <v>2688</v>
      </c>
      <c r="F105" s="637">
        <v>2894</v>
      </c>
      <c r="G105" s="638">
        <v>3194</v>
      </c>
      <c r="H105" s="961">
        <v>3315</v>
      </c>
      <c r="I105" s="961">
        <v>3311</v>
      </c>
      <c r="J105" s="1605">
        <v>3374</v>
      </c>
    </row>
    <row r="106" spans="1:10" s="639" customFormat="1" x14ac:dyDescent="0.25">
      <c r="A106" s="635" t="s">
        <v>88</v>
      </c>
      <c r="B106" s="636" t="s">
        <v>89</v>
      </c>
      <c r="C106" s="636" t="s">
        <v>267</v>
      </c>
      <c r="D106" s="637">
        <v>4846</v>
      </c>
      <c r="E106" s="637">
        <v>5187</v>
      </c>
      <c r="F106" s="637">
        <v>5534</v>
      </c>
      <c r="G106" s="638">
        <v>5906</v>
      </c>
      <c r="H106" s="961">
        <v>6094</v>
      </c>
      <c r="I106" s="961">
        <v>6324</v>
      </c>
      <c r="J106" s="1605">
        <v>6788</v>
      </c>
    </row>
    <row r="107" spans="1:10" s="639" customFormat="1" x14ac:dyDescent="0.25">
      <c r="A107" s="635" t="s">
        <v>90</v>
      </c>
      <c r="B107" s="636" t="s">
        <v>91</v>
      </c>
      <c r="C107" s="636" t="s">
        <v>268</v>
      </c>
      <c r="D107" s="637">
        <v>2525</v>
      </c>
      <c r="E107" s="637">
        <v>2574</v>
      </c>
      <c r="F107" s="637">
        <v>2486</v>
      </c>
      <c r="G107" s="638">
        <v>2518</v>
      </c>
      <c r="H107" s="961">
        <v>2566</v>
      </c>
      <c r="I107" s="961">
        <v>2682</v>
      </c>
      <c r="J107" s="1605">
        <v>2661</v>
      </c>
    </row>
    <row r="108" spans="1:10" s="639" customFormat="1" x14ac:dyDescent="0.25">
      <c r="A108" s="635" t="s">
        <v>106</v>
      </c>
      <c r="B108" s="636" t="s">
        <v>107</v>
      </c>
      <c r="C108" s="636" t="s">
        <v>264</v>
      </c>
      <c r="D108" s="637">
        <v>23612</v>
      </c>
      <c r="E108" s="637">
        <v>24651</v>
      </c>
      <c r="F108" s="637">
        <v>26228</v>
      </c>
      <c r="G108" s="638">
        <v>27614</v>
      </c>
      <c r="H108" s="961">
        <v>28769</v>
      </c>
      <c r="I108" s="961">
        <v>29538</v>
      </c>
      <c r="J108" s="1605">
        <v>31530</v>
      </c>
    </row>
    <row r="109" spans="1:10" s="639" customFormat="1" x14ac:dyDescent="0.25">
      <c r="A109" s="635" t="s">
        <v>116</v>
      </c>
      <c r="B109" s="636" t="s">
        <v>117</v>
      </c>
      <c r="C109" s="636" t="s">
        <v>266</v>
      </c>
      <c r="D109" s="637">
        <v>6711</v>
      </c>
      <c r="E109" s="637">
        <v>6971</v>
      </c>
      <c r="F109" s="637">
        <v>7303</v>
      </c>
      <c r="G109" s="638">
        <v>7704</v>
      </c>
      <c r="H109" s="961">
        <v>8056</v>
      </c>
      <c r="I109" s="961">
        <v>8292</v>
      </c>
      <c r="J109" s="1605">
        <v>9004</v>
      </c>
    </row>
    <row r="110" spans="1:10" s="639" customFormat="1" x14ac:dyDescent="0.25">
      <c r="A110" s="635" t="s">
        <v>138</v>
      </c>
      <c r="B110" s="636" t="s">
        <v>139</v>
      </c>
      <c r="C110" s="636" t="s">
        <v>265</v>
      </c>
      <c r="D110" s="637">
        <v>14716</v>
      </c>
      <c r="E110" s="637">
        <v>15489</v>
      </c>
      <c r="F110" s="637">
        <v>16122</v>
      </c>
      <c r="G110" s="638">
        <v>16822</v>
      </c>
      <c r="H110" s="961">
        <v>17494</v>
      </c>
      <c r="I110" s="961">
        <v>17725</v>
      </c>
      <c r="J110" s="1605">
        <v>18584</v>
      </c>
    </row>
    <row r="111" spans="1:10" s="639" customFormat="1" x14ac:dyDescent="0.25">
      <c r="A111" s="635" t="s">
        <v>142</v>
      </c>
      <c r="B111" s="636" t="s">
        <v>143</v>
      </c>
      <c r="C111" s="636" t="s">
        <v>267</v>
      </c>
      <c r="D111" s="637">
        <v>6165</v>
      </c>
      <c r="E111" s="637">
        <v>6953</v>
      </c>
      <c r="F111" s="637">
        <v>7318</v>
      </c>
      <c r="G111" s="638">
        <v>7505</v>
      </c>
      <c r="H111" s="961">
        <v>7934</v>
      </c>
      <c r="I111" s="961">
        <v>8376</v>
      </c>
      <c r="J111" s="1605">
        <v>8943</v>
      </c>
    </row>
    <row r="112" spans="1:10" s="639" customFormat="1" x14ac:dyDescent="0.25">
      <c r="A112" s="635" t="s">
        <v>144</v>
      </c>
      <c r="B112" s="636" t="s">
        <v>145</v>
      </c>
      <c r="C112" s="636" t="s">
        <v>267</v>
      </c>
      <c r="D112" s="637">
        <v>2321</v>
      </c>
      <c r="E112" s="637">
        <v>2366</v>
      </c>
      <c r="F112" s="637">
        <v>2460</v>
      </c>
      <c r="G112" s="638">
        <v>2507</v>
      </c>
      <c r="H112" s="961">
        <v>2804</v>
      </c>
      <c r="I112" s="961">
        <v>2748</v>
      </c>
      <c r="J112" s="1605">
        <v>3220</v>
      </c>
    </row>
    <row r="113" spans="1:11" s="639" customFormat="1" x14ac:dyDescent="0.25">
      <c r="A113" s="635" t="s">
        <v>158</v>
      </c>
      <c r="B113" s="636" t="s">
        <v>159</v>
      </c>
      <c r="C113" s="636" t="s">
        <v>264</v>
      </c>
      <c r="D113" s="637">
        <v>36779</v>
      </c>
      <c r="E113" s="637">
        <v>38337</v>
      </c>
      <c r="F113" s="637">
        <v>40818</v>
      </c>
      <c r="G113" s="638">
        <v>42505</v>
      </c>
      <c r="H113" s="961">
        <v>43949</v>
      </c>
      <c r="I113" s="961">
        <v>44162</v>
      </c>
      <c r="J113" s="1605">
        <v>45837</v>
      </c>
    </row>
    <row r="114" spans="1:11" s="639" customFormat="1" x14ac:dyDescent="0.25">
      <c r="A114" s="635" t="s">
        <v>160</v>
      </c>
      <c r="B114" s="636" t="s">
        <v>161</v>
      </c>
      <c r="C114" s="636" t="s">
        <v>264</v>
      </c>
      <c r="D114" s="637">
        <v>50442</v>
      </c>
      <c r="E114" s="637">
        <v>50455</v>
      </c>
      <c r="F114" s="637">
        <v>52054</v>
      </c>
      <c r="G114" s="638">
        <v>54448</v>
      </c>
      <c r="H114" s="961">
        <v>56361</v>
      </c>
      <c r="I114" s="961">
        <v>57649</v>
      </c>
      <c r="J114" s="1605">
        <v>60128</v>
      </c>
    </row>
    <row r="115" spans="1:11" s="639" customFormat="1" x14ac:dyDescent="0.25">
      <c r="A115" s="635" t="s">
        <v>166</v>
      </c>
      <c r="B115" s="636" t="s">
        <v>167</v>
      </c>
      <c r="C115" s="636" t="s">
        <v>268</v>
      </c>
      <c r="D115" s="637">
        <v>1419</v>
      </c>
      <c r="E115" s="637">
        <v>1377</v>
      </c>
      <c r="F115" s="637">
        <v>1392</v>
      </c>
      <c r="G115" s="638">
        <v>1494</v>
      </c>
      <c r="H115" s="961">
        <v>1503</v>
      </c>
      <c r="I115" s="961">
        <v>1494</v>
      </c>
      <c r="J115" s="1605">
        <v>1486</v>
      </c>
    </row>
    <row r="116" spans="1:11" s="639" customFormat="1" x14ac:dyDescent="0.25">
      <c r="A116" s="635" t="s">
        <v>176</v>
      </c>
      <c r="B116" s="636" t="s">
        <v>177</v>
      </c>
      <c r="C116" s="636" t="s">
        <v>266</v>
      </c>
      <c r="D116" s="637">
        <v>11093</v>
      </c>
      <c r="E116" s="637">
        <v>11308</v>
      </c>
      <c r="F116" s="637">
        <v>11830</v>
      </c>
      <c r="G116" s="638">
        <v>11991</v>
      </c>
      <c r="H116" s="961">
        <v>12152</v>
      </c>
      <c r="I116" s="961">
        <v>12186</v>
      </c>
      <c r="J116" s="1605">
        <v>12744</v>
      </c>
    </row>
    <row r="117" spans="1:11" s="639" customFormat="1" x14ac:dyDescent="0.25">
      <c r="A117" s="635" t="s">
        <v>180</v>
      </c>
      <c r="B117" s="636" t="s">
        <v>181</v>
      </c>
      <c r="C117" s="636" t="s">
        <v>264</v>
      </c>
      <c r="D117" s="637">
        <v>23479</v>
      </c>
      <c r="E117" s="637">
        <v>24259</v>
      </c>
      <c r="F117" s="637">
        <v>25241</v>
      </c>
      <c r="G117" s="638">
        <v>26822</v>
      </c>
      <c r="H117" s="961">
        <v>27875</v>
      </c>
      <c r="I117" s="961">
        <v>28467</v>
      </c>
      <c r="J117" s="1605">
        <v>30501</v>
      </c>
    </row>
    <row r="118" spans="1:11" s="639" customFormat="1" x14ac:dyDescent="0.25">
      <c r="A118" s="635" t="s">
        <v>192</v>
      </c>
      <c r="B118" s="636" t="s">
        <v>193</v>
      </c>
      <c r="C118" s="636" t="s">
        <v>268</v>
      </c>
      <c r="D118" s="637">
        <v>2076</v>
      </c>
      <c r="E118" s="637">
        <v>2127</v>
      </c>
      <c r="F118" s="637">
        <v>2238</v>
      </c>
      <c r="G118" s="638">
        <v>2314</v>
      </c>
      <c r="H118" s="961">
        <v>2371</v>
      </c>
      <c r="I118" s="961">
        <v>2467</v>
      </c>
      <c r="J118" s="1605">
        <v>2540</v>
      </c>
    </row>
    <row r="119" spans="1:11" s="639" customFormat="1" x14ac:dyDescent="0.25">
      <c r="A119" s="635" t="s">
        <v>196</v>
      </c>
      <c r="B119" s="636" t="s">
        <v>197</v>
      </c>
      <c r="C119" s="636" t="s">
        <v>266</v>
      </c>
      <c r="D119" s="637">
        <v>53763</v>
      </c>
      <c r="E119" s="637">
        <v>54660</v>
      </c>
      <c r="F119" s="637">
        <v>55559</v>
      </c>
      <c r="G119" s="638">
        <v>56264</v>
      </c>
      <c r="H119" s="961">
        <v>57781</v>
      </c>
      <c r="I119" s="961">
        <v>58266</v>
      </c>
      <c r="J119" s="1605">
        <v>60000</v>
      </c>
    </row>
    <row r="120" spans="1:11" s="639" customFormat="1" x14ac:dyDescent="0.25">
      <c r="A120" s="635" t="s">
        <v>200</v>
      </c>
      <c r="B120" s="636" t="s">
        <v>201</v>
      </c>
      <c r="C120" s="636" t="s">
        <v>265</v>
      </c>
      <c r="D120" s="637">
        <v>26027</v>
      </c>
      <c r="E120" s="637">
        <v>27247</v>
      </c>
      <c r="F120" s="637">
        <v>28258</v>
      </c>
      <c r="G120" s="638">
        <v>29646</v>
      </c>
      <c r="H120" s="961">
        <v>30805</v>
      </c>
      <c r="I120" s="961">
        <v>31083</v>
      </c>
      <c r="J120" s="1605">
        <v>31771</v>
      </c>
    </row>
    <row r="121" spans="1:11" s="639" customFormat="1" x14ac:dyDescent="0.25">
      <c r="A121" s="635" t="s">
        <v>222</v>
      </c>
      <c r="B121" s="636" t="s">
        <v>223</v>
      </c>
      <c r="C121" s="636" t="s">
        <v>264</v>
      </c>
      <c r="D121" s="637">
        <v>13356</v>
      </c>
      <c r="E121" s="637">
        <v>14165</v>
      </c>
      <c r="F121" s="637">
        <v>15116</v>
      </c>
      <c r="G121" s="638">
        <v>15757</v>
      </c>
      <c r="H121" s="961">
        <v>16510</v>
      </c>
      <c r="I121" s="961">
        <v>16884</v>
      </c>
      <c r="J121" s="1605">
        <v>17519</v>
      </c>
    </row>
    <row r="122" spans="1:11" s="639" customFormat="1" x14ac:dyDescent="0.25">
      <c r="A122" s="635" t="s">
        <v>230</v>
      </c>
      <c r="B122" s="636" t="s">
        <v>231</v>
      </c>
      <c r="C122" s="636" t="s">
        <v>264</v>
      </c>
      <c r="D122" s="637">
        <v>40826</v>
      </c>
      <c r="E122" s="637">
        <v>43882</v>
      </c>
      <c r="F122" s="637">
        <v>46581</v>
      </c>
      <c r="G122" s="638">
        <v>49219</v>
      </c>
      <c r="H122" s="961">
        <v>51524</v>
      </c>
      <c r="I122" s="961">
        <v>52794</v>
      </c>
      <c r="J122" s="1605">
        <v>57656</v>
      </c>
    </row>
    <row r="123" spans="1:11" s="639" customFormat="1" x14ac:dyDescent="0.25">
      <c r="A123" s="635" t="s">
        <v>238</v>
      </c>
      <c r="B123" s="636" t="s">
        <v>239</v>
      </c>
      <c r="C123" s="636" t="s">
        <v>264</v>
      </c>
      <c r="D123" s="637">
        <v>1132</v>
      </c>
      <c r="E123" s="637">
        <v>1262</v>
      </c>
      <c r="F123" s="637">
        <v>1479</v>
      </c>
      <c r="G123" s="638">
        <v>1524</v>
      </c>
      <c r="H123" s="961">
        <v>1610</v>
      </c>
      <c r="I123" s="961">
        <v>1678</v>
      </c>
      <c r="J123" s="1605">
        <v>1781</v>
      </c>
    </row>
    <row r="124" spans="1:11" s="639" customFormat="1" x14ac:dyDescent="0.25">
      <c r="A124" s="635" t="s">
        <v>240</v>
      </c>
      <c r="B124" s="636" t="s">
        <v>241</v>
      </c>
      <c r="C124" s="636" t="s">
        <v>267</v>
      </c>
      <c r="D124" s="637">
        <v>4966</v>
      </c>
      <c r="E124" s="637">
        <v>5477</v>
      </c>
      <c r="F124" s="637">
        <v>5943</v>
      </c>
      <c r="G124" s="638">
        <v>6085</v>
      </c>
      <c r="H124" s="961">
        <v>6480</v>
      </c>
      <c r="I124" s="961">
        <v>6580</v>
      </c>
      <c r="J124" s="1605">
        <v>6993</v>
      </c>
    </row>
    <row r="125" spans="1:11" ht="29.25" customHeight="1" x14ac:dyDescent="0.25">
      <c r="A125" s="561" t="s">
        <v>8</v>
      </c>
      <c r="B125" s="641" t="s">
        <v>799</v>
      </c>
      <c r="C125" s="634"/>
      <c r="D125" s="550">
        <v>1065610</v>
      </c>
      <c r="E125" s="550">
        <v>1131369</v>
      </c>
      <c r="F125" s="550">
        <v>1190299</v>
      </c>
      <c r="G125" s="642">
        <v>1238189</v>
      </c>
      <c r="H125" s="642">
        <v>1292800</v>
      </c>
      <c r="I125" s="642">
        <v>1314786</v>
      </c>
      <c r="J125" s="1606">
        <v>1390460</v>
      </c>
    </row>
    <row r="127" spans="1:11" ht="12.75" customHeight="1" x14ac:dyDescent="0.25">
      <c r="A127" s="2104" t="s">
        <v>1156</v>
      </c>
      <c r="B127" s="2105"/>
      <c r="C127" s="2105"/>
      <c r="D127" s="2105"/>
      <c r="E127" s="2105"/>
      <c r="F127" s="2105"/>
      <c r="G127" s="2105"/>
      <c r="H127" s="2105"/>
      <c r="I127" s="2105"/>
      <c r="J127" s="2105"/>
      <c r="K127" s="2105"/>
    </row>
    <row r="128" spans="1:11" x14ac:dyDescent="0.25">
      <c r="A128" s="2105"/>
      <c r="B128" s="2105"/>
      <c r="C128" s="2105"/>
      <c r="D128" s="2105"/>
      <c r="E128" s="2105"/>
      <c r="F128" s="2105"/>
      <c r="G128" s="2105"/>
      <c r="H128" s="2105"/>
      <c r="I128" s="2105"/>
      <c r="J128" s="2105"/>
      <c r="K128" s="2105"/>
    </row>
    <row r="129" spans="1:11" ht="18" customHeight="1" x14ac:dyDescent="0.25">
      <c r="A129" s="2105"/>
      <c r="B129" s="2105"/>
      <c r="C129" s="2105"/>
      <c r="D129" s="2105"/>
      <c r="E129" s="2105"/>
      <c r="F129" s="2105"/>
      <c r="G129" s="2105"/>
      <c r="H129" s="2105"/>
      <c r="I129" s="2105"/>
      <c r="J129" s="2105"/>
      <c r="K129" s="2105"/>
    </row>
    <row r="130" spans="1:11" x14ac:dyDescent="0.25">
      <c r="A130" s="562"/>
      <c r="B130" s="562"/>
      <c r="C130" s="562"/>
      <c r="D130" s="562"/>
      <c r="E130" s="562"/>
      <c r="F130" s="562"/>
      <c r="G130" s="562"/>
      <c r="H130" s="956"/>
      <c r="I130" s="1162"/>
      <c r="J130" s="1595"/>
      <c r="K130" s="562"/>
    </row>
    <row r="131" spans="1:11" s="414" customFormat="1" x14ac:dyDescent="0.25">
      <c r="A131" s="414" t="s">
        <v>248</v>
      </c>
    </row>
    <row r="132" spans="1:11" s="414" customFormat="1" x14ac:dyDescent="0.25">
      <c r="A132" s="415" t="s">
        <v>249</v>
      </c>
      <c r="B132" s="416" t="s">
        <v>250</v>
      </c>
      <c r="C132" s="416"/>
    </row>
  </sheetData>
  <autoFilter ref="A3:C3"/>
  <sortState ref="A5:K124">
    <sortCondition ref="A5:A124"/>
  </sortState>
  <mergeCells count="1">
    <mergeCell ref="A127:K129"/>
  </mergeCells>
  <hyperlinks>
    <hyperlink ref="B13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opLeftCell="A8" workbookViewId="0">
      <selection activeCell="D18" sqref="D18"/>
    </sheetView>
  </sheetViews>
  <sheetFormatPr defaultRowHeight="15.75" x14ac:dyDescent="0.25"/>
  <cols>
    <col min="1" max="1" width="18.25" customWidth="1"/>
    <col min="2" max="2" width="17.75" customWidth="1"/>
    <col min="3" max="3" width="14.625" customWidth="1"/>
  </cols>
  <sheetData>
    <row r="1" spans="1:4" x14ac:dyDescent="0.25">
      <c r="A1" t="s">
        <v>905</v>
      </c>
    </row>
    <row r="2" spans="1:4" x14ac:dyDescent="0.25">
      <c r="B2" t="str">
        <f>Profile!D3</f>
        <v>Accomack</v>
      </c>
      <c r="C2" t="str">
        <f>Profile!K3</f>
        <v>Eastern</v>
      </c>
      <c r="D2" t="s">
        <v>872</v>
      </c>
    </row>
    <row r="3" spans="1:4" x14ac:dyDescent="0.25">
      <c r="A3">
        <v>1998</v>
      </c>
      <c r="B3" s="1278">
        <f>VLOOKUP(Profile!I3,NMBirths_Trend,36,FALSE)</f>
        <v>0.5298329355608592</v>
      </c>
      <c r="C3" s="1278">
        <f>VLOOKUP(Profile!K3,NMBirths_Trend,36,FALSE)</f>
        <v>0.37341746714360358</v>
      </c>
      <c r="D3" s="1278">
        <f>'NM Births_1998-2013'!AJ5</f>
        <v>0.2981171770406103</v>
      </c>
    </row>
    <row r="4" spans="1:4" x14ac:dyDescent="0.25">
      <c r="A4">
        <v>1999</v>
      </c>
      <c r="B4" s="1278">
        <f>VLOOKUP(Profile!I3,NMBirths_Trend,37,FALSE)</f>
        <v>0.51756440281030447</v>
      </c>
      <c r="C4" s="1278">
        <f>VLOOKUP(Profile!K3,NMBirths_Trend,37,FALSE)</f>
        <v>0.37722880362269035</v>
      </c>
      <c r="D4" s="1278">
        <f>'NM Births_1998-2013'!AK5</f>
        <v>0.29729956830905291</v>
      </c>
    </row>
    <row r="5" spans="1:4" x14ac:dyDescent="0.25">
      <c r="A5">
        <v>2000</v>
      </c>
      <c r="B5" s="1278">
        <f>VLOOKUP(Profile!I3,NMBirths_Trend,38,FALSE)</f>
        <v>0.4946236559139785</v>
      </c>
      <c r="C5" s="1278">
        <f>VLOOKUP(Profile!K3,NMBirths_Trend,38,FALSE)</f>
        <v>0.37406208040439143</v>
      </c>
      <c r="D5" s="1278">
        <f>'NM Births_1998-2013'!AL5</f>
        <v>0.29975521929114746</v>
      </c>
    </row>
    <row r="6" spans="1:4" x14ac:dyDescent="0.25">
      <c r="A6">
        <v>2001</v>
      </c>
      <c r="B6" s="1278">
        <f>VLOOKUP(Profile!I3,NMBirths_Trend,39,FALSE)</f>
        <v>0.48988764044943822</v>
      </c>
      <c r="C6" s="1278">
        <f>VLOOKUP(Profile!K3,NMBirths_Trend,39,FALSE)</f>
        <v>0.3923052157115261</v>
      </c>
      <c r="D6" s="1278">
        <f>'NM Births_1998-2013'!AM5</f>
        <v>0.303681074991627</v>
      </c>
    </row>
    <row r="7" spans="1:4" x14ac:dyDescent="0.25">
      <c r="A7">
        <v>2002</v>
      </c>
      <c r="B7" s="1278">
        <f>VLOOKUP(Profile!I3,NMBirths_Trend,40,FALSE)</f>
        <v>0.54716981132075471</v>
      </c>
      <c r="C7" s="1278">
        <f>VLOOKUP(Profile!K3,NMBirths_Trend,40,FALSE)</f>
        <v>0.38504755407520364</v>
      </c>
      <c r="D7" s="1278">
        <f>'NM Births_1998-2013'!AN5</f>
        <v>0.30455988310575904</v>
      </c>
    </row>
    <row r="8" spans="1:4" x14ac:dyDescent="0.25">
      <c r="A8">
        <v>2003</v>
      </c>
      <c r="B8" s="1278">
        <f>VLOOKUP(Profile!I3,NMBirths_Trend,41,FALSE)</f>
        <v>0.57236842105263153</v>
      </c>
      <c r="C8" s="1278">
        <f>VLOOKUP(Profile!K3,NMBirths_Trend,41,FALSE)</f>
        <v>0.37942966233146402</v>
      </c>
      <c r="D8" s="1278">
        <f>'NM Births_1998-2013'!AO5</f>
        <v>0.3059734887282346</v>
      </c>
    </row>
    <row r="9" spans="1:4" x14ac:dyDescent="0.25">
      <c r="A9">
        <v>2004</v>
      </c>
      <c r="B9" s="1278">
        <f>VLOOKUP(Profile!I3,NMBirths_Trend,42,FALSE)</f>
        <v>0.55463917525773199</v>
      </c>
      <c r="C9" s="1278">
        <f>VLOOKUP(Profile!K3,NMBirths_Trend,42,FALSE)</f>
        <v>0.37898931075437725</v>
      </c>
      <c r="D9" s="1278">
        <f>'NM Births_1998-2013'!AP5</f>
        <v>0.31002600404507369</v>
      </c>
    </row>
    <row r="10" spans="1:4" x14ac:dyDescent="0.25">
      <c r="A10">
        <v>2005</v>
      </c>
      <c r="B10" s="1278">
        <f>VLOOKUP(Profile!I3,NMBirths_Trend,43,FALSE)</f>
        <v>0.59023354564755837</v>
      </c>
      <c r="C10" s="1278">
        <f>VLOOKUP(Profile!K3,NMBirths_Trend,43,FALSE)</f>
        <v>0.38483135114057321</v>
      </c>
      <c r="D10" s="1278">
        <f>'NM Births_1998-2013'!AQ5</f>
        <v>0.32234323558686168</v>
      </c>
    </row>
    <row r="11" spans="1:4" x14ac:dyDescent="0.25">
      <c r="A11">
        <v>2006</v>
      </c>
      <c r="B11" s="1278">
        <f>VLOOKUP(Profile!I3,NMBirths_Trend,44,FALSE)</f>
        <v>0.65638766519823788</v>
      </c>
      <c r="C11" s="1278">
        <f>VLOOKUP(Profile!K3,NMBirths_Trend,44,FALSE)</f>
        <v>0.39784905228633538</v>
      </c>
      <c r="D11" s="1278">
        <f>'NM Births_1998-2013'!AR5</f>
        <v>0.34083438210267297</v>
      </c>
    </row>
    <row r="12" spans="1:4" x14ac:dyDescent="0.25">
      <c r="A12">
        <v>2007</v>
      </c>
      <c r="B12" s="1278">
        <f>VLOOKUP(Profile!I3,NMBirths_Trend,45,FALSE)</f>
        <v>0.62204724409448819</v>
      </c>
      <c r="C12" s="1278">
        <f>VLOOKUP(Profile!K3,NMBirths_Trend,45,FALSE)</f>
        <v>0.40717948717948715</v>
      </c>
      <c r="D12" s="1278">
        <f>'NM Births_1998-2013'!AS5</f>
        <v>0.35309038250458874</v>
      </c>
    </row>
    <row r="13" spans="1:4" x14ac:dyDescent="0.25">
      <c r="A13">
        <v>2008</v>
      </c>
      <c r="B13" s="1278">
        <f>VLOOKUP(Profile!I3,NMBirths_Trend,46,FALSE)</f>
        <v>0.61814345991561181</v>
      </c>
      <c r="C13" s="1278">
        <f>VLOOKUP(Profile!K3,NMBirths_Trend,46,FALSE)</f>
        <v>0.42314872433105166</v>
      </c>
      <c r="D13" s="1278">
        <f>'NM Births_1998-2013'!AT5</f>
        <v>0.35843232186755242</v>
      </c>
    </row>
    <row r="14" spans="1:4" x14ac:dyDescent="0.25">
      <c r="A14">
        <v>2009</v>
      </c>
      <c r="B14" s="1278">
        <f>VLOOKUP(Profile!I3,NMBirths_Trend,47,FALSE)</f>
        <v>0.62383177570093462</v>
      </c>
      <c r="C14" s="1278">
        <f>VLOOKUP(Profile!K3,NMBirths_Trend,47,FALSE)</f>
        <v>0.42440128678660788</v>
      </c>
      <c r="D14" s="1278">
        <f>'NM Births_1998-2013'!AU5</f>
        <v>0.35824307718686593</v>
      </c>
    </row>
    <row r="15" spans="1:4" x14ac:dyDescent="0.25">
      <c r="A15">
        <v>2010</v>
      </c>
      <c r="B15" s="1278">
        <f>VLOOKUP(Profile!I3,NMBirths_Trend,48,FALSE)</f>
        <v>0.5889145496535797</v>
      </c>
      <c r="C15" s="1278">
        <f>VLOOKUP(Profile!K3,NMBirths_Trend,48,FALSE)</f>
        <v>0.42288821653446723</v>
      </c>
      <c r="D15" s="1278">
        <f>'NM Births_1998-2013'!AV5</f>
        <v>0.35490702780422406</v>
      </c>
    </row>
    <row r="16" spans="1:4" x14ac:dyDescent="0.25">
      <c r="A16">
        <v>2011</v>
      </c>
      <c r="B16" s="1278">
        <f>VLOOKUP(Profile!I3,NMBirths_Trend,49,FALSE)</f>
        <v>0.57740585774058573</v>
      </c>
      <c r="C16" s="1278">
        <f>VLOOKUP(Profile!K3,NMBirths_Trend,49,FALSE)</f>
        <v>0.42436647971506941</v>
      </c>
      <c r="D16" s="1278">
        <f>'NM Births_1998-2013'!AW5</f>
        <v>0.35493782004389174</v>
      </c>
    </row>
    <row r="17" spans="1:4" x14ac:dyDescent="0.25">
      <c r="A17">
        <v>2012</v>
      </c>
      <c r="B17" s="1278">
        <f>VLOOKUP(Profile!I3,NMBirths_Trend,50,FALSE)</f>
        <v>0.56060606060606055</v>
      </c>
      <c r="C17" s="1278">
        <f>VLOOKUP(Profile!K3,NMBirths_Trend,50,FALSE)</f>
        <v>0.42346055560135193</v>
      </c>
      <c r="D17" s="1278">
        <f>'NM Births_1998-2013'!AX5</f>
        <v>0.35279298907704426</v>
      </c>
    </row>
    <row r="18" spans="1:4" x14ac:dyDescent="0.25">
      <c r="A18">
        <v>2013</v>
      </c>
      <c r="B18" s="1278">
        <f>VLOOKUP(Profile!I3,NMBirths_Trend,51,FALSE)</f>
        <v>0.60762942779291551</v>
      </c>
      <c r="C18" s="1278">
        <f>VLOOKUP(Profile!K3,NMBirths_Trend,51,FALSE)</f>
        <v>0.41242131766680656</v>
      </c>
      <c r="D18" s="1278">
        <f>'NM Births_1998-2013'!AY5</f>
        <v>0.34604861880620141</v>
      </c>
    </row>
    <row r="20" spans="1:4" x14ac:dyDescent="0.25">
      <c r="A20" t="s">
        <v>904</v>
      </c>
    </row>
    <row r="21" spans="1:4" x14ac:dyDescent="0.25">
      <c r="B21" t="str">
        <f>Profile!D3</f>
        <v>Accomack</v>
      </c>
      <c r="C21" t="str">
        <f>Profile!K3</f>
        <v>Eastern</v>
      </c>
      <c r="D21" t="s">
        <v>872</v>
      </c>
    </row>
    <row r="22" spans="1:4" x14ac:dyDescent="0.25">
      <c r="A22">
        <v>1998</v>
      </c>
      <c r="B22" s="1297">
        <f>VLOOKUP(Profile!I3,TeenBirths_Trend,36,FALSE)</f>
        <v>33.483258370814596</v>
      </c>
      <c r="C22" s="1297">
        <f>VLOOKUP(Profile!K3,TeenBirths_Trend,36,FALSE)</f>
        <v>26.16430374830064</v>
      </c>
      <c r="D22" s="1297">
        <f>'Teen Births_1998-2013'!AJ5</f>
        <v>21.993094229370861</v>
      </c>
    </row>
    <row r="23" spans="1:4" x14ac:dyDescent="0.25">
      <c r="A23">
        <v>1999</v>
      </c>
      <c r="B23" s="1297">
        <f>VLOOKUP(Profile!I3,TeenBirths_Trend,37,FALSE)</f>
        <v>40.520260130065033</v>
      </c>
      <c r="C23" s="1297">
        <f>VLOOKUP(Profile!K3,TeenBirths_Trend,37,FALSE)</f>
        <v>25.422437567612867</v>
      </c>
      <c r="D23" s="1297">
        <f>'Teen Births_1998-2013'!AK5</f>
        <v>21.672451714894493</v>
      </c>
    </row>
    <row r="24" spans="1:4" x14ac:dyDescent="0.25">
      <c r="A24">
        <v>2000</v>
      </c>
      <c r="B24" s="1297">
        <f>VLOOKUP(Profile!I3,TeenBirths_Trend,38,FALSE)</f>
        <v>34.803723188992308</v>
      </c>
      <c r="C24" s="1297">
        <f>VLOOKUP(Profile!K3,TeenBirths_Trend,38,FALSE)</f>
        <v>24.942933231881302</v>
      </c>
      <c r="D24" s="1297">
        <f>'Teen Births_1998-2013'!AL5</f>
        <v>20.498076279692203</v>
      </c>
    </row>
    <row r="25" spans="1:4" x14ac:dyDescent="0.25">
      <c r="A25">
        <v>2001</v>
      </c>
      <c r="B25" s="1297">
        <f>VLOOKUP(Profile!I3,TeenBirths_Trend,39,FALSE)</f>
        <v>23.668639053254438</v>
      </c>
      <c r="C25" s="1297">
        <f>VLOOKUP(Profile!K3,TeenBirths_Trend,39,FALSE)</f>
        <v>24.200348308497308</v>
      </c>
      <c r="D25" s="1297">
        <f>'Teen Births_1998-2013'!AM5</f>
        <v>19.688543968751606</v>
      </c>
    </row>
    <row r="26" spans="1:4" x14ac:dyDescent="0.25">
      <c r="A26">
        <v>2002</v>
      </c>
      <c r="B26" s="1297">
        <f>VLOOKUP(Profile!I3,TeenBirths_Trend,40,FALSE)</f>
        <v>33.307210031347964</v>
      </c>
      <c r="C26" s="1297">
        <f>VLOOKUP(Profile!K3,TeenBirths_Trend,40,FALSE)</f>
        <v>23.263812888902788</v>
      </c>
      <c r="D26" s="1297">
        <f>'Teen Births_1998-2013'!AN5</f>
        <v>18.674449210372391</v>
      </c>
    </row>
    <row r="27" spans="1:4" x14ac:dyDescent="0.25">
      <c r="A27">
        <v>2003</v>
      </c>
      <c r="B27" s="1297">
        <f>VLOOKUP(Profile!I3,TeenBirths_Trend,41,FALSE)</f>
        <v>33.397312859884835</v>
      </c>
      <c r="C27" s="1297">
        <f>VLOOKUP(Profile!K3,TeenBirths_Trend,41,FALSE)</f>
        <v>21.303566215447969</v>
      </c>
      <c r="D27" s="1297">
        <f>'Teen Births_1998-2013'!AO5</f>
        <v>17.903555881281065</v>
      </c>
    </row>
    <row r="28" spans="1:4" x14ac:dyDescent="0.25">
      <c r="A28">
        <v>2004</v>
      </c>
      <c r="B28" s="1297">
        <f>VLOOKUP(Profile!I3,TeenBirths_Trend,42,FALSE)</f>
        <v>28.974158183241972</v>
      </c>
      <c r="C28" s="1297">
        <f>VLOOKUP(Profile!K3,TeenBirths_Trend,42,FALSE)</f>
        <v>21.586554001015838</v>
      </c>
      <c r="D28" s="1297">
        <f>'Teen Births_1998-2013'!AP5</f>
        <v>17.707166297187989</v>
      </c>
    </row>
    <row r="29" spans="1:4" x14ac:dyDescent="0.25">
      <c r="A29">
        <v>2005</v>
      </c>
      <c r="B29" s="1297">
        <f>VLOOKUP(Profile!I3,TeenBirths_Trend,43,FALSE)</f>
        <v>34.194831013916499</v>
      </c>
      <c r="C29" s="1297">
        <f>VLOOKUP(Profile!K3,TeenBirths_Trend,43,FALSE)</f>
        <v>21.111042222084446</v>
      </c>
      <c r="D29" s="1297">
        <f>'Teen Births_1998-2013'!AQ5</f>
        <v>17.591687162315662</v>
      </c>
    </row>
    <row r="30" spans="1:4" x14ac:dyDescent="0.25">
      <c r="A30">
        <v>2006</v>
      </c>
      <c r="B30" s="1297">
        <f>VLOOKUP(Profile!I3,TeenBirths_Trend,44,FALSE)</f>
        <v>32.271241830065364</v>
      </c>
      <c r="C30" s="1297">
        <f>VLOOKUP(Profile!K3,TeenBirths_Trend,44,FALSE)</f>
        <v>21.461512562932111</v>
      </c>
      <c r="D30" s="1297">
        <f>'Teen Births_1998-2013'!AR5</f>
        <v>18.306180625228926</v>
      </c>
    </row>
    <row r="31" spans="1:4" x14ac:dyDescent="0.25">
      <c r="A31">
        <v>2007</v>
      </c>
      <c r="B31" s="1297">
        <f>VLOOKUP(Profile!I3,TeenBirths_Trend,45,FALSE)</f>
        <v>37.663986457892513</v>
      </c>
      <c r="C31" s="1297">
        <f>VLOOKUP(Profile!K3,TeenBirths_Trend,45,FALSE)</f>
        <v>21.50318710748461</v>
      </c>
      <c r="D31" s="1297">
        <f>'Teen Births_1998-2013'!AS5</f>
        <v>18.39683066850121</v>
      </c>
    </row>
    <row r="32" spans="1:4" x14ac:dyDescent="0.25">
      <c r="A32">
        <v>2008</v>
      </c>
      <c r="B32" s="1297">
        <f>VLOOKUP(Profile!I3,TeenBirths_Trend,46,FALSE)</f>
        <v>32.77274687365243</v>
      </c>
      <c r="C32" s="1297">
        <f>VLOOKUP(Profile!K3,TeenBirths_Trend,46,FALSE)</f>
        <v>20.230346309403437</v>
      </c>
      <c r="D32" s="1297">
        <f>'Teen Births_1998-2013'!AT5</f>
        <v>17.690427455734188</v>
      </c>
    </row>
    <row r="33" spans="1:4" x14ac:dyDescent="0.25">
      <c r="A33">
        <v>2009</v>
      </c>
      <c r="B33" s="1297">
        <f>VLOOKUP(Profile!I3,TeenBirths_Trend,47,FALSE)</f>
        <v>21.557413110426747</v>
      </c>
      <c r="C33" s="1297">
        <f>VLOOKUP(Profile!K3,TeenBirths_Trend,47,FALSE)</f>
        <v>19.306958769150995</v>
      </c>
      <c r="D33" s="1297">
        <f>'Teen Births_1998-2013'!AU5</f>
        <v>16.372318054611284</v>
      </c>
    </row>
    <row r="34" spans="1:4" x14ac:dyDescent="0.25">
      <c r="A34">
        <v>2010</v>
      </c>
      <c r="B34" s="1297">
        <f>VLOOKUP(Profile!I3,TeenBirths_Trend,48,FALSE)</f>
        <v>29.168959823885526</v>
      </c>
      <c r="C34" s="1297">
        <f>VLOOKUP(Profile!K3,TeenBirths_Trend,48,FALSE)</f>
        <v>17.725513398910337</v>
      </c>
      <c r="D34" s="1297">
        <f>'Teen Births_1998-2013'!AV5</f>
        <v>14.340618588477803</v>
      </c>
    </row>
    <row r="35" spans="1:4" x14ac:dyDescent="0.25">
      <c r="A35">
        <v>2011</v>
      </c>
      <c r="B35" s="1297">
        <f>VLOOKUP(Profile!I3,TeenBirths_Trend,49,FALSE)</f>
        <v>23.982152816508645</v>
      </c>
      <c r="C35" s="1297">
        <f>VLOOKUP(Profile!K3,TeenBirths_Trend,49,FALSE)</f>
        <v>15.679046633170904</v>
      </c>
      <c r="D35" s="1297">
        <f>'Teen Births_1998-2013'!AW5</f>
        <v>12.702167795404645</v>
      </c>
    </row>
    <row r="36" spans="1:4" x14ac:dyDescent="0.25">
      <c r="A36">
        <v>2012</v>
      </c>
      <c r="B36" s="1297">
        <f>VLOOKUP(Profile!I3,TeenBirths_Trend,50,FALSE)</f>
        <v>18.212862834376779</v>
      </c>
      <c r="C36" s="1297">
        <f>VLOOKUP(Profile!K3,TeenBirths_Trend,50,FALSE)</f>
        <v>14.462774596119328</v>
      </c>
      <c r="D36" s="1297">
        <f>'Teen Births_1998-2013'!AX5</f>
        <v>11.846432840922917</v>
      </c>
    </row>
    <row r="37" spans="1:4" x14ac:dyDescent="0.25">
      <c r="A37">
        <v>2013</v>
      </c>
      <c r="B37" s="1297">
        <f>VLOOKUP(Profile!I3,TeenBirths_Trend,51,FALSE)</f>
        <v>13.248847926267281</v>
      </c>
      <c r="C37" s="1297">
        <f>VLOOKUP(Profile!K3,TeenBirths_Trend,51,FALSE)</f>
        <v>12.325090549026759</v>
      </c>
      <c r="D37" s="1297">
        <f>'Teen Births_1998-2013'!AY5</f>
        <v>10.25553965050911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131"/>
  <sheetViews>
    <sheetView topLeftCell="A101" workbookViewId="0">
      <selection activeCell="H8" sqref="H8"/>
    </sheetView>
  </sheetViews>
  <sheetFormatPr defaultRowHeight="15.75" x14ac:dyDescent="0.25"/>
  <cols>
    <col min="1" max="1" width="5.875" style="532" customWidth="1"/>
    <col min="2" max="2" width="29.5" style="532" customWidth="1"/>
    <col min="3" max="3" width="16.25" style="532" customWidth="1"/>
    <col min="4" max="6" width="11.375" style="532" customWidth="1"/>
    <col min="7" max="7" width="3.875" style="532" customWidth="1"/>
    <col min="8" max="16384" width="9" style="532"/>
  </cols>
  <sheetData>
    <row r="1" spans="1:6" x14ac:dyDescent="0.25">
      <c r="A1" s="258" t="s">
        <v>1165</v>
      </c>
    </row>
    <row r="3" spans="1:6" x14ac:dyDescent="0.25">
      <c r="A3" s="640" t="s">
        <v>4</v>
      </c>
      <c r="B3" s="595" t="s">
        <v>5</v>
      </c>
      <c r="C3" s="595" t="s">
        <v>251</v>
      </c>
      <c r="D3" s="646" t="s">
        <v>930</v>
      </c>
      <c r="E3" s="646" t="s">
        <v>931</v>
      </c>
      <c r="F3" s="646" t="s">
        <v>1164</v>
      </c>
    </row>
    <row r="4" spans="1:6" x14ac:dyDescent="0.25">
      <c r="A4" s="643">
        <v>999</v>
      </c>
      <c r="B4" s="644" t="s">
        <v>798</v>
      </c>
      <c r="C4" s="644"/>
      <c r="D4" s="960">
        <f>SUM(D5:D124)</f>
        <v>414719</v>
      </c>
      <c r="E4" s="960">
        <f>SUM(E5:E124)</f>
        <v>381256</v>
      </c>
      <c r="F4" s="1601"/>
    </row>
    <row r="5" spans="1:6" s="639" customFormat="1" x14ac:dyDescent="0.25">
      <c r="A5" s="635" t="s">
        <v>10</v>
      </c>
      <c r="B5" s="636" t="s">
        <v>11</v>
      </c>
      <c r="C5" s="636" t="s">
        <v>264</v>
      </c>
      <c r="D5" s="961">
        <v>5135</v>
      </c>
      <c r="E5" s="961">
        <v>4948</v>
      </c>
      <c r="F5" s="1602"/>
    </row>
    <row r="6" spans="1:6" s="639" customFormat="1" x14ac:dyDescent="0.25">
      <c r="A6" s="635" t="s">
        <v>12</v>
      </c>
      <c r="B6" s="636" t="s">
        <v>13</v>
      </c>
      <c r="C6" s="636" t="s">
        <v>265</v>
      </c>
      <c r="D6" s="961">
        <v>3348</v>
      </c>
      <c r="E6" s="961">
        <v>2836</v>
      </c>
      <c r="F6" s="1602"/>
    </row>
    <row r="7" spans="1:6" s="639" customFormat="1" x14ac:dyDescent="0.25">
      <c r="A7" s="635" t="s">
        <v>16</v>
      </c>
      <c r="B7" s="636" t="s">
        <v>297</v>
      </c>
      <c r="C7" s="636" t="s">
        <v>265</v>
      </c>
      <c r="D7" s="961">
        <v>3000</v>
      </c>
      <c r="E7" s="961">
        <v>2922</v>
      </c>
      <c r="F7" s="1602"/>
    </row>
    <row r="8" spans="1:6" s="639" customFormat="1" x14ac:dyDescent="0.25">
      <c r="A8" s="635" t="s">
        <v>18</v>
      </c>
      <c r="B8" s="636" t="s">
        <v>19</v>
      </c>
      <c r="C8" s="636" t="s">
        <v>266</v>
      </c>
      <c r="D8" s="961">
        <v>1145</v>
      </c>
      <c r="E8" s="961">
        <v>1023</v>
      </c>
      <c r="F8" s="1602"/>
    </row>
    <row r="9" spans="1:6" s="639" customFormat="1" x14ac:dyDescent="0.25">
      <c r="A9" s="635" t="s">
        <v>20</v>
      </c>
      <c r="B9" s="636" t="s">
        <v>21</v>
      </c>
      <c r="C9" s="636" t="s">
        <v>265</v>
      </c>
      <c r="D9" s="961">
        <v>2843</v>
      </c>
      <c r="E9" s="961">
        <v>2482</v>
      </c>
      <c r="F9" s="1602"/>
    </row>
    <row r="10" spans="1:6" s="639" customFormat="1" x14ac:dyDescent="0.25">
      <c r="A10" s="635" t="s">
        <v>22</v>
      </c>
      <c r="B10" s="636" t="s">
        <v>23</v>
      </c>
      <c r="C10" s="636" t="s">
        <v>265</v>
      </c>
      <c r="D10" s="961">
        <v>1954</v>
      </c>
      <c r="E10" s="961">
        <v>1977</v>
      </c>
      <c r="F10" s="1602"/>
    </row>
    <row r="11" spans="1:6" s="639" customFormat="1" x14ac:dyDescent="0.25">
      <c r="A11" s="635" t="s">
        <v>24</v>
      </c>
      <c r="B11" s="636" t="s">
        <v>25</v>
      </c>
      <c r="C11" s="636" t="s">
        <v>267</v>
      </c>
      <c r="D11" s="961">
        <v>1563</v>
      </c>
      <c r="E11" s="961">
        <v>1515</v>
      </c>
      <c r="F11" s="1602"/>
    </row>
    <row r="12" spans="1:6" s="639" customFormat="1" x14ac:dyDescent="0.25">
      <c r="A12" s="635" t="s">
        <v>26</v>
      </c>
      <c r="B12" s="636" t="s">
        <v>686</v>
      </c>
      <c r="C12" s="636" t="s">
        <v>265</v>
      </c>
      <c r="D12" s="961">
        <v>7954</v>
      </c>
      <c r="E12" s="961">
        <v>7239</v>
      </c>
      <c r="F12" s="1602"/>
    </row>
    <row r="13" spans="1:6" s="639" customFormat="1" x14ac:dyDescent="0.25">
      <c r="A13" s="635" t="s">
        <v>27</v>
      </c>
      <c r="B13" s="636" t="s">
        <v>28</v>
      </c>
      <c r="C13" s="636" t="s">
        <v>265</v>
      </c>
      <c r="D13" s="961">
        <v>306</v>
      </c>
      <c r="E13" s="961">
        <v>317</v>
      </c>
      <c r="F13" s="1602"/>
    </row>
    <row r="14" spans="1:6" s="639" customFormat="1" x14ac:dyDescent="0.25">
      <c r="A14" s="635" t="s">
        <v>29</v>
      </c>
      <c r="B14" s="636" t="s">
        <v>941</v>
      </c>
      <c r="C14" s="636" t="s">
        <v>265</v>
      </c>
      <c r="D14" s="961">
        <v>3517</v>
      </c>
      <c r="E14" s="961">
        <v>3155</v>
      </c>
      <c r="F14" s="1602"/>
    </row>
    <row r="15" spans="1:6" s="639" customFormat="1" x14ac:dyDescent="0.25">
      <c r="A15" s="635" t="s">
        <v>30</v>
      </c>
      <c r="B15" s="636" t="s">
        <v>31</v>
      </c>
      <c r="C15" s="636" t="s">
        <v>268</v>
      </c>
      <c r="D15" s="961">
        <v>536</v>
      </c>
      <c r="E15" s="961">
        <v>469</v>
      </c>
      <c r="F15" s="1602"/>
    </row>
    <row r="16" spans="1:6" s="639" customFormat="1" x14ac:dyDescent="0.25">
      <c r="A16" s="635" t="s">
        <v>32</v>
      </c>
      <c r="B16" s="636" t="s">
        <v>33</v>
      </c>
      <c r="C16" s="636" t="s">
        <v>265</v>
      </c>
      <c r="D16" s="961">
        <v>938</v>
      </c>
      <c r="E16" s="961">
        <v>927</v>
      </c>
      <c r="F16" s="1602"/>
    </row>
    <row r="17" spans="1:6" s="639" customFormat="1" x14ac:dyDescent="0.25">
      <c r="A17" s="635" t="s">
        <v>36</v>
      </c>
      <c r="B17" s="636" t="s">
        <v>37</v>
      </c>
      <c r="C17" s="636" t="s">
        <v>264</v>
      </c>
      <c r="D17" s="961">
        <v>3045</v>
      </c>
      <c r="E17" s="961">
        <v>2889</v>
      </c>
      <c r="F17" s="1602"/>
    </row>
    <row r="18" spans="1:6" s="639" customFormat="1" x14ac:dyDescent="0.25">
      <c r="A18" s="635" t="s">
        <v>38</v>
      </c>
      <c r="B18" s="636" t="s">
        <v>39</v>
      </c>
      <c r="C18" s="636" t="s">
        <v>268</v>
      </c>
      <c r="D18" s="961">
        <v>4906</v>
      </c>
      <c r="E18" s="961">
        <v>4617</v>
      </c>
      <c r="F18" s="1602"/>
    </row>
    <row r="19" spans="1:6" s="639" customFormat="1" x14ac:dyDescent="0.25">
      <c r="A19" s="635" t="s">
        <v>40</v>
      </c>
      <c r="B19" s="636" t="s">
        <v>41</v>
      </c>
      <c r="C19" s="636" t="s">
        <v>266</v>
      </c>
      <c r="D19" s="961">
        <v>2351</v>
      </c>
      <c r="E19" s="961">
        <v>2149</v>
      </c>
      <c r="F19" s="1602"/>
    </row>
    <row r="20" spans="1:6" s="639" customFormat="1" x14ac:dyDescent="0.25">
      <c r="A20" s="635" t="s">
        <v>42</v>
      </c>
      <c r="B20" s="636" t="s">
        <v>43</v>
      </c>
      <c r="C20" s="636" t="s">
        <v>265</v>
      </c>
      <c r="D20" s="961">
        <v>5296</v>
      </c>
      <c r="E20" s="961">
        <v>4894</v>
      </c>
      <c r="F20" s="1602"/>
    </row>
    <row r="21" spans="1:6" s="639" customFormat="1" x14ac:dyDescent="0.25">
      <c r="A21" s="635" t="s">
        <v>44</v>
      </c>
      <c r="B21" s="636" t="s">
        <v>45</v>
      </c>
      <c r="C21" s="636" t="s">
        <v>266</v>
      </c>
      <c r="D21" s="961">
        <v>1562</v>
      </c>
      <c r="E21" s="961">
        <v>1516</v>
      </c>
      <c r="F21" s="1602"/>
    </row>
    <row r="22" spans="1:6" s="639" customFormat="1" x14ac:dyDescent="0.25">
      <c r="A22" s="635" t="s">
        <v>46</v>
      </c>
      <c r="B22" s="636" t="s">
        <v>47</v>
      </c>
      <c r="C22" s="636" t="s">
        <v>268</v>
      </c>
      <c r="D22" s="961">
        <v>4580</v>
      </c>
      <c r="E22" s="961">
        <v>4329</v>
      </c>
      <c r="F22" s="1602"/>
    </row>
    <row r="23" spans="1:6" s="639" customFormat="1" x14ac:dyDescent="0.25">
      <c r="A23" s="635" t="s">
        <v>48</v>
      </c>
      <c r="B23" s="636" t="s">
        <v>269</v>
      </c>
      <c r="C23" s="636" t="s">
        <v>266</v>
      </c>
      <c r="D23" s="961">
        <v>603</v>
      </c>
      <c r="E23" s="961">
        <v>555</v>
      </c>
      <c r="F23" s="1602"/>
    </row>
    <row r="24" spans="1:6" s="639" customFormat="1" x14ac:dyDescent="0.25">
      <c r="A24" s="635" t="s">
        <v>50</v>
      </c>
      <c r="B24" s="636" t="s">
        <v>51</v>
      </c>
      <c r="C24" s="636" t="s">
        <v>265</v>
      </c>
      <c r="D24" s="961">
        <v>2007</v>
      </c>
      <c r="E24" s="961">
        <v>1943</v>
      </c>
      <c r="F24" s="1602"/>
    </row>
    <row r="25" spans="1:6" s="639" customFormat="1" x14ac:dyDescent="0.25">
      <c r="A25" s="635" t="s">
        <v>56</v>
      </c>
      <c r="B25" s="636" t="s">
        <v>295</v>
      </c>
      <c r="C25" s="636" t="s">
        <v>266</v>
      </c>
      <c r="D25" s="961">
        <v>9458</v>
      </c>
      <c r="E25" s="961">
        <v>8280</v>
      </c>
      <c r="F25" s="1602"/>
    </row>
    <row r="26" spans="1:6" s="639" customFormat="1" x14ac:dyDescent="0.25">
      <c r="A26" s="635" t="s">
        <v>58</v>
      </c>
      <c r="B26" s="636" t="s">
        <v>59</v>
      </c>
      <c r="C26" s="636" t="s">
        <v>267</v>
      </c>
      <c r="D26" s="961">
        <v>256</v>
      </c>
      <c r="E26" s="961">
        <v>213</v>
      </c>
      <c r="F26" s="1602"/>
    </row>
    <row r="27" spans="1:6" s="639" customFormat="1" x14ac:dyDescent="0.25">
      <c r="A27" s="635" t="s">
        <v>60</v>
      </c>
      <c r="B27" s="636" t="s">
        <v>61</v>
      </c>
      <c r="C27" s="636" t="s">
        <v>265</v>
      </c>
      <c r="D27" s="961">
        <v>566</v>
      </c>
      <c r="E27" s="961">
        <v>504</v>
      </c>
      <c r="F27" s="1602"/>
    </row>
    <row r="28" spans="1:6" s="639" customFormat="1" x14ac:dyDescent="0.25">
      <c r="A28" s="635" t="s">
        <v>62</v>
      </c>
      <c r="B28" s="636" t="s">
        <v>63</v>
      </c>
      <c r="C28" s="636" t="s">
        <v>267</v>
      </c>
      <c r="D28" s="961">
        <v>2480</v>
      </c>
      <c r="E28" s="961">
        <v>2105</v>
      </c>
      <c r="F28" s="1602"/>
    </row>
    <row r="29" spans="1:6" s="639" customFormat="1" x14ac:dyDescent="0.25">
      <c r="A29" s="635" t="s">
        <v>64</v>
      </c>
      <c r="B29" s="636" t="s">
        <v>65</v>
      </c>
      <c r="C29" s="636" t="s">
        <v>266</v>
      </c>
      <c r="D29" s="961">
        <v>1416</v>
      </c>
      <c r="E29" s="961">
        <v>1275</v>
      </c>
      <c r="F29" s="1602"/>
    </row>
    <row r="30" spans="1:6" s="639" customFormat="1" x14ac:dyDescent="0.25">
      <c r="A30" s="635" t="s">
        <v>68</v>
      </c>
      <c r="B30" s="636" t="s">
        <v>69</v>
      </c>
      <c r="C30" s="636" t="s">
        <v>268</v>
      </c>
      <c r="D30" s="961">
        <v>3288</v>
      </c>
      <c r="E30" s="961">
        <v>3119</v>
      </c>
      <c r="F30" s="1602"/>
    </row>
    <row r="31" spans="1:6" s="639" customFormat="1" x14ac:dyDescent="0.25">
      <c r="A31" s="635" t="s">
        <v>70</v>
      </c>
      <c r="B31" s="636" t="s">
        <v>71</v>
      </c>
      <c r="C31" s="636" t="s">
        <v>264</v>
      </c>
      <c r="D31" s="961">
        <v>2650</v>
      </c>
      <c r="E31" s="961">
        <v>2384</v>
      </c>
      <c r="F31" s="1602"/>
    </row>
    <row r="32" spans="1:6" s="639" customFormat="1" x14ac:dyDescent="0.25">
      <c r="A32" s="635" t="s">
        <v>72</v>
      </c>
      <c r="B32" s="636" t="s">
        <v>73</v>
      </c>
      <c r="C32" s="636" t="s">
        <v>266</v>
      </c>
      <c r="D32" s="961">
        <v>1498</v>
      </c>
      <c r="E32" s="961">
        <v>1419</v>
      </c>
      <c r="F32" s="1602"/>
    </row>
    <row r="33" spans="1:6" s="639" customFormat="1" x14ac:dyDescent="0.25">
      <c r="A33" s="635" t="s">
        <v>74</v>
      </c>
      <c r="B33" s="636" t="s">
        <v>296</v>
      </c>
      <c r="C33" s="636" t="s">
        <v>267</v>
      </c>
      <c r="D33" s="961">
        <v>5103</v>
      </c>
      <c r="E33" s="961">
        <v>5090</v>
      </c>
      <c r="F33" s="1602"/>
    </row>
    <row r="34" spans="1:6" s="639" customFormat="1" x14ac:dyDescent="0.25">
      <c r="A34" s="635" t="s">
        <v>76</v>
      </c>
      <c r="B34" s="636" t="s">
        <v>77</v>
      </c>
      <c r="C34" s="636" t="s">
        <v>267</v>
      </c>
      <c r="D34" s="961">
        <v>1288</v>
      </c>
      <c r="E34" s="961">
        <v>1055</v>
      </c>
      <c r="F34" s="1602"/>
    </row>
    <row r="35" spans="1:6" s="639" customFormat="1" x14ac:dyDescent="0.25">
      <c r="A35" s="635" t="s">
        <v>78</v>
      </c>
      <c r="B35" s="636" t="s">
        <v>79</v>
      </c>
      <c r="C35" s="636" t="s">
        <v>268</v>
      </c>
      <c r="D35" s="961">
        <v>1412</v>
      </c>
      <c r="E35" s="961">
        <v>1292</v>
      </c>
      <c r="F35" s="1602"/>
    </row>
    <row r="36" spans="1:6" s="639" customFormat="1" x14ac:dyDescent="0.25">
      <c r="A36" s="635" t="s">
        <v>80</v>
      </c>
      <c r="B36" s="636" t="s">
        <v>81</v>
      </c>
      <c r="C36" s="636" t="s">
        <v>266</v>
      </c>
      <c r="D36" s="961">
        <v>1026</v>
      </c>
      <c r="E36" s="961">
        <v>1000</v>
      </c>
      <c r="F36" s="1602"/>
    </row>
    <row r="37" spans="1:6" s="639" customFormat="1" x14ac:dyDescent="0.25">
      <c r="A37" s="635" t="s">
        <v>84</v>
      </c>
      <c r="B37" s="636" t="s">
        <v>85</v>
      </c>
      <c r="C37" s="636" t="s">
        <v>265</v>
      </c>
      <c r="D37" s="961">
        <v>5353</v>
      </c>
      <c r="E37" s="961">
        <v>4741</v>
      </c>
      <c r="F37" s="1602"/>
    </row>
    <row r="38" spans="1:6" s="639" customFormat="1" x14ac:dyDescent="0.25">
      <c r="A38" s="635" t="s">
        <v>86</v>
      </c>
      <c r="B38" s="636" t="s">
        <v>87</v>
      </c>
      <c r="C38" s="636" t="s">
        <v>267</v>
      </c>
      <c r="D38" s="961">
        <v>2194</v>
      </c>
      <c r="E38" s="961">
        <v>1704</v>
      </c>
      <c r="F38" s="1602"/>
    </row>
    <row r="39" spans="1:6" s="639" customFormat="1" x14ac:dyDescent="0.25">
      <c r="A39" s="635" t="s">
        <v>92</v>
      </c>
      <c r="B39" s="636" t="s">
        <v>93</v>
      </c>
      <c r="C39" s="636" t="s">
        <v>268</v>
      </c>
      <c r="D39" s="961">
        <v>1810</v>
      </c>
      <c r="E39" s="961">
        <v>1797</v>
      </c>
      <c r="F39" s="1602"/>
    </row>
    <row r="40" spans="1:6" s="639" customFormat="1" x14ac:dyDescent="0.25">
      <c r="A40" s="635" t="s">
        <v>94</v>
      </c>
      <c r="B40" s="636" t="s">
        <v>95</v>
      </c>
      <c r="C40" s="636" t="s">
        <v>264</v>
      </c>
      <c r="D40" s="961">
        <v>1998</v>
      </c>
      <c r="E40" s="961">
        <v>1874</v>
      </c>
      <c r="F40" s="1602"/>
    </row>
    <row r="41" spans="1:6" s="639" customFormat="1" x14ac:dyDescent="0.25">
      <c r="A41" s="635" t="s">
        <v>96</v>
      </c>
      <c r="B41" s="636" t="s">
        <v>97</v>
      </c>
      <c r="C41" s="636" t="s">
        <v>266</v>
      </c>
      <c r="D41" s="961">
        <v>730</v>
      </c>
      <c r="E41" s="961">
        <v>660</v>
      </c>
      <c r="F41" s="1602"/>
    </row>
    <row r="42" spans="1:6" s="639" customFormat="1" x14ac:dyDescent="0.25">
      <c r="A42" s="635" t="s">
        <v>98</v>
      </c>
      <c r="B42" s="636" t="s">
        <v>99</v>
      </c>
      <c r="C42" s="636" t="s">
        <v>268</v>
      </c>
      <c r="D42" s="961">
        <v>2764</v>
      </c>
      <c r="E42" s="961">
        <v>2618</v>
      </c>
      <c r="F42" s="1602"/>
    </row>
    <row r="43" spans="1:6" s="639" customFormat="1" x14ac:dyDescent="0.25">
      <c r="A43" s="635" t="s">
        <v>100</v>
      </c>
      <c r="B43" s="636" t="s">
        <v>101</v>
      </c>
      <c r="C43" s="636" t="s">
        <v>267</v>
      </c>
      <c r="D43" s="961">
        <v>1044</v>
      </c>
      <c r="E43" s="961">
        <v>913</v>
      </c>
      <c r="F43" s="1602"/>
    </row>
    <row r="44" spans="1:6" s="639" customFormat="1" x14ac:dyDescent="0.25">
      <c r="A44" s="635" t="s">
        <v>102</v>
      </c>
      <c r="B44" s="636" t="s">
        <v>282</v>
      </c>
      <c r="C44" s="636" t="s">
        <v>264</v>
      </c>
      <c r="D44" s="961">
        <v>2679</v>
      </c>
      <c r="E44" s="961">
        <v>2595</v>
      </c>
      <c r="F44" s="1602"/>
    </row>
    <row r="45" spans="1:6" s="639" customFormat="1" x14ac:dyDescent="0.25">
      <c r="A45" s="635" t="s">
        <v>104</v>
      </c>
      <c r="B45" s="636" t="s">
        <v>105</v>
      </c>
      <c r="C45" s="636" t="s">
        <v>265</v>
      </c>
      <c r="D45" s="961">
        <v>6370</v>
      </c>
      <c r="E45" s="961">
        <v>6012</v>
      </c>
      <c r="F45" s="1602"/>
    </row>
    <row r="46" spans="1:6" s="639" customFormat="1" x14ac:dyDescent="0.25">
      <c r="A46" s="635" t="s">
        <v>108</v>
      </c>
      <c r="B46" s="636" t="s">
        <v>109</v>
      </c>
      <c r="C46" s="636" t="s">
        <v>266</v>
      </c>
      <c r="D46" s="961">
        <v>2224</v>
      </c>
      <c r="E46" s="961">
        <v>1840</v>
      </c>
      <c r="F46" s="1602"/>
    </row>
    <row r="47" spans="1:6" s="639" customFormat="1" x14ac:dyDescent="0.25">
      <c r="A47" s="635" t="s">
        <v>110</v>
      </c>
      <c r="B47" s="636" t="s">
        <v>111</v>
      </c>
      <c r="C47" s="636" t="s">
        <v>266</v>
      </c>
      <c r="D47" s="961">
        <v>13246</v>
      </c>
      <c r="E47" s="961">
        <v>11764</v>
      </c>
      <c r="F47" s="1602"/>
    </row>
    <row r="48" spans="1:6" s="639" customFormat="1" x14ac:dyDescent="0.25">
      <c r="A48" s="635" t="s">
        <v>112</v>
      </c>
      <c r="B48" s="636" t="s">
        <v>300</v>
      </c>
      <c r="C48" s="636" t="s">
        <v>265</v>
      </c>
      <c r="D48" s="961">
        <v>10516</v>
      </c>
      <c r="E48" s="961">
        <v>9695</v>
      </c>
      <c r="F48" s="1602"/>
    </row>
    <row r="49" spans="1:6" s="639" customFormat="1" x14ac:dyDescent="0.25">
      <c r="A49" s="635" t="s">
        <v>114</v>
      </c>
      <c r="B49" s="636" t="s">
        <v>115</v>
      </c>
      <c r="C49" s="636" t="s">
        <v>265</v>
      </c>
      <c r="D49" s="961">
        <v>106</v>
      </c>
      <c r="E49" s="961">
        <v>115</v>
      </c>
      <c r="F49" s="1602"/>
    </row>
    <row r="50" spans="1:6" s="639" customFormat="1" x14ac:dyDescent="0.25">
      <c r="A50" s="635" t="s">
        <v>118</v>
      </c>
      <c r="B50" s="636" t="s">
        <v>270</v>
      </c>
      <c r="C50" s="636" t="s">
        <v>264</v>
      </c>
      <c r="D50" s="961">
        <v>1987</v>
      </c>
      <c r="E50" s="961">
        <v>1742</v>
      </c>
      <c r="F50" s="1602"/>
    </row>
    <row r="51" spans="1:6" s="639" customFormat="1" x14ac:dyDescent="0.25">
      <c r="A51" s="635" t="s">
        <v>120</v>
      </c>
      <c r="B51" s="636" t="s">
        <v>121</v>
      </c>
      <c r="C51" s="636" t="s">
        <v>264</v>
      </c>
      <c r="D51" s="961">
        <v>2015</v>
      </c>
      <c r="E51" s="961">
        <v>1771</v>
      </c>
      <c r="F51" s="1602"/>
    </row>
    <row r="52" spans="1:6" s="639" customFormat="1" x14ac:dyDescent="0.25">
      <c r="A52" s="635" t="s">
        <v>122</v>
      </c>
      <c r="B52" s="636" t="s">
        <v>287</v>
      </c>
      <c r="C52" s="636" t="s">
        <v>266</v>
      </c>
      <c r="D52" s="961">
        <v>741</v>
      </c>
      <c r="E52" s="961">
        <v>708</v>
      </c>
      <c r="F52" s="1602"/>
    </row>
    <row r="53" spans="1:6" s="639" customFormat="1" x14ac:dyDescent="0.25">
      <c r="A53" s="635" t="s">
        <v>124</v>
      </c>
      <c r="B53" s="636" t="s">
        <v>125</v>
      </c>
      <c r="C53" s="636" t="s">
        <v>267</v>
      </c>
      <c r="D53" s="961">
        <v>1462</v>
      </c>
      <c r="E53" s="961">
        <v>1379</v>
      </c>
      <c r="F53" s="1602"/>
    </row>
    <row r="54" spans="1:6" s="639" customFormat="1" x14ac:dyDescent="0.25">
      <c r="A54" s="635" t="s">
        <v>126</v>
      </c>
      <c r="B54" s="636" t="s">
        <v>127</v>
      </c>
      <c r="C54" s="636" t="s">
        <v>266</v>
      </c>
      <c r="D54" s="961">
        <v>949</v>
      </c>
      <c r="E54" s="961">
        <v>815</v>
      </c>
      <c r="F54" s="1602"/>
    </row>
    <row r="55" spans="1:6" s="639" customFormat="1" x14ac:dyDescent="0.25">
      <c r="A55" s="635" t="s">
        <v>128</v>
      </c>
      <c r="B55" s="636" t="s">
        <v>129</v>
      </c>
      <c r="C55" s="636" t="s">
        <v>266</v>
      </c>
      <c r="D55" s="961">
        <v>1299</v>
      </c>
      <c r="E55" s="961">
        <v>1101</v>
      </c>
      <c r="F55" s="1602"/>
    </row>
    <row r="56" spans="1:6" s="639" customFormat="1" x14ac:dyDescent="0.25">
      <c r="A56" s="635" t="s">
        <v>130</v>
      </c>
      <c r="B56" s="636" t="s">
        <v>131</v>
      </c>
      <c r="C56" s="636" t="s">
        <v>268</v>
      </c>
      <c r="D56" s="961">
        <v>6204</v>
      </c>
      <c r="E56" s="961">
        <v>6196</v>
      </c>
      <c r="F56" s="1602"/>
    </row>
    <row r="57" spans="1:6" s="639" customFormat="1" x14ac:dyDescent="0.25">
      <c r="A57" s="635" t="s">
        <v>132</v>
      </c>
      <c r="B57" s="636" t="s">
        <v>133</v>
      </c>
      <c r="C57" s="636" t="s">
        <v>267</v>
      </c>
      <c r="D57" s="961">
        <v>894</v>
      </c>
      <c r="E57" s="961">
        <v>771</v>
      </c>
      <c r="F57" s="1602"/>
    </row>
    <row r="58" spans="1:6" s="639" customFormat="1" x14ac:dyDescent="0.25">
      <c r="A58" s="635" t="s">
        <v>134</v>
      </c>
      <c r="B58" s="636" t="s">
        <v>135</v>
      </c>
      <c r="C58" s="636" t="s">
        <v>267</v>
      </c>
      <c r="D58" s="961">
        <v>2819</v>
      </c>
      <c r="E58" s="961">
        <v>2819</v>
      </c>
      <c r="F58" s="1602"/>
    </row>
    <row r="59" spans="1:6" s="639" customFormat="1" x14ac:dyDescent="0.25">
      <c r="A59" s="635" t="s">
        <v>136</v>
      </c>
      <c r="B59" s="636" t="s">
        <v>137</v>
      </c>
      <c r="C59" s="636" t="s">
        <v>266</v>
      </c>
      <c r="D59" s="961">
        <v>2079</v>
      </c>
      <c r="E59" s="961">
        <v>1973</v>
      </c>
      <c r="F59" s="1602"/>
    </row>
    <row r="60" spans="1:6" s="639" customFormat="1" x14ac:dyDescent="0.25">
      <c r="A60" s="635" t="s">
        <v>140</v>
      </c>
      <c r="B60" s="636" t="s">
        <v>141</v>
      </c>
      <c r="C60" s="636" t="s">
        <v>267</v>
      </c>
      <c r="D60" s="961">
        <v>841</v>
      </c>
      <c r="E60" s="961">
        <v>839</v>
      </c>
      <c r="F60" s="1602"/>
    </row>
    <row r="61" spans="1:6" s="639" customFormat="1" x14ac:dyDescent="0.25">
      <c r="A61" s="635" t="s">
        <v>146</v>
      </c>
      <c r="B61" s="636" t="s">
        <v>147</v>
      </c>
      <c r="C61" s="636" t="s">
        <v>264</v>
      </c>
      <c r="D61" s="961">
        <v>579</v>
      </c>
      <c r="E61" s="961">
        <v>629</v>
      </c>
      <c r="F61" s="1602"/>
    </row>
    <row r="62" spans="1:6" s="639" customFormat="1" x14ac:dyDescent="0.25">
      <c r="A62" s="635" t="s">
        <v>148</v>
      </c>
      <c r="B62" s="636" t="s">
        <v>149</v>
      </c>
      <c r="C62" s="636" t="s">
        <v>265</v>
      </c>
      <c r="D62" s="961">
        <v>4954</v>
      </c>
      <c r="E62" s="961">
        <v>4501</v>
      </c>
      <c r="F62" s="1602"/>
    </row>
    <row r="63" spans="1:6" s="639" customFormat="1" x14ac:dyDescent="0.25">
      <c r="A63" s="635" t="s">
        <v>150</v>
      </c>
      <c r="B63" s="636" t="s">
        <v>151</v>
      </c>
      <c r="C63" s="636" t="s">
        <v>266</v>
      </c>
      <c r="D63" s="961">
        <v>886</v>
      </c>
      <c r="E63" s="961">
        <v>960</v>
      </c>
      <c r="F63" s="1602"/>
    </row>
    <row r="64" spans="1:6" s="639" customFormat="1" x14ac:dyDescent="0.25">
      <c r="A64" s="635" t="s">
        <v>152</v>
      </c>
      <c r="B64" s="636" t="s">
        <v>153</v>
      </c>
      <c r="C64" s="636" t="s">
        <v>268</v>
      </c>
      <c r="D64" s="961">
        <v>4987</v>
      </c>
      <c r="E64" s="961">
        <v>4547</v>
      </c>
      <c r="F64" s="1602"/>
    </row>
    <row r="65" spans="1:6" s="639" customFormat="1" x14ac:dyDescent="0.25">
      <c r="A65" s="635" t="s">
        <v>154</v>
      </c>
      <c r="B65" s="636" t="s">
        <v>155</v>
      </c>
      <c r="C65" s="636" t="s">
        <v>265</v>
      </c>
      <c r="D65" s="961">
        <v>1854</v>
      </c>
      <c r="E65" s="961">
        <v>1771</v>
      </c>
      <c r="F65" s="1602"/>
    </row>
    <row r="66" spans="1:6" s="639" customFormat="1" x14ac:dyDescent="0.25">
      <c r="A66" s="635" t="s">
        <v>156</v>
      </c>
      <c r="B66" s="636" t="s">
        <v>157</v>
      </c>
      <c r="C66" s="636" t="s">
        <v>266</v>
      </c>
      <c r="D66" s="961">
        <v>371</v>
      </c>
      <c r="E66" s="961">
        <v>391</v>
      </c>
      <c r="F66" s="1602"/>
    </row>
    <row r="67" spans="1:6" s="639" customFormat="1" x14ac:dyDescent="0.25">
      <c r="A67" s="635" t="s">
        <v>162</v>
      </c>
      <c r="B67" s="636" t="s">
        <v>163</v>
      </c>
      <c r="C67" s="636" t="s">
        <v>264</v>
      </c>
      <c r="D67" s="961">
        <v>2303</v>
      </c>
      <c r="E67" s="961">
        <v>2311</v>
      </c>
      <c r="F67" s="1602"/>
    </row>
    <row r="68" spans="1:6" s="639" customFormat="1" x14ac:dyDescent="0.25">
      <c r="A68" s="635" t="s">
        <v>164</v>
      </c>
      <c r="B68" s="636" t="s">
        <v>165</v>
      </c>
      <c r="C68" s="636" t="s">
        <v>266</v>
      </c>
      <c r="D68" s="961">
        <v>1207</v>
      </c>
      <c r="E68" s="961">
        <v>1261</v>
      </c>
      <c r="F68" s="1602"/>
    </row>
    <row r="69" spans="1:6" s="639" customFormat="1" x14ac:dyDescent="0.25">
      <c r="A69" s="635" t="s">
        <v>168</v>
      </c>
      <c r="B69" s="636" t="s">
        <v>169</v>
      </c>
      <c r="C69" s="636" t="s">
        <v>266</v>
      </c>
      <c r="D69" s="961">
        <v>2516</v>
      </c>
      <c r="E69" s="961">
        <v>2256</v>
      </c>
      <c r="F69" s="1602"/>
    </row>
    <row r="70" spans="1:6" s="639" customFormat="1" x14ac:dyDescent="0.25">
      <c r="A70" s="635" t="s">
        <v>170</v>
      </c>
      <c r="B70" s="636" t="s">
        <v>171</v>
      </c>
      <c r="C70" s="636" t="s">
        <v>267</v>
      </c>
      <c r="D70" s="961">
        <v>1704</v>
      </c>
      <c r="E70" s="961">
        <v>1707</v>
      </c>
      <c r="F70" s="1602"/>
    </row>
    <row r="71" spans="1:6" s="639" customFormat="1" x14ac:dyDescent="0.25">
      <c r="A71" s="635" t="s">
        <v>172</v>
      </c>
      <c r="B71" s="636" t="s">
        <v>173</v>
      </c>
      <c r="C71" s="636" t="s">
        <v>267</v>
      </c>
      <c r="D71" s="961">
        <v>2497</v>
      </c>
      <c r="E71" s="961">
        <v>2395</v>
      </c>
      <c r="F71" s="1602"/>
    </row>
    <row r="72" spans="1:6" s="639" customFormat="1" x14ac:dyDescent="0.25">
      <c r="A72" s="635" t="s">
        <v>174</v>
      </c>
      <c r="B72" s="636" t="s">
        <v>175</v>
      </c>
      <c r="C72" s="636" t="s">
        <v>268</v>
      </c>
      <c r="D72" s="961">
        <v>2770</v>
      </c>
      <c r="E72" s="961">
        <v>2680</v>
      </c>
      <c r="F72" s="1602"/>
    </row>
    <row r="73" spans="1:6" s="639" customFormat="1" x14ac:dyDescent="0.25">
      <c r="A73" s="635" t="s">
        <v>178</v>
      </c>
      <c r="B73" s="636" t="s">
        <v>179</v>
      </c>
      <c r="C73" s="636" t="s">
        <v>265</v>
      </c>
      <c r="D73" s="961">
        <v>6712</v>
      </c>
      <c r="E73" s="961">
        <v>6334</v>
      </c>
      <c r="F73" s="1602"/>
    </row>
    <row r="74" spans="1:6" s="639" customFormat="1" x14ac:dyDescent="0.25">
      <c r="A74" s="635" t="s">
        <v>182</v>
      </c>
      <c r="B74" s="636" t="s">
        <v>183</v>
      </c>
      <c r="C74" s="636" t="s">
        <v>266</v>
      </c>
      <c r="D74" s="961">
        <v>606</v>
      </c>
      <c r="E74" s="961">
        <v>485</v>
      </c>
      <c r="F74" s="1602"/>
    </row>
    <row r="75" spans="1:6" s="639" customFormat="1" x14ac:dyDescent="0.25">
      <c r="A75" s="635" t="s">
        <v>184</v>
      </c>
      <c r="B75" s="636" t="s">
        <v>185</v>
      </c>
      <c r="C75" s="636" t="s">
        <v>266</v>
      </c>
      <c r="D75" s="961">
        <v>2840</v>
      </c>
      <c r="E75" s="961">
        <v>2572</v>
      </c>
      <c r="F75" s="1602"/>
    </row>
    <row r="76" spans="1:6" s="639" customFormat="1" x14ac:dyDescent="0.25">
      <c r="A76" s="635" t="s">
        <v>186</v>
      </c>
      <c r="B76" s="636" t="s">
        <v>187</v>
      </c>
      <c r="C76" s="636" t="s">
        <v>264</v>
      </c>
      <c r="D76" s="961">
        <v>1044</v>
      </c>
      <c r="E76" s="961">
        <v>968</v>
      </c>
      <c r="F76" s="1602"/>
    </row>
    <row r="77" spans="1:6" s="639" customFormat="1" x14ac:dyDescent="0.25">
      <c r="A77" s="635" t="s">
        <v>188</v>
      </c>
      <c r="B77" s="636" t="s">
        <v>189</v>
      </c>
      <c r="C77" s="636" t="s">
        <v>267</v>
      </c>
      <c r="D77" s="961">
        <v>4063</v>
      </c>
      <c r="E77" s="961">
        <v>3776</v>
      </c>
      <c r="F77" s="1602"/>
    </row>
    <row r="78" spans="1:6" s="639" customFormat="1" x14ac:dyDescent="0.25">
      <c r="A78" s="635" t="s">
        <v>190</v>
      </c>
      <c r="B78" s="636" t="s">
        <v>191</v>
      </c>
      <c r="C78" s="636" t="s">
        <v>268</v>
      </c>
      <c r="D78" s="961">
        <v>4744</v>
      </c>
      <c r="E78" s="961">
        <v>4368</v>
      </c>
      <c r="F78" s="1602"/>
    </row>
    <row r="79" spans="1:6" s="639" customFormat="1" x14ac:dyDescent="0.25">
      <c r="A79" s="635" t="s">
        <v>194</v>
      </c>
      <c r="B79" s="636" t="s">
        <v>195</v>
      </c>
      <c r="C79" s="636" t="s">
        <v>267</v>
      </c>
      <c r="D79" s="961">
        <v>239</v>
      </c>
      <c r="E79" s="961">
        <v>187</v>
      </c>
      <c r="F79" s="1602"/>
    </row>
    <row r="80" spans="1:6" s="639" customFormat="1" x14ac:dyDescent="0.25">
      <c r="A80" s="635" t="s">
        <v>198</v>
      </c>
      <c r="B80" s="636" t="s">
        <v>272</v>
      </c>
      <c r="C80" s="636" t="s">
        <v>266</v>
      </c>
      <c r="D80" s="961">
        <v>1040</v>
      </c>
      <c r="E80" s="961">
        <v>1004</v>
      </c>
      <c r="F80" s="1602"/>
    </row>
    <row r="81" spans="1:6" s="639" customFormat="1" x14ac:dyDescent="0.25">
      <c r="A81" s="635" t="s">
        <v>202</v>
      </c>
      <c r="B81" s="636" t="s">
        <v>301</v>
      </c>
      <c r="C81" s="636" t="s">
        <v>265</v>
      </c>
      <c r="D81" s="961">
        <v>3484</v>
      </c>
      <c r="E81" s="961">
        <v>3272</v>
      </c>
      <c r="F81" s="1602"/>
    </row>
    <row r="82" spans="1:6" s="639" customFormat="1" x14ac:dyDescent="0.25">
      <c r="A82" s="635" t="s">
        <v>204</v>
      </c>
      <c r="B82" s="636" t="s">
        <v>293</v>
      </c>
      <c r="C82" s="636" t="s">
        <v>265</v>
      </c>
      <c r="D82" s="961">
        <v>3464</v>
      </c>
      <c r="E82" s="961">
        <v>3303</v>
      </c>
      <c r="F82" s="1602"/>
    </row>
    <row r="83" spans="1:6" s="639" customFormat="1" x14ac:dyDescent="0.25">
      <c r="A83" s="635" t="s">
        <v>206</v>
      </c>
      <c r="B83" s="636" t="s">
        <v>294</v>
      </c>
      <c r="C83" s="636" t="s">
        <v>267</v>
      </c>
      <c r="D83" s="961">
        <v>6339</v>
      </c>
      <c r="E83" s="961">
        <v>6081</v>
      </c>
      <c r="F83" s="1602"/>
    </row>
    <row r="84" spans="1:6" s="639" customFormat="1" x14ac:dyDescent="0.25">
      <c r="A84" s="635" t="s">
        <v>208</v>
      </c>
      <c r="B84" s="636" t="s">
        <v>209</v>
      </c>
      <c r="C84" s="636" t="s">
        <v>268</v>
      </c>
      <c r="D84" s="961">
        <v>5383</v>
      </c>
      <c r="E84" s="961">
        <v>5413</v>
      </c>
      <c r="F84" s="1602"/>
    </row>
    <row r="85" spans="1:6" s="639" customFormat="1" x14ac:dyDescent="0.25">
      <c r="A85" s="635" t="s">
        <v>210</v>
      </c>
      <c r="B85" s="636" t="s">
        <v>211</v>
      </c>
      <c r="C85" s="636" t="s">
        <v>268</v>
      </c>
      <c r="D85" s="961">
        <v>3633</v>
      </c>
      <c r="E85" s="961">
        <v>3500</v>
      </c>
      <c r="F85" s="1602"/>
    </row>
    <row r="86" spans="1:6" s="639" customFormat="1" x14ac:dyDescent="0.25">
      <c r="A86" s="635" t="s">
        <v>212</v>
      </c>
      <c r="B86" s="636" t="s">
        <v>213</v>
      </c>
      <c r="C86" s="636" t="s">
        <v>267</v>
      </c>
      <c r="D86" s="961">
        <v>3343</v>
      </c>
      <c r="E86" s="961">
        <v>3134</v>
      </c>
      <c r="F86" s="1602"/>
    </row>
    <row r="87" spans="1:6" s="639" customFormat="1" x14ac:dyDescent="0.25">
      <c r="A87" s="635" t="s">
        <v>214</v>
      </c>
      <c r="B87" s="636" t="s">
        <v>215</v>
      </c>
      <c r="C87" s="636" t="s">
        <v>268</v>
      </c>
      <c r="D87" s="961">
        <v>5116</v>
      </c>
      <c r="E87" s="961">
        <v>4800</v>
      </c>
      <c r="F87" s="1602"/>
    </row>
    <row r="88" spans="1:6" s="639" customFormat="1" x14ac:dyDescent="0.25">
      <c r="A88" s="635" t="s">
        <v>216</v>
      </c>
      <c r="B88" s="636" t="s">
        <v>217</v>
      </c>
      <c r="C88" s="636" t="s">
        <v>264</v>
      </c>
      <c r="D88" s="961">
        <v>1974</v>
      </c>
      <c r="E88" s="961">
        <v>1723</v>
      </c>
      <c r="F88" s="1602"/>
    </row>
    <row r="89" spans="1:6" s="639" customFormat="1" x14ac:dyDescent="0.25">
      <c r="A89" s="635" t="s">
        <v>218</v>
      </c>
      <c r="B89" s="636" t="s">
        <v>219</v>
      </c>
      <c r="C89" s="636" t="s">
        <v>267</v>
      </c>
      <c r="D89" s="961">
        <v>3337</v>
      </c>
      <c r="E89" s="961">
        <v>2899</v>
      </c>
      <c r="F89" s="1602"/>
    </row>
    <row r="90" spans="1:6" s="639" customFormat="1" x14ac:dyDescent="0.25">
      <c r="A90" s="635" t="s">
        <v>220</v>
      </c>
      <c r="B90" s="636" t="s">
        <v>221</v>
      </c>
      <c r="C90" s="636" t="s">
        <v>267</v>
      </c>
      <c r="D90" s="961">
        <v>1900</v>
      </c>
      <c r="E90" s="961">
        <v>1782</v>
      </c>
      <c r="F90" s="1602"/>
    </row>
    <row r="91" spans="1:6" s="639" customFormat="1" x14ac:dyDescent="0.25">
      <c r="A91" s="635" t="s">
        <v>224</v>
      </c>
      <c r="B91" s="636" t="s">
        <v>225</v>
      </c>
      <c r="C91" s="636" t="s">
        <v>264</v>
      </c>
      <c r="D91" s="961">
        <v>551</v>
      </c>
      <c r="E91" s="961">
        <v>583</v>
      </c>
      <c r="F91" s="1602"/>
    </row>
    <row r="92" spans="1:6" s="639" customFormat="1" x14ac:dyDescent="0.25">
      <c r="A92" s="635" t="s">
        <v>226</v>
      </c>
      <c r="B92" s="636" t="s">
        <v>227</v>
      </c>
      <c r="C92" s="636" t="s">
        <v>264</v>
      </c>
      <c r="D92" s="961">
        <v>1311</v>
      </c>
      <c r="E92" s="961">
        <v>1210</v>
      </c>
      <c r="F92" s="1602"/>
    </row>
    <row r="93" spans="1:6" s="639" customFormat="1" x14ac:dyDescent="0.25">
      <c r="A93" s="635" t="s">
        <v>228</v>
      </c>
      <c r="B93" s="636" t="s">
        <v>229</v>
      </c>
      <c r="C93" s="636" t="s">
        <v>268</v>
      </c>
      <c r="D93" s="961">
        <v>6448</v>
      </c>
      <c r="E93" s="961">
        <v>6169</v>
      </c>
      <c r="F93" s="1602"/>
    </row>
    <row r="94" spans="1:6" s="639" customFormat="1" x14ac:dyDescent="0.25">
      <c r="A94" s="635" t="s">
        <v>232</v>
      </c>
      <c r="B94" s="636" t="s">
        <v>233</v>
      </c>
      <c r="C94" s="636" t="s">
        <v>267</v>
      </c>
      <c r="D94" s="961">
        <v>2085</v>
      </c>
      <c r="E94" s="961">
        <v>1874</v>
      </c>
      <c r="F94" s="1602"/>
    </row>
    <row r="95" spans="1:6" s="639" customFormat="1" x14ac:dyDescent="0.25">
      <c r="A95" s="635" t="s">
        <v>234</v>
      </c>
      <c r="B95" s="636" t="s">
        <v>235</v>
      </c>
      <c r="C95" s="636" t="s">
        <v>268</v>
      </c>
      <c r="D95" s="961">
        <v>5415</v>
      </c>
      <c r="E95" s="961">
        <v>5097</v>
      </c>
      <c r="F95" s="1602"/>
    </row>
    <row r="96" spans="1:6" s="639" customFormat="1" x14ac:dyDescent="0.25">
      <c r="A96" s="635" t="s">
        <v>236</v>
      </c>
      <c r="B96" s="636" t="s">
        <v>237</v>
      </c>
      <c r="C96" s="636" t="s">
        <v>266</v>
      </c>
      <c r="D96" s="961">
        <v>2279</v>
      </c>
      <c r="E96" s="961">
        <v>2138</v>
      </c>
      <c r="F96" s="1602"/>
    </row>
    <row r="97" spans="1:6" s="639" customFormat="1" x14ac:dyDescent="0.25">
      <c r="A97" s="635" t="s">
        <v>242</v>
      </c>
      <c r="B97" s="636" t="s">
        <v>243</v>
      </c>
      <c r="C97" s="636" t="s">
        <v>268</v>
      </c>
      <c r="D97" s="961">
        <v>7015</v>
      </c>
      <c r="E97" s="961">
        <v>6770</v>
      </c>
      <c r="F97" s="1602"/>
    </row>
    <row r="98" spans="1:6" s="639" customFormat="1" x14ac:dyDescent="0.25">
      <c r="A98" s="635" t="s">
        <v>244</v>
      </c>
      <c r="B98" s="636" t="s">
        <v>245</v>
      </c>
      <c r="C98" s="636" t="s">
        <v>268</v>
      </c>
      <c r="D98" s="961">
        <v>3313</v>
      </c>
      <c r="E98" s="961">
        <v>3146</v>
      </c>
      <c r="F98" s="1602"/>
    </row>
    <row r="99" spans="1:6" s="639" customFormat="1" x14ac:dyDescent="0.25">
      <c r="A99" s="635" t="s">
        <v>246</v>
      </c>
      <c r="B99" s="636" t="s">
        <v>247</v>
      </c>
      <c r="C99" s="636" t="s">
        <v>264</v>
      </c>
      <c r="D99" s="961">
        <v>1107</v>
      </c>
      <c r="E99" s="961">
        <v>990</v>
      </c>
      <c r="F99" s="1602"/>
    </row>
    <row r="100" spans="1:6" s="639" customFormat="1" x14ac:dyDescent="0.25">
      <c r="A100" s="635" t="s">
        <v>14</v>
      </c>
      <c r="B100" s="636" t="s">
        <v>15</v>
      </c>
      <c r="C100" s="636" t="s">
        <v>267</v>
      </c>
      <c r="D100" s="961">
        <v>2014</v>
      </c>
      <c r="E100" s="961">
        <v>1912</v>
      </c>
      <c r="F100" s="1602"/>
    </row>
    <row r="101" spans="1:6" s="639" customFormat="1" x14ac:dyDescent="0.25">
      <c r="A101" s="635" t="s">
        <v>34</v>
      </c>
      <c r="B101" s="636" t="s">
        <v>35</v>
      </c>
      <c r="C101" s="636" t="s">
        <v>268</v>
      </c>
      <c r="D101" s="961">
        <v>1991</v>
      </c>
      <c r="E101" s="961">
        <v>1829</v>
      </c>
      <c r="F101" s="1602"/>
    </row>
    <row r="102" spans="1:6" s="639" customFormat="1" x14ac:dyDescent="0.25">
      <c r="A102" s="635" t="s">
        <v>52</v>
      </c>
      <c r="B102" s="636" t="s">
        <v>53</v>
      </c>
      <c r="C102" s="636" t="s">
        <v>265</v>
      </c>
      <c r="D102" s="961">
        <v>2081</v>
      </c>
      <c r="E102" s="961">
        <v>1831</v>
      </c>
      <c r="F102" s="1602"/>
    </row>
    <row r="103" spans="1:6" s="639" customFormat="1" x14ac:dyDescent="0.25">
      <c r="A103" s="635" t="s">
        <v>54</v>
      </c>
      <c r="B103" s="636" t="s">
        <v>55</v>
      </c>
      <c r="C103" s="636" t="s">
        <v>264</v>
      </c>
      <c r="D103" s="961">
        <v>7944</v>
      </c>
      <c r="E103" s="961">
        <v>6871</v>
      </c>
      <c r="F103" s="1602"/>
    </row>
    <row r="104" spans="1:6" s="639" customFormat="1" x14ac:dyDescent="0.25">
      <c r="A104" s="635" t="s">
        <v>66</v>
      </c>
      <c r="B104" s="636" t="s">
        <v>67</v>
      </c>
      <c r="C104" s="636" t="s">
        <v>265</v>
      </c>
      <c r="D104" s="961">
        <v>8490</v>
      </c>
      <c r="E104" s="961">
        <v>7600</v>
      </c>
      <c r="F104" s="1602"/>
    </row>
    <row r="105" spans="1:6" s="639" customFormat="1" x14ac:dyDescent="0.25">
      <c r="A105" s="635" t="s">
        <v>82</v>
      </c>
      <c r="B105" s="636" t="s">
        <v>83</v>
      </c>
      <c r="C105" s="636" t="s">
        <v>264</v>
      </c>
      <c r="D105" s="961">
        <v>2018</v>
      </c>
      <c r="E105" s="961">
        <v>2019</v>
      </c>
      <c r="F105" s="1602"/>
    </row>
    <row r="106" spans="1:6" s="639" customFormat="1" x14ac:dyDescent="0.25">
      <c r="A106" s="635" t="s">
        <v>88</v>
      </c>
      <c r="B106" s="636" t="s">
        <v>89</v>
      </c>
      <c r="C106" s="636" t="s">
        <v>267</v>
      </c>
      <c r="D106" s="961">
        <v>1547</v>
      </c>
      <c r="E106" s="961">
        <v>1478</v>
      </c>
      <c r="F106" s="1602"/>
    </row>
    <row r="107" spans="1:6" s="639" customFormat="1" x14ac:dyDescent="0.25">
      <c r="A107" s="635" t="s">
        <v>90</v>
      </c>
      <c r="B107" s="636" t="s">
        <v>91</v>
      </c>
      <c r="C107" s="636" t="s">
        <v>268</v>
      </c>
      <c r="D107" s="961">
        <v>1602</v>
      </c>
      <c r="E107" s="961">
        <v>1539</v>
      </c>
      <c r="F107" s="1602"/>
    </row>
    <row r="108" spans="1:6" s="639" customFormat="1" x14ac:dyDescent="0.25">
      <c r="A108" s="635" t="s">
        <v>106</v>
      </c>
      <c r="B108" s="636" t="s">
        <v>107</v>
      </c>
      <c r="C108" s="636" t="s">
        <v>264</v>
      </c>
      <c r="D108" s="961">
        <v>8706</v>
      </c>
      <c r="E108" s="961">
        <v>7386</v>
      </c>
      <c r="F108" s="1602"/>
    </row>
    <row r="109" spans="1:6" s="639" customFormat="1" x14ac:dyDescent="0.25">
      <c r="A109" s="635" t="s">
        <v>116</v>
      </c>
      <c r="B109" s="636" t="s">
        <v>117</v>
      </c>
      <c r="C109" s="636" t="s">
        <v>266</v>
      </c>
      <c r="D109" s="961">
        <v>2680</v>
      </c>
      <c r="E109" s="961">
        <v>2700</v>
      </c>
      <c r="F109" s="1602"/>
    </row>
    <row r="110" spans="1:6" s="639" customFormat="1" x14ac:dyDescent="0.25">
      <c r="A110" s="635" t="s">
        <v>138</v>
      </c>
      <c r="B110" s="636" t="s">
        <v>139</v>
      </c>
      <c r="C110" s="636" t="s">
        <v>265</v>
      </c>
      <c r="D110" s="961">
        <v>9361</v>
      </c>
      <c r="E110" s="961">
        <v>8856</v>
      </c>
      <c r="F110" s="1602"/>
    </row>
    <row r="111" spans="1:6" s="639" customFormat="1" x14ac:dyDescent="0.25">
      <c r="A111" s="635" t="s">
        <v>142</v>
      </c>
      <c r="B111" s="636" t="s">
        <v>143</v>
      </c>
      <c r="C111" s="636" t="s">
        <v>267</v>
      </c>
      <c r="D111" s="961">
        <v>456</v>
      </c>
      <c r="E111" s="961">
        <v>465</v>
      </c>
      <c r="F111" s="1602"/>
    </row>
    <row r="112" spans="1:6" s="639" customFormat="1" x14ac:dyDescent="0.25">
      <c r="A112" s="635" t="s">
        <v>144</v>
      </c>
      <c r="B112" s="636" t="s">
        <v>145</v>
      </c>
      <c r="C112" s="636" t="s">
        <v>267</v>
      </c>
      <c r="D112" s="961">
        <v>189</v>
      </c>
      <c r="E112" s="961">
        <v>171</v>
      </c>
      <c r="F112" s="1602"/>
    </row>
    <row r="113" spans="1:7" s="639" customFormat="1" x14ac:dyDescent="0.25">
      <c r="A113" s="635" t="s">
        <v>158</v>
      </c>
      <c r="B113" s="636" t="s">
        <v>159</v>
      </c>
      <c r="C113" s="636" t="s">
        <v>264</v>
      </c>
      <c r="D113" s="961">
        <v>13154</v>
      </c>
      <c r="E113" s="961">
        <v>11622</v>
      </c>
      <c r="F113" s="1602"/>
    </row>
    <row r="114" spans="1:7" s="639" customFormat="1" x14ac:dyDescent="0.25">
      <c r="A114" s="635" t="s">
        <v>160</v>
      </c>
      <c r="B114" s="636" t="s">
        <v>161</v>
      </c>
      <c r="C114" s="636" t="s">
        <v>264</v>
      </c>
      <c r="D114" s="961">
        <v>16624</v>
      </c>
      <c r="E114" s="961">
        <v>14236</v>
      </c>
      <c r="F114" s="1602"/>
    </row>
    <row r="115" spans="1:7" s="639" customFormat="1" x14ac:dyDescent="0.25">
      <c r="A115" s="635" t="s">
        <v>166</v>
      </c>
      <c r="B115" s="636" t="s">
        <v>167</v>
      </c>
      <c r="C115" s="636" t="s">
        <v>268</v>
      </c>
      <c r="D115" s="961">
        <v>879</v>
      </c>
      <c r="E115" s="961">
        <v>787</v>
      </c>
      <c r="F115" s="1602"/>
    </row>
    <row r="116" spans="1:7" s="639" customFormat="1" x14ac:dyDescent="0.25">
      <c r="A116" s="635" t="s">
        <v>176</v>
      </c>
      <c r="B116" s="636" t="s">
        <v>177</v>
      </c>
      <c r="C116" s="636" t="s">
        <v>266</v>
      </c>
      <c r="D116" s="961">
        <v>4916</v>
      </c>
      <c r="E116" s="961">
        <v>4267</v>
      </c>
      <c r="F116" s="1602"/>
    </row>
    <row r="117" spans="1:7" s="639" customFormat="1" x14ac:dyDescent="0.25">
      <c r="A117" s="635" t="s">
        <v>180</v>
      </c>
      <c r="B117" s="636" t="s">
        <v>181</v>
      </c>
      <c r="C117" s="636" t="s">
        <v>264</v>
      </c>
      <c r="D117" s="961">
        <v>7585</v>
      </c>
      <c r="E117" s="961">
        <v>6678</v>
      </c>
      <c r="F117" s="1602"/>
    </row>
    <row r="118" spans="1:7" s="639" customFormat="1" x14ac:dyDescent="0.25">
      <c r="A118" s="635" t="s">
        <v>192</v>
      </c>
      <c r="B118" s="636" t="s">
        <v>193</v>
      </c>
      <c r="C118" s="636" t="s">
        <v>268</v>
      </c>
      <c r="D118" s="961">
        <v>1225</v>
      </c>
      <c r="E118" s="961">
        <v>1018</v>
      </c>
      <c r="F118" s="1602"/>
    </row>
    <row r="119" spans="1:7" s="639" customFormat="1" x14ac:dyDescent="0.25">
      <c r="A119" s="635" t="s">
        <v>196</v>
      </c>
      <c r="B119" s="636" t="s">
        <v>197</v>
      </c>
      <c r="C119" s="636" t="s">
        <v>266</v>
      </c>
      <c r="D119" s="961">
        <v>17167</v>
      </c>
      <c r="E119" s="961">
        <v>16045</v>
      </c>
      <c r="F119" s="1602"/>
    </row>
    <row r="120" spans="1:7" s="639" customFormat="1" x14ac:dyDescent="0.25">
      <c r="A120" s="635" t="s">
        <v>200</v>
      </c>
      <c r="B120" s="636" t="s">
        <v>201</v>
      </c>
      <c r="C120" s="636" t="s">
        <v>265</v>
      </c>
      <c r="D120" s="961">
        <v>10856</v>
      </c>
      <c r="E120" s="961">
        <v>9998</v>
      </c>
      <c r="F120" s="1602"/>
    </row>
    <row r="121" spans="1:7" s="639" customFormat="1" x14ac:dyDescent="0.25">
      <c r="A121" s="635" t="s">
        <v>222</v>
      </c>
      <c r="B121" s="636" t="s">
        <v>223</v>
      </c>
      <c r="C121" s="636" t="s">
        <v>264</v>
      </c>
      <c r="D121" s="961">
        <v>6436</v>
      </c>
      <c r="E121" s="961">
        <v>5703</v>
      </c>
      <c r="F121" s="1602"/>
    </row>
    <row r="122" spans="1:7" s="639" customFormat="1" x14ac:dyDescent="0.25">
      <c r="A122" s="635" t="s">
        <v>230</v>
      </c>
      <c r="B122" s="636" t="s">
        <v>231</v>
      </c>
      <c r="C122" s="636" t="s">
        <v>264</v>
      </c>
      <c r="D122" s="961">
        <v>10353</v>
      </c>
      <c r="E122" s="961">
        <v>8975</v>
      </c>
      <c r="F122" s="1602"/>
    </row>
    <row r="123" spans="1:7" s="639" customFormat="1" x14ac:dyDescent="0.25">
      <c r="A123" s="635" t="s">
        <v>238</v>
      </c>
      <c r="B123" s="636" t="s">
        <v>239</v>
      </c>
      <c r="C123" s="636" t="s">
        <v>264</v>
      </c>
      <c r="D123" s="961">
        <v>186</v>
      </c>
      <c r="E123" s="961">
        <v>163</v>
      </c>
      <c r="F123" s="1602"/>
    </row>
    <row r="124" spans="1:7" s="639" customFormat="1" x14ac:dyDescent="0.25">
      <c r="A124" s="635" t="s">
        <v>240</v>
      </c>
      <c r="B124" s="636" t="s">
        <v>241</v>
      </c>
      <c r="C124" s="636" t="s">
        <v>267</v>
      </c>
      <c r="D124" s="961">
        <v>1492</v>
      </c>
      <c r="E124" s="961">
        <v>1240</v>
      </c>
      <c r="F124" s="1602"/>
    </row>
    <row r="126" spans="1:7" ht="12.75" customHeight="1" x14ac:dyDescent="0.25">
      <c r="A126" s="2104" t="s">
        <v>932</v>
      </c>
      <c r="B126" s="2105"/>
      <c r="C126" s="2105"/>
      <c r="D126" s="2105"/>
      <c r="E126" s="2105"/>
      <c r="F126" s="2105"/>
      <c r="G126" s="2105"/>
    </row>
    <row r="127" spans="1:7" x14ac:dyDescent="0.25">
      <c r="A127" s="2105"/>
      <c r="B127" s="2105"/>
      <c r="C127" s="2105"/>
      <c r="D127" s="2105"/>
      <c r="E127" s="2105"/>
      <c r="F127" s="2105"/>
      <c r="G127" s="2105"/>
    </row>
    <row r="128" spans="1:7" ht="18" customHeight="1" x14ac:dyDescent="0.25">
      <c r="A128" s="2105"/>
      <c r="B128" s="2105"/>
      <c r="C128" s="2105"/>
      <c r="D128" s="2105"/>
      <c r="E128" s="2105"/>
      <c r="F128" s="2105"/>
      <c r="G128" s="2105"/>
    </row>
    <row r="129" spans="1:7" x14ac:dyDescent="0.25">
      <c r="A129" s="1361"/>
      <c r="B129" s="1361"/>
      <c r="C129" s="1361"/>
      <c r="D129" s="1361"/>
      <c r="E129" s="1361"/>
      <c r="F129" s="1595"/>
      <c r="G129" s="1361"/>
    </row>
    <row r="130" spans="1:7" s="414" customFormat="1" x14ac:dyDescent="0.25">
      <c r="A130" s="414" t="s">
        <v>248</v>
      </c>
    </row>
    <row r="131" spans="1:7" s="414" customFormat="1" x14ac:dyDescent="0.25">
      <c r="A131" s="415" t="s">
        <v>249</v>
      </c>
      <c r="B131" s="416" t="s">
        <v>250</v>
      </c>
      <c r="C131" s="416"/>
    </row>
  </sheetData>
  <sortState ref="A4:E124">
    <sortCondition ref="A5:A124"/>
  </sortState>
  <mergeCells count="1">
    <mergeCell ref="A126:G128"/>
  </mergeCells>
  <hyperlinks>
    <hyperlink ref="B131"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31"/>
  <sheetViews>
    <sheetView workbookViewId="0">
      <pane ySplit="4" topLeftCell="A5" activePane="bottomLeft" state="frozen"/>
      <selection pane="bottomLeft" activeCell="A5" sqref="A5:XFD124"/>
    </sheetView>
  </sheetViews>
  <sheetFormatPr defaultRowHeight="15.75" x14ac:dyDescent="0.25"/>
  <cols>
    <col min="1" max="1" width="9" style="270"/>
    <col min="2" max="2" width="34.375" style="270" customWidth="1"/>
    <col min="3" max="3" width="15" style="270" customWidth="1"/>
    <col min="4" max="7" width="11.125" style="270" customWidth="1"/>
    <col min="8" max="9" width="11.375" style="270" customWidth="1"/>
    <col min="10" max="10" width="12.625" style="270" bestFit="1" customWidth="1"/>
    <col min="11" max="11" width="9" style="270"/>
    <col min="12" max="12" width="9.25" style="270" customWidth="1"/>
    <col min="13" max="16384" width="9" style="270"/>
  </cols>
  <sheetData>
    <row r="1" spans="1:10" x14ac:dyDescent="0.25">
      <c r="A1" s="64" t="s">
        <v>1159</v>
      </c>
    </row>
    <row r="3" spans="1:10" x14ac:dyDescent="0.25">
      <c r="A3" s="64" t="s">
        <v>4</v>
      </c>
      <c r="B3" s="64" t="s">
        <v>5</v>
      </c>
      <c r="C3" s="64" t="s">
        <v>251</v>
      </c>
      <c r="D3" s="64" t="s">
        <v>787</v>
      </c>
      <c r="E3" s="64" t="s">
        <v>788</v>
      </c>
      <c r="F3" s="64" t="s">
        <v>789</v>
      </c>
      <c r="G3" s="64" t="s">
        <v>786</v>
      </c>
      <c r="H3" s="64" t="s">
        <v>830</v>
      </c>
      <c r="I3" s="64" t="s">
        <v>886</v>
      </c>
      <c r="J3" s="64" t="s">
        <v>1160</v>
      </c>
    </row>
    <row r="4" spans="1:10" x14ac:dyDescent="0.25">
      <c r="A4" s="647">
        <v>999</v>
      </c>
      <c r="B4" s="648" t="s">
        <v>9</v>
      </c>
      <c r="C4" s="648"/>
      <c r="D4" s="649">
        <f>SUM(D5:D124)</f>
        <v>1373665</v>
      </c>
      <c r="E4" s="649">
        <f>SUM(E5:E124)</f>
        <v>1520062</v>
      </c>
      <c r="F4" s="649">
        <f>SUM(F5:F124)</f>
        <v>1623085</v>
      </c>
      <c r="G4" s="649">
        <f>SUM(G5:G124)</f>
        <v>1699580</v>
      </c>
      <c r="H4" s="649">
        <f>SUM(H5:H124)</f>
        <v>1772903</v>
      </c>
      <c r="I4" s="649">
        <v>1772010</v>
      </c>
      <c r="J4" s="1626">
        <v>1815351</v>
      </c>
    </row>
    <row r="5" spans="1:10" x14ac:dyDescent="0.25">
      <c r="A5" s="529" t="s">
        <v>10</v>
      </c>
      <c r="B5" s="530" t="s">
        <v>11</v>
      </c>
      <c r="C5" s="581" t="s">
        <v>264</v>
      </c>
      <c r="D5" s="273">
        <v>10154</v>
      </c>
      <c r="E5" s="273">
        <v>10645</v>
      </c>
      <c r="F5" s="273">
        <v>11189</v>
      </c>
      <c r="G5" s="273">
        <v>11696</v>
      </c>
      <c r="H5" s="271">
        <v>12021</v>
      </c>
      <c r="I5" s="271">
        <v>11999</v>
      </c>
      <c r="J5" s="273">
        <v>12066</v>
      </c>
    </row>
    <row r="6" spans="1:10" x14ac:dyDescent="0.25">
      <c r="A6" s="529" t="s">
        <v>12</v>
      </c>
      <c r="B6" s="530" t="s">
        <v>13</v>
      </c>
      <c r="C6" s="581" t="s">
        <v>265</v>
      </c>
      <c r="D6" s="273">
        <v>10450</v>
      </c>
      <c r="E6" s="273">
        <v>11816</v>
      </c>
      <c r="F6" s="273">
        <v>12861</v>
      </c>
      <c r="G6" s="273">
        <v>13492</v>
      </c>
      <c r="H6" s="271">
        <v>13805</v>
      </c>
      <c r="I6" s="271">
        <v>13949</v>
      </c>
      <c r="J6" s="273">
        <v>14453</v>
      </c>
    </row>
    <row r="7" spans="1:10" x14ac:dyDescent="0.25">
      <c r="A7" s="529" t="s">
        <v>16</v>
      </c>
      <c r="B7" s="530" t="s">
        <v>297</v>
      </c>
      <c r="C7" s="581" t="s">
        <v>265</v>
      </c>
      <c r="D7" s="273">
        <v>6378</v>
      </c>
      <c r="E7" s="273">
        <v>6596</v>
      </c>
      <c r="F7" s="273">
        <v>6817</v>
      </c>
      <c r="G7" s="273">
        <v>7087</v>
      </c>
      <c r="H7" s="271">
        <v>7255</v>
      </c>
      <c r="I7" s="271">
        <v>7129</v>
      </c>
      <c r="J7" s="273">
        <v>7224</v>
      </c>
    </row>
    <row r="8" spans="1:10" x14ac:dyDescent="0.25">
      <c r="A8" s="529" t="s">
        <v>18</v>
      </c>
      <c r="B8" s="530" t="s">
        <v>19</v>
      </c>
      <c r="C8" s="581" t="s">
        <v>266</v>
      </c>
      <c r="D8" s="273">
        <v>3026</v>
      </c>
      <c r="E8" s="273">
        <v>3512</v>
      </c>
      <c r="F8" s="273">
        <v>3662</v>
      </c>
      <c r="G8" s="273">
        <v>3831</v>
      </c>
      <c r="H8" s="271">
        <v>3758</v>
      </c>
      <c r="I8" s="271">
        <v>3571</v>
      </c>
      <c r="J8" s="273">
        <v>3530</v>
      </c>
    </row>
    <row r="9" spans="1:10" x14ac:dyDescent="0.25">
      <c r="A9" s="529" t="s">
        <v>20</v>
      </c>
      <c r="B9" s="530" t="s">
        <v>21</v>
      </c>
      <c r="C9" s="581" t="s">
        <v>265</v>
      </c>
      <c r="D9" s="273">
        <v>6851</v>
      </c>
      <c r="E9" s="273">
        <v>7644</v>
      </c>
      <c r="F9" s="273">
        <v>7861</v>
      </c>
      <c r="G9" s="273">
        <v>7938</v>
      </c>
      <c r="H9" s="271">
        <v>8197</v>
      </c>
      <c r="I9" s="271">
        <v>7902</v>
      </c>
      <c r="J9" s="273">
        <v>7906</v>
      </c>
    </row>
    <row r="10" spans="1:10" x14ac:dyDescent="0.25">
      <c r="A10" s="529" t="s">
        <v>22</v>
      </c>
      <c r="B10" s="530" t="s">
        <v>23</v>
      </c>
      <c r="C10" s="581" t="s">
        <v>265</v>
      </c>
      <c r="D10" s="273">
        <v>3905</v>
      </c>
      <c r="E10" s="273">
        <v>4235</v>
      </c>
      <c r="F10" s="273">
        <v>4416</v>
      </c>
      <c r="G10" s="273">
        <v>4691</v>
      </c>
      <c r="H10" s="271">
        <v>4818</v>
      </c>
      <c r="I10" s="271">
        <v>4773</v>
      </c>
      <c r="J10" s="273">
        <v>4821</v>
      </c>
    </row>
    <row r="11" spans="1:10" x14ac:dyDescent="0.25">
      <c r="A11" s="529" t="s">
        <v>24</v>
      </c>
      <c r="B11" s="530" t="s">
        <v>25</v>
      </c>
      <c r="C11" s="581" t="s">
        <v>267</v>
      </c>
      <c r="D11" s="273">
        <v>13991</v>
      </c>
      <c r="E11" s="273">
        <v>15240</v>
      </c>
      <c r="F11" s="273">
        <v>16243</v>
      </c>
      <c r="G11" s="273">
        <v>17046</v>
      </c>
      <c r="H11" s="271">
        <v>18023</v>
      </c>
      <c r="I11" s="271">
        <v>18981</v>
      </c>
      <c r="J11" s="273">
        <v>19981</v>
      </c>
    </row>
    <row r="12" spans="1:10" x14ac:dyDescent="0.25">
      <c r="A12" s="529" t="s">
        <v>26</v>
      </c>
      <c r="B12" s="530" t="s">
        <v>686</v>
      </c>
      <c r="C12" s="581" t="s">
        <v>265</v>
      </c>
      <c r="D12" s="273">
        <v>24014</v>
      </c>
      <c r="E12" s="273">
        <v>26818</v>
      </c>
      <c r="F12" s="273">
        <v>28895</v>
      </c>
      <c r="G12" s="273">
        <v>30421</v>
      </c>
      <c r="H12" s="271">
        <v>33010</v>
      </c>
      <c r="I12" s="271">
        <v>31132</v>
      </c>
      <c r="J12" s="273">
        <v>30822</v>
      </c>
    </row>
    <row r="13" spans="1:10" x14ac:dyDescent="0.25">
      <c r="A13" s="529" t="s">
        <v>27</v>
      </c>
      <c r="B13" s="530" t="s">
        <v>28</v>
      </c>
      <c r="C13" s="586" t="s">
        <v>265</v>
      </c>
      <c r="D13" s="273">
        <v>768</v>
      </c>
      <c r="E13" s="273">
        <v>865</v>
      </c>
      <c r="F13" s="273">
        <v>899</v>
      </c>
      <c r="G13" s="273">
        <v>973</v>
      </c>
      <c r="H13" s="271">
        <v>1072</v>
      </c>
      <c r="I13" s="271">
        <v>982</v>
      </c>
      <c r="J13" s="273">
        <v>1039</v>
      </c>
    </row>
    <row r="14" spans="1:10" x14ac:dyDescent="0.25">
      <c r="A14" s="529" t="s">
        <v>29</v>
      </c>
      <c r="B14" s="530" t="s">
        <v>941</v>
      </c>
      <c r="C14" s="586" t="s">
        <v>265</v>
      </c>
      <c r="D14" s="273">
        <v>11776</v>
      </c>
      <c r="E14" s="273">
        <v>13183</v>
      </c>
      <c r="F14" s="273">
        <v>13989</v>
      </c>
      <c r="G14" s="273">
        <v>14476</v>
      </c>
      <c r="H14" s="271">
        <v>14890</v>
      </c>
      <c r="I14" s="271">
        <v>15856</v>
      </c>
      <c r="J14" s="273">
        <v>14507</v>
      </c>
    </row>
    <row r="15" spans="1:10" x14ac:dyDescent="0.25">
      <c r="A15" s="529" t="s">
        <v>30</v>
      </c>
      <c r="B15" s="530" t="s">
        <v>31</v>
      </c>
      <c r="C15" s="586" t="s">
        <v>268</v>
      </c>
      <c r="D15" s="273">
        <v>1291</v>
      </c>
      <c r="E15" s="273">
        <v>1353</v>
      </c>
      <c r="F15" s="273">
        <v>1382</v>
      </c>
      <c r="G15" s="273">
        <v>1384</v>
      </c>
      <c r="H15" s="271">
        <v>1448</v>
      </c>
      <c r="I15" s="271">
        <v>1367</v>
      </c>
      <c r="J15" s="273">
        <v>1393</v>
      </c>
    </row>
    <row r="16" spans="1:10" x14ac:dyDescent="0.25">
      <c r="A16" s="529" t="s">
        <v>32</v>
      </c>
      <c r="B16" s="530" t="s">
        <v>33</v>
      </c>
      <c r="C16" s="586" t="s">
        <v>265</v>
      </c>
      <c r="D16" s="273">
        <v>3233</v>
      </c>
      <c r="E16" s="273">
        <v>3680</v>
      </c>
      <c r="F16" s="273">
        <v>3726</v>
      </c>
      <c r="G16" s="273">
        <v>4000</v>
      </c>
      <c r="H16" s="271">
        <v>4098</v>
      </c>
      <c r="I16" s="271">
        <v>4208</v>
      </c>
      <c r="J16" s="273">
        <v>4483</v>
      </c>
    </row>
    <row r="17" spans="1:10" x14ac:dyDescent="0.25">
      <c r="A17" s="529" t="s">
        <v>36</v>
      </c>
      <c r="B17" s="530" t="s">
        <v>37</v>
      </c>
      <c r="C17" s="586" t="s">
        <v>264</v>
      </c>
      <c r="D17" s="273">
        <v>5641</v>
      </c>
      <c r="E17" s="273">
        <v>5937</v>
      </c>
      <c r="F17" s="273">
        <v>6192</v>
      </c>
      <c r="G17" s="273">
        <v>6314</v>
      </c>
      <c r="H17" s="271">
        <v>6374</v>
      </c>
      <c r="I17" s="271">
        <v>6370</v>
      </c>
      <c r="J17" s="273">
        <v>6377</v>
      </c>
    </row>
    <row r="18" spans="1:10" x14ac:dyDescent="0.25">
      <c r="A18" s="529" t="s">
        <v>38</v>
      </c>
      <c r="B18" s="530" t="s">
        <v>39</v>
      </c>
      <c r="C18" s="586" t="s">
        <v>268</v>
      </c>
      <c r="D18" s="273">
        <v>8117</v>
      </c>
      <c r="E18" s="273">
        <v>8292</v>
      </c>
      <c r="F18" s="273">
        <v>8181</v>
      </c>
      <c r="G18" s="273">
        <v>8282</v>
      </c>
      <c r="H18" s="271">
        <v>8685</v>
      </c>
      <c r="I18" s="271">
        <v>8594</v>
      </c>
      <c r="J18" s="273">
        <v>8772</v>
      </c>
    </row>
    <row r="19" spans="1:10" x14ac:dyDescent="0.25">
      <c r="A19" s="529" t="s">
        <v>40</v>
      </c>
      <c r="B19" s="530" t="s">
        <v>41</v>
      </c>
      <c r="C19" s="586" t="s">
        <v>266</v>
      </c>
      <c r="D19" s="273">
        <v>4579</v>
      </c>
      <c r="E19" s="273">
        <v>5112</v>
      </c>
      <c r="F19" s="273">
        <v>5450</v>
      </c>
      <c r="G19" s="273">
        <v>5724</v>
      </c>
      <c r="H19" s="271">
        <v>5834</v>
      </c>
      <c r="I19" s="271">
        <v>5595</v>
      </c>
      <c r="J19" s="273">
        <v>5680</v>
      </c>
    </row>
    <row r="20" spans="1:10" x14ac:dyDescent="0.25">
      <c r="A20" s="529" t="s">
        <v>42</v>
      </c>
      <c r="B20" s="530" t="s">
        <v>43</v>
      </c>
      <c r="C20" s="586" t="s">
        <v>265</v>
      </c>
      <c r="D20" s="273">
        <v>12064</v>
      </c>
      <c r="E20" s="273">
        <v>13378</v>
      </c>
      <c r="F20" s="273">
        <v>14158</v>
      </c>
      <c r="G20" s="273">
        <v>14628</v>
      </c>
      <c r="H20" s="271">
        <v>15039</v>
      </c>
      <c r="I20" s="271">
        <v>14890</v>
      </c>
      <c r="J20" s="273">
        <v>15340</v>
      </c>
    </row>
    <row r="21" spans="1:10" x14ac:dyDescent="0.25">
      <c r="A21" s="529" t="s">
        <v>44</v>
      </c>
      <c r="B21" s="530" t="s">
        <v>45</v>
      </c>
      <c r="C21" s="586" t="s">
        <v>266</v>
      </c>
      <c r="D21" s="273">
        <v>7077</v>
      </c>
      <c r="E21" s="273">
        <v>7864</v>
      </c>
      <c r="F21" s="273">
        <v>8226</v>
      </c>
      <c r="G21" s="273">
        <v>8666</v>
      </c>
      <c r="H21" s="271">
        <v>8995</v>
      </c>
      <c r="I21" s="271">
        <v>8728</v>
      </c>
      <c r="J21" s="273">
        <v>9036</v>
      </c>
    </row>
    <row r="22" spans="1:10" x14ac:dyDescent="0.25">
      <c r="A22" s="529" t="s">
        <v>46</v>
      </c>
      <c r="B22" s="530" t="s">
        <v>47</v>
      </c>
      <c r="C22" s="586" t="s">
        <v>268</v>
      </c>
      <c r="D22" s="273">
        <v>8782</v>
      </c>
      <c r="E22" s="273">
        <v>9353</v>
      </c>
      <c r="F22" s="273">
        <v>9766</v>
      </c>
      <c r="G22" s="273">
        <v>10040</v>
      </c>
      <c r="H22" s="271">
        <v>10165</v>
      </c>
      <c r="I22" s="271">
        <v>9993</v>
      </c>
      <c r="J22" s="273">
        <v>9917</v>
      </c>
    </row>
    <row r="23" spans="1:10" x14ac:dyDescent="0.25">
      <c r="A23" s="529" t="s">
        <v>48</v>
      </c>
      <c r="B23" s="530" t="s">
        <v>269</v>
      </c>
      <c r="C23" s="586" t="s">
        <v>266</v>
      </c>
      <c r="D23" s="273">
        <v>1617</v>
      </c>
      <c r="E23" s="273">
        <v>1753</v>
      </c>
      <c r="F23" s="273">
        <v>1811</v>
      </c>
      <c r="G23" s="273">
        <v>1897</v>
      </c>
      <c r="H23" s="271">
        <v>1975</v>
      </c>
      <c r="I23" s="271">
        <v>1907</v>
      </c>
      <c r="J23" s="273">
        <v>1936</v>
      </c>
    </row>
    <row r="24" spans="1:10" x14ac:dyDescent="0.25">
      <c r="A24" s="529" t="s">
        <v>50</v>
      </c>
      <c r="B24" s="530" t="s">
        <v>51</v>
      </c>
      <c r="C24" s="586" t="s">
        <v>265</v>
      </c>
      <c r="D24" s="273">
        <v>4100</v>
      </c>
      <c r="E24" s="273">
        <v>4284</v>
      </c>
      <c r="F24" s="273">
        <v>4431</v>
      </c>
      <c r="G24" s="273">
        <v>4550</v>
      </c>
      <c r="H24" s="271">
        <v>4494</v>
      </c>
      <c r="I24" s="271">
        <v>4300</v>
      </c>
      <c r="J24" s="273">
        <v>4373</v>
      </c>
    </row>
    <row r="25" spans="1:10" x14ac:dyDescent="0.25">
      <c r="A25" s="529" t="s">
        <v>56</v>
      </c>
      <c r="B25" s="530" t="s">
        <v>295</v>
      </c>
      <c r="C25" s="586" t="s">
        <v>266</v>
      </c>
      <c r="D25" s="273">
        <v>46029</v>
      </c>
      <c r="E25" s="273">
        <v>53461</v>
      </c>
      <c r="F25" s="273">
        <v>58122</v>
      </c>
      <c r="G25" s="273">
        <v>61602</v>
      </c>
      <c r="H25" s="271">
        <v>65119</v>
      </c>
      <c r="I25" s="271">
        <v>65990</v>
      </c>
      <c r="J25" s="273">
        <v>69089</v>
      </c>
    </row>
    <row r="26" spans="1:10" x14ac:dyDescent="0.25">
      <c r="A26" s="529" t="s">
        <v>58</v>
      </c>
      <c r="B26" s="530" t="s">
        <v>59</v>
      </c>
      <c r="C26" s="586" t="s">
        <v>267</v>
      </c>
      <c r="D26" s="273">
        <v>1554</v>
      </c>
      <c r="E26" s="273">
        <v>1671</v>
      </c>
      <c r="F26" s="273">
        <v>1745</v>
      </c>
      <c r="G26" s="273">
        <v>1777</v>
      </c>
      <c r="H26" s="271">
        <v>1798</v>
      </c>
      <c r="I26" s="271">
        <v>1814</v>
      </c>
      <c r="J26" s="273">
        <v>1730</v>
      </c>
    </row>
    <row r="27" spans="1:10" x14ac:dyDescent="0.25">
      <c r="A27" s="529" t="s">
        <v>60</v>
      </c>
      <c r="B27" s="530" t="s">
        <v>61</v>
      </c>
      <c r="C27" s="586" t="s">
        <v>265</v>
      </c>
      <c r="D27" s="273">
        <v>979</v>
      </c>
      <c r="E27" s="273">
        <v>1125</v>
      </c>
      <c r="F27" s="273">
        <v>1186</v>
      </c>
      <c r="G27" s="273">
        <v>1256</v>
      </c>
      <c r="H27" s="271">
        <v>1296</v>
      </c>
      <c r="I27" s="271">
        <v>1290</v>
      </c>
      <c r="J27" s="273">
        <v>1331</v>
      </c>
    </row>
    <row r="28" spans="1:10" x14ac:dyDescent="0.25">
      <c r="A28" s="529" t="s">
        <v>62</v>
      </c>
      <c r="B28" s="530" t="s">
        <v>63</v>
      </c>
      <c r="C28" s="586" t="s">
        <v>267</v>
      </c>
      <c r="D28" s="273">
        <v>8685</v>
      </c>
      <c r="E28" s="273">
        <v>9887</v>
      </c>
      <c r="F28" s="273">
        <v>10548</v>
      </c>
      <c r="G28" s="273">
        <v>11041</v>
      </c>
      <c r="H28" s="271">
        <v>11627</v>
      </c>
      <c r="I28" s="271">
        <v>11503</v>
      </c>
      <c r="J28" s="273">
        <v>11944</v>
      </c>
    </row>
    <row r="29" spans="1:10" x14ac:dyDescent="0.25">
      <c r="A29" s="529" t="s">
        <v>64</v>
      </c>
      <c r="B29" s="530" t="s">
        <v>65</v>
      </c>
      <c r="C29" s="586" t="s">
        <v>266</v>
      </c>
      <c r="D29" s="273">
        <v>3206</v>
      </c>
      <c r="E29" s="273">
        <v>3488</v>
      </c>
      <c r="F29" s="273">
        <v>3664</v>
      </c>
      <c r="G29" s="273">
        <v>3838</v>
      </c>
      <c r="H29" s="271">
        <v>3884</v>
      </c>
      <c r="I29" s="271">
        <v>3885</v>
      </c>
      <c r="J29" s="273">
        <v>3884</v>
      </c>
    </row>
    <row r="30" spans="1:10" x14ac:dyDescent="0.25">
      <c r="A30" s="529" t="s">
        <v>68</v>
      </c>
      <c r="B30" s="530" t="s">
        <v>69</v>
      </c>
      <c r="C30" s="586" t="s">
        <v>268</v>
      </c>
      <c r="D30" s="273">
        <v>5991</v>
      </c>
      <c r="E30" s="273">
        <v>6117</v>
      </c>
      <c r="F30" s="273">
        <v>6204</v>
      </c>
      <c r="G30" s="273">
        <v>6290</v>
      </c>
      <c r="H30" s="271">
        <v>6510</v>
      </c>
      <c r="I30" s="271">
        <v>6390</v>
      </c>
      <c r="J30" s="273">
        <v>6454</v>
      </c>
    </row>
    <row r="31" spans="1:10" x14ac:dyDescent="0.25">
      <c r="A31" s="529" t="s">
        <v>70</v>
      </c>
      <c r="B31" s="530" t="s">
        <v>71</v>
      </c>
      <c r="C31" s="586" t="s">
        <v>264</v>
      </c>
      <c r="D31" s="273">
        <v>6775</v>
      </c>
      <c r="E31" s="273">
        <v>7489</v>
      </c>
      <c r="F31" s="273">
        <v>7879</v>
      </c>
      <c r="G31" s="273">
        <v>8289</v>
      </c>
      <c r="H31" s="271">
        <v>8402</v>
      </c>
      <c r="I31" s="271">
        <v>8271</v>
      </c>
      <c r="J31" s="273">
        <v>8574</v>
      </c>
    </row>
    <row r="32" spans="1:10" x14ac:dyDescent="0.25">
      <c r="A32" s="529" t="s">
        <v>72</v>
      </c>
      <c r="B32" s="530" t="s">
        <v>73</v>
      </c>
      <c r="C32" s="586" t="s">
        <v>266</v>
      </c>
      <c r="D32" s="273">
        <v>3349</v>
      </c>
      <c r="E32" s="273">
        <v>3585</v>
      </c>
      <c r="F32" s="273">
        <v>3825</v>
      </c>
      <c r="G32" s="273">
        <v>4145</v>
      </c>
      <c r="H32" s="271">
        <v>4239</v>
      </c>
      <c r="I32" s="271">
        <v>4141</v>
      </c>
      <c r="J32" s="273">
        <v>4178</v>
      </c>
    </row>
    <row r="33" spans="1:10" x14ac:dyDescent="0.25">
      <c r="A33" s="529" t="s">
        <v>74</v>
      </c>
      <c r="B33" s="530" t="s">
        <v>296</v>
      </c>
      <c r="C33" s="586" t="s">
        <v>267</v>
      </c>
      <c r="D33" s="273">
        <v>87159</v>
      </c>
      <c r="E33" s="273">
        <v>99397</v>
      </c>
      <c r="F33" s="273">
        <v>109477</v>
      </c>
      <c r="G33" s="273">
        <v>112563</v>
      </c>
      <c r="H33" s="271">
        <v>119261</v>
      </c>
      <c r="I33" s="271">
        <v>122381</v>
      </c>
      <c r="J33" s="273">
        <v>129431</v>
      </c>
    </row>
    <row r="34" spans="1:10" x14ac:dyDescent="0.25">
      <c r="A34" s="529" t="s">
        <v>76</v>
      </c>
      <c r="B34" s="530" t="s">
        <v>77</v>
      </c>
      <c r="C34" s="586" t="s">
        <v>267</v>
      </c>
      <c r="D34" s="273">
        <v>7501</v>
      </c>
      <c r="E34" s="273">
        <v>8570</v>
      </c>
      <c r="F34" s="273">
        <v>8823</v>
      </c>
      <c r="G34" s="273">
        <v>9298</v>
      </c>
      <c r="H34" s="271">
        <v>9603</v>
      </c>
      <c r="I34" s="271">
        <v>9525</v>
      </c>
      <c r="J34" s="273">
        <v>9827</v>
      </c>
    </row>
    <row r="35" spans="1:10" x14ac:dyDescent="0.25">
      <c r="A35" s="529" t="s">
        <v>78</v>
      </c>
      <c r="B35" s="530" t="s">
        <v>79</v>
      </c>
      <c r="C35" s="586" t="s">
        <v>268</v>
      </c>
      <c r="D35" s="273">
        <v>3128</v>
      </c>
      <c r="E35" s="273">
        <v>3492</v>
      </c>
      <c r="F35" s="273">
        <v>3755</v>
      </c>
      <c r="G35" s="273">
        <v>3951</v>
      </c>
      <c r="H35" s="271">
        <v>4003</v>
      </c>
      <c r="I35" s="271">
        <v>3922</v>
      </c>
      <c r="J35" s="273">
        <v>3937</v>
      </c>
    </row>
    <row r="36" spans="1:10" x14ac:dyDescent="0.25">
      <c r="A36" s="529" t="s">
        <v>80</v>
      </c>
      <c r="B36" s="530" t="s">
        <v>81</v>
      </c>
      <c r="C36" s="586" t="s">
        <v>266</v>
      </c>
      <c r="D36" s="273">
        <v>2973</v>
      </c>
      <c r="E36" s="273">
        <v>3322</v>
      </c>
      <c r="F36" s="273">
        <v>3614</v>
      </c>
      <c r="G36" s="273">
        <v>3963</v>
      </c>
      <c r="H36" s="271">
        <v>4085</v>
      </c>
      <c r="I36" s="271">
        <v>4087</v>
      </c>
      <c r="J36" s="273">
        <v>4182</v>
      </c>
    </row>
    <row r="37" spans="1:10" x14ac:dyDescent="0.25">
      <c r="A37" s="529" t="s">
        <v>84</v>
      </c>
      <c r="B37" s="530" t="s">
        <v>85</v>
      </c>
      <c r="C37" s="586" t="s">
        <v>265</v>
      </c>
      <c r="D37" s="273">
        <v>12419</v>
      </c>
      <c r="E37" s="273">
        <v>13477</v>
      </c>
      <c r="F37" s="273">
        <v>14096</v>
      </c>
      <c r="G37" s="273">
        <v>14591</v>
      </c>
      <c r="H37" s="271">
        <v>14823</v>
      </c>
      <c r="I37" s="271">
        <v>14539</v>
      </c>
      <c r="J37" s="273">
        <v>14587</v>
      </c>
    </row>
    <row r="38" spans="1:10" x14ac:dyDescent="0.25">
      <c r="A38" s="529" t="s">
        <v>86</v>
      </c>
      <c r="B38" s="530" t="s">
        <v>87</v>
      </c>
      <c r="C38" s="586" t="s">
        <v>267</v>
      </c>
      <c r="D38" s="273">
        <v>10934</v>
      </c>
      <c r="E38" s="273">
        <v>12741</v>
      </c>
      <c r="F38" s="273">
        <v>14062</v>
      </c>
      <c r="G38" s="273">
        <v>14891</v>
      </c>
      <c r="H38" s="271">
        <v>15442</v>
      </c>
      <c r="I38" s="271">
        <v>14817</v>
      </c>
      <c r="J38" s="273">
        <v>14938</v>
      </c>
    </row>
    <row r="39" spans="1:10" x14ac:dyDescent="0.25">
      <c r="A39" s="529" t="s">
        <v>92</v>
      </c>
      <c r="B39" s="530" t="s">
        <v>93</v>
      </c>
      <c r="C39" s="586" t="s">
        <v>268</v>
      </c>
      <c r="D39" s="273">
        <v>4238</v>
      </c>
      <c r="E39" s="273">
        <v>4613</v>
      </c>
      <c r="F39" s="273">
        <v>4863</v>
      </c>
      <c r="G39" s="273">
        <v>4766</v>
      </c>
      <c r="H39" s="271">
        <v>4728</v>
      </c>
      <c r="I39" s="271">
        <v>4798</v>
      </c>
      <c r="J39" s="273">
        <v>4868</v>
      </c>
    </row>
    <row r="40" spans="1:10" x14ac:dyDescent="0.25">
      <c r="A40" s="529" t="s">
        <v>94</v>
      </c>
      <c r="B40" s="530" t="s">
        <v>95</v>
      </c>
      <c r="C40" s="586" t="s">
        <v>264</v>
      </c>
      <c r="D40" s="273">
        <v>6072</v>
      </c>
      <c r="E40" s="273">
        <v>7144</v>
      </c>
      <c r="F40" s="273">
        <v>7615</v>
      </c>
      <c r="G40" s="273">
        <v>8100</v>
      </c>
      <c r="H40" s="271">
        <v>8215</v>
      </c>
      <c r="I40" s="271">
        <v>8157</v>
      </c>
      <c r="J40" s="273">
        <v>8264</v>
      </c>
    </row>
    <row r="41" spans="1:10" x14ac:dyDescent="0.25">
      <c r="A41" s="529" t="s">
        <v>96</v>
      </c>
      <c r="B41" s="530" t="s">
        <v>97</v>
      </c>
      <c r="C41" s="586" t="s">
        <v>266</v>
      </c>
      <c r="D41" s="273">
        <v>2165</v>
      </c>
      <c r="E41" s="273">
        <v>2415</v>
      </c>
      <c r="F41" s="273">
        <v>2642</v>
      </c>
      <c r="G41" s="273">
        <v>2624</v>
      </c>
      <c r="H41" s="271">
        <v>2686</v>
      </c>
      <c r="I41" s="271">
        <v>2733</v>
      </c>
      <c r="J41" s="273">
        <v>2847</v>
      </c>
    </row>
    <row r="42" spans="1:10" x14ac:dyDescent="0.25">
      <c r="A42" s="529" t="s">
        <v>98</v>
      </c>
      <c r="B42" s="530" t="s">
        <v>99</v>
      </c>
      <c r="C42" s="586" t="s">
        <v>268</v>
      </c>
      <c r="D42" s="273">
        <v>4831</v>
      </c>
      <c r="E42" s="273">
        <v>5023</v>
      </c>
      <c r="F42" s="273">
        <v>5230</v>
      </c>
      <c r="G42" s="273">
        <v>5368</v>
      </c>
      <c r="H42" s="271">
        <v>5495</v>
      </c>
      <c r="I42" s="271">
        <v>5404</v>
      </c>
      <c r="J42" s="273">
        <v>5411</v>
      </c>
    </row>
    <row r="43" spans="1:10" x14ac:dyDescent="0.25">
      <c r="A43" s="529" t="s">
        <v>100</v>
      </c>
      <c r="B43" s="530" t="s">
        <v>101</v>
      </c>
      <c r="C43" s="586" t="s">
        <v>267</v>
      </c>
      <c r="D43" s="273">
        <v>3189</v>
      </c>
      <c r="E43" s="273">
        <v>3612</v>
      </c>
      <c r="F43" s="273">
        <v>3843</v>
      </c>
      <c r="G43" s="273">
        <v>4068</v>
      </c>
      <c r="H43" s="271">
        <v>4258</v>
      </c>
      <c r="I43" s="271">
        <v>4306</v>
      </c>
      <c r="J43" s="273">
        <v>4448</v>
      </c>
    </row>
    <row r="44" spans="1:10" x14ac:dyDescent="0.25">
      <c r="A44" s="529" t="s">
        <v>102</v>
      </c>
      <c r="B44" s="530" t="s">
        <v>282</v>
      </c>
      <c r="C44" s="586" t="s">
        <v>264</v>
      </c>
      <c r="D44" s="273">
        <v>6171</v>
      </c>
      <c r="E44" s="273">
        <v>6523</v>
      </c>
      <c r="F44" s="273">
        <v>6894</v>
      </c>
      <c r="G44" s="273">
        <v>7055</v>
      </c>
      <c r="H44" s="271">
        <v>7643</v>
      </c>
      <c r="I44" s="271">
        <v>7299</v>
      </c>
      <c r="J44" s="273">
        <v>7806</v>
      </c>
    </row>
    <row r="45" spans="1:10" x14ac:dyDescent="0.25">
      <c r="A45" s="529" t="s">
        <v>104</v>
      </c>
      <c r="B45" s="530" t="s">
        <v>105</v>
      </c>
      <c r="C45" s="586" t="s">
        <v>265</v>
      </c>
      <c r="D45" s="273">
        <v>11126</v>
      </c>
      <c r="E45" s="273">
        <v>11836</v>
      </c>
      <c r="F45" s="273">
        <v>12253</v>
      </c>
      <c r="G45" s="273">
        <v>12493</v>
      </c>
      <c r="H45" s="271">
        <v>12495</v>
      </c>
      <c r="I45" s="271">
        <v>12397</v>
      </c>
      <c r="J45" s="273">
        <v>12652</v>
      </c>
    </row>
    <row r="46" spans="1:10" x14ac:dyDescent="0.25">
      <c r="A46" s="529" t="s">
        <v>108</v>
      </c>
      <c r="B46" s="530" t="s">
        <v>109</v>
      </c>
      <c r="C46" s="586" t="s">
        <v>266</v>
      </c>
      <c r="D46" s="273">
        <v>8990</v>
      </c>
      <c r="E46" s="273">
        <v>10473</v>
      </c>
      <c r="F46" s="273">
        <v>11322</v>
      </c>
      <c r="G46" s="273">
        <v>11933</v>
      </c>
      <c r="H46" s="271">
        <v>12202</v>
      </c>
      <c r="I46" s="271">
        <v>12275</v>
      </c>
      <c r="J46" s="273">
        <v>12636</v>
      </c>
    </row>
    <row r="47" spans="1:10" x14ac:dyDescent="0.25">
      <c r="A47" s="529" t="s">
        <v>110</v>
      </c>
      <c r="B47" s="530" t="s">
        <v>111</v>
      </c>
      <c r="C47" s="586" t="s">
        <v>266</v>
      </c>
      <c r="D47" s="273">
        <v>45673</v>
      </c>
      <c r="E47" s="273">
        <v>53566</v>
      </c>
      <c r="F47" s="273">
        <v>58387</v>
      </c>
      <c r="G47" s="273">
        <v>62318</v>
      </c>
      <c r="H47" s="271">
        <v>65255</v>
      </c>
      <c r="I47" s="271">
        <v>65569</v>
      </c>
      <c r="J47" s="273">
        <v>67388</v>
      </c>
    </row>
    <row r="48" spans="1:10" x14ac:dyDescent="0.25">
      <c r="A48" s="529" t="s">
        <v>112</v>
      </c>
      <c r="B48" s="530" t="s">
        <v>300</v>
      </c>
      <c r="C48" s="586" t="s">
        <v>265</v>
      </c>
      <c r="D48" s="273">
        <v>24235</v>
      </c>
      <c r="E48" s="273">
        <v>25897</v>
      </c>
      <c r="F48" s="273">
        <v>26899</v>
      </c>
      <c r="G48" s="273">
        <v>28223</v>
      </c>
      <c r="H48" s="271">
        <v>29375</v>
      </c>
      <c r="I48" s="271">
        <v>28381</v>
      </c>
      <c r="J48" s="273">
        <v>28984</v>
      </c>
    </row>
    <row r="49" spans="1:10" x14ac:dyDescent="0.25">
      <c r="A49" s="529" t="s">
        <v>114</v>
      </c>
      <c r="B49" s="530" t="s">
        <v>115</v>
      </c>
      <c r="C49" s="586" t="s">
        <v>265</v>
      </c>
      <c r="D49" s="273">
        <v>378</v>
      </c>
      <c r="E49" s="273">
        <v>369</v>
      </c>
      <c r="F49" s="273">
        <v>401</v>
      </c>
      <c r="G49" s="273">
        <v>419</v>
      </c>
      <c r="H49" s="271">
        <v>380</v>
      </c>
      <c r="I49" s="271">
        <v>464</v>
      </c>
      <c r="J49" s="273">
        <v>530</v>
      </c>
    </row>
    <row r="50" spans="1:10" x14ac:dyDescent="0.25">
      <c r="A50" s="529" t="s">
        <v>118</v>
      </c>
      <c r="B50" s="530" t="s">
        <v>270</v>
      </c>
      <c r="C50" s="586" t="s">
        <v>264</v>
      </c>
      <c r="D50" s="273">
        <v>6168</v>
      </c>
      <c r="E50" s="273">
        <v>6782</v>
      </c>
      <c r="F50" s="273">
        <v>7201</v>
      </c>
      <c r="G50" s="273">
        <v>7466</v>
      </c>
      <c r="H50" s="271">
        <v>7694</v>
      </c>
      <c r="I50" s="271">
        <v>7411</v>
      </c>
      <c r="J50" s="273">
        <v>7687</v>
      </c>
    </row>
    <row r="51" spans="1:10" x14ac:dyDescent="0.25">
      <c r="A51" s="529" t="s">
        <v>120</v>
      </c>
      <c r="B51" s="530" t="s">
        <v>121</v>
      </c>
      <c r="C51" s="586" t="s">
        <v>264</v>
      </c>
      <c r="D51" s="273">
        <v>7265</v>
      </c>
      <c r="E51" s="273">
        <v>8068</v>
      </c>
      <c r="F51" s="273">
        <v>8654</v>
      </c>
      <c r="G51" s="273">
        <v>9250</v>
      </c>
      <c r="H51" s="271">
        <v>9814</v>
      </c>
      <c r="I51" s="271">
        <v>9790</v>
      </c>
      <c r="J51" s="273">
        <v>10137</v>
      </c>
    </row>
    <row r="52" spans="1:10" x14ac:dyDescent="0.25">
      <c r="A52" s="529" t="s">
        <v>122</v>
      </c>
      <c r="B52" s="530" t="s">
        <v>287</v>
      </c>
      <c r="C52" s="586" t="s">
        <v>266</v>
      </c>
      <c r="D52" s="273">
        <v>1821</v>
      </c>
      <c r="E52" s="273">
        <v>2014</v>
      </c>
      <c r="F52" s="273">
        <v>2106</v>
      </c>
      <c r="G52" s="273">
        <v>2155</v>
      </c>
      <c r="H52" s="271">
        <v>2302</v>
      </c>
      <c r="I52" s="271">
        <v>2311</v>
      </c>
      <c r="J52" s="273">
        <v>2335</v>
      </c>
    </row>
    <row r="53" spans="1:10" x14ac:dyDescent="0.25">
      <c r="A53" s="529" t="s">
        <v>124</v>
      </c>
      <c r="B53" s="530" t="s">
        <v>125</v>
      </c>
      <c r="C53" s="586" t="s">
        <v>267</v>
      </c>
      <c r="D53" s="273">
        <v>3674</v>
      </c>
      <c r="E53" s="273">
        <v>4105</v>
      </c>
      <c r="F53" s="273">
        <v>4672</v>
      </c>
      <c r="G53" s="273">
        <v>5146</v>
      </c>
      <c r="H53" s="271">
        <v>5401</v>
      </c>
      <c r="I53" s="271">
        <v>5434</v>
      </c>
      <c r="J53" s="273">
        <v>5501</v>
      </c>
    </row>
    <row r="54" spans="1:10" x14ac:dyDescent="0.25">
      <c r="A54" s="529" t="s">
        <v>126</v>
      </c>
      <c r="B54" s="530" t="s">
        <v>127</v>
      </c>
      <c r="C54" s="586" t="s">
        <v>266</v>
      </c>
      <c r="D54" s="273">
        <v>2589</v>
      </c>
      <c r="E54" s="273">
        <v>3047</v>
      </c>
      <c r="F54" s="273">
        <v>3327</v>
      </c>
      <c r="G54" s="273">
        <v>3605</v>
      </c>
      <c r="H54" s="271">
        <v>3654</v>
      </c>
      <c r="I54" s="271">
        <v>3571</v>
      </c>
      <c r="J54" s="273">
        <v>3598</v>
      </c>
    </row>
    <row r="55" spans="1:10" x14ac:dyDescent="0.25">
      <c r="A55" s="529" t="s">
        <v>128</v>
      </c>
      <c r="B55" s="530" t="s">
        <v>129</v>
      </c>
      <c r="C55" s="586" t="s">
        <v>266</v>
      </c>
      <c r="D55" s="273">
        <v>2561</v>
      </c>
      <c r="E55" s="273">
        <v>2809</v>
      </c>
      <c r="F55" s="273">
        <v>2950</v>
      </c>
      <c r="G55" s="273">
        <v>3083</v>
      </c>
      <c r="H55" s="271">
        <v>3166</v>
      </c>
      <c r="I55" s="271">
        <v>3121</v>
      </c>
      <c r="J55" s="273">
        <v>3113</v>
      </c>
    </row>
    <row r="56" spans="1:10" x14ac:dyDescent="0.25">
      <c r="A56" s="529" t="s">
        <v>130</v>
      </c>
      <c r="B56" s="530" t="s">
        <v>131</v>
      </c>
      <c r="C56" s="586" t="s">
        <v>268</v>
      </c>
      <c r="D56" s="273">
        <v>9767</v>
      </c>
      <c r="E56" s="273">
        <v>10029</v>
      </c>
      <c r="F56" s="273">
        <v>10229</v>
      </c>
      <c r="G56" s="273">
        <v>10482</v>
      </c>
      <c r="H56" s="271">
        <v>10674</v>
      </c>
      <c r="I56" s="271">
        <v>10725</v>
      </c>
      <c r="J56" s="273">
        <v>10612</v>
      </c>
    </row>
    <row r="57" spans="1:10" x14ac:dyDescent="0.25">
      <c r="A57" s="529" t="s">
        <v>132</v>
      </c>
      <c r="B57" s="530" t="s">
        <v>133</v>
      </c>
      <c r="C57" s="586" t="s">
        <v>267</v>
      </c>
      <c r="D57" s="273">
        <v>16334</v>
      </c>
      <c r="E57" s="273">
        <v>19245</v>
      </c>
      <c r="F57" s="273">
        <v>21523</v>
      </c>
      <c r="G57" s="273">
        <v>23187</v>
      </c>
      <c r="H57" s="271">
        <v>25111</v>
      </c>
      <c r="I57" s="271">
        <v>26251</v>
      </c>
      <c r="J57" s="273">
        <v>28985</v>
      </c>
    </row>
    <row r="58" spans="1:10" x14ac:dyDescent="0.25">
      <c r="A58" s="529" t="s">
        <v>134</v>
      </c>
      <c r="B58" s="530" t="s">
        <v>135</v>
      </c>
      <c r="C58" s="586" t="s">
        <v>267</v>
      </c>
      <c r="D58" s="273">
        <v>6368</v>
      </c>
      <c r="E58" s="273">
        <v>7341</v>
      </c>
      <c r="F58" s="273">
        <v>8009</v>
      </c>
      <c r="G58" s="273">
        <v>8312</v>
      </c>
      <c r="H58" s="271">
        <v>8668</v>
      </c>
      <c r="I58" s="271">
        <v>8716</v>
      </c>
      <c r="J58" s="273">
        <v>9100</v>
      </c>
    </row>
    <row r="59" spans="1:10" x14ac:dyDescent="0.25">
      <c r="A59" s="529" t="s">
        <v>136</v>
      </c>
      <c r="B59" s="530" t="s">
        <v>137</v>
      </c>
      <c r="C59" s="586" t="s">
        <v>266</v>
      </c>
      <c r="D59" s="273">
        <v>3971</v>
      </c>
      <c r="E59" s="273">
        <v>4180</v>
      </c>
      <c r="F59" s="273">
        <v>4361</v>
      </c>
      <c r="G59" s="273">
        <v>4416</v>
      </c>
      <c r="H59" s="271">
        <v>4360</v>
      </c>
      <c r="I59" s="271">
        <v>4409</v>
      </c>
      <c r="J59" s="273">
        <v>4525</v>
      </c>
    </row>
    <row r="60" spans="1:10" x14ac:dyDescent="0.25">
      <c r="A60" s="529" t="s">
        <v>140</v>
      </c>
      <c r="B60" s="530" t="s">
        <v>141</v>
      </c>
      <c r="C60" s="586" t="s">
        <v>267</v>
      </c>
      <c r="D60" s="273">
        <v>2302</v>
      </c>
      <c r="E60" s="273">
        <v>2706</v>
      </c>
      <c r="F60" s="273">
        <v>2883</v>
      </c>
      <c r="G60" s="273">
        <v>3097</v>
      </c>
      <c r="H60" s="271">
        <v>3289</v>
      </c>
      <c r="I60" s="271">
        <v>3268</v>
      </c>
      <c r="J60" s="273">
        <v>3403</v>
      </c>
    </row>
    <row r="61" spans="1:10" x14ac:dyDescent="0.25">
      <c r="A61" s="529" t="s">
        <v>146</v>
      </c>
      <c r="B61" s="530" t="s">
        <v>147</v>
      </c>
      <c r="C61" s="586" t="s">
        <v>264</v>
      </c>
      <c r="D61" s="273">
        <v>1508</v>
      </c>
      <c r="E61" s="273">
        <v>1745</v>
      </c>
      <c r="F61" s="273">
        <v>1806</v>
      </c>
      <c r="G61" s="273">
        <v>1858</v>
      </c>
      <c r="H61" s="271">
        <v>1909</v>
      </c>
      <c r="I61" s="271">
        <v>1877</v>
      </c>
      <c r="J61" s="273">
        <v>1940</v>
      </c>
    </row>
    <row r="62" spans="1:10" x14ac:dyDescent="0.25">
      <c r="A62" s="529" t="s">
        <v>148</v>
      </c>
      <c r="B62" s="530" t="s">
        <v>149</v>
      </c>
      <c r="C62" s="586" t="s">
        <v>265</v>
      </c>
      <c r="D62" s="273">
        <v>8605</v>
      </c>
      <c r="E62" s="273">
        <v>9368</v>
      </c>
      <c r="F62" s="273">
        <v>9715</v>
      </c>
      <c r="G62" s="273">
        <v>10096</v>
      </c>
      <c r="H62" s="271">
        <v>10278</v>
      </c>
      <c r="I62" s="271">
        <v>10277</v>
      </c>
      <c r="J62" s="273">
        <v>10315</v>
      </c>
    </row>
    <row r="63" spans="1:10" x14ac:dyDescent="0.25">
      <c r="A63" s="529" t="s">
        <v>150</v>
      </c>
      <c r="B63" s="530" t="s">
        <v>151</v>
      </c>
      <c r="C63" s="586" t="s">
        <v>266</v>
      </c>
      <c r="D63" s="273">
        <v>2154</v>
      </c>
      <c r="E63" s="273">
        <v>2434</v>
      </c>
      <c r="F63" s="273">
        <v>2600</v>
      </c>
      <c r="G63" s="273">
        <v>2883</v>
      </c>
      <c r="H63" s="271">
        <v>2997</v>
      </c>
      <c r="I63" s="271">
        <v>2945</v>
      </c>
      <c r="J63" s="273">
        <v>3058</v>
      </c>
    </row>
    <row r="64" spans="1:10" x14ac:dyDescent="0.25">
      <c r="A64" s="529" t="s">
        <v>152</v>
      </c>
      <c r="B64" s="530" t="s">
        <v>153</v>
      </c>
      <c r="C64" s="586" t="s">
        <v>268</v>
      </c>
      <c r="D64" s="273">
        <v>12483</v>
      </c>
      <c r="E64" s="273">
        <v>13455</v>
      </c>
      <c r="F64" s="273">
        <v>14053</v>
      </c>
      <c r="G64" s="273">
        <v>14545</v>
      </c>
      <c r="H64" s="271">
        <v>15067</v>
      </c>
      <c r="I64" s="271">
        <v>14799</v>
      </c>
      <c r="J64" s="273">
        <v>14736</v>
      </c>
    </row>
    <row r="65" spans="1:10" x14ac:dyDescent="0.25">
      <c r="A65" s="529" t="s">
        <v>154</v>
      </c>
      <c r="B65" s="530" t="s">
        <v>155</v>
      </c>
      <c r="C65" s="586" t="s">
        <v>265</v>
      </c>
      <c r="D65" s="273">
        <v>3562</v>
      </c>
      <c r="E65" s="273">
        <v>3914</v>
      </c>
      <c r="F65" s="273">
        <v>4078</v>
      </c>
      <c r="G65" s="273">
        <v>4237</v>
      </c>
      <c r="H65" s="271">
        <v>4379</v>
      </c>
      <c r="I65" s="271">
        <v>4359</v>
      </c>
      <c r="J65" s="273">
        <v>4383</v>
      </c>
    </row>
    <row r="66" spans="1:10" x14ac:dyDescent="0.25">
      <c r="A66" s="529" t="s">
        <v>156</v>
      </c>
      <c r="B66" s="530" t="s">
        <v>157</v>
      </c>
      <c r="C66" s="586" t="s">
        <v>266</v>
      </c>
      <c r="D66" s="273">
        <v>1742</v>
      </c>
      <c r="E66" s="273">
        <v>2112</v>
      </c>
      <c r="F66" s="273">
        <v>2344</v>
      </c>
      <c r="G66" s="273">
        <v>2581</v>
      </c>
      <c r="H66" s="271">
        <v>2654</v>
      </c>
      <c r="I66" s="271">
        <v>2597</v>
      </c>
      <c r="J66" s="273">
        <v>2902</v>
      </c>
    </row>
    <row r="67" spans="1:10" x14ac:dyDescent="0.25">
      <c r="A67" s="529" t="s">
        <v>162</v>
      </c>
      <c r="B67" s="530" t="s">
        <v>163</v>
      </c>
      <c r="C67" s="586" t="s">
        <v>264</v>
      </c>
      <c r="D67" s="273">
        <v>4506</v>
      </c>
      <c r="E67" s="273">
        <v>4672</v>
      </c>
      <c r="F67" s="273">
        <v>4948</v>
      </c>
      <c r="G67" s="273">
        <v>5041</v>
      </c>
      <c r="H67" s="271">
        <v>5116</v>
      </c>
      <c r="I67" s="271">
        <v>5107</v>
      </c>
      <c r="J67" s="273">
        <v>5120</v>
      </c>
    </row>
    <row r="68" spans="1:10" x14ac:dyDescent="0.25">
      <c r="A68" s="529" t="s">
        <v>164</v>
      </c>
      <c r="B68" s="530" t="s">
        <v>165</v>
      </c>
      <c r="C68" s="586" t="s">
        <v>266</v>
      </c>
      <c r="D68" s="273">
        <v>2431</v>
      </c>
      <c r="E68" s="273">
        <v>2695</v>
      </c>
      <c r="F68" s="273">
        <v>2858</v>
      </c>
      <c r="G68" s="273">
        <v>2977</v>
      </c>
      <c r="H68" s="271">
        <v>3260</v>
      </c>
      <c r="I68" s="271">
        <v>3291</v>
      </c>
      <c r="J68" s="273">
        <v>3327</v>
      </c>
    </row>
    <row r="69" spans="1:10" x14ac:dyDescent="0.25">
      <c r="A69" s="529" t="s">
        <v>168</v>
      </c>
      <c r="B69" s="530" t="s">
        <v>169</v>
      </c>
      <c r="C69" s="586" t="s">
        <v>266</v>
      </c>
      <c r="D69" s="273">
        <v>4826</v>
      </c>
      <c r="E69" s="273">
        <v>5170</v>
      </c>
      <c r="F69" s="273">
        <v>5491</v>
      </c>
      <c r="G69" s="273">
        <v>5780</v>
      </c>
      <c r="H69" s="271">
        <v>5891</v>
      </c>
      <c r="I69" s="271">
        <v>5923</v>
      </c>
      <c r="J69" s="273">
        <v>5968</v>
      </c>
    </row>
    <row r="70" spans="1:10" x14ac:dyDescent="0.25">
      <c r="A70" s="529" t="s">
        <v>170</v>
      </c>
      <c r="B70" s="530" t="s">
        <v>171</v>
      </c>
      <c r="C70" s="586" t="s">
        <v>267</v>
      </c>
      <c r="D70" s="273">
        <v>5693</v>
      </c>
      <c r="E70" s="273">
        <v>6315</v>
      </c>
      <c r="F70" s="273">
        <v>6809</v>
      </c>
      <c r="G70" s="273">
        <v>7145</v>
      </c>
      <c r="H70" s="271">
        <v>7442</v>
      </c>
      <c r="I70" s="271">
        <v>7517</v>
      </c>
      <c r="J70" s="273">
        <v>7793</v>
      </c>
    </row>
    <row r="71" spans="1:10" x14ac:dyDescent="0.25">
      <c r="A71" s="529" t="s">
        <v>172</v>
      </c>
      <c r="B71" s="530" t="s">
        <v>173</v>
      </c>
      <c r="C71" s="586" t="s">
        <v>267</v>
      </c>
      <c r="D71" s="273">
        <v>6081</v>
      </c>
      <c r="E71" s="273">
        <v>6673</v>
      </c>
      <c r="F71" s="273">
        <v>6884</v>
      </c>
      <c r="G71" s="273">
        <v>7211</v>
      </c>
      <c r="H71" s="271">
        <v>7374</v>
      </c>
      <c r="I71" s="271">
        <v>7355</v>
      </c>
      <c r="J71" s="273">
        <v>7348</v>
      </c>
    </row>
    <row r="72" spans="1:10" x14ac:dyDescent="0.25">
      <c r="A72" s="529" t="s">
        <v>174</v>
      </c>
      <c r="B72" s="530" t="s">
        <v>175</v>
      </c>
      <c r="C72" s="586" t="s">
        <v>268</v>
      </c>
      <c r="D72" s="273">
        <v>5752</v>
      </c>
      <c r="E72" s="273">
        <v>5986</v>
      </c>
      <c r="F72" s="273">
        <v>6211</v>
      </c>
      <c r="G72" s="273">
        <v>6361</v>
      </c>
      <c r="H72" s="271">
        <v>6284</v>
      </c>
      <c r="I72" s="271">
        <v>6077</v>
      </c>
      <c r="J72" s="273">
        <v>6044</v>
      </c>
    </row>
    <row r="73" spans="1:10" x14ac:dyDescent="0.25">
      <c r="A73" s="529" t="s">
        <v>178</v>
      </c>
      <c r="B73" s="530" t="s">
        <v>179</v>
      </c>
      <c r="C73" s="586" t="s">
        <v>265</v>
      </c>
      <c r="D73" s="273">
        <v>16280</v>
      </c>
      <c r="E73" s="273">
        <v>17448</v>
      </c>
      <c r="F73" s="273">
        <v>18265</v>
      </c>
      <c r="G73" s="273">
        <v>18571</v>
      </c>
      <c r="H73" s="271">
        <v>19012</v>
      </c>
      <c r="I73" s="271">
        <v>19233</v>
      </c>
      <c r="J73" s="273">
        <v>19383</v>
      </c>
    </row>
    <row r="74" spans="1:10" x14ac:dyDescent="0.25">
      <c r="A74" s="529" t="s">
        <v>182</v>
      </c>
      <c r="B74" s="530" t="s">
        <v>183</v>
      </c>
      <c r="C74" s="586" t="s">
        <v>266</v>
      </c>
      <c r="D74" s="273">
        <v>2269</v>
      </c>
      <c r="E74" s="273">
        <v>2691</v>
      </c>
      <c r="F74" s="273">
        <v>2973</v>
      </c>
      <c r="G74" s="273">
        <v>3221</v>
      </c>
      <c r="H74" s="271">
        <v>3278</v>
      </c>
      <c r="I74" s="271">
        <v>3217</v>
      </c>
      <c r="J74" s="273">
        <v>3272</v>
      </c>
    </row>
    <row r="75" spans="1:10" x14ac:dyDescent="0.25">
      <c r="A75" s="529" t="s">
        <v>184</v>
      </c>
      <c r="B75" s="530" t="s">
        <v>185</v>
      </c>
      <c r="C75" s="586" t="s">
        <v>266</v>
      </c>
      <c r="D75" s="273">
        <v>5629</v>
      </c>
      <c r="E75" s="273">
        <v>6051</v>
      </c>
      <c r="F75" s="273">
        <v>6389</v>
      </c>
      <c r="G75" s="273">
        <v>6609</v>
      </c>
      <c r="H75" s="271">
        <v>6706</v>
      </c>
      <c r="I75" s="271">
        <v>6692</v>
      </c>
      <c r="J75" s="273">
        <v>6672</v>
      </c>
    </row>
    <row r="76" spans="1:10" x14ac:dyDescent="0.25">
      <c r="A76" s="529" t="s">
        <v>186</v>
      </c>
      <c r="B76" s="530" t="s">
        <v>187</v>
      </c>
      <c r="C76" s="586" t="s">
        <v>264</v>
      </c>
      <c r="D76" s="273">
        <v>4279</v>
      </c>
      <c r="E76" s="273">
        <v>4792</v>
      </c>
      <c r="F76" s="273">
        <v>5225</v>
      </c>
      <c r="G76" s="273">
        <v>5570</v>
      </c>
      <c r="H76" s="271">
        <v>5936</v>
      </c>
      <c r="I76" s="271">
        <v>6195</v>
      </c>
      <c r="J76" s="273">
        <v>6687</v>
      </c>
    </row>
    <row r="77" spans="1:10" x14ac:dyDescent="0.25">
      <c r="A77" s="529" t="s">
        <v>188</v>
      </c>
      <c r="B77" s="530" t="s">
        <v>189</v>
      </c>
      <c r="C77" s="586" t="s">
        <v>267</v>
      </c>
      <c r="D77" s="273">
        <v>49214</v>
      </c>
      <c r="E77" s="273">
        <v>55745</v>
      </c>
      <c r="F77" s="273">
        <v>61478</v>
      </c>
      <c r="G77" s="273">
        <v>65938</v>
      </c>
      <c r="H77" s="271">
        <v>70257</v>
      </c>
      <c r="I77" s="271">
        <v>70982</v>
      </c>
      <c r="J77" s="273">
        <v>74938</v>
      </c>
    </row>
    <row r="78" spans="1:10" x14ac:dyDescent="0.25">
      <c r="A78" s="529" t="s">
        <v>190</v>
      </c>
      <c r="B78" s="530" t="s">
        <v>191</v>
      </c>
      <c r="C78" s="586" t="s">
        <v>268</v>
      </c>
      <c r="D78" s="273">
        <v>9201</v>
      </c>
      <c r="E78" s="273">
        <v>10052</v>
      </c>
      <c r="F78" s="273">
        <v>10488</v>
      </c>
      <c r="G78" s="273">
        <v>10556</v>
      </c>
      <c r="H78" s="271">
        <v>10844</v>
      </c>
      <c r="I78" s="271">
        <v>10765</v>
      </c>
      <c r="J78" s="273">
        <v>10620</v>
      </c>
    </row>
    <row r="79" spans="1:10" x14ac:dyDescent="0.25">
      <c r="A79" s="529" t="s">
        <v>194</v>
      </c>
      <c r="B79" s="530" t="s">
        <v>195</v>
      </c>
      <c r="C79" s="586" t="s">
        <v>267</v>
      </c>
      <c r="D79" s="273">
        <v>953</v>
      </c>
      <c r="E79" s="273">
        <v>1065</v>
      </c>
      <c r="F79" s="273">
        <v>1182</v>
      </c>
      <c r="G79" s="273">
        <v>1314</v>
      </c>
      <c r="H79" s="271">
        <v>1268</v>
      </c>
      <c r="I79" s="271">
        <v>1218</v>
      </c>
      <c r="J79" s="273">
        <v>1209</v>
      </c>
    </row>
    <row r="80" spans="1:10" x14ac:dyDescent="0.25">
      <c r="A80" s="529" t="s">
        <v>198</v>
      </c>
      <c r="B80" s="530" t="s">
        <v>272</v>
      </c>
      <c r="C80" s="586" t="s">
        <v>266</v>
      </c>
      <c r="D80" s="273">
        <v>2197</v>
      </c>
      <c r="E80" s="273">
        <v>2411</v>
      </c>
      <c r="F80" s="273">
        <v>2565</v>
      </c>
      <c r="G80" s="273">
        <v>2620</v>
      </c>
      <c r="H80" s="271">
        <v>2786</v>
      </c>
      <c r="I80" s="271">
        <v>2780</v>
      </c>
      <c r="J80" s="273">
        <v>2888</v>
      </c>
    </row>
    <row r="81" spans="1:10" x14ac:dyDescent="0.25">
      <c r="A81" s="529" t="s">
        <v>202</v>
      </c>
      <c r="B81" s="530" t="s">
        <v>301</v>
      </c>
      <c r="C81" s="586" t="s">
        <v>265</v>
      </c>
      <c r="D81" s="273">
        <v>14095</v>
      </c>
      <c r="E81" s="273">
        <v>16034</v>
      </c>
      <c r="F81" s="273">
        <v>17260</v>
      </c>
      <c r="G81" s="273">
        <v>17971</v>
      </c>
      <c r="H81" s="271">
        <v>18740</v>
      </c>
      <c r="I81" s="271">
        <v>18942</v>
      </c>
      <c r="J81" s="273">
        <v>19709</v>
      </c>
    </row>
    <row r="82" spans="1:10" x14ac:dyDescent="0.25">
      <c r="A82" s="529" t="s">
        <v>204</v>
      </c>
      <c r="B82" s="530" t="s">
        <v>293</v>
      </c>
      <c r="C82" s="586" t="s">
        <v>265</v>
      </c>
      <c r="D82" s="273">
        <v>6688</v>
      </c>
      <c r="E82" s="273">
        <v>7271</v>
      </c>
      <c r="F82" s="273">
        <v>7691</v>
      </c>
      <c r="G82" s="273">
        <v>8057</v>
      </c>
      <c r="H82" s="271">
        <v>8632</v>
      </c>
      <c r="I82" s="271">
        <v>8555</v>
      </c>
      <c r="J82" s="273">
        <v>8684</v>
      </c>
    </row>
    <row r="83" spans="1:10" x14ac:dyDescent="0.25">
      <c r="A83" s="529" t="s">
        <v>206</v>
      </c>
      <c r="B83" s="530" t="s">
        <v>294</v>
      </c>
      <c r="C83" s="586" t="s">
        <v>267</v>
      </c>
      <c r="D83" s="273">
        <v>19635</v>
      </c>
      <c r="E83" s="273">
        <v>21912</v>
      </c>
      <c r="F83" s="273">
        <v>23550</v>
      </c>
      <c r="G83" s="273">
        <v>24475</v>
      </c>
      <c r="H83" s="271">
        <v>26143</v>
      </c>
      <c r="I83" s="271">
        <v>25826</v>
      </c>
      <c r="J83" s="273">
        <v>26368</v>
      </c>
    </row>
    <row r="84" spans="1:10" x14ac:dyDescent="0.25">
      <c r="A84" s="529" t="s">
        <v>208</v>
      </c>
      <c r="B84" s="530" t="s">
        <v>209</v>
      </c>
      <c r="C84" s="586" t="s">
        <v>268</v>
      </c>
      <c r="D84" s="273">
        <v>9646</v>
      </c>
      <c r="E84" s="273">
        <v>10113</v>
      </c>
      <c r="F84" s="273">
        <v>10183</v>
      </c>
      <c r="G84" s="273">
        <v>10222</v>
      </c>
      <c r="H84" s="271">
        <v>10525</v>
      </c>
      <c r="I84" s="271">
        <v>10709</v>
      </c>
      <c r="J84" s="273">
        <v>10699</v>
      </c>
    </row>
    <row r="85" spans="1:10" x14ac:dyDescent="0.25">
      <c r="A85" s="529" t="s">
        <v>210</v>
      </c>
      <c r="B85" s="530" t="s">
        <v>211</v>
      </c>
      <c r="C85" s="586" t="s">
        <v>268</v>
      </c>
      <c r="D85" s="273">
        <v>6562</v>
      </c>
      <c r="E85" s="273">
        <v>6967</v>
      </c>
      <c r="F85" s="273">
        <v>7272</v>
      </c>
      <c r="G85" s="273">
        <v>7508</v>
      </c>
      <c r="H85" s="271">
        <v>7756</v>
      </c>
      <c r="I85" s="271">
        <v>7711</v>
      </c>
      <c r="J85" s="273">
        <v>7608</v>
      </c>
    </row>
    <row r="86" spans="1:10" x14ac:dyDescent="0.25">
      <c r="A86" s="529" t="s">
        <v>212</v>
      </c>
      <c r="B86" s="530" t="s">
        <v>213</v>
      </c>
      <c r="C86" s="586" t="s">
        <v>267</v>
      </c>
      <c r="D86" s="273">
        <v>7923</v>
      </c>
      <c r="E86" s="273">
        <v>8974</v>
      </c>
      <c r="F86" s="273">
        <v>9471</v>
      </c>
      <c r="G86" s="273">
        <v>10213</v>
      </c>
      <c r="H86" s="271">
        <v>10692</v>
      </c>
      <c r="I86" s="271">
        <v>10645</v>
      </c>
      <c r="J86" s="273">
        <v>10671</v>
      </c>
    </row>
    <row r="87" spans="1:10" x14ac:dyDescent="0.25">
      <c r="A87" s="529" t="s">
        <v>214</v>
      </c>
      <c r="B87" s="530" t="s">
        <v>215</v>
      </c>
      <c r="C87" s="586" t="s">
        <v>268</v>
      </c>
      <c r="D87" s="273">
        <v>10180</v>
      </c>
      <c r="E87" s="273">
        <v>10747</v>
      </c>
      <c r="F87" s="273">
        <v>11199</v>
      </c>
      <c r="G87" s="273">
        <v>11408</v>
      </c>
      <c r="H87" s="271">
        <v>11740</v>
      </c>
      <c r="I87" s="271">
        <v>11494</v>
      </c>
      <c r="J87" s="273">
        <v>11457</v>
      </c>
    </row>
    <row r="88" spans="1:10" x14ac:dyDescent="0.25">
      <c r="A88" s="529" t="s">
        <v>216</v>
      </c>
      <c r="B88" s="530" t="s">
        <v>217</v>
      </c>
      <c r="C88" s="586" t="s">
        <v>264</v>
      </c>
      <c r="D88" s="273">
        <v>4739</v>
      </c>
      <c r="E88" s="273">
        <v>4945</v>
      </c>
      <c r="F88" s="273">
        <v>5095</v>
      </c>
      <c r="G88" s="273">
        <v>5386</v>
      </c>
      <c r="H88" s="271">
        <v>5524</v>
      </c>
      <c r="I88" s="271">
        <v>5487</v>
      </c>
      <c r="J88" s="273">
        <v>5514</v>
      </c>
    </row>
    <row r="89" spans="1:10" x14ac:dyDescent="0.25">
      <c r="A89" s="529" t="s">
        <v>218</v>
      </c>
      <c r="B89" s="530" t="s">
        <v>219</v>
      </c>
      <c r="C89" s="586" t="s">
        <v>267</v>
      </c>
      <c r="D89" s="273">
        <v>17964</v>
      </c>
      <c r="E89" s="273">
        <v>20138</v>
      </c>
      <c r="F89" s="273">
        <v>22280</v>
      </c>
      <c r="G89" s="273">
        <v>23180</v>
      </c>
      <c r="H89" s="271">
        <v>24370</v>
      </c>
      <c r="I89" s="271">
        <v>24969</v>
      </c>
      <c r="J89" s="273">
        <v>26223</v>
      </c>
    </row>
    <row r="90" spans="1:10" x14ac:dyDescent="0.25">
      <c r="A90" s="529" t="s">
        <v>220</v>
      </c>
      <c r="B90" s="530" t="s">
        <v>221</v>
      </c>
      <c r="C90" s="586" t="s">
        <v>267</v>
      </c>
      <c r="D90" s="273">
        <v>14825</v>
      </c>
      <c r="E90" s="273">
        <v>16746</v>
      </c>
      <c r="F90" s="273">
        <v>18064</v>
      </c>
      <c r="G90" s="273">
        <v>19198</v>
      </c>
      <c r="H90" s="271">
        <v>20228</v>
      </c>
      <c r="I90" s="271">
        <v>20731</v>
      </c>
      <c r="J90" s="273">
        <v>21976</v>
      </c>
    </row>
    <row r="91" spans="1:10" x14ac:dyDescent="0.25">
      <c r="A91" s="529" t="s">
        <v>224</v>
      </c>
      <c r="B91" s="530" t="s">
        <v>225</v>
      </c>
      <c r="C91" s="586" t="s">
        <v>264</v>
      </c>
      <c r="D91" s="273">
        <v>1567</v>
      </c>
      <c r="E91" s="273">
        <v>1773</v>
      </c>
      <c r="F91" s="273">
        <v>1851</v>
      </c>
      <c r="G91" s="273">
        <v>1859</v>
      </c>
      <c r="H91" s="271">
        <v>2001</v>
      </c>
      <c r="I91" s="271">
        <v>1941</v>
      </c>
      <c r="J91" s="273">
        <v>1940</v>
      </c>
    </row>
    <row r="92" spans="1:10" x14ac:dyDescent="0.25">
      <c r="A92" s="529" t="s">
        <v>226</v>
      </c>
      <c r="B92" s="530" t="s">
        <v>227</v>
      </c>
      <c r="C92" s="586" t="s">
        <v>264</v>
      </c>
      <c r="D92" s="273">
        <v>3094</v>
      </c>
      <c r="E92" s="273">
        <v>3329</v>
      </c>
      <c r="F92" s="273">
        <v>3364</v>
      </c>
      <c r="G92" s="273">
        <v>3451</v>
      </c>
      <c r="H92" s="271">
        <v>3637</v>
      </c>
      <c r="I92" s="271">
        <v>3626</v>
      </c>
      <c r="J92" s="273">
        <v>3693</v>
      </c>
    </row>
    <row r="93" spans="1:10" x14ac:dyDescent="0.25">
      <c r="A93" s="529" t="s">
        <v>228</v>
      </c>
      <c r="B93" s="530" t="s">
        <v>229</v>
      </c>
      <c r="C93" s="586" t="s">
        <v>268</v>
      </c>
      <c r="D93" s="273">
        <v>12497</v>
      </c>
      <c r="E93" s="273">
        <v>13345</v>
      </c>
      <c r="F93" s="273">
        <v>13646</v>
      </c>
      <c r="G93" s="273">
        <v>13980</v>
      </c>
      <c r="H93" s="271">
        <v>14880</v>
      </c>
      <c r="I93" s="271">
        <v>15085</v>
      </c>
      <c r="J93" s="273">
        <v>15386</v>
      </c>
    </row>
    <row r="94" spans="1:10" x14ac:dyDescent="0.25">
      <c r="A94" s="529" t="s">
        <v>232</v>
      </c>
      <c r="B94" s="530" t="s">
        <v>233</v>
      </c>
      <c r="C94" s="586" t="s">
        <v>267</v>
      </c>
      <c r="D94" s="273">
        <v>7149</v>
      </c>
      <c r="E94" s="273">
        <v>8160</v>
      </c>
      <c r="F94" s="273">
        <v>8829</v>
      </c>
      <c r="G94" s="273">
        <v>9150</v>
      </c>
      <c r="H94" s="271">
        <v>9684</v>
      </c>
      <c r="I94" s="271">
        <v>9464</v>
      </c>
      <c r="J94" s="273">
        <v>9780</v>
      </c>
    </row>
    <row r="95" spans="1:10" x14ac:dyDescent="0.25">
      <c r="A95" s="529" t="s">
        <v>234</v>
      </c>
      <c r="B95" s="530" t="s">
        <v>235</v>
      </c>
      <c r="C95" s="586" t="s">
        <v>268</v>
      </c>
      <c r="D95" s="273">
        <v>12315</v>
      </c>
      <c r="E95" s="273">
        <v>13359</v>
      </c>
      <c r="F95" s="273">
        <v>13843</v>
      </c>
      <c r="G95" s="273">
        <v>14301</v>
      </c>
      <c r="H95" s="271">
        <v>14799</v>
      </c>
      <c r="I95" s="271">
        <v>14873</v>
      </c>
      <c r="J95" s="273">
        <v>14960</v>
      </c>
    </row>
    <row r="96" spans="1:10" x14ac:dyDescent="0.25">
      <c r="A96" s="529" t="s">
        <v>236</v>
      </c>
      <c r="B96" s="530" t="s">
        <v>237</v>
      </c>
      <c r="C96" s="586" t="s">
        <v>266</v>
      </c>
      <c r="D96" s="273">
        <v>4513</v>
      </c>
      <c r="E96" s="273">
        <v>5047</v>
      </c>
      <c r="F96" s="273">
        <v>5476</v>
      </c>
      <c r="G96" s="273">
        <v>5688</v>
      </c>
      <c r="H96" s="271">
        <v>5943</v>
      </c>
      <c r="I96" s="271">
        <v>5777</v>
      </c>
      <c r="J96" s="273">
        <v>6085</v>
      </c>
    </row>
    <row r="97" spans="1:10" x14ac:dyDescent="0.25">
      <c r="A97" s="529" t="s">
        <v>242</v>
      </c>
      <c r="B97" s="530" t="s">
        <v>243</v>
      </c>
      <c r="C97" s="586" t="s">
        <v>268</v>
      </c>
      <c r="D97" s="273">
        <v>14030</v>
      </c>
      <c r="E97" s="273">
        <v>14463</v>
      </c>
      <c r="F97" s="273">
        <v>14854</v>
      </c>
      <c r="G97" s="273">
        <v>15217</v>
      </c>
      <c r="H97" s="271">
        <v>16014</v>
      </c>
      <c r="I97" s="271">
        <v>16101</v>
      </c>
      <c r="J97" s="273">
        <v>15753</v>
      </c>
    </row>
    <row r="98" spans="1:10" x14ac:dyDescent="0.25">
      <c r="A98" s="531" t="s">
        <v>244</v>
      </c>
      <c r="B98" s="530" t="s">
        <v>245</v>
      </c>
      <c r="C98" s="586" t="s">
        <v>268</v>
      </c>
      <c r="D98" s="273">
        <v>7668</v>
      </c>
      <c r="E98" s="273">
        <v>8273</v>
      </c>
      <c r="F98" s="273">
        <v>8646</v>
      </c>
      <c r="G98" s="273">
        <v>8824</v>
      </c>
      <c r="H98" s="271">
        <v>8921</v>
      </c>
      <c r="I98" s="271">
        <v>8741</v>
      </c>
      <c r="J98" s="273">
        <v>8734</v>
      </c>
    </row>
    <row r="99" spans="1:10" x14ac:dyDescent="0.25">
      <c r="A99" s="529" t="s">
        <v>246</v>
      </c>
      <c r="B99" s="530" t="s">
        <v>247</v>
      </c>
      <c r="C99" s="586" t="s">
        <v>264</v>
      </c>
      <c r="D99" s="273">
        <v>5296</v>
      </c>
      <c r="E99" s="273">
        <v>6038</v>
      </c>
      <c r="F99" s="273">
        <v>6915</v>
      </c>
      <c r="G99" s="273">
        <v>7316</v>
      </c>
      <c r="H99" s="271">
        <v>7612</v>
      </c>
      <c r="I99" s="271">
        <v>7806</v>
      </c>
      <c r="J99" s="273">
        <v>8055</v>
      </c>
    </row>
    <row r="100" spans="1:10" x14ac:dyDescent="0.25">
      <c r="A100" s="529" t="s">
        <v>14</v>
      </c>
      <c r="B100" s="530" t="s">
        <v>15</v>
      </c>
      <c r="C100" s="586" t="s">
        <v>267</v>
      </c>
      <c r="D100" s="273">
        <v>15962</v>
      </c>
      <c r="E100" s="273">
        <v>17710</v>
      </c>
      <c r="F100" s="273">
        <v>18687</v>
      </c>
      <c r="G100" s="273">
        <v>19292</v>
      </c>
      <c r="H100" s="271">
        <v>20308</v>
      </c>
      <c r="I100" s="271">
        <v>20469</v>
      </c>
      <c r="J100" s="273">
        <v>22361</v>
      </c>
    </row>
    <row r="101" spans="1:10" x14ac:dyDescent="0.25">
      <c r="A101" s="529" t="s">
        <v>34</v>
      </c>
      <c r="B101" s="530" t="s">
        <v>35</v>
      </c>
      <c r="C101" s="586" t="s">
        <v>268</v>
      </c>
      <c r="D101" s="273">
        <v>7327</v>
      </c>
      <c r="E101" s="273">
        <v>7665</v>
      </c>
      <c r="F101" s="273">
        <v>7806</v>
      </c>
      <c r="G101" s="273">
        <v>7978</v>
      </c>
      <c r="H101" s="271">
        <v>8389</v>
      </c>
      <c r="I101" s="271">
        <v>8192</v>
      </c>
      <c r="J101" s="273">
        <v>8009</v>
      </c>
    </row>
    <row r="102" spans="1:10" x14ac:dyDescent="0.25">
      <c r="A102" s="529" t="s">
        <v>52</v>
      </c>
      <c r="B102" s="530" t="s">
        <v>53</v>
      </c>
      <c r="C102" s="586" t="s">
        <v>265</v>
      </c>
      <c r="D102" s="273">
        <v>9244</v>
      </c>
      <c r="E102" s="273">
        <v>10060</v>
      </c>
      <c r="F102" s="273">
        <v>10367</v>
      </c>
      <c r="G102" s="273">
        <v>10526</v>
      </c>
      <c r="H102" s="271">
        <v>10690</v>
      </c>
      <c r="I102" s="271">
        <v>10159</v>
      </c>
      <c r="J102" s="273">
        <v>10291</v>
      </c>
    </row>
    <row r="103" spans="1:10" x14ac:dyDescent="0.25">
      <c r="A103" s="529" t="s">
        <v>54</v>
      </c>
      <c r="B103" s="530" t="s">
        <v>55</v>
      </c>
      <c r="C103" s="586" t="s">
        <v>264</v>
      </c>
      <c r="D103" s="273">
        <v>33603</v>
      </c>
      <c r="E103" s="273">
        <v>38206</v>
      </c>
      <c r="F103" s="273">
        <v>41105</v>
      </c>
      <c r="G103" s="273">
        <v>43573</v>
      </c>
      <c r="H103" s="271">
        <v>45879</v>
      </c>
      <c r="I103" s="271">
        <v>46378</v>
      </c>
      <c r="J103" s="273">
        <v>47264</v>
      </c>
    </row>
    <row r="104" spans="1:10" x14ac:dyDescent="0.25">
      <c r="A104" s="529" t="s">
        <v>66</v>
      </c>
      <c r="B104" s="530" t="s">
        <v>67</v>
      </c>
      <c r="C104" s="586" t="s">
        <v>265</v>
      </c>
      <c r="D104" s="273">
        <v>18848</v>
      </c>
      <c r="E104" s="273">
        <v>20178</v>
      </c>
      <c r="F104" s="273">
        <v>20803</v>
      </c>
      <c r="G104" s="273">
        <v>21531</v>
      </c>
      <c r="H104" s="271">
        <v>22049</v>
      </c>
      <c r="I104" s="271">
        <v>21975</v>
      </c>
      <c r="J104" s="273">
        <v>22311</v>
      </c>
    </row>
    <row r="105" spans="1:10" x14ac:dyDescent="0.25">
      <c r="A105" s="529" t="s">
        <v>82</v>
      </c>
      <c r="B105" s="530" t="s">
        <v>83</v>
      </c>
      <c r="C105" s="586" t="s">
        <v>264</v>
      </c>
      <c r="D105" s="273">
        <v>3397</v>
      </c>
      <c r="E105" s="273">
        <v>3726</v>
      </c>
      <c r="F105" s="273">
        <v>4061</v>
      </c>
      <c r="G105" s="273">
        <v>4345</v>
      </c>
      <c r="H105" s="271">
        <v>4465</v>
      </c>
      <c r="I105" s="271">
        <v>4324</v>
      </c>
      <c r="J105" s="273">
        <v>4441</v>
      </c>
    </row>
    <row r="106" spans="1:10" x14ac:dyDescent="0.25">
      <c r="A106" s="529" t="s">
        <v>88</v>
      </c>
      <c r="B106" s="530" t="s">
        <v>89</v>
      </c>
      <c r="C106" s="586" t="s">
        <v>267</v>
      </c>
      <c r="D106" s="273">
        <v>6641</v>
      </c>
      <c r="E106" s="273">
        <v>7361</v>
      </c>
      <c r="F106" s="273">
        <v>8047</v>
      </c>
      <c r="G106" s="273">
        <v>8547</v>
      </c>
      <c r="H106" s="271">
        <v>8773</v>
      </c>
      <c r="I106" s="271">
        <v>8834</v>
      </c>
      <c r="J106" s="273">
        <v>9165</v>
      </c>
    </row>
    <row r="107" spans="1:10" x14ac:dyDescent="0.25">
      <c r="A107" s="529" t="s">
        <v>90</v>
      </c>
      <c r="B107" s="530" t="s">
        <v>91</v>
      </c>
      <c r="C107" s="586" t="s">
        <v>268</v>
      </c>
      <c r="D107" s="273">
        <v>3218</v>
      </c>
      <c r="E107" s="273">
        <v>3337</v>
      </c>
      <c r="F107" s="273">
        <v>3291</v>
      </c>
      <c r="G107" s="273">
        <v>3356</v>
      </c>
      <c r="H107" s="271">
        <v>3451</v>
      </c>
      <c r="I107" s="271">
        <v>3498</v>
      </c>
      <c r="J107" s="273">
        <v>3432</v>
      </c>
    </row>
    <row r="108" spans="1:10" x14ac:dyDescent="0.25">
      <c r="A108" s="529" t="s">
        <v>106</v>
      </c>
      <c r="B108" s="530" t="s">
        <v>107</v>
      </c>
      <c r="C108" s="586" t="s">
        <v>264</v>
      </c>
      <c r="D108" s="273">
        <v>30419</v>
      </c>
      <c r="E108" s="273">
        <v>33145</v>
      </c>
      <c r="F108" s="273">
        <v>36596</v>
      </c>
      <c r="G108" s="273">
        <v>39587</v>
      </c>
      <c r="H108" s="271">
        <v>41666</v>
      </c>
      <c r="I108" s="271">
        <v>41584</v>
      </c>
      <c r="J108" s="273">
        <v>42200</v>
      </c>
    </row>
    <row r="109" spans="1:10" x14ac:dyDescent="0.25">
      <c r="A109" s="529" t="s">
        <v>116</v>
      </c>
      <c r="B109" s="530" t="s">
        <v>117</v>
      </c>
      <c r="C109" s="586" t="s">
        <v>266</v>
      </c>
      <c r="D109" s="273">
        <v>9309</v>
      </c>
      <c r="E109" s="273">
        <v>9893</v>
      </c>
      <c r="F109" s="273">
        <v>10554</v>
      </c>
      <c r="G109" s="273">
        <v>11123</v>
      </c>
      <c r="H109" s="271">
        <v>11522</v>
      </c>
      <c r="I109" s="271">
        <v>11698</v>
      </c>
      <c r="J109" s="273">
        <v>12324</v>
      </c>
    </row>
    <row r="110" spans="1:10" x14ac:dyDescent="0.25">
      <c r="A110" s="529" t="s">
        <v>138</v>
      </c>
      <c r="B110" s="530" t="s">
        <v>139</v>
      </c>
      <c r="C110" s="586" t="s">
        <v>265</v>
      </c>
      <c r="D110" s="273">
        <v>18940</v>
      </c>
      <c r="E110" s="273">
        <v>20583</v>
      </c>
      <c r="F110" s="273">
        <v>21700</v>
      </c>
      <c r="G110" s="273">
        <v>23034</v>
      </c>
      <c r="H110" s="271">
        <v>24012</v>
      </c>
      <c r="I110" s="271">
        <v>24060</v>
      </c>
      <c r="J110" s="273">
        <v>24253</v>
      </c>
    </row>
    <row r="111" spans="1:10" x14ac:dyDescent="0.25">
      <c r="A111" s="529" t="s">
        <v>142</v>
      </c>
      <c r="B111" s="530" t="s">
        <v>143</v>
      </c>
      <c r="C111" s="586" t="s">
        <v>267</v>
      </c>
      <c r="D111" s="273">
        <v>7474</v>
      </c>
      <c r="E111" s="273">
        <v>8559</v>
      </c>
      <c r="F111" s="273">
        <v>9091</v>
      </c>
      <c r="G111" s="273">
        <v>9339</v>
      </c>
      <c r="H111" s="271">
        <v>9977</v>
      </c>
      <c r="I111" s="271">
        <v>10277</v>
      </c>
      <c r="J111" s="273">
        <v>10833</v>
      </c>
    </row>
    <row r="112" spans="1:10" x14ac:dyDescent="0.25">
      <c r="A112" s="529" t="s">
        <v>144</v>
      </c>
      <c r="B112" s="530" t="s">
        <v>145</v>
      </c>
      <c r="C112" s="586" t="s">
        <v>267</v>
      </c>
      <c r="D112" s="273">
        <v>2779</v>
      </c>
      <c r="E112" s="273">
        <v>2927</v>
      </c>
      <c r="F112" s="273">
        <v>3047</v>
      </c>
      <c r="G112" s="273">
        <v>3105</v>
      </c>
      <c r="H112" s="271">
        <v>3454</v>
      </c>
      <c r="I112" s="271">
        <v>3349</v>
      </c>
      <c r="J112" s="273">
        <v>3787</v>
      </c>
    </row>
    <row r="113" spans="1:10" x14ac:dyDescent="0.25">
      <c r="A113" s="529" t="s">
        <v>158</v>
      </c>
      <c r="B113" s="530" t="s">
        <v>159</v>
      </c>
      <c r="C113" s="586" t="s">
        <v>264</v>
      </c>
      <c r="D113" s="273">
        <v>48654</v>
      </c>
      <c r="E113" s="273">
        <v>53658</v>
      </c>
      <c r="F113" s="273">
        <v>58116</v>
      </c>
      <c r="G113" s="273">
        <v>61038</v>
      </c>
      <c r="H113" s="271">
        <v>63267</v>
      </c>
      <c r="I113" s="271">
        <v>62448</v>
      </c>
      <c r="J113" s="273">
        <v>63430</v>
      </c>
    </row>
    <row r="114" spans="1:10" x14ac:dyDescent="0.25">
      <c r="A114" s="529" t="s">
        <v>160</v>
      </c>
      <c r="B114" s="530" t="s">
        <v>161</v>
      </c>
      <c r="C114" s="586" t="s">
        <v>264</v>
      </c>
      <c r="D114" s="273">
        <v>66429</v>
      </c>
      <c r="E114" s="273">
        <v>71727</v>
      </c>
      <c r="F114" s="273">
        <v>76013</v>
      </c>
      <c r="G114" s="273">
        <v>80123</v>
      </c>
      <c r="H114" s="271">
        <v>83283</v>
      </c>
      <c r="I114" s="271">
        <v>82376</v>
      </c>
      <c r="J114" s="273">
        <v>82638</v>
      </c>
    </row>
    <row r="115" spans="1:10" x14ac:dyDescent="0.25">
      <c r="A115" s="529" t="s">
        <v>166</v>
      </c>
      <c r="B115" s="530" t="s">
        <v>167</v>
      </c>
      <c r="C115" s="586" t="s">
        <v>268</v>
      </c>
      <c r="D115" s="273">
        <v>1772</v>
      </c>
      <c r="E115" s="273">
        <v>1764</v>
      </c>
      <c r="F115" s="273">
        <v>1809</v>
      </c>
      <c r="G115" s="273">
        <v>1960</v>
      </c>
      <c r="H115" s="271">
        <v>1965</v>
      </c>
      <c r="I115" s="271">
        <v>1916</v>
      </c>
      <c r="J115" s="273">
        <v>1880</v>
      </c>
    </row>
    <row r="116" spans="1:10" x14ac:dyDescent="0.25">
      <c r="A116" s="529" t="s">
        <v>176</v>
      </c>
      <c r="B116" s="530" t="s">
        <v>177</v>
      </c>
      <c r="C116" s="586" t="s">
        <v>266</v>
      </c>
      <c r="D116" s="273">
        <v>15142</v>
      </c>
      <c r="E116" s="273">
        <v>16358</v>
      </c>
      <c r="F116" s="273">
        <v>17348</v>
      </c>
      <c r="G116" s="273">
        <v>17791</v>
      </c>
      <c r="H116" s="271">
        <v>18274</v>
      </c>
      <c r="I116" s="271">
        <v>18159</v>
      </c>
      <c r="J116" s="273">
        <v>18650</v>
      </c>
    </row>
    <row r="117" spans="1:10" x14ac:dyDescent="0.25">
      <c r="A117" s="529" t="s">
        <v>180</v>
      </c>
      <c r="B117" s="530" t="s">
        <v>181</v>
      </c>
      <c r="C117" s="586" t="s">
        <v>264</v>
      </c>
      <c r="D117" s="273">
        <v>30861</v>
      </c>
      <c r="E117" s="273">
        <v>33859</v>
      </c>
      <c r="F117" s="273">
        <v>36126</v>
      </c>
      <c r="G117" s="273">
        <v>38497</v>
      </c>
      <c r="H117" s="271">
        <v>40350</v>
      </c>
      <c r="I117" s="271">
        <v>39895</v>
      </c>
      <c r="J117" s="273">
        <v>40772</v>
      </c>
    </row>
    <row r="118" spans="1:10" x14ac:dyDescent="0.25">
      <c r="A118" s="529" t="s">
        <v>192</v>
      </c>
      <c r="B118" s="530" t="s">
        <v>193</v>
      </c>
      <c r="C118" s="586" t="s">
        <v>268</v>
      </c>
      <c r="D118" s="273">
        <v>2895</v>
      </c>
      <c r="E118" s="273">
        <v>3063</v>
      </c>
      <c r="F118" s="273">
        <v>3166</v>
      </c>
      <c r="G118" s="273">
        <v>3235</v>
      </c>
      <c r="H118" s="271">
        <v>3382</v>
      </c>
      <c r="I118" s="271">
        <v>3431</v>
      </c>
      <c r="J118" s="273">
        <v>3484</v>
      </c>
    </row>
    <row r="119" spans="1:10" x14ac:dyDescent="0.25">
      <c r="A119" s="529" t="s">
        <v>196</v>
      </c>
      <c r="B119" s="530" t="s">
        <v>197</v>
      </c>
      <c r="C119" s="586" t="s">
        <v>266</v>
      </c>
      <c r="D119" s="273">
        <v>70672</v>
      </c>
      <c r="E119" s="273">
        <v>76857</v>
      </c>
      <c r="F119" s="273">
        <v>80723</v>
      </c>
      <c r="G119" s="273">
        <v>83897</v>
      </c>
      <c r="H119" s="271">
        <v>86840</v>
      </c>
      <c r="I119" s="271">
        <v>85225</v>
      </c>
      <c r="J119" s="273">
        <v>85431</v>
      </c>
    </row>
    <row r="120" spans="1:10" x14ac:dyDescent="0.25">
      <c r="A120" s="529" t="s">
        <v>200</v>
      </c>
      <c r="B120" s="530" t="s">
        <v>201</v>
      </c>
      <c r="C120" s="586" t="s">
        <v>265</v>
      </c>
      <c r="D120" s="273">
        <v>33469</v>
      </c>
      <c r="E120" s="273">
        <v>36351</v>
      </c>
      <c r="F120" s="273">
        <v>38199</v>
      </c>
      <c r="G120" s="273">
        <v>40318</v>
      </c>
      <c r="H120" s="271">
        <v>42510</v>
      </c>
      <c r="I120" s="271">
        <v>42614</v>
      </c>
      <c r="J120" s="273">
        <v>42868</v>
      </c>
    </row>
    <row r="121" spans="1:10" x14ac:dyDescent="0.25">
      <c r="A121" s="529" t="s">
        <v>222</v>
      </c>
      <c r="B121" s="530" t="s">
        <v>223</v>
      </c>
      <c r="C121" s="586" t="s">
        <v>264</v>
      </c>
      <c r="D121" s="273">
        <v>17288</v>
      </c>
      <c r="E121" s="273">
        <v>19079</v>
      </c>
      <c r="F121" s="273">
        <v>20687</v>
      </c>
      <c r="G121" s="273">
        <v>21762</v>
      </c>
      <c r="H121" s="271">
        <v>22739</v>
      </c>
      <c r="I121" s="271">
        <v>22768</v>
      </c>
      <c r="J121" s="273">
        <v>22933</v>
      </c>
    </row>
    <row r="122" spans="1:10" x14ac:dyDescent="0.25">
      <c r="A122" s="529" t="s">
        <v>230</v>
      </c>
      <c r="B122" s="530" t="s">
        <v>231</v>
      </c>
      <c r="C122" s="586" t="s">
        <v>264</v>
      </c>
      <c r="D122" s="273">
        <v>52757</v>
      </c>
      <c r="E122" s="273">
        <v>60748</v>
      </c>
      <c r="F122" s="273">
        <v>65740</v>
      </c>
      <c r="G122" s="273">
        <v>69984</v>
      </c>
      <c r="H122" s="271">
        <v>72721</v>
      </c>
      <c r="I122" s="271">
        <v>73791</v>
      </c>
      <c r="J122" s="273">
        <v>76571</v>
      </c>
    </row>
    <row r="123" spans="1:10" x14ac:dyDescent="0.25">
      <c r="A123" s="529" t="s">
        <v>238</v>
      </c>
      <c r="B123" s="530" t="s">
        <v>239</v>
      </c>
      <c r="C123" s="586" t="s">
        <v>264</v>
      </c>
      <c r="D123" s="273">
        <v>1605</v>
      </c>
      <c r="E123" s="273">
        <v>1869</v>
      </c>
      <c r="F123" s="273">
        <v>2254</v>
      </c>
      <c r="G123" s="273">
        <v>2292</v>
      </c>
      <c r="H123" s="271">
        <v>2414</v>
      </c>
      <c r="I123" s="271">
        <v>2489</v>
      </c>
      <c r="J123" s="273">
        <v>2554</v>
      </c>
    </row>
    <row r="124" spans="1:10" x14ac:dyDescent="0.25">
      <c r="A124" s="529" t="s">
        <v>240</v>
      </c>
      <c r="B124" s="530" t="s">
        <v>241</v>
      </c>
      <c r="C124" s="586" t="s">
        <v>267</v>
      </c>
      <c r="D124" s="273">
        <v>6825</v>
      </c>
      <c r="E124" s="273">
        <v>7772</v>
      </c>
      <c r="F124" s="273">
        <v>8479</v>
      </c>
      <c r="G124" s="273">
        <v>8632</v>
      </c>
      <c r="H124" s="271">
        <v>9031</v>
      </c>
      <c r="I124" s="271">
        <v>8841</v>
      </c>
      <c r="J124" s="273">
        <v>8999</v>
      </c>
    </row>
    <row r="126" spans="1:10" s="532" customFormat="1" ht="17.25" customHeight="1" x14ac:dyDescent="0.25">
      <c r="A126" s="2104" t="s">
        <v>1161</v>
      </c>
      <c r="B126" s="2105"/>
      <c r="C126" s="2105"/>
      <c r="D126" s="2105"/>
      <c r="E126" s="2105"/>
      <c r="F126" s="2105"/>
      <c r="G126" s="2105"/>
      <c r="H126" s="2105"/>
      <c r="I126" s="1162"/>
    </row>
    <row r="127" spans="1:10" s="532" customFormat="1" x14ac:dyDescent="0.25">
      <c r="A127" s="2105"/>
      <c r="B127" s="2105"/>
      <c r="C127" s="2105"/>
      <c r="D127" s="2105"/>
      <c r="E127" s="2105"/>
      <c r="F127" s="2105"/>
      <c r="G127" s="2105"/>
      <c r="H127" s="2105"/>
      <c r="I127" s="1162"/>
    </row>
    <row r="128" spans="1:10" s="532" customFormat="1" x14ac:dyDescent="0.25">
      <c r="A128" s="2105"/>
      <c r="B128" s="2105"/>
      <c r="C128" s="2105"/>
      <c r="D128" s="2105"/>
      <c r="E128" s="2105"/>
      <c r="F128" s="2105"/>
      <c r="G128" s="2105"/>
      <c r="H128" s="2105"/>
      <c r="I128" s="1162"/>
    </row>
    <row r="129" spans="1:9" s="532" customFormat="1" x14ac:dyDescent="0.25">
      <c r="A129" s="562"/>
      <c r="B129" s="562"/>
      <c r="C129" s="562"/>
      <c r="D129" s="562"/>
      <c r="E129" s="562"/>
      <c r="F129" s="562"/>
      <c r="G129" s="562"/>
      <c r="H129" s="562"/>
      <c r="I129" s="1162"/>
    </row>
    <row r="130" spans="1:9" s="414" customFormat="1" x14ac:dyDescent="0.25">
      <c r="A130" s="414" t="s">
        <v>248</v>
      </c>
    </row>
    <row r="131" spans="1:9" s="414" customFormat="1" x14ac:dyDescent="0.25">
      <c r="A131" s="415" t="s">
        <v>249</v>
      </c>
      <c r="B131" s="416" t="s">
        <v>250</v>
      </c>
      <c r="C131" s="416"/>
    </row>
  </sheetData>
  <autoFilter ref="A3:C3"/>
  <sortState ref="A5:J124">
    <sortCondition ref="A5:A124"/>
  </sortState>
  <mergeCells count="1">
    <mergeCell ref="A126:H128"/>
  </mergeCells>
  <hyperlinks>
    <hyperlink ref="B131" r:id="rId1"/>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131"/>
  <sheetViews>
    <sheetView workbookViewId="0">
      <selection activeCell="I18" sqref="I18"/>
    </sheetView>
  </sheetViews>
  <sheetFormatPr defaultRowHeight="15.75" x14ac:dyDescent="0.25"/>
  <cols>
    <col min="1" max="1" width="5.875" style="532" customWidth="1"/>
    <col min="2" max="2" width="29.5" style="532" customWidth="1"/>
    <col min="3" max="3" width="16.25" style="532" customWidth="1"/>
    <col min="4" max="5" width="11.375" style="532" customWidth="1"/>
    <col min="6" max="6" width="3.875" style="532" customWidth="1"/>
    <col min="7" max="16384" width="9" style="532"/>
  </cols>
  <sheetData>
    <row r="1" spans="1:7" x14ac:dyDescent="0.25">
      <c r="A1" s="258" t="s">
        <v>1166</v>
      </c>
    </row>
    <row r="3" spans="1:7" x14ac:dyDescent="0.25">
      <c r="A3" s="640" t="s">
        <v>4</v>
      </c>
      <c r="B3" s="595" t="s">
        <v>5</v>
      </c>
      <c r="C3" s="595" t="s">
        <v>251</v>
      </c>
      <c r="D3" s="646" t="s">
        <v>886</v>
      </c>
      <c r="E3" s="646" t="s">
        <v>1160</v>
      </c>
    </row>
    <row r="4" spans="1:7" s="639" customFormat="1" x14ac:dyDescent="0.25">
      <c r="A4" s="643">
        <v>999</v>
      </c>
      <c r="B4" s="644" t="s">
        <v>798</v>
      </c>
      <c r="C4" s="644"/>
      <c r="D4" s="960">
        <f>SUM(D5:D124)</f>
        <v>43823</v>
      </c>
      <c r="E4" s="1601">
        <v>43160</v>
      </c>
      <c r="F4" s="532"/>
      <c r="G4" s="532"/>
    </row>
    <row r="5" spans="1:7" x14ac:dyDescent="0.25">
      <c r="A5" s="635" t="s">
        <v>10</v>
      </c>
      <c r="B5" s="636" t="s">
        <v>11</v>
      </c>
      <c r="C5" s="636" t="s">
        <v>264</v>
      </c>
      <c r="D5" s="961">
        <v>94</v>
      </c>
      <c r="E5" s="1602">
        <v>83</v>
      </c>
      <c r="F5" s="639"/>
      <c r="G5" s="639"/>
    </row>
    <row r="6" spans="1:7" s="639" customFormat="1" x14ac:dyDescent="0.25">
      <c r="A6" s="635" t="s">
        <v>12</v>
      </c>
      <c r="B6" s="636" t="s">
        <v>13</v>
      </c>
      <c r="C6" s="636" t="s">
        <v>265</v>
      </c>
      <c r="D6" s="961">
        <v>300</v>
      </c>
      <c r="E6" s="1602">
        <v>295</v>
      </c>
    </row>
    <row r="7" spans="1:7" s="639" customFormat="1" x14ac:dyDescent="0.25">
      <c r="A7" s="635" t="s">
        <v>16</v>
      </c>
      <c r="B7" s="636" t="s">
        <v>297</v>
      </c>
      <c r="C7" s="636" t="s">
        <v>265</v>
      </c>
      <c r="D7" s="961">
        <v>102</v>
      </c>
      <c r="E7" s="1602">
        <v>87</v>
      </c>
    </row>
    <row r="8" spans="1:7" s="639" customFormat="1" x14ac:dyDescent="0.25">
      <c r="A8" s="635" t="s">
        <v>18</v>
      </c>
      <c r="B8" s="636" t="s">
        <v>19</v>
      </c>
      <c r="C8" s="636" t="s">
        <v>266</v>
      </c>
      <c r="D8" s="961">
        <v>55</v>
      </c>
      <c r="E8" s="1602">
        <v>52</v>
      </c>
    </row>
    <row r="9" spans="1:7" s="639" customFormat="1" x14ac:dyDescent="0.25">
      <c r="A9" s="635" t="s">
        <v>20</v>
      </c>
      <c r="B9" s="636" t="s">
        <v>21</v>
      </c>
      <c r="C9" s="636" t="s">
        <v>265</v>
      </c>
      <c r="D9" s="961">
        <v>167</v>
      </c>
      <c r="E9" s="1602">
        <v>156</v>
      </c>
    </row>
    <row r="10" spans="1:7" s="639" customFormat="1" x14ac:dyDescent="0.25">
      <c r="A10" s="635" t="s">
        <v>22</v>
      </c>
      <c r="B10" s="636" t="s">
        <v>23</v>
      </c>
      <c r="C10" s="636" t="s">
        <v>265</v>
      </c>
      <c r="D10" s="961">
        <v>62</v>
      </c>
      <c r="E10" s="1602">
        <v>53</v>
      </c>
    </row>
    <row r="11" spans="1:7" s="639" customFormat="1" x14ac:dyDescent="0.25">
      <c r="A11" s="635" t="s">
        <v>24</v>
      </c>
      <c r="B11" s="636" t="s">
        <v>25</v>
      </c>
      <c r="C11" s="636" t="s">
        <v>267</v>
      </c>
      <c r="D11" s="961">
        <v>534</v>
      </c>
      <c r="E11" s="1602">
        <v>499</v>
      </c>
    </row>
    <row r="12" spans="1:7" s="639" customFormat="1" x14ac:dyDescent="0.25">
      <c r="A12" s="635" t="s">
        <v>26</v>
      </c>
      <c r="B12" s="636" t="s">
        <v>686</v>
      </c>
      <c r="C12" s="636" t="s">
        <v>265</v>
      </c>
      <c r="D12" s="961">
        <v>621</v>
      </c>
      <c r="E12" s="1602">
        <v>516</v>
      </c>
    </row>
    <row r="13" spans="1:7" s="639" customFormat="1" x14ac:dyDescent="0.25">
      <c r="A13" s="635" t="s">
        <v>27</v>
      </c>
      <c r="B13" s="636" t="s">
        <v>28</v>
      </c>
      <c r="C13" s="636" t="s">
        <v>265</v>
      </c>
      <c r="D13" s="961">
        <v>1</v>
      </c>
      <c r="E13" s="1602">
        <v>1</v>
      </c>
    </row>
    <row r="14" spans="1:7" s="639" customFormat="1" x14ac:dyDescent="0.25">
      <c r="A14" s="635" t="s">
        <v>29</v>
      </c>
      <c r="B14" s="636" t="s">
        <v>941</v>
      </c>
      <c r="C14" s="636" t="s">
        <v>265</v>
      </c>
      <c r="D14" s="961">
        <v>227</v>
      </c>
      <c r="E14" s="1602">
        <v>239</v>
      </c>
    </row>
    <row r="15" spans="1:7" s="639" customFormat="1" x14ac:dyDescent="0.25">
      <c r="A15" s="635" t="s">
        <v>30</v>
      </c>
      <c r="B15" s="636" t="s">
        <v>31</v>
      </c>
      <c r="C15" s="636" t="s">
        <v>268</v>
      </c>
      <c r="D15" s="961">
        <v>11</v>
      </c>
      <c r="E15" s="1602">
        <v>10</v>
      </c>
    </row>
    <row r="16" spans="1:7" s="639" customFormat="1" x14ac:dyDescent="0.25">
      <c r="A16" s="635" t="s">
        <v>32</v>
      </c>
      <c r="B16" s="636" t="s">
        <v>33</v>
      </c>
      <c r="C16" s="636" t="s">
        <v>265</v>
      </c>
      <c r="D16" s="961">
        <v>94</v>
      </c>
      <c r="E16" s="1602">
        <v>84</v>
      </c>
    </row>
    <row r="17" spans="1:5" s="639" customFormat="1" x14ac:dyDescent="0.25">
      <c r="A17" s="635" t="s">
        <v>36</v>
      </c>
      <c r="B17" s="636" t="s">
        <v>37</v>
      </c>
      <c r="C17" s="636" t="s">
        <v>264</v>
      </c>
      <c r="D17" s="961">
        <v>68</v>
      </c>
      <c r="E17" s="1602">
        <v>49</v>
      </c>
    </row>
    <row r="18" spans="1:5" s="639" customFormat="1" x14ac:dyDescent="0.25">
      <c r="A18" s="635" t="s">
        <v>38</v>
      </c>
      <c r="B18" s="636" t="s">
        <v>39</v>
      </c>
      <c r="C18" s="636" t="s">
        <v>268</v>
      </c>
      <c r="D18" s="961">
        <v>16</v>
      </c>
      <c r="E18" s="1602">
        <v>4</v>
      </c>
    </row>
    <row r="19" spans="1:5" s="639" customFormat="1" x14ac:dyDescent="0.25">
      <c r="A19" s="635" t="s">
        <v>40</v>
      </c>
      <c r="B19" s="636" t="s">
        <v>41</v>
      </c>
      <c r="C19" s="636" t="s">
        <v>266</v>
      </c>
      <c r="D19" s="961">
        <v>34</v>
      </c>
      <c r="E19" s="1602">
        <v>30</v>
      </c>
    </row>
    <row r="20" spans="1:5" s="639" customFormat="1" x14ac:dyDescent="0.25">
      <c r="A20" s="635" t="s">
        <v>42</v>
      </c>
      <c r="B20" s="636" t="s">
        <v>43</v>
      </c>
      <c r="C20" s="636" t="s">
        <v>265</v>
      </c>
      <c r="D20" s="961">
        <v>248</v>
      </c>
      <c r="E20" s="1602">
        <v>299</v>
      </c>
    </row>
    <row r="21" spans="1:5" s="639" customFormat="1" x14ac:dyDescent="0.25">
      <c r="A21" s="635" t="s">
        <v>44</v>
      </c>
      <c r="B21" s="636" t="s">
        <v>45</v>
      </c>
      <c r="C21" s="636" t="s">
        <v>266</v>
      </c>
      <c r="D21" s="961">
        <v>158</v>
      </c>
      <c r="E21" s="1602">
        <v>161</v>
      </c>
    </row>
    <row r="22" spans="1:5" s="639" customFormat="1" x14ac:dyDescent="0.25">
      <c r="A22" s="635" t="s">
        <v>46</v>
      </c>
      <c r="B22" s="636" t="s">
        <v>47</v>
      </c>
      <c r="C22" s="636" t="s">
        <v>268</v>
      </c>
      <c r="D22" s="961">
        <v>173</v>
      </c>
      <c r="E22" s="1602">
        <v>211</v>
      </c>
    </row>
    <row r="23" spans="1:5" s="639" customFormat="1" x14ac:dyDescent="0.25">
      <c r="A23" s="635" t="s">
        <v>48</v>
      </c>
      <c r="B23" s="636" t="s">
        <v>269</v>
      </c>
      <c r="C23" s="636" t="s">
        <v>266</v>
      </c>
      <c r="D23" s="961">
        <v>38</v>
      </c>
      <c r="E23" s="1602">
        <v>46</v>
      </c>
    </row>
    <row r="24" spans="1:5" s="639" customFormat="1" x14ac:dyDescent="0.25">
      <c r="A24" s="635" t="s">
        <v>50</v>
      </c>
      <c r="B24" s="636" t="s">
        <v>51</v>
      </c>
      <c r="C24" s="636" t="s">
        <v>265</v>
      </c>
      <c r="D24" s="961">
        <v>29</v>
      </c>
      <c r="E24" s="1602">
        <v>15</v>
      </c>
    </row>
    <row r="25" spans="1:5" s="639" customFormat="1" x14ac:dyDescent="0.25">
      <c r="A25" s="635" t="s">
        <v>56</v>
      </c>
      <c r="B25" s="636" t="s">
        <v>295</v>
      </c>
      <c r="C25" s="636" t="s">
        <v>266</v>
      </c>
      <c r="D25" s="961">
        <v>1038</v>
      </c>
      <c r="E25" s="1602">
        <v>986</v>
      </c>
    </row>
    <row r="26" spans="1:5" s="639" customFormat="1" x14ac:dyDescent="0.25">
      <c r="A26" s="635" t="s">
        <v>58</v>
      </c>
      <c r="B26" s="636" t="s">
        <v>59</v>
      </c>
      <c r="C26" s="636" t="s">
        <v>267</v>
      </c>
      <c r="D26" s="961">
        <v>37</v>
      </c>
      <c r="E26" s="1602">
        <v>55</v>
      </c>
    </row>
    <row r="27" spans="1:5" s="639" customFormat="1" x14ac:dyDescent="0.25">
      <c r="A27" s="635" t="s">
        <v>60</v>
      </c>
      <c r="B27" s="636" t="s">
        <v>61</v>
      </c>
      <c r="C27" s="636" t="s">
        <v>265</v>
      </c>
      <c r="D27" s="961">
        <v>19</v>
      </c>
      <c r="E27" s="1602">
        <v>33</v>
      </c>
    </row>
    <row r="28" spans="1:5" s="639" customFormat="1" x14ac:dyDescent="0.25">
      <c r="A28" s="635" t="s">
        <v>62</v>
      </c>
      <c r="B28" s="636" t="s">
        <v>63</v>
      </c>
      <c r="C28" s="636" t="s">
        <v>267</v>
      </c>
      <c r="D28" s="961">
        <v>474</v>
      </c>
      <c r="E28" s="1602">
        <v>483</v>
      </c>
    </row>
    <row r="29" spans="1:5" s="639" customFormat="1" x14ac:dyDescent="0.25">
      <c r="A29" s="635" t="s">
        <v>64</v>
      </c>
      <c r="B29" s="636" t="s">
        <v>65</v>
      </c>
      <c r="C29" s="636" t="s">
        <v>266</v>
      </c>
      <c r="D29" s="961">
        <v>35</v>
      </c>
      <c r="E29" s="1602">
        <v>52</v>
      </c>
    </row>
    <row r="30" spans="1:5" s="639" customFormat="1" x14ac:dyDescent="0.25">
      <c r="A30" s="635" t="s">
        <v>68</v>
      </c>
      <c r="B30" s="636" t="s">
        <v>69</v>
      </c>
      <c r="C30" s="636" t="s">
        <v>268</v>
      </c>
      <c r="D30" s="961">
        <v>25</v>
      </c>
      <c r="E30" s="1602">
        <v>23</v>
      </c>
    </row>
    <row r="31" spans="1:5" s="639" customFormat="1" x14ac:dyDescent="0.25">
      <c r="A31" s="635" t="s">
        <v>70</v>
      </c>
      <c r="B31" s="636" t="s">
        <v>71</v>
      </c>
      <c r="C31" s="636" t="s">
        <v>264</v>
      </c>
      <c r="D31" s="961">
        <v>128</v>
      </c>
      <c r="E31" s="1602">
        <v>129</v>
      </c>
    </row>
    <row r="32" spans="1:5" s="639" customFormat="1" x14ac:dyDescent="0.25">
      <c r="A32" s="635" t="s">
        <v>72</v>
      </c>
      <c r="B32" s="636" t="s">
        <v>73</v>
      </c>
      <c r="C32" s="636" t="s">
        <v>266</v>
      </c>
      <c r="D32" s="961">
        <v>172</v>
      </c>
      <c r="E32" s="1602">
        <v>151</v>
      </c>
    </row>
    <row r="33" spans="1:5" s="639" customFormat="1" x14ac:dyDescent="0.25">
      <c r="A33" s="635" t="s">
        <v>74</v>
      </c>
      <c r="B33" s="636" t="s">
        <v>296</v>
      </c>
      <c r="C33" s="636" t="s">
        <v>267</v>
      </c>
      <c r="D33" s="961">
        <v>4374</v>
      </c>
      <c r="E33" s="1602">
        <v>4823</v>
      </c>
    </row>
    <row r="34" spans="1:5" s="639" customFormat="1" x14ac:dyDescent="0.25">
      <c r="A34" s="635" t="s">
        <v>76</v>
      </c>
      <c r="B34" s="636" t="s">
        <v>77</v>
      </c>
      <c r="C34" s="636" t="s">
        <v>267</v>
      </c>
      <c r="D34" s="961">
        <v>261</v>
      </c>
      <c r="E34" s="1602">
        <v>228</v>
      </c>
    </row>
    <row r="35" spans="1:5" s="639" customFormat="1" x14ac:dyDescent="0.25">
      <c r="A35" s="635" t="s">
        <v>78</v>
      </c>
      <c r="B35" s="636" t="s">
        <v>79</v>
      </c>
      <c r="C35" s="636" t="s">
        <v>268</v>
      </c>
      <c r="D35" s="961">
        <v>30</v>
      </c>
      <c r="E35" s="1602">
        <v>21</v>
      </c>
    </row>
    <row r="36" spans="1:5" s="639" customFormat="1" x14ac:dyDescent="0.25">
      <c r="A36" s="635" t="s">
        <v>80</v>
      </c>
      <c r="B36" s="636" t="s">
        <v>81</v>
      </c>
      <c r="C36" s="636" t="s">
        <v>266</v>
      </c>
      <c r="D36" s="961">
        <v>79</v>
      </c>
      <c r="E36" s="1602">
        <v>70</v>
      </c>
    </row>
    <row r="37" spans="1:5" s="639" customFormat="1" x14ac:dyDescent="0.25">
      <c r="A37" s="635" t="s">
        <v>84</v>
      </c>
      <c r="B37" s="636" t="s">
        <v>85</v>
      </c>
      <c r="C37" s="636" t="s">
        <v>265</v>
      </c>
      <c r="D37" s="961">
        <v>248</v>
      </c>
      <c r="E37" s="1602">
        <v>293</v>
      </c>
    </row>
    <row r="38" spans="1:5" s="639" customFormat="1" x14ac:dyDescent="0.25">
      <c r="A38" s="635" t="s">
        <v>86</v>
      </c>
      <c r="B38" s="636" t="s">
        <v>87</v>
      </c>
      <c r="C38" s="636" t="s">
        <v>267</v>
      </c>
      <c r="D38" s="961">
        <v>243</v>
      </c>
      <c r="E38" s="1602">
        <v>227</v>
      </c>
    </row>
    <row r="39" spans="1:5" s="639" customFormat="1" x14ac:dyDescent="0.25">
      <c r="A39" s="635" t="s">
        <v>92</v>
      </c>
      <c r="B39" s="636" t="s">
        <v>93</v>
      </c>
      <c r="C39" s="636" t="s">
        <v>268</v>
      </c>
      <c r="D39" s="961">
        <v>70</v>
      </c>
      <c r="E39" s="1602">
        <v>66</v>
      </c>
    </row>
    <row r="40" spans="1:5" s="639" customFormat="1" x14ac:dyDescent="0.25">
      <c r="A40" s="635" t="s">
        <v>94</v>
      </c>
      <c r="B40" s="636" t="s">
        <v>95</v>
      </c>
      <c r="C40" s="636" t="s">
        <v>264</v>
      </c>
      <c r="D40" s="961">
        <v>166</v>
      </c>
      <c r="E40" s="1602">
        <v>154</v>
      </c>
    </row>
    <row r="41" spans="1:5" s="639" customFormat="1" x14ac:dyDescent="0.25">
      <c r="A41" s="635" t="s">
        <v>96</v>
      </c>
      <c r="B41" s="636" t="s">
        <v>97</v>
      </c>
      <c r="C41" s="636" t="s">
        <v>266</v>
      </c>
      <c r="D41" s="961">
        <v>72</v>
      </c>
      <c r="E41" s="1602">
        <v>70</v>
      </c>
    </row>
    <row r="42" spans="1:5" s="639" customFormat="1" x14ac:dyDescent="0.25">
      <c r="A42" s="635" t="s">
        <v>98</v>
      </c>
      <c r="B42" s="636" t="s">
        <v>99</v>
      </c>
      <c r="C42" s="636" t="s">
        <v>268</v>
      </c>
      <c r="D42" s="961">
        <v>28</v>
      </c>
      <c r="E42" s="1602">
        <v>25</v>
      </c>
    </row>
    <row r="43" spans="1:5" s="639" customFormat="1" x14ac:dyDescent="0.25">
      <c r="A43" s="635" t="s">
        <v>100</v>
      </c>
      <c r="B43" s="636" t="s">
        <v>101</v>
      </c>
      <c r="C43" s="636" t="s">
        <v>267</v>
      </c>
      <c r="D43" s="961">
        <v>40</v>
      </c>
      <c r="E43" s="1602">
        <v>42</v>
      </c>
    </row>
    <row r="44" spans="1:5" s="639" customFormat="1" x14ac:dyDescent="0.25">
      <c r="A44" s="635" t="s">
        <v>102</v>
      </c>
      <c r="B44" s="636" t="s">
        <v>282</v>
      </c>
      <c r="C44" s="636" t="s">
        <v>264</v>
      </c>
      <c r="D44" s="961">
        <v>179</v>
      </c>
      <c r="E44" s="1602">
        <v>173</v>
      </c>
    </row>
    <row r="45" spans="1:5" s="639" customFormat="1" x14ac:dyDescent="0.25">
      <c r="A45" s="635" t="s">
        <v>104</v>
      </c>
      <c r="B45" s="636" t="s">
        <v>105</v>
      </c>
      <c r="C45" s="636" t="s">
        <v>265</v>
      </c>
      <c r="D45" s="961">
        <v>71</v>
      </c>
      <c r="E45" s="1602">
        <v>72</v>
      </c>
    </row>
    <row r="46" spans="1:5" s="639" customFormat="1" x14ac:dyDescent="0.25">
      <c r="A46" s="635" t="s">
        <v>108</v>
      </c>
      <c r="B46" s="636" t="s">
        <v>109</v>
      </c>
      <c r="C46" s="636" t="s">
        <v>266</v>
      </c>
      <c r="D46" s="961">
        <v>250</v>
      </c>
      <c r="E46" s="1602">
        <v>273</v>
      </c>
    </row>
    <row r="47" spans="1:5" s="639" customFormat="1" x14ac:dyDescent="0.25">
      <c r="A47" s="635" t="s">
        <v>110</v>
      </c>
      <c r="B47" s="636" t="s">
        <v>111</v>
      </c>
      <c r="C47" s="636" t="s">
        <v>266</v>
      </c>
      <c r="D47" s="961">
        <v>1999</v>
      </c>
      <c r="E47" s="1602">
        <v>1921</v>
      </c>
    </row>
    <row r="48" spans="1:5" s="639" customFormat="1" x14ac:dyDescent="0.25">
      <c r="A48" s="635" t="s">
        <v>112</v>
      </c>
      <c r="B48" s="636" t="s">
        <v>300</v>
      </c>
      <c r="C48" s="636" t="s">
        <v>265</v>
      </c>
      <c r="D48" s="961">
        <v>514</v>
      </c>
      <c r="E48" s="1602">
        <v>510</v>
      </c>
    </row>
    <row r="49" spans="1:5" s="639" customFormat="1" x14ac:dyDescent="0.25">
      <c r="A49" s="635" t="s">
        <v>114</v>
      </c>
      <c r="B49" s="636" t="s">
        <v>115</v>
      </c>
      <c r="C49" s="636" t="s">
        <v>265</v>
      </c>
      <c r="D49" s="961">
        <v>0</v>
      </c>
      <c r="E49" s="1602">
        <v>0</v>
      </c>
    </row>
    <row r="50" spans="1:5" s="639" customFormat="1" x14ac:dyDescent="0.25">
      <c r="A50" s="635" t="s">
        <v>118</v>
      </c>
      <c r="B50" s="636" t="s">
        <v>270</v>
      </c>
      <c r="C50" s="636" t="s">
        <v>264</v>
      </c>
      <c r="D50" s="961">
        <v>88</v>
      </c>
      <c r="E50" s="1602">
        <v>74</v>
      </c>
    </row>
    <row r="51" spans="1:5" s="639" customFormat="1" x14ac:dyDescent="0.25">
      <c r="A51" s="635" t="s">
        <v>120</v>
      </c>
      <c r="B51" s="636" t="s">
        <v>121</v>
      </c>
      <c r="C51" s="636" t="s">
        <v>264</v>
      </c>
      <c r="D51" s="961">
        <v>320</v>
      </c>
      <c r="E51" s="1602">
        <v>304</v>
      </c>
    </row>
    <row r="52" spans="1:5" s="639" customFormat="1" x14ac:dyDescent="0.25">
      <c r="A52" s="635" t="s">
        <v>122</v>
      </c>
      <c r="B52" s="636" t="s">
        <v>287</v>
      </c>
      <c r="C52" s="636" t="s">
        <v>266</v>
      </c>
      <c r="D52" s="961">
        <v>29</v>
      </c>
      <c r="E52" s="1602">
        <v>46</v>
      </c>
    </row>
    <row r="53" spans="1:5" s="639" customFormat="1" x14ac:dyDescent="0.25">
      <c r="A53" s="635" t="s">
        <v>124</v>
      </c>
      <c r="B53" s="636" t="s">
        <v>125</v>
      </c>
      <c r="C53" s="636" t="s">
        <v>267</v>
      </c>
      <c r="D53" s="961">
        <v>160</v>
      </c>
      <c r="E53" s="1602">
        <v>156</v>
      </c>
    </row>
    <row r="54" spans="1:5" s="639" customFormat="1" x14ac:dyDescent="0.25">
      <c r="A54" s="635" t="s">
        <v>126</v>
      </c>
      <c r="B54" s="636" t="s">
        <v>127</v>
      </c>
      <c r="C54" s="636" t="s">
        <v>266</v>
      </c>
      <c r="D54" s="961">
        <v>117</v>
      </c>
      <c r="E54" s="1602">
        <v>110</v>
      </c>
    </row>
    <row r="55" spans="1:5" s="639" customFormat="1" x14ac:dyDescent="0.25">
      <c r="A55" s="635" t="s">
        <v>128</v>
      </c>
      <c r="B55" s="636" t="s">
        <v>129</v>
      </c>
      <c r="C55" s="636" t="s">
        <v>266</v>
      </c>
      <c r="D55" s="961">
        <v>33</v>
      </c>
      <c r="E55" s="1602">
        <v>36</v>
      </c>
    </row>
    <row r="56" spans="1:5" s="639" customFormat="1" x14ac:dyDescent="0.25">
      <c r="A56" s="635" t="s">
        <v>130</v>
      </c>
      <c r="B56" s="636" t="s">
        <v>131</v>
      </c>
      <c r="C56" s="636" t="s">
        <v>268</v>
      </c>
      <c r="D56" s="961">
        <v>46</v>
      </c>
      <c r="E56" s="1602">
        <v>47</v>
      </c>
    </row>
    <row r="57" spans="1:5" s="639" customFormat="1" x14ac:dyDescent="0.25">
      <c r="A57" s="635" t="s">
        <v>132</v>
      </c>
      <c r="B57" s="636" t="s">
        <v>133</v>
      </c>
      <c r="C57" s="636" t="s">
        <v>267</v>
      </c>
      <c r="D57" s="961">
        <v>709</v>
      </c>
      <c r="E57" s="1602">
        <v>653</v>
      </c>
    </row>
    <row r="58" spans="1:5" s="639" customFormat="1" x14ac:dyDescent="0.25">
      <c r="A58" s="635" t="s">
        <v>134</v>
      </c>
      <c r="B58" s="636" t="s">
        <v>135</v>
      </c>
      <c r="C58" s="636" t="s">
        <v>267</v>
      </c>
      <c r="D58" s="961">
        <v>86</v>
      </c>
      <c r="E58" s="1602">
        <v>86</v>
      </c>
    </row>
    <row r="59" spans="1:5" s="639" customFormat="1" x14ac:dyDescent="0.25">
      <c r="A59" s="635" t="s">
        <v>136</v>
      </c>
      <c r="B59" s="636" t="s">
        <v>137</v>
      </c>
      <c r="C59" s="636" t="s">
        <v>266</v>
      </c>
      <c r="D59" s="961">
        <v>15</v>
      </c>
      <c r="E59" s="1602">
        <v>26</v>
      </c>
    </row>
    <row r="60" spans="1:5" s="639" customFormat="1" x14ac:dyDescent="0.25">
      <c r="A60" s="635" t="s">
        <v>140</v>
      </c>
      <c r="B60" s="636" t="s">
        <v>141</v>
      </c>
      <c r="C60" s="636" t="s">
        <v>267</v>
      </c>
      <c r="D60" s="961">
        <v>6</v>
      </c>
      <c r="E60" s="1602">
        <v>25</v>
      </c>
    </row>
    <row r="61" spans="1:5" s="639" customFormat="1" x14ac:dyDescent="0.25">
      <c r="A61" s="635" t="s">
        <v>146</v>
      </c>
      <c r="B61" s="636" t="s">
        <v>147</v>
      </c>
      <c r="C61" s="636" t="s">
        <v>264</v>
      </c>
      <c r="D61" s="961">
        <v>32</v>
      </c>
      <c r="E61" s="1602">
        <v>32</v>
      </c>
    </row>
    <row r="62" spans="1:5" s="639" customFormat="1" x14ac:dyDescent="0.25">
      <c r="A62" s="635" t="s">
        <v>148</v>
      </c>
      <c r="B62" s="636" t="s">
        <v>149</v>
      </c>
      <c r="C62" s="636" t="s">
        <v>265</v>
      </c>
      <c r="D62" s="961">
        <v>98</v>
      </c>
      <c r="E62" s="1602">
        <v>107</v>
      </c>
    </row>
    <row r="63" spans="1:5" s="639" customFormat="1" x14ac:dyDescent="0.25">
      <c r="A63" s="635" t="s">
        <v>150</v>
      </c>
      <c r="B63" s="636" t="s">
        <v>151</v>
      </c>
      <c r="C63" s="636" t="s">
        <v>266</v>
      </c>
      <c r="D63" s="961">
        <v>72</v>
      </c>
      <c r="E63" s="1602">
        <v>85</v>
      </c>
    </row>
    <row r="64" spans="1:5" s="639" customFormat="1" x14ac:dyDescent="0.25">
      <c r="A64" s="635" t="s">
        <v>152</v>
      </c>
      <c r="B64" s="636" t="s">
        <v>153</v>
      </c>
      <c r="C64" s="636" t="s">
        <v>268</v>
      </c>
      <c r="D64" s="961">
        <v>403</v>
      </c>
      <c r="E64" s="1602">
        <v>353</v>
      </c>
    </row>
    <row r="65" spans="1:5" s="639" customFormat="1" x14ac:dyDescent="0.25">
      <c r="A65" s="635" t="s">
        <v>154</v>
      </c>
      <c r="B65" s="636" t="s">
        <v>155</v>
      </c>
      <c r="C65" s="636" t="s">
        <v>265</v>
      </c>
      <c r="D65" s="961">
        <v>35</v>
      </c>
      <c r="E65" s="1602">
        <v>32</v>
      </c>
    </row>
    <row r="66" spans="1:5" s="639" customFormat="1" x14ac:dyDescent="0.25">
      <c r="A66" s="635" t="s">
        <v>156</v>
      </c>
      <c r="B66" s="636" t="s">
        <v>157</v>
      </c>
      <c r="C66" s="636" t="s">
        <v>266</v>
      </c>
      <c r="D66" s="961">
        <v>57</v>
      </c>
      <c r="E66" s="1602">
        <v>66</v>
      </c>
    </row>
    <row r="67" spans="1:5" s="639" customFormat="1" x14ac:dyDescent="0.25">
      <c r="A67" s="635" t="s">
        <v>162</v>
      </c>
      <c r="B67" s="636" t="s">
        <v>163</v>
      </c>
      <c r="C67" s="636" t="s">
        <v>264</v>
      </c>
      <c r="D67" s="961">
        <v>131</v>
      </c>
      <c r="E67" s="1602">
        <v>138</v>
      </c>
    </row>
    <row r="68" spans="1:5" s="639" customFormat="1" x14ac:dyDescent="0.25">
      <c r="A68" s="635" t="s">
        <v>164</v>
      </c>
      <c r="B68" s="636" t="s">
        <v>165</v>
      </c>
      <c r="C68" s="636" t="s">
        <v>266</v>
      </c>
      <c r="D68" s="961">
        <v>44</v>
      </c>
      <c r="E68" s="1602">
        <v>27</v>
      </c>
    </row>
    <row r="69" spans="1:5" s="639" customFormat="1" x14ac:dyDescent="0.25">
      <c r="A69" s="635" t="s">
        <v>168</v>
      </c>
      <c r="B69" s="636" t="s">
        <v>169</v>
      </c>
      <c r="C69" s="636" t="s">
        <v>266</v>
      </c>
      <c r="D69" s="961">
        <v>73</v>
      </c>
      <c r="E69" s="1602">
        <v>70</v>
      </c>
    </row>
    <row r="70" spans="1:5" s="639" customFormat="1" x14ac:dyDescent="0.25">
      <c r="A70" s="635" t="s">
        <v>170</v>
      </c>
      <c r="B70" s="636" t="s">
        <v>171</v>
      </c>
      <c r="C70" s="636" t="s">
        <v>267</v>
      </c>
      <c r="D70" s="961">
        <v>162</v>
      </c>
      <c r="E70" s="1602">
        <v>150</v>
      </c>
    </row>
    <row r="71" spans="1:5" s="639" customFormat="1" x14ac:dyDescent="0.25">
      <c r="A71" s="635" t="s">
        <v>172</v>
      </c>
      <c r="B71" s="636" t="s">
        <v>173</v>
      </c>
      <c r="C71" s="636" t="s">
        <v>267</v>
      </c>
      <c r="D71" s="961">
        <v>64</v>
      </c>
      <c r="E71" s="1602">
        <v>57</v>
      </c>
    </row>
    <row r="72" spans="1:5" s="639" customFormat="1" x14ac:dyDescent="0.25">
      <c r="A72" s="635" t="s">
        <v>174</v>
      </c>
      <c r="B72" s="636" t="s">
        <v>175</v>
      </c>
      <c r="C72" s="636" t="s">
        <v>268</v>
      </c>
      <c r="D72" s="961">
        <v>68</v>
      </c>
      <c r="E72" s="1602">
        <v>65</v>
      </c>
    </row>
    <row r="73" spans="1:5" s="639" customFormat="1" x14ac:dyDescent="0.25">
      <c r="A73" s="635" t="s">
        <v>178</v>
      </c>
      <c r="B73" s="636" t="s">
        <v>179</v>
      </c>
      <c r="C73" s="636" t="s">
        <v>265</v>
      </c>
      <c r="D73" s="961">
        <v>222</v>
      </c>
      <c r="E73" s="1602">
        <v>177</v>
      </c>
    </row>
    <row r="74" spans="1:5" s="639" customFormat="1" x14ac:dyDescent="0.25">
      <c r="A74" s="635" t="s">
        <v>182</v>
      </c>
      <c r="B74" s="636" t="s">
        <v>183</v>
      </c>
      <c r="C74" s="636" t="s">
        <v>266</v>
      </c>
      <c r="D74" s="961">
        <v>69</v>
      </c>
      <c r="E74" s="1602">
        <v>65</v>
      </c>
    </row>
    <row r="75" spans="1:5" s="639" customFormat="1" x14ac:dyDescent="0.25">
      <c r="A75" s="635" t="s">
        <v>184</v>
      </c>
      <c r="B75" s="636" t="s">
        <v>185</v>
      </c>
      <c r="C75" s="636" t="s">
        <v>266</v>
      </c>
      <c r="D75" s="961">
        <v>105</v>
      </c>
      <c r="E75" s="1602">
        <v>108</v>
      </c>
    </row>
    <row r="76" spans="1:5" s="639" customFormat="1" x14ac:dyDescent="0.25">
      <c r="A76" s="635" t="s">
        <v>186</v>
      </c>
      <c r="B76" s="636" t="s">
        <v>187</v>
      </c>
      <c r="C76" s="636" t="s">
        <v>264</v>
      </c>
      <c r="D76" s="961">
        <v>53</v>
      </c>
      <c r="E76" s="1602">
        <v>62</v>
      </c>
    </row>
    <row r="77" spans="1:5" s="639" customFormat="1" x14ac:dyDescent="0.25">
      <c r="A77" s="635" t="s">
        <v>188</v>
      </c>
      <c r="B77" s="636" t="s">
        <v>189</v>
      </c>
      <c r="C77" s="636" t="s">
        <v>267</v>
      </c>
      <c r="D77" s="961">
        <v>1726</v>
      </c>
      <c r="E77" s="1602">
        <v>1571</v>
      </c>
    </row>
    <row r="78" spans="1:5" s="639" customFormat="1" x14ac:dyDescent="0.25">
      <c r="A78" s="635" t="s">
        <v>190</v>
      </c>
      <c r="B78" s="636" t="s">
        <v>191</v>
      </c>
      <c r="C78" s="636" t="s">
        <v>268</v>
      </c>
      <c r="D78" s="961">
        <v>151</v>
      </c>
      <c r="E78" s="1602">
        <v>143</v>
      </c>
    </row>
    <row r="79" spans="1:5" s="639" customFormat="1" x14ac:dyDescent="0.25">
      <c r="A79" s="635" t="s">
        <v>194</v>
      </c>
      <c r="B79" s="636" t="s">
        <v>195</v>
      </c>
      <c r="C79" s="636" t="s">
        <v>267</v>
      </c>
      <c r="D79" s="961">
        <v>28</v>
      </c>
      <c r="E79" s="1602">
        <v>28</v>
      </c>
    </row>
    <row r="80" spans="1:5" s="639" customFormat="1" x14ac:dyDescent="0.25">
      <c r="A80" s="635" t="s">
        <v>198</v>
      </c>
      <c r="B80" s="636" t="s">
        <v>272</v>
      </c>
      <c r="C80" s="636" t="s">
        <v>266</v>
      </c>
      <c r="D80" s="961">
        <v>36</v>
      </c>
      <c r="E80" s="1602">
        <v>27</v>
      </c>
    </row>
    <row r="81" spans="1:5" s="639" customFormat="1" x14ac:dyDescent="0.25">
      <c r="A81" s="635" t="s">
        <v>202</v>
      </c>
      <c r="B81" s="636" t="s">
        <v>301</v>
      </c>
      <c r="C81" s="636" t="s">
        <v>265</v>
      </c>
      <c r="D81" s="961">
        <v>582</v>
      </c>
      <c r="E81" s="1602">
        <v>613</v>
      </c>
    </row>
    <row r="82" spans="1:5" s="639" customFormat="1" x14ac:dyDescent="0.25">
      <c r="A82" s="635" t="s">
        <v>204</v>
      </c>
      <c r="B82" s="636" t="s">
        <v>293</v>
      </c>
      <c r="C82" s="636" t="s">
        <v>265</v>
      </c>
      <c r="D82" s="961">
        <v>71</v>
      </c>
      <c r="E82" s="1602">
        <v>67</v>
      </c>
    </row>
    <row r="83" spans="1:5" s="639" customFormat="1" x14ac:dyDescent="0.25">
      <c r="A83" s="635" t="s">
        <v>206</v>
      </c>
      <c r="B83" s="636" t="s">
        <v>294</v>
      </c>
      <c r="C83" s="636" t="s">
        <v>267</v>
      </c>
      <c r="D83" s="961">
        <v>440</v>
      </c>
      <c r="E83" s="1602">
        <v>465</v>
      </c>
    </row>
    <row r="84" spans="1:5" s="639" customFormat="1" x14ac:dyDescent="0.25">
      <c r="A84" s="635" t="s">
        <v>208</v>
      </c>
      <c r="B84" s="636" t="s">
        <v>209</v>
      </c>
      <c r="C84" s="636" t="s">
        <v>268</v>
      </c>
      <c r="D84" s="961">
        <v>45</v>
      </c>
      <c r="E84" s="1602">
        <v>60</v>
      </c>
    </row>
    <row r="85" spans="1:5" s="639" customFormat="1" x14ac:dyDescent="0.25">
      <c r="A85" s="635" t="s">
        <v>210</v>
      </c>
      <c r="B85" s="636" t="s">
        <v>211</v>
      </c>
      <c r="C85" s="636" t="s">
        <v>268</v>
      </c>
      <c r="D85" s="961">
        <v>22</v>
      </c>
      <c r="E85" s="1602">
        <v>19</v>
      </c>
    </row>
    <row r="86" spans="1:5" s="639" customFormat="1" x14ac:dyDescent="0.25">
      <c r="A86" s="635" t="s">
        <v>212</v>
      </c>
      <c r="B86" s="636" t="s">
        <v>213</v>
      </c>
      <c r="C86" s="636" t="s">
        <v>267</v>
      </c>
      <c r="D86" s="961">
        <v>163</v>
      </c>
      <c r="E86" s="1602">
        <v>135</v>
      </c>
    </row>
    <row r="87" spans="1:5" s="639" customFormat="1" x14ac:dyDescent="0.25">
      <c r="A87" s="635" t="s">
        <v>214</v>
      </c>
      <c r="B87" s="636" t="s">
        <v>215</v>
      </c>
      <c r="C87" s="636" t="s">
        <v>268</v>
      </c>
      <c r="D87" s="961">
        <v>126</v>
      </c>
      <c r="E87" s="1602">
        <v>128</v>
      </c>
    </row>
    <row r="88" spans="1:5" s="639" customFormat="1" x14ac:dyDescent="0.25">
      <c r="A88" s="635" t="s">
        <v>216</v>
      </c>
      <c r="B88" s="636" t="s">
        <v>217</v>
      </c>
      <c r="C88" s="636" t="s">
        <v>264</v>
      </c>
      <c r="D88" s="961">
        <v>44</v>
      </c>
      <c r="E88" s="1602">
        <v>34</v>
      </c>
    </row>
    <row r="89" spans="1:5" s="639" customFormat="1" x14ac:dyDescent="0.25">
      <c r="A89" s="635" t="s">
        <v>218</v>
      </c>
      <c r="B89" s="636" t="s">
        <v>219</v>
      </c>
      <c r="C89" s="636" t="s">
        <v>267</v>
      </c>
      <c r="D89" s="961">
        <v>439</v>
      </c>
      <c r="E89" s="1602">
        <v>422</v>
      </c>
    </row>
    <row r="90" spans="1:5" s="639" customFormat="1" x14ac:dyDescent="0.25">
      <c r="A90" s="635" t="s">
        <v>220</v>
      </c>
      <c r="B90" s="636" t="s">
        <v>221</v>
      </c>
      <c r="C90" s="636" t="s">
        <v>267</v>
      </c>
      <c r="D90" s="961">
        <v>467</v>
      </c>
      <c r="E90" s="1602">
        <v>436</v>
      </c>
    </row>
    <row r="91" spans="1:5" s="639" customFormat="1" x14ac:dyDescent="0.25">
      <c r="A91" s="635" t="s">
        <v>224</v>
      </c>
      <c r="B91" s="636" t="s">
        <v>225</v>
      </c>
      <c r="C91" s="636" t="s">
        <v>264</v>
      </c>
      <c r="D91" s="961">
        <v>54</v>
      </c>
      <c r="E91" s="1602">
        <v>56</v>
      </c>
    </row>
    <row r="92" spans="1:5" s="639" customFormat="1" x14ac:dyDescent="0.25">
      <c r="A92" s="635" t="s">
        <v>226</v>
      </c>
      <c r="B92" s="636" t="s">
        <v>227</v>
      </c>
      <c r="C92" s="636" t="s">
        <v>264</v>
      </c>
      <c r="D92" s="961">
        <v>78</v>
      </c>
      <c r="E92" s="1602">
        <v>88</v>
      </c>
    </row>
    <row r="93" spans="1:5" s="639" customFormat="1" x14ac:dyDescent="0.25">
      <c r="A93" s="635" t="s">
        <v>228</v>
      </c>
      <c r="B93" s="636" t="s">
        <v>229</v>
      </c>
      <c r="C93" s="636" t="s">
        <v>268</v>
      </c>
      <c r="D93" s="961">
        <v>181</v>
      </c>
      <c r="E93" s="1602">
        <v>148</v>
      </c>
    </row>
    <row r="94" spans="1:5" s="639" customFormat="1" x14ac:dyDescent="0.25">
      <c r="A94" s="635" t="s">
        <v>232</v>
      </c>
      <c r="B94" s="636" t="s">
        <v>233</v>
      </c>
      <c r="C94" s="636" t="s">
        <v>267</v>
      </c>
      <c r="D94" s="961">
        <v>218</v>
      </c>
      <c r="E94" s="1602">
        <v>248</v>
      </c>
    </row>
    <row r="95" spans="1:5" s="639" customFormat="1" x14ac:dyDescent="0.25">
      <c r="A95" s="635" t="s">
        <v>234</v>
      </c>
      <c r="B95" s="636" t="s">
        <v>235</v>
      </c>
      <c r="C95" s="636" t="s">
        <v>268</v>
      </c>
      <c r="D95" s="961">
        <v>104</v>
      </c>
      <c r="E95" s="1602">
        <v>110</v>
      </c>
    </row>
    <row r="96" spans="1:5" s="639" customFormat="1" x14ac:dyDescent="0.25">
      <c r="A96" s="635" t="s">
        <v>236</v>
      </c>
      <c r="B96" s="636" t="s">
        <v>237</v>
      </c>
      <c r="C96" s="636" t="s">
        <v>266</v>
      </c>
      <c r="D96" s="961">
        <v>78</v>
      </c>
      <c r="E96" s="1602">
        <v>94</v>
      </c>
    </row>
    <row r="97" spans="1:5" s="639" customFormat="1" x14ac:dyDescent="0.25">
      <c r="A97" s="635" t="s">
        <v>242</v>
      </c>
      <c r="B97" s="636" t="s">
        <v>243</v>
      </c>
      <c r="C97" s="636" t="s">
        <v>268</v>
      </c>
      <c r="D97" s="961">
        <v>95</v>
      </c>
      <c r="E97" s="1602">
        <v>89</v>
      </c>
    </row>
    <row r="98" spans="1:5" s="639" customFormat="1" x14ac:dyDescent="0.25">
      <c r="A98" s="635" t="s">
        <v>244</v>
      </c>
      <c r="B98" s="636" t="s">
        <v>245</v>
      </c>
      <c r="C98" s="636" t="s">
        <v>268</v>
      </c>
      <c r="D98" s="961">
        <v>182</v>
      </c>
      <c r="E98" s="1602">
        <v>182</v>
      </c>
    </row>
    <row r="99" spans="1:5" s="639" customFormat="1" x14ac:dyDescent="0.25">
      <c r="A99" s="635" t="s">
        <v>246</v>
      </c>
      <c r="B99" s="636" t="s">
        <v>247</v>
      </c>
      <c r="C99" s="636" t="s">
        <v>264</v>
      </c>
      <c r="D99" s="961">
        <v>205</v>
      </c>
      <c r="E99" s="1602">
        <v>220</v>
      </c>
    </row>
    <row r="100" spans="1:5" s="639" customFormat="1" x14ac:dyDescent="0.25">
      <c r="A100" s="635" t="s">
        <v>14</v>
      </c>
      <c r="B100" s="636" t="s">
        <v>15</v>
      </c>
      <c r="C100" s="636" t="s">
        <v>267</v>
      </c>
      <c r="D100" s="961">
        <v>750</v>
      </c>
      <c r="E100" s="1602">
        <v>717</v>
      </c>
    </row>
    <row r="101" spans="1:5" s="639" customFormat="1" x14ac:dyDescent="0.25">
      <c r="A101" s="635" t="s">
        <v>34</v>
      </c>
      <c r="B101" s="636" t="s">
        <v>35</v>
      </c>
      <c r="C101" s="636" t="s">
        <v>268</v>
      </c>
      <c r="D101" s="961">
        <v>341</v>
      </c>
      <c r="E101" s="1602">
        <v>298</v>
      </c>
    </row>
    <row r="102" spans="1:5" s="639" customFormat="1" x14ac:dyDescent="0.25">
      <c r="A102" s="635" t="s">
        <v>52</v>
      </c>
      <c r="B102" s="636" t="s">
        <v>53</v>
      </c>
      <c r="C102" s="636" t="s">
        <v>265</v>
      </c>
      <c r="D102" s="961">
        <v>440</v>
      </c>
      <c r="E102" s="1602">
        <v>426</v>
      </c>
    </row>
    <row r="103" spans="1:5" s="639" customFormat="1" x14ac:dyDescent="0.25">
      <c r="A103" s="635" t="s">
        <v>54</v>
      </c>
      <c r="B103" s="636" t="s">
        <v>55</v>
      </c>
      <c r="C103" s="636" t="s">
        <v>264</v>
      </c>
      <c r="D103" s="961">
        <v>1452</v>
      </c>
      <c r="E103" s="1602">
        <v>1378</v>
      </c>
    </row>
    <row r="104" spans="1:5" s="639" customFormat="1" x14ac:dyDescent="0.25">
      <c r="A104" s="635" t="s">
        <v>66</v>
      </c>
      <c r="B104" s="636" t="s">
        <v>67</v>
      </c>
      <c r="C104" s="636" t="s">
        <v>265</v>
      </c>
      <c r="D104" s="961">
        <v>569</v>
      </c>
      <c r="E104" s="1602">
        <v>621</v>
      </c>
    </row>
    <row r="105" spans="1:5" s="639" customFormat="1" x14ac:dyDescent="0.25">
      <c r="A105" s="635" t="s">
        <v>82</v>
      </c>
      <c r="B105" s="636" t="s">
        <v>83</v>
      </c>
      <c r="C105" s="636" t="s">
        <v>264</v>
      </c>
      <c r="D105" s="961">
        <v>84</v>
      </c>
      <c r="E105" s="1602">
        <v>65</v>
      </c>
    </row>
    <row r="106" spans="1:5" s="639" customFormat="1" x14ac:dyDescent="0.25">
      <c r="A106" s="635" t="s">
        <v>88</v>
      </c>
      <c r="B106" s="636" t="s">
        <v>89</v>
      </c>
      <c r="C106" s="636" t="s">
        <v>267</v>
      </c>
      <c r="D106" s="961">
        <v>327</v>
      </c>
      <c r="E106" s="1602">
        <v>367</v>
      </c>
    </row>
    <row r="107" spans="1:5" s="639" customFormat="1" x14ac:dyDescent="0.25">
      <c r="A107" s="635" t="s">
        <v>90</v>
      </c>
      <c r="B107" s="636" t="s">
        <v>91</v>
      </c>
      <c r="C107" s="636" t="s">
        <v>268</v>
      </c>
      <c r="D107" s="961">
        <v>65</v>
      </c>
      <c r="E107" s="1602">
        <v>58</v>
      </c>
    </row>
    <row r="108" spans="1:5" s="639" customFormat="1" x14ac:dyDescent="0.25">
      <c r="A108" s="635" t="s">
        <v>106</v>
      </c>
      <c r="B108" s="636" t="s">
        <v>107</v>
      </c>
      <c r="C108" s="636" t="s">
        <v>264</v>
      </c>
      <c r="D108" s="961">
        <v>1197</v>
      </c>
      <c r="E108" s="1602">
        <v>1058</v>
      </c>
    </row>
    <row r="109" spans="1:5" s="639" customFormat="1" x14ac:dyDescent="0.25">
      <c r="A109" s="635" t="s">
        <v>116</v>
      </c>
      <c r="B109" s="636" t="s">
        <v>117</v>
      </c>
      <c r="C109" s="636" t="s">
        <v>266</v>
      </c>
      <c r="D109" s="961">
        <v>305</v>
      </c>
      <c r="E109" s="1602">
        <v>320</v>
      </c>
    </row>
    <row r="110" spans="1:5" s="639" customFormat="1" x14ac:dyDescent="0.25">
      <c r="A110" s="635" t="s">
        <v>138</v>
      </c>
      <c r="B110" s="636" t="s">
        <v>139</v>
      </c>
      <c r="C110" s="636" t="s">
        <v>265</v>
      </c>
      <c r="D110" s="961">
        <v>654</v>
      </c>
      <c r="E110" s="1602">
        <v>698</v>
      </c>
    </row>
    <row r="111" spans="1:5" s="639" customFormat="1" x14ac:dyDescent="0.25">
      <c r="A111" s="635" t="s">
        <v>142</v>
      </c>
      <c r="B111" s="636" t="s">
        <v>143</v>
      </c>
      <c r="C111" s="636" t="s">
        <v>267</v>
      </c>
      <c r="D111" s="961">
        <v>336</v>
      </c>
      <c r="E111" s="1602">
        <v>366</v>
      </c>
    </row>
    <row r="112" spans="1:5" s="639" customFormat="1" x14ac:dyDescent="0.25">
      <c r="A112" s="635" t="s">
        <v>144</v>
      </c>
      <c r="B112" s="636" t="s">
        <v>145</v>
      </c>
      <c r="C112" s="636" t="s">
        <v>267</v>
      </c>
      <c r="D112" s="961">
        <v>54</v>
      </c>
      <c r="E112" s="1602">
        <v>79</v>
      </c>
    </row>
    <row r="113" spans="1:6" s="639" customFormat="1" x14ac:dyDescent="0.25">
      <c r="A113" s="635" t="s">
        <v>158</v>
      </c>
      <c r="B113" s="636" t="s">
        <v>159</v>
      </c>
      <c r="C113" s="636" t="s">
        <v>264</v>
      </c>
      <c r="D113" s="961">
        <v>2361</v>
      </c>
      <c r="E113" s="1602">
        <v>2416</v>
      </c>
    </row>
    <row r="114" spans="1:6" s="639" customFormat="1" x14ac:dyDescent="0.25">
      <c r="A114" s="635" t="s">
        <v>160</v>
      </c>
      <c r="B114" s="636" t="s">
        <v>161</v>
      </c>
      <c r="C114" s="636" t="s">
        <v>264</v>
      </c>
      <c r="D114" s="961">
        <v>2979</v>
      </c>
      <c r="E114" s="1602">
        <v>2887</v>
      </c>
    </row>
    <row r="115" spans="1:6" s="639" customFormat="1" x14ac:dyDescent="0.25">
      <c r="A115" s="635" t="s">
        <v>166</v>
      </c>
      <c r="B115" s="636" t="s">
        <v>167</v>
      </c>
      <c r="C115" s="636" t="s">
        <v>268</v>
      </c>
      <c r="D115" s="961">
        <v>32</v>
      </c>
      <c r="E115" s="1602">
        <v>24</v>
      </c>
    </row>
    <row r="116" spans="1:6" s="639" customFormat="1" x14ac:dyDescent="0.25">
      <c r="A116" s="635" t="s">
        <v>176</v>
      </c>
      <c r="B116" s="636" t="s">
        <v>177</v>
      </c>
      <c r="C116" s="636" t="s">
        <v>266</v>
      </c>
      <c r="D116" s="961">
        <v>656</v>
      </c>
      <c r="E116" s="1602">
        <v>640</v>
      </c>
    </row>
    <row r="117" spans="1:6" s="639" customFormat="1" x14ac:dyDescent="0.25">
      <c r="A117" s="635" t="s">
        <v>180</v>
      </c>
      <c r="B117" s="636" t="s">
        <v>181</v>
      </c>
      <c r="C117" s="636" t="s">
        <v>264</v>
      </c>
      <c r="D117" s="961">
        <v>1017</v>
      </c>
      <c r="E117" s="1602">
        <v>1081</v>
      </c>
    </row>
    <row r="118" spans="1:6" s="639" customFormat="1" x14ac:dyDescent="0.25">
      <c r="A118" s="635" t="s">
        <v>192</v>
      </c>
      <c r="B118" s="636" t="s">
        <v>193</v>
      </c>
      <c r="C118" s="636" t="s">
        <v>268</v>
      </c>
      <c r="D118" s="961">
        <v>80</v>
      </c>
      <c r="E118" s="1602">
        <v>64</v>
      </c>
    </row>
    <row r="119" spans="1:6" s="639" customFormat="1" x14ac:dyDescent="0.25">
      <c r="A119" s="635" t="s">
        <v>196</v>
      </c>
      <c r="B119" s="636" t="s">
        <v>197</v>
      </c>
      <c r="C119" s="636" t="s">
        <v>266</v>
      </c>
      <c r="D119" s="961">
        <v>3161</v>
      </c>
      <c r="E119" s="1602">
        <v>2598</v>
      </c>
    </row>
    <row r="120" spans="1:6" s="639" customFormat="1" x14ac:dyDescent="0.25">
      <c r="A120" s="635" t="s">
        <v>200</v>
      </c>
      <c r="B120" s="636" t="s">
        <v>201</v>
      </c>
      <c r="C120" s="636" t="s">
        <v>265</v>
      </c>
      <c r="D120" s="961">
        <v>1363</v>
      </c>
      <c r="E120" s="1602">
        <v>1427</v>
      </c>
    </row>
    <row r="121" spans="1:6" s="639" customFormat="1" x14ac:dyDescent="0.25">
      <c r="A121" s="635" t="s">
        <v>222</v>
      </c>
      <c r="B121" s="636" t="s">
        <v>223</v>
      </c>
      <c r="C121" s="636" t="s">
        <v>264</v>
      </c>
      <c r="D121" s="961">
        <v>415</v>
      </c>
      <c r="E121" s="1602">
        <v>432</v>
      </c>
    </row>
    <row r="122" spans="1:6" s="639" customFormat="1" x14ac:dyDescent="0.25">
      <c r="A122" s="635" t="s">
        <v>230</v>
      </c>
      <c r="B122" s="636" t="s">
        <v>231</v>
      </c>
      <c r="C122" s="636" t="s">
        <v>264</v>
      </c>
      <c r="D122" s="961">
        <v>2498</v>
      </c>
      <c r="E122" s="1602">
        <v>2568</v>
      </c>
    </row>
    <row r="123" spans="1:6" s="639" customFormat="1" x14ac:dyDescent="0.25">
      <c r="A123" s="635" t="s">
        <v>238</v>
      </c>
      <c r="B123" s="636" t="s">
        <v>239</v>
      </c>
      <c r="C123" s="636" t="s">
        <v>264</v>
      </c>
      <c r="D123" s="961">
        <v>78</v>
      </c>
      <c r="E123" s="1602">
        <v>92</v>
      </c>
    </row>
    <row r="124" spans="1:6" s="639" customFormat="1" x14ac:dyDescent="0.25">
      <c r="A124" s="635" t="s">
        <v>240</v>
      </c>
      <c r="B124" s="636" t="s">
        <v>241</v>
      </c>
      <c r="C124" s="636" t="s">
        <v>267</v>
      </c>
      <c r="D124" s="961">
        <v>193</v>
      </c>
      <c r="E124" s="1602">
        <v>170</v>
      </c>
    </row>
    <row r="126" spans="1:6" ht="12.75" customHeight="1" x14ac:dyDescent="0.25">
      <c r="A126" s="2104" t="s">
        <v>1107</v>
      </c>
      <c r="B126" s="2105"/>
      <c r="C126" s="2105"/>
      <c r="D126" s="2105"/>
      <c r="E126" s="2105"/>
      <c r="F126" s="2105"/>
    </row>
    <row r="127" spans="1:6" x14ac:dyDescent="0.25">
      <c r="A127" s="2105"/>
      <c r="B127" s="2105"/>
      <c r="C127" s="2105"/>
      <c r="D127" s="2105"/>
      <c r="E127" s="2105"/>
      <c r="F127" s="2105"/>
    </row>
    <row r="128" spans="1:6" ht="18" customHeight="1" x14ac:dyDescent="0.25">
      <c r="A128" s="2105"/>
      <c r="B128" s="2105"/>
      <c r="C128" s="2105"/>
      <c r="D128" s="2105"/>
      <c r="E128" s="2105"/>
      <c r="F128" s="2105"/>
    </row>
    <row r="129" spans="1:6" x14ac:dyDescent="0.25">
      <c r="A129" s="1420"/>
      <c r="B129" s="1420"/>
      <c r="C129" s="1420"/>
      <c r="D129" s="1420"/>
      <c r="E129" s="1595"/>
      <c r="F129" s="1420"/>
    </row>
    <row r="130" spans="1:6" s="414" customFormat="1" x14ac:dyDescent="0.25">
      <c r="A130" s="414" t="s">
        <v>248</v>
      </c>
    </row>
    <row r="131" spans="1:6" s="414" customFormat="1" x14ac:dyDescent="0.25">
      <c r="A131" s="415" t="s">
        <v>249</v>
      </c>
      <c r="B131" s="416" t="s">
        <v>250</v>
      </c>
      <c r="C131" s="416"/>
    </row>
  </sheetData>
  <sortState ref="A5:G124">
    <sortCondition ref="A5:A124"/>
  </sortState>
  <mergeCells count="1">
    <mergeCell ref="A126:F128"/>
  </mergeCells>
  <hyperlinks>
    <hyperlink ref="B131"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129"/>
  <sheetViews>
    <sheetView topLeftCell="A101" workbookViewId="0">
      <selection activeCell="A126" sqref="A126:H126"/>
    </sheetView>
  </sheetViews>
  <sheetFormatPr defaultRowHeight="15.75" x14ac:dyDescent="0.25"/>
  <cols>
    <col min="1" max="1" width="5.875" style="532" customWidth="1"/>
    <col min="2" max="2" width="30.25" style="532" customWidth="1"/>
    <col min="3" max="3" width="12.375" style="532" customWidth="1"/>
    <col min="4" max="9" width="10.875" style="532" customWidth="1"/>
    <col min="10" max="10" width="2.5" style="532" customWidth="1"/>
    <col min="11" max="16384" width="9" style="532"/>
  </cols>
  <sheetData>
    <row r="1" spans="1:9" x14ac:dyDescent="0.25">
      <c r="A1" s="258" t="s">
        <v>899</v>
      </c>
    </row>
    <row r="3" spans="1:9" x14ac:dyDescent="0.25">
      <c r="A3" s="640" t="s">
        <v>4</v>
      </c>
      <c r="B3" s="595" t="s">
        <v>5</v>
      </c>
      <c r="C3" s="595" t="s">
        <v>251</v>
      </c>
      <c r="D3" s="646">
        <v>2010</v>
      </c>
      <c r="E3" s="646">
        <v>2011</v>
      </c>
      <c r="F3" s="646">
        <v>2012</v>
      </c>
      <c r="G3" s="646">
        <v>2013</v>
      </c>
      <c r="H3" s="646">
        <v>2014</v>
      </c>
      <c r="I3" s="1603">
        <v>2015</v>
      </c>
    </row>
    <row r="4" spans="1:9" x14ac:dyDescent="0.25">
      <c r="A4" s="600">
        <v>999</v>
      </c>
      <c r="B4" s="633" t="s">
        <v>9</v>
      </c>
      <c r="C4" s="596"/>
      <c r="D4" s="559">
        <v>63077</v>
      </c>
      <c r="E4" s="559">
        <v>63449</v>
      </c>
      <c r="F4" s="559">
        <v>59998</v>
      </c>
      <c r="G4" s="559">
        <v>56160</v>
      </c>
      <c r="H4" s="559">
        <v>50841</v>
      </c>
      <c r="I4" s="1644">
        <v>47911</v>
      </c>
    </row>
    <row r="5" spans="1:9" x14ac:dyDescent="0.25">
      <c r="A5" s="551" t="s">
        <v>10</v>
      </c>
      <c r="B5" s="597" t="s">
        <v>11</v>
      </c>
      <c r="C5" s="597" t="s">
        <v>264</v>
      </c>
      <c r="D5" s="545">
        <v>375</v>
      </c>
      <c r="E5" s="545">
        <v>374</v>
      </c>
      <c r="F5" s="545">
        <v>387</v>
      </c>
      <c r="G5" s="545">
        <v>379</v>
      </c>
      <c r="H5" s="545">
        <v>321</v>
      </c>
      <c r="I5" s="1642">
        <v>275</v>
      </c>
    </row>
    <row r="6" spans="1:9" x14ac:dyDescent="0.25">
      <c r="A6" s="635" t="s">
        <v>12</v>
      </c>
      <c r="B6" s="636" t="s">
        <v>13</v>
      </c>
      <c r="C6" s="636" t="s">
        <v>265</v>
      </c>
      <c r="D6" s="637">
        <v>333</v>
      </c>
      <c r="E6" s="637">
        <v>309</v>
      </c>
      <c r="F6" s="637">
        <v>271</v>
      </c>
      <c r="G6" s="637">
        <v>292</v>
      </c>
      <c r="H6" s="637">
        <v>280</v>
      </c>
      <c r="I6" s="1642">
        <v>230</v>
      </c>
    </row>
    <row r="7" spans="1:9" x14ac:dyDescent="0.25">
      <c r="A7" s="635" t="s">
        <v>16</v>
      </c>
      <c r="B7" s="636" t="s">
        <v>297</v>
      </c>
      <c r="C7" s="636" t="s">
        <v>265</v>
      </c>
      <c r="D7" s="637">
        <v>228</v>
      </c>
      <c r="E7" s="637">
        <v>220</v>
      </c>
      <c r="F7" s="637">
        <v>187</v>
      </c>
      <c r="G7" s="637">
        <v>188</v>
      </c>
      <c r="H7" s="637">
        <v>171</v>
      </c>
      <c r="I7" s="1642">
        <v>156</v>
      </c>
    </row>
    <row r="8" spans="1:9" x14ac:dyDescent="0.25">
      <c r="A8" s="635" t="s">
        <v>18</v>
      </c>
      <c r="B8" s="636" t="s">
        <v>19</v>
      </c>
      <c r="C8" s="636" t="s">
        <v>266</v>
      </c>
      <c r="D8" s="637">
        <v>152</v>
      </c>
      <c r="E8" s="637">
        <v>147</v>
      </c>
      <c r="F8" s="637">
        <v>142</v>
      </c>
      <c r="G8" s="637">
        <v>129</v>
      </c>
      <c r="H8" s="637">
        <v>96</v>
      </c>
      <c r="I8" s="1642">
        <v>72</v>
      </c>
    </row>
    <row r="9" spans="1:9" x14ac:dyDescent="0.25">
      <c r="A9" s="635" t="s">
        <v>20</v>
      </c>
      <c r="B9" s="636" t="s">
        <v>21</v>
      </c>
      <c r="C9" s="636" t="s">
        <v>265</v>
      </c>
      <c r="D9" s="637">
        <v>219</v>
      </c>
      <c r="E9" s="637">
        <v>196</v>
      </c>
      <c r="F9" s="637">
        <v>187</v>
      </c>
      <c r="G9" s="637">
        <v>192</v>
      </c>
      <c r="H9" s="637">
        <v>166</v>
      </c>
      <c r="I9" s="1642">
        <v>158</v>
      </c>
    </row>
    <row r="10" spans="1:9" x14ac:dyDescent="0.25">
      <c r="A10" s="635" t="s">
        <v>22</v>
      </c>
      <c r="B10" s="636" t="s">
        <v>23</v>
      </c>
      <c r="C10" s="636" t="s">
        <v>265</v>
      </c>
      <c r="D10" s="637">
        <v>174</v>
      </c>
      <c r="E10" s="637">
        <v>162</v>
      </c>
      <c r="F10" s="637">
        <v>167</v>
      </c>
      <c r="G10" s="637">
        <v>177</v>
      </c>
      <c r="H10" s="637">
        <v>171</v>
      </c>
      <c r="I10" s="1642">
        <v>140</v>
      </c>
    </row>
    <row r="11" spans="1:9" x14ac:dyDescent="0.25">
      <c r="A11" s="635" t="s">
        <v>24</v>
      </c>
      <c r="B11" s="636" t="s">
        <v>25</v>
      </c>
      <c r="C11" s="636" t="s">
        <v>267</v>
      </c>
      <c r="D11" s="637">
        <v>605</v>
      </c>
      <c r="E11" s="637">
        <v>574</v>
      </c>
      <c r="F11" s="637">
        <v>535</v>
      </c>
      <c r="G11" s="637">
        <v>478</v>
      </c>
      <c r="H11" s="637">
        <v>416</v>
      </c>
      <c r="I11" s="1642">
        <v>374</v>
      </c>
    </row>
    <row r="12" spans="1:9" x14ac:dyDescent="0.25">
      <c r="A12" s="635" t="s">
        <v>26</v>
      </c>
      <c r="B12" s="636" t="s">
        <v>686</v>
      </c>
      <c r="C12" s="636" t="s">
        <v>265</v>
      </c>
      <c r="D12" s="637">
        <v>1272</v>
      </c>
      <c r="E12" s="637">
        <v>1224</v>
      </c>
      <c r="F12" s="637">
        <v>1139</v>
      </c>
      <c r="G12" s="637">
        <v>1087</v>
      </c>
      <c r="H12" s="637">
        <v>934</v>
      </c>
      <c r="I12" s="1642">
        <v>738</v>
      </c>
    </row>
    <row r="13" spans="1:9" x14ac:dyDescent="0.25">
      <c r="A13" s="635" t="s">
        <v>27</v>
      </c>
      <c r="B13" s="636" t="s">
        <v>28</v>
      </c>
      <c r="C13" s="636" t="s">
        <v>265</v>
      </c>
      <c r="D13" s="637">
        <v>18</v>
      </c>
      <c r="E13" s="637">
        <v>15</v>
      </c>
      <c r="F13" s="637">
        <v>14</v>
      </c>
      <c r="G13" s="637">
        <v>9</v>
      </c>
      <c r="H13" s="637">
        <v>9</v>
      </c>
      <c r="I13" s="1642">
        <v>7</v>
      </c>
    </row>
    <row r="14" spans="1:9" x14ac:dyDescent="0.25">
      <c r="A14" s="635" t="s">
        <v>29</v>
      </c>
      <c r="B14" s="636" t="s">
        <v>941</v>
      </c>
      <c r="C14" s="636" t="s">
        <v>265</v>
      </c>
      <c r="D14" s="637">
        <v>431</v>
      </c>
      <c r="E14" s="637">
        <v>470</v>
      </c>
      <c r="F14" s="637">
        <v>427</v>
      </c>
      <c r="G14" s="637">
        <v>387</v>
      </c>
      <c r="H14" s="637">
        <v>405</v>
      </c>
      <c r="I14" s="1642">
        <v>325</v>
      </c>
    </row>
    <row r="15" spans="1:9" x14ac:dyDescent="0.25">
      <c r="A15" s="635" t="s">
        <v>30</v>
      </c>
      <c r="B15" s="636" t="s">
        <v>31</v>
      </c>
      <c r="C15" s="636" t="s">
        <v>268</v>
      </c>
      <c r="D15" s="637">
        <v>27</v>
      </c>
      <c r="E15" s="637">
        <v>41</v>
      </c>
      <c r="F15" s="637">
        <v>37</v>
      </c>
      <c r="G15" s="637">
        <v>30</v>
      </c>
      <c r="H15" s="637">
        <v>29</v>
      </c>
      <c r="I15" s="1642">
        <v>24</v>
      </c>
    </row>
    <row r="16" spans="1:9" x14ac:dyDescent="0.25">
      <c r="A16" s="635" t="s">
        <v>32</v>
      </c>
      <c r="B16" s="636" t="s">
        <v>33</v>
      </c>
      <c r="C16" s="636" t="s">
        <v>265</v>
      </c>
      <c r="D16" s="637">
        <v>88</v>
      </c>
      <c r="E16" s="637">
        <v>90</v>
      </c>
      <c r="F16" s="637">
        <v>90</v>
      </c>
      <c r="G16" s="637">
        <v>80</v>
      </c>
      <c r="H16" s="637">
        <v>70</v>
      </c>
      <c r="I16" s="1642">
        <v>66</v>
      </c>
    </row>
    <row r="17" spans="1:9" x14ac:dyDescent="0.25">
      <c r="A17" s="635" t="s">
        <v>36</v>
      </c>
      <c r="B17" s="636" t="s">
        <v>37</v>
      </c>
      <c r="C17" s="636" t="s">
        <v>264</v>
      </c>
      <c r="D17" s="637">
        <v>233</v>
      </c>
      <c r="E17" s="637">
        <v>220</v>
      </c>
      <c r="F17" s="637">
        <v>214</v>
      </c>
      <c r="G17" s="637">
        <v>194</v>
      </c>
      <c r="H17" s="637">
        <v>180</v>
      </c>
      <c r="I17" s="1642">
        <v>155</v>
      </c>
    </row>
    <row r="18" spans="1:9" x14ac:dyDescent="0.25">
      <c r="A18" s="635" t="s">
        <v>38</v>
      </c>
      <c r="B18" s="636" t="s">
        <v>39</v>
      </c>
      <c r="C18" s="636" t="s">
        <v>268</v>
      </c>
      <c r="D18" s="637">
        <v>310</v>
      </c>
      <c r="E18" s="637">
        <v>261</v>
      </c>
      <c r="F18" s="637">
        <v>223</v>
      </c>
      <c r="G18" s="637">
        <v>263</v>
      </c>
      <c r="H18" s="637">
        <v>254</v>
      </c>
      <c r="I18" s="1642">
        <v>247</v>
      </c>
    </row>
    <row r="19" spans="1:9" x14ac:dyDescent="0.25">
      <c r="A19" s="635" t="s">
        <v>40</v>
      </c>
      <c r="B19" s="636" t="s">
        <v>41</v>
      </c>
      <c r="C19" s="636" t="s">
        <v>266</v>
      </c>
      <c r="D19" s="637">
        <v>178</v>
      </c>
      <c r="E19" s="637">
        <v>142</v>
      </c>
      <c r="F19" s="637">
        <v>137</v>
      </c>
      <c r="G19" s="637">
        <v>135</v>
      </c>
      <c r="H19" s="637">
        <v>117</v>
      </c>
      <c r="I19" s="1642">
        <v>109</v>
      </c>
    </row>
    <row r="20" spans="1:9" x14ac:dyDescent="0.25">
      <c r="A20" s="635" t="s">
        <v>42</v>
      </c>
      <c r="B20" s="636" t="s">
        <v>43</v>
      </c>
      <c r="C20" s="636" t="s">
        <v>265</v>
      </c>
      <c r="D20" s="637">
        <v>540</v>
      </c>
      <c r="E20" s="637">
        <v>544</v>
      </c>
      <c r="F20" s="637">
        <v>560</v>
      </c>
      <c r="G20" s="637">
        <v>498</v>
      </c>
      <c r="H20" s="637">
        <v>437</v>
      </c>
      <c r="I20" s="1642">
        <v>392</v>
      </c>
    </row>
    <row r="21" spans="1:9" x14ac:dyDescent="0.25">
      <c r="A21" s="635" t="s">
        <v>44</v>
      </c>
      <c r="B21" s="636" t="s">
        <v>45</v>
      </c>
      <c r="C21" s="636" t="s">
        <v>266</v>
      </c>
      <c r="D21" s="637">
        <v>380</v>
      </c>
      <c r="E21" s="637">
        <v>390</v>
      </c>
      <c r="F21" s="637">
        <v>355</v>
      </c>
      <c r="G21" s="637">
        <v>332</v>
      </c>
      <c r="H21" s="637">
        <v>295</v>
      </c>
      <c r="I21" s="1642">
        <v>258</v>
      </c>
    </row>
    <row r="22" spans="1:9" x14ac:dyDescent="0.25">
      <c r="A22" s="635" t="s">
        <v>46</v>
      </c>
      <c r="B22" s="636" t="s">
        <v>47</v>
      </c>
      <c r="C22" s="636" t="s">
        <v>268</v>
      </c>
      <c r="D22" s="637">
        <v>258</v>
      </c>
      <c r="E22" s="637">
        <v>233</v>
      </c>
      <c r="F22" s="637">
        <v>242</v>
      </c>
      <c r="G22" s="637">
        <v>205</v>
      </c>
      <c r="H22" s="637">
        <v>174</v>
      </c>
      <c r="I22" s="1642">
        <v>156</v>
      </c>
    </row>
    <row r="23" spans="1:9" x14ac:dyDescent="0.25">
      <c r="A23" s="635" t="s">
        <v>48</v>
      </c>
      <c r="B23" s="636" t="s">
        <v>269</v>
      </c>
      <c r="C23" s="636" t="s">
        <v>266</v>
      </c>
      <c r="D23" s="637">
        <v>38</v>
      </c>
      <c r="E23" s="637">
        <v>53</v>
      </c>
      <c r="F23" s="637">
        <v>46</v>
      </c>
      <c r="G23" s="637">
        <v>38</v>
      </c>
      <c r="H23" s="637">
        <v>31</v>
      </c>
      <c r="I23" s="1642">
        <v>34</v>
      </c>
    </row>
    <row r="24" spans="1:9" x14ac:dyDescent="0.25">
      <c r="A24" s="635" t="s">
        <v>50</v>
      </c>
      <c r="B24" s="636" t="s">
        <v>51</v>
      </c>
      <c r="C24" s="636" t="s">
        <v>265</v>
      </c>
      <c r="D24" s="637">
        <v>152</v>
      </c>
      <c r="E24" s="637">
        <v>150</v>
      </c>
      <c r="F24" s="637">
        <v>157</v>
      </c>
      <c r="G24" s="637">
        <v>158</v>
      </c>
      <c r="H24" s="637">
        <v>129</v>
      </c>
      <c r="I24" s="1642">
        <v>112</v>
      </c>
    </row>
    <row r="25" spans="1:9" x14ac:dyDescent="0.25">
      <c r="A25" s="635" t="s">
        <v>56</v>
      </c>
      <c r="B25" s="636" t="s">
        <v>295</v>
      </c>
      <c r="C25" s="636" t="s">
        <v>266</v>
      </c>
      <c r="D25" s="637">
        <v>2119</v>
      </c>
      <c r="E25" s="637">
        <v>2155</v>
      </c>
      <c r="F25" s="637">
        <v>2054</v>
      </c>
      <c r="G25" s="637">
        <v>1901</v>
      </c>
      <c r="H25" s="637">
        <v>1640</v>
      </c>
      <c r="I25" s="1642">
        <v>1328</v>
      </c>
    </row>
    <row r="26" spans="1:9" x14ac:dyDescent="0.25">
      <c r="A26" s="635" t="s">
        <v>58</v>
      </c>
      <c r="B26" s="636" t="s">
        <v>59</v>
      </c>
      <c r="C26" s="636" t="s">
        <v>267</v>
      </c>
      <c r="D26" s="637">
        <v>41</v>
      </c>
      <c r="E26" s="637">
        <v>43</v>
      </c>
      <c r="F26" s="637">
        <v>40</v>
      </c>
      <c r="G26" s="637">
        <v>38</v>
      </c>
      <c r="H26" s="637">
        <v>29</v>
      </c>
      <c r="I26" s="1642">
        <v>21</v>
      </c>
    </row>
    <row r="27" spans="1:9" x14ac:dyDescent="0.25">
      <c r="A27" s="635" t="s">
        <v>60</v>
      </c>
      <c r="B27" s="636" t="s">
        <v>61</v>
      </c>
      <c r="C27" s="636" t="s">
        <v>265</v>
      </c>
      <c r="D27" s="637">
        <v>21</v>
      </c>
      <c r="E27" s="637">
        <v>24</v>
      </c>
      <c r="F27" s="637">
        <v>26</v>
      </c>
      <c r="G27" s="637">
        <v>21</v>
      </c>
      <c r="H27" s="637">
        <v>22</v>
      </c>
      <c r="I27" s="1642">
        <v>26</v>
      </c>
    </row>
    <row r="28" spans="1:9" x14ac:dyDescent="0.25">
      <c r="A28" s="635" t="s">
        <v>62</v>
      </c>
      <c r="B28" s="636" t="s">
        <v>63</v>
      </c>
      <c r="C28" s="636" t="s">
        <v>267</v>
      </c>
      <c r="D28" s="637">
        <v>386</v>
      </c>
      <c r="E28" s="637">
        <v>364</v>
      </c>
      <c r="F28" s="637">
        <v>338</v>
      </c>
      <c r="G28" s="637">
        <v>337</v>
      </c>
      <c r="H28" s="637">
        <v>291</v>
      </c>
      <c r="I28" s="1642">
        <v>241</v>
      </c>
    </row>
    <row r="29" spans="1:9" x14ac:dyDescent="0.25">
      <c r="A29" s="635" t="s">
        <v>64</v>
      </c>
      <c r="B29" s="636" t="s">
        <v>65</v>
      </c>
      <c r="C29" s="636" t="s">
        <v>266</v>
      </c>
      <c r="D29" s="637">
        <v>122</v>
      </c>
      <c r="E29" s="637">
        <v>123</v>
      </c>
      <c r="F29" s="637">
        <v>115</v>
      </c>
      <c r="G29" s="637">
        <v>131</v>
      </c>
      <c r="H29" s="637">
        <v>105</v>
      </c>
      <c r="I29" s="1642">
        <v>102</v>
      </c>
    </row>
    <row r="30" spans="1:9" x14ac:dyDescent="0.25">
      <c r="A30" s="635" t="s">
        <v>68</v>
      </c>
      <c r="B30" s="636" t="s">
        <v>69</v>
      </c>
      <c r="C30" s="636" t="s">
        <v>268</v>
      </c>
      <c r="D30" s="637">
        <v>195</v>
      </c>
      <c r="E30" s="637">
        <v>174</v>
      </c>
      <c r="F30" s="637">
        <v>158</v>
      </c>
      <c r="G30" s="637">
        <v>132</v>
      </c>
      <c r="H30" s="637">
        <v>129</v>
      </c>
      <c r="I30" s="1642">
        <v>110</v>
      </c>
    </row>
    <row r="31" spans="1:9" x14ac:dyDescent="0.25">
      <c r="A31" s="635" t="s">
        <v>70</v>
      </c>
      <c r="B31" s="636" t="s">
        <v>71</v>
      </c>
      <c r="C31" s="636" t="s">
        <v>264</v>
      </c>
      <c r="D31" s="637">
        <v>282</v>
      </c>
      <c r="E31" s="637">
        <v>269</v>
      </c>
      <c r="F31" s="637">
        <v>258</v>
      </c>
      <c r="G31" s="637">
        <v>252</v>
      </c>
      <c r="H31" s="637">
        <v>253</v>
      </c>
      <c r="I31" s="1642">
        <v>208</v>
      </c>
    </row>
    <row r="32" spans="1:9" x14ac:dyDescent="0.25">
      <c r="A32" s="635" t="s">
        <v>72</v>
      </c>
      <c r="B32" s="636" t="s">
        <v>73</v>
      </c>
      <c r="C32" s="636" t="s">
        <v>266</v>
      </c>
      <c r="D32" s="637">
        <v>174</v>
      </c>
      <c r="E32" s="637">
        <v>153</v>
      </c>
      <c r="F32" s="637">
        <v>157</v>
      </c>
      <c r="G32" s="637">
        <v>132</v>
      </c>
      <c r="H32" s="637">
        <v>122</v>
      </c>
      <c r="I32" s="1642">
        <v>117</v>
      </c>
    </row>
    <row r="33" spans="1:9" x14ac:dyDescent="0.25">
      <c r="A33" s="635" t="s">
        <v>74</v>
      </c>
      <c r="B33" s="636" t="s">
        <v>296</v>
      </c>
      <c r="C33" s="636" t="s">
        <v>267</v>
      </c>
      <c r="D33" s="637">
        <v>2998</v>
      </c>
      <c r="E33" s="637">
        <v>3111</v>
      </c>
      <c r="F33" s="637">
        <v>2893</v>
      </c>
      <c r="G33" s="637">
        <v>2797</v>
      </c>
      <c r="H33" s="637">
        <v>2474</v>
      </c>
      <c r="I33" s="1642">
        <v>2061</v>
      </c>
    </row>
    <row r="34" spans="1:9" x14ac:dyDescent="0.25">
      <c r="A34" s="635" t="s">
        <v>76</v>
      </c>
      <c r="B34" s="636" t="s">
        <v>77</v>
      </c>
      <c r="C34" s="636" t="s">
        <v>267</v>
      </c>
      <c r="D34" s="637">
        <v>240</v>
      </c>
      <c r="E34" s="637">
        <v>228</v>
      </c>
      <c r="F34" s="637">
        <v>219</v>
      </c>
      <c r="G34" s="637">
        <v>186</v>
      </c>
      <c r="H34" s="637">
        <v>158</v>
      </c>
      <c r="I34" s="1642">
        <v>143</v>
      </c>
    </row>
    <row r="35" spans="1:9" x14ac:dyDescent="0.25">
      <c r="A35" s="635" t="s">
        <v>78</v>
      </c>
      <c r="B35" s="636" t="s">
        <v>79</v>
      </c>
      <c r="C35" s="636" t="s">
        <v>268</v>
      </c>
      <c r="D35" s="637">
        <v>96</v>
      </c>
      <c r="E35" s="637">
        <v>112</v>
      </c>
      <c r="F35" s="637">
        <v>118</v>
      </c>
      <c r="G35" s="637">
        <v>118</v>
      </c>
      <c r="H35" s="637">
        <v>92</v>
      </c>
      <c r="I35" s="1642">
        <v>73</v>
      </c>
    </row>
    <row r="36" spans="1:9" x14ac:dyDescent="0.25">
      <c r="A36" s="635" t="s">
        <v>80</v>
      </c>
      <c r="B36" s="636" t="s">
        <v>81</v>
      </c>
      <c r="C36" s="636" t="s">
        <v>266</v>
      </c>
      <c r="D36" s="637">
        <v>75</v>
      </c>
      <c r="E36" s="637">
        <v>99</v>
      </c>
      <c r="F36" s="637">
        <v>109</v>
      </c>
      <c r="G36" s="637">
        <v>105</v>
      </c>
      <c r="H36" s="637">
        <v>87</v>
      </c>
      <c r="I36" s="1642">
        <v>90</v>
      </c>
    </row>
    <row r="37" spans="1:9" x14ac:dyDescent="0.25">
      <c r="A37" s="635" t="s">
        <v>84</v>
      </c>
      <c r="B37" s="636" t="s">
        <v>85</v>
      </c>
      <c r="C37" s="636" t="s">
        <v>265</v>
      </c>
      <c r="D37" s="637">
        <v>469</v>
      </c>
      <c r="E37" s="637">
        <v>501</v>
      </c>
      <c r="F37" s="637">
        <v>449</v>
      </c>
      <c r="G37" s="637">
        <v>422</v>
      </c>
      <c r="H37" s="637">
        <v>387</v>
      </c>
      <c r="I37" s="1642">
        <v>326</v>
      </c>
    </row>
    <row r="38" spans="1:9" x14ac:dyDescent="0.25">
      <c r="A38" s="635" t="s">
        <v>86</v>
      </c>
      <c r="B38" s="636" t="s">
        <v>87</v>
      </c>
      <c r="C38" s="636" t="s">
        <v>267</v>
      </c>
      <c r="D38" s="637">
        <v>350</v>
      </c>
      <c r="E38" s="637">
        <v>385</v>
      </c>
      <c r="F38" s="637">
        <v>362</v>
      </c>
      <c r="G38" s="637">
        <v>326</v>
      </c>
      <c r="H38" s="637">
        <v>218</v>
      </c>
      <c r="I38" s="1642">
        <v>142</v>
      </c>
    </row>
    <row r="39" spans="1:9" x14ac:dyDescent="0.25">
      <c r="A39" s="635" t="s">
        <v>92</v>
      </c>
      <c r="B39" s="636" t="s">
        <v>93</v>
      </c>
      <c r="C39" s="636" t="s">
        <v>268</v>
      </c>
      <c r="D39" s="637">
        <v>95</v>
      </c>
      <c r="E39" s="637">
        <v>115</v>
      </c>
      <c r="F39" s="637">
        <v>105</v>
      </c>
      <c r="G39" s="637">
        <v>121</v>
      </c>
      <c r="H39" s="637">
        <v>87</v>
      </c>
      <c r="I39" s="1642">
        <v>73</v>
      </c>
    </row>
    <row r="40" spans="1:9" x14ac:dyDescent="0.25">
      <c r="A40" s="635" t="s">
        <v>94</v>
      </c>
      <c r="B40" s="636" t="s">
        <v>95</v>
      </c>
      <c r="C40" s="636" t="s">
        <v>264</v>
      </c>
      <c r="D40" s="637">
        <v>249</v>
      </c>
      <c r="E40" s="637">
        <v>219</v>
      </c>
      <c r="F40" s="637">
        <v>204</v>
      </c>
      <c r="G40" s="637">
        <v>184</v>
      </c>
      <c r="H40" s="637">
        <v>200</v>
      </c>
      <c r="I40" s="1642">
        <v>194</v>
      </c>
    </row>
    <row r="41" spans="1:9" x14ac:dyDescent="0.25">
      <c r="A41" s="635" t="s">
        <v>96</v>
      </c>
      <c r="B41" s="636" t="s">
        <v>97</v>
      </c>
      <c r="C41" s="636" t="s">
        <v>266</v>
      </c>
      <c r="D41" s="637">
        <v>81</v>
      </c>
      <c r="E41" s="637">
        <v>94</v>
      </c>
      <c r="F41" s="637">
        <v>79</v>
      </c>
      <c r="G41" s="637">
        <v>66</v>
      </c>
      <c r="H41" s="637">
        <v>47</v>
      </c>
      <c r="I41" s="1642">
        <v>49</v>
      </c>
    </row>
    <row r="42" spans="1:9" x14ac:dyDescent="0.25">
      <c r="A42" s="635" t="s">
        <v>98</v>
      </c>
      <c r="B42" s="636" t="s">
        <v>99</v>
      </c>
      <c r="C42" s="636" t="s">
        <v>268</v>
      </c>
      <c r="D42" s="637">
        <v>106</v>
      </c>
      <c r="E42" s="637">
        <v>95</v>
      </c>
      <c r="F42" s="637">
        <v>97</v>
      </c>
      <c r="G42" s="637">
        <v>90</v>
      </c>
      <c r="H42" s="637">
        <v>86</v>
      </c>
      <c r="I42" s="1642">
        <v>67</v>
      </c>
    </row>
    <row r="43" spans="1:9" x14ac:dyDescent="0.25">
      <c r="A43" s="635" t="s">
        <v>100</v>
      </c>
      <c r="B43" s="636" t="s">
        <v>101</v>
      </c>
      <c r="C43" s="636" t="s">
        <v>267</v>
      </c>
      <c r="D43" s="637">
        <v>117</v>
      </c>
      <c r="E43" s="637">
        <v>114</v>
      </c>
      <c r="F43" s="637">
        <v>105</v>
      </c>
      <c r="G43" s="637">
        <v>81</v>
      </c>
      <c r="H43" s="637">
        <v>72</v>
      </c>
      <c r="I43" s="1642">
        <v>85</v>
      </c>
    </row>
    <row r="44" spans="1:9" x14ac:dyDescent="0.25">
      <c r="A44" s="635" t="s">
        <v>102</v>
      </c>
      <c r="B44" s="636" t="s">
        <v>282</v>
      </c>
      <c r="C44" s="636" t="s">
        <v>264</v>
      </c>
      <c r="D44" s="637">
        <v>268</v>
      </c>
      <c r="E44" s="637">
        <v>301</v>
      </c>
      <c r="F44" s="637">
        <v>275</v>
      </c>
      <c r="G44" s="637">
        <v>282</v>
      </c>
      <c r="H44" s="637">
        <v>279</v>
      </c>
      <c r="I44" s="1642">
        <v>241</v>
      </c>
    </row>
    <row r="45" spans="1:9" x14ac:dyDescent="0.25">
      <c r="A45" s="635" t="s">
        <v>104</v>
      </c>
      <c r="B45" s="636" t="s">
        <v>105</v>
      </c>
      <c r="C45" s="636" t="s">
        <v>265</v>
      </c>
      <c r="D45" s="637">
        <v>482</v>
      </c>
      <c r="E45" s="637">
        <v>454</v>
      </c>
      <c r="F45" s="637">
        <v>403</v>
      </c>
      <c r="G45" s="637">
        <v>370</v>
      </c>
      <c r="H45" s="637">
        <v>336</v>
      </c>
      <c r="I45" s="1642">
        <v>299</v>
      </c>
    </row>
    <row r="46" spans="1:9" x14ac:dyDescent="0.25">
      <c r="A46" s="635" t="s">
        <v>108</v>
      </c>
      <c r="B46" s="636" t="s">
        <v>109</v>
      </c>
      <c r="C46" s="636" t="s">
        <v>266</v>
      </c>
      <c r="D46" s="637">
        <v>345</v>
      </c>
      <c r="E46" s="637">
        <v>359</v>
      </c>
      <c r="F46" s="637">
        <v>315</v>
      </c>
      <c r="G46" s="637">
        <v>280</v>
      </c>
      <c r="H46" s="637">
        <v>264</v>
      </c>
      <c r="I46" s="1642">
        <v>201</v>
      </c>
    </row>
    <row r="47" spans="1:9" x14ac:dyDescent="0.25">
      <c r="A47" s="635" t="s">
        <v>110</v>
      </c>
      <c r="B47" s="636" t="s">
        <v>111</v>
      </c>
      <c r="C47" s="636" t="s">
        <v>266</v>
      </c>
      <c r="D47" s="637">
        <v>2779</v>
      </c>
      <c r="E47" s="637">
        <v>2873</v>
      </c>
      <c r="F47" s="637">
        <v>2760</v>
      </c>
      <c r="G47" s="637">
        <v>2452</v>
      </c>
      <c r="H47" s="637">
        <v>2188</v>
      </c>
      <c r="I47" s="1642">
        <v>1957</v>
      </c>
    </row>
    <row r="48" spans="1:9" x14ac:dyDescent="0.25">
      <c r="A48" s="635" t="s">
        <v>112</v>
      </c>
      <c r="B48" s="636" t="s">
        <v>300</v>
      </c>
      <c r="C48" s="636" t="s">
        <v>265</v>
      </c>
      <c r="D48" s="637">
        <v>1049</v>
      </c>
      <c r="E48" s="637">
        <v>1036</v>
      </c>
      <c r="F48" s="637">
        <v>921</v>
      </c>
      <c r="G48" s="637">
        <v>831</v>
      </c>
      <c r="H48" s="637">
        <v>766</v>
      </c>
      <c r="I48" s="1642">
        <v>714</v>
      </c>
    </row>
    <row r="49" spans="1:9" x14ac:dyDescent="0.25">
      <c r="A49" s="635" t="s">
        <v>114</v>
      </c>
      <c r="B49" s="636" t="s">
        <v>115</v>
      </c>
      <c r="C49" s="636" t="s">
        <v>265</v>
      </c>
      <c r="D49" s="637">
        <v>1</v>
      </c>
      <c r="E49" s="637">
        <v>3</v>
      </c>
      <c r="F49" s="637">
        <v>3</v>
      </c>
      <c r="G49" s="637">
        <v>4</v>
      </c>
      <c r="H49" s="637">
        <v>5</v>
      </c>
      <c r="I49" s="1642">
        <v>6</v>
      </c>
    </row>
    <row r="50" spans="1:9" x14ac:dyDescent="0.25">
      <c r="A50" s="635" t="s">
        <v>118</v>
      </c>
      <c r="B50" s="636" t="s">
        <v>270</v>
      </c>
      <c r="C50" s="636" t="s">
        <v>264</v>
      </c>
      <c r="D50" s="637">
        <v>296</v>
      </c>
      <c r="E50" s="637">
        <v>298</v>
      </c>
      <c r="F50" s="637">
        <v>255</v>
      </c>
      <c r="G50" s="637">
        <v>234</v>
      </c>
      <c r="H50" s="637">
        <v>203</v>
      </c>
      <c r="I50" s="1642">
        <v>176</v>
      </c>
    </row>
    <row r="51" spans="1:9" x14ac:dyDescent="0.25">
      <c r="A51" s="635" t="s">
        <v>120</v>
      </c>
      <c r="B51" s="636" t="s">
        <v>121</v>
      </c>
      <c r="C51" s="636" t="s">
        <v>264</v>
      </c>
      <c r="D51" s="637">
        <v>285</v>
      </c>
      <c r="E51" s="637">
        <v>306</v>
      </c>
      <c r="F51" s="637">
        <v>303</v>
      </c>
      <c r="G51" s="637">
        <v>318</v>
      </c>
      <c r="H51" s="637">
        <v>276</v>
      </c>
      <c r="I51" s="1642">
        <v>264</v>
      </c>
    </row>
    <row r="52" spans="1:9" x14ac:dyDescent="0.25">
      <c r="A52" s="635" t="s">
        <v>122</v>
      </c>
      <c r="B52" s="636" t="s">
        <v>287</v>
      </c>
      <c r="C52" s="636" t="s">
        <v>266</v>
      </c>
      <c r="D52" s="637">
        <v>62</v>
      </c>
      <c r="E52" s="637">
        <v>59</v>
      </c>
      <c r="F52" s="637">
        <v>55</v>
      </c>
      <c r="G52" s="637">
        <v>48</v>
      </c>
      <c r="H52" s="637">
        <v>49</v>
      </c>
      <c r="I52" s="1642">
        <v>64</v>
      </c>
    </row>
    <row r="53" spans="1:9" x14ac:dyDescent="0.25">
      <c r="A53" s="635" t="s">
        <v>124</v>
      </c>
      <c r="B53" s="636" t="s">
        <v>125</v>
      </c>
      <c r="C53" s="636" t="s">
        <v>267</v>
      </c>
      <c r="D53" s="637">
        <v>105</v>
      </c>
      <c r="E53" s="637">
        <v>113</v>
      </c>
      <c r="F53" s="637">
        <v>111</v>
      </c>
      <c r="G53" s="637">
        <v>118</v>
      </c>
      <c r="H53" s="637">
        <v>114</v>
      </c>
      <c r="I53" s="1642">
        <v>89</v>
      </c>
    </row>
    <row r="54" spans="1:9" x14ac:dyDescent="0.25">
      <c r="A54" s="635" t="s">
        <v>126</v>
      </c>
      <c r="B54" s="636" t="s">
        <v>127</v>
      </c>
      <c r="C54" s="636" t="s">
        <v>266</v>
      </c>
      <c r="D54" s="637">
        <v>107</v>
      </c>
      <c r="E54" s="637">
        <v>106</v>
      </c>
      <c r="F54" s="637">
        <v>88</v>
      </c>
      <c r="G54" s="637">
        <v>79</v>
      </c>
      <c r="H54" s="637">
        <v>76</v>
      </c>
      <c r="I54" s="1642">
        <v>57</v>
      </c>
    </row>
    <row r="55" spans="1:9" x14ac:dyDescent="0.25">
      <c r="A55" s="635" t="s">
        <v>128</v>
      </c>
      <c r="B55" s="636" t="s">
        <v>129</v>
      </c>
      <c r="C55" s="636" t="s">
        <v>266</v>
      </c>
      <c r="D55" s="637">
        <v>81</v>
      </c>
      <c r="E55" s="637">
        <v>86</v>
      </c>
      <c r="F55" s="637">
        <v>92</v>
      </c>
      <c r="G55" s="637">
        <v>73</v>
      </c>
      <c r="H55" s="637">
        <v>73</v>
      </c>
      <c r="I55" s="1642">
        <v>71</v>
      </c>
    </row>
    <row r="56" spans="1:9" x14ac:dyDescent="0.25">
      <c r="A56" s="635" t="s">
        <v>130</v>
      </c>
      <c r="B56" s="636" t="s">
        <v>131</v>
      </c>
      <c r="C56" s="636" t="s">
        <v>268</v>
      </c>
      <c r="D56" s="637">
        <v>482</v>
      </c>
      <c r="E56" s="637">
        <v>507</v>
      </c>
      <c r="F56" s="637">
        <v>503</v>
      </c>
      <c r="G56" s="637">
        <v>500</v>
      </c>
      <c r="H56" s="637">
        <v>445</v>
      </c>
      <c r="I56" s="1642">
        <v>409</v>
      </c>
    </row>
    <row r="57" spans="1:9" x14ac:dyDescent="0.25">
      <c r="A57" s="635" t="s">
        <v>132</v>
      </c>
      <c r="B57" s="636" t="s">
        <v>133</v>
      </c>
      <c r="C57" s="636" t="s">
        <v>267</v>
      </c>
      <c r="D57" s="637">
        <v>599</v>
      </c>
      <c r="E57" s="637">
        <v>514</v>
      </c>
      <c r="F57" s="637">
        <v>513</v>
      </c>
      <c r="G57" s="637">
        <v>481</v>
      </c>
      <c r="H57" s="637">
        <v>415</v>
      </c>
      <c r="I57" s="1642">
        <v>401</v>
      </c>
    </row>
    <row r="58" spans="1:9" x14ac:dyDescent="0.25">
      <c r="A58" s="635" t="s">
        <v>134</v>
      </c>
      <c r="B58" s="636" t="s">
        <v>135</v>
      </c>
      <c r="C58" s="636" t="s">
        <v>267</v>
      </c>
      <c r="D58" s="637">
        <v>218</v>
      </c>
      <c r="E58" s="637">
        <v>221</v>
      </c>
      <c r="F58" s="637">
        <v>189</v>
      </c>
      <c r="G58" s="637">
        <v>200</v>
      </c>
      <c r="H58" s="637">
        <v>194</v>
      </c>
      <c r="I58" s="1642">
        <v>181</v>
      </c>
    </row>
    <row r="59" spans="1:9" x14ac:dyDescent="0.25">
      <c r="A59" s="635" t="s">
        <v>136</v>
      </c>
      <c r="B59" s="636" t="s">
        <v>137</v>
      </c>
      <c r="C59" s="636" t="s">
        <v>266</v>
      </c>
      <c r="D59" s="637">
        <v>99</v>
      </c>
      <c r="E59" s="637">
        <v>120</v>
      </c>
      <c r="F59" s="637">
        <v>132</v>
      </c>
      <c r="G59" s="637">
        <v>115</v>
      </c>
      <c r="H59" s="637">
        <v>101</v>
      </c>
      <c r="I59" s="1642">
        <v>70</v>
      </c>
    </row>
    <row r="60" spans="1:9" x14ac:dyDescent="0.25">
      <c r="A60" s="635" t="s">
        <v>140</v>
      </c>
      <c r="B60" s="636" t="s">
        <v>141</v>
      </c>
      <c r="C60" s="636" t="s">
        <v>267</v>
      </c>
      <c r="D60" s="637">
        <v>61</v>
      </c>
      <c r="E60" s="637">
        <v>59</v>
      </c>
      <c r="F60" s="637">
        <v>55</v>
      </c>
      <c r="G60" s="637">
        <v>55</v>
      </c>
      <c r="H60" s="637">
        <v>52</v>
      </c>
      <c r="I60" s="1642">
        <v>49</v>
      </c>
    </row>
    <row r="61" spans="1:9" x14ac:dyDescent="0.25">
      <c r="A61" s="635" t="s">
        <v>146</v>
      </c>
      <c r="B61" s="636" t="s">
        <v>147</v>
      </c>
      <c r="C61" s="636" t="s">
        <v>264</v>
      </c>
      <c r="D61" s="637">
        <v>46</v>
      </c>
      <c r="E61" s="637">
        <v>45</v>
      </c>
      <c r="F61" s="637">
        <v>41</v>
      </c>
      <c r="G61" s="637">
        <v>48</v>
      </c>
      <c r="H61" s="637">
        <v>40</v>
      </c>
      <c r="I61" s="1642">
        <v>35</v>
      </c>
    </row>
    <row r="62" spans="1:9" x14ac:dyDescent="0.25">
      <c r="A62" s="635" t="s">
        <v>148</v>
      </c>
      <c r="B62" s="636" t="s">
        <v>149</v>
      </c>
      <c r="C62" s="636" t="s">
        <v>265</v>
      </c>
      <c r="D62" s="637">
        <v>348</v>
      </c>
      <c r="E62" s="637">
        <v>322</v>
      </c>
      <c r="F62" s="637">
        <v>300</v>
      </c>
      <c r="G62" s="637">
        <v>299</v>
      </c>
      <c r="H62" s="637">
        <v>298</v>
      </c>
      <c r="I62" s="1642">
        <v>241</v>
      </c>
    </row>
    <row r="63" spans="1:9" x14ac:dyDescent="0.25">
      <c r="A63" s="635" t="s">
        <v>150</v>
      </c>
      <c r="B63" s="636" t="s">
        <v>151</v>
      </c>
      <c r="C63" s="636" t="s">
        <v>266</v>
      </c>
      <c r="D63" s="637">
        <v>85</v>
      </c>
      <c r="E63" s="637">
        <v>77</v>
      </c>
      <c r="F63" s="637">
        <v>87</v>
      </c>
      <c r="G63" s="637">
        <v>94</v>
      </c>
      <c r="H63" s="637">
        <v>111</v>
      </c>
      <c r="I63" s="1642">
        <v>88</v>
      </c>
    </row>
    <row r="64" spans="1:9" x14ac:dyDescent="0.25">
      <c r="A64" s="635" t="s">
        <v>152</v>
      </c>
      <c r="B64" s="636" t="s">
        <v>153</v>
      </c>
      <c r="C64" s="636" t="s">
        <v>268</v>
      </c>
      <c r="D64" s="637">
        <v>720</v>
      </c>
      <c r="E64" s="637">
        <v>731</v>
      </c>
      <c r="F64" s="637">
        <v>659</v>
      </c>
      <c r="G64" s="637">
        <v>570</v>
      </c>
      <c r="H64" s="637">
        <v>517</v>
      </c>
      <c r="I64" s="1642">
        <v>433</v>
      </c>
    </row>
    <row r="65" spans="1:9" x14ac:dyDescent="0.25">
      <c r="A65" s="635" t="s">
        <v>154</v>
      </c>
      <c r="B65" s="636" t="s">
        <v>155</v>
      </c>
      <c r="C65" s="636" t="s">
        <v>265</v>
      </c>
      <c r="D65" s="637">
        <v>84</v>
      </c>
      <c r="E65" s="637">
        <v>76</v>
      </c>
      <c r="F65" s="637">
        <v>80</v>
      </c>
      <c r="G65" s="637">
        <v>74</v>
      </c>
      <c r="H65" s="637">
        <v>67</v>
      </c>
      <c r="I65" s="1642">
        <v>73</v>
      </c>
    </row>
    <row r="66" spans="1:9" x14ac:dyDescent="0.25">
      <c r="A66" s="635" t="s">
        <v>156</v>
      </c>
      <c r="B66" s="636" t="s">
        <v>157</v>
      </c>
      <c r="C66" s="636" t="s">
        <v>266</v>
      </c>
      <c r="D66" s="637">
        <v>83</v>
      </c>
      <c r="E66" s="637">
        <v>91</v>
      </c>
      <c r="F66" s="637">
        <v>97</v>
      </c>
      <c r="G66" s="637">
        <v>81</v>
      </c>
      <c r="H66" s="637">
        <v>78</v>
      </c>
      <c r="I66" s="1642">
        <v>74</v>
      </c>
    </row>
    <row r="67" spans="1:9" x14ac:dyDescent="0.25">
      <c r="A67" s="635" t="s">
        <v>162</v>
      </c>
      <c r="B67" s="636" t="s">
        <v>163</v>
      </c>
      <c r="C67" s="636" t="s">
        <v>264</v>
      </c>
      <c r="D67" s="637">
        <v>191</v>
      </c>
      <c r="E67" s="637">
        <v>205</v>
      </c>
      <c r="F67" s="637">
        <v>188</v>
      </c>
      <c r="G67" s="637">
        <v>173</v>
      </c>
      <c r="H67" s="637">
        <v>151</v>
      </c>
      <c r="I67" s="1642">
        <v>126</v>
      </c>
    </row>
    <row r="68" spans="1:9" x14ac:dyDescent="0.25">
      <c r="A68" s="635" t="s">
        <v>164</v>
      </c>
      <c r="B68" s="636" t="s">
        <v>165</v>
      </c>
      <c r="C68" s="636" t="s">
        <v>266</v>
      </c>
      <c r="D68" s="637">
        <v>60</v>
      </c>
      <c r="E68" s="637">
        <v>67</v>
      </c>
      <c r="F68" s="637">
        <v>57</v>
      </c>
      <c r="G68" s="637">
        <v>67</v>
      </c>
      <c r="H68" s="637">
        <v>64</v>
      </c>
      <c r="I68" s="1642">
        <v>66</v>
      </c>
    </row>
    <row r="69" spans="1:9" x14ac:dyDescent="0.25">
      <c r="A69" s="635" t="s">
        <v>168</v>
      </c>
      <c r="B69" s="636" t="s">
        <v>169</v>
      </c>
      <c r="C69" s="636" t="s">
        <v>266</v>
      </c>
      <c r="D69" s="637">
        <v>221</v>
      </c>
      <c r="E69" s="637">
        <v>235</v>
      </c>
      <c r="F69" s="637">
        <v>243</v>
      </c>
      <c r="G69" s="637">
        <v>249</v>
      </c>
      <c r="H69" s="637">
        <v>224</v>
      </c>
      <c r="I69" s="1642">
        <v>183</v>
      </c>
    </row>
    <row r="70" spans="1:9" x14ac:dyDescent="0.25">
      <c r="A70" s="635" t="s">
        <v>170</v>
      </c>
      <c r="B70" s="636" t="s">
        <v>171</v>
      </c>
      <c r="C70" s="636" t="s">
        <v>267</v>
      </c>
      <c r="D70" s="637">
        <v>175</v>
      </c>
      <c r="E70" s="637">
        <v>173</v>
      </c>
      <c r="F70" s="637">
        <v>162</v>
      </c>
      <c r="G70" s="637">
        <v>156</v>
      </c>
      <c r="H70" s="637">
        <v>156</v>
      </c>
      <c r="I70" s="1642">
        <v>166</v>
      </c>
    </row>
    <row r="71" spans="1:9" x14ac:dyDescent="0.25">
      <c r="A71" s="635" t="s">
        <v>172</v>
      </c>
      <c r="B71" s="636" t="s">
        <v>173</v>
      </c>
      <c r="C71" s="636" t="s">
        <v>267</v>
      </c>
      <c r="D71" s="637">
        <v>179</v>
      </c>
      <c r="E71" s="637">
        <v>172</v>
      </c>
      <c r="F71" s="637">
        <v>143</v>
      </c>
      <c r="G71" s="637">
        <v>124</v>
      </c>
      <c r="H71" s="637">
        <v>105</v>
      </c>
      <c r="I71" s="1642">
        <v>80</v>
      </c>
    </row>
    <row r="72" spans="1:9" x14ac:dyDescent="0.25">
      <c r="A72" s="635" t="s">
        <v>174</v>
      </c>
      <c r="B72" s="636" t="s">
        <v>175</v>
      </c>
      <c r="C72" s="636" t="s">
        <v>268</v>
      </c>
      <c r="D72" s="637">
        <v>195</v>
      </c>
      <c r="E72" s="637">
        <v>203</v>
      </c>
      <c r="F72" s="637">
        <v>214</v>
      </c>
      <c r="G72" s="637">
        <v>172</v>
      </c>
      <c r="H72" s="637">
        <v>171</v>
      </c>
      <c r="I72" s="1642">
        <v>151</v>
      </c>
    </row>
    <row r="73" spans="1:9" x14ac:dyDescent="0.25">
      <c r="A73" s="635" t="s">
        <v>178</v>
      </c>
      <c r="B73" s="636" t="s">
        <v>179</v>
      </c>
      <c r="C73" s="636" t="s">
        <v>265</v>
      </c>
      <c r="D73" s="637">
        <v>496</v>
      </c>
      <c r="E73" s="637">
        <v>476</v>
      </c>
      <c r="F73" s="637">
        <v>442</v>
      </c>
      <c r="G73" s="637">
        <v>415</v>
      </c>
      <c r="H73" s="637">
        <v>404</v>
      </c>
      <c r="I73" s="1642">
        <v>333</v>
      </c>
    </row>
    <row r="74" spans="1:9" x14ac:dyDescent="0.25">
      <c r="A74" s="635" t="s">
        <v>182</v>
      </c>
      <c r="B74" s="636" t="s">
        <v>183</v>
      </c>
      <c r="C74" s="636" t="s">
        <v>266</v>
      </c>
      <c r="D74" s="637">
        <v>73</v>
      </c>
      <c r="E74" s="637">
        <v>99</v>
      </c>
      <c r="F74" s="637">
        <v>95</v>
      </c>
      <c r="G74" s="637">
        <v>92</v>
      </c>
      <c r="H74" s="637">
        <v>75</v>
      </c>
      <c r="I74" s="1642">
        <v>76</v>
      </c>
    </row>
    <row r="75" spans="1:9" x14ac:dyDescent="0.25">
      <c r="A75" s="635" t="s">
        <v>184</v>
      </c>
      <c r="B75" s="636" t="s">
        <v>185</v>
      </c>
      <c r="C75" s="636" t="s">
        <v>266</v>
      </c>
      <c r="D75" s="637">
        <v>276</v>
      </c>
      <c r="E75" s="637">
        <v>269</v>
      </c>
      <c r="F75" s="637">
        <v>247</v>
      </c>
      <c r="G75" s="637">
        <v>264</v>
      </c>
      <c r="H75" s="637">
        <v>233</v>
      </c>
      <c r="I75" s="1642">
        <v>202</v>
      </c>
    </row>
    <row r="76" spans="1:9" x14ac:dyDescent="0.25">
      <c r="A76" s="635" t="s">
        <v>186</v>
      </c>
      <c r="B76" s="636" t="s">
        <v>187</v>
      </c>
      <c r="C76" s="636" t="s">
        <v>264</v>
      </c>
      <c r="D76" s="637">
        <v>196</v>
      </c>
      <c r="E76" s="637">
        <v>183</v>
      </c>
      <c r="F76" s="637">
        <v>176</v>
      </c>
      <c r="G76" s="637">
        <v>173</v>
      </c>
      <c r="H76" s="637">
        <v>162</v>
      </c>
      <c r="I76" s="1642">
        <v>172</v>
      </c>
    </row>
    <row r="77" spans="1:9" x14ac:dyDescent="0.25">
      <c r="A77" s="635" t="s">
        <v>188</v>
      </c>
      <c r="B77" s="636" t="s">
        <v>189</v>
      </c>
      <c r="C77" s="636" t="s">
        <v>267</v>
      </c>
      <c r="D77" s="637">
        <v>2635</v>
      </c>
      <c r="E77" s="637">
        <v>2632</v>
      </c>
      <c r="F77" s="637">
        <v>2370</v>
      </c>
      <c r="G77" s="637">
        <v>2131</v>
      </c>
      <c r="H77" s="637">
        <v>1907</v>
      </c>
      <c r="I77" s="1642">
        <v>1639</v>
      </c>
    </row>
    <row r="78" spans="1:9" x14ac:dyDescent="0.25">
      <c r="A78" s="635" t="s">
        <v>190</v>
      </c>
      <c r="B78" s="636" t="s">
        <v>191</v>
      </c>
      <c r="C78" s="636" t="s">
        <v>268</v>
      </c>
      <c r="D78" s="637">
        <v>384</v>
      </c>
      <c r="E78" s="637">
        <v>394</v>
      </c>
      <c r="F78" s="637">
        <v>368</v>
      </c>
      <c r="G78" s="637">
        <v>333</v>
      </c>
      <c r="H78" s="637">
        <v>319</v>
      </c>
      <c r="I78" s="1642">
        <v>260</v>
      </c>
    </row>
    <row r="79" spans="1:9" x14ac:dyDescent="0.25">
      <c r="A79" s="635" t="s">
        <v>194</v>
      </c>
      <c r="B79" s="636" t="s">
        <v>195</v>
      </c>
      <c r="C79" s="636" t="s">
        <v>267</v>
      </c>
      <c r="D79" s="637">
        <v>10</v>
      </c>
      <c r="E79" s="637">
        <v>13</v>
      </c>
      <c r="F79" s="637">
        <v>14</v>
      </c>
      <c r="G79" s="637">
        <v>28</v>
      </c>
      <c r="H79" s="637">
        <v>26</v>
      </c>
      <c r="I79" s="1642">
        <v>22</v>
      </c>
    </row>
    <row r="80" spans="1:9" x14ac:dyDescent="0.25">
      <c r="A80" s="635" t="s">
        <v>198</v>
      </c>
      <c r="B80" s="636" t="s">
        <v>272</v>
      </c>
      <c r="C80" s="636" t="s">
        <v>266</v>
      </c>
      <c r="D80" s="637">
        <v>72</v>
      </c>
      <c r="E80" s="637">
        <v>66</v>
      </c>
      <c r="F80" s="637">
        <v>65</v>
      </c>
      <c r="G80" s="637">
        <v>70</v>
      </c>
      <c r="H80" s="637">
        <v>65</v>
      </c>
      <c r="I80" s="1642">
        <v>63</v>
      </c>
    </row>
    <row r="81" spans="1:9" x14ac:dyDescent="0.25">
      <c r="A81" s="635" t="s">
        <v>202</v>
      </c>
      <c r="B81" s="636" t="s">
        <v>301</v>
      </c>
      <c r="C81" s="636" t="s">
        <v>265</v>
      </c>
      <c r="D81" s="637">
        <v>653</v>
      </c>
      <c r="E81" s="637">
        <v>641</v>
      </c>
      <c r="F81" s="637">
        <v>566</v>
      </c>
      <c r="G81" s="637">
        <v>520</v>
      </c>
      <c r="H81" s="637">
        <v>491</v>
      </c>
      <c r="I81" s="1642">
        <v>415</v>
      </c>
    </row>
    <row r="82" spans="1:9" x14ac:dyDescent="0.25">
      <c r="A82" s="635" t="s">
        <v>204</v>
      </c>
      <c r="B82" s="636" t="s">
        <v>293</v>
      </c>
      <c r="C82" s="636" t="s">
        <v>265</v>
      </c>
      <c r="D82" s="637">
        <v>165</v>
      </c>
      <c r="E82" s="637">
        <v>188</v>
      </c>
      <c r="F82" s="637">
        <v>156</v>
      </c>
      <c r="G82" s="637">
        <v>135</v>
      </c>
      <c r="H82" s="637">
        <v>139</v>
      </c>
      <c r="I82" s="1642">
        <v>105</v>
      </c>
    </row>
    <row r="83" spans="1:9" x14ac:dyDescent="0.25">
      <c r="A83" s="635" t="s">
        <v>206</v>
      </c>
      <c r="B83" s="636" t="s">
        <v>294</v>
      </c>
      <c r="C83" s="636" t="s">
        <v>267</v>
      </c>
      <c r="D83" s="637">
        <v>695</v>
      </c>
      <c r="E83" s="637">
        <v>711</v>
      </c>
      <c r="F83" s="637">
        <v>654</v>
      </c>
      <c r="G83" s="637">
        <v>612</v>
      </c>
      <c r="H83" s="637">
        <v>548</v>
      </c>
      <c r="I83" s="1642">
        <v>466</v>
      </c>
    </row>
    <row r="84" spans="1:9" x14ac:dyDescent="0.25">
      <c r="A84" s="635" t="s">
        <v>208</v>
      </c>
      <c r="B84" s="636" t="s">
        <v>209</v>
      </c>
      <c r="C84" s="636" t="s">
        <v>268</v>
      </c>
      <c r="D84" s="637">
        <v>480</v>
      </c>
      <c r="E84" s="637">
        <v>436</v>
      </c>
      <c r="F84" s="637">
        <v>384</v>
      </c>
      <c r="G84" s="637">
        <v>379</v>
      </c>
      <c r="H84" s="637">
        <v>359</v>
      </c>
      <c r="I84" s="1642">
        <v>300</v>
      </c>
    </row>
    <row r="85" spans="1:9" x14ac:dyDescent="0.25">
      <c r="A85" s="635" t="s">
        <v>210</v>
      </c>
      <c r="B85" s="636" t="s">
        <v>211</v>
      </c>
      <c r="C85" s="636" t="s">
        <v>268</v>
      </c>
      <c r="D85" s="637">
        <v>372</v>
      </c>
      <c r="E85" s="637">
        <v>352</v>
      </c>
      <c r="F85" s="637">
        <v>324</v>
      </c>
      <c r="G85" s="637">
        <v>275</v>
      </c>
      <c r="H85" s="637">
        <v>259</v>
      </c>
      <c r="I85" s="1642">
        <v>247</v>
      </c>
    </row>
    <row r="86" spans="1:9" x14ac:dyDescent="0.25">
      <c r="A86" s="635" t="s">
        <v>212</v>
      </c>
      <c r="B86" s="636" t="s">
        <v>213</v>
      </c>
      <c r="C86" s="636" t="s">
        <v>267</v>
      </c>
      <c r="D86" s="637">
        <v>103</v>
      </c>
      <c r="E86" s="637">
        <v>125</v>
      </c>
      <c r="F86" s="637">
        <v>126</v>
      </c>
      <c r="G86" s="637">
        <v>104</v>
      </c>
      <c r="H86" s="637">
        <v>98</v>
      </c>
      <c r="I86" s="1642">
        <v>101</v>
      </c>
    </row>
    <row r="87" spans="1:9" x14ac:dyDescent="0.25">
      <c r="A87" s="635" t="s">
        <v>214</v>
      </c>
      <c r="B87" s="636" t="s">
        <v>215</v>
      </c>
      <c r="C87" s="636" t="s">
        <v>268</v>
      </c>
      <c r="D87" s="637">
        <v>397</v>
      </c>
      <c r="E87" s="637">
        <v>415</v>
      </c>
      <c r="F87" s="637">
        <v>388</v>
      </c>
      <c r="G87" s="637">
        <v>369</v>
      </c>
      <c r="H87" s="637">
        <v>348</v>
      </c>
      <c r="I87" s="1642">
        <v>335</v>
      </c>
    </row>
    <row r="88" spans="1:9" x14ac:dyDescent="0.25">
      <c r="A88" s="635" t="s">
        <v>216</v>
      </c>
      <c r="B88" s="636" t="s">
        <v>217</v>
      </c>
      <c r="C88" s="636" t="s">
        <v>264</v>
      </c>
      <c r="D88" s="637">
        <v>236</v>
      </c>
      <c r="E88" s="637">
        <v>244</v>
      </c>
      <c r="F88" s="637">
        <v>228</v>
      </c>
      <c r="G88" s="637">
        <v>190</v>
      </c>
      <c r="H88" s="637">
        <v>163</v>
      </c>
      <c r="I88" s="1642">
        <v>128</v>
      </c>
    </row>
    <row r="89" spans="1:9" x14ac:dyDescent="0.25">
      <c r="A89" s="635" t="s">
        <v>218</v>
      </c>
      <c r="B89" s="636" t="s">
        <v>219</v>
      </c>
      <c r="C89" s="636" t="s">
        <v>267</v>
      </c>
      <c r="D89" s="637">
        <v>772</v>
      </c>
      <c r="E89" s="637">
        <v>852</v>
      </c>
      <c r="F89" s="637">
        <v>837</v>
      </c>
      <c r="G89" s="637">
        <v>772</v>
      </c>
      <c r="H89" s="637">
        <v>735</v>
      </c>
      <c r="I89" s="1642">
        <v>695</v>
      </c>
    </row>
    <row r="90" spans="1:9" x14ac:dyDescent="0.25">
      <c r="A90" s="635" t="s">
        <v>220</v>
      </c>
      <c r="B90" s="636" t="s">
        <v>221</v>
      </c>
      <c r="C90" s="636" t="s">
        <v>267</v>
      </c>
      <c r="D90" s="637">
        <v>637</v>
      </c>
      <c r="E90" s="637">
        <v>623</v>
      </c>
      <c r="F90" s="637">
        <v>645</v>
      </c>
      <c r="G90" s="637">
        <v>610</v>
      </c>
      <c r="H90" s="637">
        <v>559</v>
      </c>
      <c r="I90" s="1642">
        <v>536</v>
      </c>
    </row>
    <row r="91" spans="1:9" x14ac:dyDescent="0.25">
      <c r="A91" s="635" t="s">
        <v>224</v>
      </c>
      <c r="B91" s="636" t="s">
        <v>225</v>
      </c>
      <c r="C91" s="636" t="s">
        <v>264</v>
      </c>
      <c r="D91" s="637">
        <v>110</v>
      </c>
      <c r="E91" s="637">
        <v>99</v>
      </c>
      <c r="F91" s="637">
        <v>87</v>
      </c>
      <c r="G91" s="637">
        <v>86</v>
      </c>
      <c r="H91" s="637">
        <v>76</v>
      </c>
      <c r="I91" s="1642">
        <v>59</v>
      </c>
    </row>
    <row r="92" spans="1:9" x14ac:dyDescent="0.25">
      <c r="A92" s="635" t="s">
        <v>226</v>
      </c>
      <c r="B92" s="636" t="s">
        <v>227</v>
      </c>
      <c r="C92" s="636" t="s">
        <v>264</v>
      </c>
      <c r="D92" s="637">
        <v>148</v>
      </c>
      <c r="E92" s="637">
        <v>154</v>
      </c>
      <c r="F92" s="637">
        <v>145</v>
      </c>
      <c r="G92" s="637">
        <v>127</v>
      </c>
      <c r="H92" s="637">
        <v>141</v>
      </c>
      <c r="I92" s="1642">
        <v>134</v>
      </c>
    </row>
    <row r="93" spans="1:9" x14ac:dyDescent="0.25">
      <c r="A93" s="635" t="s">
        <v>228</v>
      </c>
      <c r="B93" s="636" t="s">
        <v>229</v>
      </c>
      <c r="C93" s="636" t="s">
        <v>268</v>
      </c>
      <c r="D93" s="637">
        <v>595</v>
      </c>
      <c r="E93" s="637">
        <v>523</v>
      </c>
      <c r="F93" s="637">
        <v>493</v>
      </c>
      <c r="G93" s="637">
        <v>455</v>
      </c>
      <c r="H93" s="637">
        <v>421</v>
      </c>
      <c r="I93" s="1642">
        <v>367</v>
      </c>
    </row>
    <row r="94" spans="1:9" x14ac:dyDescent="0.25">
      <c r="A94" s="635" t="s">
        <v>232</v>
      </c>
      <c r="B94" s="636" t="s">
        <v>233</v>
      </c>
      <c r="C94" s="636" t="s">
        <v>267</v>
      </c>
      <c r="D94" s="637">
        <v>267</v>
      </c>
      <c r="E94" s="637">
        <v>263</v>
      </c>
      <c r="F94" s="637">
        <v>254</v>
      </c>
      <c r="G94" s="637">
        <v>249</v>
      </c>
      <c r="H94" s="637">
        <v>243</v>
      </c>
      <c r="I94" s="1642">
        <v>205</v>
      </c>
    </row>
    <row r="95" spans="1:9" x14ac:dyDescent="0.25">
      <c r="A95" s="635" t="s">
        <v>234</v>
      </c>
      <c r="B95" s="636" t="s">
        <v>235</v>
      </c>
      <c r="C95" s="636" t="s">
        <v>268</v>
      </c>
      <c r="D95" s="637">
        <v>451</v>
      </c>
      <c r="E95" s="637">
        <v>426</v>
      </c>
      <c r="F95" s="637">
        <v>389</v>
      </c>
      <c r="G95" s="637">
        <v>376</v>
      </c>
      <c r="H95" s="637">
        <v>372</v>
      </c>
      <c r="I95" s="1642">
        <v>341</v>
      </c>
    </row>
    <row r="96" spans="1:9" x14ac:dyDescent="0.25">
      <c r="A96" s="635" t="s">
        <v>236</v>
      </c>
      <c r="B96" s="636" t="s">
        <v>237</v>
      </c>
      <c r="C96" s="636" t="s">
        <v>266</v>
      </c>
      <c r="D96" s="637">
        <v>154</v>
      </c>
      <c r="E96" s="637">
        <v>190</v>
      </c>
      <c r="F96" s="637">
        <v>152</v>
      </c>
      <c r="G96" s="637">
        <v>141</v>
      </c>
      <c r="H96" s="637">
        <v>122</v>
      </c>
      <c r="I96" s="1642">
        <v>136</v>
      </c>
    </row>
    <row r="97" spans="1:9" x14ac:dyDescent="0.25">
      <c r="A97" s="635" t="s">
        <v>242</v>
      </c>
      <c r="B97" s="636" t="s">
        <v>243</v>
      </c>
      <c r="C97" s="636" t="s">
        <v>268</v>
      </c>
      <c r="D97" s="637">
        <v>828</v>
      </c>
      <c r="E97" s="637">
        <v>764</v>
      </c>
      <c r="F97" s="637">
        <v>752</v>
      </c>
      <c r="G97" s="637">
        <v>721</v>
      </c>
      <c r="H97" s="637">
        <v>649</v>
      </c>
      <c r="I97" s="1642">
        <v>532</v>
      </c>
    </row>
    <row r="98" spans="1:9" x14ac:dyDescent="0.25">
      <c r="A98" s="635" t="s">
        <v>244</v>
      </c>
      <c r="B98" s="636" t="s">
        <v>245</v>
      </c>
      <c r="C98" s="636" t="s">
        <v>268</v>
      </c>
      <c r="D98" s="637">
        <v>288</v>
      </c>
      <c r="E98" s="637">
        <v>284</v>
      </c>
      <c r="F98" s="637">
        <v>246</v>
      </c>
      <c r="G98" s="637">
        <v>200</v>
      </c>
      <c r="H98" s="637">
        <v>203</v>
      </c>
      <c r="I98" s="1642">
        <v>186</v>
      </c>
    </row>
    <row r="99" spans="1:9" x14ac:dyDescent="0.25">
      <c r="A99" s="635" t="s">
        <v>246</v>
      </c>
      <c r="B99" s="636" t="s">
        <v>247</v>
      </c>
      <c r="C99" s="636" t="s">
        <v>264</v>
      </c>
      <c r="D99" s="637">
        <v>232</v>
      </c>
      <c r="E99" s="637">
        <v>281</v>
      </c>
      <c r="F99" s="637">
        <v>273</v>
      </c>
      <c r="G99" s="637">
        <v>258</v>
      </c>
      <c r="H99" s="637">
        <v>235</v>
      </c>
      <c r="I99" s="1642">
        <v>205</v>
      </c>
    </row>
    <row r="100" spans="1:9" x14ac:dyDescent="0.25">
      <c r="A100" s="635" t="s">
        <v>14</v>
      </c>
      <c r="B100" s="636" t="s">
        <v>15</v>
      </c>
      <c r="C100" s="636" t="s">
        <v>267</v>
      </c>
      <c r="D100" s="637">
        <v>871</v>
      </c>
      <c r="E100" s="637">
        <v>894</v>
      </c>
      <c r="F100" s="637">
        <v>790</v>
      </c>
      <c r="G100" s="637">
        <v>735</v>
      </c>
      <c r="H100" s="637">
        <v>687</v>
      </c>
      <c r="I100" s="1642">
        <v>722</v>
      </c>
    </row>
    <row r="101" spans="1:9" x14ac:dyDescent="0.25">
      <c r="A101" s="635" t="s">
        <v>34</v>
      </c>
      <c r="B101" s="636" t="s">
        <v>35</v>
      </c>
      <c r="C101" s="636" t="s">
        <v>268</v>
      </c>
      <c r="D101" s="637">
        <v>489</v>
      </c>
      <c r="E101" s="637">
        <v>525</v>
      </c>
      <c r="F101" s="637">
        <v>531</v>
      </c>
      <c r="G101" s="637">
        <v>505</v>
      </c>
      <c r="H101" s="637">
        <v>418</v>
      </c>
      <c r="I101" s="1642">
        <v>352</v>
      </c>
    </row>
    <row r="102" spans="1:9" x14ac:dyDescent="0.25">
      <c r="A102" s="635" t="s">
        <v>52</v>
      </c>
      <c r="B102" s="636" t="s">
        <v>53</v>
      </c>
      <c r="C102" s="636" t="s">
        <v>265</v>
      </c>
      <c r="D102" s="637">
        <v>602</v>
      </c>
      <c r="E102" s="637">
        <v>595</v>
      </c>
      <c r="F102" s="637">
        <v>552</v>
      </c>
      <c r="G102" s="637">
        <v>505</v>
      </c>
      <c r="H102" s="637">
        <v>442</v>
      </c>
      <c r="I102" s="1642">
        <v>392</v>
      </c>
    </row>
    <row r="103" spans="1:9" x14ac:dyDescent="0.25">
      <c r="A103" s="635" t="s">
        <v>54</v>
      </c>
      <c r="B103" s="636" t="s">
        <v>55</v>
      </c>
      <c r="C103" s="636" t="s">
        <v>264</v>
      </c>
      <c r="D103" s="637">
        <v>2211</v>
      </c>
      <c r="E103" s="637">
        <v>2165</v>
      </c>
      <c r="F103" s="637">
        <v>1980</v>
      </c>
      <c r="G103" s="637">
        <v>1822</v>
      </c>
      <c r="H103" s="637">
        <v>1684</v>
      </c>
      <c r="I103" s="1642">
        <v>1498</v>
      </c>
    </row>
    <row r="104" spans="1:9" x14ac:dyDescent="0.25">
      <c r="A104" s="635" t="s">
        <v>66</v>
      </c>
      <c r="B104" s="636" t="s">
        <v>67</v>
      </c>
      <c r="C104" s="636" t="s">
        <v>265</v>
      </c>
      <c r="D104" s="637">
        <v>998</v>
      </c>
      <c r="E104" s="637">
        <v>930</v>
      </c>
      <c r="F104" s="637">
        <v>868</v>
      </c>
      <c r="G104" s="637">
        <v>829</v>
      </c>
      <c r="H104" s="637">
        <v>753</v>
      </c>
      <c r="I104" s="1642">
        <v>705</v>
      </c>
    </row>
    <row r="105" spans="1:9" x14ac:dyDescent="0.25">
      <c r="A105" s="635" t="s">
        <v>82</v>
      </c>
      <c r="B105" s="636" t="s">
        <v>83</v>
      </c>
      <c r="C105" s="636" t="s">
        <v>264</v>
      </c>
      <c r="D105" s="637">
        <v>202</v>
      </c>
      <c r="E105" s="637">
        <v>216</v>
      </c>
      <c r="F105" s="637">
        <v>243</v>
      </c>
      <c r="G105" s="637">
        <v>217</v>
      </c>
      <c r="H105" s="637">
        <v>167</v>
      </c>
      <c r="I105" s="1642">
        <v>145</v>
      </c>
    </row>
    <row r="106" spans="1:9" x14ac:dyDescent="0.25">
      <c r="A106" s="635" t="s">
        <v>88</v>
      </c>
      <c r="B106" s="636" t="s">
        <v>89</v>
      </c>
      <c r="C106" s="636" t="s">
        <v>267</v>
      </c>
      <c r="D106" s="637">
        <v>403</v>
      </c>
      <c r="E106" s="637">
        <v>407</v>
      </c>
      <c r="F106" s="637">
        <v>388</v>
      </c>
      <c r="G106" s="637">
        <v>367</v>
      </c>
      <c r="H106" s="637">
        <v>345</v>
      </c>
      <c r="I106" s="1642">
        <v>322</v>
      </c>
    </row>
    <row r="107" spans="1:9" x14ac:dyDescent="0.25">
      <c r="A107" s="635" t="s">
        <v>90</v>
      </c>
      <c r="B107" s="636" t="s">
        <v>91</v>
      </c>
      <c r="C107" s="636" t="s">
        <v>268</v>
      </c>
      <c r="D107" s="637">
        <v>187</v>
      </c>
      <c r="E107" s="637">
        <v>155</v>
      </c>
      <c r="F107" s="637">
        <v>135</v>
      </c>
      <c r="G107" s="637">
        <v>114</v>
      </c>
      <c r="H107" s="637">
        <v>92</v>
      </c>
      <c r="I107" s="1642">
        <v>70</v>
      </c>
    </row>
    <row r="108" spans="1:9" x14ac:dyDescent="0.25">
      <c r="A108" s="635" t="s">
        <v>106</v>
      </c>
      <c r="B108" s="636" t="s">
        <v>107</v>
      </c>
      <c r="C108" s="636" t="s">
        <v>264</v>
      </c>
      <c r="D108" s="637">
        <v>2236</v>
      </c>
      <c r="E108" s="637">
        <v>2346</v>
      </c>
      <c r="F108" s="637">
        <v>2323</v>
      </c>
      <c r="G108" s="637">
        <v>2190</v>
      </c>
      <c r="H108" s="637">
        <v>2005</v>
      </c>
      <c r="I108" s="1642">
        <v>1745</v>
      </c>
    </row>
    <row r="109" spans="1:9" x14ac:dyDescent="0.25">
      <c r="A109" s="635" t="s">
        <v>116</v>
      </c>
      <c r="B109" s="636" t="s">
        <v>117</v>
      </c>
      <c r="C109" s="636" t="s">
        <v>266</v>
      </c>
      <c r="D109" s="637">
        <v>614</v>
      </c>
      <c r="E109" s="637">
        <v>605</v>
      </c>
      <c r="F109" s="637">
        <v>549</v>
      </c>
      <c r="G109" s="637">
        <v>554</v>
      </c>
      <c r="H109" s="637">
        <v>517</v>
      </c>
      <c r="I109" s="1642">
        <v>497</v>
      </c>
    </row>
    <row r="110" spans="1:9" x14ac:dyDescent="0.25">
      <c r="A110" s="635" t="s">
        <v>138</v>
      </c>
      <c r="B110" s="636" t="s">
        <v>139</v>
      </c>
      <c r="C110" s="636" t="s">
        <v>265</v>
      </c>
      <c r="D110" s="637">
        <v>1153</v>
      </c>
      <c r="E110" s="637">
        <v>1168</v>
      </c>
      <c r="F110" s="637">
        <v>1118</v>
      </c>
      <c r="G110" s="637">
        <v>999</v>
      </c>
      <c r="H110" s="637">
        <v>907</v>
      </c>
      <c r="I110" s="1642">
        <v>814</v>
      </c>
    </row>
    <row r="111" spans="1:9" x14ac:dyDescent="0.25">
      <c r="A111" s="635" t="s">
        <v>142</v>
      </c>
      <c r="B111" s="636" t="s">
        <v>143</v>
      </c>
      <c r="C111" s="636" t="s">
        <v>267</v>
      </c>
      <c r="D111" s="637">
        <v>400</v>
      </c>
      <c r="E111" s="637">
        <v>414</v>
      </c>
      <c r="F111" s="637">
        <v>369</v>
      </c>
      <c r="G111" s="637">
        <v>291</v>
      </c>
      <c r="H111" s="637">
        <v>291</v>
      </c>
      <c r="I111" s="1642">
        <v>245</v>
      </c>
    </row>
    <row r="112" spans="1:9" x14ac:dyDescent="0.25">
      <c r="A112" s="635" t="s">
        <v>144</v>
      </c>
      <c r="B112" s="636" t="s">
        <v>145</v>
      </c>
      <c r="C112" s="636" t="s">
        <v>267</v>
      </c>
      <c r="D112" s="637">
        <v>114</v>
      </c>
      <c r="E112" s="637">
        <v>82</v>
      </c>
      <c r="F112" s="637">
        <v>93</v>
      </c>
      <c r="G112" s="637">
        <v>85</v>
      </c>
      <c r="H112" s="637">
        <v>83</v>
      </c>
      <c r="I112" s="1642">
        <v>66</v>
      </c>
    </row>
    <row r="113" spans="1:9" x14ac:dyDescent="0.25">
      <c r="A113" s="635" t="s">
        <v>158</v>
      </c>
      <c r="B113" s="636" t="s">
        <v>159</v>
      </c>
      <c r="C113" s="636" t="s">
        <v>264</v>
      </c>
      <c r="D113" s="637">
        <v>3296</v>
      </c>
      <c r="E113" s="637">
        <v>3418</v>
      </c>
      <c r="F113" s="637">
        <v>3322</v>
      </c>
      <c r="G113" s="637">
        <v>3168</v>
      </c>
      <c r="H113" s="637">
        <v>2800</v>
      </c>
      <c r="I113" s="1642">
        <v>2499</v>
      </c>
    </row>
    <row r="114" spans="1:9" x14ac:dyDescent="0.25">
      <c r="A114" s="635" t="s">
        <v>160</v>
      </c>
      <c r="B114" s="636" t="s">
        <v>161</v>
      </c>
      <c r="C114" s="636" t="s">
        <v>264</v>
      </c>
      <c r="D114" s="637">
        <v>4169</v>
      </c>
      <c r="E114" s="637">
        <v>4235</v>
      </c>
      <c r="F114" s="637">
        <v>4056</v>
      </c>
      <c r="G114" s="637">
        <v>3769</v>
      </c>
      <c r="H114" s="637">
        <v>3426</v>
      </c>
      <c r="I114" s="1642">
        <v>2884</v>
      </c>
    </row>
    <row r="115" spans="1:9" x14ac:dyDescent="0.25">
      <c r="A115" s="635" t="s">
        <v>166</v>
      </c>
      <c r="B115" s="636" t="s">
        <v>167</v>
      </c>
      <c r="C115" s="636" t="s">
        <v>268</v>
      </c>
      <c r="D115" s="637">
        <v>110</v>
      </c>
      <c r="E115" s="637">
        <v>98</v>
      </c>
      <c r="F115" s="637">
        <v>89</v>
      </c>
      <c r="G115" s="637">
        <v>87</v>
      </c>
      <c r="H115" s="637">
        <v>89</v>
      </c>
      <c r="I115" s="1642">
        <v>86</v>
      </c>
    </row>
    <row r="116" spans="1:9" x14ac:dyDescent="0.25">
      <c r="A116" s="635" t="s">
        <v>176</v>
      </c>
      <c r="B116" s="636" t="s">
        <v>177</v>
      </c>
      <c r="C116" s="636" t="s">
        <v>266</v>
      </c>
      <c r="D116" s="637">
        <v>1116</v>
      </c>
      <c r="E116" s="637">
        <v>1117</v>
      </c>
      <c r="F116" s="637">
        <v>1004</v>
      </c>
      <c r="G116" s="637">
        <v>943</v>
      </c>
      <c r="H116" s="637">
        <v>878</v>
      </c>
      <c r="I116" s="1642">
        <v>840</v>
      </c>
    </row>
    <row r="117" spans="1:9" x14ac:dyDescent="0.25">
      <c r="A117" s="635" t="s">
        <v>180</v>
      </c>
      <c r="B117" s="636" t="s">
        <v>181</v>
      </c>
      <c r="C117" s="636" t="s">
        <v>264</v>
      </c>
      <c r="D117" s="637">
        <v>2242</v>
      </c>
      <c r="E117" s="637">
        <v>2185</v>
      </c>
      <c r="F117" s="637">
        <v>2096</v>
      </c>
      <c r="G117" s="637">
        <v>1961</v>
      </c>
      <c r="H117" s="637">
        <v>1771</v>
      </c>
      <c r="I117" s="1642">
        <v>1632</v>
      </c>
    </row>
    <row r="118" spans="1:9" x14ac:dyDescent="0.25">
      <c r="A118" s="635" t="s">
        <v>192</v>
      </c>
      <c r="B118" s="636" t="s">
        <v>193</v>
      </c>
      <c r="C118" s="636" t="s">
        <v>268</v>
      </c>
      <c r="D118" s="637">
        <v>152</v>
      </c>
      <c r="E118" s="637">
        <v>151</v>
      </c>
      <c r="F118" s="637">
        <v>144</v>
      </c>
      <c r="G118" s="637">
        <v>140</v>
      </c>
      <c r="H118" s="637">
        <v>150</v>
      </c>
      <c r="I118" s="1642">
        <v>118</v>
      </c>
    </row>
    <row r="119" spans="1:9" x14ac:dyDescent="0.25">
      <c r="A119" s="635" t="s">
        <v>196</v>
      </c>
      <c r="B119" s="636" t="s">
        <v>197</v>
      </c>
      <c r="C119" s="636" t="s">
        <v>266</v>
      </c>
      <c r="D119" s="637">
        <v>4869</v>
      </c>
      <c r="E119" s="637">
        <v>4996</v>
      </c>
      <c r="F119" s="637">
        <v>4720</v>
      </c>
      <c r="G119" s="637">
        <v>4362</v>
      </c>
      <c r="H119" s="637">
        <v>3909</v>
      </c>
      <c r="I119" s="1642">
        <v>3505</v>
      </c>
    </row>
    <row r="120" spans="1:9" x14ac:dyDescent="0.25">
      <c r="A120" s="635" t="s">
        <v>200</v>
      </c>
      <c r="B120" s="636" t="s">
        <v>201</v>
      </c>
      <c r="C120" s="636" t="s">
        <v>265</v>
      </c>
      <c r="D120" s="637">
        <v>2320</v>
      </c>
      <c r="E120" s="637">
        <v>2356</v>
      </c>
      <c r="F120" s="637">
        <v>2283</v>
      </c>
      <c r="G120" s="637">
        <v>2089</v>
      </c>
      <c r="H120" s="637">
        <v>1920</v>
      </c>
      <c r="I120" s="1642">
        <v>1708</v>
      </c>
    </row>
    <row r="121" spans="1:9" x14ac:dyDescent="0.25">
      <c r="A121" s="635" t="s">
        <v>222</v>
      </c>
      <c r="B121" s="636" t="s">
        <v>223</v>
      </c>
      <c r="C121" s="636" t="s">
        <v>264</v>
      </c>
      <c r="D121" s="637">
        <v>836</v>
      </c>
      <c r="E121" s="637">
        <v>819</v>
      </c>
      <c r="F121" s="637">
        <v>743</v>
      </c>
      <c r="G121" s="637">
        <v>723</v>
      </c>
      <c r="H121" s="637">
        <v>713</v>
      </c>
      <c r="I121" s="1642">
        <v>625</v>
      </c>
    </row>
    <row r="122" spans="1:9" x14ac:dyDescent="0.25">
      <c r="A122" s="635" t="s">
        <v>230</v>
      </c>
      <c r="B122" s="636" t="s">
        <v>231</v>
      </c>
      <c r="C122" s="636" t="s">
        <v>264</v>
      </c>
      <c r="D122" s="637">
        <v>2301</v>
      </c>
      <c r="E122" s="637">
        <v>2317</v>
      </c>
      <c r="F122" s="637">
        <v>2203</v>
      </c>
      <c r="G122" s="637">
        <v>1980</v>
      </c>
      <c r="H122" s="637">
        <v>1766</v>
      </c>
      <c r="I122" s="1642">
        <v>1502</v>
      </c>
    </row>
    <row r="123" spans="1:9" x14ac:dyDescent="0.25">
      <c r="A123" s="635" t="s">
        <v>238</v>
      </c>
      <c r="B123" s="636" t="s">
        <v>239</v>
      </c>
      <c r="C123" s="636" t="s">
        <v>264</v>
      </c>
      <c r="D123" s="637">
        <v>83</v>
      </c>
      <c r="E123" s="637">
        <v>87</v>
      </c>
      <c r="F123" s="637">
        <v>93</v>
      </c>
      <c r="G123" s="637">
        <v>81</v>
      </c>
      <c r="H123" s="637">
        <v>71</v>
      </c>
      <c r="I123" s="1642">
        <v>59</v>
      </c>
    </row>
    <row r="124" spans="1:9" x14ac:dyDescent="0.25">
      <c r="A124" s="555" t="s">
        <v>240</v>
      </c>
      <c r="B124" s="544" t="s">
        <v>241</v>
      </c>
      <c r="C124" s="544" t="s">
        <v>267</v>
      </c>
      <c r="D124" s="549">
        <v>300</v>
      </c>
      <c r="E124" s="549">
        <v>318</v>
      </c>
      <c r="F124" s="549">
        <v>290</v>
      </c>
      <c r="G124" s="549">
        <v>256</v>
      </c>
      <c r="H124" s="549">
        <v>206</v>
      </c>
      <c r="I124" s="1643">
        <v>169</v>
      </c>
    </row>
    <row r="126" spans="1:9" ht="31.5" customHeight="1" x14ac:dyDescent="0.25">
      <c r="A126" s="2104" t="s">
        <v>1178</v>
      </c>
      <c r="B126" s="2104"/>
      <c r="C126" s="2104"/>
      <c r="D126" s="2104"/>
      <c r="E126" s="2104"/>
      <c r="F126" s="2104"/>
      <c r="G126" s="2104"/>
      <c r="H126" s="2104"/>
      <c r="I126" s="1641"/>
    </row>
    <row r="128" spans="1:9" s="414" customFormat="1" x14ac:dyDescent="0.25">
      <c r="A128" s="414" t="s">
        <v>248</v>
      </c>
    </row>
    <row r="129" spans="1:3" s="414" customFormat="1" x14ac:dyDescent="0.25">
      <c r="A129" s="415" t="s">
        <v>249</v>
      </c>
      <c r="B129" s="416" t="s">
        <v>250</v>
      </c>
      <c r="C129" s="416"/>
    </row>
  </sheetData>
  <autoFilter ref="A3:C3"/>
  <sortState ref="A5:I124">
    <sortCondition ref="A5:A124"/>
  </sortState>
  <mergeCells count="1">
    <mergeCell ref="A126:H126"/>
  </mergeCells>
  <hyperlinks>
    <hyperlink ref="B129" r:id="rId1"/>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129"/>
  <sheetViews>
    <sheetView topLeftCell="A4" workbookViewId="0">
      <selection activeCell="I126" sqref="I126"/>
    </sheetView>
  </sheetViews>
  <sheetFormatPr defaultRowHeight="15.75" x14ac:dyDescent="0.25"/>
  <cols>
    <col min="1" max="1" width="5.875" style="532" customWidth="1"/>
    <col min="2" max="2" width="30.25" style="532" customWidth="1"/>
    <col min="3" max="3" width="12.375" style="532" customWidth="1"/>
    <col min="4" max="8" width="10.875" style="532" customWidth="1"/>
    <col min="9" max="9" width="8.75" style="532" customWidth="1"/>
    <col min="10" max="16384" width="9" style="532"/>
  </cols>
  <sheetData>
    <row r="1" spans="1:9" x14ac:dyDescent="0.25">
      <c r="A1" s="258" t="s">
        <v>1176</v>
      </c>
    </row>
    <row r="3" spans="1:9" x14ac:dyDescent="0.25">
      <c r="A3" s="640" t="s">
        <v>4</v>
      </c>
      <c r="B3" s="595" t="s">
        <v>5</v>
      </c>
      <c r="C3" s="595" t="s">
        <v>251</v>
      </c>
      <c r="D3" s="646">
        <v>2010</v>
      </c>
      <c r="E3" s="646">
        <v>2011</v>
      </c>
      <c r="F3" s="646">
        <v>2012</v>
      </c>
      <c r="G3" s="646">
        <v>2013</v>
      </c>
      <c r="H3" s="646">
        <v>2014</v>
      </c>
      <c r="I3" s="1647">
        <v>2015</v>
      </c>
    </row>
    <row r="4" spans="1:9" x14ac:dyDescent="0.25">
      <c r="A4" s="600">
        <v>999</v>
      </c>
      <c r="B4" s="633" t="s">
        <v>9</v>
      </c>
      <c r="C4" s="596"/>
      <c r="D4" s="559">
        <f>SUM(D5:D124)</f>
        <v>512847</v>
      </c>
      <c r="E4" s="559">
        <f t="shared" ref="E4:H4" si="0">SUM(E5:E124)</f>
        <v>572122</v>
      </c>
      <c r="F4" s="559">
        <f t="shared" si="0"/>
        <v>610095</v>
      </c>
      <c r="G4" s="559">
        <f t="shared" si="0"/>
        <v>635192</v>
      </c>
      <c r="H4" s="559">
        <f t="shared" si="0"/>
        <v>629853</v>
      </c>
      <c r="I4" s="1648">
        <v>592941</v>
      </c>
    </row>
    <row r="5" spans="1:9" x14ac:dyDescent="0.25">
      <c r="A5" s="551" t="s">
        <v>10</v>
      </c>
      <c r="B5" s="597" t="s">
        <v>11</v>
      </c>
      <c r="C5" s="597" t="s">
        <v>264</v>
      </c>
      <c r="D5" s="545">
        <v>3524</v>
      </c>
      <c r="E5" s="545">
        <v>3901</v>
      </c>
      <c r="F5" s="545">
        <v>4257</v>
      </c>
      <c r="G5" s="545">
        <v>4419</v>
      </c>
      <c r="H5" s="545">
        <v>4404</v>
      </c>
      <c r="I5" s="1645">
        <v>4081</v>
      </c>
    </row>
    <row r="6" spans="1:9" x14ac:dyDescent="0.25">
      <c r="A6" s="635" t="s">
        <v>12</v>
      </c>
      <c r="B6" s="636" t="s">
        <v>13</v>
      </c>
      <c r="C6" s="636" t="s">
        <v>265</v>
      </c>
      <c r="D6" s="637">
        <v>3792</v>
      </c>
      <c r="E6" s="637">
        <v>4360</v>
      </c>
      <c r="F6" s="637">
        <v>4624</v>
      </c>
      <c r="G6" s="637">
        <v>4746</v>
      </c>
      <c r="H6" s="637">
        <v>4656</v>
      </c>
      <c r="I6" s="1645">
        <v>4327</v>
      </c>
    </row>
    <row r="7" spans="1:9" x14ac:dyDescent="0.25">
      <c r="A7" s="635" t="s">
        <v>16</v>
      </c>
      <c r="B7" s="636" t="s">
        <v>297</v>
      </c>
      <c r="C7" s="636" t="s">
        <v>265</v>
      </c>
      <c r="D7" s="637">
        <v>2015</v>
      </c>
      <c r="E7" s="637">
        <v>2129</v>
      </c>
      <c r="F7" s="637">
        <v>2328</v>
      </c>
      <c r="G7" s="637">
        <v>2383</v>
      </c>
      <c r="H7" s="637">
        <v>2374</v>
      </c>
      <c r="I7" s="1645">
        <v>2272</v>
      </c>
    </row>
    <row r="8" spans="1:9" x14ac:dyDescent="0.25">
      <c r="A8" s="635" t="s">
        <v>18</v>
      </c>
      <c r="B8" s="636" t="s">
        <v>19</v>
      </c>
      <c r="C8" s="636" t="s">
        <v>266</v>
      </c>
      <c r="D8" s="637">
        <v>1184</v>
      </c>
      <c r="E8" s="637">
        <v>1311</v>
      </c>
      <c r="F8" s="637">
        <v>1373</v>
      </c>
      <c r="G8" s="637">
        <v>1367</v>
      </c>
      <c r="H8" s="637">
        <v>1318</v>
      </c>
      <c r="I8" s="1645">
        <v>1206</v>
      </c>
    </row>
    <row r="9" spans="1:9" x14ac:dyDescent="0.25">
      <c r="A9" s="635" t="s">
        <v>20</v>
      </c>
      <c r="B9" s="636" t="s">
        <v>21</v>
      </c>
      <c r="C9" s="636" t="s">
        <v>265</v>
      </c>
      <c r="D9" s="637">
        <v>2446</v>
      </c>
      <c r="E9" s="637">
        <v>2616</v>
      </c>
      <c r="F9" s="637">
        <v>2687</v>
      </c>
      <c r="G9" s="637">
        <v>2738</v>
      </c>
      <c r="H9" s="637">
        <v>2599</v>
      </c>
      <c r="I9" s="1645">
        <v>2366</v>
      </c>
    </row>
    <row r="10" spans="1:9" x14ac:dyDescent="0.25">
      <c r="A10" s="635" t="s">
        <v>22</v>
      </c>
      <c r="B10" s="636" t="s">
        <v>23</v>
      </c>
      <c r="C10" s="636" t="s">
        <v>265</v>
      </c>
      <c r="D10" s="637">
        <v>1380</v>
      </c>
      <c r="E10" s="637">
        <v>1514</v>
      </c>
      <c r="F10" s="637">
        <v>1624</v>
      </c>
      <c r="G10" s="637">
        <v>1678</v>
      </c>
      <c r="H10" s="637">
        <v>1680</v>
      </c>
      <c r="I10" s="1645">
        <v>1603</v>
      </c>
    </row>
    <row r="11" spans="1:9" x14ac:dyDescent="0.25">
      <c r="A11" s="635" t="s">
        <v>24</v>
      </c>
      <c r="B11" s="636" t="s">
        <v>25</v>
      </c>
      <c r="C11" s="636" t="s">
        <v>267</v>
      </c>
      <c r="D11" s="637">
        <v>4996</v>
      </c>
      <c r="E11" s="637">
        <v>5712</v>
      </c>
      <c r="F11" s="637">
        <v>6180</v>
      </c>
      <c r="G11" s="637">
        <v>6608</v>
      </c>
      <c r="H11" s="637">
        <v>6745</v>
      </c>
      <c r="I11" s="1645">
        <v>6451</v>
      </c>
    </row>
    <row r="12" spans="1:9" x14ac:dyDescent="0.25">
      <c r="A12" s="635" t="s">
        <v>26</v>
      </c>
      <c r="B12" s="636" t="s">
        <v>686</v>
      </c>
      <c r="C12" s="636" t="s">
        <v>265</v>
      </c>
      <c r="D12" s="637">
        <v>8589</v>
      </c>
      <c r="E12" s="637">
        <v>9796</v>
      </c>
      <c r="F12" s="637">
        <v>10423</v>
      </c>
      <c r="G12" s="637">
        <v>11300</v>
      </c>
      <c r="H12" s="637">
        <v>10452</v>
      </c>
      <c r="I12" s="1645">
        <v>9420</v>
      </c>
    </row>
    <row r="13" spans="1:9" x14ac:dyDescent="0.25">
      <c r="A13" s="635" t="s">
        <v>27</v>
      </c>
      <c r="B13" s="636" t="s">
        <v>28</v>
      </c>
      <c r="C13" s="636" t="s">
        <v>265</v>
      </c>
      <c r="D13" s="637">
        <v>252</v>
      </c>
      <c r="E13" s="637">
        <v>251</v>
      </c>
      <c r="F13" s="637">
        <v>291</v>
      </c>
      <c r="G13" s="637">
        <v>308</v>
      </c>
      <c r="H13" s="637">
        <v>279</v>
      </c>
      <c r="I13" s="1645">
        <v>261</v>
      </c>
    </row>
    <row r="14" spans="1:9" x14ac:dyDescent="0.25">
      <c r="A14" s="635" t="s">
        <v>29</v>
      </c>
      <c r="B14" s="636" t="s">
        <v>941</v>
      </c>
      <c r="C14" s="636" t="s">
        <v>265</v>
      </c>
      <c r="D14" s="637">
        <v>3967</v>
      </c>
      <c r="E14" s="637">
        <v>4436</v>
      </c>
      <c r="F14" s="637">
        <v>4623</v>
      </c>
      <c r="G14" s="637">
        <v>4705</v>
      </c>
      <c r="H14" s="637">
        <v>5028</v>
      </c>
      <c r="I14" s="1645">
        <v>4159</v>
      </c>
    </row>
    <row r="15" spans="1:9" x14ac:dyDescent="0.25">
      <c r="A15" s="635" t="s">
        <v>30</v>
      </c>
      <c r="B15" s="636" t="s">
        <v>31</v>
      </c>
      <c r="C15" s="636" t="s">
        <v>268</v>
      </c>
      <c r="D15" s="637">
        <v>377</v>
      </c>
      <c r="E15" s="637">
        <v>418</v>
      </c>
      <c r="F15" s="637">
        <v>424</v>
      </c>
      <c r="G15" s="637">
        <v>436</v>
      </c>
      <c r="H15" s="637">
        <v>422</v>
      </c>
      <c r="I15" s="1645">
        <v>392</v>
      </c>
    </row>
    <row r="16" spans="1:9" x14ac:dyDescent="0.25">
      <c r="A16" s="635" t="s">
        <v>32</v>
      </c>
      <c r="B16" s="636" t="s">
        <v>33</v>
      </c>
      <c r="C16" s="636" t="s">
        <v>265</v>
      </c>
      <c r="D16" s="637">
        <v>1020</v>
      </c>
      <c r="E16" s="637">
        <v>1074</v>
      </c>
      <c r="F16" s="637">
        <v>1195</v>
      </c>
      <c r="G16" s="637">
        <v>1236</v>
      </c>
      <c r="H16" s="637">
        <v>1230</v>
      </c>
      <c r="I16" s="1645">
        <v>1167</v>
      </c>
    </row>
    <row r="17" spans="1:9" x14ac:dyDescent="0.25">
      <c r="A17" s="635" t="s">
        <v>36</v>
      </c>
      <c r="B17" s="636" t="s">
        <v>37</v>
      </c>
      <c r="C17" s="636" t="s">
        <v>264</v>
      </c>
      <c r="D17" s="637">
        <v>2390</v>
      </c>
      <c r="E17" s="637">
        <v>2565</v>
      </c>
      <c r="F17" s="637">
        <v>2653</v>
      </c>
      <c r="G17" s="637">
        <v>2699</v>
      </c>
      <c r="H17" s="637">
        <v>2712</v>
      </c>
      <c r="I17" s="1645">
        <v>2537</v>
      </c>
    </row>
    <row r="18" spans="1:9" x14ac:dyDescent="0.25">
      <c r="A18" s="635" t="s">
        <v>38</v>
      </c>
      <c r="B18" s="636" t="s">
        <v>39</v>
      </c>
      <c r="C18" s="636" t="s">
        <v>268</v>
      </c>
      <c r="D18" s="637">
        <v>2919</v>
      </c>
      <c r="E18" s="637">
        <v>2937</v>
      </c>
      <c r="F18" s="637">
        <v>3010</v>
      </c>
      <c r="G18" s="637">
        <v>3154</v>
      </c>
      <c r="H18" s="637">
        <v>3154</v>
      </c>
      <c r="I18" s="1645">
        <v>3136</v>
      </c>
    </row>
    <row r="19" spans="1:9" x14ac:dyDescent="0.25">
      <c r="A19" s="635" t="s">
        <v>40</v>
      </c>
      <c r="B19" s="636" t="s">
        <v>41</v>
      </c>
      <c r="C19" s="636" t="s">
        <v>266</v>
      </c>
      <c r="D19" s="637">
        <v>1907</v>
      </c>
      <c r="E19" s="637">
        <v>2125</v>
      </c>
      <c r="F19" s="637">
        <v>2280</v>
      </c>
      <c r="G19" s="637">
        <v>2301</v>
      </c>
      <c r="H19" s="637">
        <v>2190</v>
      </c>
      <c r="I19" s="1645">
        <v>2087</v>
      </c>
    </row>
    <row r="20" spans="1:9" x14ac:dyDescent="0.25">
      <c r="A20" s="635" t="s">
        <v>42</v>
      </c>
      <c r="B20" s="636" t="s">
        <v>43</v>
      </c>
      <c r="C20" s="636" t="s">
        <v>265</v>
      </c>
      <c r="D20" s="637">
        <v>4370</v>
      </c>
      <c r="E20" s="637">
        <v>4808</v>
      </c>
      <c r="F20" s="637">
        <v>5024</v>
      </c>
      <c r="G20" s="637">
        <v>5136</v>
      </c>
      <c r="H20" s="637">
        <v>5151</v>
      </c>
      <c r="I20" s="1645">
        <v>5016</v>
      </c>
    </row>
    <row r="21" spans="1:9" x14ac:dyDescent="0.25">
      <c r="A21" s="635" t="s">
        <v>44</v>
      </c>
      <c r="B21" s="636" t="s">
        <v>45</v>
      </c>
      <c r="C21" s="636" t="s">
        <v>266</v>
      </c>
      <c r="D21" s="637">
        <v>2757</v>
      </c>
      <c r="E21" s="637">
        <v>3010</v>
      </c>
      <c r="F21" s="637">
        <v>3234</v>
      </c>
      <c r="G21" s="637">
        <v>3337</v>
      </c>
      <c r="H21" s="637">
        <v>3257</v>
      </c>
      <c r="I21" s="1645">
        <v>3122</v>
      </c>
    </row>
    <row r="22" spans="1:9" x14ac:dyDescent="0.25">
      <c r="A22" s="635" t="s">
        <v>46</v>
      </c>
      <c r="B22" s="636" t="s">
        <v>47</v>
      </c>
      <c r="C22" s="636" t="s">
        <v>268</v>
      </c>
      <c r="D22" s="637">
        <v>3174</v>
      </c>
      <c r="E22" s="637">
        <v>3435</v>
      </c>
      <c r="F22" s="637">
        <v>3542</v>
      </c>
      <c r="G22" s="637">
        <v>3590</v>
      </c>
      <c r="H22" s="637">
        <v>3562</v>
      </c>
      <c r="I22" s="1645">
        <v>3310</v>
      </c>
    </row>
    <row r="23" spans="1:9" x14ac:dyDescent="0.25">
      <c r="A23" s="635" t="s">
        <v>48</v>
      </c>
      <c r="B23" s="636" t="s">
        <v>269</v>
      </c>
      <c r="C23" s="636" t="s">
        <v>266</v>
      </c>
      <c r="D23" s="637">
        <v>663</v>
      </c>
      <c r="E23" s="637">
        <v>691</v>
      </c>
      <c r="F23" s="637">
        <v>754</v>
      </c>
      <c r="G23" s="637">
        <v>798</v>
      </c>
      <c r="H23" s="637">
        <v>774</v>
      </c>
      <c r="I23" s="1645">
        <v>722</v>
      </c>
    </row>
    <row r="24" spans="1:9" x14ac:dyDescent="0.25">
      <c r="A24" s="635" t="s">
        <v>50</v>
      </c>
      <c r="B24" s="636" t="s">
        <v>51</v>
      </c>
      <c r="C24" s="636" t="s">
        <v>265</v>
      </c>
      <c r="D24" s="637">
        <v>1445</v>
      </c>
      <c r="E24" s="637">
        <v>1503</v>
      </c>
      <c r="F24" s="637">
        <v>1587</v>
      </c>
      <c r="G24" s="637">
        <v>1576</v>
      </c>
      <c r="H24" s="637">
        <v>1504</v>
      </c>
      <c r="I24" s="1645">
        <v>1453</v>
      </c>
    </row>
    <row r="25" spans="1:9" x14ac:dyDescent="0.25">
      <c r="A25" s="635" t="s">
        <v>56</v>
      </c>
      <c r="B25" s="636" t="s">
        <v>295</v>
      </c>
      <c r="C25" s="636" t="s">
        <v>266</v>
      </c>
      <c r="D25" s="637">
        <v>16443</v>
      </c>
      <c r="E25" s="637">
        <v>18880</v>
      </c>
      <c r="F25" s="637">
        <v>20382</v>
      </c>
      <c r="G25" s="637">
        <v>21584</v>
      </c>
      <c r="H25" s="637">
        <v>21498</v>
      </c>
      <c r="I25" s="1645">
        <v>20069</v>
      </c>
    </row>
    <row r="26" spans="1:9" x14ac:dyDescent="0.25">
      <c r="A26" s="635" t="s">
        <v>58</v>
      </c>
      <c r="B26" s="636" t="s">
        <v>59</v>
      </c>
      <c r="C26" s="636" t="s">
        <v>267</v>
      </c>
      <c r="D26" s="637">
        <v>532</v>
      </c>
      <c r="E26" s="637">
        <v>618</v>
      </c>
      <c r="F26" s="637">
        <v>623</v>
      </c>
      <c r="G26" s="637">
        <v>600</v>
      </c>
      <c r="H26" s="637">
        <v>561</v>
      </c>
      <c r="I26" s="1645">
        <v>473</v>
      </c>
    </row>
    <row r="27" spans="1:9" x14ac:dyDescent="0.25">
      <c r="A27" s="635" t="s">
        <v>60</v>
      </c>
      <c r="B27" s="636" t="s">
        <v>61</v>
      </c>
      <c r="C27" s="636" t="s">
        <v>265</v>
      </c>
      <c r="D27" s="637">
        <v>319</v>
      </c>
      <c r="E27" s="637">
        <v>340</v>
      </c>
      <c r="F27" s="637">
        <v>371</v>
      </c>
      <c r="G27" s="637">
        <v>381</v>
      </c>
      <c r="H27" s="637">
        <v>363</v>
      </c>
      <c r="I27" s="1645">
        <v>377</v>
      </c>
    </row>
    <row r="28" spans="1:9" x14ac:dyDescent="0.25">
      <c r="A28" s="635" t="s">
        <v>62</v>
      </c>
      <c r="B28" s="636" t="s">
        <v>63</v>
      </c>
      <c r="C28" s="636" t="s">
        <v>267</v>
      </c>
      <c r="D28" s="637">
        <v>3108</v>
      </c>
      <c r="E28" s="637">
        <v>3414</v>
      </c>
      <c r="F28" s="637">
        <v>3535</v>
      </c>
      <c r="G28" s="637">
        <v>3723</v>
      </c>
      <c r="H28" s="637">
        <v>3603</v>
      </c>
      <c r="I28" s="1645">
        <v>3467</v>
      </c>
    </row>
    <row r="29" spans="1:9" x14ac:dyDescent="0.25">
      <c r="A29" s="635" t="s">
        <v>64</v>
      </c>
      <c r="B29" s="636" t="s">
        <v>65</v>
      </c>
      <c r="C29" s="636" t="s">
        <v>266</v>
      </c>
      <c r="D29" s="637">
        <v>1202</v>
      </c>
      <c r="E29" s="637">
        <v>1301</v>
      </c>
      <c r="F29" s="637">
        <v>1386</v>
      </c>
      <c r="G29" s="637">
        <v>1410</v>
      </c>
      <c r="H29" s="637">
        <v>1413</v>
      </c>
      <c r="I29" s="1645">
        <v>1345</v>
      </c>
    </row>
    <row r="30" spans="1:9" x14ac:dyDescent="0.25">
      <c r="A30" s="635" t="s">
        <v>68</v>
      </c>
      <c r="B30" s="636" t="s">
        <v>69</v>
      </c>
      <c r="C30" s="636" t="s">
        <v>268</v>
      </c>
      <c r="D30" s="637">
        <v>2015</v>
      </c>
      <c r="E30" s="637">
        <v>2080</v>
      </c>
      <c r="F30" s="637">
        <v>2150</v>
      </c>
      <c r="G30" s="637">
        <v>2226</v>
      </c>
      <c r="H30" s="637">
        <v>2211</v>
      </c>
      <c r="I30" s="1645">
        <v>2086</v>
      </c>
    </row>
    <row r="31" spans="1:9" x14ac:dyDescent="0.25">
      <c r="A31" s="635" t="s">
        <v>70</v>
      </c>
      <c r="B31" s="636" t="s">
        <v>71</v>
      </c>
      <c r="C31" s="636" t="s">
        <v>264</v>
      </c>
      <c r="D31" s="637">
        <v>2738</v>
      </c>
      <c r="E31" s="637">
        <v>2936</v>
      </c>
      <c r="F31" s="637">
        <v>3112</v>
      </c>
      <c r="G31" s="637">
        <v>3114</v>
      </c>
      <c r="H31" s="637">
        <v>3058</v>
      </c>
      <c r="I31" s="1645">
        <v>3008</v>
      </c>
    </row>
    <row r="32" spans="1:9" x14ac:dyDescent="0.25">
      <c r="A32" s="635" t="s">
        <v>72</v>
      </c>
      <c r="B32" s="636" t="s">
        <v>73</v>
      </c>
      <c r="C32" s="636" t="s">
        <v>266</v>
      </c>
      <c r="D32" s="637">
        <v>1244</v>
      </c>
      <c r="E32" s="637">
        <v>1365</v>
      </c>
      <c r="F32" s="637">
        <v>1503</v>
      </c>
      <c r="G32" s="637">
        <v>1541</v>
      </c>
      <c r="H32" s="637">
        <v>1498</v>
      </c>
      <c r="I32" s="1645">
        <v>1434</v>
      </c>
    </row>
    <row r="33" spans="1:9" x14ac:dyDescent="0.25">
      <c r="A33" s="635" t="s">
        <v>74</v>
      </c>
      <c r="B33" s="636" t="s">
        <v>296</v>
      </c>
      <c r="C33" s="636" t="s">
        <v>267</v>
      </c>
      <c r="D33" s="637">
        <v>25410</v>
      </c>
      <c r="E33" s="637">
        <v>29341</v>
      </c>
      <c r="F33" s="637">
        <v>32354</v>
      </c>
      <c r="G33" s="637">
        <v>34720</v>
      </c>
      <c r="H33" s="637">
        <v>34788</v>
      </c>
      <c r="I33" s="1645">
        <v>32818</v>
      </c>
    </row>
    <row r="34" spans="1:9" x14ac:dyDescent="0.25">
      <c r="A34" s="635" t="s">
        <v>76</v>
      </c>
      <c r="B34" s="636" t="s">
        <v>77</v>
      </c>
      <c r="C34" s="636" t="s">
        <v>267</v>
      </c>
      <c r="D34" s="637">
        <v>2526</v>
      </c>
      <c r="E34" s="637">
        <v>2780</v>
      </c>
      <c r="F34" s="637">
        <v>2956</v>
      </c>
      <c r="G34" s="637">
        <v>2999</v>
      </c>
      <c r="H34" s="637">
        <v>2906</v>
      </c>
      <c r="I34" s="1645">
        <v>2599</v>
      </c>
    </row>
    <row r="35" spans="1:9" x14ac:dyDescent="0.25">
      <c r="A35" s="635" t="s">
        <v>78</v>
      </c>
      <c r="B35" s="636" t="s">
        <v>79</v>
      </c>
      <c r="C35" s="636" t="s">
        <v>268</v>
      </c>
      <c r="D35" s="637">
        <v>1135</v>
      </c>
      <c r="E35" s="637">
        <v>1262</v>
      </c>
      <c r="F35" s="637">
        <v>1341</v>
      </c>
      <c r="G35" s="637">
        <v>1335</v>
      </c>
      <c r="H35" s="637">
        <v>1275</v>
      </c>
      <c r="I35" s="1645">
        <v>1162</v>
      </c>
    </row>
    <row r="36" spans="1:9" x14ac:dyDescent="0.25">
      <c r="A36" s="635" t="s">
        <v>80</v>
      </c>
      <c r="B36" s="636" t="s">
        <v>81</v>
      </c>
      <c r="C36" s="636" t="s">
        <v>266</v>
      </c>
      <c r="D36" s="637">
        <v>881</v>
      </c>
      <c r="E36" s="637">
        <v>1041</v>
      </c>
      <c r="F36" s="637">
        <v>1178</v>
      </c>
      <c r="G36" s="637">
        <v>1204</v>
      </c>
      <c r="H36" s="637">
        <v>1173</v>
      </c>
      <c r="I36" s="1645">
        <v>1119</v>
      </c>
    </row>
    <row r="37" spans="1:9" x14ac:dyDescent="0.25">
      <c r="A37" s="635" t="s">
        <v>84</v>
      </c>
      <c r="B37" s="636" t="s">
        <v>85</v>
      </c>
      <c r="C37" s="636" t="s">
        <v>265</v>
      </c>
      <c r="D37" s="637">
        <v>4567</v>
      </c>
      <c r="E37" s="637">
        <v>4924</v>
      </c>
      <c r="F37" s="637">
        <v>5105</v>
      </c>
      <c r="G37" s="637">
        <v>5156</v>
      </c>
      <c r="H37" s="637">
        <v>5106</v>
      </c>
      <c r="I37" s="1645">
        <v>4760</v>
      </c>
    </row>
    <row r="38" spans="1:9" x14ac:dyDescent="0.25">
      <c r="A38" s="635" t="s">
        <v>86</v>
      </c>
      <c r="B38" s="636" t="s">
        <v>87</v>
      </c>
      <c r="C38" s="636" t="s">
        <v>267</v>
      </c>
      <c r="D38" s="637">
        <v>3781</v>
      </c>
      <c r="E38" s="637">
        <v>4301</v>
      </c>
      <c r="F38" s="637">
        <v>4597</v>
      </c>
      <c r="G38" s="637">
        <v>4722</v>
      </c>
      <c r="H38" s="637">
        <v>4335</v>
      </c>
      <c r="I38" s="1645">
        <v>3995</v>
      </c>
    </row>
    <row r="39" spans="1:9" x14ac:dyDescent="0.25">
      <c r="A39" s="635" t="s">
        <v>92</v>
      </c>
      <c r="B39" s="636" t="s">
        <v>93</v>
      </c>
      <c r="C39" s="636" t="s">
        <v>268</v>
      </c>
      <c r="D39" s="637">
        <v>1491</v>
      </c>
      <c r="E39" s="637">
        <v>1628</v>
      </c>
      <c r="F39" s="637">
        <v>1598</v>
      </c>
      <c r="G39" s="637">
        <v>1599</v>
      </c>
      <c r="H39" s="637">
        <v>1662</v>
      </c>
      <c r="I39" s="1645">
        <v>1517</v>
      </c>
    </row>
    <row r="40" spans="1:9" x14ac:dyDescent="0.25">
      <c r="A40" s="635" t="s">
        <v>94</v>
      </c>
      <c r="B40" s="636" t="s">
        <v>95</v>
      </c>
      <c r="C40" s="636" t="s">
        <v>264</v>
      </c>
      <c r="D40" s="637">
        <v>2395</v>
      </c>
      <c r="E40" s="637">
        <v>2709</v>
      </c>
      <c r="F40" s="637">
        <v>2914</v>
      </c>
      <c r="G40" s="637">
        <v>2922</v>
      </c>
      <c r="H40" s="637">
        <v>2877</v>
      </c>
      <c r="I40" s="1645">
        <v>2719</v>
      </c>
    </row>
    <row r="41" spans="1:9" x14ac:dyDescent="0.25">
      <c r="A41" s="635" t="s">
        <v>96</v>
      </c>
      <c r="B41" s="636" t="s">
        <v>97</v>
      </c>
      <c r="C41" s="636" t="s">
        <v>266</v>
      </c>
      <c r="D41" s="637">
        <v>794</v>
      </c>
      <c r="E41" s="637">
        <v>902</v>
      </c>
      <c r="F41" s="637">
        <v>918</v>
      </c>
      <c r="G41" s="637">
        <v>950</v>
      </c>
      <c r="H41" s="637">
        <v>942</v>
      </c>
      <c r="I41" s="1645">
        <v>884</v>
      </c>
    </row>
    <row r="42" spans="1:9" x14ac:dyDescent="0.25">
      <c r="A42" s="635" t="s">
        <v>98</v>
      </c>
      <c r="B42" s="636" t="s">
        <v>99</v>
      </c>
      <c r="C42" s="636" t="s">
        <v>268</v>
      </c>
      <c r="D42" s="637">
        <v>1672</v>
      </c>
      <c r="E42" s="637">
        <v>1798</v>
      </c>
      <c r="F42" s="637">
        <v>1830</v>
      </c>
      <c r="G42" s="637">
        <v>1903</v>
      </c>
      <c r="H42" s="637">
        <v>1845</v>
      </c>
      <c r="I42" s="1645">
        <v>1720</v>
      </c>
    </row>
    <row r="43" spans="1:9" x14ac:dyDescent="0.25">
      <c r="A43" s="635" t="s">
        <v>100</v>
      </c>
      <c r="B43" s="636" t="s">
        <v>101</v>
      </c>
      <c r="C43" s="636" t="s">
        <v>267</v>
      </c>
      <c r="D43" s="637">
        <v>1096</v>
      </c>
      <c r="E43" s="637">
        <v>1215</v>
      </c>
      <c r="F43" s="637">
        <v>1303</v>
      </c>
      <c r="G43" s="637">
        <v>1342</v>
      </c>
      <c r="H43" s="637">
        <v>1356</v>
      </c>
      <c r="I43" s="1645">
        <v>1293</v>
      </c>
    </row>
    <row r="44" spans="1:9" x14ac:dyDescent="0.25">
      <c r="A44" s="635" t="s">
        <v>102</v>
      </c>
      <c r="B44" s="636" t="s">
        <v>282</v>
      </c>
      <c r="C44" s="636" t="s">
        <v>264</v>
      </c>
      <c r="D44" s="637">
        <v>2397</v>
      </c>
      <c r="E44" s="637">
        <v>2657</v>
      </c>
      <c r="F44" s="637">
        <v>2795</v>
      </c>
      <c r="G44" s="637">
        <v>3050</v>
      </c>
      <c r="H44" s="637">
        <v>2914</v>
      </c>
      <c r="I44" s="1645">
        <v>2835</v>
      </c>
    </row>
    <row r="45" spans="1:9" x14ac:dyDescent="0.25">
      <c r="A45" s="635" t="s">
        <v>104</v>
      </c>
      <c r="B45" s="636" t="s">
        <v>105</v>
      </c>
      <c r="C45" s="636" t="s">
        <v>265</v>
      </c>
      <c r="D45" s="637">
        <v>4069</v>
      </c>
      <c r="E45" s="637">
        <v>4318</v>
      </c>
      <c r="F45" s="637">
        <v>4442</v>
      </c>
      <c r="G45" s="637">
        <v>4466</v>
      </c>
      <c r="H45" s="637">
        <v>4515</v>
      </c>
      <c r="I45" s="1645">
        <v>4364</v>
      </c>
    </row>
    <row r="46" spans="1:9" x14ac:dyDescent="0.25">
      <c r="A46" s="635" t="s">
        <v>108</v>
      </c>
      <c r="B46" s="636" t="s">
        <v>109</v>
      </c>
      <c r="C46" s="636" t="s">
        <v>266</v>
      </c>
      <c r="D46" s="637">
        <v>3249</v>
      </c>
      <c r="E46" s="637">
        <v>3702</v>
      </c>
      <c r="F46" s="637">
        <v>3999</v>
      </c>
      <c r="G46" s="637">
        <v>4064</v>
      </c>
      <c r="H46" s="637">
        <v>4029</v>
      </c>
      <c r="I46" s="1645">
        <v>3768</v>
      </c>
    </row>
    <row r="47" spans="1:9" x14ac:dyDescent="0.25">
      <c r="A47" s="635" t="s">
        <v>110</v>
      </c>
      <c r="B47" s="636" t="s">
        <v>111</v>
      </c>
      <c r="C47" s="636" t="s">
        <v>266</v>
      </c>
      <c r="D47" s="637">
        <v>17705</v>
      </c>
      <c r="E47" s="637">
        <v>20583</v>
      </c>
      <c r="F47" s="637">
        <v>22430</v>
      </c>
      <c r="G47" s="637">
        <v>23611</v>
      </c>
      <c r="H47" s="637">
        <v>23261</v>
      </c>
      <c r="I47" s="1645">
        <v>21858</v>
      </c>
    </row>
    <row r="48" spans="1:9" x14ac:dyDescent="0.25">
      <c r="A48" s="635" t="s">
        <v>112</v>
      </c>
      <c r="B48" s="636" t="s">
        <v>300</v>
      </c>
      <c r="C48" s="636" t="s">
        <v>265</v>
      </c>
      <c r="D48" s="637">
        <v>9882</v>
      </c>
      <c r="E48" s="637">
        <v>10439</v>
      </c>
      <c r="F48" s="637">
        <v>10999</v>
      </c>
      <c r="G48" s="637">
        <v>11352</v>
      </c>
      <c r="H48" s="637">
        <v>10899</v>
      </c>
      <c r="I48" s="1645">
        <v>10394</v>
      </c>
    </row>
    <row r="49" spans="1:9" x14ac:dyDescent="0.25">
      <c r="A49" s="635" t="s">
        <v>114</v>
      </c>
      <c r="B49" s="636" t="s">
        <v>115</v>
      </c>
      <c r="C49" s="636" t="s">
        <v>265</v>
      </c>
      <c r="D49" s="637">
        <v>101</v>
      </c>
      <c r="E49" s="637">
        <v>116</v>
      </c>
      <c r="F49" s="637">
        <v>121</v>
      </c>
      <c r="G49" s="637">
        <v>112</v>
      </c>
      <c r="H49" s="637">
        <v>110</v>
      </c>
      <c r="I49" s="1645">
        <v>104</v>
      </c>
    </row>
    <row r="50" spans="1:9" x14ac:dyDescent="0.25">
      <c r="A50" s="635" t="s">
        <v>118</v>
      </c>
      <c r="B50" s="636" t="s">
        <v>270</v>
      </c>
      <c r="C50" s="636" t="s">
        <v>264</v>
      </c>
      <c r="D50" s="637">
        <v>2462</v>
      </c>
      <c r="E50" s="637">
        <v>2692</v>
      </c>
      <c r="F50" s="637">
        <v>2872</v>
      </c>
      <c r="G50" s="637">
        <v>2956</v>
      </c>
      <c r="H50" s="637">
        <v>2862</v>
      </c>
      <c r="I50" s="1645">
        <v>2777</v>
      </c>
    </row>
    <row r="51" spans="1:9" x14ac:dyDescent="0.25">
      <c r="A51" s="635" t="s">
        <v>120</v>
      </c>
      <c r="B51" s="636" t="s">
        <v>121</v>
      </c>
      <c r="C51" s="636" t="s">
        <v>264</v>
      </c>
      <c r="D51" s="637">
        <v>2476</v>
      </c>
      <c r="E51" s="637">
        <v>2852</v>
      </c>
      <c r="F51" s="637">
        <v>3074</v>
      </c>
      <c r="G51" s="637">
        <v>3252</v>
      </c>
      <c r="H51" s="637">
        <v>3210</v>
      </c>
      <c r="I51" s="1645">
        <v>3073</v>
      </c>
    </row>
    <row r="52" spans="1:9" x14ac:dyDescent="0.25">
      <c r="A52" s="635" t="s">
        <v>122</v>
      </c>
      <c r="B52" s="636" t="s">
        <v>287</v>
      </c>
      <c r="C52" s="636" t="s">
        <v>266</v>
      </c>
      <c r="D52" s="637">
        <v>609</v>
      </c>
      <c r="E52" s="637">
        <v>687</v>
      </c>
      <c r="F52" s="637">
        <v>754</v>
      </c>
      <c r="G52" s="637">
        <v>813</v>
      </c>
      <c r="H52" s="637">
        <v>806</v>
      </c>
      <c r="I52" s="1645">
        <v>776</v>
      </c>
    </row>
    <row r="53" spans="1:9" x14ac:dyDescent="0.25">
      <c r="A53" s="635" t="s">
        <v>124</v>
      </c>
      <c r="B53" s="636" t="s">
        <v>125</v>
      </c>
      <c r="C53" s="636" t="s">
        <v>267</v>
      </c>
      <c r="D53" s="637">
        <v>1364</v>
      </c>
      <c r="E53" s="637">
        <v>1609</v>
      </c>
      <c r="F53" s="637">
        <v>1807</v>
      </c>
      <c r="G53" s="637">
        <v>1905</v>
      </c>
      <c r="H53" s="637">
        <v>1925</v>
      </c>
      <c r="I53" s="1645">
        <v>1804</v>
      </c>
    </row>
    <row r="54" spans="1:9" x14ac:dyDescent="0.25">
      <c r="A54" s="635" t="s">
        <v>126</v>
      </c>
      <c r="B54" s="636" t="s">
        <v>127</v>
      </c>
      <c r="C54" s="636" t="s">
        <v>266</v>
      </c>
      <c r="D54" s="637">
        <v>998</v>
      </c>
      <c r="E54" s="637">
        <v>1121</v>
      </c>
      <c r="F54" s="637">
        <v>1196</v>
      </c>
      <c r="G54" s="637">
        <v>1184</v>
      </c>
      <c r="H54" s="637">
        <v>1153</v>
      </c>
      <c r="I54" s="1645">
        <v>1107</v>
      </c>
    </row>
    <row r="55" spans="1:9" x14ac:dyDescent="0.25">
      <c r="A55" s="635" t="s">
        <v>128</v>
      </c>
      <c r="B55" s="636" t="s">
        <v>129</v>
      </c>
      <c r="C55" s="636" t="s">
        <v>266</v>
      </c>
      <c r="D55" s="637">
        <v>981</v>
      </c>
      <c r="E55" s="637">
        <v>1053</v>
      </c>
      <c r="F55" s="637">
        <v>1106</v>
      </c>
      <c r="G55" s="637">
        <v>1134</v>
      </c>
      <c r="H55" s="637">
        <v>1117</v>
      </c>
      <c r="I55" s="1645">
        <v>1043</v>
      </c>
    </row>
    <row r="56" spans="1:9" x14ac:dyDescent="0.25">
      <c r="A56" s="635" t="s">
        <v>130</v>
      </c>
      <c r="B56" s="636" t="s">
        <v>131</v>
      </c>
      <c r="C56" s="636" t="s">
        <v>268</v>
      </c>
      <c r="D56" s="637">
        <v>3568</v>
      </c>
      <c r="E56" s="637">
        <v>3828</v>
      </c>
      <c r="F56" s="637">
        <v>3936</v>
      </c>
      <c r="G56" s="637">
        <v>4034</v>
      </c>
      <c r="H56" s="637">
        <v>4087</v>
      </c>
      <c r="I56" s="1645">
        <v>3844</v>
      </c>
    </row>
    <row r="57" spans="1:9" x14ac:dyDescent="0.25">
      <c r="A57" s="635" t="s">
        <v>132</v>
      </c>
      <c r="B57" s="636" t="s">
        <v>133</v>
      </c>
      <c r="C57" s="636" t="s">
        <v>267</v>
      </c>
      <c r="D57" s="637">
        <v>4833</v>
      </c>
      <c r="E57" s="637">
        <v>5657</v>
      </c>
      <c r="F57" s="637">
        <v>6097</v>
      </c>
      <c r="G57" s="637">
        <v>6514</v>
      </c>
      <c r="H57" s="637">
        <v>6658</v>
      </c>
      <c r="I57" s="1645">
        <v>6306</v>
      </c>
    </row>
    <row r="58" spans="1:9" x14ac:dyDescent="0.25">
      <c r="A58" s="635" t="s">
        <v>134</v>
      </c>
      <c r="B58" s="636" t="s">
        <v>135</v>
      </c>
      <c r="C58" s="636" t="s">
        <v>267</v>
      </c>
      <c r="D58" s="637">
        <v>2311</v>
      </c>
      <c r="E58" s="637">
        <v>2693</v>
      </c>
      <c r="F58" s="637">
        <v>2828</v>
      </c>
      <c r="G58" s="637">
        <v>3016</v>
      </c>
      <c r="H58" s="637">
        <v>3047</v>
      </c>
      <c r="I58" s="1645">
        <v>2906</v>
      </c>
    </row>
    <row r="59" spans="1:9" x14ac:dyDescent="0.25">
      <c r="A59" s="635" t="s">
        <v>136</v>
      </c>
      <c r="B59" s="636" t="s">
        <v>137</v>
      </c>
      <c r="C59" s="636" t="s">
        <v>266</v>
      </c>
      <c r="D59" s="637">
        <v>1498</v>
      </c>
      <c r="E59" s="637">
        <v>1617</v>
      </c>
      <c r="F59" s="637">
        <v>1667</v>
      </c>
      <c r="G59" s="637">
        <v>1688</v>
      </c>
      <c r="H59" s="637">
        <v>1709</v>
      </c>
      <c r="I59" s="1645">
        <v>1623</v>
      </c>
    </row>
    <row r="60" spans="1:9" x14ac:dyDescent="0.25">
      <c r="A60" s="635" t="s">
        <v>140</v>
      </c>
      <c r="B60" s="636" t="s">
        <v>141</v>
      </c>
      <c r="C60" s="636" t="s">
        <v>267</v>
      </c>
      <c r="D60" s="637">
        <v>807</v>
      </c>
      <c r="E60" s="637">
        <v>893</v>
      </c>
      <c r="F60" s="637">
        <v>972</v>
      </c>
      <c r="G60" s="637">
        <v>1024</v>
      </c>
      <c r="H60" s="637">
        <v>1000</v>
      </c>
      <c r="I60" s="1645">
        <v>955</v>
      </c>
    </row>
    <row r="61" spans="1:9" x14ac:dyDescent="0.25">
      <c r="A61" s="635" t="s">
        <v>146</v>
      </c>
      <c r="B61" s="636" t="s">
        <v>147</v>
      </c>
      <c r="C61" s="636" t="s">
        <v>264</v>
      </c>
      <c r="D61" s="637">
        <v>596</v>
      </c>
      <c r="E61" s="637">
        <v>671</v>
      </c>
      <c r="F61" s="637">
        <v>699</v>
      </c>
      <c r="G61" s="637">
        <v>710</v>
      </c>
      <c r="H61" s="637">
        <v>685</v>
      </c>
      <c r="I61" s="1645">
        <v>673</v>
      </c>
    </row>
    <row r="62" spans="1:9" x14ac:dyDescent="0.25">
      <c r="A62" s="635" t="s">
        <v>148</v>
      </c>
      <c r="B62" s="636" t="s">
        <v>149</v>
      </c>
      <c r="C62" s="636" t="s">
        <v>265</v>
      </c>
      <c r="D62" s="637">
        <v>2922</v>
      </c>
      <c r="E62" s="637">
        <v>3158</v>
      </c>
      <c r="F62" s="637">
        <v>3319</v>
      </c>
      <c r="G62" s="637">
        <v>3505</v>
      </c>
      <c r="H62" s="637">
        <v>3511</v>
      </c>
      <c r="I62" s="1645">
        <v>3396</v>
      </c>
    </row>
    <row r="63" spans="1:9" x14ac:dyDescent="0.25">
      <c r="A63" s="635" t="s">
        <v>150</v>
      </c>
      <c r="B63" s="636" t="s">
        <v>151</v>
      </c>
      <c r="C63" s="636" t="s">
        <v>266</v>
      </c>
      <c r="D63" s="637">
        <v>890</v>
      </c>
      <c r="E63" s="637">
        <v>962</v>
      </c>
      <c r="F63" s="637">
        <v>1077</v>
      </c>
      <c r="G63" s="637">
        <v>1103</v>
      </c>
      <c r="H63" s="637">
        <v>1090</v>
      </c>
      <c r="I63" s="1645">
        <v>1029</v>
      </c>
    </row>
    <row r="64" spans="1:9" x14ac:dyDescent="0.25">
      <c r="A64" s="635" t="s">
        <v>152</v>
      </c>
      <c r="B64" s="636" t="s">
        <v>153</v>
      </c>
      <c r="C64" s="636" t="s">
        <v>268</v>
      </c>
      <c r="D64" s="637">
        <v>4513</v>
      </c>
      <c r="E64" s="637">
        <v>4979</v>
      </c>
      <c r="F64" s="637">
        <v>5197</v>
      </c>
      <c r="G64" s="637">
        <v>5332</v>
      </c>
      <c r="H64" s="637">
        <v>5205</v>
      </c>
      <c r="I64" s="1645">
        <v>4834</v>
      </c>
    </row>
    <row r="65" spans="1:9" x14ac:dyDescent="0.25">
      <c r="A65" s="635" t="s">
        <v>154</v>
      </c>
      <c r="B65" s="636" t="s">
        <v>155</v>
      </c>
      <c r="C65" s="636" t="s">
        <v>265</v>
      </c>
      <c r="D65" s="637">
        <v>1227</v>
      </c>
      <c r="E65" s="637">
        <v>1356</v>
      </c>
      <c r="F65" s="637">
        <v>1471</v>
      </c>
      <c r="G65" s="637">
        <v>1502</v>
      </c>
      <c r="H65" s="637">
        <v>1497</v>
      </c>
      <c r="I65" s="1645">
        <v>1386</v>
      </c>
    </row>
    <row r="66" spans="1:9" x14ac:dyDescent="0.25">
      <c r="A66" s="635" t="s">
        <v>156</v>
      </c>
      <c r="B66" s="636" t="s">
        <v>157</v>
      </c>
      <c r="C66" s="636" t="s">
        <v>266</v>
      </c>
      <c r="D66" s="637">
        <v>619</v>
      </c>
      <c r="E66" s="637">
        <v>732</v>
      </c>
      <c r="F66" s="637">
        <v>804</v>
      </c>
      <c r="G66" s="637">
        <v>839</v>
      </c>
      <c r="H66" s="637">
        <v>816</v>
      </c>
      <c r="I66" s="1645">
        <v>833</v>
      </c>
    </row>
    <row r="67" spans="1:9" x14ac:dyDescent="0.25">
      <c r="A67" s="635" t="s">
        <v>162</v>
      </c>
      <c r="B67" s="636" t="s">
        <v>163</v>
      </c>
      <c r="C67" s="636" t="s">
        <v>264</v>
      </c>
      <c r="D67" s="637">
        <v>1784</v>
      </c>
      <c r="E67" s="637">
        <v>1952</v>
      </c>
      <c r="F67" s="637">
        <v>1990</v>
      </c>
      <c r="G67" s="637">
        <v>2018</v>
      </c>
      <c r="H67" s="637">
        <v>2015</v>
      </c>
      <c r="I67" s="1645">
        <v>1911</v>
      </c>
    </row>
    <row r="68" spans="1:9" x14ac:dyDescent="0.25">
      <c r="A68" s="635" t="s">
        <v>164</v>
      </c>
      <c r="B68" s="636" t="s">
        <v>165</v>
      </c>
      <c r="C68" s="636" t="s">
        <v>266</v>
      </c>
      <c r="D68" s="637">
        <v>941</v>
      </c>
      <c r="E68" s="637">
        <v>1031</v>
      </c>
      <c r="F68" s="637">
        <v>1101</v>
      </c>
      <c r="G68" s="637">
        <v>1179</v>
      </c>
      <c r="H68" s="637">
        <v>1201</v>
      </c>
      <c r="I68" s="1645">
        <v>1150</v>
      </c>
    </row>
    <row r="69" spans="1:9" x14ac:dyDescent="0.25">
      <c r="A69" s="635" t="s">
        <v>168</v>
      </c>
      <c r="B69" s="636" t="s">
        <v>169</v>
      </c>
      <c r="C69" s="636" t="s">
        <v>266</v>
      </c>
      <c r="D69" s="637">
        <v>1966</v>
      </c>
      <c r="E69" s="637">
        <v>2173</v>
      </c>
      <c r="F69" s="637">
        <v>2316</v>
      </c>
      <c r="G69" s="637">
        <v>2365</v>
      </c>
      <c r="H69" s="637">
        <v>2398</v>
      </c>
      <c r="I69" s="1645">
        <v>2229</v>
      </c>
    </row>
    <row r="70" spans="1:9" x14ac:dyDescent="0.25">
      <c r="A70" s="635" t="s">
        <v>170</v>
      </c>
      <c r="B70" s="636" t="s">
        <v>171</v>
      </c>
      <c r="C70" s="636" t="s">
        <v>267</v>
      </c>
      <c r="D70" s="637">
        <v>1868</v>
      </c>
      <c r="E70" s="637">
        <v>2074</v>
      </c>
      <c r="F70" s="637">
        <v>2200</v>
      </c>
      <c r="G70" s="637">
        <v>2260</v>
      </c>
      <c r="H70" s="637">
        <v>2270</v>
      </c>
      <c r="I70" s="1645">
        <v>2138</v>
      </c>
    </row>
    <row r="71" spans="1:9" x14ac:dyDescent="0.25">
      <c r="A71" s="635" t="s">
        <v>172</v>
      </c>
      <c r="B71" s="636" t="s">
        <v>173</v>
      </c>
      <c r="C71" s="636" t="s">
        <v>267</v>
      </c>
      <c r="D71" s="637">
        <v>2111</v>
      </c>
      <c r="E71" s="637">
        <v>2293</v>
      </c>
      <c r="F71" s="637">
        <v>2468</v>
      </c>
      <c r="G71" s="637">
        <v>2488</v>
      </c>
      <c r="H71" s="637">
        <v>2463</v>
      </c>
      <c r="I71" s="1645">
        <v>2344</v>
      </c>
    </row>
    <row r="72" spans="1:9" x14ac:dyDescent="0.25">
      <c r="A72" s="635" t="s">
        <v>174</v>
      </c>
      <c r="B72" s="636" t="s">
        <v>175</v>
      </c>
      <c r="C72" s="636" t="s">
        <v>268</v>
      </c>
      <c r="D72" s="637">
        <v>2136</v>
      </c>
      <c r="E72" s="637">
        <v>2269</v>
      </c>
      <c r="F72" s="637">
        <v>2300</v>
      </c>
      <c r="G72" s="637">
        <v>2239</v>
      </c>
      <c r="H72" s="637">
        <v>2169</v>
      </c>
      <c r="I72" s="1645">
        <v>2013</v>
      </c>
    </row>
    <row r="73" spans="1:9" x14ac:dyDescent="0.25">
      <c r="A73" s="635" t="s">
        <v>178</v>
      </c>
      <c r="B73" s="636" t="s">
        <v>179</v>
      </c>
      <c r="C73" s="636" t="s">
        <v>265</v>
      </c>
      <c r="D73" s="637">
        <v>6090</v>
      </c>
      <c r="E73" s="637">
        <v>6509</v>
      </c>
      <c r="F73" s="637">
        <v>6704</v>
      </c>
      <c r="G73" s="637">
        <v>6887</v>
      </c>
      <c r="H73" s="637">
        <v>6952</v>
      </c>
      <c r="I73" s="1645">
        <v>6493</v>
      </c>
    </row>
    <row r="74" spans="1:9" x14ac:dyDescent="0.25">
      <c r="A74" s="635" t="s">
        <v>182</v>
      </c>
      <c r="B74" s="636" t="s">
        <v>183</v>
      </c>
      <c r="C74" s="636" t="s">
        <v>266</v>
      </c>
      <c r="D74" s="637">
        <v>782</v>
      </c>
      <c r="E74" s="637">
        <v>908</v>
      </c>
      <c r="F74" s="637">
        <v>1027</v>
      </c>
      <c r="G74" s="637">
        <v>1038</v>
      </c>
      <c r="H74" s="637">
        <v>1006</v>
      </c>
      <c r="I74" s="1645">
        <v>912</v>
      </c>
    </row>
    <row r="75" spans="1:9" x14ac:dyDescent="0.25">
      <c r="A75" s="635" t="s">
        <v>184</v>
      </c>
      <c r="B75" s="636" t="s">
        <v>185</v>
      </c>
      <c r="C75" s="636" t="s">
        <v>266</v>
      </c>
      <c r="D75" s="637">
        <v>2091</v>
      </c>
      <c r="E75" s="637">
        <v>2302</v>
      </c>
      <c r="F75" s="637">
        <v>2434</v>
      </c>
      <c r="G75" s="637">
        <v>2492</v>
      </c>
      <c r="H75" s="637">
        <v>2471</v>
      </c>
      <c r="I75" s="1645">
        <v>2329</v>
      </c>
    </row>
    <row r="76" spans="1:9" x14ac:dyDescent="0.25">
      <c r="A76" s="635" t="s">
        <v>186</v>
      </c>
      <c r="B76" s="636" t="s">
        <v>187</v>
      </c>
      <c r="C76" s="636" t="s">
        <v>264</v>
      </c>
      <c r="D76" s="637">
        <v>1500</v>
      </c>
      <c r="E76" s="637">
        <v>1689</v>
      </c>
      <c r="F76" s="637">
        <v>1888</v>
      </c>
      <c r="G76" s="637">
        <v>2029</v>
      </c>
      <c r="H76" s="637">
        <v>2082</v>
      </c>
      <c r="I76" s="1645">
        <v>2059</v>
      </c>
    </row>
    <row r="77" spans="1:9" x14ac:dyDescent="0.25">
      <c r="A77" s="635" t="s">
        <v>188</v>
      </c>
      <c r="B77" s="636" t="s">
        <v>189</v>
      </c>
      <c r="C77" s="636" t="s">
        <v>267</v>
      </c>
      <c r="D77" s="637">
        <v>14043</v>
      </c>
      <c r="E77" s="637">
        <v>16311</v>
      </c>
      <c r="F77" s="637">
        <v>17853</v>
      </c>
      <c r="G77" s="637">
        <v>18942</v>
      </c>
      <c r="H77" s="637">
        <v>18854</v>
      </c>
      <c r="I77" s="1645">
        <v>17928</v>
      </c>
    </row>
    <row r="78" spans="1:9" x14ac:dyDescent="0.25">
      <c r="A78" s="635" t="s">
        <v>190</v>
      </c>
      <c r="B78" s="636" t="s">
        <v>191</v>
      </c>
      <c r="C78" s="636" t="s">
        <v>268</v>
      </c>
      <c r="D78" s="637">
        <v>3867</v>
      </c>
      <c r="E78" s="637">
        <v>4106</v>
      </c>
      <c r="F78" s="637">
        <v>4116</v>
      </c>
      <c r="G78" s="637">
        <v>4240</v>
      </c>
      <c r="H78" s="637">
        <v>4232</v>
      </c>
      <c r="I78" s="1645">
        <v>3895</v>
      </c>
    </row>
    <row r="79" spans="1:9" x14ac:dyDescent="0.25">
      <c r="A79" s="635" t="s">
        <v>194</v>
      </c>
      <c r="B79" s="636" t="s">
        <v>195</v>
      </c>
      <c r="C79" s="636" t="s">
        <v>267</v>
      </c>
      <c r="D79" s="637">
        <v>289</v>
      </c>
      <c r="E79" s="637">
        <v>319</v>
      </c>
      <c r="F79" s="637">
        <v>352</v>
      </c>
      <c r="G79" s="637">
        <v>331</v>
      </c>
      <c r="H79" s="637">
        <v>314</v>
      </c>
      <c r="I79" s="1645">
        <v>278</v>
      </c>
    </row>
    <row r="80" spans="1:9" x14ac:dyDescent="0.25">
      <c r="A80" s="635" t="s">
        <v>198</v>
      </c>
      <c r="B80" s="636" t="s">
        <v>272</v>
      </c>
      <c r="C80" s="636" t="s">
        <v>266</v>
      </c>
      <c r="D80" s="637">
        <v>832</v>
      </c>
      <c r="E80" s="637">
        <v>906</v>
      </c>
      <c r="F80" s="637">
        <v>991</v>
      </c>
      <c r="G80" s="637">
        <v>1046</v>
      </c>
      <c r="H80" s="637">
        <v>1045</v>
      </c>
      <c r="I80" s="1645">
        <v>1008</v>
      </c>
    </row>
    <row r="81" spans="1:9" x14ac:dyDescent="0.25">
      <c r="A81" s="635" t="s">
        <v>202</v>
      </c>
      <c r="B81" s="636" t="s">
        <v>301</v>
      </c>
      <c r="C81" s="636" t="s">
        <v>265</v>
      </c>
      <c r="D81" s="637">
        <v>4776</v>
      </c>
      <c r="E81" s="637">
        <v>5353</v>
      </c>
      <c r="F81" s="637">
        <v>5575</v>
      </c>
      <c r="G81" s="637">
        <v>5785</v>
      </c>
      <c r="H81" s="637">
        <v>5809</v>
      </c>
      <c r="I81" s="1645">
        <v>5639</v>
      </c>
    </row>
    <row r="82" spans="1:9" x14ac:dyDescent="0.25">
      <c r="A82" s="635" t="s">
        <v>204</v>
      </c>
      <c r="B82" s="636" t="s">
        <v>293</v>
      </c>
      <c r="C82" s="636" t="s">
        <v>265</v>
      </c>
      <c r="D82" s="637">
        <v>2296</v>
      </c>
      <c r="E82" s="637">
        <v>2530</v>
      </c>
      <c r="F82" s="637">
        <v>2639</v>
      </c>
      <c r="G82" s="637">
        <v>2825</v>
      </c>
      <c r="H82" s="637">
        <v>2734</v>
      </c>
      <c r="I82" s="1645">
        <v>2571</v>
      </c>
    </row>
    <row r="83" spans="1:9" x14ac:dyDescent="0.25">
      <c r="A83" s="635" t="s">
        <v>206</v>
      </c>
      <c r="B83" s="636" t="s">
        <v>294</v>
      </c>
      <c r="C83" s="636" t="s">
        <v>267</v>
      </c>
      <c r="D83" s="637">
        <v>6465</v>
      </c>
      <c r="E83" s="637">
        <v>7328</v>
      </c>
      <c r="F83" s="637">
        <v>7570</v>
      </c>
      <c r="G83" s="637">
        <v>8023</v>
      </c>
      <c r="H83" s="637">
        <v>7624</v>
      </c>
      <c r="I83" s="1645">
        <v>6988</v>
      </c>
    </row>
    <row r="84" spans="1:9" x14ac:dyDescent="0.25">
      <c r="A84" s="635" t="s">
        <v>208</v>
      </c>
      <c r="B84" s="636" t="s">
        <v>209</v>
      </c>
      <c r="C84" s="636" t="s">
        <v>268</v>
      </c>
      <c r="D84" s="637">
        <v>3463</v>
      </c>
      <c r="E84" s="637">
        <v>3622</v>
      </c>
      <c r="F84" s="637">
        <v>3630</v>
      </c>
      <c r="G84" s="637">
        <v>3728</v>
      </c>
      <c r="H84" s="637">
        <v>3879</v>
      </c>
      <c r="I84" s="1645">
        <v>3718</v>
      </c>
    </row>
    <row r="85" spans="1:9" x14ac:dyDescent="0.25">
      <c r="A85" s="635" t="s">
        <v>210</v>
      </c>
      <c r="B85" s="636" t="s">
        <v>211</v>
      </c>
      <c r="C85" s="636" t="s">
        <v>268</v>
      </c>
      <c r="D85" s="637">
        <v>2074</v>
      </c>
      <c r="E85" s="637">
        <v>2253</v>
      </c>
      <c r="F85" s="637">
        <v>2392</v>
      </c>
      <c r="G85" s="637">
        <v>2488</v>
      </c>
      <c r="H85" s="637">
        <v>2526</v>
      </c>
      <c r="I85" s="1645">
        <v>2328</v>
      </c>
    </row>
    <row r="86" spans="1:9" x14ac:dyDescent="0.25">
      <c r="A86" s="635" t="s">
        <v>212</v>
      </c>
      <c r="B86" s="636" t="s">
        <v>213</v>
      </c>
      <c r="C86" s="636" t="s">
        <v>267</v>
      </c>
      <c r="D86" s="637">
        <v>2807</v>
      </c>
      <c r="E86" s="637">
        <v>3056</v>
      </c>
      <c r="F86" s="637">
        <v>3339</v>
      </c>
      <c r="G86" s="637">
        <v>3472</v>
      </c>
      <c r="H86" s="637">
        <v>3427</v>
      </c>
      <c r="I86" s="1645">
        <v>3226</v>
      </c>
    </row>
    <row r="87" spans="1:9" x14ac:dyDescent="0.25">
      <c r="A87" s="635" t="s">
        <v>214</v>
      </c>
      <c r="B87" s="636" t="s">
        <v>215</v>
      </c>
      <c r="C87" s="636" t="s">
        <v>268</v>
      </c>
      <c r="D87" s="637">
        <v>3793</v>
      </c>
      <c r="E87" s="637">
        <v>4120</v>
      </c>
      <c r="F87" s="637">
        <v>4223</v>
      </c>
      <c r="G87" s="637">
        <v>4276</v>
      </c>
      <c r="H87" s="637">
        <v>4221</v>
      </c>
      <c r="I87" s="1645">
        <v>4055</v>
      </c>
    </row>
    <row r="88" spans="1:9" x14ac:dyDescent="0.25">
      <c r="A88" s="635" t="s">
        <v>216</v>
      </c>
      <c r="B88" s="636" t="s">
        <v>217</v>
      </c>
      <c r="C88" s="636" t="s">
        <v>264</v>
      </c>
      <c r="D88" s="637">
        <v>1764</v>
      </c>
      <c r="E88" s="637">
        <v>1898</v>
      </c>
      <c r="F88" s="637">
        <v>2019</v>
      </c>
      <c r="G88" s="637">
        <v>2066</v>
      </c>
      <c r="H88" s="637">
        <v>2052</v>
      </c>
      <c r="I88" s="1645">
        <v>1974</v>
      </c>
    </row>
    <row r="89" spans="1:9" x14ac:dyDescent="0.25">
      <c r="A89" s="635" t="s">
        <v>218</v>
      </c>
      <c r="B89" s="636" t="s">
        <v>219</v>
      </c>
      <c r="C89" s="636" t="s">
        <v>267</v>
      </c>
      <c r="D89" s="637">
        <v>5882</v>
      </c>
      <c r="E89" s="637">
        <v>6858</v>
      </c>
      <c r="F89" s="637">
        <v>7324</v>
      </c>
      <c r="G89" s="637">
        <v>7643</v>
      </c>
      <c r="H89" s="637">
        <v>7742</v>
      </c>
      <c r="I89" s="1645">
        <v>7239</v>
      </c>
    </row>
    <row r="90" spans="1:9" x14ac:dyDescent="0.25">
      <c r="A90" s="635" t="s">
        <v>220</v>
      </c>
      <c r="B90" s="636" t="s">
        <v>221</v>
      </c>
      <c r="C90" s="636" t="s">
        <v>267</v>
      </c>
      <c r="D90" s="637">
        <v>4769</v>
      </c>
      <c r="E90" s="637">
        <v>5372</v>
      </c>
      <c r="F90" s="637">
        <v>5754</v>
      </c>
      <c r="G90" s="637">
        <v>6135</v>
      </c>
      <c r="H90" s="637">
        <v>6209</v>
      </c>
      <c r="I90" s="1645">
        <v>5818</v>
      </c>
    </row>
    <row r="91" spans="1:9" x14ac:dyDescent="0.25">
      <c r="A91" s="635" t="s">
        <v>224</v>
      </c>
      <c r="B91" s="636" t="s">
        <v>225</v>
      </c>
      <c r="C91" s="636" t="s">
        <v>264</v>
      </c>
      <c r="D91" s="637">
        <v>624</v>
      </c>
      <c r="E91" s="637">
        <v>701</v>
      </c>
      <c r="F91" s="637">
        <v>713</v>
      </c>
      <c r="G91" s="637">
        <v>784</v>
      </c>
      <c r="H91" s="637">
        <v>759</v>
      </c>
      <c r="I91" s="1645">
        <v>723</v>
      </c>
    </row>
    <row r="92" spans="1:9" x14ac:dyDescent="0.25">
      <c r="A92" s="635" t="s">
        <v>226</v>
      </c>
      <c r="B92" s="636" t="s">
        <v>227</v>
      </c>
      <c r="C92" s="636" t="s">
        <v>264</v>
      </c>
      <c r="D92" s="637">
        <v>1157</v>
      </c>
      <c r="E92" s="637">
        <v>1238</v>
      </c>
      <c r="F92" s="637">
        <v>1281</v>
      </c>
      <c r="G92" s="637">
        <v>1333</v>
      </c>
      <c r="H92" s="637">
        <v>1367</v>
      </c>
      <c r="I92" s="1645">
        <v>1334</v>
      </c>
    </row>
    <row r="93" spans="1:9" x14ac:dyDescent="0.25">
      <c r="A93" s="635" t="s">
        <v>228</v>
      </c>
      <c r="B93" s="636" t="s">
        <v>229</v>
      </c>
      <c r="C93" s="636" t="s">
        <v>268</v>
      </c>
      <c r="D93" s="637">
        <v>4507</v>
      </c>
      <c r="E93" s="637">
        <v>4753</v>
      </c>
      <c r="F93" s="637">
        <v>5009</v>
      </c>
      <c r="G93" s="637">
        <v>5487</v>
      </c>
      <c r="H93" s="637">
        <v>5723</v>
      </c>
      <c r="I93" s="1645">
        <v>5591</v>
      </c>
    </row>
    <row r="94" spans="1:9" x14ac:dyDescent="0.25">
      <c r="A94" s="635" t="s">
        <v>232</v>
      </c>
      <c r="B94" s="636" t="s">
        <v>233</v>
      </c>
      <c r="C94" s="636" t="s">
        <v>267</v>
      </c>
      <c r="D94" s="637">
        <v>2792</v>
      </c>
      <c r="E94" s="637">
        <v>3104</v>
      </c>
      <c r="F94" s="637">
        <v>3241</v>
      </c>
      <c r="G94" s="637">
        <v>3377</v>
      </c>
      <c r="H94" s="637">
        <v>3289</v>
      </c>
      <c r="I94" s="1645">
        <v>3091</v>
      </c>
    </row>
    <row r="95" spans="1:9" x14ac:dyDescent="0.25">
      <c r="A95" s="635" t="s">
        <v>234</v>
      </c>
      <c r="B95" s="636" t="s">
        <v>235</v>
      </c>
      <c r="C95" s="636" t="s">
        <v>268</v>
      </c>
      <c r="D95" s="637">
        <v>4261</v>
      </c>
      <c r="E95" s="637">
        <v>4638</v>
      </c>
      <c r="F95" s="637">
        <v>4819</v>
      </c>
      <c r="G95" s="637">
        <v>4965</v>
      </c>
      <c r="H95" s="637">
        <v>5039</v>
      </c>
      <c r="I95" s="1645">
        <v>4911</v>
      </c>
    </row>
    <row r="96" spans="1:9" x14ac:dyDescent="0.25">
      <c r="A96" s="635" t="s">
        <v>236</v>
      </c>
      <c r="B96" s="636" t="s">
        <v>237</v>
      </c>
      <c r="C96" s="636" t="s">
        <v>266</v>
      </c>
      <c r="D96" s="637">
        <v>1681</v>
      </c>
      <c r="E96" s="637">
        <v>1915</v>
      </c>
      <c r="F96" s="637">
        <v>2084</v>
      </c>
      <c r="G96" s="637">
        <v>2175</v>
      </c>
      <c r="H96" s="637">
        <v>2138</v>
      </c>
      <c r="I96" s="1645">
        <v>2103</v>
      </c>
    </row>
    <row r="97" spans="1:9" x14ac:dyDescent="0.25">
      <c r="A97" s="635" t="s">
        <v>242</v>
      </c>
      <c r="B97" s="636" t="s">
        <v>243</v>
      </c>
      <c r="C97" s="636" t="s">
        <v>268</v>
      </c>
      <c r="D97" s="637">
        <v>5105</v>
      </c>
      <c r="E97" s="637">
        <v>5342</v>
      </c>
      <c r="F97" s="637">
        <v>5541</v>
      </c>
      <c r="G97" s="637">
        <v>5751</v>
      </c>
      <c r="H97" s="637">
        <v>5907</v>
      </c>
      <c r="I97" s="1645">
        <v>5409</v>
      </c>
    </row>
    <row r="98" spans="1:9" x14ac:dyDescent="0.25">
      <c r="A98" s="635" t="s">
        <v>244</v>
      </c>
      <c r="B98" s="636" t="s">
        <v>245</v>
      </c>
      <c r="C98" s="636" t="s">
        <v>268</v>
      </c>
      <c r="D98" s="637">
        <v>2898</v>
      </c>
      <c r="E98" s="637">
        <v>3113</v>
      </c>
      <c r="F98" s="637">
        <v>3099</v>
      </c>
      <c r="G98" s="637">
        <v>3067</v>
      </c>
      <c r="H98" s="637">
        <v>3037</v>
      </c>
      <c r="I98" s="1645">
        <v>2824</v>
      </c>
    </row>
    <row r="99" spans="1:9" x14ac:dyDescent="0.25">
      <c r="A99" s="635" t="s">
        <v>246</v>
      </c>
      <c r="B99" s="636" t="s">
        <v>247</v>
      </c>
      <c r="C99" s="636" t="s">
        <v>264</v>
      </c>
      <c r="D99" s="637">
        <v>1734</v>
      </c>
      <c r="E99" s="637">
        <v>2112</v>
      </c>
      <c r="F99" s="637">
        <v>2299</v>
      </c>
      <c r="G99" s="637">
        <v>2378</v>
      </c>
      <c r="H99" s="637">
        <v>2449</v>
      </c>
      <c r="I99" s="1645">
        <v>2328</v>
      </c>
    </row>
    <row r="100" spans="1:9" x14ac:dyDescent="0.25">
      <c r="A100" s="635" t="s">
        <v>14</v>
      </c>
      <c r="B100" s="636" t="s">
        <v>15</v>
      </c>
      <c r="C100" s="636" t="s">
        <v>267</v>
      </c>
      <c r="D100" s="637">
        <v>5821</v>
      </c>
      <c r="E100" s="637">
        <v>6395</v>
      </c>
      <c r="F100" s="637">
        <v>6643</v>
      </c>
      <c r="G100" s="637">
        <v>6784</v>
      </c>
      <c r="H100" s="637">
        <v>6548</v>
      </c>
      <c r="I100" s="1645">
        <v>6312</v>
      </c>
    </row>
    <row r="101" spans="1:9" x14ac:dyDescent="0.25">
      <c r="A101" s="635" t="s">
        <v>34</v>
      </c>
      <c r="B101" s="636" t="s">
        <v>35</v>
      </c>
      <c r="C101" s="636" t="s">
        <v>268</v>
      </c>
      <c r="D101" s="637">
        <v>3110</v>
      </c>
      <c r="E101" s="637">
        <v>3251</v>
      </c>
      <c r="F101" s="637">
        <v>3366</v>
      </c>
      <c r="G101" s="637">
        <v>3489</v>
      </c>
      <c r="H101" s="637">
        <v>3393</v>
      </c>
      <c r="I101" s="1645">
        <v>3139</v>
      </c>
    </row>
    <row r="102" spans="1:9" x14ac:dyDescent="0.25">
      <c r="A102" s="635" t="s">
        <v>52</v>
      </c>
      <c r="B102" s="636" t="s">
        <v>53</v>
      </c>
      <c r="C102" s="636" t="s">
        <v>265</v>
      </c>
      <c r="D102" s="637">
        <v>4024</v>
      </c>
      <c r="E102" s="637">
        <v>4317</v>
      </c>
      <c r="F102" s="637">
        <v>4456</v>
      </c>
      <c r="G102" s="637">
        <v>4490</v>
      </c>
      <c r="H102" s="637">
        <v>4166</v>
      </c>
      <c r="I102" s="1645">
        <v>3818</v>
      </c>
    </row>
    <row r="103" spans="1:9" x14ac:dyDescent="0.25">
      <c r="A103" s="635" t="s">
        <v>54</v>
      </c>
      <c r="B103" s="636" t="s">
        <v>55</v>
      </c>
      <c r="C103" s="636" t="s">
        <v>264</v>
      </c>
      <c r="D103" s="637">
        <v>12332</v>
      </c>
      <c r="E103" s="637">
        <v>14069</v>
      </c>
      <c r="F103" s="637">
        <v>15247</v>
      </c>
      <c r="G103" s="637">
        <v>16025</v>
      </c>
      <c r="H103" s="637">
        <v>16298</v>
      </c>
      <c r="I103" s="1645">
        <v>15492</v>
      </c>
    </row>
    <row r="104" spans="1:9" x14ac:dyDescent="0.25">
      <c r="A104" s="635" t="s">
        <v>66</v>
      </c>
      <c r="B104" s="636" t="s">
        <v>67</v>
      </c>
      <c r="C104" s="636" t="s">
        <v>265</v>
      </c>
      <c r="D104" s="637">
        <v>8375</v>
      </c>
      <c r="E104" s="637">
        <v>8882</v>
      </c>
      <c r="F104" s="637">
        <v>9292</v>
      </c>
      <c r="G104" s="637">
        <v>9343</v>
      </c>
      <c r="H104" s="637">
        <v>9397</v>
      </c>
      <c r="I104" s="1645">
        <v>8999</v>
      </c>
    </row>
    <row r="105" spans="1:9" x14ac:dyDescent="0.25">
      <c r="A105" s="635" t="s">
        <v>82</v>
      </c>
      <c r="B105" s="636" t="s">
        <v>83</v>
      </c>
      <c r="C105" s="636" t="s">
        <v>264</v>
      </c>
      <c r="D105" s="637">
        <v>1529</v>
      </c>
      <c r="E105" s="637">
        <v>1710</v>
      </c>
      <c r="F105" s="637">
        <v>1800</v>
      </c>
      <c r="G105" s="637">
        <v>1838</v>
      </c>
      <c r="H105" s="637">
        <v>1794</v>
      </c>
      <c r="I105" s="1645">
        <v>1765</v>
      </c>
    </row>
    <row r="106" spans="1:9" x14ac:dyDescent="0.25">
      <c r="A106" s="635" t="s">
        <v>88</v>
      </c>
      <c r="B106" s="636" t="s">
        <v>89</v>
      </c>
      <c r="C106" s="636" t="s">
        <v>267</v>
      </c>
      <c r="D106" s="637">
        <v>2929</v>
      </c>
      <c r="E106" s="637">
        <v>3363</v>
      </c>
      <c r="F106" s="637">
        <v>3671</v>
      </c>
      <c r="G106" s="637">
        <v>3716</v>
      </c>
      <c r="H106" s="637">
        <v>3647</v>
      </c>
      <c r="I106" s="1645">
        <v>3396</v>
      </c>
    </row>
    <row r="107" spans="1:9" x14ac:dyDescent="0.25">
      <c r="A107" s="635" t="s">
        <v>90</v>
      </c>
      <c r="B107" s="636" t="s">
        <v>91</v>
      </c>
      <c r="C107" s="636" t="s">
        <v>268</v>
      </c>
      <c r="D107" s="637">
        <v>1292</v>
      </c>
      <c r="E107" s="637">
        <v>1330</v>
      </c>
      <c r="F107" s="637">
        <v>1374</v>
      </c>
      <c r="G107" s="637">
        <v>1383</v>
      </c>
      <c r="H107" s="637">
        <v>1406</v>
      </c>
      <c r="I107" s="1645">
        <v>1322</v>
      </c>
    </row>
    <row r="108" spans="1:9" x14ac:dyDescent="0.25">
      <c r="A108" s="635" t="s">
        <v>106</v>
      </c>
      <c r="B108" s="636" t="s">
        <v>107</v>
      </c>
      <c r="C108" s="636" t="s">
        <v>264</v>
      </c>
      <c r="D108" s="637">
        <v>11567</v>
      </c>
      <c r="E108" s="637">
        <v>13629</v>
      </c>
      <c r="F108" s="637">
        <v>15200</v>
      </c>
      <c r="G108" s="637">
        <v>16168</v>
      </c>
      <c r="H108" s="637">
        <v>16029</v>
      </c>
      <c r="I108" s="1645">
        <v>14769</v>
      </c>
    </row>
    <row r="109" spans="1:9" x14ac:dyDescent="0.25">
      <c r="A109" s="635" t="s">
        <v>116</v>
      </c>
      <c r="B109" s="636" t="s">
        <v>117</v>
      </c>
      <c r="C109" s="636" t="s">
        <v>266</v>
      </c>
      <c r="D109" s="637">
        <v>3873</v>
      </c>
      <c r="E109" s="637">
        <v>4261</v>
      </c>
      <c r="F109" s="637">
        <v>4463</v>
      </c>
      <c r="G109" s="637">
        <v>4585</v>
      </c>
      <c r="H109" s="637">
        <v>4620</v>
      </c>
      <c r="I109" s="1645">
        <v>4561</v>
      </c>
    </row>
    <row r="110" spans="1:9" x14ac:dyDescent="0.25">
      <c r="A110" s="635" t="s">
        <v>138</v>
      </c>
      <c r="B110" s="636" t="s">
        <v>139</v>
      </c>
      <c r="C110" s="636" t="s">
        <v>265</v>
      </c>
      <c r="D110" s="637">
        <v>7486</v>
      </c>
      <c r="E110" s="637">
        <v>8308</v>
      </c>
      <c r="F110" s="637">
        <v>9129</v>
      </c>
      <c r="G110" s="637">
        <v>9642</v>
      </c>
      <c r="H110" s="637">
        <v>9599</v>
      </c>
      <c r="I110" s="1645">
        <v>8968</v>
      </c>
    </row>
    <row r="111" spans="1:9" x14ac:dyDescent="0.25">
      <c r="A111" s="635" t="s">
        <v>142</v>
      </c>
      <c r="B111" s="636" t="s">
        <v>143</v>
      </c>
      <c r="C111" s="636" t="s">
        <v>267</v>
      </c>
      <c r="D111" s="637">
        <v>2281</v>
      </c>
      <c r="E111" s="637">
        <v>2544</v>
      </c>
      <c r="F111" s="637">
        <v>2632</v>
      </c>
      <c r="G111" s="637">
        <v>2721</v>
      </c>
      <c r="H111" s="637">
        <v>2730</v>
      </c>
      <c r="I111" s="1645">
        <v>2596</v>
      </c>
    </row>
    <row r="112" spans="1:9" x14ac:dyDescent="0.25">
      <c r="A112" s="635" t="s">
        <v>144</v>
      </c>
      <c r="B112" s="636" t="s">
        <v>145</v>
      </c>
      <c r="C112" s="636" t="s">
        <v>267</v>
      </c>
      <c r="D112" s="637">
        <v>785</v>
      </c>
      <c r="E112" s="637">
        <v>815</v>
      </c>
      <c r="F112" s="637">
        <v>804</v>
      </c>
      <c r="G112" s="637">
        <v>842</v>
      </c>
      <c r="H112" s="637">
        <v>806</v>
      </c>
      <c r="I112" s="1645">
        <v>787</v>
      </c>
    </row>
    <row r="113" spans="1:9" x14ac:dyDescent="0.25">
      <c r="A113" s="635" t="s">
        <v>158</v>
      </c>
      <c r="B113" s="636" t="s">
        <v>159</v>
      </c>
      <c r="C113" s="636" t="s">
        <v>264</v>
      </c>
      <c r="D113" s="637">
        <v>20051</v>
      </c>
      <c r="E113" s="637">
        <v>22847</v>
      </c>
      <c r="F113" s="637">
        <v>24251</v>
      </c>
      <c r="G113" s="637">
        <v>25250</v>
      </c>
      <c r="H113" s="637">
        <v>25153</v>
      </c>
      <c r="I113" s="1645">
        <v>23667</v>
      </c>
    </row>
    <row r="114" spans="1:9" x14ac:dyDescent="0.25">
      <c r="A114" s="635" t="s">
        <v>160</v>
      </c>
      <c r="B114" s="636" t="s">
        <v>161</v>
      </c>
      <c r="C114" s="636" t="s">
        <v>264</v>
      </c>
      <c r="D114" s="637">
        <v>28751</v>
      </c>
      <c r="E114" s="637">
        <v>31649</v>
      </c>
      <c r="F114" s="637">
        <v>33699</v>
      </c>
      <c r="G114" s="637">
        <v>35035</v>
      </c>
      <c r="H114" s="637">
        <v>34612</v>
      </c>
      <c r="I114" s="1645">
        <v>32195</v>
      </c>
    </row>
    <row r="115" spans="1:9" x14ac:dyDescent="0.25">
      <c r="A115" s="635" t="s">
        <v>166</v>
      </c>
      <c r="B115" s="636" t="s">
        <v>167</v>
      </c>
      <c r="C115" s="636" t="s">
        <v>268</v>
      </c>
      <c r="D115" s="637">
        <v>711</v>
      </c>
      <c r="E115" s="637">
        <v>754</v>
      </c>
      <c r="F115" s="637">
        <v>800</v>
      </c>
      <c r="G115" s="637">
        <v>794</v>
      </c>
      <c r="H115" s="637">
        <v>802</v>
      </c>
      <c r="I115" s="1645">
        <v>749</v>
      </c>
    </row>
    <row r="116" spans="1:9" x14ac:dyDescent="0.25">
      <c r="A116" s="635" t="s">
        <v>176</v>
      </c>
      <c r="B116" s="636" t="s">
        <v>177</v>
      </c>
      <c r="C116" s="636" t="s">
        <v>266</v>
      </c>
      <c r="D116" s="637">
        <v>7241</v>
      </c>
      <c r="E116" s="637">
        <v>7908</v>
      </c>
      <c r="F116" s="637">
        <v>8245</v>
      </c>
      <c r="G116" s="637">
        <v>8488</v>
      </c>
      <c r="H116" s="637">
        <v>8469</v>
      </c>
      <c r="I116" s="1645">
        <v>8084</v>
      </c>
    </row>
    <row r="117" spans="1:9" x14ac:dyDescent="0.25">
      <c r="A117" s="635" t="s">
        <v>180</v>
      </c>
      <c r="B117" s="636" t="s">
        <v>181</v>
      </c>
      <c r="C117" s="636" t="s">
        <v>264</v>
      </c>
      <c r="D117" s="637">
        <v>13061</v>
      </c>
      <c r="E117" s="637">
        <v>14589</v>
      </c>
      <c r="F117" s="637">
        <v>15729</v>
      </c>
      <c r="G117" s="637">
        <v>16464</v>
      </c>
      <c r="H117" s="637">
        <v>16155</v>
      </c>
      <c r="I117" s="1645">
        <v>15204</v>
      </c>
    </row>
    <row r="118" spans="1:9" x14ac:dyDescent="0.25">
      <c r="A118" s="635" t="s">
        <v>192</v>
      </c>
      <c r="B118" s="636" t="s">
        <v>193</v>
      </c>
      <c r="C118" s="636" t="s">
        <v>268</v>
      </c>
      <c r="D118" s="637">
        <v>1276</v>
      </c>
      <c r="E118" s="637">
        <v>1281</v>
      </c>
      <c r="F118" s="637">
        <v>1282</v>
      </c>
      <c r="G118" s="637">
        <v>1316</v>
      </c>
      <c r="H118" s="637">
        <v>1358</v>
      </c>
      <c r="I118" s="1645">
        <v>1264</v>
      </c>
    </row>
    <row r="119" spans="1:9" x14ac:dyDescent="0.25">
      <c r="A119" s="635" t="s">
        <v>196</v>
      </c>
      <c r="B119" s="636" t="s">
        <v>197</v>
      </c>
      <c r="C119" s="636" t="s">
        <v>266</v>
      </c>
      <c r="D119" s="637">
        <v>32825</v>
      </c>
      <c r="E119" s="637">
        <v>36583</v>
      </c>
      <c r="F119" s="637">
        <v>39255</v>
      </c>
      <c r="G119" s="637">
        <v>40591</v>
      </c>
      <c r="H119" s="637">
        <v>39268</v>
      </c>
      <c r="I119" s="1645">
        <v>36552</v>
      </c>
    </row>
    <row r="120" spans="1:9" x14ac:dyDescent="0.25">
      <c r="A120" s="635" t="s">
        <v>200</v>
      </c>
      <c r="B120" s="636" t="s">
        <v>201</v>
      </c>
      <c r="C120" s="636" t="s">
        <v>265</v>
      </c>
      <c r="D120" s="637">
        <v>14080</v>
      </c>
      <c r="E120" s="637">
        <v>15509</v>
      </c>
      <c r="F120" s="637">
        <v>16537</v>
      </c>
      <c r="G120" s="637">
        <v>17492</v>
      </c>
      <c r="H120" s="637">
        <v>17549</v>
      </c>
      <c r="I120" s="1645">
        <v>16453</v>
      </c>
    </row>
    <row r="121" spans="1:9" x14ac:dyDescent="0.25">
      <c r="A121" s="635" t="s">
        <v>222</v>
      </c>
      <c r="B121" s="636" t="s">
        <v>223</v>
      </c>
      <c r="C121" s="636" t="s">
        <v>264</v>
      </c>
      <c r="D121" s="637">
        <v>6885</v>
      </c>
      <c r="E121" s="637">
        <v>7888</v>
      </c>
      <c r="F121" s="637">
        <v>8513</v>
      </c>
      <c r="G121" s="637">
        <v>8902</v>
      </c>
      <c r="H121" s="637">
        <v>8972</v>
      </c>
      <c r="I121" s="1645">
        <v>8558</v>
      </c>
    </row>
    <row r="122" spans="1:9" x14ac:dyDescent="0.25">
      <c r="A122" s="635" t="s">
        <v>230</v>
      </c>
      <c r="B122" s="636" t="s">
        <v>231</v>
      </c>
      <c r="C122" s="636" t="s">
        <v>264</v>
      </c>
      <c r="D122" s="637">
        <v>19182</v>
      </c>
      <c r="E122" s="637">
        <v>22154</v>
      </c>
      <c r="F122" s="637">
        <v>24208</v>
      </c>
      <c r="G122" s="637">
        <v>25071</v>
      </c>
      <c r="H122" s="637">
        <v>25434</v>
      </c>
      <c r="I122" s="1645">
        <v>24250</v>
      </c>
    </row>
    <row r="123" spans="1:9" x14ac:dyDescent="0.25">
      <c r="A123" s="635" t="s">
        <v>238</v>
      </c>
      <c r="B123" s="636" t="s">
        <v>239</v>
      </c>
      <c r="C123" s="636" t="s">
        <v>264</v>
      </c>
      <c r="D123" s="637">
        <v>680</v>
      </c>
      <c r="E123" s="637">
        <v>828</v>
      </c>
      <c r="F123" s="637">
        <v>883</v>
      </c>
      <c r="G123" s="637">
        <v>947</v>
      </c>
      <c r="H123" s="637">
        <v>952</v>
      </c>
      <c r="I123" s="1645">
        <v>920</v>
      </c>
    </row>
    <row r="124" spans="1:9" x14ac:dyDescent="0.25">
      <c r="A124" s="555" t="s">
        <v>240</v>
      </c>
      <c r="B124" s="544" t="s">
        <v>241</v>
      </c>
      <c r="C124" s="544" t="s">
        <v>267</v>
      </c>
      <c r="D124" s="549">
        <v>2959</v>
      </c>
      <c r="E124" s="549">
        <v>3308</v>
      </c>
      <c r="F124" s="549">
        <v>3394</v>
      </c>
      <c r="G124" s="549">
        <v>3392</v>
      </c>
      <c r="H124" s="549">
        <v>3226</v>
      </c>
      <c r="I124" s="1646">
        <v>2941</v>
      </c>
    </row>
    <row r="126" spans="1:9" ht="31.5" customHeight="1" x14ac:dyDescent="0.25">
      <c r="A126" s="2104" t="s">
        <v>1177</v>
      </c>
      <c r="B126" s="2104"/>
      <c r="C126" s="2104"/>
      <c r="D126" s="2104"/>
      <c r="E126" s="2104"/>
      <c r="F126" s="2104"/>
      <c r="G126" s="2104"/>
      <c r="H126" s="2104"/>
    </row>
    <row r="128" spans="1:9" s="414" customFormat="1" x14ac:dyDescent="0.25">
      <c r="A128" s="414" t="s">
        <v>248</v>
      </c>
    </row>
    <row r="129" spans="1:3" s="414" customFormat="1" x14ac:dyDescent="0.25">
      <c r="A129" s="415" t="s">
        <v>249</v>
      </c>
      <c r="B129" s="416" t="s">
        <v>250</v>
      </c>
      <c r="C129" s="416"/>
    </row>
  </sheetData>
  <autoFilter ref="A3:C3"/>
  <sortState ref="A5:I124">
    <sortCondition ref="A5:A124"/>
  </sortState>
  <mergeCells count="1">
    <mergeCell ref="A126:H126"/>
  </mergeCells>
  <hyperlinks>
    <hyperlink ref="B129"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I129"/>
  <sheetViews>
    <sheetView topLeftCell="A101" workbookViewId="0">
      <selection activeCell="J4" sqref="J4"/>
    </sheetView>
  </sheetViews>
  <sheetFormatPr defaultRowHeight="15.75" x14ac:dyDescent="0.25"/>
  <cols>
    <col min="1" max="1" width="5.875" style="532" customWidth="1"/>
    <col min="2" max="2" width="30.25" style="532" customWidth="1"/>
    <col min="3" max="3" width="12.375" style="532" customWidth="1"/>
    <col min="4" max="9" width="10.875" style="532" customWidth="1"/>
    <col min="10" max="10" width="2.5" style="532" customWidth="1"/>
    <col min="11" max="16384" width="9" style="532"/>
  </cols>
  <sheetData>
    <row r="1" spans="1:9" x14ac:dyDescent="0.25">
      <c r="A1" s="258" t="s">
        <v>900</v>
      </c>
    </row>
    <row r="3" spans="1:9" x14ac:dyDescent="0.25">
      <c r="A3" s="640" t="s">
        <v>4</v>
      </c>
      <c r="B3" s="595" t="s">
        <v>5</v>
      </c>
      <c r="C3" s="595" t="s">
        <v>251</v>
      </c>
      <c r="D3" s="646">
        <v>2010</v>
      </c>
      <c r="E3" s="646">
        <v>2011</v>
      </c>
      <c r="F3" s="646">
        <v>2012</v>
      </c>
      <c r="G3" s="646">
        <v>2013</v>
      </c>
      <c r="H3" s="646">
        <v>2014</v>
      </c>
      <c r="I3" s="1603">
        <v>2015</v>
      </c>
    </row>
    <row r="4" spans="1:9" x14ac:dyDescent="0.25">
      <c r="A4" s="600">
        <v>999</v>
      </c>
      <c r="B4" s="633" t="s">
        <v>9</v>
      </c>
      <c r="C4" s="596"/>
      <c r="D4" s="559">
        <v>645469</v>
      </c>
      <c r="E4" s="559">
        <v>677720</v>
      </c>
      <c r="F4" s="559">
        <v>705578</v>
      </c>
      <c r="G4" s="559">
        <v>726306</v>
      </c>
      <c r="H4" s="559">
        <v>735695</v>
      </c>
      <c r="I4" s="1644">
        <v>806453</v>
      </c>
    </row>
    <row r="5" spans="1:9" x14ac:dyDescent="0.25">
      <c r="A5" s="551" t="s">
        <v>10</v>
      </c>
      <c r="B5" s="597" t="s">
        <v>11</v>
      </c>
      <c r="C5" s="597" t="s">
        <v>264</v>
      </c>
      <c r="D5" s="545">
        <v>5061</v>
      </c>
      <c r="E5" s="545">
        <v>5183</v>
      </c>
      <c r="F5" s="545">
        <v>5235</v>
      </c>
      <c r="G5" s="545">
        <v>5244</v>
      </c>
      <c r="H5" s="545">
        <v>5279</v>
      </c>
      <c r="I5" s="1642">
        <v>5412</v>
      </c>
    </row>
    <row r="6" spans="1:9" x14ac:dyDescent="0.25">
      <c r="A6" s="635" t="s">
        <v>12</v>
      </c>
      <c r="B6" s="636" t="s">
        <v>13</v>
      </c>
      <c r="C6" s="636" t="s">
        <v>265</v>
      </c>
      <c r="D6" s="637">
        <v>5366</v>
      </c>
      <c r="E6" s="637">
        <v>5735</v>
      </c>
      <c r="F6" s="637">
        <v>6020</v>
      </c>
      <c r="G6" s="637">
        <v>6123</v>
      </c>
      <c r="H6" s="637">
        <v>6234</v>
      </c>
      <c r="I6" s="1642">
        <v>6468</v>
      </c>
    </row>
    <row r="7" spans="1:9" x14ac:dyDescent="0.25">
      <c r="A7" s="635" t="s">
        <v>16</v>
      </c>
      <c r="B7" s="636" t="s">
        <v>297</v>
      </c>
      <c r="C7" s="636" t="s">
        <v>265</v>
      </c>
      <c r="D7" s="637">
        <v>3311</v>
      </c>
      <c r="E7" s="637">
        <v>3403</v>
      </c>
      <c r="F7" s="637">
        <v>3519</v>
      </c>
      <c r="G7" s="637">
        <v>3415</v>
      </c>
      <c r="H7" s="637">
        <v>3414</v>
      </c>
      <c r="I7" s="1642">
        <v>3472</v>
      </c>
    </row>
    <row r="8" spans="1:9" x14ac:dyDescent="0.25">
      <c r="A8" s="635" t="s">
        <v>18</v>
      </c>
      <c r="B8" s="636" t="s">
        <v>19</v>
      </c>
      <c r="C8" s="636" t="s">
        <v>266</v>
      </c>
      <c r="D8" s="637">
        <v>1461</v>
      </c>
      <c r="E8" s="637">
        <v>1548</v>
      </c>
      <c r="F8" s="637">
        <v>1622</v>
      </c>
      <c r="G8" s="637">
        <v>1587</v>
      </c>
      <c r="H8" s="637">
        <v>1543</v>
      </c>
      <c r="I8" s="1642">
        <v>1559</v>
      </c>
    </row>
    <row r="9" spans="1:9" x14ac:dyDescent="0.25">
      <c r="A9" s="635" t="s">
        <v>20</v>
      </c>
      <c r="B9" s="636" t="s">
        <v>21</v>
      </c>
      <c r="C9" s="636" t="s">
        <v>265</v>
      </c>
      <c r="D9" s="637">
        <v>3559</v>
      </c>
      <c r="E9" s="637">
        <v>3682</v>
      </c>
      <c r="F9" s="637">
        <v>3750</v>
      </c>
      <c r="G9" s="637">
        <v>3808</v>
      </c>
      <c r="H9" s="637">
        <v>3819</v>
      </c>
      <c r="I9" s="1642">
        <v>3943</v>
      </c>
    </row>
    <row r="10" spans="1:9" x14ac:dyDescent="0.25">
      <c r="A10" s="635" t="s">
        <v>22</v>
      </c>
      <c r="B10" s="636" t="s">
        <v>23</v>
      </c>
      <c r="C10" s="636" t="s">
        <v>265</v>
      </c>
      <c r="D10" s="637">
        <v>2016</v>
      </c>
      <c r="E10" s="637">
        <v>2077</v>
      </c>
      <c r="F10" s="637">
        <v>2191</v>
      </c>
      <c r="G10" s="637">
        <v>2241</v>
      </c>
      <c r="H10" s="637">
        <v>2218</v>
      </c>
      <c r="I10" s="1642">
        <v>2322</v>
      </c>
    </row>
    <row r="11" spans="1:9" x14ac:dyDescent="0.25">
      <c r="A11" s="635" t="s">
        <v>24</v>
      </c>
      <c r="B11" s="636" t="s">
        <v>25</v>
      </c>
      <c r="C11" s="636" t="s">
        <v>267</v>
      </c>
      <c r="D11" s="637">
        <v>8872</v>
      </c>
      <c r="E11" s="637">
        <v>9157</v>
      </c>
      <c r="F11" s="637">
        <v>9543</v>
      </c>
      <c r="G11" s="637">
        <v>9787</v>
      </c>
      <c r="H11" s="637">
        <v>10106</v>
      </c>
      <c r="I11" s="1642">
        <v>10726</v>
      </c>
    </row>
    <row r="12" spans="1:9" x14ac:dyDescent="0.25">
      <c r="A12" s="635" t="s">
        <v>26</v>
      </c>
      <c r="B12" s="636" t="s">
        <v>686</v>
      </c>
      <c r="C12" s="636" t="s">
        <v>265</v>
      </c>
      <c r="D12" s="637">
        <v>11889</v>
      </c>
      <c r="E12" s="637">
        <v>12478</v>
      </c>
      <c r="F12" s="637">
        <v>13194</v>
      </c>
      <c r="G12" s="637">
        <v>13710</v>
      </c>
      <c r="H12" s="637">
        <v>13708</v>
      </c>
      <c r="I12" s="1642">
        <v>13593</v>
      </c>
    </row>
    <row r="13" spans="1:9" x14ac:dyDescent="0.25">
      <c r="A13" s="635" t="s">
        <v>27</v>
      </c>
      <c r="B13" s="636" t="s">
        <v>28</v>
      </c>
      <c r="C13" s="636" t="s">
        <v>265</v>
      </c>
      <c r="D13" s="637">
        <v>447</v>
      </c>
      <c r="E13" s="637">
        <v>479</v>
      </c>
      <c r="F13" s="637">
        <v>490</v>
      </c>
      <c r="G13" s="637">
        <v>503</v>
      </c>
      <c r="H13" s="637">
        <v>473</v>
      </c>
      <c r="I13" s="1642">
        <v>517</v>
      </c>
    </row>
    <row r="14" spans="1:9" x14ac:dyDescent="0.25">
      <c r="A14" s="635" t="s">
        <v>29</v>
      </c>
      <c r="B14" s="636" t="s">
        <v>941</v>
      </c>
      <c r="C14" s="636" t="s">
        <v>265</v>
      </c>
      <c r="D14" s="637">
        <v>6139</v>
      </c>
      <c r="E14" s="637">
        <v>6385</v>
      </c>
      <c r="F14" s="637">
        <v>6684</v>
      </c>
      <c r="G14" s="637">
        <v>6766</v>
      </c>
      <c r="H14" s="637">
        <v>7434</v>
      </c>
      <c r="I14" s="1642">
        <v>6877</v>
      </c>
    </row>
    <row r="15" spans="1:9" x14ac:dyDescent="0.25">
      <c r="A15" s="635" t="s">
        <v>30</v>
      </c>
      <c r="B15" s="636" t="s">
        <v>31</v>
      </c>
      <c r="C15" s="636" t="s">
        <v>268</v>
      </c>
      <c r="D15" s="637">
        <v>710</v>
      </c>
      <c r="E15" s="637">
        <v>707</v>
      </c>
      <c r="F15" s="637">
        <v>730</v>
      </c>
      <c r="G15" s="637">
        <v>733</v>
      </c>
      <c r="H15" s="637">
        <v>699</v>
      </c>
      <c r="I15" s="1642">
        <v>730</v>
      </c>
    </row>
    <row r="16" spans="1:9" x14ac:dyDescent="0.25">
      <c r="A16" s="635" t="s">
        <v>32</v>
      </c>
      <c r="B16" s="636" t="s">
        <v>33</v>
      </c>
      <c r="C16" s="636" t="s">
        <v>265</v>
      </c>
      <c r="D16" s="637">
        <v>1819</v>
      </c>
      <c r="E16" s="637">
        <v>1860</v>
      </c>
      <c r="F16" s="637">
        <v>1954</v>
      </c>
      <c r="G16" s="637">
        <v>2007</v>
      </c>
      <c r="H16" s="637">
        <v>2064</v>
      </c>
      <c r="I16" s="1642">
        <v>2225</v>
      </c>
    </row>
    <row r="17" spans="1:9" x14ac:dyDescent="0.25">
      <c r="A17" s="635" t="s">
        <v>36</v>
      </c>
      <c r="B17" s="636" t="s">
        <v>37</v>
      </c>
      <c r="C17" s="636" t="s">
        <v>264</v>
      </c>
      <c r="D17" s="637">
        <v>2805</v>
      </c>
      <c r="E17" s="637">
        <v>2867</v>
      </c>
      <c r="F17" s="637">
        <v>2874</v>
      </c>
      <c r="G17" s="637">
        <v>2919</v>
      </c>
      <c r="H17" s="637">
        <v>2983</v>
      </c>
      <c r="I17" s="1642">
        <v>3049</v>
      </c>
    </row>
    <row r="18" spans="1:9" x14ac:dyDescent="0.25">
      <c r="A18" s="635" t="s">
        <v>38</v>
      </c>
      <c r="B18" s="636" t="s">
        <v>39</v>
      </c>
      <c r="C18" s="636" t="s">
        <v>268</v>
      </c>
      <c r="D18" s="637">
        <v>4594</v>
      </c>
      <c r="E18" s="637">
        <v>4570</v>
      </c>
      <c r="F18" s="637">
        <v>4595</v>
      </c>
      <c r="G18" s="637">
        <v>4573</v>
      </c>
      <c r="H18" s="637">
        <v>4545</v>
      </c>
      <c r="I18" s="1642">
        <v>4654</v>
      </c>
    </row>
    <row r="19" spans="1:9" x14ac:dyDescent="0.25">
      <c r="A19" s="635" t="s">
        <v>40</v>
      </c>
      <c r="B19" s="636" t="s">
        <v>41</v>
      </c>
      <c r="C19" s="636" t="s">
        <v>266</v>
      </c>
      <c r="D19" s="637">
        <v>2133</v>
      </c>
      <c r="E19" s="637">
        <v>2213</v>
      </c>
      <c r="F19" s="637">
        <v>2296</v>
      </c>
      <c r="G19" s="637">
        <v>2345</v>
      </c>
      <c r="H19" s="637">
        <v>2345</v>
      </c>
      <c r="I19" s="1642">
        <v>2436</v>
      </c>
    </row>
    <row r="20" spans="1:9" x14ac:dyDescent="0.25">
      <c r="A20" s="635" t="s">
        <v>42</v>
      </c>
      <c r="B20" s="636" t="s">
        <v>43</v>
      </c>
      <c r="C20" s="636" t="s">
        <v>265</v>
      </c>
      <c r="D20" s="637">
        <v>6296</v>
      </c>
      <c r="E20" s="637">
        <v>6639</v>
      </c>
      <c r="F20" s="637">
        <v>6934</v>
      </c>
      <c r="G20" s="637">
        <v>7065</v>
      </c>
      <c r="H20" s="637">
        <v>7079</v>
      </c>
      <c r="I20" s="1642">
        <v>7292</v>
      </c>
    </row>
    <row r="21" spans="1:9" x14ac:dyDescent="0.25">
      <c r="A21" s="635" t="s">
        <v>44</v>
      </c>
      <c r="B21" s="636" t="s">
        <v>45</v>
      </c>
      <c r="C21" s="636" t="s">
        <v>266</v>
      </c>
      <c r="D21" s="637">
        <v>3016</v>
      </c>
      <c r="E21" s="637">
        <v>3120</v>
      </c>
      <c r="F21" s="637">
        <v>3260</v>
      </c>
      <c r="G21" s="637">
        <v>3298</v>
      </c>
      <c r="H21" s="637">
        <v>3282</v>
      </c>
      <c r="I21" s="1642">
        <v>3508</v>
      </c>
    </row>
    <row r="22" spans="1:9" x14ac:dyDescent="0.25">
      <c r="A22" s="635" t="s">
        <v>46</v>
      </c>
      <c r="B22" s="636" t="s">
        <v>47</v>
      </c>
      <c r="C22" s="636" t="s">
        <v>268</v>
      </c>
      <c r="D22" s="637">
        <v>4308</v>
      </c>
      <c r="E22" s="637">
        <v>4482</v>
      </c>
      <c r="F22" s="637">
        <v>4678</v>
      </c>
      <c r="G22" s="637">
        <v>4624</v>
      </c>
      <c r="H22" s="637">
        <v>4587</v>
      </c>
      <c r="I22" s="1642">
        <v>4643</v>
      </c>
    </row>
    <row r="23" spans="1:9" x14ac:dyDescent="0.25">
      <c r="A23" s="635" t="s">
        <v>48</v>
      </c>
      <c r="B23" s="636" t="s">
        <v>269</v>
      </c>
      <c r="C23" s="636" t="s">
        <v>266</v>
      </c>
      <c r="D23" s="637">
        <v>762</v>
      </c>
      <c r="E23" s="637">
        <v>786</v>
      </c>
      <c r="F23" s="637">
        <v>814</v>
      </c>
      <c r="G23" s="637">
        <v>811</v>
      </c>
      <c r="H23" s="637">
        <v>791</v>
      </c>
      <c r="I23" s="1642">
        <v>835</v>
      </c>
    </row>
    <row r="24" spans="1:9" x14ac:dyDescent="0.25">
      <c r="A24" s="635" t="s">
        <v>50</v>
      </c>
      <c r="B24" s="636" t="s">
        <v>51</v>
      </c>
      <c r="C24" s="636" t="s">
        <v>265</v>
      </c>
      <c r="D24" s="637">
        <v>2057</v>
      </c>
      <c r="E24" s="637">
        <v>2117</v>
      </c>
      <c r="F24" s="637">
        <v>2185</v>
      </c>
      <c r="G24" s="637">
        <v>2115</v>
      </c>
      <c r="H24" s="637">
        <v>2103</v>
      </c>
      <c r="I24" s="1642">
        <v>2157</v>
      </c>
    </row>
    <row r="25" spans="1:9" x14ac:dyDescent="0.25">
      <c r="A25" s="635" t="s">
        <v>56</v>
      </c>
      <c r="B25" s="636" t="s">
        <v>295</v>
      </c>
      <c r="C25" s="636" t="s">
        <v>266</v>
      </c>
      <c r="D25" s="637">
        <v>22393</v>
      </c>
      <c r="E25" s="637">
        <v>23970</v>
      </c>
      <c r="F25" s="637">
        <v>25145</v>
      </c>
      <c r="G25" s="637">
        <v>26132</v>
      </c>
      <c r="H25" s="637">
        <v>26942</v>
      </c>
      <c r="I25" s="1642">
        <v>29404</v>
      </c>
    </row>
    <row r="26" spans="1:9" x14ac:dyDescent="0.25">
      <c r="A26" s="635" t="s">
        <v>58</v>
      </c>
      <c r="B26" s="636" t="s">
        <v>59</v>
      </c>
      <c r="C26" s="636" t="s">
        <v>267</v>
      </c>
      <c r="D26" s="637">
        <v>776</v>
      </c>
      <c r="E26" s="637">
        <v>794</v>
      </c>
      <c r="F26" s="637">
        <v>812</v>
      </c>
      <c r="G26" s="637">
        <v>816</v>
      </c>
      <c r="H26" s="637">
        <v>830</v>
      </c>
      <c r="I26" s="1642">
        <v>837</v>
      </c>
    </row>
    <row r="27" spans="1:9" x14ac:dyDescent="0.25">
      <c r="A27" s="635" t="s">
        <v>60</v>
      </c>
      <c r="B27" s="636" t="s">
        <v>61</v>
      </c>
      <c r="C27" s="636" t="s">
        <v>265</v>
      </c>
      <c r="D27" s="637">
        <v>564</v>
      </c>
      <c r="E27" s="637">
        <v>596</v>
      </c>
      <c r="F27" s="637">
        <v>608</v>
      </c>
      <c r="G27" s="637">
        <v>633</v>
      </c>
      <c r="H27" s="637">
        <v>617</v>
      </c>
      <c r="I27" s="1642">
        <v>655</v>
      </c>
    </row>
    <row r="28" spans="1:9" x14ac:dyDescent="0.25">
      <c r="A28" s="635" t="s">
        <v>62</v>
      </c>
      <c r="B28" s="636" t="s">
        <v>63</v>
      </c>
      <c r="C28" s="636" t="s">
        <v>267</v>
      </c>
      <c r="D28" s="637">
        <v>4087</v>
      </c>
      <c r="E28" s="637">
        <v>4350</v>
      </c>
      <c r="F28" s="637">
        <v>4572</v>
      </c>
      <c r="G28" s="637">
        <v>4697</v>
      </c>
      <c r="H28" s="637">
        <v>4719</v>
      </c>
      <c r="I28" s="1642">
        <v>4956</v>
      </c>
    </row>
    <row r="29" spans="1:9" x14ac:dyDescent="0.25">
      <c r="A29" s="635" t="s">
        <v>64</v>
      </c>
      <c r="B29" s="636" t="s">
        <v>65</v>
      </c>
      <c r="C29" s="636" t="s">
        <v>266</v>
      </c>
      <c r="D29" s="637">
        <v>1442</v>
      </c>
      <c r="E29" s="637">
        <v>1484</v>
      </c>
      <c r="F29" s="637">
        <v>1558</v>
      </c>
      <c r="G29" s="637">
        <v>1564</v>
      </c>
      <c r="H29" s="637">
        <v>1600</v>
      </c>
      <c r="I29" s="1642">
        <v>1614</v>
      </c>
    </row>
    <row r="30" spans="1:9" x14ac:dyDescent="0.25">
      <c r="A30" s="635" t="s">
        <v>68</v>
      </c>
      <c r="B30" s="636" t="s">
        <v>69</v>
      </c>
      <c r="C30" s="636" t="s">
        <v>268</v>
      </c>
      <c r="D30" s="637">
        <v>3383</v>
      </c>
      <c r="E30" s="637">
        <v>3421</v>
      </c>
      <c r="F30" s="637">
        <v>3437</v>
      </c>
      <c r="G30" s="637">
        <v>3502</v>
      </c>
      <c r="H30" s="637">
        <v>3472</v>
      </c>
      <c r="I30" s="1642">
        <v>3462</v>
      </c>
    </row>
    <row r="31" spans="1:9" x14ac:dyDescent="0.25">
      <c r="A31" s="635" t="s">
        <v>70</v>
      </c>
      <c r="B31" s="636" t="s">
        <v>71</v>
      </c>
      <c r="C31" s="636" t="s">
        <v>264</v>
      </c>
      <c r="D31" s="637">
        <v>3074</v>
      </c>
      <c r="E31" s="637">
        <v>3227</v>
      </c>
      <c r="F31" s="637">
        <v>3367</v>
      </c>
      <c r="G31" s="637">
        <v>3421</v>
      </c>
      <c r="H31" s="637">
        <v>3397</v>
      </c>
      <c r="I31" s="1642">
        <v>3563</v>
      </c>
    </row>
    <row r="32" spans="1:9" x14ac:dyDescent="0.25">
      <c r="A32" s="635" t="s">
        <v>72</v>
      </c>
      <c r="B32" s="636" t="s">
        <v>73</v>
      </c>
      <c r="C32" s="636" t="s">
        <v>266</v>
      </c>
      <c r="D32" s="637">
        <v>1413</v>
      </c>
      <c r="E32" s="637">
        <v>1497</v>
      </c>
      <c r="F32" s="637">
        <v>1592</v>
      </c>
      <c r="G32" s="637">
        <v>1611</v>
      </c>
      <c r="H32" s="637">
        <v>1598</v>
      </c>
      <c r="I32" s="1642">
        <v>1648</v>
      </c>
    </row>
    <row r="33" spans="1:9" x14ac:dyDescent="0.25">
      <c r="A33" s="635" t="s">
        <v>74</v>
      </c>
      <c r="B33" s="636" t="s">
        <v>296</v>
      </c>
      <c r="C33" s="636" t="s">
        <v>267</v>
      </c>
      <c r="D33" s="637">
        <v>54170</v>
      </c>
      <c r="E33" s="637">
        <v>58384</v>
      </c>
      <c r="F33" s="637">
        <v>58298</v>
      </c>
      <c r="G33" s="637">
        <v>59707</v>
      </c>
      <c r="H33" s="637">
        <v>60817</v>
      </c>
      <c r="I33" s="1642">
        <v>65841</v>
      </c>
    </row>
    <row r="34" spans="1:9" x14ac:dyDescent="0.25">
      <c r="A34" s="635" t="s">
        <v>76</v>
      </c>
      <c r="B34" s="636" t="s">
        <v>77</v>
      </c>
      <c r="C34" s="636" t="s">
        <v>267</v>
      </c>
      <c r="D34" s="637">
        <v>3751</v>
      </c>
      <c r="E34" s="637">
        <v>3797</v>
      </c>
      <c r="F34" s="637">
        <v>4014</v>
      </c>
      <c r="G34" s="637">
        <v>4051</v>
      </c>
      <c r="H34" s="637">
        <v>4068</v>
      </c>
      <c r="I34" s="1642">
        <v>4318</v>
      </c>
    </row>
    <row r="35" spans="1:9" x14ac:dyDescent="0.25">
      <c r="A35" s="635" t="s">
        <v>78</v>
      </c>
      <c r="B35" s="636" t="s">
        <v>79</v>
      </c>
      <c r="C35" s="636" t="s">
        <v>268</v>
      </c>
      <c r="D35" s="637">
        <v>1606</v>
      </c>
      <c r="E35" s="637">
        <v>1688</v>
      </c>
      <c r="F35" s="637">
        <v>1791</v>
      </c>
      <c r="G35" s="637">
        <v>1828</v>
      </c>
      <c r="H35" s="637">
        <v>1833</v>
      </c>
      <c r="I35" s="1642">
        <v>1897</v>
      </c>
    </row>
    <row r="36" spans="1:9" x14ac:dyDescent="0.25">
      <c r="A36" s="635" t="s">
        <v>80</v>
      </c>
      <c r="B36" s="636" t="s">
        <v>81</v>
      </c>
      <c r="C36" s="636" t="s">
        <v>266</v>
      </c>
      <c r="D36" s="637">
        <v>1510</v>
      </c>
      <c r="E36" s="637">
        <v>1587</v>
      </c>
      <c r="F36" s="637">
        <v>1644</v>
      </c>
      <c r="G36" s="637">
        <v>1719</v>
      </c>
      <c r="H36" s="637">
        <v>1731</v>
      </c>
      <c r="I36" s="1642">
        <v>1843</v>
      </c>
    </row>
    <row r="37" spans="1:9" x14ac:dyDescent="0.25">
      <c r="A37" s="635" t="s">
        <v>84</v>
      </c>
      <c r="B37" s="636" t="s">
        <v>85</v>
      </c>
      <c r="C37" s="636" t="s">
        <v>265</v>
      </c>
      <c r="D37" s="637">
        <v>5842</v>
      </c>
      <c r="E37" s="637">
        <v>6077</v>
      </c>
      <c r="F37" s="637">
        <v>6505</v>
      </c>
      <c r="G37" s="637">
        <v>6489</v>
      </c>
      <c r="H37" s="637">
        <v>6409</v>
      </c>
      <c r="I37" s="1642">
        <v>6514</v>
      </c>
    </row>
    <row r="38" spans="1:9" x14ac:dyDescent="0.25">
      <c r="A38" s="635" t="s">
        <v>86</v>
      </c>
      <c r="B38" s="636" t="s">
        <v>87</v>
      </c>
      <c r="C38" s="636" t="s">
        <v>267</v>
      </c>
      <c r="D38" s="637">
        <v>5125</v>
      </c>
      <c r="E38" s="637">
        <v>5611</v>
      </c>
      <c r="F38" s="637">
        <v>5942</v>
      </c>
      <c r="G38" s="637">
        <v>6190</v>
      </c>
      <c r="H38" s="637">
        <v>6271</v>
      </c>
      <c r="I38" s="1642">
        <v>6495</v>
      </c>
    </row>
    <row r="39" spans="1:9" x14ac:dyDescent="0.25">
      <c r="A39" s="635" t="s">
        <v>92</v>
      </c>
      <c r="B39" s="636" t="s">
        <v>93</v>
      </c>
      <c r="C39" s="636" t="s">
        <v>268</v>
      </c>
      <c r="D39" s="637">
        <v>2209</v>
      </c>
      <c r="E39" s="637">
        <v>2338</v>
      </c>
      <c r="F39" s="637">
        <v>2378</v>
      </c>
      <c r="G39" s="637">
        <v>2274</v>
      </c>
      <c r="H39" s="637">
        <v>2319</v>
      </c>
      <c r="I39" s="1642">
        <v>2409</v>
      </c>
    </row>
    <row r="40" spans="1:9" x14ac:dyDescent="0.25">
      <c r="A40" s="635" t="s">
        <v>94</v>
      </c>
      <c r="B40" s="636" t="s">
        <v>95</v>
      </c>
      <c r="C40" s="636" t="s">
        <v>264</v>
      </c>
      <c r="D40" s="637">
        <v>2887</v>
      </c>
      <c r="E40" s="637">
        <v>2992</v>
      </c>
      <c r="F40" s="637">
        <v>3182</v>
      </c>
      <c r="G40" s="637">
        <v>3243</v>
      </c>
      <c r="H40" s="637">
        <v>3337</v>
      </c>
      <c r="I40" s="1642">
        <v>3469</v>
      </c>
    </row>
    <row r="41" spans="1:9" x14ac:dyDescent="0.25">
      <c r="A41" s="635" t="s">
        <v>96</v>
      </c>
      <c r="B41" s="636" t="s">
        <v>97</v>
      </c>
      <c r="C41" s="636" t="s">
        <v>266</v>
      </c>
      <c r="D41" s="637">
        <v>1101</v>
      </c>
      <c r="E41" s="637">
        <v>1166</v>
      </c>
      <c r="F41" s="637">
        <v>1154</v>
      </c>
      <c r="G41" s="637">
        <v>1186</v>
      </c>
      <c r="H41" s="637">
        <v>1211</v>
      </c>
      <c r="I41" s="1642">
        <v>1310</v>
      </c>
    </row>
    <row r="42" spans="1:9" x14ac:dyDescent="0.25">
      <c r="A42" s="635" t="s">
        <v>98</v>
      </c>
      <c r="B42" s="636" t="s">
        <v>99</v>
      </c>
      <c r="C42" s="636" t="s">
        <v>268</v>
      </c>
      <c r="D42" s="637">
        <v>2421</v>
      </c>
      <c r="E42" s="637">
        <v>2523</v>
      </c>
      <c r="F42" s="637">
        <v>2596</v>
      </c>
      <c r="G42" s="637">
        <v>2611</v>
      </c>
      <c r="H42" s="637">
        <v>2582</v>
      </c>
      <c r="I42" s="1642">
        <v>2588</v>
      </c>
    </row>
    <row r="43" spans="1:9" x14ac:dyDescent="0.25">
      <c r="A43" s="635" t="s">
        <v>100</v>
      </c>
      <c r="B43" s="636" t="s">
        <v>101</v>
      </c>
      <c r="C43" s="636" t="s">
        <v>267</v>
      </c>
      <c r="D43" s="637">
        <v>1527</v>
      </c>
      <c r="E43" s="637">
        <v>1585</v>
      </c>
      <c r="F43" s="637">
        <v>1671</v>
      </c>
      <c r="G43" s="637">
        <v>1729</v>
      </c>
      <c r="H43" s="637">
        <v>1801</v>
      </c>
      <c r="I43" s="1642">
        <v>1824</v>
      </c>
    </row>
    <row r="44" spans="1:9" x14ac:dyDescent="0.25">
      <c r="A44" s="635" t="s">
        <v>102</v>
      </c>
      <c r="B44" s="636" t="s">
        <v>282</v>
      </c>
      <c r="C44" s="636" t="s">
        <v>264</v>
      </c>
      <c r="D44" s="637">
        <v>2936</v>
      </c>
      <c r="E44" s="637">
        <v>3078</v>
      </c>
      <c r="F44" s="637">
        <v>3213</v>
      </c>
      <c r="G44" s="637">
        <v>3268</v>
      </c>
      <c r="H44" s="637">
        <v>3249</v>
      </c>
      <c r="I44" s="1642">
        <v>3302</v>
      </c>
    </row>
    <row r="45" spans="1:9" x14ac:dyDescent="0.25">
      <c r="A45" s="635" t="s">
        <v>104</v>
      </c>
      <c r="B45" s="636" t="s">
        <v>105</v>
      </c>
      <c r="C45" s="636" t="s">
        <v>265</v>
      </c>
      <c r="D45" s="637">
        <v>6002</v>
      </c>
      <c r="E45" s="637">
        <v>6226</v>
      </c>
      <c r="F45" s="637">
        <v>6414</v>
      </c>
      <c r="G45" s="637">
        <v>6377</v>
      </c>
      <c r="H45" s="637">
        <v>6416</v>
      </c>
      <c r="I45" s="1642">
        <v>6557</v>
      </c>
    </row>
    <row r="46" spans="1:9" x14ac:dyDescent="0.25">
      <c r="A46" s="635" t="s">
        <v>108</v>
      </c>
      <c r="B46" s="636" t="s">
        <v>109</v>
      </c>
      <c r="C46" s="636" t="s">
        <v>266</v>
      </c>
      <c r="D46" s="637">
        <v>4638</v>
      </c>
      <c r="E46" s="637">
        <v>4917</v>
      </c>
      <c r="F46" s="637">
        <v>5158</v>
      </c>
      <c r="G46" s="637">
        <v>5228</v>
      </c>
      <c r="H46" s="637">
        <v>5354</v>
      </c>
      <c r="I46" s="1642">
        <v>5695</v>
      </c>
    </row>
    <row r="47" spans="1:9" x14ac:dyDescent="0.25">
      <c r="A47" s="635" t="s">
        <v>110</v>
      </c>
      <c r="B47" s="636" t="s">
        <v>111</v>
      </c>
      <c r="C47" s="636" t="s">
        <v>266</v>
      </c>
      <c r="D47" s="637">
        <v>23197</v>
      </c>
      <c r="E47" s="637">
        <v>24646</v>
      </c>
      <c r="F47" s="637">
        <v>26257</v>
      </c>
      <c r="G47" s="637">
        <v>27064</v>
      </c>
      <c r="H47" s="637">
        <v>27773</v>
      </c>
      <c r="I47" s="1642">
        <v>28708</v>
      </c>
    </row>
    <row r="48" spans="1:9" x14ac:dyDescent="0.25">
      <c r="A48" s="635" t="s">
        <v>112</v>
      </c>
      <c r="B48" s="636" t="s">
        <v>300</v>
      </c>
      <c r="C48" s="636" t="s">
        <v>265</v>
      </c>
      <c r="D48" s="637">
        <v>11091</v>
      </c>
      <c r="E48" s="637">
        <v>11532</v>
      </c>
      <c r="F48" s="637">
        <v>12321</v>
      </c>
      <c r="G48" s="637">
        <v>12567</v>
      </c>
      <c r="H48" s="637">
        <v>12648</v>
      </c>
      <c r="I48" s="1642">
        <v>12978</v>
      </c>
    </row>
    <row r="49" spans="1:9" x14ac:dyDescent="0.25">
      <c r="A49" s="635" t="s">
        <v>114</v>
      </c>
      <c r="B49" s="636" t="s">
        <v>115</v>
      </c>
      <c r="C49" s="636" t="s">
        <v>265</v>
      </c>
      <c r="D49" s="637">
        <v>186</v>
      </c>
      <c r="E49" s="637">
        <v>203</v>
      </c>
      <c r="F49" s="637">
        <v>213</v>
      </c>
      <c r="G49" s="637">
        <v>186</v>
      </c>
      <c r="H49" s="637">
        <v>243</v>
      </c>
      <c r="I49" s="1642">
        <v>282</v>
      </c>
    </row>
    <row r="50" spans="1:9" x14ac:dyDescent="0.25">
      <c r="A50" s="635" t="s">
        <v>118</v>
      </c>
      <c r="B50" s="636" t="s">
        <v>270</v>
      </c>
      <c r="C50" s="636" t="s">
        <v>264</v>
      </c>
      <c r="D50" s="637">
        <v>2959</v>
      </c>
      <c r="E50" s="637">
        <v>3091</v>
      </c>
      <c r="F50" s="637">
        <v>3176</v>
      </c>
      <c r="G50" s="637">
        <v>3218</v>
      </c>
      <c r="H50" s="637">
        <v>3151</v>
      </c>
      <c r="I50" s="1642">
        <v>3244</v>
      </c>
    </row>
    <row r="51" spans="1:9" x14ac:dyDescent="0.25">
      <c r="A51" s="635" t="s">
        <v>120</v>
      </c>
      <c r="B51" s="636" t="s">
        <v>121</v>
      </c>
      <c r="C51" s="636" t="s">
        <v>264</v>
      </c>
      <c r="D51" s="637">
        <v>3388</v>
      </c>
      <c r="E51" s="637">
        <v>3575</v>
      </c>
      <c r="F51" s="637">
        <v>3773</v>
      </c>
      <c r="G51" s="637">
        <v>3922</v>
      </c>
      <c r="H51" s="637">
        <v>3979</v>
      </c>
      <c r="I51" s="1642">
        <v>4191</v>
      </c>
    </row>
    <row r="52" spans="1:9" x14ac:dyDescent="0.25">
      <c r="A52" s="635" t="s">
        <v>122</v>
      </c>
      <c r="B52" s="636" t="s">
        <v>287</v>
      </c>
      <c r="C52" s="636" t="s">
        <v>266</v>
      </c>
      <c r="D52" s="637">
        <v>915</v>
      </c>
      <c r="E52" s="637">
        <v>965</v>
      </c>
      <c r="F52" s="637">
        <v>965</v>
      </c>
      <c r="G52" s="637">
        <v>974</v>
      </c>
      <c r="H52" s="637">
        <v>1017</v>
      </c>
      <c r="I52" s="1642">
        <v>1017</v>
      </c>
    </row>
    <row r="53" spans="1:9" x14ac:dyDescent="0.25">
      <c r="A53" s="635" t="s">
        <v>124</v>
      </c>
      <c r="B53" s="636" t="s">
        <v>125</v>
      </c>
      <c r="C53" s="636" t="s">
        <v>267</v>
      </c>
      <c r="D53" s="637">
        <v>1540</v>
      </c>
      <c r="E53" s="637">
        <v>1699</v>
      </c>
      <c r="F53" s="637">
        <v>1866</v>
      </c>
      <c r="G53" s="637">
        <v>1907</v>
      </c>
      <c r="H53" s="637">
        <v>1908</v>
      </c>
      <c r="I53" s="1642">
        <v>2044</v>
      </c>
    </row>
    <row r="54" spans="1:9" x14ac:dyDescent="0.25">
      <c r="A54" s="635" t="s">
        <v>126</v>
      </c>
      <c r="B54" s="636" t="s">
        <v>127</v>
      </c>
      <c r="C54" s="636" t="s">
        <v>266</v>
      </c>
      <c r="D54" s="637">
        <v>1319</v>
      </c>
      <c r="E54" s="637">
        <v>1400</v>
      </c>
      <c r="F54" s="637">
        <v>1493</v>
      </c>
      <c r="G54" s="637">
        <v>1489</v>
      </c>
      <c r="H54" s="637">
        <v>1506</v>
      </c>
      <c r="I54" s="1642">
        <v>1543</v>
      </c>
    </row>
    <row r="55" spans="1:9" x14ac:dyDescent="0.25">
      <c r="A55" s="635" t="s">
        <v>128</v>
      </c>
      <c r="B55" s="636" t="s">
        <v>129</v>
      </c>
      <c r="C55" s="636" t="s">
        <v>266</v>
      </c>
      <c r="D55" s="637">
        <v>1246</v>
      </c>
      <c r="E55" s="637">
        <v>1294</v>
      </c>
      <c r="F55" s="637">
        <v>1341</v>
      </c>
      <c r="G55" s="637">
        <v>1371</v>
      </c>
      <c r="H55" s="637">
        <v>1368</v>
      </c>
      <c r="I55" s="1642">
        <v>1397</v>
      </c>
    </row>
    <row r="56" spans="1:9" x14ac:dyDescent="0.25">
      <c r="A56" s="635" t="s">
        <v>130</v>
      </c>
      <c r="B56" s="636" t="s">
        <v>131</v>
      </c>
      <c r="C56" s="636" t="s">
        <v>268</v>
      </c>
      <c r="D56" s="637">
        <v>5449</v>
      </c>
      <c r="E56" s="637">
        <v>5478</v>
      </c>
      <c r="F56" s="637">
        <v>5636</v>
      </c>
      <c r="G56" s="637">
        <v>5578</v>
      </c>
      <c r="H56" s="637">
        <v>5575</v>
      </c>
      <c r="I56" s="1642">
        <v>5609</v>
      </c>
    </row>
    <row r="57" spans="1:9" x14ac:dyDescent="0.25">
      <c r="A57" s="635" t="s">
        <v>132</v>
      </c>
      <c r="B57" s="636" t="s">
        <v>133</v>
      </c>
      <c r="C57" s="636" t="s">
        <v>267</v>
      </c>
      <c r="D57" s="637">
        <v>9252</v>
      </c>
      <c r="E57" s="637">
        <v>10223</v>
      </c>
      <c r="F57" s="637">
        <v>11119</v>
      </c>
      <c r="G57" s="637">
        <v>11769</v>
      </c>
      <c r="H57" s="637">
        <v>12165</v>
      </c>
      <c r="I57" s="1642">
        <v>13957</v>
      </c>
    </row>
    <row r="58" spans="1:9" x14ac:dyDescent="0.25">
      <c r="A58" s="635" t="s">
        <v>134</v>
      </c>
      <c r="B58" s="636" t="s">
        <v>135</v>
      </c>
      <c r="C58" s="636" t="s">
        <v>267</v>
      </c>
      <c r="D58" s="637">
        <v>3085</v>
      </c>
      <c r="E58" s="637">
        <v>3288</v>
      </c>
      <c r="F58" s="637">
        <v>3457</v>
      </c>
      <c r="G58" s="637">
        <v>3513</v>
      </c>
      <c r="H58" s="637">
        <v>3631</v>
      </c>
      <c r="I58" s="1642">
        <v>3886</v>
      </c>
    </row>
    <row r="59" spans="1:9" x14ac:dyDescent="0.25">
      <c r="A59" s="635" t="s">
        <v>136</v>
      </c>
      <c r="B59" s="636" t="s">
        <v>137</v>
      </c>
      <c r="C59" s="636" t="s">
        <v>266</v>
      </c>
      <c r="D59" s="637">
        <v>1954</v>
      </c>
      <c r="E59" s="637">
        <v>2038</v>
      </c>
      <c r="F59" s="637">
        <v>1988</v>
      </c>
      <c r="G59" s="637">
        <v>1965</v>
      </c>
      <c r="H59" s="637">
        <v>1983</v>
      </c>
      <c r="I59" s="1642">
        <v>2053</v>
      </c>
    </row>
    <row r="60" spans="1:9" x14ac:dyDescent="0.25">
      <c r="A60" s="635" t="s">
        <v>140</v>
      </c>
      <c r="B60" s="636" t="s">
        <v>141</v>
      </c>
      <c r="C60" s="636" t="s">
        <v>267</v>
      </c>
      <c r="D60" s="637">
        <v>1218</v>
      </c>
      <c r="E60" s="637">
        <v>1258</v>
      </c>
      <c r="F60" s="637">
        <v>1336</v>
      </c>
      <c r="G60" s="637">
        <v>1381</v>
      </c>
      <c r="H60" s="637">
        <v>1411</v>
      </c>
      <c r="I60" s="1642">
        <v>1462</v>
      </c>
    </row>
    <row r="61" spans="1:9" x14ac:dyDescent="0.25">
      <c r="A61" s="635" t="s">
        <v>146</v>
      </c>
      <c r="B61" s="636" t="s">
        <v>147</v>
      </c>
      <c r="C61" s="636" t="s">
        <v>264</v>
      </c>
      <c r="D61" s="637">
        <v>782</v>
      </c>
      <c r="E61" s="637">
        <v>777</v>
      </c>
      <c r="F61" s="637">
        <v>806</v>
      </c>
      <c r="G61" s="637">
        <v>805</v>
      </c>
      <c r="H61" s="637">
        <v>826</v>
      </c>
      <c r="I61" s="1642">
        <v>867</v>
      </c>
    </row>
    <row r="62" spans="1:9" x14ac:dyDescent="0.25">
      <c r="A62" s="635" t="s">
        <v>148</v>
      </c>
      <c r="B62" s="636" t="s">
        <v>149</v>
      </c>
      <c r="C62" s="636" t="s">
        <v>265</v>
      </c>
      <c r="D62" s="637">
        <v>4728</v>
      </c>
      <c r="E62" s="637">
        <v>4901</v>
      </c>
      <c r="F62" s="637">
        <v>5089</v>
      </c>
      <c r="G62" s="637">
        <v>5094</v>
      </c>
      <c r="H62" s="637">
        <v>5111</v>
      </c>
      <c r="I62" s="1642">
        <v>5103</v>
      </c>
    </row>
    <row r="63" spans="1:9" x14ac:dyDescent="0.25">
      <c r="A63" s="635" t="s">
        <v>150</v>
      </c>
      <c r="B63" s="636" t="s">
        <v>151</v>
      </c>
      <c r="C63" s="636" t="s">
        <v>266</v>
      </c>
      <c r="D63" s="637">
        <v>1036</v>
      </c>
      <c r="E63" s="637">
        <v>1100</v>
      </c>
      <c r="F63" s="637">
        <v>1207</v>
      </c>
      <c r="G63" s="637">
        <v>1248</v>
      </c>
      <c r="H63" s="637">
        <v>1242</v>
      </c>
      <c r="I63" s="1642">
        <v>1329</v>
      </c>
    </row>
    <row r="64" spans="1:9" x14ac:dyDescent="0.25">
      <c r="A64" s="635" t="s">
        <v>152</v>
      </c>
      <c r="B64" s="636" t="s">
        <v>153</v>
      </c>
      <c r="C64" s="636" t="s">
        <v>268</v>
      </c>
      <c r="D64" s="637">
        <v>6206</v>
      </c>
      <c r="E64" s="637">
        <v>6377</v>
      </c>
      <c r="F64" s="637">
        <v>6590</v>
      </c>
      <c r="G64" s="637">
        <v>6641</v>
      </c>
      <c r="H64" s="637">
        <v>6657</v>
      </c>
      <c r="I64" s="1642">
        <v>6721</v>
      </c>
    </row>
    <row r="65" spans="1:9" x14ac:dyDescent="0.25">
      <c r="A65" s="635" t="s">
        <v>154</v>
      </c>
      <c r="B65" s="636" t="s">
        <v>155</v>
      </c>
      <c r="C65" s="636" t="s">
        <v>265</v>
      </c>
      <c r="D65" s="637">
        <v>1780</v>
      </c>
      <c r="E65" s="637">
        <v>1857</v>
      </c>
      <c r="F65" s="637">
        <v>1926</v>
      </c>
      <c r="G65" s="637">
        <v>1898</v>
      </c>
      <c r="H65" s="637">
        <v>1914</v>
      </c>
      <c r="I65" s="1642">
        <v>1970</v>
      </c>
    </row>
    <row r="66" spans="1:9" x14ac:dyDescent="0.25">
      <c r="A66" s="635" t="s">
        <v>156</v>
      </c>
      <c r="B66" s="636" t="s">
        <v>157</v>
      </c>
      <c r="C66" s="636" t="s">
        <v>266</v>
      </c>
      <c r="D66" s="637">
        <v>945</v>
      </c>
      <c r="E66" s="637">
        <v>972</v>
      </c>
      <c r="F66" s="637">
        <v>1039</v>
      </c>
      <c r="G66" s="637">
        <v>1073</v>
      </c>
      <c r="H66" s="637">
        <v>1089</v>
      </c>
      <c r="I66" s="1642">
        <v>1223</v>
      </c>
    </row>
    <row r="67" spans="1:9" x14ac:dyDescent="0.25">
      <c r="A67" s="635" t="s">
        <v>162</v>
      </c>
      <c r="B67" s="636" t="s">
        <v>163</v>
      </c>
      <c r="C67" s="636" t="s">
        <v>264</v>
      </c>
      <c r="D67" s="637">
        <v>2313</v>
      </c>
      <c r="E67" s="637">
        <v>2369</v>
      </c>
      <c r="F67" s="637">
        <v>2443</v>
      </c>
      <c r="G67" s="637">
        <v>2435</v>
      </c>
      <c r="H67" s="637">
        <v>2450</v>
      </c>
      <c r="I67" s="1642">
        <v>2410</v>
      </c>
    </row>
    <row r="68" spans="1:9" x14ac:dyDescent="0.25">
      <c r="A68" s="635" t="s">
        <v>164</v>
      </c>
      <c r="B68" s="636" t="s">
        <v>165</v>
      </c>
      <c r="C68" s="636" t="s">
        <v>266</v>
      </c>
      <c r="D68" s="637">
        <v>1300</v>
      </c>
      <c r="E68" s="637">
        <v>1332</v>
      </c>
      <c r="F68" s="637">
        <v>1409</v>
      </c>
      <c r="G68" s="637">
        <v>1464</v>
      </c>
      <c r="H68" s="637">
        <v>1451</v>
      </c>
      <c r="I68" s="1642">
        <v>1467</v>
      </c>
    </row>
    <row r="69" spans="1:9" x14ac:dyDescent="0.25">
      <c r="A69" s="635" t="s">
        <v>168</v>
      </c>
      <c r="B69" s="636" t="s">
        <v>169</v>
      </c>
      <c r="C69" s="636" t="s">
        <v>266</v>
      </c>
      <c r="D69" s="637">
        <v>2301</v>
      </c>
      <c r="E69" s="637">
        <v>2387</v>
      </c>
      <c r="F69" s="637">
        <v>2497</v>
      </c>
      <c r="G69" s="637">
        <v>2544</v>
      </c>
      <c r="H69" s="637">
        <v>2544</v>
      </c>
      <c r="I69" s="1642">
        <v>2577</v>
      </c>
    </row>
    <row r="70" spans="1:9" x14ac:dyDescent="0.25">
      <c r="A70" s="635" t="s">
        <v>170</v>
      </c>
      <c r="B70" s="636" t="s">
        <v>171</v>
      </c>
      <c r="C70" s="636" t="s">
        <v>267</v>
      </c>
      <c r="D70" s="637">
        <v>2741</v>
      </c>
      <c r="E70" s="637">
        <v>2880</v>
      </c>
      <c r="F70" s="637">
        <v>3035</v>
      </c>
      <c r="G70" s="637">
        <v>3145</v>
      </c>
      <c r="H70" s="637">
        <v>3300</v>
      </c>
      <c r="I70" s="1642">
        <v>3487</v>
      </c>
    </row>
    <row r="71" spans="1:9" x14ac:dyDescent="0.25">
      <c r="A71" s="635" t="s">
        <v>172</v>
      </c>
      <c r="B71" s="636" t="s">
        <v>173</v>
      </c>
      <c r="C71" s="636" t="s">
        <v>267</v>
      </c>
      <c r="D71" s="637">
        <v>3024</v>
      </c>
      <c r="E71" s="637">
        <v>3123</v>
      </c>
      <c r="F71" s="637">
        <v>3313</v>
      </c>
      <c r="G71" s="637">
        <v>3330</v>
      </c>
      <c r="H71" s="637">
        <v>3258</v>
      </c>
      <c r="I71" s="1642">
        <v>3313</v>
      </c>
    </row>
    <row r="72" spans="1:9" x14ac:dyDescent="0.25">
      <c r="A72" s="635" t="s">
        <v>174</v>
      </c>
      <c r="B72" s="636" t="s">
        <v>175</v>
      </c>
      <c r="C72" s="636" t="s">
        <v>268</v>
      </c>
      <c r="D72" s="637">
        <v>2746</v>
      </c>
      <c r="E72" s="637">
        <v>2818</v>
      </c>
      <c r="F72" s="637">
        <v>2961</v>
      </c>
      <c r="G72" s="637">
        <v>2989</v>
      </c>
      <c r="H72" s="637">
        <v>2966</v>
      </c>
      <c r="I72" s="1642">
        <v>2991</v>
      </c>
    </row>
    <row r="73" spans="1:9" x14ac:dyDescent="0.25">
      <c r="A73" s="635" t="s">
        <v>178</v>
      </c>
      <c r="B73" s="636" t="s">
        <v>179</v>
      </c>
      <c r="C73" s="636" t="s">
        <v>265</v>
      </c>
      <c r="D73" s="637">
        <v>8254</v>
      </c>
      <c r="E73" s="637">
        <v>8598</v>
      </c>
      <c r="F73" s="637">
        <v>8782</v>
      </c>
      <c r="G73" s="637">
        <v>8823</v>
      </c>
      <c r="H73" s="637">
        <v>9030</v>
      </c>
      <c r="I73" s="1642">
        <v>9229</v>
      </c>
    </row>
    <row r="74" spans="1:9" x14ac:dyDescent="0.25">
      <c r="A74" s="635" t="s">
        <v>182</v>
      </c>
      <c r="B74" s="636" t="s">
        <v>183</v>
      </c>
      <c r="C74" s="636" t="s">
        <v>266</v>
      </c>
      <c r="D74" s="637">
        <v>1185</v>
      </c>
      <c r="E74" s="637">
        <v>1284</v>
      </c>
      <c r="F74" s="637">
        <v>1393</v>
      </c>
      <c r="G74" s="637">
        <v>1402</v>
      </c>
      <c r="H74" s="637">
        <v>1391</v>
      </c>
      <c r="I74" s="1642">
        <v>1448</v>
      </c>
    </row>
    <row r="75" spans="1:9" x14ac:dyDescent="0.25">
      <c r="A75" s="635" t="s">
        <v>184</v>
      </c>
      <c r="B75" s="636" t="s">
        <v>185</v>
      </c>
      <c r="C75" s="636" t="s">
        <v>266</v>
      </c>
      <c r="D75" s="637">
        <v>2691</v>
      </c>
      <c r="E75" s="637">
        <v>2842</v>
      </c>
      <c r="F75" s="637">
        <v>2929</v>
      </c>
      <c r="G75" s="637">
        <v>2926</v>
      </c>
      <c r="H75" s="637">
        <v>3028</v>
      </c>
      <c r="I75" s="1642">
        <v>3078</v>
      </c>
    </row>
    <row r="76" spans="1:9" x14ac:dyDescent="0.25">
      <c r="A76" s="635" t="s">
        <v>186</v>
      </c>
      <c r="B76" s="636" t="s">
        <v>187</v>
      </c>
      <c r="C76" s="636" t="s">
        <v>264</v>
      </c>
      <c r="D76" s="637">
        <v>2063</v>
      </c>
      <c r="E76" s="637">
        <v>2200</v>
      </c>
      <c r="F76" s="637">
        <v>2322</v>
      </c>
      <c r="G76" s="637">
        <v>2383</v>
      </c>
      <c r="H76" s="637">
        <v>2518</v>
      </c>
      <c r="I76" s="1642">
        <v>2768</v>
      </c>
    </row>
    <row r="77" spans="1:9" x14ac:dyDescent="0.25">
      <c r="A77" s="635" t="s">
        <v>188</v>
      </c>
      <c r="B77" s="636" t="s">
        <v>189</v>
      </c>
      <c r="C77" s="636" t="s">
        <v>267</v>
      </c>
      <c r="D77" s="637">
        <v>24322</v>
      </c>
      <c r="E77" s="637">
        <v>26415</v>
      </c>
      <c r="F77" s="637">
        <v>28234</v>
      </c>
      <c r="G77" s="637">
        <v>29694</v>
      </c>
      <c r="H77" s="637">
        <v>29589</v>
      </c>
      <c r="I77" s="1642">
        <v>31604</v>
      </c>
    </row>
    <row r="78" spans="1:9" x14ac:dyDescent="0.25">
      <c r="A78" s="635" t="s">
        <v>190</v>
      </c>
      <c r="B78" s="636" t="s">
        <v>191</v>
      </c>
      <c r="C78" s="636" t="s">
        <v>268</v>
      </c>
      <c r="D78" s="637">
        <v>4634</v>
      </c>
      <c r="E78" s="637">
        <v>4854</v>
      </c>
      <c r="F78" s="637">
        <v>5070</v>
      </c>
      <c r="G78" s="637">
        <v>5275</v>
      </c>
      <c r="H78" s="637">
        <v>5242</v>
      </c>
      <c r="I78" s="1642">
        <v>5193</v>
      </c>
    </row>
    <row r="79" spans="1:9" x14ac:dyDescent="0.25">
      <c r="A79" s="635" t="s">
        <v>194</v>
      </c>
      <c r="B79" s="636" t="s">
        <v>195</v>
      </c>
      <c r="C79" s="636" t="s">
        <v>267</v>
      </c>
      <c r="D79" s="637">
        <v>496</v>
      </c>
      <c r="E79" s="637">
        <v>547</v>
      </c>
      <c r="F79" s="637">
        <v>603</v>
      </c>
      <c r="G79" s="637">
        <v>605</v>
      </c>
      <c r="H79" s="637">
        <v>582</v>
      </c>
      <c r="I79" s="1642">
        <v>601</v>
      </c>
    </row>
    <row r="80" spans="1:9" x14ac:dyDescent="0.25">
      <c r="A80" s="635" t="s">
        <v>198</v>
      </c>
      <c r="B80" s="636" t="s">
        <v>272</v>
      </c>
      <c r="C80" s="636" t="s">
        <v>266</v>
      </c>
      <c r="D80" s="637">
        <v>1053</v>
      </c>
      <c r="E80" s="637">
        <v>1105</v>
      </c>
      <c r="F80" s="637">
        <v>1127</v>
      </c>
      <c r="G80" s="637">
        <v>1162</v>
      </c>
      <c r="H80" s="637">
        <v>1186</v>
      </c>
      <c r="I80" s="1642">
        <v>1272</v>
      </c>
    </row>
    <row r="81" spans="1:9" x14ac:dyDescent="0.25">
      <c r="A81" s="635" t="s">
        <v>202</v>
      </c>
      <c r="B81" s="636" t="s">
        <v>301</v>
      </c>
      <c r="C81" s="636" t="s">
        <v>265</v>
      </c>
      <c r="D81" s="637">
        <v>7505</v>
      </c>
      <c r="E81" s="637">
        <v>7998</v>
      </c>
      <c r="F81" s="637">
        <v>8375</v>
      </c>
      <c r="G81" s="637">
        <v>8691</v>
      </c>
      <c r="H81" s="637">
        <v>8688</v>
      </c>
      <c r="I81" s="1642">
        <v>8981</v>
      </c>
    </row>
    <row r="82" spans="1:9" x14ac:dyDescent="0.25">
      <c r="A82" s="635" t="s">
        <v>204</v>
      </c>
      <c r="B82" s="636" t="s">
        <v>293</v>
      </c>
      <c r="C82" s="636" t="s">
        <v>265</v>
      </c>
      <c r="D82" s="637">
        <v>3552</v>
      </c>
      <c r="E82" s="637">
        <v>3688</v>
      </c>
      <c r="F82" s="637">
        <v>3857</v>
      </c>
      <c r="G82" s="637">
        <v>3950</v>
      </c>
      <c r="H82" s="637">
        <v>4011</v>
      </c>
      <c r="I82" s="1642">
        <v>4090</v>
      </c>
    </row>
    <row r="83" spans="1:9" x14ac:dyDescent="0.25">
      <c r="A83" s="635" t="s">
        <v>206</v>
      </c>
      <c r="B83" s="636" t="s">
        <v>294</v>
      </c>
      <c r="C83" s="636" t="s">
        <v>267</v>
      </c>
      <c r="D83" s="637">
        <v>9549</v>
      </c>
      <c r="E83" s="637">
        <v>9950</v>
      </c>
      <c r="F83" s="637">
        <v>10400</v>
      </c>
      <c r="G83" s="637">
        <v>10836</v>
      </c>
      <c r="H83" s="637">
        <v>10695</v>
      </c>
      <c r="I83" s="1642">
        <v>10929</v>
      </c>
    </row>
    <row r="84" spans="1:9" x14ac:dyDescent="0.25">
      <c r="A84" s="635" t="s">
        <v>208</v>
      </c>
      <c r="B84" s="636" t="s">
        <v>209</v>
      </c>
      <c r="C84" s="636" t="s">
        <v>268</v>
      </c>
      <c r="D84" s="637">
        <v>5194</v>
      </c>
      <c r="E84" s="637">
        <v>5231</v>
      </c>
      <c r="F84" s="637">
        <v>5221</v>
      </c>
      <c r="G84" s="637">
        <v>5260</v>
      </c>
      <c r="H84" s="637">
        <v>5299</v>
      </c>
      <c r="I84" s="1642">
        <v>5315</v>
      </c>
    </row>
    <row r="85" spans="1:9" x14ac:dyDescent="0.25">
      <c r="A85" s="635" t="s">
        <v>210</v>
      </c>
      <c r="B85" s="636" t="s">
        <v>211</v>
      </c>
      <c r="C85" s="636" t="s">
        <v>268</v>
      </c>
      <c r="D85" s="637">
        <v>3783</v>
      </c>
      <c r="E85" s="637">
        <v>3903</v>
      </c>
      <c r="F85" s="637">
        <v>4008</v>
      </c>
      <c r="G85" s="637">
        <v>4087</v>
      </c>
      <c r="H85" s="637">
        <v>4056</v>
      </c>
      <c r="I85" s="1642">
        <v>4008</v>
      </c>
    </row>
    <row r="86" spans="1:9" x14ac:dyDescent="0.25">
      <c r="A86" s="635" t="s">
        <v>212</v>
      </c>
      <c r="B86" s="636" t="s">
        <v>213</v>
      </c>
      <c r="C86" s="636" t="s">
        <v>267</v>
      </c>
      <c r="D86" s="637">
        <v>3754</v>
      </c>
      <c r="E86" s="637">
        <v>3980</v>
      </c>
      <c r="F86" s="637">
        <v>4237</v>
      </c>
      <c r="G86" s="637">
        <v>4430</v>
      </c>
      <c r="H86" s="637">
        <v>4394</v>
      </c>
      <c r="I86" s="1642">
        <v>4469</v>
      </c>
    </row>
    <row r="87" spans="1:9" x14ac:dyDescent="0.25">
      <c r="A87" s="635" t="s">
        <v>214</v>
      </c>
      <c r="B87" s="636" t="s">
        <v>215</v>
      </c>
      <c r="C87" s="636" t="s">
        <v>268</v>
      </c>
      <c r="D87" s="637">
        <v>5150</v>
      </c>
      <c r="E87" s="637">
        <v>5368</v>
      </c>
      <c r="F87" s="637">
        <v>5554</v>
      </c>
      <c r="G87" s="637">
        <v>5745</v>
      </c>
      <c r="H87" s="637">
        <v>5555</v>
      </c>
      <c r="I87" s="1642">
        <v>5559</v>
      </c>
    </row>
    <row r="88" spans="1:9" x14ac:dyDescent="0.25">
      <c r="A88" s="635" t="s">
        <v>216</v>
      </c>
      <c r="B88" s="636" t="s">
        <v>217</v>
      </c>
      <c r="C88" s="636" t="s">
        <v>264</v>
      </c>
      <c r="D88" s="637">
        <v>2217</v>
      </c>
      <c r="E88" s="637">
        <v>2257</v>
      </c>
      <c r="F88" s="637">
        <v>2332</v>
      </c>
      <c r="G88" s="637">
        <v>2358</v>
      </c>
      <c r="H88" s="637">
        <v>2358</v>
      </c>
      <c r="I88" s="1642">
        <v>2365</v>
      </c>
    </row>
    <row r="89" spans="1:9" x14ac:dyDescent="0.25">
      <c r="A89" s="635" t="s">
        <v>218</v>
      </c>
      <c r="B89" s="636" t="s">
        <v>219</v>
      </c>
      <c r="C89" s="636" t="s">
        <v>267</v>
      </c>
      <c r="D89" s="637">
        <v>7987</v>
      </c>
      <c r="E89" s="637">
        <v>8714</v>
      </c>
      <c r="F89" s="637">
        <v>9101</v>
      </c>
      <c r="G89" s="637">
        <v>9774</v>
      </c>
      <c r="H89" s="637">
        <v>10047</v>
      </c>
      <c r="I89" s="1642">
        <v>10895</v>
      </c>
    </row>
    <row r="90" spans="1:9" x14ac:dyDescent="0.25">
      <c r="A90" s="635" t="s">
        <v>220</v>
      </c>
      <c r="B90" s="636" t="s">
        <v>221</v>
      </c>
      <c r="C90" s="636" t="s">
        <v>267</v>
      </c>
      <c r="D90" s="637">
        <v>6610</v>
      </c>
      <c r="E90" s="637">
        <v>7061</v>
      </c>
      <c r="F90" s="637">
        <v>7544</v>
      </c>
      <c r="G90" s="637">
        <v>7902</v>
      </c>
      <c r="H90" s="637">
        <v>8063</v>
      </c>
      <c r="I90" s="1642">
        <v>8814</v>
      </c>
    </row>
    <row r="91" spans="1:9" x14ac:dyDescent="0.25">
      <c r="A91" s="635" t="s">
        <v>224</v>
      </c>
      <c r="B91" s="636" t="s">
        <v>225</v>
      </c>
      <c r="C91" s="636" t="s">
        <v>264</v>
      </c>
      <c r="D91" s="637">
        <v>792</v>
      </c>
      <c r="E91" s="637">
        <v>814</v>
      </c>
      <c r="F91" s="637">
        <v>823</v>
      </c>
      <c r="G91" s="637">
        <v>858</v>
      </c>
      <c r="H91" s="637">
        <v>864</v>
      </c>
      <c r="I91" s="1642">
        <v>869</v>
      </c>
    </row>
    <row r="92" spans="1:9" x14ac:dyDescent="0.25">
      <c r="A92" s="635" t="s">
        <v>226</v>
      </c>
      <c r="B92" s="636" t="s">
        <v>227</v>
      </c>
      <c r="C92" s="636" t="s">
        <v>264</v>
      </c>
      <c r="D92" s="637">
        <v>1492</v>
      </c>
      <c r="E92" s="637">
        <v>1481</v>
      </c>
      <c r="F92" s="637">
        <v>1529</v>
      </c>
      <c r="G92" s="637">
        <v>1590</v>
      </c>
      <c r="H92" s="637">
        <v>1580</v>
      </c>
      <c r="I92" s="1642">
        <v>1596</v>
      </c>
    </row>
    <row r="93" spans="1:9" x14ac:dyDescent="0.25">
      <c r="A93" s="635" t="s">
        <v>228</v>
      </c>
      <c r="B93" s="636" t="s">
        <v>229</v>
      </c>
      <c r="C93" s="636" t="s">
        <v>268</v>
      </c>
      <c r="D93" s="637">
        <v>7185</v>
      </c>
      <c r="E93" s="637">
        <v>7265</v>
      </c>
      <c r="F93" s="637">
        <v>7354</v>
      </c>
      <c r="G93" s="637">
        <v>7538</v>
      </c>
      <c r="H93" s="637">
        <v>7460</v>
      </c>
      <c r="I93" s="1642">
        <v>7469</v>
      </c>
    </row>
    <row r="94" spans="1:9" x14ac:dyDescent="0.25">
      <c r="A94" s="635" t="s">
        <v>232</v>
      </c>
      <c r="B94" s="636" t="s">
        <v>233</v>
      </c>
      <c r="C94" s="636" t="s">
        <v>267</v>
      </c>
      <c r="D94" s="637">
        <v>3307</v>
      </c>
      <c r="E94" s="637">
        <v>3552</v>
      </c>
      <c r="F94" s="637">
        <v>3749</v>
      </c>
      <c r="G94" s="637">
        <v>3974</v>
      </c>
      <c r="H94" s="637">
        <v>4010</v>
      </c>
      <c r="I94" s="1642">
        <v>4164</v>
      </c>
    </row>
    <row r="95" spans="1:9" x14ac:dyDescent="0.25">
      <c r="A95" s="635" t="s">
        <v>234</v>
      </c>
      <c r="B95" s="636" t="s">
        <v>235</v>
      </c>
      <c r="C95" s="636" t="s">
        <v>268</v>
      </c>
      <c r="D95" s="637">
        <v>6570</v>
      </c>
      <c r="E95" s="637">
        <v>6762</v>
      </c>
      <c r="F95" s="637">
        <v>7025</v>
      </c>
      <c r="G95" s="637">
        <v>7350</v>
      </c>
      <c r="H95" s="637">
        <v>7409</v>
      </c>
      <c r="I95" s="1642">
        <v>7383</v>
      </c>
    </row>
    <row r="96" spans="1:9" x14ac:dyDescent="0.25">
      <c r="A96" s="635" t="s">
        <v>236</v>
      </c>
      <c r="B96" s="636" t="s">
        <v>237</v>
      </c>
      <c r="C96" s="636" t="s">
        <v>266</v>
      </c>
      <c r="D96" s="637">
        <v>2231</v>
      </c>
      <c r="E96" s="637">
        <v>2372</v>
      </c>
      <c r="F96" s="637">
        <v>2447</v>
      </c>
      <c r="G96" s="637">
        <v>2509</v>
      </c>
      <c r="H96" s="637">
        <v>2476</v>
      </c>
      <c r="I96" s="1642">
        <v>2580</v>
      </c>
    </row>
    <row r="97" spans="1:9" x14ac:dyDescent="0.25">
      <c r="A97" s="635" t="s">
        <v>242</v>
      </c>
      <c r="B97" s="636" t="s">
        <v>243</v>
      </c>
      <c r="C97" s="636" t="s">
        <v>268</v>
      </c>
      <c r="D97" s="637">
        <v>7743</v>
      </c>
      <c r="E97" s="637">
        <v>7822</v>
      </c>
      <c r="F97" s="637">
        <v>8027</v>
      </c>
      <c r="G97" s="637">
        <v>8285</v>
      </c>
      <c r="H97" s="637">
        <v>8240</v>
      </c>
      <c r="I97" s="1642">
        <v>8016</v>
      </c>
    </row>
    <row r="98" spans="1:9" x14ac:dyDescent="0.25">
      <c r="A98" s="635" t="s">
        <v>244</v>
      </c>
      <c r="B98" s="636" t="s">
        <v>245</v>
      </c>
      <c r="C98" s="636" t="s">
        <v>268</v>
      </c>
      <c r="D98" s="637">
        <v>4009</v>
      </c>
      <c r="E98" s="637">
        <v>4170</v>
      </c>
      <c r="F98" s="637">
        <v>4360</v>
      </c>
      <c r="G98" s="637">
        <v>4454</v>
      </c>
      <c r="H98" s="637">
        <v>4375</v>
      </c>
      <c r="I98" s="1642">
        <v>4359</v>
      </c>
    </row>
    <row r="99" spans="1:9" x14ac:dyDescent="0.25">
      <c r="A99" s="635" t="s">
        <v>246</v>
      </c>
      <c r="B99" s="636" t="s">
        <v>247</v>
      </c>
      <c r="C99" s="636" t="s">
        <v>264</v>
      </c>
      <c r="D99" s="637">
        <v>2659</v>
      </c>
      <c r="E99" s="637">
        <v>2963</v>
      </c>
      <c r="F99" s="637">
        <v>3166</v>
      </c>
      <c r="G99" s="637">
        <v>3265</v>
      </c>
      <c r="H99" s="637">
        <v>3276</v>
      </c>
      <c r="I99" s="1642">
        <v>3438</v>
      </c>
    </row>
    <row r="100" spans="1:9" x14ac:dyDescent="0.25">
      <c r="A100" s="635" t="s">
        <v>14</v>
      </c>
      <c r="B100" s="636" t="s">
        <v>15</v>
      </c>
      <c r="C100" s="636" t="s">
        <v>267</v>
      </c>
      <c r="D100" s="637">
        <v>9020</v>
      </c>
      <c r="E100" s="637">
        <v>9366</v>
      </c>
      <c r="F100" s="637">
        <v>9571</v>
      </c>
      <c r="G100" s="637">
        <v>10035</v>
      </c>
      <c r="H100" s="637">
        <v>10060</v>
      </c>
      <c r="I100" s="1642">
        <v>10921</v>
      </c>
    </row>
    <row r="101" spans="1:9" x14ac:dyDescent="0.25">
      <c r="A101" s="635" t="s">
        <v>34</v>
      </c>
      <c r="B101" s="636" t="s">
        <v>35</v>
      </c>
      <c r="C101" s="636" t="s">
        <v>268</v>
      </c>
      <c r="D101" s="637">
        <v>3384</v>
      </c>
      <c r="E101" s="637">
        <v>3518</v>
      </c>
      <c r="F101" s="637">
        <v>3655</v>
      </c>
      <c r="G101" s="637">
        <v>3873</v>
      </c>
      <c r="H101" s="637">
        <v>3680</v>
      </c>
      <c r="I101" s="1642">
        <v>3507</v>
      </c>
    </row>
    <row r="102" spans="1:9" x14ac:dyDescent="0.25">
      <c r="A102" s="635" t="s">
        <v>52</v>
      </c>
      <c r="B102" s="636" t="s">
        <v>53</v>
      </c>
      <c r="C102" s="636" t="s">
        <v>265</v>
      </c>
      <c r="D102" s="637">
        <v>4421</v>
      </c>
      <c r="E102" s="637">
        <v>4478</v>
      </c>
      <c r="F102" s="637">
        <v>4625</v>
      </c>
      <c r="G102" s="637">
        <v>4740</v>
      </c>
      <c r="H102" s="637">
        <v>4491</v>
      </c>
      <c r="I102" s="1642">
        <v>4493</v>
      </c>
    </row>
    <row r="103" spans="1:9" x14ac:dyDescent="0.25">
      <c r="A103" s="635" t="s">
        <v>54</v>
      </c>
      <c r="B103" s="636" t="s">
        <v>55</v>
      </c>
      <c r="C103" s="636" t="s">
        <v>264</v>
      </c>
      <c r="D103" s="637">
        <v>16177</v>
      </c>
      <c r="E103" s="637">
        <v>16927</v>
      </c>
      <c r="F103" s="637">
        <v>17786</v>
      </c>
      <c r="G103" s="637">
        <v>18620</v>
      </c>
      <c r="H103" s="637">
        <v>18933</v>
      </c>
      <c r="I103" s="1642">
        <v>19619</v>
      </c>
    </row>
    <row r="104" spans="1:9" x14ac:dyDescent="0.25">
      <c r="A104" s="635" t="s">
        <v>66</v>
      </c>
      <c r="B104" s="636" t="s">
        <v>67</v>
      </c>
      <c r="C104" s="636" t="s">
        <v>265</v>
      </c>
      <c r="D104" s="637">
        <v>8553</v>
      </c>
      <c r="E104" s="637">
        <v>8802</v>
      </c>
      <c r="F104" s="637">
        <v>9147</v>
      </c>
      <c r="G104" s="637">
        <v>9438</v>
      </c>
      <c r="H104" s="637">
        <v>9537</v>
      </c>
      <c r="I104" s="1642">
        <v>9683</v>
      </c>
    </row>
    <row r="105" spans="1:9" x14ac:dyDescent="0.25">
      <c r="A105" s="635" t="s">
        <v>82</v>
      </c>
      <c r="B105" s="636" t="s">
        <v>83</v>
      </c>
      <c r="C105" s="636" t="s">
        <v>264</v>
      </c>
      <c r="D105" s="637">
        <v>1645</v>
      </c>
      <c r="E105" s="637">
        <v>1766</v>
      </c>
      <c r="F105" s="637">
        <v>1877</v>
      </c>
      <c r="G105" s="637">
        <v>1935</v>
      </c>
      <c r="H105" s="637">
        <v>1919</v>
      </c>
      <c r="I105" s="1642">
        <v>1917</v>
      </c>
    </row>
    <row r="106" spans="1:9" x14ac:dyDescent="0.25">
      <c r="A106" s="635" t="s">
        <v>88</v>
      </c>
      <c r="B106" s="636" t="s">
        <v>89</v>
      </c>
      <c r="C106" s="636" t="s">
        <v>267</v>
      </c>
      <c r="D106" s="637">
        <v>2940</v>
      </c>
      <c r="E106" s="637">
        <v>3139</v>
      </c>
      <c r="F106" s="637">
        <v>3394</v>
      </c>
      <c r="G106" s="637">
        <v>3542</v>
      </c>
      <c r="H106" s="637">
        <v>3643</v>
      </c>
      <c r="I106" s="1642">
        <v>3803</v>
      </c>
    </row>
    <row r="107" spans="1:9" x14ac:dyDescent="0.25">
      <c r="A107" s="635" t="s">
        <v>90</v>
      </c>
      <c r="B107" s="636" t="s">
        <v>91</v>
      </c>
      <c r="C107" s="636" t="s">
        <v>268</v>
      </c>
      <c r="D107" s="637">
        <v>1624</v>
      </c>
      <c r="E107" s="637">
        <v>1595</v>
      </c>
      <c r="F107" s="637">
        <v>1605</v>
      </c>
      <c r="G107" s="637">
        <v>1607</v>
      </c>
      <c r="H107" s="637">
        <v>1648</v>
      </c>
      <c r="I107" s="1642">
        <v>1636</v>
      </c>
    </row>
    <row r="108" spans="1:9" x14ac:dyDescent="0.25">
      <c r="A108" s="635" t="s">
        <v>106</v>
      </c>
      <c r="B108" s="636" t="s">
        <v>107</v>
      </c>
      <c r="C108" s="636" t="s">
        <v>264</v>
      </c>
      <c r="D108" s="637">
        <v>13848</v>
      </c>
      <c r="E108" s="637">
        <v>14776</v>
      </c>
      <c r="F108" s="637">
        <v>15610</v>
      </c>
      <c r="G108" s="637">
        <v>16414</v>
      </c>
      <c r="H108" s="637">
        <v>16811</v>
      </c>
      <c r="I108" s="1642">
        <v>17596</v>
      </c>
    </row>
    <row r="109" spans="1:9" x14ac:dyDescent="0.25">
      <c r="A109" s="635" t="s">
        <v>116</v>
      </c>
      <c r="B109" s="636" t="s">
        <v>117</v>
      </c>
      <c r="C109" s="636" t="s">
        <v>266</v>
      </c>
      <c r="D109" s="637">
        <v>3784</v>
      </c>
      <c r="E109" s="637">
        <v>3948</v>
      </c>
      <c r="F109" s="637">
        <v>4156</v>
      </c>
      <c r="G109" s="637">
        <v>4351</v>
      </c>
      <c r="H109" s="637">
        <v>4447</v>
      </c>
      <c r="I109" s="1642">
        <v>4723</v>
      </c>
    </row>
    <row r="110" spans="1:9" x14ac:dyDescent="0.25">
      <c r="A110" s="635" t="s">
        <v>138</v>
      </c>
      <c r="B110" s="636" t="s">
        <v>139</v>
      </c>
      <c r="C110" s="636" t="s">
        <v>265</v>
      </c>
      <c r="D110" s="637">
        <v>9414</v>
      </c>
      <c r="E110" s="637">
        <v>9878</v>
      </c>
      <c r="F110" s="637">
        <v>10536</v>
      </c>
      <c r="G110" s="637">
        <v>10929</v>
      </c>
      <c r="H110" s="637">
        <v>11083</v>
      </c>
      <c r="I110" s="1642">
        <v>11419</v>
      </c>
    </row>
    <row r="111" spans="1:9" x14ac:dyDescent="0.25">
      <c r="A111" s="635" t="s">
        <v>142</v>
      </c>
      <c r="B111" s="636" t="s">
        <v>143</v>
      </c>
      <c r="C111" s="636" t="s">
        <v>267</v>
      </c>
      <c r="D111" s="637">
        <v>3609</v>
      </c>
      <c r="E111" s="637">
        <v>3750</v>
      </c>
      <c r="F111" s="637">
        <v>3878</v>
      </c>
      <c r="G111" s="637">
        <v>4054</v>
      </c>
      <c r="H111" s="637">
        <v>4215</v>
      </c>
      <c r="I111" s="1642">
        <v>4432</v>
      </c>
    </row>
    <row r="112" spans="1:9" x14ac:dyDescent="0.25">
      <c r="A112" s="635" t="s">
        <v>144</v>
      </c>
      <c r="B112" s="636" t="s">
        <v>145</v>
      </c>
      <c r="C112" s="636" t="s">
        <v>267</v>
      </c>
      <c r="D112" s="637">
        <v>1268</v>
      </c>
      <c r="E112" s="637">
        <v>1326</v>
      </c>
      <c r="F112" s="637">
        <v>1330</v>
      </c>
      <c r="G112" s="637">
        <v>1483</v>
      </c>
      <c r="H112" s="637">
        <v>1463</v>
      </c>
      <c r="I112" s="1642">
        <v>1630</v>
      </c>
    </row>
    <row r="113" spans="1:9" x14ac:dyDescent="0.25">
      <c r="A113" s="635" t="s">
        <v>158</v>
      </c>
      <c r="B113" s="636" t="s">
        <v>159</v>
      </c>
      <c r="C113" s="636" t="s">
        <v>264</v>
      </c>
      <c r="D113" s="637">
        <v>21664</v>
      </c>
      <c r="E113" s="637">
        <v>23031</v>
      </c>
      <c r="F113" s="637">
        <v>23970</v>
      </c>
      <c r="G113" s="637">
        <v>24797</v>
      </c>
      <c r="H113" s="637">
        <v>24423</v>
      </c>
      <c r="I113" s="1642">
        <v>25070</v>
      </c>
    </row>
    <row r="114" spans="1:9" x14ac:dyDescent="0.25">
      <c r="A114" s="635" t="s">
        <v>160</v>
      </c>
      <c r="B114" s="636" t="s">
        <v>161</v>
      </c>
      <c r="C114" s="636" t="s">
        <v>264</v>
      </c>
      <c r="D114" s="637">
        <v>28272</v>
      </c>
      <c r="E114" s="637">
        <v>29302</v>
      </c>
      <c r="F114" s="637">
        <v>30780</v>
      </c>
      <c r="G114" s="637">
        <v>31908</v>
      </c>
      <c r="H114" s="637">
        <v>32317</v>
      </c>
      <c r="I114" s="1642">
        <v>33638</v>
      </c>
    </row>
    <row r="115" spans="1:9" x14ac:dyDescent="0.25">
      <c r="A115" s="635" t="s">
        <v>166</v>
      </c>
      <c r="B115" s="636" t="s">
        <v>167</v>
      </c>
      <c r="C115" s="636" t="s">
        <v>268</v>
      </c>
      <c r="D115" s="637">
        <v>920</v>
      </c>
      <c r="E115" s="637">
        <v>930</v>
      </c>
      <c r="F115" s="637">
        <v>990</v>
      </c>
      <c r="G115" s="637">
        <v>989</v>
      </c>
      <c r="H115" s="637">
        <v>959</v>
      </c>
      <c r="I115" s="1642">
        <v>961</v>
      </c>
    </row>
    <row r="116" spans="1:9" x14ac:dyDescent="0.25">
      <c r="A116" s="635" t="s">
        <v>176</v>
      </c>
      <c r="B116" s="636" t="s">
        <v>177</v>
      </c>
      <c r="C116" s="636" t="s">
        <v>266</v>
      </c>
      <c r="D116" s="637">
        <v>7052</v>
      </c>
      <c r="E116" s="637">
        <v>7353</v>
      </c>
      <c r="F116" s="637">
        <v>7468</v>
      </c>
      <c r="G116" s="637">
        <v>7618</v>
      </c>
      <c r="H116" s="637">
        <v>7653</v>
      </c>
      <c r="I116" s="1642">
        <v>8060</v>
      </c>
    </row>
    <row r="117" spans="1:9" x14ac:dyDescent="0.25">
      <c r="A117" s="635" t="s">
        <v>180</v>
      </c>
      <c r="B117" s="636" t="s">
        <v>181</v>
      </c>
      <c r="C117" s="636" t="s">
        <v>264</v>
      </c>
      <c r="D117" s="637">
        <v>14305</v>
      </c>
      <c r="E117" s="637">
        <v>14946</v>
      </c>
      <c r="F117" s="637">
        <v>15807</v>
      </c>
      <c r="G117" s="637">
        <v>16198</v>
      </c>
      <c r="H117" s="637">
        <v>16466</v>
      </c>
      <c r="I117" s="1642">
        <v>17529</v>
      </c>
    </row>
    <row r="118" spans="1:9" x14ac:dyDescent="0.25">
      <c r="A118" s="635" t="s">
        <v>192</v>
      </c>
      <c r="B118" s="636" t="s">
        <v>193</v>
      </c>
      <c r="C118" s="636" t="s">
        <v>268</v>
      </c>
      <c r="D118" s="637">
        <v>1267</v>
      </c>
      <c r="E118" s="637">
        <v>1325</v>
      </c>
      <c r="F118" s="637">
        <v>1359</v>
      </c>
      <c r="G118" s="637">
        <v>1411</v>
      </c>
      <c r="H118" s="637">
        <v>1458</v>
      </c>
      <c r="I118" s="1642">
        <v>1461</v>
      </c>
    </row>
    <row r="119" spans="1:9" x14ac:dyDescent="0.25">
      <c r="A119" s="635" t="s">
        <v>196</v>
      </c>
      <c r="B119" s="636" t="s">
        <v>197</v>
      </c>
      <c r="C119" s="636" t="s">
        <v>266</v>
      </c>
      <c r="D119" s="637">
        <v>31339</v>
      </c>
      <c r="E119" s="637">
        <v>31886</v>
      </c>
      <c r="F119" s="637">
        <v>32304</v>
      </c>
      <c r="G119" s="637">
        <v>33203</v>
      </c>
      <c r="H119" s="637">
        <v>33286</v>
      </c>
      <c r="I119" s="1642">
        <v>35212</v>
      </c>
    </row>
    <row r="120" spans="1:9" x14ac:dyDescent="0.25">
      <c r="A120" s="635" t="s">
        <v>200</v>
      </c>
      <c r="B120" s="636" t="s">
        <v>201</v>
      </c>
      <c r="C120" s="636" t="s">
        <v>265</v>
      </c>
      <c r="D120" s="637">
        <v>16223</v>
      </c>
      <c r="E120" s="637">
        <v>16514</v>
      </c>
      <c r="F120" s="637">
        <v>17289</v>
      </c>
      <c r="G120" s="637">
        <v>17806</v>
      </c>
      <c r="H120" s="637">
        <v>17679</v>
      </c>
      <c r="I120" s="1642">
        <v>18126</v>
      </c>
    </row>
    <row r="121" spans="1:9" x14ac:dyDescent="0.25">
      <c r="A121" s="635" t="s">
        <v>222</v>
      </c>
      <c r="B121" s="636" t="s">
        <v>223</v>
      </c>
      <c r="C121" s="636" t="s">
        <v>264</v>
      </c>
      <c r="D121" s="637">
        <v>8833</v>
      </c>
      <c r="E121" s="637">
        <v>9349</v>
      </c>
      <c r="F121" s="637">
        <v>9674</v>
      </c>
      <c r="G121" s="637">
        <v>10010</v>
      </c>
      <c r="H121" s="637">
        <v>10010</v>
      </c>
      <c r="I121" s="1642">
        <v>10245</v>
      </c>
    </row>
    <row r="122" spans="1:9" x14ac:dyDescent="0.25">
      <c r="A122" s="635" t="s">
        <v>230</v>
      </c>
      <c r="B122" s="636" t="s">
        <v>231</v>
      </c>
      <c r="C122" s="636" t="s">
        <v>264</v>
      </c>
      <c r="D122" s="637">
        <v>26658</v>
      </c>
      <c r="E122" s="637">
        <v>27926</v>
      </c>
      <c r="F122" s="637">
        <v>29255</v>
      </c>
      <c r="G122" s="637">
        <v>30056</v>
      </c>
      <c r="H122" s="637">
        <v>29923</v>
      </c>
      <c r="I122" s="1642">
        <v>31926</v>
      </c>
    </row>
    <row r="123" spans="1:9" x14ac:dyDescent="0.25">
      <c r="A123" s="635" t="s">
        <v>238</v>
      </c>
      <c r="B123" s="636" t="s">
        <v>239</v>
      </c>
      <c r="C123" s="636" t="s">
        <v>264</v>
      </c>
      <c r="D123" s="637">
        <v>722</v>
      </c>
      <c r="E123" s="637">
        <v>821</v>
      </c>
      <c r="F123" s="637">
        <v>877</v>
      </c>
      <c r="G123" s="637">
        <v>924</v>
      </c>
      <c r="H123" s="637">
        <v>939</v>
      </c>
      <c r="I123" s="1642">
        <v>952</v>
      </c>
    </row>
    <row r="124" spans="1:9" x14ac:dyDescent="0.25">
      <c r="A124" s="555" t="s">
        <v>240</v>
      </c>
      <c r="B124" s="544" t="s">
        <v>241</v>
      </c>
      <c r="C124" s="544" t="s">
        <v>267</v>
      </c>
      <c r="D124" s="549">
        <v>3223</v>
      </c>
      <c r="E124" s="549">
        <v>3498</v>
      </c>
      <c r="F124" s="549">
        <v>3581</v>
      </c>
      <c r="G124" s="549">
        <v>3737</v>
      </c>
      <c r="H124" s="549">
        <v>3747</v>
      </c>
      <c r="I124" s="1643">
        <v>3908</v>
      </c>
    </row>
    <row r="126" spans="1:9" ht="33.75" customHeight="1" x14ac:dyDescent="0.25">
      <c r="A126" s="2104" t="s">
        <v>901</v>
      </c>
      <c r="B126" s="2104"/>
      <c r="C126" s="2104"/>
      <c r="D126" s="2104"/>
      <c r="E126" s="2104"/>
      <c r="F126" s="2104"/>
      <c r="G126" s="2104"/>
      <c r="H126" s="2104"/>
      <c r="I126" s="1641"/>
    </row>
    <row r="128" spans="1:9" s="414" customFormat="1" x14ac:dyDescent="0.25">
      <c r="A128" s="414" t="s">
        <v>248</v>
      </c>
    </row>
    <row r="129" spans="1:3" s="414" customFormat="1" x14ac:dyDescent="0.25">
      <c r="A129" s="415" t="s">
        <v>249</v>
      </c>
      <c r="B129" s="416" t="s">
        <v>250</v>
      </c>
      <c r="C129" s="416"/>
    </row>
  </sheetData>
  <autoFilter ref="A3:C3"/>
  <sortState ref="A5:I124">
    <sortCondition ref="A5:A124"/>
  </sortState>
  <mergeCells count="1">
    <mergeCell ref="A126:H126"/>
  </mergeCells>
  <hyperlinks>
    <hyperlink ref="B129"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30"/>
  <sheetViews>
    <sheetView workbookViewId="0">
      <pane xSplit="3" ySplit="5" topLeftCell="D104" activePane="bottomRight" state="frozen"/>
      <selection pane="topRight" activeCell="D1" sqref="D1"/>
      <selection pane="bottomLeft" activeCell="A6" sqref="A6"/>
      <selection pane="bottomRight" activeCell="A127" sqref="A127:D127"/>
    </sheetView>
  </sheetViews>
  <sheetFormatPr defaultRowHeight="12.75" customHeight="1" x14ac:dyDescent="0.25"/>
  <cols>
    <col min="1" max="1" width="9" style="532"/>
    <col min="2" max="2" width="33.375" style="532" customWidth="1"/>
    <col min="3" max="3" width="16.75" style="532" customWidth="1"/>
    <col min="4" max="12" width="8.875" style="532" customWidth="1"/>
    <col min="13" max="16384" width="9" style="532"/>
  </cols>
  <sheetData>
    <row r="1" spans="1:12" ht="12.75" customHeight="1" x14ac:dyDescent="0.25">
      <c r="A1" s="258" t="s">
        <v>1175</v>
      </c>
    </row>
    <row r="3" spans="1:12" ht="12.75" customHeight="1" x14ac:dyDescent="0.25">
      <c r="D3" s="2106" t="s">
        <v>878</v>
      </c>
      <c r="E3" s="2107"/>
      <c r="F3" s="2107"/>
      <c r="G3" s="2108" t="s">
        <v>879</v>
      </c>
      <c r="H3" s="2109"/>
      <c r="I3" s="2110"/>
      <c r="J3" s="2111" t="s">
        <v>880</v>
      </c>
      <c r="K3" s="2112"/>
      <c r="L3" s="2113"/>
    </row>
    <row r="4" spans="1:12" ht="15.75" x14ac:dyDescent="0.25">
      <c r="A4" s="537" t="s">
        <v>4</v>
      </c>
      <c r="B4" s="595" t="s">
        <v>5</v>
      </c>
      <c r="C4" s="1230" t="s">
        <v>251</v>
      </c>
      <c r="D4" s="1631">
        <v>2013</v>
      </c>
      <c r="E4" s="1235">
        <v>2014</v>
      </c>
      <c r="F4" s="1628">
        <v>2015</v>
      </c>
      <c r="G4" s="1631">
        <v>2013</v>
      </c>
      <c r="H4" s="1235">
        <v>2014</v>
      </c>
      <c r="I4" s="1236">
        <v>2015</v>
      </c>
      <c r="J4" s="1631">
        <v>2013</v>
      </c>
      <c r="K4" s="1235">
        <v>2014</v>
      </c>
      <c r="L4" s="1236">
        <v>2015</v>
      </c>
    </row>
    <row r="5" spans="1:12" ht="15.75" x14ac:dyDescent="0.25">
      <c r="A5" s="632">
        <v>999</v>
      </c>
      <c r="B5" s="633" t="s">
        <v>9</v>
      </c>
      <c r="C5" s="1231"/>
      <c r="D5" s="1632">
        <f t="shared" ref="D5:F5" si="0">SUM(D6:D125)</f>
        <v>138038</v>
      </c>
      <c r="E5" s="1237">
        <f t="shared" si="0"/>
        <v>126002</v>
      </c>
      <c r="F5" s="1237">
        <f t="shared" si="0"/>
        <v>127481</v>
      </c>
      <c r="G5" s="1632">
        <f t="shared" ref="G5:I5" si="1">SUM(G6:G125)</f>
        <v>67179</v>
      </c>
      <c r="H5" s="1237">
        <f t="shared" si="1"/>
        <v>65969</v>
      </c>
      <c r="I5" s="1237">
        <f t="shared" si="1"/>
        <v>52498</v>
      </c>
      <c r="J5" s="1639">
        <f t="shared" ref="J5:L5" si="2">SUM(J6:J125)</f>
        <v>23112</v>
      </c>
      <c r="K5" s="1640">
        <f t="shared" si="2"/>
        <v>24305</v>
      </c>
      <c r="L5" s="1640">
        <f t="shared" si="2"/>
        <v>21910</v>
      </c>
    </row>
    <row r="6" spans="1:12" ht="15.75" x14ac:dyDescent="0.25">
      <c r="A6" s="539" t="s">
        <v>10</v>
      </c>
      <c r="B6" s="597" t="s">
        <v>11</v>
      </c>
      <c r="C6" s="1232" t="s">
        <v>264</v>
      </c>
      <c r="D6" s="1633">
        <v>1949</v>
      </c>
      <c r="E6" s="1634">
        <v>1818</v>
      </c>
      <c r="F6" s="1629">
        <v>1821</v>
      </c>
      <c r="G6" s="1633">
        <v>593</v>
      </c>
      <c r="H6" s="1634">
        <v>659</v>
      </c>
      <c r="I6" s="1635">
        <v>495</v>
      </c>
      <c r="J6" s="1633">
        <v>831</v>
      </c>
      <c r="K6" s="1634">
        <v>883</v>
      </c>
      <c r="L6" s="1635">
        <v>819</v>
      </c>
    </row>
    <row r="7" spans="1:12" ht="15.75" x14ac:dyDescent="0.25">
      <c r="A7" s="540" t="s">
        <v>12</v>
      </c>
      <c r="B7" s="636" t="s">
        <v>13</v>
      </c>
      <c r="C7" s="1233" t="s">
        <v>265</v>
      </c>
      <c r="D7" s="1633">
        <v>1072</v>
      </c>
      <c r="E7" s="1634">
        <v>893</v>
      </c>
      <c r="F7" s="1629">
        <v>896</v>
      </c>
      <c r="G7" s="1633">
        <v>522</v>
      </c>
      <c r="H7" s="1634">
        <v>434</v>
      </c>
      <c r="I7" s="1635">
        <v>382</v>
      </c>
      <c r="J7" s="1633">
        <v>136</v>
      </c>
      <c r="K7" s="1634">
        <v>159</v>
      </c>
      <c r="L7" s="1635">
        <v>158</v>
      </c>
    </row>
    <row r="8" spans="1:12" ht="15.75" x14ac:dyDescent="0.25">
      <c r="A8" s="540" t="s">
        <v>16</v>
      </c>
      <c r="B8" s="636" t="s">
        <v>297</v>
      </c>
      <c r="C8" s="1233" t="s">
        <v>265</v>
      </c>
      <c r="D8" s="1633">
        <v>1078</v>
      </c>
      <c r="E8" s="1634">
        <v>990</v>
      </c>
      <c r="F8" s="1629">
        <v>1023</v>
      </c>
      <c r="G8" s="1633">
        <v>534</v>
      </c>
      <c r="H8" s="1634">
        <v>597</v>
      </c>
      <c r="I8" s="1635">
        <v>546</v>
      </c>
      <c r="J8" s="1633">
        <v>106</v>
      </c>
      <c r="K8" s="1634">
        <v>128</v>
      </c>
      <c r="L8" s="1635">
        <v>128</v>
      </c>
    </row>
    <row r="9" spans="1:12" ht="15.75" x14ac:dyDescent="0.25">
      <c r="A9" s="540" t="s">
        <v>18</v>
      </c>
      <c r="B9" s="636" t="s">
        <v>19</v>
      </c>
      <c r="C9" s="1233" t="s">
        <v>266</v>
      </c>
      <c r="D9" s="1633">
        <v>362</v>
      </c>
      <c r="E9" s="1634">
        <v>318</v>
      </c>
      <c r="F9" s="1629">
        <v>328</v>
      </c>
      <c r="G9" s="1633">
        <v>137</v>
      </c>
      <c r="H9" s="1634">
        <v>133</v>
      </c>
      <c r="I9" s="1635">
        <v>97</v>
      </c>
      <c r="J9" s="1633">
        <v>74</v>
      </c>
      <c r="K9" s="1634">
        <v>97</v>
      </c>
      <c r="L9" s="1635">
        <v>76</v>
      </c>
    </row>
    <row r="10" spans="1:12" ht="15.75" x14ac:dyDescent="0.25">
      <c r="A10" s="540" t="s">
        <v>20</v>
      </c>
      <c r="B10" s="636" t="s">
        <v>21</v>
      </c>
      <c r="C10" s="1233" t="s">
        <v>265</v>
      </c>
      <c r="D10" s="1633">
        <v>987</v>
      </c>
      <c r="E10" s="1634">
        <v>860</v>
      </c>
      <c r="F10" s="1629">
        <v>834</v>
      </c>
      <c r="G10" s="1633">
        <v>509</v>
      </c>
      <c r="H10" s="1634">
        <v>469</v>
      </c>
      <c r="I10" s="1635">
        <v>429</v>
      </c>
      <c r="J10" s="1633">
        <v>231</v>
      </c>
      <c r="K10" s="1634">
        <v>235</v>
      </c>
      <c r="L10" s="1635">
        <v>221</v>
      </c>
    </row>
    <row r="11" spans="1:12" ht="15.75" x14ac:dyDescent="0.25">
      <c r="A11" s="540" t="s">
        <v>22</v>
      </c>
      <c r="B11" s="636" t="s">
        <v>23</v>
      </c>
      <c r="C11" s="1233" t="s">
        <v>265</v>
      </c>
      <c r="D11" s="1633">
        <v>629</v>
      </c>
      <c r="E11" s="1634">
        <v>586</v>
      </c>
      <c r="F11" s="1629">
        <v>598</v>
      </c>
      <c r="G11" s="1633">
        <v>319</v>
      </c>
      <c r="H11" s="1634">
        <v>322</v>
      </c>
      <c r="I11" s="1635">
        <v>284</v>
      </c>
      <c r="J11" s="1633">
        <v>165</v>
      </c>
      <c r="K11" s="1634">
        <v>164</v>
      </c>
      <c r="L11" s="1635">
        <v>139</v>
      </c>
    </row>
    <row r="12" spans="1:12" ht="15.75" x14ac:dyDescent="0.25">
      <c r="A12" s="540" t="s">
        <v>24</v>
      </c>
      <c r="B12" s="636" t="s">
        <v>25</v>
      </c>
      <c r="C12" s="1233" t="s">
        <v>267</v>
      </c>
      <c r="D12" s="1633">
        <v>667</v>
      </c>
      <c r="E12" s="1634">
        <v>644</v>
      </c>
      <c r="F12" s="1629">
        <v>769</v>
      </c>
      <c r="G12" s="1633">
        <v>623</v>
      </c>
      <c r="H12" s="1634">
        <v>621</v>
      </c>
      <c r="I12" s="1635">
        <v>652</v>
      </c>
      <c r="J12" s="1633">
        <v>15</v>
      </c>
      <c r="K12" s="1634">
        <v>50</v>
      </c>
      <c r="L12" s="1635">
        <v>46</v>
      </c>
    </row>
    <row r="13" spans="1:12" ht="15.75" x14ac:dyDescent="0.25">
      <c r="A13" s="540" t="s">
        <v>26</v>
      </c>
      <c r="B13" s="636" t="s">
        <v>686</v>
      </c>
      <c r="C13" s="1233" t="s">
        <v>265</v>
      </c>
      <c r="D13" s="1633">
        <v>2705</v>
      </c>
      <c r="E13" s="1634">
        <v>2411</v>
      </c>
      <c r="F13" s="1629">
        <v>2335</v>
      </c>
      <c r="G13" s="1633">
        <v>1287</v>
      </c>
      <c r="H13" s="1634">
        <v>1280</v>
      </c>
      <c r="I13" s="1635">
        <v>1058</v>
      </c>
      <c r="J13" s="1633">
        <v>386</v>
      </c>
      <c r="K13" s="1634">
        <v>375</v>
      </c>
      <c r="L13" s="1635">
        <v>366</v>
      </c>
    </row>
    <row r="14" spans="1:12" ht="15.75" x14ac:dyDescent="0.25">
      <c r="A14" s="540" t="s">
        <v>27</v>
      </c>
      <c r="B14" s="636" t="s">
        <v>28</v>
      </c>
      <c r="C14" s="1233" t="s">
        <v>265</v>
      </c>
      <c r="D14" s="1633">
        <v>143</v>
      </c>
      <c r="E14" s="1634">
        <v>137</v>
      </c>
      <c r="F14" s="1629">
        <v>142</v>
      </c>
      <c r="G14" s="1633">
        <v>46</v>
      </c>
      <c r="H14" s="1634">
        <v>41</v>
      </c>
      <c r="I14" s="1635">
        <v>40</v>
      </c>
      <c r="J14" s="1633">
        <v>9</v>
      </c>
      <c r="K14" s="1634">
        <v>12</v>
      </c>
      <c r="L14" s="1635">
        <v>13</v>
      </c>
    </row>
    <row r="15" spans="1:12" ht="15.75" x14ac:dyDescent="0.25">
      <c r="A15" s="540" t="s">
        <v>29</v>
      </c>
      <c r="B15" s="636" t="s">
        <v>941</v>
      </c>
      <c r="C15" s="1233" t="s">
        <v>265</v>
      </c>
      <c r="D15" s="1633">
        <v>1279</v>
      </c>
      <c r="E15" s="1634">
        <v>1156</v>
      </c>
      <c r="F15" s="1629">
        <v>1183</v>
      </c>
      <c r="G15" s="1633">
        <v>494</v>
      </c>
      <c r="H15" s="1634">
        <v>505</v>
      </c>
      <c r="I15" s="1635">
        <v>452</v>
      </c>
      <c r="J15" s="1633">
        <v>179</v>
      </c>
      <c r="K15" s="1634">
        <v>186</v>
      </c>
      <c r="L15" s="1635">
        <v>196</v>
      </c>
    </row>
    <row r="16" spans="1:12" ht="15.75" x14ac:dyDescent="0.25">
      <c r="A16" s="540" t="s">
        <v>30</v>
      </c>
      <c r="B16" s="636" t="s">
        <v>31</v>
      </c>
      <c r="C16" s="1233" t="s">
        <v>268</v>
      </c>
      <c r="D16" s="1633">
        <v>193</v>
      </c>
      <c r="E16" s="1634">
        <v>194</v>
      </c>
      <c r="F16" s="1629">
        <v>199</v>
      </c>
      <c r="G16" s="1633">
        <v>82</v>
      </c>
      <c r="H16" s="1634">
        <v>64</v>
      </c>
      <c r="I16" s="1635">
        <v>59</v>
      </c>
      <c r="J16" s="1633">
        <v>42</v>
      </c>
      <c r="K16" s="1634">
        <v>41</v>
      </c>
      <c r="L16" s="1635">
        <v>34</v>
      </c>
    </row>
    <row r="17" spans="1:12" ht="15.75" x14ac:dyDescent="0.25">
      <c r="A17" s="540" t="s">
        <v>32</v>
      </c>
      <c r="B17" s="636" t="s">
        <v>33</v>
      </c>
      <c r="C17" s="1233" t="s">
        <v>265</v>
      </c>
      <c r="D17" s="1633">
        <v>314</v>
      </c>
      <c r="E17" s="1634">
        <v>308</v>
      </c>
      <c r="F17" s="1629">
        <v>319</v>
      </c>
      <c r="G17" s="1633">
        <v>116</v>
      </c>
      <c r="H17" s="1634">
        <v>114</v>
      </c>
      <c r="I17" s="1635">
        <v>98</v>
      </c>
      <c r="J17" s="1633">
        <v>71</v>
      </c>
      <c r="K17" s="1634">
        <v>84</v>
      </c>
      <c r="L17" s="1635">
        <v>82</v>
      </c>
    </row>
    <row r="18" spans="1:12" ht="15.75" x14ac:dyDescent="0.25">
      <c r="A18" s="540" t="s">
        <v>36</v>
      </c>
      <c r="B18" s="636" t="s">
        <v>37</v>
      </c>
      <c r="C18" s="1233" t="s">
        <v>264</v>
      </c>
      <c r="D18" s="1633">
        <v>1178</v>
      </c>
      <c r="E18" s="1634">
        <v>1128</v>
      </c>
      <c r="F18" s="1629">
        <v>1101</v>
      </c>
      <c r="G18" s="1633">
        <v>591</v>
      </c>
      <c r="H18" s="1634">
        <v>591</v>
      </c>
      <c r="I18" s="1635">
        <v>553</v>
      </c>
      <c r="J18" s="1633">
        <v>316</v>
      </c>
      <c r="K18" s="1634">
        <v>294</v>
      </c>
      <c r="L18" s="1635">
        <v>270</v>
      </c>
    </row>
    <row r="19" spans="1:12" ht="15.75" x14ac:dyDescent="0.25">
      <c r="A19" s="540" t="s">
        <v>38</v>
      </c>
      <c r="B19" s="636" t="s">
        <v>39</v>
      </c>
      <c r="C19" s="1233" t="s">
        <v>268</v>
      </c>
      <c r="D19" s="1633">
        <v>1929</v>
      </c>
      <c r="E19" s="1634">
        <v>1895</v>
      </c>
      <c r="F19" s="1629">
        <v>1903</v>
      </c>
      <c r="G19" s="1633">
        <v>959</v>
      </c>
      <c r="H19" s="1634">
        <v>955</v>
      </c>
      <c r="I19" s="1635">
        <v>929</v>
      </c>
      <c r="J19" s="1633">
        <v>545</v>
      </c>
      <c r="K19" s="1634">
        <v>541</v>
      </c>
      <c r="L19" s="1635">
        <v>640</v>
      </c>
    </row>
    <row r="20" spans="1:12" ht="15.75" x14ac:dyDescent="0.25">
      <c r="A20" s="540" t="s">
        <v>40</v>
      </c>
      <c r="B20" s="636" t="s">
        <v>41</v>
      </c>
      <c r="C20" s="1233" t="s">
        <v>266</v>
      </c>
      <c r="D20" s="1633">
        <v>830</v>
      </c>
      <c r="E20" s="1634">
        <v>740</v>
      </c>
      <c r="F20" s="1629">
        <v>738</v>
      </c>
      <c r="G20" s="1633">
        <v>378</v>
      </c>
      <c r="H20" s="1634">
        <v>337</v>
      </c>
      <c r="I20" s="1635">
        <v>285</v>
      </c>
      <c r="J20" s="1633">
        <v>150</v>
      </c>
      <c r="K20" s="1634">
        <v>157</v>
      </c>
      <c r="L20" s="1635">
        <v>137</v>
      </c>
    </row>
    <row r="21" spans="1:12" ht="15.75" x14ac:dyDescent="0.25">
      <c r="A21" s="540" t="s">
        <v>42</v>
      </c>
      <c r="B21" s="636" t="s">
        <v>43</v>
      </c>
      <c r="C21" s="1233" t="s">
        <v>265</v>
      </c>
      <c r="D21" s="1633">
        <v>1841</v>
      </c>
      <c r="E21" s="1634">
        <v>1684</v>
      </c>
      <c r="F21" s="1629">
        <v>1746</v>
      </c>
      <c r="G21" s="1633">
        <v>882</v>
      </c>
      <c r="H21" s="1634">
        <v>864</v>
      </c>
      <c r="I21" s="1635">
        <v>739</v>
      </c>
      <c r="J21" s="1633">
        <v>516</v>
      </c>
      <c r="K21" s="1634">
        <v>521</v>
      </c>
      <c r="L21" s="1635">
        <v>490</v>
      </c>
    </row>
    <row r="22" spans="1:12" ht="15.75" x14ac:dyDescent="0.25">
      <c r="A22" s="540" t="s">
        <v>44</v>
      </c>
      <c r="B22" s="636" t="s">
        <v>45</v>
      </c>
      <c r="C22" s="1233" t="s">
        <v>266</v>
      </c>
      <c r="D22" s="1633">
        <v>513</v>
      </c>
      <c r="E22" s="1634">
        <v>500</v>
      </c>
      <c r="F22" s="1629">
        <v>530</v>
      </c>
      <c r="G22" s="1633">
        <v>117</v>
      </c>
      <c r="H22" s="1634">
        <v>134</v>
      </c>
      <c r="I22" s="1635">
        <v>136</v>
      </c>
      <c r="J22" s="1633">
        <v>131</v>
      </c>
      <c r="K22" s="1634">
        <v>129</v>
      </c>
      <c r="L22" s="1635">
        <v>118</v>
      </c>
    </row>
    <row r="23" spans="1:12" ht="15.75" x14ac:dyDescent="0.25">
      <c r="A23" s="540" t="s">
        <v>46</v>
      </c>
      <c r="B23" s="636" t="s">
        <v>47</v>
      </c>
      <c r="C23" s="1233" t="s">
        <v>268</v>
      </c>
      <c r="D23" s="1633">
        <v>1797</v>
      </c>
      <c r="E23" s="1634">
        <v>1694</v>
      </c>
      <c r="F23" s="1629">
        <v>1657</v>
      </c>
      <c r="G23" s="1633">
        <v>685</v>
      </c>
      <c r="H23" s="1634">
        <v>666</v>
      </c>
      <c r="I23" s="1635">
        <v>616</v>
      </c>
      <c r="J23" s="1633">
        <v>229</v>
      </c>
      <c r="K23" s="1634">
        <v>198</v>
      </c>
      <c r="L23" s="1635">
        <v>175</v>
      </c>
    </row>
    <row r="24" spans="1:12" ht="15.75" x14ac:dyDescent="0.25">
      <c r="A24" s="540" t="s">
        <v>48</v>
      </c>
      <c r="B24" s="636" t="s">
        <v>269</v>
      </c>
      <c r="C24" s="1233" t="s">
        <v>266</v>
      </c>
      <c r="D24" s="1633">
        <v>246</v>
      </c>
      <c r="E24" s="1634">
        <v>212</v>
      </c>
      <c r="F24" s="1629">
        <v>216</v>
      </c>
      <c r="G24" s="1633">
        <v>71</v>
      </c>
      <c r="H24" s="1634">
        <v>87</v>
      </c>
      <c r="I24" s="1635">
        <v>73</v>
      </c>
      <c r="J24" s="1633">
        <v>36</v>
      </c>
      <c r="K24" s="1634">
        <v>70</v>
      </c>
      <c r="L24" s="1635">
        <v>61</v>
      </c>
    </row>
    <row r="25" spans="1:12" ht="15.75" x14ac:dyDescent="0.25">
      <c r="A25" s="540" t="s">
        <v>50</v>
      </c>
      <c r="B25" s="636" t="s">
        <v>51</v>
      </c>
      <c r="C25" s="1233" t="s">
        <v>265</v>
      </c>
      <c r="D25" s="1633">
        <v>710</v>
      </c>
      <c r="E25" s="1634">
        <v>652</v>
      </c>
      <c r="F25" s="1629">
        <v>703</v>
      </c>
      <c r="G25" s="1633">
        <v>331</v>
      </c>
      <c r="H25" s="1634">
        <v>346</v>
      </c>
      <c r="I25" s="1635">
        <v>290</v>
      </c>
      <c r="J25" s="1633">
        <v>117</v>
      </c>
      <c r="K25" s="1634">
        <v>153</v>
      </c>
      <c r="L25" s="1635">
        <v>133</v>
      </c>
    </row>
    <row r="26" spans="1:12" ht="15.75" x14ac:dyDescent="0.25">
      <c r="A26" s="540" t="s">
        <v>56</v>
      </c>
      <c r="B26" s="636" t="s">
        <v>295</v>
      </c>
      <c r="C26" s="1233" t="s">
        <v>266</v>
      </c>
      <c r="D26" s="1633">
        <v>2554</v>
      </c>
      <c r="E26" s="1634">
        <v>2275</v>
      </c>
      <c r="F26" s="1629">
        <v>2235</v>
      </c>
      <c r="G26" s="1633">
        <v>1352</v>
      </c>
      <c r="H26" s="1634">
        <v>1176</v>
      </c>
      <c r="I26" s="1635">
        <v>881</v>
      </c>
      <c r="J26" s="1633">
        <v>327</v>
      </c>
      <c r="K26" s="1634">
        <v>232</v>
      </c>
      <c r="L26" s="1635">
        <v>288</v>
      </c>
    </row>
    <row r="27" spans="1:12" ht="15.75" x14ac:dyDescent="0.25">
      <c r="A27" s="540" t="s">
        <v>58</v>
      </c>
      <c r="B27" s="636" t="s">
        <v>59</v>
      </c>
      <c r="C27" s="1233" t="s">
        <v>267</v>
      </c>
      <c r="D27" s="1633">
        <v>104</v>
      </c>
      <c r="E27" s="1634">
        <v>101</v>
      </c>
      <c r="F27" s="1629">
        <v>95</v>
      </c>
      <c r="G27" s="1633">
        <v>52</v>
      </c>
      <c r="H27" s="1634">
        <v>43</v>
      </c>
      <c r="I27" s="1635">
        <v>38</v>
      </c>
      <c r="J27" s="1633">
        <v>11</v>
      </c>
      <c r="K27" s="1634">
        <v>15</v>
      </c>
      <c r="L27" s="1635">
        <v>13</v>
      </c>
    </row>
    <row r="28" spans="1:12" ht="15.75" x14ac:dyDescent="0.25">
      <c r="A28" s="540" t="s">
        <v>60</v>
      </c>
      <c r="B28" s="636" t="s">
        <v>61</v>
      </c>
      <c r="C28" s="1233" t="s">
        <v>265</v>
      </c>
      <c r="D28" s="1633">
        <v>207</v>
      </c>
      <c r="E28" s="1634">
        <v>175</v>
      </c>
      <c r="F28" s="1629">
        <v>190</v>
      </c>
      <c r="G28" s="1633">
        <v>106</v>
      </c>
      <c r="H28" s="1634">
        <v>100</v>
      </c>
      <c r="I28" s="1635">
        <v>94</v>
      </c>
      <c r="J28" s="1633">
        <v>41</v>
      </c>
      <c r="K28" s="1634">
        <v>30</v>
      </c>
      <c r="L28" s="1635">
        <v>25</v>
      </c>
    </row>
    <row r="29" spans="1:12" ht="15.75" x14ac:dyDescent="0.25">
      <c r="A29" s="540" t="s">
        <v>62</v>
      </c>
      <c r="B29" s="636" t="s">
        <v>63</v>
      </c>
      <c r="C29" s="1233" t="s">
        <v>267</v>
      </c>
      <c r="D29" s="1633">
        <v>687</v>
      </c>
      <c r="E29" s="1634">
        <v>600</v>
      </c>
      <c r="F29" s="1629">
        <v>621</v>
      </c>
      <c r="G29" s="1633">
        <v>357</v>
      </c>
      <c r="H29" s="1634">
        <v>324</v>
      </c>
      <c r="I29" s="1635">
        <v>300</v>
      </c>
      <c r="J29" s="1633">
        <v>134</v>
      </c>
      <c r="K29" s="1634">
        <v>122</v>
      </c>
      <c r="L29" s="1635">
        <v>84</v>
      </c>
    </row>
    <row r="30" spans="1:12" ht="15.75" x14ac:dyDescent="0.25">
      <c r="A30" s="540" t="s">
        <v>64</v>
      </c>
      <c r="B30" s="636" t="s">
        <v>65</v>
      </c>
      <c r="C30" s="1233" t="s">
        <v>266</v>
      </c>
      <c r="D30" s="1633">
        <v>460</v>
      </c>
      <c r="E30" s="1634">
        <v>416</v>
      </c>
      <c r="F30" s="1629">
        <v>413</v>
      </c>
      <c r="G30" s="1633">
        <v>203</v>
      </c>
      <c r="H30" s="1634">
        <v>166</v>
      </c>
      <c r="I30" s="1635">
        <v>157</v>
      </c>
      <c r="J30" s="1633">
        <v>79</v>
      </c>
      <c r="K30" s="1634">
        <v>72</v>
      </c>
      <c r="L30" s="1635">
        <v>70</v>
      </c>
    </row>
    <row r="31" spans="1:12" ht="15.75" x14ac:dyDescent="0.25">
      <c r="A31" s="540" t="s">
        <v>68</v>
      </c>
      <c r="B31" s="636" t="s">
        <v>69</v>
      </c>
      <c r="C31" s="1233" t="s">
        <v>268</v>
      </c>
      <c r="D31" s="1633">
        <v>1205</v>
      </c>
      <c r="E31" s="1634">
        <v>1195</v>
      </c>
      <c r="F31" s="1629">
        <v>1210</v>
      </c>
      <c r="G31" s="1633">
        <v>650</v>
      </c>
      <c r="H31" s="1634">
        <v>668</v>
      </c>
      <c r="I31" s="1635">
        <v>601</v>
      </c>
      <c r="J31" s="1633">
        <v>306</v>
      </c>
      <c r="K31" s="1634">
        <v>317</v>
      </c>
      <c r="L31" s="1635">
        <v>296</v>
      </c>
    </row>
    <row r="32" spans="1:12" ht="15.75" x14ac:dyDescent="0.25">
      <c r="A32" s="540" t="s">
        <v>70</v>
      </c>
      <c r="B32" s="636" t="s">
        <v>71</v>
      </c>
      <c r="C32" s="1233" t="s">
        <v>264</v>
      </c>
      <c r="D32" s="1633">
        <v>867</v>
      </c>
      <c r="E32" s="1634">
        <v>775</v>
      </c>
      <c r="F32" s="1629">
        <v>765</v>
      </c>
      <c r="G32" s="1633">
        <v>392</v>
      </c>
      <c r="H32" s="1634">
        <v>396</v>
      </c>
      <c r="I32" s="1635">
        <v>281</v>
      </c>
      <c r="J32" s="1633">
        <v>213</v>
      </c>
      <c r="K32" s="1634">
        <v>214</v>
      </c>
      <c r="L32" s="1635">
        <v>186</v>
      </c>
    </row>
    <row r="33" spans="1:12" ht="15.75" x14ac:dyDescent="0.25">
      <c r="A33" s="540" t="s">
        <v>72</v>
      </c>
      <c r="B33" s="636" t="s">
        <v>73</v>
      </c>
      <c r="C33" s="1233" t="s">
        <v>266</v>
      </c>
      <c r="D33" s="1633">
        <v>507</v>
      </c>
      <c r="E33" s="1634">
        <v>466</v>
      </c>
      <c r="F33" s="1629">
        <v>491</v>
      </c>
      <c r="G33" s="1633">
        <v>215</v>
      </c>
      <c r="H33" s="1634">
        <v>193</v>
      </c>
      <c r="I33" s="1635">
        <v>182</v>
      </c>
      <c r="J33" s="1633">
        <v>52</v>
      </c>
      <c r="K33" s="1634">
        <v>80</v>
      </c>
      <c r="L33" s="1635">
        <v>89</v>
      </c>
    </row>
    <row r="34" spans="1:12" ht="15.75" x14ac:dyDescent="0.25">
      <c r="A34" s="540" t="s">
        <v>74</v>
      </c>
      <c r="B34" s="636" t="s">
        <v>296</v>
      </c>
      <c r="C34" s="1233" t="s">
        <v>267</v>
      </c>
      <c r="D34" s="1633">
        <v>1532</v>
      </c>
      <c r="E34" s="1634">
        <v>1500</v>
      </c>
      <c r="F34" s="1629">
        <v>1541</v>
      </c>
      <c r="G34" s="1633">
        <v>916</v>
      </c>
      <c r="H34" s="1634">
        <v>913</v>
      </c>
      <c r="I34" s="1635">
        <v>757</v>
      </c>
      <c r="J34" s="1633">
        <v>77</v>
      </c>
      <c r="K34" s="1634">
        <v>133</v>
      </c>
      <c r="L34" s="1635">
        <v>124</v>
      </c>
    </row>
    <row r="35" spans="1:12" ht="15.75" x14ac:dyDescent="0.25">
      <c r="A35" s="540" t="s">
        <v>76</v>
      </c>
      <c r="B35" s="636" t="s">
        <v>77</v>
      </c>
      <c r="C35" s="1233" t="s">
        <v>267</v>
      </c>
      <c r="D35" s="1633">
        <v>377</v>
      </c>
      <c r="E35" s="1634">
        <v>327</v>
      </c>
      <c r="F35" s="1629">
        <v>295</v>
      </c>
      <c r="G35" s="1633">
        <v>148</v>
      </c>
      <c r="H35" s="1634">
        <v>112</v>
      </c>
      <c r="I35" s="1635">
        <v>102</v>
      </c>
      <c r="J35" s="1633">
        <v>70</v>
      </c>
      <c r="K35" s="1634">
        <v>74</v>
      </c>
      <c r="L35" s="1635">
        <v>62</v>
      </c>
    </row>
    <row r="36" spans="1:12" ht="15.75" x14ac:dyDescent="0.25">
      <c r="A36" s="540" t="s">
        <v>78</v>
      </c>
      <c r="B36" s="636" t="s">
        <v>79</v>
      </c>
      <c r="C36" s="1233" t="s">
        <v>268</v>
      </c>
      <c r="D36" s="1633">
        <v>527</v>
      </c>
      <c r="E36" s="1634">
        <v>499</v>
      </c>
      <c r="F36" s="1629">
        <v>494</v>
      </c>
      <c r="G36" s="1633">
        <v>191</v>
      </c>
      <c r="H36" s="1634">
        <v>182</v>
      </c>
      <c r="I36" s="1635">
        <v>168</v>
      </c>
      <c r="J36" s="1633">
        <v>94</v>
      </c>
      <c r="K36" s="1634">
        <v>104</v>
      </c>
      <c r="L36" s="1635">
        <v>89</v>
      </c>
    </row>
    <row r="37" spans="1:12" ht="15.75" x14ac:dyDescent="0.25">
      <c r="A37" s="540" t="s">
        <v>80</v>
      </c>
      <c r="B37" s="636" t="s">
        <v>81</v>
      </c>
      <c r="C37" s="1233" t="s">
        <v>266</v>
      </c>
      <c r="D37" s="1633">
        <v>315</v>
      </c>
      <c r="E37" s="1634">
        <v>296</v>
      </c>
      <c r="F37" s="1629">
        <v>308</v>
      </c>
      <c r="G37" s="1633">
        <v>128</v>
      </c>
      <c r="H37" s="1634">
        <v>139</v>
      </c>
      <c r="I37" s="1635">
        <v>102</v>
      </c>
      <c r="J37" s="1633">
        <v>68</v>
      </c>
      <c r="K37" s="1634">
        <v>75</v>
      </c>
      <c r="L37" s="1635">
        <v>59</v>
      </c>
    </row>
    <row r="38" spans="1:12" ht="15.75" x14ac:dyDescent="0.25">
      <c r="A38" s="540" t="s">
        <v>84</v>
      </c>
      <c r="B38" s="636" t="s">
        <v>85</v>
      </c>
      <c r="C38" s="1233" t="s">
        <v>265</v>
      </c>
      <c r="D38" s="1633">
        <v>1830</v>
      </c>
      <c r="E38" s="1634">
        <v>1548</v>
      </c>
      <c r="F38" s="1629">
        <v>1573</v>
      </c>
      <c r="G38" s="1633">
        <v>808</v>
      </c>
      <c r="H38" s="1634">
        <v>781</v>
      </c>
      <c r="I38" s="1635">
        <v>611</v>
      </c>
      <c r="J38" s="1633">
        <v>375</v>
      </c>
      <c r="K38" s="1634">
        <v>422</v>
      </c>
      <c r="L38" s="1635">
        <v>263</v>
      </c>
    </row>
    <row r="39" spans="1:12" ht="15.75" x14ac:dyDescent="0.25">
      <c r="A39" s="540" t="s">
        <v>86</v>
      </c>
      <c r="B39" s="636" t="s">
        <v>87</v>
      </c>
      <c r="C39" s="1233" t="s">
        <v>267</v>
      </c>
      <c r="D39" s="1633">
        <v>733</v>
      </c>
      <c r="E39" s="1634">
        <v>596</v>
      </c>
      <c r="F39" s="1629">
        <v>562</v>
      </c>
      <c r="G39" s="1633">
        <v>228</v>
      </c>
      <c r="H39" s="1634">
        <v>195</v>
      </c>
      <c r="I39" s="1635">
        <v>141</v>
      </c>
      <c r="J39" s="1633">
        <v>89</v>
      </c>
      <c r="K39" s="1634">
        <v>101</v>
      </c>
      <c r="L39" s="1635">
        <v>77</v>
      </c>
    </row>
    <row r="40" spans="1:12" ht="15.75" x14ac:dyDescent="0.25">
      <c r="A40" s="540" t="s">
        <v>92</v>
      </c>
      <c r="B40" s="636" t="s">
        <v>93</v>
      </c>
      <c r="C40" s="1233" t="s">
        <v>268</v>
      </c>
      <c r="D40" s="1633">
        <v>683</v>
      </c>
      <c r="E40" s="1634">
        <v>650</v>
      </c>
      <c r="F40" s="1629">
        <v>672</v>
      </c>
      <c r="G40" s="1633">
        <v>262</v>
      </c>
      <c r="H40" s="1634">
        <v>324</v>
      </c>
      <c r="I40" s="1635">
        <v>274</v>
      </c>
      <c r="J40" s="1633">
        <v>146</v>
      </c>
      <c r="K40" s="1634">
        <v>176</v>
      </c>
      <c r="L40" s="1635">
        <v>168</v>
      </c>
    </row>
    <row r="41" spans="1:12" ht="15.75" x14ac:dyDescent="0.25">
      <c r="A41" s="540" t="s">
        <v>94</v>
      </c>
      <c r="B41" s="636" t="s">
        <v>95</v>
      </c>
      <c r="C41" s="1233" t="s">
        <v>264</v>
      </c>
      <c r="D41" s="1633">
        <v>651</v>
      </c>
      <c r="E41" s="1634">
        <v>575</v>
      </c>
      <c r="F41" s="1629">
        <v>586</v>
      </c>
      <c r="G41" s="1633">
        <v>327</v>
      </c>
      <c r="H41" s="1634">
        <v>325</v>
      </c>
      <c r="I41" s="1635">
        <v>262</v>
      </c>
      <c r="J41" s="1633">
        <v>130</v>
      </c>
      <c r="K41" s="1634">
        <v>151</v>
      </c>
      <c r="L41" s="1635">
        <v>161</v>
      </c>
    </row>
    <row r="42" spans="1:12" ht="15.75" x14ac:dyDescent="0.25">
      <c r="A42" s="540" t="s">
        <v>96</v>
      </c>
      <c r="B42" s="636" t="s">
        <v>97</v>
      </c>
      <c r="C42" s="1233" t="s">
        <v>266</v>
      </c>
      <c r="D42" s="1633">
        <v>280</v>
      </c>
      <c r="E42" s="1634">
        <v>248</v>
      </c>
      <c r="F42" s="1629">
        <v>258</v>
      </c>
      <c r="G42" s="1633">
        <v>83</v>
      </c>
      <c r="H42" s="1634">
        <v>88</v>
      </c>
      <c r="I42" s="1635">
        <v>65</v>
      </c>
      <c r="J42" s="1633">
        <v>47</v>
      </c>
      <c r="K42" s="1634">
        <v>28</v>
      </c>
      <c r="L42" s="1635">
        <v>24</v>
      </c>
    </row>
    <row r="43" spans="1:12" ht="15.75" x14ac:dyDescent="0.25">
      <c r="A43" s="540" t="s">
        <v>98</v>
      </c>
      <c r="B43" s="636" t="s">
        <v>99</v>
      </c>
      <c r="C43" s="1233" t="s">
        <v>268</v>
      </c>
      <c r="D43" s="1633">
        <v>1130</v>
      </c>
      <c r="E43" s="1634">
        <v>1059</v>
      </c>
      <c r="F43" s="1629">
        <v>1068</v>
      </c>
      <c r="G43" s="1633">
        <v>470</v>
      </c>
      <c r="H43" s="1634">
        <v>455</v>
      </c>
      <c r="I43" s="1635">
        <v>387</v>
      </c>
      <c r="J43" s="1633">
        <v>163</v>
      </c>
      <c r="K43" s="1634">
        <v>169</v>
      </c>
      <c r="L43" s="1635">
        <v>126</v>
      </c>
    </row>
    <row r="44" spans="1:12" ht="15.75" x14ac:dyDescent="0.25">
      <c r="A44" s="540" t="s">
        <v>100</v>
      </c>
      <c r="B44" s="636" t="s">
        <v>101</v>
      </c>
      <c r="C44" s="1233" t="s">
        <v>267</v>
      </c>
      <c r="D44" s="1633">
        <v>325</v>
      </c>
      <c r="E44" s="1634">
        <v>255</v>
      </c>
      <c r="F44" s="1629">
        <v>282</v>
      </c>
      <c r="G44" s="1633">
        <v>127</v>
      </c>
      <c r="H44" s="1634">
        <v>145</v>
      </c>
      <c r="I44" s="1635">
        <v>156</v>
      </c>
      <c r="J44" s="1633">
        <v>57</v>
      </c>
      <c r="K44" s="1634">
        <v>82</v>
      </c>
      <c r="L44" s="1635">
        <v>77</v>
      </c>
    </row>
    <row r="45" spans="1:12" ht="15.75" x14ac:dyDescent="0.25">
      <c r="A45" s="540" t="s">
        <v>102</v>
      </c>
      <c r="B45" s="636" t="s">
        <v>282</v>
      </c>
      <c r="C45" s="1233" t="s">
        <v>264</v>
      </c>
      <c r="D45" s="1633">
        <v>948</v>
      </c>
      <c r="E45" s="1634">
        <v>866</v>
      </c>
      <c r="F45" s="1629">
        <v>906</v>
      </c>
      <c r="G45" s="1633">
        <v>485</v>
      </c>
      <c r="H45" s="1634">
        <v>521</v>
      </c>
      <c r="I45" s="1635">
        <v>390</v>
      </c>
      <c r="J45" s="1633">
        <v>110</v>
      </c>
      <c r="K45" s="1634">
        <v>123</v>
      </c>
      <c r="L45" s="1635">
        <v>126</v>
      </c>
    </row>
    <row r="46" spans="1:12" ht="15.75" x14ac:dyDescent="0.25">
      <c r="A46" s="540" t="s">
        <v>104</v>
      </c>
      <c r="B46" s="636" t="s">
        <v>105</v>
      </c>
      <c r="C46" s="1233" t="s">
        <v>265</v>
      </c>
      <c r="D46" s="1633">
        <v>2381</v>
      </c>
      <c r="E46" s="1634">
        <v>2229</v>
      </c>
      <c r="F46" s="1629">
        <v>2209</v>
      </c>
      <c r="G46" s="1633">
        <v>1037</v>
      </c>
      <c r="H46" s="1634">
        <v>1086</v>
      </c>
      <c r="I46" s="1635">
        <v>723</v>
      </c>
      <c r="J46" s="1633">
        <v>484</v>
      </c>
      <c r="K46" s="1634">
        <v>447</v>
      </c>
      <c r="L46" s="1635">
        <v>407</v>
      </c>
    </row>
    <row r="47" spans="1:12" ht="15.75" x14ac:dyDescent="0.25">
      <c r="A47" s="540" t="s">
        <v>108</v>
      </c>
      <c r="B47" s="636" t="s">
        <v>109</v>
      </c>
      <c r="C47" s="1233" t="s">
        <v>266</v>
      </c>
      <c r="D47" s="1633">
        <v>783</v>
      </c>
      <c r="E47" s="1634">
        <v>660</v>
      </c>
      <c r="F47" s="1629">
        <v>659</v>
      </c>
      <c r="G47" s="1633">
        <v>313</v>
      </c>
      <c r="H47" s="1634">
        <v>315</v>
      </c>
      <c r="I47" s="1635">
        <v>224</v>
      </c>
      <c r="J47" s="1633">
        <v>127</v>
      </c>
      <c r="K47" s="1634">
        <v>98</v>
      </c>
      <c r="L47" s="1635">
        <v>81</v>
      </c>
    </row>
    <row r="48" spans="1:12" ht="15.75" x14ac:dyDescent="0.25">
      <c r="A48" s="540" t="s">
        <v>110</v>
      </c>
      <c r="B48" s="636" t="s">
        <v>111</v>
      </c>
      <c r="C48" s="1233" t="s">
        <v>266</v>
      </c>
      <c r="D48" s="1633">
        <v>3983</v>
      </c>
      <c r="E48" s="1634">
        <v>3456</v>
      </c>
      <c r="F48" s="1629">
        <v>3619</v>
      </c>
      <c r="G48" s="1633">
        <v>2239</v>
      </c>
      <c r="H48" s="1634">
        <v>1956</v>
      </c>
      <c r="I48" s="1635">
        <v>757</v>
      </c>
      <c r="J48" s="1633">
        <v>309</v>
      </c>
      <c r="K48" s="1634">
        <v>317</v>
      </c>
      <c r="L48" s="1635">
        <v>335</v>
      </c>
    </row>
    <row r="49" spans="1:12" ht="15.75" x14ac:dyDescent="0.25">
      <c r="A49" s="540" t="s">
        <v>112</v>
      </c>
      <c r="B49" s="636" t="s">
        <v>300</v>
      </c>
      <c r="C49" s="1233" t="s">
        <v>265</v>
      </c>
      <c r="D49" s="1633">
        <v>3798</v>
      </c>
      <c r="E49" s="1634">
        <v>3460</v>
      </c>
      <c r="F49" s="1629">
        <v>3483</v>
      </c>
      <c r="G49" s="1633">
        <v>1630</v>
      </c>
      <c r="H49" s="1634">
        <v>1705</v>
      </c>
      <c r="I49" s="1635">
        <v>1233</v>
      </c>
      <c r="J49" s="1633">
        <v>707</v>
      </c>
      <c r="K49" s="1634">
        <v>699</v>
      </c>
      <c r="L49" s="1635">
        <v>640</v>
      </c>
    </row>
    <row r="50" spans="1:12" ht="15.75" x14ac:dyDescent="0.25">
      <c r="A50" s="540" t="s">
        <v>114</v>
      </c>
      <c r="B50" s="636" t="s">
        <v>115</v>
      </c>
      <c r="C50" s="1233" t="s">
        <v>265</v>
      </c>
      <c r="D50" s="1633">
        <v>50</v>
      </c>
      <c r="E50" s="1634">
        <v>51</v>
      </c>
      <c r="F50" s="1629">
        <v>50</v>
      </c>
      <c r="G50" s="1633">
        <v>20</v>
      </c>
      <c r="H50" s="1634">
        <v>12</v>
      </c>
      <c r="I50" s="1635">
        <v>21</v>
      </c>
      <c r="J50" s="1633">
        <v>4</v>
      </c>
      <c r="K50" s="1634">
        <v>7</v>
      </c>
      <c r="L50" s="1635">
        <v>5</v>
      </c>
    </row>
    <row r="51" spans="1:12" ht="15.75" x14ac:dyDescent="0.25">
      <c r="A51" s="540" t="s">
        <v>118</v>
      </c>
      <c r="B51" s="636" t="s">
        <v>270</v>
      </c>
      <c r="C51" s="1233" t="s">
        <v>264</v>
      </c>
      <c r="D51" s="1633">
        <v>774</v>
      </c>
      <c r="E51" s="1634">
        <v>644</v>
      </c>
      <c r="F51" s="1629">
        <v>609</v>
      </c>
      <c r="G51" s="1633">
        <v>275</v>
      </c>
      <c r="H51" s="1634">
        <v>278</v>
      </c>
      <c r="I51" s="1635">
        <v>259</v>
      </c>
      <c r="J51" s="1633">
        <v>67</v>
      </c>
      <c r="K51" s="1634">
        <v>78</v>
      </c>
      <c r="L51" s="1635">
        <v>59</v>
      </c>
    </row>
    <row r="52" spans="1:12" ht="15.75" x14ac:dyDescent="0.25">
      <c r="A52" s="540" t="s">
        <v>120</v>
      </c>
      <c r="B52" s="636" t="s">
        <v>121</v>
      </c>
      <c r="C52" s="1233" t="s">
        <v>264</v>
      </c>
      <c r="D52" s="1633">
        <v>622</v>
      </c>
      <c r="E52" s="1634">
        <v>544</v>
      </c>
      <c r="F52" s="1629">
        <v>553</v>
      </c>
      <c r="G52" s="1633">
        <v>322</v>
      </c>
      <c r="H52" s="1634">
        <v>292</v>
      </c>
      <c r="I52" s="1635">
        <v>234</v>
      </c>
      <c r="J52" s="1633">
        <v>121</v>
      </c>
      <c r="K52" s="1634">
        <v>109</v>
      </c>
      <c r="L52" s="1635">
        <v>83</v>
      </c>
    </row>
    <row r="53" spans="1:12" ht="15.75" x14ac:dyDescent="0.25">
      <c r="A53" s="540" t="s">
        <v>122</v>
      </c>
      <c r="B53" s="636" t="s">
        <v>287</v>
      </c>
      <c r="C53" s="1233" t="s">
        <v>266</v>
      </c>
      <c r="D53" s="1633">
        <v>258</v>
      </c>
      <c r="E53" s="1634">
        <v>230</v>
      </c>
      <c r="F53" s="1629">
        <v>247</v>
      </c>
      <c r="G53" s="1633">
        <v>68</v>
      </c>
      <c r="H53" s="1634">
        <v>78</v>
      </c>
      <c r="I53" s="1635">
        <v>72</v>
      </c>
      <c r="J53" s="1633">
        <v>56</v>
      </c>
      <c r="K53" s="1634">
        <v>65</v>
      </c>
      <c r="L53" s="1635">
        <v>64</v>
      </c>
    </row>
    <row r="54" spans="1:12" ht="15.75" x14ac:dyDescent="0.25">
      <c r="A54" s="540" t="s">
        <v>124</v>
      </c>
      <c r="B54" s="636" t="s">
        <v>125</v>
      </c>
      <c r="C54" s="1233" t="s">
        <v>267</v>
      </c>
      <c r="D54" s="1633">
        <v>383</v>
      </c>
      <c r="E54" s="1634">
        <v>353</v>
      </c>
      <c r="F54" s="1629">
        <v>351</v>
      </c>
      <c r="G54" s="1633">
        <v>150</v>
      </c>
      <c r="H54" s="1634">
        <v>163</v>
      </c>
      <c r="I54" s="1635">
        <v>98</v>
      </c>
      <c r="J54" s="1633">
        <v>129</v>
      </c>
      <c r="K54" s="1634">
        <v>131</v>
      </c>
      <c r="L54" s="1635">
        <v>119</v>
      </c>
    </row>
    <row r="55" spans="1:12" ht="15.75" x14ac:dyDescent="0.25">
      <c r="A55" s="540" t="s">
        <v>126</v>
      </c>
      <c r="B55" s="636" t="s">
        <v>127</v>
      </c>
      <c r="C55" s="1233" t="s">
        <v>266</v>
      </c>
      <c r="D55" s="1633">
        <v>282</v>
      </c>
      <c r="E55" s="1634">
        <v>270</v>
      </c>
      <c r="F55" s="1629">
        <v>252</v>
      </c>
      <c r="G55" s="1633">
        <v>104</v>
      </c>
      <c r="H55" s="1634">
        <v>104</v>
      </c>
      <c r="I55" s="1635">
        <v>74</v>
      </c>
      <c r="J55" s="1633">
        <v>64</v>
      </c>
      <c r="K55" s="1634">
        <v>43</v>
      </c>
      <c r="L55" s="1635">
        <v>67</v>
      </c>
    </row>
    <row r="56" spans="1:12" ht="15.75" x14ac:dyDescent="0.25">
      <c r="A56" s="540" t="s">
        <v>128</v>
      </c>
      <c r="B56" s="636" t="s">
        <v>129</v>
      </c>
      <c r="C56" s="1233" t="s">
        <v>266</v>
      </c>
      <c r="D56" s="1633">
        <v>477</v>
      </c>
      <c r="E56" s="1634">
        <v>411</v>
      </c>
      <c r="F56" s="1629">
        <v>429</v>
      </c>
      <c r="G56" s="1633">
        <v>177</v>
      </c>
      <c r="H56" s="1634">
        <v>181</v>
      </c>
      <c r="I56" s="1635">
        <v>183</v>
      </c>
      <c r="J56" s="1633">
        <v>138</v>
      </c>
      <c r="K56" s="1634">
        <v>155</v>
      </c>
      <c r="L56" s="1635">
        <v>138</v>
      </c>
    </row>
    <row r="57" spans="1:12" ht="15.75" x14ac:dyDescent="0.25">
      <c r="A57" s="540" t="s">
        <v>130</v>
      </c>
      <c r="B57" s="636" t="s">
        <v>131</v>
      </c>
      <c r="C57" s="1233" t="s">
        <v>268</v>
      </c>
      <c r="D57" s="1633">
        <v>2312</v>
      </c>
      <c r="E57" s="1634">
        <v>2170</v>
      </c>
      <c r="F57" s="1629">
        <v>2323</v>
      </c>
      <c r="G57" s="1633">
        <v>1170</v>
      </c>
      <c r="H57" s="1634">
        <v>1296</v>
      </c>
      <c r="I57" s="1635">
        <v>1091</v>
      </c>
      <c r="J57" s="1633">
        <v>641</v>
      </c>
      <c r="K57" s="1634">
        <v>767</v>
      </c>
      <c r="L57" s="1635">
        <v>595</v>
      </c>
    </row>
    <row r="58" spans="1:12" ht="15.75" x14ac:dyDescent="0.25">
      <c r="A58" s="540" t="s">
        <v>132</v>
      </c>
      <c r="B58" s="636" t="s">
        <v>133</v>
      </c>
      <c r="C58" s="1233" t="s">
        <v>267</v>
      </c>
      <c r="D58" s="1633">
        <v>282</v>
      </c>
      <c r="E58" s="1634">
        <v>273</v>
      </c>
      <c r="F58" s="1629">
        <v>245</v>
      </c>
      <c r="G58" s="1633">
        <v>131</v>
      </c>
      <c r="H58" s="1634">
        <v>116</v>
      </c>
      <c r="I58" s="1635">
        <v>63</v>
      </c>
      <c r="J58" s="1633">
        <v>13</v>
      </c>
      <c r="K58" s="1634">
        <v>8</v>
      </c>
      <c r="L58" s="1635">
        <v>15</v>
      </c>
    </row>
    <row r="59" spans="1:12" ht="15.75" x14ac:dyDescent="0.25">
      <c r="A59" s="540" t="s">
        <v>134</v>
      </c>
      <c r="B59" s="636" t="s">
        <v>135</v>
      </c>
      <c r="C59" s="1233" t="s">
        <v>267</v>
      </c>
      <c r="D59" s="1633">
        <v>934</v>
      </c>
      <c r="E59" s="1634">
        <v>878</v>
      </c>
      <c r="F59" s="1629">
        <v>912</v>
      </c>
      <c r="G59" s="1633">
        <v>466</v>
      </c>
      <c r="H59" s="1634">
        <v>458</v>
      </c>
      <c r="I59" s="1635">
        <v>338</v>
      </c>
      <c r="J59" s="1633">
        <v>214</v>
      </c>
      <c r="K59" s="1634">
        <v>273</v>
      </c>
      <c r="L59" s="1635">
        <v>213</v>
      </c>
    </row>
    <row r="60" spans="1:12" ht="15.75" x14ac:dyDescent="0.25">
      <c r="A60" s="540" t="s">
        <v>136</v>
      </c>
      <c r="B60" s="636" t="s">
        <v>137</v>
      </c>
      <c r="C60" s="1233" t="s">
        <v>266</v>
      </c>
      <c r="D60" s="1633">
        <v>760</v>
      </c>
      <c r="E60" s="1634">
        <v>702</v>
      </c>
      <c r="F60" s="1629">
        <v>732</v>
      </c>
      <c r="G60" s="1633">
        <v>380</v>
      </c>
      <c r="H60" s="1634">
        <v>435</v>
      </c>
      <c r="I60" s="1635">
        <v>362</v>
      </c>
      <c r="J60" s="1633">
        <v>217</v>
      </c>
      <c r="K60" s="1634">
        <v>213</v>
      </c>
      <c r="L60" s="1635">
        <v>233</v>
      </c>
    </row>
    <row r="61" spans="1:12" ht="15.75" x14ac:dyDescent="0.25">
      <c r="A61" s="540" t="s">
        <v>140</v>
      </c>
      <c r="B61" s="636" t="s">
        <v>141</v>
      </c>
      <c r="C61" s="1233" t="s">
        <v>267</v>
      </c>
      <c r="D61" s="1633">
        <v>264</v>
      </c>
      <c r="E61" s="1634">
        <v>240</v>
      </c>
      <c r="F61" s="1629">
        <v>253</v>
      </c>
      <c r="G61" s="1633">
        <v>101</v>
      </c>
      <c r="H61" s="1634">
        <v>110</v>
      </c>
      <c r="I61" s="1635">
        <v>83</v>
      </c>
      <c r="J61" s="1633">
        <v>50</v>
      </c>
      <c r="K61" s="1634">
        <v>69</v>
      </c>
      <c r="L61" s="1635">
        <v>39</v>
      </c>
    </row>
    <row r="62" spans="1:12" ht="15.75" x14ac:dyDescent="0.25">
      <c r="A62" s="540" t="s">
        <v>146</v>
      </c>
      <c r="B62" s="636" t="s">
        <v>147</v>
      </c>
      <c r="C62" s="1233" t="s">
        <v>264</v>
      </c>
      <c r="D62" s="1633">
        <v>198</v>
      </c>
      <c r="E62" s="1634">
        <v>200</v>
      </c>
      <c r="F62" s="1629">
        <v>196</v>
      </c>
      <c r="G62" s="1633">
        <v>97</v>
      </c>
      <c r="H62" s="1634">
        <v>115</v>
      </c>
      <c r="I62" s="1635">
        <v>80</v>
      </c>
      <c r="J62" s="1633">
        <v>39</v>
      </c>
      <c r="K62" s="1634">
        <v>54</v>
      </c>
      <c r="L62" s="1635">
        <v>41</v>
      </c>
    </row>
    <row r="63" spans="1:12" ht="15.75" x14ac:dyDescent="0.25">
      <c r="A63" s="540" t="s">
        <v>148</v>
      </c>
      <c r="B63" s="636" t="s">
        <v>149</v>
      </c>
      <c r="C63" s="1233" t="s">
        <v>265</v>
      </c>
      <c r="D63" s="1633">
        <v>1718</v>
      </c>
      <c r="E63" s="1634">
        <v>1589</v>
      </c>
      <c r="F63" s="1629">
        <v>1581</v>
      </c>
      <c r="G63" s="1633">
        <v>778</v>
      </c>
      <c r="H63" s="1634">
        <v>796</v>
      </c>
      <c r="I63" s="1635">
        <v>712</v>
      </c>
      <c r="J63" s="1633">
        <v>384</v>
      </c>
      <c r="K63" s="1634">
        <v>371</v>
      </c>
      <c r="L63" s="1635">
        <v>330</v>
      </c>
    </row>
    <row r="64" spans="1:12" ht="15.75" x14ac:dyDescent="0.25">
      <c r="A64" s="540" t="s">
        <v>150</v>
      </c>
      <c r="B64" s="636" t="s">
        <v>151</v>
      </c>
      <c r="C64" s="1233" t="s">
        <v>266</v>
      </c>
      <c r="D64" s="1633">
        <v>327</v>
      </c>
      <c r="E64" s="1634">
        <v>301</v>
      </c>
      <c r="F64" s="1629">
        <v>316</v>
      </c>
      <c r="G64" s="1633">
        <v>122</v>
      </c>
      <c r="H64" s="1634">
        <v>158</v>
      </c>
      <c r="I64" s="1635">
        <v>99</v>
      </c>
      <c r="J64" s="1633">
        <v>79</v>
      </c>
      <c r="K64" s="1634">
        <v>104</v>
      </c>
      <c r="L64" s="1635">
        <v>110</v>
      </c>
    </row>
    <row r="65" spans="1:12" ht="15.75" x14ac:dyDescent="0.25">
      <c r="A65" s="540" t="s">
        <v>152</v>
      </c>
      <c r="B65" s="636" t="s">
        <v>153</v>
      </c>
      <c r="C65" s="1233" t="s">
        <v>268</v>
      </c>
      <c r="D65" s="1633">
        <v>1688</v>
      </c>
      <c r="E65" s="1634">
        <v>1559</v>
      </c>
      <c r="F65" s="1629">
        <v>1574</v>
      </c>
      <c r="G65" s="1633">
        <v>825</v>
      </c>
      <c r="H65" s="1634">
        <v>791</v>
      </c>
      <c r="I65" s="1635">
        <v>668</v>
      </c>
      <c r="J65" s="1633">
        <v>320</v>
      </c>
      <c r="K65" s="1634">
        <v>314</v>
      </c>
      <c r="L65" s="1635">
        <v>262</v>
      </c>
    </row>
    <row r="66" spans="1:12" ht="15.75" x14ac:dyDescent="0.25">
      <c r="A66" s="540" t="s">
        <v>154</v>
      </c>
      <c r="B66" s="636" t="s">
        <v>155</v>
      </c>
      <c r="C66" s="1233" t="s">
        <v>265</v>
      </c>
      <c r="D66" s="1633">
        <v>619</v>
      </c>
      <c r="E66" s="1634">
        <v>606</v>
      </c>
      <c r="F66" s="1629">
        <v>616</v>
      </c>
      <c r="G66" s="1633">
        <v>310</v>
      </c>
      <c r="H66" s="1634">
        <v>303</v>
      </c>
      <c r="I66" s="1635">
        <v>251</v>
      </c>
      <c r="J66" s="1633">
        <v>177</v>
      </c>
      <c r="K66" s="1634">
        <v>190</v>
      </c>
      <c r="L66" s="1635">
        <v>145</v>
      </c>
    </row>
    <row r="67" spans="1:12" ht="15.75" x14ac:dyDescent="0.25">
      <c r="A67" s="540" t="s">
        <v>156</v>
      </c>
      <c r="B67" s="636" t="s">
        <v>157</v>
      </c>
      <c r="C67" s="1233" t="s">
        <v>266</v>
      </c>
      <c r="D67" s="1633">
        <v>127</v>
      </c>
      <c r="E67" s="1634">
        <v>109</v>
      </c>
      <c r="F67" s="1629">
        <v>116</v>
      </c>
      <c r="G67" s="1633">
        <v>38</v>
      </c>
      <c r="H67" s="1634">
        <v>50</v>
      </c>
      <c r="I67" s="1635">
        <v>28</v>
      </c>
      <c r="J67" s="1633">
        <v>33</v>
      </c>
      <c r="K67" s="1634">
        <v>43</v>
      </c>
      <c r="L67" s="1635">
        <v>37</v>
      </c>
    </row>
    <row r="68" spans="1:12" ht="15.75" x14ac:dyDescent="0.25">
      <c r="A68" s="540" t="s">
        <v>162</v>
      </c>
      <c r="B68" s="636" t="s">
        <v>163</v>
      </c>
      <c r="C68" s="1233" t="s">
        <v>264</v>
      </c>
      <c r="D68" s="1633">
        <v>975</v>
      </c>
      <c r="E68" s="1634">
        <v>898</v>
      </c>
      <c r="F68" s="1629">
        <v>913</v>
      </c>
      <c r="G68" s="1633">
        <v>476</v>
      </c>
      <c r="H68" s="1634">
        <v>483</v>
      </c>
      <c r="I68" s="1635">
        <v>421</v>
      </c>
      <c r="J68" s="1633">
        <v>291</v>
      </c>
      <c r="K68" s="1634">
        <v>345</v>
      </c>
      <c r="L68" s="1635">
        <v>299</v>
      </c>
    </row>
    <row r="69" spans="1:12" ht="15.75" x14ac:dyDescent="0.25">
      <c r="A69" s="540" t="s">
        <v>164</v>
      </c>
      <c r="B69" s="636" t="s">
        <v>165</v>
      </c>
      <c r="C69" s="1233" t="s">
        <v>266</v>
      </c>
      <c r="D69" s="1633">
        <v>444</v>
      </c>
      <c r="E69" s="1634">
        <v>427</v>
      </c>
      <c r="F69" s="1629">
        <v>460</v>
      </c>
      <c r="G69" s="1633">
        <v>183</v>
      </c>
      <c r="H69" s="1634">
        <v>188</v>
      </c>
      <c r="I69" s="1635">
        <v>152</v>
      </c>
      <c r="J69" s="1633">
        <v>179</v>
      </c>
      <c r="K69" s="1634">
        <v>219</v>
      </c>
      <c r="L69" s="1635">
        <v>192</v>
      </c>
    </row>
    <row r="70" spans="1:12" ht="15.75" x14ac:dyDescent="0.25">
      <c r="A70" s="540" t="s">
        <v>168</v>
      </c>
      <c r="B70" s="636" t="s">
        <v>169</v>
      </c>
      <c r="C70" s="1233" t="s">
        <v>266</v>
      </c>
      <c r="D70" s="1633">
        <v>826</v>
      </c>
      <c r="E70" s="1634">
        <v>770</v>
      </c>
      <c r="F70" s="1629">
        <v>789</v>
      </c>
      <c r="G70" s="1633">
        <v>354</v>
      </c>
      <c r="H70" s="1634">
        <v>362</v>
      </c>
      <c r="I70" s="1635">
        <v>291</v>
      </c>
      <c r="J70" s="1633">
        <v>179</v>
      </c>
      <c r="K70" s="1634">
        <v>160</v>
      </c>
      <c r="L70" s="1635">
        <v>184</v>
      </c>
    </row>
    <row r="71" spans="1:12" ht="15.75" x14ac:dyDescent="0.25">
      <c r="A71" s="540" t="s">
        <v>170</v>
      </c>
      <c r="B71" s="636" t="s">
        <v>171</v>
      </c>
      <c r="C71" s="1233" t="s">
        <v>267</v>
      </c>
      <c r="D71" s="1633">
        <v>595</v>
      </c>
      <c r="E71" s="1634">
        <v>558</v>
      </c>
      <c r="F71" s="1629">
        <v>529</v>
      </c>
      <c r="G71" s="1633">
        <v>242</v>
      </c>
      <c r="H71" s="1634">
        <v>276</v>
      </c>
      <c r="I71" s="1635">
        <v>171</v>
      </c>
      <c r="J71" s="1633">
        <v>72</v>
      </c>
      <c r="K71" s="1634">
        <v>87</v>
      </c>
      <c r="L71" s="1635">
        <v>82</v>
      </c>
    </row>
    <row r="72" spans="1:12" ht="15.75" x14ac:dyDescent="0.25">
      <c r="A72" s="540" t="s">
        <v>172</v>
      </c>
      <c r="B72" s="636" t="s">
        <v>173</v>
      </c>
      <c r="C72" s="1233" t="s">
        <v>267</v>
      </c>
      <c r="D72" s="1633">
        <v>959</v>
      </c>
      <c r="E72" s="1634">
        <v>895</v>
      </c>
      <c r="F72" s="1629">
        <v>869</v>
      </c>
      <c r="G72" s="1633">
        <v>328</v>
      </c>
      <c r="H72" s="1634">
        <v>318</v>
      </c>
      <c r="I72" s="1635">
        <v>263</v>
      </c>
      <c r="J72" s="1633">
        <v>106</v>
      </c>
      <c r="K72" s="1634">
        <v>137</v>
      </c>
      <c r="L72" s="1635">
        <v>121</v>
      </c>
    </row>
    <row r="73" spans="1:12" ht="15.75" x14ac:dyDescent="0.25">
      <c r="A73" s="540" t="s">
        <v>174</v>
      </c>
      <c r="B73" s="636" t="s">
        <v>175</v>
      </c>
      <c r="C73" s="1233" t="s">
        <v>268</v>
      </c>
      <c r="D73" s="1633">
        <v>1003</v>
      </c>
      <c r="E73" s="1634">
        <v>946</v>
      </c>
      <c r="F73" s="1629">
        <v>909</v>
      </c>
      <c r="G73" s="1633">
        <v>483</v>
      </c>
      <c r="H73" s="1634">
        <v>487</v>
      </c>
      <c r="I73" s="1635">
        <v>417</v>
      </c>
      <c r="J73" s="1633">
        <v>265</v>
      </c>
      <c r="K73" s="1634">
        <v>214</v>
      </c>
      <c r="L73" s="1635">
        <v>202</v>
      </c>
    </row>
    <row r="74" spans="1:12" ht="15.75" x14ac:dyDescent="0.25">
      <c r="A74" s="540" t="s">
        <v>178</v>
      </c>
      <c r="B74" s="636" t="s">
        <v>179</v>
      </c>
      <c r="C74" s="1233" t="s">
        <v>265</v>
      </c>
      <c r="D74" s="1633">
        <v>2618</v>
      </c>
      <c r="E74" s="1634">
        <v>2340</v>
      </c>
      <c r="F74" s="1629">
        <v>2319</v>
      </c>
      <c r="G74" s="1633">
        <v>1087</v>
      </c>
      <c r="H74" s="1634">
        <v>1090</v>
      </c>
      <c r="I74" s="1635">
        <v>809</v>
      </c>
      <c r="J74" s="1633">
        <v>549</v>
      </c>
      <c r="K74" s="1634">
        <v>570</v>
      </c>
      <c r="L74" s="1635">
        <v>470</v>
      </c>
    </row>
    <row r="75" spans="1:12" ht="15.75" x14ac:dyDescent="0.25">
      <c r="A75" s="540" t="s">
        <v>182</v>
      </c>
      <c r="B75" s="636" t="s">
        <v>183</v>
      </c>
      <c r="C75" s="1233" t="s">
        <v>266</v>
      </c>
      <c r="D75" s="1633">
        <v>206</v>
      </c>
      <c r="E75" s="1634">
        <v>190</v>
      </c>
      <c r="F75" s="1629">
        <v>170</v>
      </c>
      <c r="G75" s="1633">
        <v>74</v>
      </c>
      <c r="H75" s="1634">
        <v>54</v>
      </c>
      <c r="I75" s="1635">
        <v>40</v>
      </c>
      <c r="J75" s="1633">
        <v>35</v>
      </c>
      <c r="K75" s="1634">
        <v>16</v>
      </c>
      <c r="L75" s="1635">
        <v>29</v>
      </c>
    </row>
    <row r="76" spans="1:12" ht="15.75" x14ac:dyDescent="0.25">
      <c r="A76" s="540" t="s">
        <v>184</v>
      </c>
      <c r="B76" s="636" t="s">
        <v>185</v>
      </c>
      <c r="C76" s="1233" t="s">
        <v>266</v>
      </c>
      <c r="D76" s="1633">
        <v>893</v>
      </c>
      <c r="E76" s="1634">
        <v>834</v>
      </c>
      <c r="F76" s="1629">
        <v>826</v>
      </c>
      <c r="G76" s="1633">
        <v>447</v>
      </c>
      <c r="H76" s="1634">
        <v>430</v>
      </c>
      <c r="I76" s="1635">
        <v>354</v>
      </c>
      <c r="J76" s="1633">
        <v>119</v>
      </c>
      <c r="K76" s="1634">
        <v>136</v>
      </c>
      <c r="L76" s="1635">
        <v>188</v>
      </c>
    </row>
    <row r="77" spans="1:12" ht="15.75" x14ac:dyDescent="0.25">
      <c r="A77" s="540" t="s">
        <v>186</v>
      </c>
      <c r="B77" s="636" t="s">
        <v>187</v>
      </c>
      <c r="C77" s="1233" t="s">
        <v>264</v>
      </c>
      <c r="D77" s="1633">
        <v>332</v>
      </c>
      <c r="E77" s="1634">
        <v>273</v>
      </c>
      <c r="F77" s="1629">
        <v>302</v>
      </c>
      <c r="G77" s="1633">
        <v>126</v>
      </c>
      <c r="H77" s="1634">
        <v>133</v>
      </c>
      <c r="I77" s="1635">
        <v>123</v>
      </c>
      <c r="J77" s="1633">
        <v>47</v>
      </c>
      <c r="K77" s="1634">
        <v>54</v>
      </c>
      <c r="L77" s="1635">
        <v>47</v>
      </c>
    </row>
    <row r="78" spans="1:12" ht="15.75" x14ac:dyDescent="0.25">
      <c r="A78" s="540" t="s">
        <v>188</v>
      </c>
      <c r="B78" s="636" t="s">
        <v>189</v>
      </c>
      <c r="C78" s="1233" t="s">
        <v>267</v>
      </c>
      <c r="D78" s="1633">
        <v>903</v>
      </c>
      <c r="E78" s="1634">
        <v>853</v>
      </c>
      <c r="F78" s="1629">
        <v>888</v>
      </c>
      <c r="G78" s="1633">
        <v>449</v>
      </c>
      <c r="H78" s="1634">
        <v>426</v>
      </c>
      <c r="I78" s="1635">
        <v>359</v>
      </c>
      <c r="J78" s="1633">
        <v>192</v>
      </c>
      <c r="K78" s="1634">
        <v>176</v>
      </c>
      <c r="L78" s="1635">
        <v>173</v>
      </c>
    </row>
    <row r="79" spans="1:12" ht="15.75" x14ac:dyDescent="0.25">
      <c r="A79" s="540" t="s">
        <v>190</v>
      </c>
      <c r="B79" s="636" t="s">
        <v>191</v>
      </c>
      <c r="C79" s="1233" t="s">
        <v>268</v>
      </c>
      <c r="D79" s="1633">
        <v>1684</v>
      </c>
      <c r="E79" s="1634">
        <v>1559</v>
      </c>
      <c r="F79" s="1629">
        <v>1590</v>
      </c>
      <c r="G79" s="1633">
        <v>887</v>
      </c>
      <c r="H79" s="1634">
        <v>849</v>
      </c>
      <c r="I79" s="1635">
        <v>711</v>
      </c>
      <c r="J79" s="1633">
        <v>480</v>
      </c>
      <c r="K79" s="1634">
        <v>450</v>
      </c>
      <c r="L79" s="1635">
        <v>318</v>
      </c>
    </row>
    <row r="80" spans="1:12" ht="15.75" x14ac:dyDescent="0.25">
      <c r="A80" s="540" t="s">
        <v>194</v>
      </c>
      <c r="B80" s="636" t="s">
        <v>195</v>
      </c>
      <c r="C80" s="1233" t="s">
        <v>267</v>
      </c>
      <c r="D80" s="1633">
        <v>92</v>
      </c>
      <c r="E80" s="1634">
        <v>79</v>
      </c>
      <c r="F80" s="1629">
        <v>83</v>
      </c>
      <c r="G80" s="1633">
        <v>38</v>
      </c>
      <c r="H80" s="1634">
        <v>31</v>
      </c>
      <c r="I80" s="1635">
        <v>27</v>
      </c>
      <c r="J80" s="1633">
        <v>19</v>
      </c>
      <c r="K80" s="1634">
        <v>15</v>
      </c>
      <c r="L80" s="1635">
        <v>10</v>
      </c>
    </row>
    <row r="81" spans="1:12" ht="15.75" x14ac:dyDescent="0.25">
      <c r="A81" s="540" t="s">
        <v>198</v>
      </c>
      <c r="B81" s="636" t="s">
        <v>272</v>
      </c>
      <c r="C81" s="1233" t="s">
        <v>266</v>
      </c>
      <c r="D81" s="1633">
        <v>376</v>
      </c>
      <c r="E81" s="1634">
        <v>347</v>
      </c>
      <c r="F81" s="1629">
        <v>345</v>
      </c>
      <c r="G81" s="1633">
        <v>154</v>
      </c>
      <c r="H81" s="1634">
        <v>139</v>
      </c>
      <c r="I81" s="1635">
        <v>134</v>
      </c>
      <c r="J81" s="1633">
        <v>107</v>
      </c>
      <c r="K81" s="1634">
        <v>118</v>
      </c>
      <c r="L81" s="1635">
        <v>96</v>
      </c>
    </row>
    <row r="82" spans="1:12" ht="15.75" x14ac:dyDescent="0.25">
      <c r="A82" s="540" t="s">
        <v>202</v>
      </c>
      <c r="B82" s="636" t="s">
        <v>301</v>
      </c>
      <c r="C82" s="1233" t="s">
        <v>265</v>
      </c>
      <c r="D82" s="1633">
        <v>1128</v>
      </c>
      <c r="E82" s="1634">
        <v>1084</v>
      </c>
      <c r="F82" s="1629">
        <v>1054</v>
      </c>
      <c r="G82" s="1633">
        <v>664</v>
      </c>
      <c r="H82" s="1634">
        <v>656</v>
      </c>
      <c r="I82" s="1635">
        <v>555</v>
      </c>
      <c r="J82" s="1633">
        <v>156</v>
      </c>
      <c r="K82" s="1634">
        <v>227</v>
      </c>
      <c r="L82" s="1635">
        <v>139</v>
      </c>
    </row>
    <row r="83" spans="1:12" ht="15.75" x14ac:dyDescent="0.25">
      <c r="A83" s="540" t="s">
        <v>204</v>
      </c>
      <c r="B83" s="636" t="s">
        <v>293</v>
      </c>
      <c r="C83" s="1233" t="s">
        <v>265</v>
      </c>
      <c r="D83" s="1633">
        <v>1212</v>
      </c>
      <c r="E83" s="1634">
        <v>1131</v>
      </c>
      <c r="F83" s="1629">
        <v>1187</v>
      </c>
      <c r="G83" s="1633">
        <v>704</v>
      </c>
      <c r="H83" s="1634">
        <v>665</v>
      </c>
      <c r="I83" s="1635">
        <v>580</v>
      </c>
      <c r="J83" s="1633">
        <v>261</v>
      </c>
      <c r="K83" s="1634">
        <v>289</v>
      </c>
      <c r="L83" s="1635">
        <v>253</v>
      </c>
    </row>
    <row r="84" spans="1:12" ht="15.75" x14ac:dyDescent="0.25">
      <c r="A84" s="540" t="s">
        <v>206</v>
      </c>
      <c r="B84" s="636" t="s">
        <v>294</v>
      </c>
      <c r="C84" s="1233" t="s">
        <v>267</v>
      </c>
      <c r="D84" s="1633">
        <v>1893</v>
      </c>
      <c r="E84" s="1634">
        <v>1866</v>
      </c>
      <c r="F84" s="1629">
        <v>1817</v>
      </c>
      <c r="G84" s="1633">
        <v>811</v>
      </c>
      <c r="H84" s="1634">
        <v>806</v>
      </c>
      <c r="I84" s="1635">
        <v>693</v>
      </c>
      <c r="J84" s="1633">
        <v>238</v>
      </c>
      <c r="K84" s="1634">
        <v>260</v>
      </c>
      <c r="L84" s="1635">
        <v>211</v>
      </c>
    </row>
    <row r="85" spans="1:12" ht="15.75" x14ac:dyDescent="0.25">
      <c r="A85" s="540" t="s">
        <v>208</v>
      </c>
      <c r="B85" s="636" t="s">
        <v>209</v>
      </c>
      <c r="C85" s="1233" t="s">
        <v>268</v>
      </c>
      <c r="D85" s="1633">
        <v>1992</v>
      </c>
      <c r="E85" s="1634">
        <v>1914</v>
      </c>
      <c r="F85" s="1629">
        <v>2014</v>
      </c>
      <c r="G85" s="1633">
        <v>1107</v>
      </c>
      <c r="H85" s="1634">
        <v>1117</v>
      </c>
      <c r="I85" s="1635">
        <v>905</v>
      </c>
      <c r="J85" s="1633">
        <v>446</v>
      </c>
      <c r="K85" s="1634">
        <v>569</v>
      </c>
      <c r="L85" s="1635">
        <v>450</v>
      </c>
    </row>
    <row r="86" spans="1:12" ht="15.75" x14ac:dyDescent="0.25">
      <c r="A86" s="540" t="s">
        <v>210</v>
      </c>
      <c r="B86" s="636" t="s">
        <v>211</v>
      </c>
      <c r="C86" s="1233" t="s">
        <v>268</v>
      </c>
      <c r="D86" s="1633">
        <v>1442</v>
      </c>
      <c r="E86" s="1634">
        <v>1350</v>
      </c>
      <c r="F86" s="1629">
        <v>1370</v>
      </c>
      <c r="G86" s="1633">
        <v>599</v>
      </c>
      <c r="H86" s="1634">
        <v>623</v>
      </c>
      <c r="I86" s="1635">
        <v>603</v>
      </c>
      <c r="J86" s="1633">
        <v>251</v>
      </c>
      <c r="K86" s="1634">
        <v>303</v>
      </c>
      <c r="L86" s="1635">
        <v>217</v>
      </c>
    </row>
    <row r="87" spans="1:12" ht="15.75" x14ac:dyDescent="0.25">
      <c r="A87" s="540" t="s">
        <v>212</v>
      </c>
      <c r="B87" s="636" t="s">
        <v>213</v>
      </c>
      <c r="C87" s="1233" t="s">
        <v>267</v>
      </c>
      <c r="D87" s="1633">
        <v>1003</v>
      </c>
      <c r="E87" s="1634">
        <v>937</v>
      </c>
      <c r="F87" s="1629">
        <v>862</v>
      </c>
      <c r="G87" s="1633">
        <v>493</v>
      </c>
      <c r="H87" s="1634">
        <v>463</v>
      </c>
      <c r="I87" s="1635">
        <v>320</v>
      </c>
      <c r="J87" s="1633">
        <v>170</v>
      </c>
      <c r="K87" s="1634">
        <v>256</v>
      </c>
      <c r="L87" s="1635">
        <v>115</v>
      </c>
    </row>
    <row r="88" spans="1:12" ht="15.75" x14ac:dyDescent="0.25">
      <c r="A88" s="540" t="s">
        <v>214</v>
      </c>
      <c r="B88" s="636" t="s">
        <v>215</v>
      </c>
      <c r="C88" s="1233" t="s">
        <v>268</v>
      </c>
      <c r="D88" s="1633">
        <v>1909</v>
      </c>
      <c r="E88" s="1634">
        <v>1793</v>
      </c>
      <c r="F88" s="1629">
        <v>1737</v>
      </c>
      <c r="G88" s="1633">
        <v>762</v>
      </c>
      <c r="H88" s="1634">
        <v>785</v>
      </c>
      <c r="I88" s="1635">
        <v>728</v>
      </c>
      <c r="J88" s="1633">
        <v>504</v>
      </c>
      <c r="K88" s="1634">
        <v>555</v>
      </c>
      <c r="L88" s="1635">
        <v>548</v>
      </c>
    </row>
    <row r="89" spans="1:12" ht="15.75" x14ac:dyDescent="0.25">
      <c r="A89" s="540" t="s">
        <v>216</v>
      </c>
      <c r="B89" s="636" t="s">
        <v>217</v>
      </c>
      <c r="C89" s="1233" t="s">
        <v>264</v>
      </c>
      <c r="D89" s="1633">
        <v>684</v>
      </c>
      <c r="E89" s="1634">
        <v>624</v>
      </c>
      <c r="F89" s="1629">
        <v>572</v>
      </c>
      <c r="G89" s="1633">
        <v>338</v>
      </c>
      <c r="H89" s="1634">
        <v>334</v>
      </c>
      <c r="I89" s="1635">
        <v>309</v>
      </c>
      <c r="J89" s="1633">
        <v>155</v>
      </c>
      <c r="K89" s="1634">
        <v>148</v>
      </c>
      <c r="L89" s="1635">
        <v>133</v>
      </c>
    </row>
    <row r="90" spans="1:12" ht="15.75" x14ac:dyDescent="0.25">
      <c r="A90" s="540" t="s">
        <v>218</v>
      </c>
      <c r="B90" s="636" t="s">
        <v>219</v>
      </c>
      <c r="C90" s="1233" t="s">
        <v>267</v>
      </c>
      <c r="D90" s="1633">
        <v>829</v>
      </c>
      <c r="E90" s="1634">
        <v>738</v>
      </c>
      <c r="F90" s="1629">
        <v>797</v>
      </c>
      <c r="G90" s="1633">
        <v>274</v>
      </c>
      <c r="H90" s="1634">
        <v>260</v>
      </c>
      <c r="I90" s="1635">
        <v>230</v>
      </c>
      <c r="J90" s="1633">
        <v>146</v>
      </c>
      <c r="K90" s="1634">
        <v>175</v>
      </c>
      <c r="L90" s="1635">
        <v>123</v>
      </c>
    </row>
    <row r="91" spans="1:12" ht="15.75" x14ac:dyDescent="0.25">
      <c r="A91" s="540" t="s">
        <v>220</v>
      </c>
      <c r="B91" s="636" t="s">
        <v>221</v>
      </c>
      <c r="C91" s="1233" t="s">
        <v>267</v>
      </c>
      <c r="D91" s="1633">
        <v>472</v>
      </c>
      <c r="E91" s="1634">
        <v>422</v>
      </c>
      <c r="F91" s="1629">
        <v>471</v>
      </c>
      <c r="G91" s="1633">
        <v>140</v>
      </c>
      <c r="H91" s="1634">
        <v>152</v>
      </c>
      <c r="I91" s="1635">
        <v>51</v>
      </c>
      <c r="J91" s="1633">
        <v>108</v>
      </c>
      <c r="K91" s="1634">
        <v>103</v>
      </c>
      <c r="L91" s="1635">
        <v>93</v>
      </c>
    </row>
    <row r="92" spans="1:12" ht="15.75" x14ac:dyDescent="0.25">
      <c r="A92" s="540" t="s">
        <v>224</v>
      </c>
      <c r="B92" s="636" t="s">
        <v>225</v>
      </c>
      <c r="C92" s="1233" t="s">
        <v>264</v>
      </c>
      <c r="D92" s="1633">
        <v>228</v>
      </c>
      <c r="E92" s="1634">
        <v>216</v>
      </c>
      <c r="F92" s="1629">
        <v>212</v>
      </c>
      <c r="G92" s="1633">
        <v>97</v>
      </c>
      <c r="H92" s="1634">
        <v>109</v>
      </c>
      <c r="I92" s="1635">
        <v>81</v>
      </c>
      <c r="J92" s="1633">
        <v>22</v>
      </c>
      <c r="K92" s="1634">
        <v>44</v>
      </c>
      <c r="L92" s="1635">
        <v>29</v>
      </c>
    </row>
    <row r="93" spans="1:12" ht="15.75" x14ac:dyDescent="0.25">
      <c r="A93" s="540" t="s">
        <v>226</v>
      </c>
      <c r="B93" s="636" t="s">
        <v>227</v>
      </c>
      <c r="C93" s="1233" t="s">
        <v>264</v>
      </c>
      <c r="D93" s="1633">
        <v>487</v>
      </c>
      <c r="E93" s="1634">
        <v>460</v>
      </c>
      <c r="F93" s="1629">
        <v>458</v>
      </c>
      <c r="G93" s="1633">
        <v>207</v>
      </c>
      <c r="H93" s="1634">
        <v>184</v>
      </c>
      <c r="I93" s="1635">
        <v>161</v>
      </c>
      <c r="J93" s="1633">
        <v>52</v>
      </c>
      <c r="K93" s="1634">
        <v>63</v>
      </c>
      <c r="L93" s="1635">
        <v>57</v>
      </c>
    </row>
    <row r="94" spans="1:12" ht="15.75" x14ac:dyDescent="0.25">
      <c r="A94" s="540" t="s">
        <v>228</v>
      </c>
      <c r="B94" s="636" t="s">
        <v>229</v>
      </c>
      <c r="C94" s="1233" t="s">
        <v>268</v>
      </c>
      <c r="D94" s="1633">
        <v>2431</v>
      </c>
      <c r="E94" s="1634">
        <v>2299</v>
      </c>
      <c r="F94" s="1629">
        <v>2483</v>
      </c>
      <c r="G94" s="1633">
        <v>1090</v>
      </c>
      <c r="H94" s="1634">
        <v>1088</v>
      </c>
      <c r="I94" s="1635">
        <v>1038</v>
      </c>
      <c r="J94" s="1633">
        <v>662</v>
      </c>
      <c r="K94" s="1634">
        <v>683</v>
      </c>
      <c r="L94" s="1635">
        <v>628</v>
      </c>
    </row>
    <row r="95" spans="1:12" ht="15.75" x14ac:dyDescent="0.25">
      <c r="A95" s="540" t="s">
        <v>232</v>
      </c>
      <c r="B95" s="636" t="s">
        <v>233</v>
      </c>
      <c r="C95" s="1233" t="s">
        <v>267</v>
      </c>
      <c r="D95" s="1633">
        <v>661</v>
      </c>
      <c r="E95" s="1634">
        <v>584</v>
      </c>
      <c r="F95" s="1629">
        <v>575</v>
      </c>
      <c r="G95" s="1633">
        <v>275</v>
      </c>
      <c r="H95" s="1634">
        <v>248</v>
      </c>
      <c r="I95" s="1635">
        <v>185</v>
      </c>
      <c r="J95" s="1633">
        <v>106</v>
      </c>
      <c r="K95" s="1634">
        <v>119</v>
      </c>
      <c r="L95" s="1635">
        <v>111</v>
      </c>
    </row>
    <row r="96" spans="1:12" ht="15.75" x14ac:dyDescent="0.25">
      <c r="A96" s="540" t="s">
        <v>234</v>
      </c>
      <c r="B96" s="636" t="s">
        <v>235</v>
      </c>
      <c r="C96" s="1233" t="s">
        <v>268</v>
      </c>
      <c r="D96" s="1633">
        <v>2048</v>
      </c>
      <c r="E96" s="1634">
        <v>1930</v>
      </c>
      <c r="F96" s="1629">
        <v>1922</v>
      </c>
      <c r="G96" s="1633">
        <v>773</v>
      </c>
      <c r="H96" s="1634">
        <v>753</v>
      </c>
      <c r="I96" s="1635">
        <v>588</v>
      </c>
      <c r="J96" s="1633">
        <v>290</v>
      </c>
      <c r="K96" s="1634">
        <v>265</v>
      </c>
      <c r="L96" s="1635">
        <v>187</v>
      </c>
    </row>
    <row r="97" spans="1:12" ht="15.75" x14ac:dyDescent="0.25">
      <c r="A97" s="540" t="s">
        <v>236</v>
      </c>
      <c r="B97" s="636" t="s">
        <v>237</v>
      </c>
      <c r="C97" s="1233" t="s">
        <v>266</v>
      </c>
      <c r="D97" s="1633">
        <v>773</v>
      </c>
      <c r="E97" s="1634">
        <v>698</v>
      </c>
      <c r="F97" s="1629">
        <v>690</v>
      </c>
      <c r="G97" s="1633">
        <v>288</v>
      </c>
      <c r="H97" s="1634">
        <v>297</v>
      </c>
      <c r="I97" s="1635">
        <v>237</v>
      </c>
      <c r="J97" s="1633">
        <v>237</v>
      </c>
      <c r="K97" s="1634">
        <v>256</v>
      </c>
      <c r="L97" s="1635">
        <v>227</v>
      </c>
    </row>
    <row r="98" spans="1:12" ht="15.75" x14ac:dyDescent="0.25">
      <c r="A98" s="540" t="s">
        <v>242</v>
      </c>
      <c r="B98" s="636" t="s">
        <v>243</v>
      </c>
      <c r="C98" s="1233" t="s">
        <v>268</v>
      </c>
      <c r="D98" s="1633">
        <v>2535</v>
      </c>
      <c r="E98" s="1634">
        <v>2428</v>
      </c>
      <c r="F98" s="1629">
        <v>2449</v>
      </c>
      <c r="G98" s="1633">
        <v>1227</v>
      </c>
      <c r="H98" s="1634">
        <v>1212</v>
      </c>
      <c r="I98" s="1635">
        <v>1060</v>
      </c>
      <c r="J98" s="1633">
        <v>403</v>
      </c>
      <c r="K98" s="1634">
        <v>503</v>
      </c>
      <c r="L98" s="1635">
        <v>378</v>
      </c>
    </row>
    <row r="99" spans="1:12" ht="15.75" x14ac:dyDescent="0.25">
      <c r="A99" s="540" t="s">
        <v>244</v>
      </c>
      <c r="B99" s="636" t="s">
        <v>245</v>
      </c>
      <c r="C99" s="1233" t="s">
        <v>268</v>
      </c>
      <c r="D99" s="1633">
        <v>1256</v>
      </c>
      <c r="E99" s="1634">
        <v>1190</v>
      </c>
      <c r="F99" s="1629">
        <v>1170</v>
      </c>
      <c r="G99" s="1633">
        <v>468</v>
      </c>
      <c r="H99" s="1634">
        <v>461</v>
      </c>
      <c r="I99" s="1635">
        <v>400</v>
      </c>
      <c r="J99" s="1633">
        <v>237</v>
      </c>
      <c r="K99" s="1634">
        <v>224</v>
      </c>
      <c r="L99" s="1635">
        <v>188</v>
      </c>
    </row>
    <row r="100" spans="1:12" ht="15.75" x14ac:dyDescent="0.25">
      <c r="A100" s="540" t="s">
        <v>246</v>
      </c>
      <c r="B100" s="636" t="s">
        <v>247</v>
      </c>
      <c r="C100" s="1233" t="s">
        <v>264</v>
      </c>
      <c r="D100" s="1633">
        <v>339</v>
      </c>
      <c r="E100" s="1634">
        <v>310</v>
      </c>
      <c r="F100" s="1629">
        <v>316</v>
      </c>
      <c r="G100" s="1633">
        <v>153</v>
      </c>
      <c r="H100" s="1634">
        <v>147</v>
      </c>
      <c r="I100" s="1635">
        <v>128</v>
      </c>
      <c r="J100" s="1633">
        <v>45</v>
      </c>
      <c r="K100" s="1634">
        <v>47</v>
      </c>
      <c r="L100" s="1635">
        <v>36</v>
      </c>
    </row>
    <row r="101" spans="1:12" ht="15.75" x14ac:dyDescent="0.25">
      <c r="A101" s="540" t="s">
        <v>14</v>
      </c>
      <c r="B101" s="636" t="s">
        <v>15</v>
      </c>
      <c r="C101" s="1233" t="s">
        <v>267</v>
      </c>
      <c r="D101" s="1633">
        <v>732</v>
      </c>
      <c r="E101" s="1634">
        <v>607</v>
      </c>
      <c r="F101" s="1629">
        <v>650</v>
      </c>
      <c r="G101" s="1633">
        <v>367</v>
      </c>
      <c r="H101" s="1634">
        <v>384</v>
      </c>
      <c r="I101" s="1635">
        <v>348</v>
      </c>
      <c r="J101" s="1633">
        <v>30</v>
      </c>
      <c r="K101" s="1634">
        <v>49</v>
      </c>
      <c r="L101" s="1635">
        <v>31</v>
      </c>
    </row>
    <row r="102" spans="1:12" ht="15.75" x14ac:dyDescent="0.25">
      <c r="A102" s="540" t="s">
        <v>34</v>
      </c>
      <c r="B102" s="636" t="s">
        <v>35</v>
      </c>
      <c r="C102" s="1233" t="s">
        <v>268</v>
      </c>
      <c r="D102" s="1633">
        <v>722</v>
      </c>
      <c r="E102" s="1634">
        <v>649</v>
      </c>
      <c r="F102" s="1629">
        <v>670</v>
      </c>
      <c r="G102" s="1633">
        <v>322</v>
      </c>
      <c r="H102" s="1634">
        <v>325</v>
      </c>
      <c r="I102" s="1635">
        <v>347</v>
      </c>
      <c r="J102" s="1633">
        <v>12</v>
      </c>
      <c r="K102" s="1634">
        <v>21</v>
      </c>
      <c r="L102" s="1635">
        <v>23</v>
      </c>
    </row>
    <row r="103" spans="1:12" ht="15.75" x14ac:dyDescent="0.25">
      <c r="A103" s="540" t="s">
        <v>52</v>
      </c>
      <c r="B103" s="636" t="s">
        <v>53</v>
      </c>
      <c r="C103" s="1233" t="s">
        <v>265</v>
      </c>
      <c r="D103" s="1633">
        <v>761</v>
      </c>
      <c r="E103" s="1634">
        <v>657</v>
      </c>
      <c r="F103" s="1629">
        <v>650</v>
      </c>
      <c r="G103" s="1633">
        <v>436</v>
      </c>
      <c r="H103" s="1634">
        <v>404</v>
      </c>
      <c r="I103" s="1635">
        <v>200</v>
      </c>
      <c r="J103" s="1633">
        <v>33</v>
      </c>
      <c r="K103" s="1634">
        <v>45</v>
      </c>
      <c r="L103" s="1635">
        <v>59</v>
      </c>
    </row>
    <row r="104" spans="1:12" ht="15.75" x14ac:dyDescent="0.25">
      <c r="A104" s="540" t="s">
        <v>54</v>
      </c>
      <c r="B104" s="636" t="s">
        <v>55</v>
      </c>
      <c r="C104" s="1233" t="s">
        <v>264</v>
      </c>
      <c r="D104" s="1633">
        <v>2313</v>
      </c>
      <c r="E104" s="1634">
        <v>1989</v>
      </c>
      <c r="F104" s="1629">
        <v>2020</v>
      </c>
      <c r="G104" s="1633">
        <v>1326</v>
      </c>
      <c r="H104" s="1634">
        <v>1181</v>
      </c>
      <c r="I104" s="1635">
        <v>957</v>
      </c>
      <c r="J104" s="1633">
        <v>198</v>
      </c>
      <c r="K104" s="1634">
        <v>196</v>
      </c>
      <c r="L104" s="1635">
        <v>227</v>
      </c>
    </row>
    <row r="105" spans="1:12" ht="15.75" x14ac:dyDescent="0.25">
      <c r="A105" s="540" t="s">
        <v>66</v>
      </c>
      <c r="B105" s="636" t="s">
        <v>67</v>
      </c>
      <c r="C105" s="1233" t="s">
        <v>265</v>
      </c>
      <c r="D105" s="1633">
        <v>2862</v>
      </c>
      <c r="E105" s="1634">
        <v>2656</v>
      </c>
      <c r="F105" s="1629">
        <v>2772</v>
      </c>
      <c r="G105" s="1633">
        <v>1605</v>
      </c>
      <c r="H105" s="1634">
        <v>1791</v>
      </c>
      <c r="I105" s="1635">
        <v>1549</v>
      </c>
      <c r="J105" s="1633">
        <v>231</v>
      </c>
      <c r="K105" s="1634">
        <v>198</v>
      </c>
      <c r="L105" s="1635">
        <v>318</v>
      </c>
    </row>
    <row r="106" spans="1:12" ht="15.75" x14ac:dyDescent="0.25">
      <c r="A106" s="540" t="s">
        <v>82</v>
      </c>
      <c r="B106" s="636" t="s">
        <v>83</v>
      </c>
      <c r="C106" s="1233" t="s">
        <v>264</v>
      </c>
      <c r="D106" s="1633">
        <v>602</v>
      </c>
      <c r="E106" s="1634">
        <v>543</v>
      </c>
      <c r="F106" s="1629">
        <v>541</v>
      </c>
      <c r="G106" s="1633">
        <v>337</v>
      </c>
      <c r="H106" s="1634">
        <v>357</v>
      </c>
      <c r="I106" s="1635">
        <v>248</v>
      </c>
      <c r="J106" s="1633">
        <v>159</v>
      </c>
      <c r="K106" s="1634">
        <v>201</v>
      </c>
      <c r="L106" s="1635">
        <v>161</v>
      </c>
    </row>
    <row r="107" spans="1:12" ht="15.75" x14ac:dyDescent="0.25">
      <c r="A107" s="540" t="s">
        <v>88</v>
      </c>
      <c r="B107" s="636" t="s">
        <v>89</v>
      </c>
      <c r="C107" s="1233" t="s">
        <v>267</v>
      </c>
      <c r="D107" s="1633">
        <v>490</v>
      </c>
      <c r="E107" s="1634">
        <v>461</v>
      </c>
      <c r="F107" s="1629">
        <v>473</v>
      </c>
      <c r="G107" s="1633">
        <v>285</v>
      </c>
      <c r="H107" s="1634">
        <v>262</v>
      </c>
      <c r="I107" s="1635">
        <v>259</v>
      </c>
      <c r="J107" s="1633">
        <v>53</v>
      </c>
      <c r="K107" s="1634">
        <v>51</v>
      </c>
      <c r="L107" s="1635">
        <v>73</v>
      </c>
    </row>
    <row r="108" spans="1:12" ht="15.75" x14ac:dyDescent="0.25">
      <c r="A108" s="540" t="s">
        <v>90</v>
      </c>
      <c r="B108" s="636" t="s">
        <v>91</v>
      </c>
      <c r="C108" s="1233" t="s">
        <v>268</v>
      </c>
      <c r="D108" s="1633">
        <v>633</v>
      </c>
      <c r="E108" s="1634">
        <v>604</v>
      </c>
      <c r="F108" s="1629">
        <v>621</v>
      </c>
      <c r="G108" s="1633">
        <v>338</v>
      </c>
      <c r="H108" s="1634">
        <v>350</v>
      </c>
      <c r="I108" s="1635">
        <v>335</v>
      </c>
      <c r="J108" s="1633">
        <v>105</v>
      </c>
      <c r="K108" s="1634">
        <v>109</v>
      </c>
      <c r="L108" s="1635">
        <v>81</v>
      </c>
    </row>
    <row r="109" spans="1:12" ht="15.75" x14ac:dyDescent="0.25">
      <c r="A109" s="540" t="s">
        <v>106</v>
      </c>
      <c r="B109" s="636" t="s">
        <v>107</v>
      </c>
      <c r="C109" s="1233" t="s">
        <v>264</v>
      </c>
      <c r="D109" s="1633">
        <v>2352</v>
      </c>
      <c r="E109" s="1634">
        <v>2044</v>
      </c>
      <c r="F109" s="1629">
        <v>2104</v>
      </c>
      <c r="G109" s="1633">
        <v>1265</v>
      </c>
      <c r="H109" s="1634">
        <v>1117</v>
      </c>
      <c r="I109" s="1635">
        <v>700</v>
      </c>
      <c r="J109" s="1633">
        <v>205</v>
      </c>
      <c r="K109" s="1634">
        <v>207</v>
      </c>
      <c r="L109" s="1635">
        <v>198</v>
      </c>
    </row>
    <row r="110" spans="1:12" ht="15.75" x14ac:dyDescent="0.25">
      <c r="A110" s="540" t="s">
        <v>116</v>
      </c>
      <c r="B110" s="636" t="s">
        <v>117</v>
      </c>
      <c r="C110" s="1233" t="s">
        <v>266</v>
      </c>
      <c r="D110" s="1633">
        <v>741</v>
      </c>
      <c r="E110" s="1634">
        <v>699</v>
      </c>
      <c r="F110" s="1629">
        <v>711</v>
      </c>
      <c r="G110" s="1633">
        <v>478</v>
      </c>
      <c r="H110" s="1634">
        <v>492</v>
      </c>
      <c r="I110" s="1635">
        <v>480</v>
      </c>
      <c r="J110" s="1633">
        <v>95</v>
      </c>
      <c r="K110" s="1634">
        <v>125</v>
      </c>
      <c r="L110" s="1635">
        <v>119</v>
      </c>
    </row>
    <row r="111" spans="1:12" ht="15.75" x14ac:dyDescent="0.25">
      <c r="A111" s="540" t="s">
        <v>138</v>
      </c>
      <c r="B111" s="636" t="s">
        <v>139</v>
      </c>
      <c r="C111" s="1233" t="s">
        <v>265</v>
      </c>
      <c r="D111" s="1633">
        <v>2914</v>
      </c>
      <c r="E111" s="1634">
        <v>2711</v>
      </c>
      <c r="F111" s="1629">
        <v>2733</v>
      </c>
      <c r="G111" s="1633">
        <v>1703</v>
      </c>
      <c r="H111" s="1634">
        <v>1672</v>
      </c>
      <c r="I111" s="1635">
        <v>1505</v>
      </c>
      <c r="J111" s="1633">
        <v>859</v>
      </c>
      <c r="K111" s="1634">
        <v>814</v>
      </c>
      <c r="L111" s="1635">
        <v>775</v>
      </c>
    </row>
    <row r="112" spans="1:12" ht="15.75" x14ac:dyDescent="0.25">
      <c r="A112" s="540" t="s">
        <v>142</v>
      </c>
      <c r="B112" s="636" t="s">
        <v>143</v>
      </c>
      <c r="C112" s="1233" t="s">
        <v>267</v>
      </c>
      <c r="D112" s="1633">
        <v>111</v>
      </c>
      <c r="E112" s="1634">
        <v>118</v>
      </c>
      <c r="F112" s="1629">
        <v>117</v>
      </c>
      <c r="G112" s="1633">
        <v>64</v>
      </c>
      <c r="H112" s="1634">
        <v>43</v>
      </c>
      <c r="I112" s="1635">
        <v>52</v>
      </c>
      <c r="J112" s="1633">
        <v>10</v>
      </c>
      <c r="K112" s="1634">
        <v>16</v>
      </c>
      <c r="L112" s="1635">
        <v>11</v>
      </c>
    </row>
    <row r="113" spans="1:12" ht="15.75" x14ac:dyDescent="0.25">
      <c r="A113" s="540" t="s">
        <v>144</v>
      </c>
      <c r="B113" s="636" t="s">
        <v>145</v>
      </c>
      <c r="C113" s="1233" t="s">
        <v>267</v>
      </c>
      <c r="D113" s="1633">
        <v>50</v>
      </c>
      <c r="E113" s="1634">
        <v>38</v>
      </c>
      <c r="F113" s="1629">
        <v>39</v>
      </c>
      <c r="G113" s="1633">
        <v>22</v>
      </c>
      <c r="H113" s="1634">
        <v>25</v>
      </c>
      <c r="I113" s="1635">
        <v>22</v>
      </c>
      <c r="J113" s="1633">
        <v>8</v>
      </c>
      <c r="K113" s="1634">
        <v>10</v>
      </c>
      <c r="L113" s="1635">
        <v>7</v>
      </c>
    </row>
    <row r="114" spans="1:12" ht="15.75" x14ac:dyDescent="0.25">
      <c r="A114" s="540" t="s">
        <v>158</v>
      </c>
      <c r="B114" s="636" t="s">
        <v>159</v>
      </c>
      <c r="C114" s="1233" t="s">
        <v>264</v>
      </c>
      <c r="D114" s="1633">
        <v>4034</v>
      </c>
      <c r="E114" s="1634">
        <v>3548</v>
      </c>
      <c r="F114" s="1629">
        <v>3669</v>
      </c>
      <c r="G114" s="1633">
        <v>2020</v>
      </c>
      <c r="H114" s="1634">
        <v>1950</v>
      </c>
      <c r="I114" s="1635">
        <v>1694</v>
      </c>
      <c r="J114" s="1633">
        <v>247</v>
      </c>
      <c r="K114" s="1634">
        <v>309</v>
      </c>
      <c r="L114" s="1635">
        <v>237</v>
      </c>
    </row>
    <row r="115" spans="1:12" ht="15.75" x14ac:dyDescent="0.25">
      <c r="A115" s="540" t="s">
        <v>160</v>
      </c>
      <c r="B115" s="636" t="s">
        <v>161</v>
      </c>
      <c r="C115" s="1233" t="s">
        <v>264</v>
      </c>
      <c r="D115" s="1633">
        <v>5020</v>
      </c>
      <c r="E115" s="1634">
        <v>4442</v>
      </c>
      <c r="F115" s="1629">
        <v>4426</v>
      </c>
      <c r="G115" s="1633">
        <v>2862</v>
      </c>
      <c r="H115" s="1634">
        <v>2668</v>
      </c>
      <c r="I115" s="1635">
        <v>1430</v>
      </c>
      <c r="J115" s="1633">
        <v>268</v>
      </c>
      <c r="K115" s="1634">
        <v>310</v>
      </c>
      <c r="L115" s="1635">
        <v>298</v>
      </c>
    </row>
    <row r="116" spans="1:12" ht="15.75" x14ac:dyDescent="0.25">
      <c r="A116" s="540" t="s">
        <v>166</v>
      </c>
      <c r="B116" s="636" t="s">
        <v>167</v>
      </c>
      <c r="C116" s="1233" t="s">
        <v>268</v>
      </c>
      <c r="D116" s="1633">
        <v>374</v>
      </c>
      <c r="E116" s="1634">
        <v>338</v>
      </c>
      <c r="F116" s="1629">
        <v>365</v>
      </c>
      <c r="G116" s="1633">
        <v>218</v>
      </c>
      <c r="H116" s="1634">
        <v>230</v>
      </c>
      <c r="I116" s="1635">
        <v>201</v>
      </c>
      <c r="J116" s="1633">
        <v>34</v>
      </c>
      <c r="K116" s="1634">
        <v>41</v>
      </c>
      <c r="L116" s="1635">
        <v>32</v>
      </c>
    </row>
    <row r="117" spans="1:12" ht="15.75" x14ac:dyDescent="0.25">
      <c r="A117" s="540" t="s">
        <v>176</v>
      </c>
      <c r="B117" s="636" t="s">
        <v>177</v>
      </c>
      <c r="C117" s="1233" t="s">
        <v>266</v>
      </c>
      <c r="D117" s="1633">
        <v>1812</v>
      </c>
      <c r="E117" s="1634">
        <v>1516</v>
      </c>
      <c r="F117" s="1629">
        <v>1524</v>
      </c>
      <c r="G117" s="1633">
        <v>851</v>
      </c>
      <c r="H117" s="1634">
        <v>892</v>
      </c>
      <c r="I117" s="1635">
        <v>623</v>
      </c>
      <c r="J117" s="1633">
        <v>210</v>
      </c>
      <c r="K117" s="1634">
        <v>217</v>
      </c>
      <c r="L117" s="1635">
        <v>211</v>
      </c>
    </row>
    <row r="118" spans="1:12" ht="15.75" x14ac:dyDescent="0.25">
      <c r="A118" s="540" t="s">
        <v>180</v>
      </c>
      <c r="B118" s="636" t="s">
        <v>181</v>
      </c>
      <c r="C118" s="1233" t="s">
        <v>264</v>
      </c>
      <c r="D118" s="1633">
        <v>2045</v>
      </c>
      <c r="E118" s="1634">
        <v>1847</v>
      </c>
      <c r="F118" s="1629">
        <v>1672</v>
      </c>
      <c r="G118" s="1633">
        <v>1390</v>
      </c>
      <c r="H118" s="1634">
        <v>1238</v>
      </c>
      <c r="I118" s="1635">
        <v>1055</v>
      </c>
      <c r="J118" s="1633">
        <v>290</v>
      </c>
      <c r="K118" s="1634">
        <v>190</v>
      </c>
      <c r="L118" s="1635">
        <v>291</v>
      </c>
    </row>
    <row r="119" spans="1:12" ht="15.75" x14ac:dyDescent="0.25">
      <c r="A119" s="540" t="s">
        <v>192</v>
      </c>
      <c r="B119" s="636" t="s">
        <v>193</v>
      </c>
      <c r="C119" s="1233" t="s">
        <v>268</v>
      </c>
      <c r="D119" s="1633">
        <v>378</v>
      </c>
      <c r="E119" s="1634">
        <v>353</v>
      </c>
      <c r="F119" s="1629">
        <v>327</v>
      </c>
      <c r="G119" s="1633">
        <v>301</v>
      </c>
      <c r="H119" s="1634">
        <v>232</v>
      </c>
      <c r="I119" s="1635">
        <v>209</v>
      </c>
      <c r="J119" s="1633">
        <v>117</v>
      </c>
      <c r="K119" s="1634">
        <v>69</v>
      </c>
      <c r="L119" s="1635">
        <v>49</v>
      </c>
    </row>
    <row r="120" spans="1:12" ht="15.75" x14ac:dyDescent="0.25">
      <c r="A120" s="540" t="s">
        <v>196</v>
      </c>
      <c r="B120" s="636" t="s">
        <v>197</v>
      </c>
      <c r="C120" s="1233" t="s">
        <v>266</v>
      </c>
      <c r="D120" s="1633">
        <v>5720</v>
      </c>
      <c r="E120" s="1634">
        <v>5262</v>
      </c>
      <c r="F120" s="1629">
        <v>5439</v>
      </c>
      <c r="G120" s="1633">
        <v>3288</v>
      </c>
      <c r="H120" s="1634">
        <v>3177</v>
      </c>
      <c r="I120" s="1635">
        <v>1801</v>
      </c>
      <c r="J120" s="1633">
        <v>508</v>
      </c>
      <c r="K120" s="1634">
        <v>493</v>
      </c>
      <c r="L120" s="1635">
        <v>593</v>
      </c>
    </row>
    <row r="121" spans="1:12" ht="15.75" x14ac:dyDescent="0.25">
      <c r="A121" s="540" t="s">
        <v>200</v>
      </c>
      <c r="B121" s="636" t="s">
        <v>201</v>
      </c>
      <c r="C121" s="1233" t="s">
        <v>265</v>
      </c>
      <c r="D121" s="1633">
        <v>3412</v>
      </c>
      <c r="E121" s="1634">
        <v>3160</v>
      </c>
      <c r="F121" s="1629">
        <v>3288</v>
      </c>
      <c r="G121" s="1633">
        <v>1804</v>
      </c>
      <c r="H121" s="1634">
        <v>1823</v>
      </c>
      <c r="I121" s="1635">
        <v>1658</v>
      </c>
      <c r="J121" s="1633">
        <v>441</v>
      </c>
      <c r="K121" s="1634">
        <v>486</v>
      </c>
      <c r="L121" s="1635">
        <v>335</v>
      </c>
    </row>
    <row r="122" spans="1:12" ht="15.75" x14ac:dyDescent="0.25">
      <c r="A122" s="540" t="s">
        <v>222</v>
      </c>
      <c r="B122" s="636" t="s">
        <v>223</v>
      </c>
      <c r="C122" s="1233" t="s">
        <v>264</v>
      </c>
      <c r="D122" s="1633">
        <v>2075</v>
      </c>
      <c r="E122" s="1634">
        <v>1790</v>
      </c>
      <c r="F122" s="1629">
        <v>1833</v>
      </c>
      <c r="G122" s="1633">
        <v>1046</v>
      </c>
      <c r="H122" s="1634">
        <v>1017</v>
      </c>
      <c r="I122" s="1635">
        <v>857</v>
      </c>
      <c r="J122" s="1633">
        <v>262</v>
      </c>
      <c r="K122" s="1634">
        <v>236</v>
      </c>
      <c r="L122" s="1635">
        <v>202</v>
      </c>
    </row>
    <row r="123" spans="1:12" ht="15.75" x14ac:dyDescent="0.25">
      <c r="A123" s="540" t="s">
        <v>230</v>
      </c>
      <c r="B123" s="636" t="s">
        <v>231</v>
      </c>
      <c r="C123" s="1233" t="s">
        <v>264</v>
      </c>
      <c r="D123" s="1633">
        <v>2782</v>
      </c>
      <c r="E123" s="1634">
        <v>2413</v>
      </c>
      <c r="F123" s="1629">
        <v>2321</v>
      </c>
      <c r="G123" s="1633">
        <v>1280</v>
      </c>
      <c r="H123" s="1634">
        <v>1237</v>
      </c>
      <c r="I123" s="1635">
        <v>816</v>
      </c>
      <c r="J123" s="1633">
        <v>275</v>
      </c>
      <c r="K123" s="1634">
        <v>293</v>
      </c>
      <c r="L123" s="1635">
        <v>251</v>
      </c>
    </row>
    <row r="124" spans="1:12" ht="15.75" x14ac:dyDescent="0.25">
      <c r="A124" s="540" t="s">
        <v>238</v>
      </c>
      <c r="B124" s="636" t="s">
        <v>239</v>
      </c>
      <c r="C124" s="1233" t="s">
        <v>264</v>
      </c>
      <c r="D124" s="1633">
        <v>55</v>
      </c>
      <c r="E124" s="1634">
        <v>42</v>
      </c>
      <c r="F124" s="1629">
        <v>41</v>
      </c>
      <c r="G124" s="1633">
        <v>24</v>
      </c>
      <c r="H124" s="1634">
        <v>22</v>
      </c>
      <c r="I124" s="1635">
        <v>26</v>
      </c>
      <c r="J124" s="1633">
        <v>5</v>
      </c>
      <c r="K124" s="1634">
        <v>4</v>
      </c>
      <c r="L124" s="1635">
        <v>11</v>
      </c>
    </row>
    <row r="125" spans="1:12" ht="15.75" x14ac:dyDescent="0.25">
      <c r="A125" s="541" t="s">
        <v>240</v>
      </c>
      <c r="B125" s="544" t="s">
        <v>241</v>
      </c>
      <c r="C125" s="1234" t="s">
        <v>267</v>
      </c>
      <c r="D125" s="1636">
        <v>456</v>
      </c>
      <c r="E125" s="1637">
        <v>395</v>
      </c>
      <c r="F125" s="1630">
        <v>396</v>
      </c>
      <c r="G125" s="1636">
        <v>220</v>
      </c>
      <c r="H125" s="1637">
        <v>191</v>
      </c>
      <c r="I125" s="1638">
        <v>187</v>
      </c>
      <c r="J125" s="1636">
        <v>81</v>
      </c>
      <c r="K125" s="1637">
        <v>77</v>
      </c>
      <c r="L125" s="1638">
        <v>56</v>
      </c>
    </row>
    <row r="127" spans="1:12" ht="15.75" x14ac:dyDescent="0.25">
      <c r="A127" s="2104" t="s">
        <v>895</v>
      </c>
      <c r="B127" s="2104"/>
      <c r="C127" s="2104"/>
      <c r="D127" s="2104"/>
      <c r="E127" s="1203"/>
      <c r="F127" s="1594"/>
      <c r="H127" s="1203"/>
      <c r="I127" s="1594"/>
      <c r="K127" s="1203"/>
      <c r="L127" s="1594"/>
    </row>
    <row r="129" spans="1:3" s="414" customFormat="1" ht="15.75" x14ac:dyDescent="0.25">
      <c r="A129" s="414" t="s">
        <v>248</v>
      </c>
    </row>
    <row r="130" spans="1:3" s="414" customFormat="1" ht="15.75" x14ac:dyDescent="0.25">
      <c r="A130" s="415" t="s">
        <v>249</v>
      </c>
      <c r="B130" s="416" t="s">
        <v>250</v>
      </c>
      <c r="C130" s="416"/>
    </row>
  </sheetData>
  <autoFilter ref="A4:C4"/>
  <sortState ref="A5:S124">
    <sortCondition ref="A5:A124"/>
  </sortState>
  <mergeCells count="4">
    <mergeCell ref="A127:D127"/>
    <mergeCell ref="D3:F3"/>
    <mergeCell ref="G3:I3"/>
    <mergeCell ref="J3:L3"/>
  </mergeCells>
  <hyperlinks>
    <hyperlink ref="B130"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1"/>
  <sheetViews>
    <sheetView topLeftCell="A101" workbookViewId="0">
      <selection activeCell="I14" sqref="I14"/>
    </sheetView>
  </sheetViews>
  <sheetFormatPr defaultRowHeight="15.75" x14ac:dyDescent="0.25"/>
  <cols>
    <col min="1" max="1" width="5.875" style="532" customWidth="1"/>
    <col min="2" max="2" width="29.5" style="532" customWidth="1"/>
    <col min="3" max="3" width="16.25" style="532" customWidth="1"/>
    <col min="4" max="5" width="11.375" style="532" customWidth="1"/>
    <col min="6" max="6" width="3.875" style="532" customWidth="1"/>
    <col min="7" max="16384" width="9" style="532"/>
  </cols>
  <sheetData>
    <row r="1" spans="1:5" x14ac:dyDescent="0.25">
      <c r="A1" s="258" t="s">
        <v>1106</v>
      </c>
    </row>
    <row r="3" spans="1:5" x14ac:dyDescent="0.25">
      <c r="A3" s="640" t="s">
        <v>4</v>
      </c>
      <c r="B3" s="595" t="s">
        <v>5</v>
      </c>
      <c r="C3" s="595" t="s">
        <v>251</v>
      </c>
      <c r="D3" s="646" t="s">
        <v>886</v>
      </c>
      <c r="E3" s="1603" t="s">
        <v>1160</v>
      </c>
    </row>
    <row r="4" spans="1:5" x14ac:dyDescent="0.25">
      <c r="A4" s="1712">
        <v>999</v>
      </c>
      <c r="B4" s="1713" t="s">
        <v>798</v>
      </c>
      <c r="C4" s="1713"/>
      <c r="D4" s="1711">
        <f>SUM(D5:D124)</f>
        <v>26081</v>
      </c>
      <c r="E4" s="1711">
        <f>SUM(E5:E124)</f>
        <v>25344</v>
      </c>
    </row>
    <row r="5" spans="1:5" s="639" customFormat="1" x14ac:dyDescent="0.25">
      <c r="A5" s="635" t="s">
        <v>10</v>
      </c>
      <c r="B5" s="636" t="s">
        <v>11</v>
      </c>
      <c r="C5" s="636" t="s">
        <v>264</v>
      </c>
      <c r="D5" s="961">
        <v>62</v>
      </c>
      <c r="E5" s="1709">
        <v>55</v>
      </c>
    </row>
    <row r="6" spans="1:5" s="639" customFormat="1" x14ac:dyDescent="0.25">
      <c r="A6" s="635" t="s">
        <v>12</v>
      </c>
      <c r="B6" s="636" t="s">
        <v>13</v>
      </c>
      <c r="C6" s="636" t="s">
        <v>265</v>
      </c>
      <c r="D6" s="961">
        <v>196</v>
      </c>
      <c r="E6" s="1709">
        <v>180</v>
      </c>
    </row>
    <row r="7" spans="1:5" s="639" customFormat="1" x14ac:dyDescent="0.25">
      <c r="A7" s="635" t="s">
        <v>16</v>
      </c>
      <c r="B7" s="636" t="s">
        <v>297</v>
      </c>
      <c r="C7" s="636" t="s">
        <v>265</v>
      </c>
      <c r="D7" s="961">
        <v>56</v>
      </c>
      <c r="E7" s="1709">
        <v>50</v>
      </c>
    </row>
    <row r="8" spans="1:5" s="639" customFormat="1" x14ac:dyDescent="0.25">
      <c r="A8" s="635" t="s">
        <v>18</v>
      </c>
      <c r="B8" s="636" t="s">
        <v>19</v>
      </c>
      <c r="C8" s="636" t="s">
        <v>266</v>
      </c>
      <c r="D8" s="961">
        <v>31</v>
      </c>
      <c r="E8" s="1709">
        <v>29</v>
      </c>
    </row>
    <row r="9" spans="1:5" s="639" customFormat="1" x14ac:dyDescent="0.25">
      <c r="A9" s="635" t="s">
        <v>20</v>
      </c>
      <c r="B9" s="636" t="s">
        <v>21</v>
      </c>
      <c r="C9" s="636" t="s">
        <v>265</v>
      </c>
      <c r="D9" s="961">
        <v>108</v>
      </c>
      <c r="E9" s="1709">
        <v>84</v>
      </c>
    </row>
    <row r="10" spans="1:5" s="639" customFormat="1" x14ac:dyDescent="0.25">
      <c r="A10" s="635" t="s">
        <v>22</v>
      </c>
      <c r="B10" s="636" t="s">
        <v>23</v>
      </c>
      <c r="C10" s="636" t="s">
        <v>265</v>
      </c>
      <c r="D10" s="961">
        <v>34</v>
      </c>
      <c r="E10" s="1709">
        <v>32</v>
      </c>
    </row>
    <row r="11" spans="1:5" s="639" customFormat="1" x14ac:dyDescent="0.25">
      <c r="A11" s="635" t="s">
        <v>24</v>
      </c>
      <c r="B11" s="636" t="s">
        <v>25</v>
      </c>
      <c r="C11" s="636" t="s">
        <v>267</v>
      </c>
      <c r="D11" s="961">
        <v>384</v>
      </c>
      <c r="E11" s="1709">
        <v>352</v>
      </c>
    </row>
    <row r="12" spans="1:5" s="639" customFormat="1" x14ac:dyDescent="0.25">
      <c r="A12" s="635" t="s">
        <v>26</v>
      </c>
      <c r="B12" s="636" t="s">
        <v>686</v>
      </c>
      <c r="C12" s="636" t="s">
        <v>265</v>
      </c>
      <c r="D12" s="961">
        <v>392</v>
      </c>
      <c r="E12" s="1709">
        <v>312</v>
      </c>
    </row>
    <row r="13" spans="1:5" s="639" customFormat="1" x14ac:dyDescent="0.25">
      <c r="A13" s="635" t="s">
        <v>27</v>
      </c>
      <c r="B13" s="636" t="s">
        <v>28</v>
      </c>
      <c r="C13" s="636" t="s">
        <v>265</v>
      </c>
      <c r="D13" s="961">
        <v>1</v>
      </c>
      <c r="E13" s="1709">
        <v>1</v>
      </c>
    </row>
    <row r="14" spans="1:5" s="639" customFormat="1" x14ac:dyDescent="0.25">
      <c r="A14" s="635" t="s">
        <v>29</v>
      </c>
      <c r="B14" s="636" t="s">
        <v>941</v>
      </c>
      <c r="C14" s="636" t="s">
        <v>265</v>
      </c>
      <c r="D14" s="961">
        <v>142</v>
      </c>
      <c r="E14" s="1709">
        <v>138</v>
      </c>
    </row>
    <row r="15" spans="1:5" s="639" customFormat="1" x14ac:dyDescent="0.25">
      <c r="A15" s="635" t="s">
        <v>30</v>
      </c>
      <c r="B15" s="636" t="s">
        <v>31</v>
      </c>
      <c r="C15" s="636" t="s">
        <v>268</v>
      </c>
      <c r="D15" s="961">
        <v>6</v>
      </c>
      <c r="E15" s="1709">
        <v>6</v>
      </c>
    </row>
    <row r="16" spans="1:5" s="639" customFormat="1" x14ac:dyDescent="0.25">
      <c r="A16" s="635" t="s">
        <v>32</v>
      </c>
      <c r="B16" s="636" t="s">
        <v>33</v>
      </c>
      <c r="C16" s="636" t="s">
        <v>265</v>
      </c>
      <c r="D16" s="961">
        <v>57</v>
      </c>
      <c r="E16" s="1709">
        <v>50</v>
      </c>
    </row>
    <row r="17" spans="1:5" s="639" customFormat="1" x14ac:dyDescent="0.25">
      <c r="A17" s="635" t="s">
        <v>36</v>
      </c>
      <c r="B17" s="636" t="s">
        <v>37</v>
      </c>
      <c r="C17" s="636" t="s">
        <v>264</v>
      </c>
      <c r="D17" s="961">
        <v>38</v>
      </c>
      <c r="E17" s="1709">
        <v>28</v>
      </c>
    </row>
    <row r="18" spans="1:5" s="639" customFormat="1" x14ac:dyDescent="0.25">
      <c r="A18" s="635" t="s">
        <v>38</v>
      </c>
      <c r="B18" s="636" t="s">
        <v>39</v>
      </c>
      <c r="C18" s="636" t="s">
        <v>268</v>
      </c>
      <c r="D18" s="961">
        <v>6</v>
      </c>
      <c r="E18" s="1709">
        <v>1</v>
      </c>
    </row>
    <row r="19" spans="1:5" s="639" customFormat="1" x14ac:dyDescent="0.25">
      <c r="A19" s="635" t="s">
        <v>40</v>
      </c>
      <c r="B19" s="636" t="s">
        <v>41</v>
      </c>
      <c r="C19" s="636" t="s">
        <v>266</v>
      </c>
      <c r="D19" s="961">
        <v>26</v>
      </c>
      <c r="E19" s="1709">
        <v>24</v>
      </c>
    </row>
    <row r="20" spans="1:5" s="639" customFormat="1" x14ac:dyDescent="0.25">
      <c r="A20" s="635" t="s">
        <v>42</v>
      </c>
      <c r="B20" s="636" t="s">
        <v>43</v>
      </c>
      <c r="C20" s="636" t="s">
        <v>265</v>
      </c>
      <c r="D20" s="961">
        <v>164</v>
      </c>
      <c r="E20" s="1709">
        <v>180</v>
      </c>
    </row>
    <row r="21" spans="1:5" s="639" customFormat="1" x14ac:dyDescent="0.25">
      <c r="A21" s="635" t="s">
        <v>44</v>
      </c>
      <c r="B21" s="636" t="s">
        <v>45</v>
      </c>
      <c r="C21" s="636" t="s">
        <v>266</v>
      </c>
      <c r="D21" s="961">
        <v>89</v>
      </c>
      <c r="E21" s="1709">
        <v>93</v>
      </c>
    </row>
    <row r="22" spans="1:5" s="639" customFormat="1" x14ac:dyDescent="0.25">
      <c r="A22" s="635" t="s">
        <v>46</v>
      </c>
      <c r="B22" s="636" t="s">
        <v>47</v>
      </c>
      <c r="C22" s="636" t="s">
        <v>268</v>
      </c>
      <c r="D22" s="961">
        <v>106</v>
      </c>
      <c r="E22" s="1709">
        <v>118</v>
      </c>
    </row>
    <row r="23" spans="1:5" s="639" customFormat="1" x14ac:dyDescent="0.25">
      <c r="A23" s="635" t="s">
        <v>48</v>
      </c>
      <c r="B23" s="636" t="s">
        <v>269</v>
      </c>
      <c r="C23" s="636" t="s">
        <v>266</v>
      </c>
      <c r="D23" s="961">
        <v>25</v>
      </c>
      <c r="E23" s="1709">
        <v>29</v>
      </c>
    </row>
    <row r="24" spans="1:5" s="639" customFormat="1" x14ac:dyDescent="0.25">
      <c r="A24" s="635" t="s">
        <v>50</v>
      </c>
      <c r="B24" s="636" t="s">
        <v>51</v>
      </c>
      <c r="C24" s="636" t="s">
        <v>265</v>
      </c>
      <c r="D24" s="961">
        <v>15</v>
      </c>
      <c r="E24" s="1709">
        <v>8</v>
      </c>
    </row>
    <row r="25" spans="1:5" s="639" customFormat="1" x14ac:dyDescent="0.25">
      <c r="A25" s="635" t="s">
        <v>56</v>
      </c>
      <c r="B25" s="636" t="s">
        <v>295</v>
      </c>
      <c r="C25" s="636" t="s">
        <v>266</v>
      </c>
      <c r="D25" s="961">
        <v>576</v>
      </c>
      <c r="E25" s="1709">
        <v>525</v>
      </c>
    </row>
    <row r="26" spans="1:5" s="639" customFormat="1" x14ac:dyDescent="0.25">
      <c r="A26" s="635" t="s">
        <v>58</v>
      </c>
      <c r="B26" s="636" t="s">
        <v>59</v>
      </c>
      <c r="C26" s="636" t="s">
        <v>267</v>
      </c>
      <c r="D26" s="961">
        <v>29</v>
      </c>
      <c r="E26" s="1709">
        <v>33</v>
      </c>
    </row>
    <row r="27" spans="1:5" s="639" customFormat="1" x14ac:dyDescent="0.25">
      <c r="A27" s="635" t="s">
        <v>60</v>
      </c>
      <c r="B27" s="636" t="s">
        <v>61</v>
      </c>
      <c r="C27" s="636" t="s">
        <v>265</v>
      </c>
      <c r="D27" s="961">
        <v>16</v>
      </c>
      <c r="E27" s="1709">
        <v>24</v>
      </c>
    </row>
    <row r="28" spans="1:5" s="639" customFormat="1" x14ac:dyDescent="0.25">
      <c r="A28" s="635" t="s">
        <v>62</v>
      </c>
      <c r="B28" s="636" t="s">
        <v>63</v>
      </c>
      <c r="C28" s="636" t="s">
        <v>267</v>
      </c>
      <c r="D28" s="961">
        <v>262</v>
      </c>
      <c r="E28" s="1709">
        <v>244</v>
      </c>
    </row>
    <row r="29" spans="1:5" s="639" customFormat="1" x14ac:dyDescent="0.25">
      <c r="A29" s="635" t="s">
        <v>64</v>
      </c>
      <c r="B29" s="636" t="s">
        <v>65</v>
      </c>
      <c r="C29" s="636" t="s">
        <v>266</v>
      </c>
      <c r="D29" s="961">
        <v>24</v>
      </c>
      <c r="E29" s="1709">
        <v>32</v>
      </c>
    </row>
    <row r="30" spans="1:5" s="639" customFormat="1" x14ac:dyDescent="0.25">
      <c r="A30" s="635" t="s">
        <v>68</v>
      </c>
      <c r="B30" s="636" t="s">
        <v>69</v>
      </c>
      <c r="C30" s="636" t="s">
        <v>268</v>
      </c>
      <c r="D30" s="961">
        <v>19</v>
      </c>
      <c r="E30" s="1709">
        <v>15</v>
      </c>
    </row>
    <row r="31" spans="1:5" s="639" customFormat="1" x14ac:dyDescent="0.25">
      <c r="A31" s="635" t="s">
        <v>70</v>
      </c>
      <c r="B31" s="636" t="s">
        <v>71</v>
      </c>
      <c r="C31" s="636" t="s">
        <v>264</v>
      </c>
      <c r="D31" s="961">
        <v>72</v>
      </c>
      <c r="E31" s="1709">
        <v>70</v>
      </c>
    </row>
    <row r="32" spans="1:5" s="639" customFormat="1" x14ac:dyDescent="0.25">
      <c r="A32" s="635" t="s">
        <v>72</v>
      </c>
      <c r="B32" s="636" t="s">
        <v>73</v>
      </c>
      <c r="C32" s="636" t="s">
        <v>266</v>
      </c>
      <c r="D32" s="961">
        <v>97</v>
      </c>
      <c r="E32" s="1709">
        <v>79</v>
      </c>
    </row>
    <row r="33" spans="1:5" s="639" customFormat="1" x14ac:dyDescent="0.25">
      <c r="A33" s="635" t="s">
        <v>74</v>
      </c>
      <c r="B33" s="636" t="s">
        <v>296</v>
      </c>
      <c r="C33" s="636" t="s">
        <v>267</v>
      </c>
      <c r="D33" s="961">
        <v>2566</v>
      </c>
      <c r="E33" s="1709">
        <v>2829</v>
      </c>
    </row>
    <row r="34" spans="1:5" s="639" customFormat="1" x14ac:dyDescent="0.25">
      <c r="A34" s="635" t="s">
        <v>76</v>
      </c>
      <c r="B34" s="636" t="s">
        <v>77</v>
      </c>
      <c r="C34" s="636" t="s">
        <v>267</v>
      </c>
      <c r="D34" s="961">
        <v>177</v>
      </c>
      <c r="E34" s="1709">
        <v>142</v>
      </c>
    </row>
    <row r="35" spans="1:5" s="639" customFormat="1" x14ac:dyDescent="0.25">
      <c r="A35" s="635" t="s">
        <v>78</v>
      </c>
      <c r="B35" s="636" t="s">
        <v>79</v>
      </c>
      <c r="C35" s="636" t="s">
        <v>268</v>
      </c>
      <c r="D35" s="961">
        <v>17</v>
      </c>
      <c r="E35" s="1709">
        <v>13</v>
      </c>
    </row>
    <row r="36" spans="1:5" s="639" customFormat="1" x14ac:dyDescent="0.25">
      <c r="A36" s="635" t="s">
        <v>80</v>
      </c>
      <c r="B36" s="636" t="s">
        <v>81</v>
      </c>
      <c r="C36" s="636" t="s">
        <v>266</v>
      </c>
      <c r="D36" s="961">
        <v>55</v>
      </c>
      <c r="E36" s="1709">
        <v>45</v>
      </c>
    </row>
    <row r="37" spans="1:5" s="639" customFormat="1" x14ac:dyDescent="0.25">
      <c r="A37" s="635" t="s">
        <v>84</v>
      </c>
      <c r="B37" s="636" t="s">
        <v>85</v>
      </c>
      <c r="C37" s="636" t="s">
        <v>265</v>
      </c>
      <c r="D37" s="961">
        <v>143</v>
      </c>
      <c r="E37" s="1709">
        <v>157</v>
      </c>
    </row>
    <row r="38" spans="1:5" s="639" customFormat="1" x14ac:dyDescent="0.25">
      <c r="A38" s="635" t="s">
        <v>86</v>
      </c>
      <c r="B38" s="636" t="s">
        <v>87</v>
      </c>
      <c r="C38" s="636" t="s">
        <v>267</v>
      </c>
      <c r="D38" s="961">
        <v>158</v>
      </c>
      <c r="E38" s="1709">
        <v>139</v>
      </c>
    </row>
    <row r="39" spans="1:5" s="639" customFormat="1" x14ac:dyDescent="0.25">
      <c r="A39" s="635" t="s">
        <v>92</v>
      </c>
      <c r="B39" s="636" t="s">
        <v>93</v>
      </c>
      <c r="C39" s="636" t="s">
        <v>268</v>
      </c>
      <c r="D39" s="961">
        <v>41</v>
      </c>
      <c r="E39" s="1709">
        <v>41</v>
      </c>
    </row>
    <row r="40" spans="1:5" s="639" customFormat="1" x14ac:dyDescent="0.25">
      <c r="A40" s="635" t="s">
        <v>94</v>
      </c>
      <c r="B40" s="636" t="s">
        <v>95</v>
      </c>
      <c r="C40" s="636" t="s">
        <v>264</v>
      </c>
      <c r="D40" s="961">
        <v>100</v>
      </c>
      <c r="E40" s="1709">
        <v>101</v>
      </c>
    </row>
    <row r="41" spans="1:5" s="639" customFormat="1" x14ac:dyDescent="0.25">
      <c r="A41" s="635" t="s">
        <v>96</v>
      </c>
      <c r="B41" s="636" t="s">
        <v>97</v>
      </c>
      <c r="C41" s="636" t="s">
        <v>266</v>
      </c>
      <c r="D41" s="961">
        <v>46</v>
      </c>
      <c r="E41" s="1709">
        <v>45</v>
      </c>
    </row>
    <row r="42" spans="1:5" s="639" customFormat="1" x14ac:dyDescent="0.25">
      <c r="A42" s="635" t="s">
        <v>98</v>
      </c>
      <c r="B42" s="636" t="s">
        <v>99</v>
      </c>
      <c r="C42" s="636" t="s">
        <v>268</v>
      </c>
      <c r="D42" s="961">
        <v>18</v>
      </c>
      <c r="E42" s="1709">
        <v>16</v>
      </c>
    </row>
    <row r="43" spans="1:5" s="639" customFormat="1" x14ac:dyDescent="0.25">
      <c r="A43" s="635" t="s">
        <v>100</v>
      </c>
      <c r="B43" s="636" t="s">
        <v>101</v>
      </c>
      <c r="C43" s="636" t="s">
        <v>267</v>
      </c>
      <c r="D43" s="961">
        <v>28</v>
      </c>
      <c r="E43" s="1709">
        <v>27</v>
      </c>
    </row>
    <row r="44" spans="1:5" s="639" customFormat="1" x14ac:dyDescent="0.25">
      <c r="A44" s="635" t="s">
        <v>102</v>
      </c>
      <c r="B44" s="636" t="s">
        <v>282</v>
      </c>
      <c r="C44" s="636" t="s">
        <v>264</v>
      </c>
      <c r="D44" s="961">
        <v>103</v>
      </c>
      <c r="E44" s="1709">
        <v>95</v>
      </c>
    </row>
    <row r="45" spans="1:5" s="639" customFormat="1" x14ac:dyDescent="0.25">
      <c r="A45" s="635" t="s">
        <v>104</v>
      </c>
      <c r="B45" s="636" t="s">
        <v>105</v>
      </c>
      <c r="C45" s="636" t="s">
        <v>265</v>
      </c>
      <c r="D45" s="961">
        <v>38</v>
      </c>
      <c r="E45" s="1709">
        <v>44</v>
      </c>
    </row>
    <row r="46" spans="1:5" s="639" customFormat="1" x14ac:dyDescent="0.25">
      <c r="A46" s="635" t="s">
        <v>108</v>
      </c>
      <c r="B46" s="636" t="s">
        <v>109</v>
      </c>
      <c r="C46" s="636" t="s">
        <v>266</v>
      </c>
      <c r="D46" s="961">
        <v>154</v>
      </c>
      <c r="E46" s="1709">
        <v>164</v>
      </c>
    </row>
    <row r="47" spans="1:5" s="639" customFormat="1" x14ac:dyDescent="0.25">
      <c r="A47" s="635" t="s">
        <v>110</v>
      </c>
      <c r="B47" s="636" t="s">
        <v>111</v>
      </c>
      <c r="C47" s="636" t="s">
        <v>266</v>
      </c>
      <c r="D47" s="961">
        <v>1135</v>
      </c>
      <c r="E47" s="1709">
        <v>1067</v>
      </c>
    </row>
    <row r="48" spans="1:5" s="639" customFormat="1" x14ac:dyDescent="0.25">
      <c r="A48" s="635" t="s">
        <v>112</v>
      </c>
      <c r="B48" s="636" t="s">
        <v>300</v>
      </c>
      <c r="C48" s="636" t="s">
        <v>265</v>
      </c>
      <c r="D48" s="961">
        <v>325</v>
      </c>
      <c r="E48" s="1709">
        <v>326</v>
      </c>
    </row>
    <row r="49" spans="1:5" s="639" customFormat="1" x14ac:dyDescent="0.25">
      <c r="A49" s="635" t="s">
        <v>114</v>
      </c>
      <c r="B49" s="636" t="s">
        <v>115</v>
      </c>
      <c r="C49" s="636" t="s">
        <v>265</v>
      </c>
      <c r="D49" s="961">
        <v>0</v>
      </c>
      <c r="E49" s="1709">
        <v>0</v>
      </c>
    </row>
    <row r="50" spans="1:5" s="639" customFormat="1" x14ac:dyDescent="0.25">
      <c r="A50" s="635" t="s">
        <v>118</v>
      </c>
      <c r="B50" s="636" t="s">
        <v>270</v>
      </c>
      <c r="C50" s="636" t="s">
        <v>264</v>
      </c>
      <c r="D50" s="961">
        <v>60</v>
      </c>
      <c r="E50" s="1709">
        <v>52</v>
      </c>
    </row>
    <row r="51" spans="1:5" s="639" customFormat="1" x14ac:dyDescent="0.25">
      <c r="A51" s="635" t="s">
        <v>120</v>
      </c>
      <c r="B51" s="636" t="s">
        <v>121</v>
      </c>
      <c r="C51" s="636" t="s">
        <v>264</v>
      </c>
      <c r="D51" s="961">
        <v>191</v>
      </c>
      <c r="E51" s="1709">
        <v>186</v>
      </c>
    </row>
    <row r="52" spans="1:5" s="639" customFormat="1" x14ac:dyDescent="0.25">
      <c r="A52" s="635" t="s">
        <v>122</v>
      </c>
      <c r="B52" s="636" t="s">
        <v>287</v>
      </c>
      <c r="C52" s="636" t="s">
        <v>266</v>
      </c>
      <c r="D52" s="961">
        <v>19</v>
      </c>
      <c r="E52" s="1709">
        <v>27</v>
      </c>
    </row>
    <row r="53" spans="1:5" s="639" customFormat="1" x14ac:dyDescent="0.25">
      <c r="A53" s="635" t="s">
        <v>124</v>
      </c>
      <c r="B53" s="636" t="s">
        <v>125</v>
      </c>
      <c r="C53" s="636" t="s">
        <v>267</v>
      </c>
      <c r="D53" s="961">
        <v>82</v>
      </c>
      <c r="E53" s="1709">
        <v>81</v>
      </c>
    </row>
    <row r="54" spans="1:5" s="639" customFormat="1" x14ac:dyDescent="0.25">
      <c r="A54" s="635" t="s">
        <v>126</v>
      </c>
      <c r="B54" s="636" t="s">
        <v>127</v>
      </c>
      <c r="C54" s="636" t="s">
        <v>266</v>
      </c>
      <c r="D54" s="961">
        <v>63</v>
      </c>
      <c r="E54" s="1709">
        <v>63</v>
      </c>
    </row>
    <row r="55" spans="1:5" s="639" customFormat="1" x14ac:dyDescent="0.25">
      <c r="A55" s="635" t="s">
        <v>128</v>
      </c>
      <c r="B55" s="636" t="s">
        <v>129</v>
      </c>
      <c r="C55" s="636" t="s">
        <v>266</v>
      </c>
      <c r="D55" s="961">
        <v>20</v>
      </c>
      <c r="E55" s="1709">
        <v>20</v>
      </c>
    </row>
    <row r="56" spans="1:5" s="639" customFormat="1" x14ac:dyDescent="0.25">
      <c r="A56" s="635" t="s">
        <v>130</v>
      </c>
      <c r="B56" s="636" t="s">
        <v>131</v>
      </c>
      <c r="C56" s="636" t="s">
        <v>268</v>
      </c>
      <c r="D56" s="961">
        <v>30</v>
      </c>
      <c r="E56" s="1709">
        <v>28</v>
      </c>
    </row>
    <row r="57" spans="1:5" s="639" customFormat="1" x14ac:dyDescent="0.25">
      <c r="A57" s="635" t="s">
        <v>132</v>
      </c>
      <c r="B57" s="636" t="s">
        <v>133</v>
      </c>
      <c r="C57" s="636" t="s">
        <v>267</v>
      </c>
      <c r="D57" s="961">
        <v>398</v>
      </c>
      <c r="E57" s="1709">
        <v>367</v>
      </c>
    </row>
    <row r="58" spans="1:5" s="639" customFormat="1" x14ac:dyDescent="0.25">
      <c r="A58" s="635" t="s">
        <v>134</v>
      </c>
      <c r="B58" s="636" t="s">
        <v>135</v>
      </c>
      <c r="C58" s="636" t="s">
        <v>267</v>
      </c>
      <c r="D58" s="961">
        <v>54</v>
      </c>
      <c r="E58" s="1709">
        <v>59</v>
      </c>
    </row>
    <row r="59" spans="1:5" s="639" customFormat="1" x14ac:dyDescent="0.25">
      <c r="A59" s="635" t="s">
        <v>136</v>
      </c>
      <c r="B59" s="636" t="s">
        <v>137</v>
      </c>
      <c r="C59" s="636" t="s">
        <v>266</v>
      </c>
      <c r="D59" s="961">
        <v>10</v>
      </c>
      <c r="E59" s="1709">
        <v>12</v>
      </c>
    </row>
    <row r="60" spans="1:5" s="639" customFormat="1" x14ac:dyDescent="0.25">
      <c r="A60" s="635" t="s">
        <v>140</v>
      </c>
      <c r="B60" s="636" t="s">
        <v>141</v>
      </c>
      <c r="C60" s="636" t="s">
        <v>267</v>
      </c>
      <c r="D60" s="961">
        <v>7</v>
      </c>
      <c r="E60" s="1709">
        <v>14</v>
      </c>
    </row>
    <row r="61" spans="1:5" s="639" customFormat="1" x14ac:dyDescent="0.25">
      <c r="A61" s="635" t="s">
        <v>146</v>
      </c>
      <c r="B61" s="636" t="s">
        <v>147</v>
      </c>
      <c r="C61" s="636" t="s">
        <v>264</v>
      </c>
      <c r="D61" s="961">
        <v>23</v>
      </c>
      <c r="E61" s="1709">
        <v>23</v>
      </c>
    </row>
    <row r="62" spans="1:5" s="639" customFormat="1" x14ac:dyDescent="0.25">
      <c r="A62" s="635" t="s">
        <v>148</v>
      </c>
      <c r="B62" s="636" t="s">
        <v>149</v>
      </c>
      <c r="C62" s="636" t="s">
        <v>265</v>
      </c>
      <c r="D62" s="961">
        <v>63</v>
      </c>
      <c r="E62" s="1709">
        <v>66</v>
      </c>
    </row>
    <row r="63" spans="1:5" s="639" customFormat="1" x14ac:dyDescent="0.25">
      <c r="A63" s="635" t="s">
        <v>150</v>
      </c>
      <c r="B63" s="636" t="s">
        <v>151</v>
      </c>
      <c r="C63" s="636" t="s">
        <v>266</v>
      </c>
      <c r="D63" s="961">
        <v>45</v>
      </c>
      <c r="E63" s="1709">
        <v>51</v>
      </c>
    </row>
    <row r="64" spans="1:5" s="639" customFormat="1" x14ac:dyDescent="0.25">
      <c r="A64" s="635" t="s">
        <v>152</v>
      </c>
      <c r="B64" s="636" t="s">
        <v>153</v>
      </c>
      <c r="C64" s="636" t="s">
        <v>268</v>
      </c>
      <c r="D64" s="961">
        <v>242</v>
      </c>
      <c r="E64" s="1709">
        <v>216</v>
      </c>
    </row>
    <row r="65" spans="1:5" s="639" customFormat="1" x14ac:dyDescent="0.25">
      <c r="A65" s="635" t="s">
        <v>154</v>
      </c>
      <c r="B65" s="636" t="s">
        <v>155</v>
      </c>
      <c r="C65" s="636" t="s">
        <v>265</v>
      </c>
      <c r="D65" s="961">
        <v>19</v>
      </c>
      <c r="E65" s="1709">
        <v>22</v>
      </c>
    </row>
    <row r="66" spans="1:5" s="639" customFormat="1" x14ac:dyDescent="0.25">
      <c r="A66" s="635" t="s">
        <v>156</v>
      </c>
      <c r="B66" s="636" t="s">
        <v>157</v>
      </c>
      <c r="C66" s="636" t="s">
        <v>266</v>
      </c>
      <c r="D66" s="961">
        <v>43</v>
      </c>
      <c r="E66" s="1709">
        <v>46</v>
      </c>
    </row>
    <row r="67" spans="1:5" s="639" customFormat="1" x14ac:dyDescent="0.25">
      <c r="A67" s="635" t="s">
        <v>162</v>
      </c>
      <c r="B67" s="636" t="s">
        <v>163</v>
      </c>
      <c r="C67" s="636" t="s">
        <v>264</v>
      </c>
      <c r="D67" s="961">
        <v>83</v>
      </c>
      <c r="E67" s="1709">
        <v>84</v>
      </c>
    </row>
    <row r="68" spans="1:5" s="639" customFormat="1" x14ac:dyDescent="0.25">
      <c r="A68" s="635" t="s">
        <v>164</v>
      </c>
      <c r="B68" s="636" t="s">
        <v>165</v>
      </c>
      <c r="C68" s="636" t="s">
        <v>266</v>
      </c>
      <c r="D68" s="961">
        <v>23</v>
      </c>
      <c r="E68" s="1709">
        <v>13</v>
      </c>
    </row>
    <row r="69" spans="1:5" s="639" customFormat="1" x14ac:dyDescent="0.25">
      <c r="A69" s="635" t="s">
        <v>168</v>
      </c>
      <c r="B69" s="636" t="s">
        <v>169</v>
      </c>
      <c r="C69" s="636" t="s">
        <v>266</v>
      </c>
      <c r="D69" s="961">
        <v>50</v>
      </c>
      <c r="E69" s="1709">
        <v>48</v>
      </c>
    </row>
    <row r="70" spans="1:5" s="639" customFormat="1" x14ac:dyDescent="0.25">
      <c r="A70" s="635" t="s">
        <v>170</v>
      </c>
      <c r="B70" s="636" t="s">
        <v>171</v>
      </c>
      <c r="C70" s="636" t="s">
        <v>267</v>
      </c>
      <c r="D70" s="961">
        <v>97</v>
      </c>
      <c r="E70" s="1709">
        <v>87</v>
      </c>
    </row>
    <row r="71" spans="1:5" s="639" customFormat="1" x14ac:dyDescent="0.25">
      <c r="A71" s="635" t="s">
        <v>172</v>
      </c>
      <c r="B71" s="636" t="s">
        <v>173</v>
      </c>
      <c r="C71" s="636" t="s">
        <v>267</v>
      </c>
      <c r="D71" s="961">
        <v>40</v>
      </c>
      <c r="E71" s="1709">
        <v>38</v>
      </c>
    </row>
    <row r="72" spans="1:5" s="639" customFormat="1" x14ac:dyDescent="0.25">
      <c r="A72" s="635" t="s">
        <v>174</v>
      </c>
      <c r="B72" s="636" t="s">
        <v>175</v>
      </c>
      <c r="C72" s="636" t="s">
        <v>268</v>
      </c>
      <c r="D72" s="961">
        <v>46</v>
      </c>
      <c r="E72" s="1709">
        <v>54</v>
      </c>
    </row>
    <row r="73" spans="1:5" s="639" customFormat="1" x14ac:dyDescent="0.25">
      <c r="A73" s="635" t="s">
        <v>178</v>
      </c>
      <c r="B73" s="636" t="s">
        <v>179</v>
      </c>
      <c r="C73" s="636" t="s">
        <v>265</v>
      </c>
      <c r="D73" s="961">
        <v>145</v>
      </c>
      <c r="E73" s="1709">
        <v>110</v>
      </c>
    </row>
    <row r="74" spans="1:5" s="639" customFormat="1" x14ac:dyDescent="0.25">
      <c r="A74" s="635" t="s">
        <v>182</v>
      </c>
      <c r="B74" s="636" t="s">
        <v>183</v>
      </c>
      <c r="C74" s="636" t="s">
        <v>266</v>
      </c>
      <c r="D74" s="961">
        <v>44</v>
      </c>
      <c r="E74" s="1709">
        <v>37</v>
      </c>
    </row>
    <row r="75" spans="1:5" s="639" customFormat="1" x14ac:dyDescent="0.25">
      <c r="A75" s="635" t="s">
        <v>184</v>
      </c>
      <c r="B75" s="636" t="s">
        <v>185</v>
      </c>
      <c r="C75" s="636" t="s">
        <v>266</v>
      </c>
      <c r="D75" s="961">
        <v>62</v>
      </c>
      <c r="E75" s="1709">
        <v>66</v>
      </c>
    </row>
    <row r="76" spans="1:5" s="639" customFormat="1" x14ac:dyDescent="0.25">
      <c r="A76" s="635" t="s">
        <v>186</v>
      </c>
      <c r="B76" s="636" t="s">
        <v>187</v>
      </c>
      <c r="C76" s="636" t="s">
        <v>264</v>
      </c>
      <c r="D76" s="961">
        <v>35</v>
      </c>
      <c r="E76" s="1709">
        <v>37</v>
      </c>
    </row>
    <row r="77" spans="1:5" s="639" customFormat="1" x14ac:dyDescent="0.25">
      <c r="A77" s="635" t="s">
        <v>188</v>
      </c>
      <c r="B77" s="636" t="s">
        <v>189</v>
      </c>
      <c r="C77" s="636" t="s">
        <v>267</v>
      </c>
      <c r="D77" s="961">
        <v>983</v>
      </c>
      <c r="E77" s="1709">
        <v>875</v>
      </c>
    </row>
    <row r="78" spans="1:5" s="639" customFormat="1" x14ac:dyDescent="0.25">
      <c r="A78" s="635" t="s">
        <v>190</v>
      </c>
      <c r="B78" s="636" t="s">
        <v>191</v>
      </c>
      <c r="C78" s="636" t="s">
        <v>268</v>
      </c>
      <c r="D78" s="961">
        <v>100</v>
      </c>
      <c r="E78" s="1709">
        <v>84</v>
      </c>
    </row>
    <row r="79" spans="1:5" s="639" customFormat="1" x14ac:dyDescent="0.25">
      <c r="A79" s="635" t="s">
        <v>194</v>
      </c>
      <c r="B79" s="636" t="s">
        <v>195</v>
      </c>
      <c r="C79" s="636" t="s">
        <v>267</v>
      </c>
      <c r="D79" s="961">
        <v>17</v>
      </c>
      <c r="E79" s="1709">
        <v>15</v>
      </c>
    </row>
    <row r="80" spans="1:5" s="639" customFormat="1" x14ac:dyDescent="0.25">
      <c r="A80" s="635" t="s">
        <v>198</v>
      </c>
      <c r="B80" s="636" t="s">
        <v>272</v>
      </c>
      <c r="C80" s="636" t="s">
        <v>266</v>
      </c>
      <c r="D80" s="961">
        <v>21</v>
      </c>
      <c r="E80" s="1709">
        <v>17</v>
      </c>
    </row>
    <row r="81" spans="1:5" s="639" customFormat="1" x14ac:dyDescent="0.25">
      <c r="A81" s="635" t="s">
        <v>202</v>
      </c>
      <c r="B81" s="636" t="s">
        <v>301</v>
      </c>
      <c r="C81" s="636" t="s">
        <v>265</v>
      </c>
      <c r="D81" s="961">
        <v>350</v>
      </c>
      <c r="E81" s="1709">
        <v>348</v>
      </c>
    </row>
    <row r="82" spans="1:5" s="639" customFormat="1" x14ac:dyDescent="0.25">
      <c r="A82" s="635" t="s">
        <v>204</v>
      </c>
      <c r="B82" s="636" t="s">
        <v>293</v>
      </c>
      <c r="C82" s="636" t="s">
        <v>265</v>
      </c>
      <c r="D82" s="961">
        <v>46</v>
      </c>
      <c r="E82" s="1709">
        <v>41</v>
      </c>
    </row>
    <row r="83" spans="1:5" s="639" customFormat="1" x14ac:dyDescent="0.25">
      <c r="A83" s="635" t="s">
        <v>206</v>
      </c>
      <c r="B83" s="636" t="s">
        <v>294</v>
      </c>
      <c r="C83" s="636" t="s">
        <v>267</v>
      </c>
      <c r="D83" s="961">
        <v>273</v>
      </c>
      <c r="E83" s="1709">
        <v>268</v>
      </c>
    </row>
    <row r="84" spans="1:5" s="639" customFormat="1" x14ac:dyDescent="0.25">
      <c r="A84" s="635" t="s">
        <v>208</v>
      </c>
      <c r="B84" s="636" t="s">
        <v>209</v>
      </c>
      <c r="C84" s="636" t="s">
        <v>268</v>
      </c>
      <c r="D84" s="961">
        <v>30</v>
      </c>
      <c r="E84" s="1709">
        <v>32</v>
      </c>
    </row>
    <row r="85" spans="1:5" s="639" customFormat="1" x14ac:dyDescent="0.25">
      <c r="A85" s="635" t="s">
        <v>210</v>
      </c>
      <c r="B85" s="636" t="s">
        <v>211</v>
      </c>
      <c r="C85" s="636" t="s">
        <v>268</v>
      </c>
      <c r="D85" s="961">
        <v>14</v>
      </c>
      <c r="E85" s="1709">
        <v>12</v>
      </c>
    </row>
    <row r="86" spans="1:5" s="639" customFormat="1" x14ac:dyDescent="0.25">
      <c r="A86" s="635" t="s">
        <v>212</v>
      </c>
      <c r="B86" s="636" t="s">
        <v>213</v>
      </c>
      <c r="C86" s="636" t="s">
        <v>267</v>
      </c>
      <c r="D86" s="961">
        <v>93</v>
      </c>
      <c r="E86" s="1709">
        <v>82</v>
      </c>
    </row>
    <row r="87" spans="1:5" s="639" customFormat="1" x14ac:dyDescent="0.25">
      <c r="A87" s="635" t="s">
        <v>214</v>
      </c>
      <c r="B87" s="636" t="s">
        <v>215</v>
      </c>
      <c r="C87" s="636" t="s">
        <v>268</v>
      </c>
      <c r="D87" s="961">
        <v>76</v>
      </c>
      <c r="E87" s="1709">
        <v>83</v>
      </c>
    </row>
    <row r="88" spans="1:5" s="639" customFormat="1" x14ac:dyDescent="0.25">
      <c r="A88" s="635" t="s">
        <v>216</v>
      </c>
      <c r="B88" s="636" t="s">
        <v>217</v>
      </c>
      <c r="C88" s="636" t="s">
        <v>264</v>
      </c>
      <c r="D88" s="961">
        <v>31</v>
      </c>
      <c r="E88" s="1709">
        <v>23</v>
      </c>
    </row>
    <row r="89" spans="1:5" s="639" customFormat="1" x14ac:dyDescent="0.25">
      <c r="A89" s="635" t="s">
        <v>218</v>
      </c>
      <c r="B89" s="636" t="s">
        <v>219</v>
      </c>
      <c r="C89" s="636" t="s">
        <v>267</v>
      </c>
      <c r="D89" s="961">
        <v>260</v>
      </c>
      <c r="E89" s="1709">
        <v>234</v>
      </c>
    </row>
    <row r="90" spans="1:5" s="639" customFormat="1" x14ac:dyDescent="0.25">
      <c r="A90" s="635" t="s">
        <v>220</v>
      </c>
      <c r="B90" s="636" t="s">
        <v>221</v>
      </c>
      <c r="C90" s="636" t="s">
        <v>267</v>
      </c>
      <c r="D90" s="961">
        <v>267</v>
      </c>
      <c r="E90" s="1709">
        <v>246</v>
      </c>
    </row>
    <row r="91" spans="1:5" s="639" customFormat="1" x14ac:dyDescent="0.25">
      <c r="A91" s="635" t="s">
        <v>224</v>
      </c>
      <c r="B91" s="636" t="s">
        <v>225</v>
      </c>
      <c r="C91" s="636" t="s">
        <v>264</v>
      </c>
      <c r="D91" s="961">
        <v>35</v>
      </c>
      <c r="E91" s="1709">
        <v>31</v>
      </c>
    </row>
    <row r="92" spans="1:5" s="639" customFormat="1" x14ac:dyDescent="0.25">
      <c r="A92" s="635" t="s">
        <v>226</v>
      </c>
      <c r="B92" s="636" t="s">
        <v>227</v>
      </c>
      <c r="C92" s="636" t="s">
        <v>264</v>
      </c>
      <c r="D92" s="961">
        <v>47</v>
      </c>
      <c r="E92" s="1709">
        <v>49</v>
      </c>
    </row>
    <row r="93" spans="1:5" s="639" customFormat="1" x14ac:dyDescent="0.25">
      <c r="A93" s="635" t="s">
        <v>228</v>
      </c>
      <c r="B93" s="636" t="s">
        <v>229</v>
      </c>
      <c r="C93" s="636" t="s">
        <v>268</v>
      </c>
      <c r="D93" s="961">
        <v>113</v>
      </c>
      <c r="E93" s="1709">
        <v>91</v>
      </c>
    </row>
    <row r="94" spans="1:5" s="639" customFormat="1" x14ac:dyDescent="0.25">
      <c r="A94" s="635" t="s">
        <v>232</v>
      </c>
      <c r="B94" s="636" t="s">
        <v>233</v>
      </c>
      <c r="C94" s="636" t="s">
        <v>267</v>
      </c>
      <c r="D94" s="961">
        <v>136</v>
      </c>
      <c r="E94" s="1709">
        <v>151</v>
      </c>
    </row>
    <row r="95" spans="1:5" s="639" customFormat="1" x14ac:dyDescent="0.25">
      <c r="A95" s="635" t="s">
        <v>234</v>
      </c>
      <c r="B95" s="636" t="s">
        <v>235</v>
      </c>
      <c r="C95" s="636" t="s">
        <v>268</v>
      </c>
      <c r="D95" s="961">
        <v>65</v>
      </c>
      <c r="E95" s="1709">
        <v>68</v>
      </c>
    </row>
    <row r="96" spans="1:5" s="639" customFormat="1" x14ac:dyDescent="0.25">
      <c r="A96" s="635" t="s">
        <v>236</v>
      </c>
      <c r="B96" s="636" t="s">
        <v>237</v>
      </c>
      <c r="C96" s="636" t="s">
        <v>266</v>
      </c>
      <c r="D96" s="961">
        <v>48</v>
      </c>
      <c r="E96" s="1709">
        <v>57</v>
      </c>
    </row>
    <row r="97" spans="1:5" s="639" customFormat="1" x14ac:dyDescent="0.25">
      <c r="A97" s="635" t="s">
        <v>242</v>
      </c>
      <c r="B97" s="636" t="s">
        <v>243</v>
      </c>
      <c r="C97" s="636" t="s">
        <v>268</v>
      </c>
      <c r="D97" s="961">
        <v>67</v>
      </c>
      <c r="E97" s="1709">
        <v>65</v>
      </c>
    </row>
    <row r="98" spans="1:5" s="639" customFormat="1" x14ac:dyDescent="0.25">
      <c r="A98" s="635" t="s">
        <v>244</v>
      </c>
      <c r="B98" s="636" t="s">
        <v>245</v>
      </c>
      <c r="C98" s="636" t="s">
        <v>268</v>
      </c>
      <c r="D98" s="961">
        <v>104</v>
      </c>
      <c r="E98" s="1709">
        <v>107</v>
      </c>
    </row>
    <row r="99" spans="1:5" s="639" customFormat="1" x14ac:dyDescent="0.25">
      <c r="A99" s="635" t="s">
        <v>246</v>
      </c>
      <c r="B99" s="636" t="s">
        <v>247</v>
      </c>
      <c r="C99" s="636" t="s">
        <v>264</v>
      </c>
      <c r="D99" s="961">
        <v>150</v>
      </c>
      <c r="E99" s="1709">
        <v>145</v>
      </c>
    </row>
    <row r="100" spans="1:5" s="639" customFormat="1" x14ac:dyDescent="0.25">
      <c r="A100" s="635" t="s">
        <v>14</v>
      </c>
      <c r="B100" s="636" t="s">
        <v>15</v>
      </c>
      <c r="C100" s="636" t="s">
        <v>267</v>
      </c>
      <c r="D100" s="961">
        <v>502</v>
      </c>
      <c r="E100" s="1709">
        <v>489</v>
      </c>
    </row>
    <row r="101" spans="1:5" s="639" customFormat="1" x14ac:dyDescent="0.25">
      <c r="A101" s="635" t="s">
        <v>34</v>
      </c>
      <c r="B101" s="636" t="s">
        <v>35</v>
      </c>
      <c r="C101" s="636" t="s">
        <v>268</v>
      </c>
      <c r="D101" s="961">
        <v>203</v>
      </c>
      <c r="E101" s="1709">
        <v>176</v>
      </c>
    </row>
    <row r="102" spans="1:5" s="639" customFormat="1" x14ac:dyDescent="0.25">
      <c r="A102" s="635" t="s">
        <v>52</v>
      </c>
      <c r="B102" s="636" t="s">
        <v>53</v>
      </c>
      <c r="C102" s="636" t="s">
        <v>265</v>
      </c>
      <c r="D102" s="961">
        <v>272</v>
      </c>
      <c r="E102" s="1709">
        <v>266</v>
      </c>
    </row>
    <row r="103" spans="1:5" s="639" customFormat="1" x14ac:dyDescent="0.25">
      <c r="A103" s="635" t="s">
        <v>54</v>
      </c>
      <c r="B103" s="636" t="s">
        <v>55</v>
      </c>
      <c r="C103" s="636" t="s">
        <v>264</v>
      </c>
      <c r="D103" s="961">
        <v>930</v>
      </c>
      <c r="E103" s="1709">
        <v>851</v>
      </c>
    </row>
    <row r="104" spans="1:5" s="639" customFormat="1" x14ac:dyDescent="0.25">
      <c r="A104" s="635" t="s">
        <v>66</v>
      </c>
      <c r="B104" s="636" t="s">
        <v>67</v>
      </c>
      <c r="C104" s="636" t="s">
        <v>265</v>
      </c>
      <c r="D104" s="961">
        <v>315</v>
      </c>
      <c r="E104" s="1709">
        <v>331</v>
      </c>
    </row>
    <row r="105" spans="1:5" s="639" customFormat="1" x14ac:dyDescent="0.25">
      <c r="A105" s="635" t="s">
        <v>82</v>
      </c>
      <c r="B105" s="636" t="s">
        <v>83</v>
      </c>
      <c r="C105" s="636" t="s">
        <v>264</v>
      </c>
      <c r="D105" s="961">
        <v>46</v>
      </c>
      <c r="E105" s="1709">
        <v>40</v>
      </c>
    </row>
    <row r="106" spans="1:5" s="639" customFormat="1" x14ac:dyDescent="0.25">
      <c r="A106" s="635" t="s">
        <v>88</v>
      </c>
      <c r="B106" s="636" t="s">
        <v>89</v>
      </c>
      <c r="C106" s="636" t="s">
        <v>267</v>
      </c>
      <c r="D106" s="961">
        <v>183</v>
      </c>
      <c r="E106" s="1709">
        <v>199</v>
      </c>
    </row>
    <row r="107" spans="1:5" s="639" customFormat="1" x14ac:dyDescent="0.25">
      <c r="A107" s="635" t="s">
        <v>90</v>
      </c>
      <c r="B107" s="636" t="s">
        <v>91</v>
      </c>
      <c r="C107" s="636" t="s">
        <v>268</v>
      </c>
      <c r="D107" s="961">
        <v>45</v>
      </c>
      <c r="E107" s="1709">
        <v>35</v>
      </c>
    </row>
    <row r="108" spans="1:5" s="639" customFormat="1" x14ac:dyDescent="0.25">
      <c r="A108" s="635" t="s">
        <v>106</v>
      </c>
      <c r="B108" s="636" t="s">
        <v>107</v>
      </c>
      <c r="C108" s="636" t="s">
        <v>264</v>
      </c>
      <c r="D108" s="961">
        <v>719</v>
      </c>
      <c r="E108" s="1709">
        <v>605</v>
      </c>
    </row>
    <row r="109" spans="1:5" s="639" customFormat="1" x14ac:dyDescent="0.25">
      <c r="A109" s="635" t="s">
        <v>116</v>
      </c>
      <c r="B109" s="636" t="s">
        <v>117</v>
      </c>
      <c r="C109" s="636" t="s">
        <v>266</v>
      </c>
      <c r="D109" s="961">
        <v>160</v>
      </c>
      <c r="E109" s="1709">
        <v>157</v>
      </c>
    </row>
    <row r="110" spans="1:5" s="639" customFormat="1" x14ac:dyDescent="0.25">
      <c r="A110" s="635" t="s">
        <v>138</v>
      </c>
      <c r="B110" s="636" t="s">
        <v>139</v>
      </c>
      <c r="C110" s="636" t="s">
        <v>265</v>
      </c>
      <c r="D110" s="961">
        <v>393</v>
      </c>
      <c r="E110" s="1709">
        <v>408</v>
      </c>
    </row>
    <row r="111" spans="1:5" s="639" customFormat="1" x14ac:dyDescent="0.25">
      <c r="A111" s="635" t="s">
        <v>142</v>
      </c>
      <c r="B111" s="636" t="s">
        <v>143</v>
      </c>
      <c r="C111" s="636" t="s">
        <v>267</v>
      </c>
      <c r="D111" s="961">
        <v>182</v>
      </c>
      <c r="E111" s="1709">
        <v>209</v>
      </c>
    </row>
    <row r="112" spans="1:5" s="639" customFormat="1" x14ac:dyDescent="0.25">
      <c r="A112" s="635" t="s">
        <v>144</v>
      </c>
      <c r="B112" s="636" t="s">
        <v>145</v>
      </c>
      <c r="C112" s="636" t="s">
        <v>267</v>
      </c>
      <c r="D112" s="961">
        <v>34</v>
      </c>
      <c r="E112" s="1709">
        <v>50</v>
      </c>
    </row>
    <row r="113" spans="1:6" s="639" customFormat="1" x14ac:dyDescent="0.25">
      <c r="A113" s="635" t="s">
        <v>158</v>
      </c>
      <c r="B113" s="636" t="s">
        <v>159</v>
      </c>
      <c r="C113" s="636" t="s">
        <v>264</v>
      </c>
      <c r="D113" s="961">
        <v>1336</v>
      </c>
      <c r="E113" s="1709">
        <v>1365</v>
      </c>
    </row>
    <row r="114" spans="1:6" s="639" customFormat="1" x14ac:dyDescent="0.25">
      <c r="A114" s="635" t="s">
        <v>160</v>
      </c>
      <c r="B114" s="636" t="s">
        <v>161</v>
      </c>
      <c r="C114" s="636" t="s">
        <v>264</v>
      </c>
      <c r="D114" s="961">
        <v>1767</v>
      </c>
      <c r="E114" s="1709">
        <v>1680</v>
      </c>
    </row>
    <row r="115" spans="1:6" s="639" customFormat="1" x14ac:dyDescent="0.25">
      <c r="A115" s="635" t="s">
        <v>166</v>
      </c>
      <c r="B115" s="636" t="s">
        <v>167</v>
      </c>
      <c r="C115" s="636" t="s">
        <v>268</v>
      </c>
      <c r="D115" s="961">
        <v>16</v>
      </c>
      <c r="E115" s="1709">
        <v>13</v>
      </c>
    </row>
    <row r="116" spans="1:6" s="639" customFormat="1" x14ac:dyDescent="0.25">
      <c r="A116" s="635" t="s">
        <v>176</v>
      </c>
      <c r="B116" s="636" t="s">
        <v>177</v>
      </c>
      <c r="C116" s="636" t="s">
        <v>266</v>
      </c>
      <c r="D116" s="961">
        <v>410</v>
      </c>
      <c r="E116" s="1709">
        <v>395</v>
      </c>
    </row>
    <row r="117" spans="1:6" s="639" customFormat="1" x14ac:dyDescent="0.25">
      <c r="A117" s="635" t="s">
        <v>180</v>
      </c>
      <c r="B117" s="636" t="s">
        <v>181</v>
      </c>
      <c r="C117" s="636" t="s">
        <v>264</v>
      </c>
      <c r="D117" s="961">
        <v>591</v>
      </c>
      <c r="E117" s="1709">
        <v>615</v>
      </c>
    </row>
    <row r="118" spans="1:6" s="639" customFormat="1" x14ac:dyDescent="0.25">
      <c r="A118" s="635" t="s">
        <v>192</v>
      </c>
      <c r="B118" s="636" t="s">
        <v>193</v>
      </c>
      <c r="C118" s="636" t="s">
        <v>268</v>
      </c>
      <c r="D118" s="961">
        <v>43</v>
      </c>
      <c r="E118" s="1709">
        <v>44</v>
      </c>
    </row>
    <row r="119" spans="1:6" s="639" customFormat="1" x14ac:dyDescent="0.25">
      <c r="A119" s="635" t="s">
        <v>196</v>
      </c>
      <c r="B119" s="636" t="s">
        <v>197</v>
      </c>
      <c r="C119" s="636" t="s">
        <v>266</v>
      </c>
      <c r="D119" s="961">
        <v>1780</v>
      </c>
      <c r="E119" s="1709">
        <v>1488</v>
      </c>
    </row>
    <row r="120" spans="1:6" s="639" customFormat="1" x14ac:dyDescent="0.25">
      <c r="A120" s="635" t="s">
        <v>200</v>
      </c>
      <c r="B120" s="636" t="s">
        <v>201</v>
      </c>
      <c r="C120" s="636" t="s">
        <v>265</v>
      </c>
      <c r="D120" s="961">
        <v>775</v>
      </c>
      <c r="E120" s="1709">
        <v>824</v>
      </c>
    </row>
    <row r="121" spans="1:6" s="639" customFormat="1" x14ac:dyDescent="0.25">
      <c r="A121" s="635" t="s">
        <v>222</v>
      </c>
      <c r="B121" s="636" t="s">
        <v>223</v>
      </c>
      <c r="C121" s="636" t="s">
        <v>264</v>
      </c>
      <c r="D121" s="961">
        <v>268</v>
      </c>
      <c r="E121" s="1709">
        <v>280</v>
      </c>
    </row>
    <row r="122" spans="1:6" s="639" customFormat="1" x14ac:dyDescent="0.25">
      <c r="A122" s="635" t="s">
        <v>230</v>
      </c>
      <c r="B122" s="636" t="s">
        <v>231</v>
      </c>
      <c r="C122" s="636" t="s">
        <v>264</v>
      </c>
      <c r="D122" s="961">
        <v>1496</v>
      </c>
      <c r="E122" s="1709">
        <v>1584</v>
      </c>
    </row>
    <row r="123" spans="1:6" s="639" customFormat="1" x14ac:dyDescent="0.25">
      <c r="A123" s="635" t="s">
        <v>238</v>
      </c>
      <c r="B123" s="636" t="s">
        <v>239</v>
      </c>
      <c r="C123" s="636" t="s">
        <v>264</v>
      </c>
      <c r="D123" s="961">
        <v>43</v>
      </c>
      <c r="E123" s="1709">
        <v>58</v>
      </c>
    </row>
    <row r="124" spans="1:6" s="639" customFormat="1" x14ac:dyDescent="0.25">
      <c r="A124" s="635" t="s">
        <v>240</v>
      </c>
      <c r="B124" s="636" t="s">
        <v>241</v>
      </c>
      <c r="C124" s="636" t="s">
        <v>267</v>
      </c>
      <c r="D124" s="961">
        <v>115</v>
      </c>
      <c r="E124" s="1710">
        <v>108</v>
      </c>
    </row>
    <row r="126" spans="1:6" ht="12.75" customHeight="1" x14ac:dyDescent="0.25">
      <c r="A126" s="2104" t="s">
        <v>1107</v>
      </c>
      <c r="B126" s="2105"/>
      <c r="C126" s="2105"/>
      <c r="D126" s="2105"/>
      <c r="E126" s="2105"/>
      <c r="F126" s="2105"/>
    </row>
    <row r="127" spans="1:6" x14ac:dyDescent="0.25">
      <c r="A127" s="2105"/>
      <c r="B127" s="2105"/>
      <c r="C127" s="2105"/>
      <c r="D127" s="2105"/>
      <c r="E127" s="2105"/>
      <c r="F127" s="2105"/>
    </row>
    <row r="128" spans="1:6" ht="18" customHeight="1" x14ac:dyDescent="0.25">
      <c r="A128" s="2105"/>
      <c r="B128" s="2105"/>
      <c r="C128" s="2105"/>
      <c r="D128" s="2105"/>
      <c r="E128" s="2105"/>
      <c r="F128" s="2105"/>
    </row>
    <row r="129" spans="1:6" x14ac:dyDescent="0.25">
      <c r="A129" s="1420"/>
      <c r="B129" s="1420"/>
      <c r="C129" s="1420"/>
      <c r="D129" s="1420"/>
      <c r="E129" s="1649"/>
      <c r="F129" s="1420"/>
    </row>
    <row r="130" spans="1:6" s="414" customFormat="1" x14ac:dyDescent="0.25">
      <c r="A130" s="414" t="s">
        <v>248</v>
      </c>
    </row>
    <row r="131" spans="1:6" s="414" customFormat="1" x14ac:dyDescent="0.25">
      <c r="A131" s="415" t="s">
        <v>249</v>
      </c>
      <c r="B131" s="416" t="s">
        <v>250</v>
      </c>
      <c r="C131" s="416"/>
    </row>
  </sheetData>
  <mergeCells count="1">
    <mergeCell ref="A126:F128"/>
  </mergeCells>
  <hyperlinks>
    <hyperlink ref="B131" r:id="rI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31"/>
  <sheetViews>
    <sheetView workbookViewId="0">
      <pane xSplit="3" ySplit="5" topLeftCell="D108" activePane="bottomRight" state="frozen"/>
      <selection pane="topRight" activeCell="D1" sqref="D1"/>
      <selection pane="bottomLeft" activeCell="A6" sqref="A6"/>
      <selection pane="bottomRight"/>
    </sheetView>
  </sheetViews>
  <sheetFormatPr defaultColWidth="14.375" defaultRowHeight="15.75" x14ac:dyDescent="0.25"/>
  <cols>
    <col min="1" max="1" width="14.375" style="503"/>
    <col min="2" max="2" width="32.25" style="503" customWidth="1"/>
    <col min="3" max="3" width="14.5" style="503" customWidth="1"/>
    <col min="4" max="4" width="11.875" style="503" customWidth="1"/>
    <col min="5" max="5" width="11.125" style="503" customWidth="1"/>
    <col min="6" max="6" width="14.5" style="503" customWidth="1"/>
    <col min="7" max="8" width="9.625" style="503" customWidth="1"/>
    <col min="9" max="12" width="12.125" style="503" customWidth="1"/>
    <col min="13" max="16384" width="14.375" style="503"/>
  </cols>
  <sheetData>
    <row r="1" spans="1:13" x14ac:dyDescent="0.25">
      <c r="A1" s="257" t="s">
        <v>1162</v>
      </c>
    </row>
    <row r="2" spans="1:13" x14ac:dyDescent="0.25">
      <c r="B2" s="504"/>
      <c r="C2" s="504"/>
      <c r="D2" s="504"/>
      <c r="E2" s="504"/>
      <c r="F2" s="504"/>
      <c r="G2" s="504"/>
      <c r="H2" s="504"/>
    </row>
    <row r="3" spans="1:13" ht="23.25" customHeight="1" x14ac:dyDescent="0.25">
      <c r="A3" s="505"/>
      <c r="B3" s="506"/>
      <c r="C3" s="605"/>
      <c r="D3" s="2114" t="s">
        <v>892</v>
      </c>
      <c r="E3" s="2114"/>
      <c r="F3" s="2114"/>
      <c r="G3" s="2114" t="s">
        <v>887</v>
      </c>
      <c r="H3" s="2114"/>
      <c r="I3" s="2114" t="s">
        <v>778</v>
      </c>
      <c r="J3" s="2114"/>
      <c r="K3" s="2114"/>
      <c r="L3" s="2114"/>
      <c r="M3" s="507" t="s">
        <v>846</v>
      </c>
    </row>
    <row r="4" spans="1:13" ht="35.25" customHeight="1" x14ac:dyDescent="0.25">
      <c r="A4" s="507" t="s">
        <v>4</v>
      </c>
      <c r="B4" s="506" t="s">
        <v>5</v>
      </c>
      <c r="C4" s="605" t="s">
        <v>251</v>
      </c>
      <c r="D4" s="1201" t="s">
        <v>618</v>
      </c>
      <c r="E4" s="1201" t="s">
        <v>720</v>
      </c>
      <c r="F4" s="1201" t="s">
        <v>793</v>
      </c>
      <c r="G4" s="1201" t="s">
        <v>549</v>
      </c>
      <c r="H4" s="1201" t="s">
        <v>548</v>
      </c>
      <c r="I4" s="605" t="s">
        <v>2</v>
      </c>
      <c r="J4" s="605" t="s">
        <v>445</v>
      </c>
      <c r="K4" s="605" t="s">
        <v>847</v>
      </c>
      <c r="L4" s="1596" t="s">
        <v>1171</v>
      </c>
      <c r="M4" s="507" t="s">
        <v>551</v>
      </c>
    </row>
    <row r="5" spans="1:13" x14ac:dyDescent="0.25">
      <c r="A5" s="1223" t="s">
        <v>8</v>
      </c>
      <c r="B5" s="1224" t="s">
        <v>9</v>
      </c>
      <c r="C5" s="1225"/>
      <c r="D5" s="1226">
        <f>SUM(D6:D125)</f>
        <v>528327</v>
      </c>
      <c r="E5" s="1226">
        <f t="shared" ref="E5:F5" si="0">SUM(E6:E125)</f>
        <v>693829</v>
      </c>
      <c r="F5" s="1226">
        <f t="shared" si="0"/>
        <v>65525</v>
      </c>
      <c r="G5" s="1226">
        <f t="shared" ref="G5" si="1">SUM(G6:G125)</f>
        <v>733741</v>
      </c>
      <c r="H5" s="1226">
        <f t="shared" ref="H5:L5" si="2">SUM(H6:H125)</f>
        <v>553948</v>
      </c>
      <c r="I5" s="1227">
        <f t="shared" si="2"/>
        <v>553660</v>
      </c>
      <c r="J5" s="1227">
        <f t="shared" si="2"/>
        <v>503276</v>
      </c>
      <c r="K5" s="1227">
        <f t="shared" si="2"/>
        <v>72034</v>
      </c>
      <c r="L5" s="1227">
        <f t="shared" si="2"/>
        <v>11671</v>
      </c>
      <c r="M5" s="1227">
        <f t="shared" ref="M5" si="3">SUM(M6:M125)</f>
        <v>0</v>
      </c>
    </row>
    <row r="6" spans="1:13" s="604" customFormat="1" x14ac:dyDescent="0.25">
      <c r="A6" s="606" t="s">
        <v>10</v>
      </c>
      <c r="B6" s="602" t="s">
        <v>11</v>
      </c>
      <c r="C6" s="601" t="s">
        <v>264</v>
      </c>
      <c r="D6" s="962">
        <v>3891</v>
      </c>
      <c r="E6" s="962">
        <v>4936</v>
      </c>
      <c r="F6" s="962">
        <v>464</v>
      </c>
      <c r="G6" s="962">
        <v>5183</v>
      </c>
      <c r="H6" s="962">
        <v>4108</v>
      </c>
      <c r="I6" s="603">
        <v>4572</v>
      </c>
      <c r="J6" s="603">
        <v>4250</v>
      </c>
      <c r="K6" s="603">
        <v>156</v>
      </c>
      <c r="L6" s="603">
        <v>98</v>
      </c>
      <c r="M6" s="603"/>
    </row>
    <row r="7" spans="1:13" s="604" customFormat="1" x14ac:dyDescent="0.25">
      <c r="A7" s="606" t="s">
        <v>12</v>
      </c>
      <c r="B7" s="602" t="s">
        <v>13</v>
      </c>
      <c r="C7" s="601" t="s">
        <v>265</v>
      </c>
      <c r="D7" s="962">
        <v>4064</v>
      </c>
      <c r="E7" s="962">
        <v>5320</v>
      </c>
      <c r="F7" s="962">
        <v>449</v>
      </c>
      <c r="G7" s="962">
        <v>5525</v>
      </c>
      <c r="H7" s="962">
        <v>4308</v>
      </c>
      <c r="I7" s="603">
        <v>4537</v>
      </c>
      <c r="J7" s="603">
        <v>2470</v>
      </c>
      <c r="K7" s="603">
        <v>830</v>
      </c>
      <c r="L7" s="603">
        <v>125</v>
      </c>
      <c r="M7" s="603"/>
    </row>
    <row r="8" spans="1:13" s="604" customFormat="1" x14ac:dyDescent="0.25">
      <c r="A8" s="606" t="s">
        <v>16</v>
      </c>
      <c r="B8" s="602" t="s">
        <v>297</v>
      </c>
      <c r="C8" s="601" t="s">
        <v>265</v>
      </c>
      <c r="D8" s="962">
        <v>1896</v>
      </c>
      <c r="E8" s="962">
        <v>2832</v>
      </c>
      <c r="F8" s="962">
        <v>272</v>
      </c>
      <c r="G8" s="962">
        <v>2766</v>
      </c>
      <c r="H8" s="962">
        <v>2234</v>
      </c>
      <c r="I8" s="603">
        <v>3819</v>
      </c>
      <c r="J8" s="603">
        <v>494</v>
      </c>
      <c r="K8" s="603">
        <v>231</v>
      </c>
      <c r="L8" s="603">
        <v>215</v>
      </c>
      <c r="M8" s="603"/>
    </row>
    <row r="9" spans="1:13" s="604" customFormat="1" x14ac:dyDescent="0.25">
      <c r="A9" s="606" t="s">
        <v>18</v>
      </c>
      <c r="B9" s="602" t="s">
        <v>19</v>
      </c>
      <c r="C9" s="601" t="s">
        <v>266</v>
      </c>
      <c r="D9" s="962">
        <v>947</v>
      </c>
      <c r="E9" s="962">
        <v>1445</v>
      </c>
      <c r="F9" s="962">
        <v>154</v>
      </c>
      <c r="G9" s="962">
        <v>1415</v>
      </c>
      <c r="H9" s="962">
        <v>1131</v>
      </c>
      <c r="I9" s="603">
        <v>1517</v>
      </c>
      <c r="J9" s="603">
        <v>891</v>
      </c>
      <c r="K9" s="603">
        <v>99</v>
      </c>
      <c r="L9" s="603">
        <v>22</v>
      </c>
      <c r="M9" s="603"/>
    </row>
    <row r="10" spans="1:13" s="604" customFormat="1" x14ac:dyDescent="0.25">
      <c r="A10" s="606" t="s">
        <v>20</v>
      </c>
      <c r="B10" s="602" t="s">
        <v>21</v>
      </c>
      <c r="C10" s="601" t="s">
        <v>265</v>
      </c>
      <c r="D10" s="962">
        <v>2181</v>
      </c>
      <c r="E10" s="962">
        <v>2824</v>
      </c>
      <c r="F10" s="962">
        <v>293</v>
      </c>
      <c r="G10" s="962">
        <v>3034</v>
      </c>
      <c r="H10" s="962">
        <v>2264</v>
      </c>
      <c r="I10" s="603">
        <v>3195</v>
      </c>
      <c r="J10" s="603">
        <v>1357</v>
      </c>
      <c r="K10" s="603">
        <v>218</v>
      </c>
      <c r="L10" s="603">
        <v>115</v>
      </c>
      <c r="M10" s="603"/>
    </row>
    <row r="11" spans="1:13" s="604" customFormat="1" x14ac:dyDescent="0.25">
      <c r="A11" s="606" t="s">
        <v>22</v>
      </c>
      <c r="B11" s="602" t="s">
        <v>23</v>
      </c>
      <c r="C11" s="601" t="s">
        <v>265</v>
      </c>
      <c r="D11" s="962">
        <v>1312</v>
      </c>
      <c r="E11" s="962">
        <v>1971</v>
      </c>
      <c r="F11" s="962">
        <v>204</v>
      </c>
      <c r="G11" s="962">
        <v>1940</v>
      </c>
      <c r="H11" s="962">
        <v>1547</v>
      </c>
      <c r="I11" s="603">
        <v>2011</v>
      </c>
      <c r="J11" s="603">
        <v>1247</v>
      </c>
      <c r="K11" s="603">
        <v>88</v>
      </c>
      <c r="L11" s="603">
        <v>69</v>
      </c>
      <c r="M11" s="603"/>
    </row>
    <row r="12" spans="1:13" s="604" customFormat="1" x14ac:dyDescent="0.25">
      <c r="A12" s="606" t="s">
        <v>24</v>
      </c>
      <c r="B12" s="602" t="s">
        <v>25</v>
      </c>
      <c r="C12" s="601" t="s">
        <v>267</v>
      </c>
      <c r="D12" s="962">
        <v>5145</v>
      </c>
      <c r="E12" s="962">
        <v>6674</v>
      </c>
      <c r="F12" s="962">
        <v>1564</v>
      </c>
      <c r="G12" s="962">
        <v>7642</v>
      </c>
      <c r="H12" s="962">
        <v>5741</v>
      </c>
      <c r="I12" s="603">
        <v>6007</v>
      </c>
      <c r="J12" s="603">
        <v>3519</v>
      </c>
      <c r="K12" s="603">
        <v>1615</v>
      </c>
      <c r="L12" s="603">
        <v>45</v>
      </c>
      <c r="M12" s="603"/>
    </row>
    <row r="13" spans="1:13" s="604" customFormat="1" x14ac:dyDescent="0.25">
      <c r="A13" s="606" t="s">
        <v>26</v>
      </c>
      <c r="B13" s="602" t="s">
        <v>686</v>
      </c>
      <c r="C13" s="601" t="s">
        <v>265</v>
      </c>
      <c r="D13" s="962">
        <v>8097</v>
      </c>
      <c r="E13" s="962">
        <v>11445</v>
      </c>
      <c r="F13" s="962">
        <v>930</v>
      </c>
      <c r="G13" s="962">
        <v>11471</v>
      </c>
      <c r="H13" s="962">
        <v>9001</v>
      </c>
      <c r="I13" s="603">
        <v>15084</v>
      </c>
      <c r="J13" s="603">
        <v>3058</v>
      </c>
      <c r="K13" s="603">
        <v>529</v>
      </c>
      <c r="L13" s="603">
        <v>113</v>
      </c>
      <c r="M13" s="603"/>
    </row>
    <row r="14" spans="1:13" s="604" customFormat="1" x14ac:dyDescent="0.25">
      <c r="A14" s="606" t="s">
        <v>27</v>
      </c>
      <c r="B14" s="602" t="s">
        <v>28</v>
      </c>
      <c r="C14" s="601" t="s">
        <v>265</v>
      </c>
      <c r="D14" s="962">
        <v>223</v>
      </c>
      <c r="E14" s="962">
        <v>301</v>
      </c>
      <c r="F14" s="962">
        <v>65</v>
      </c>
      <c r="G14" s="962">
        <v>333</v>
      </c>
      <c r="H14" s="962">
        <v>256</v>
      </c>
      <c r="I14" s="603">
        <v>528</v>
      </c>
      <c r="J14" s="603">
        <v>26</v>
      </c>
      <c r="K14" s="603">
        <v>21</v>
      </c>
      <c r="L14" s="603">
        <v>19</v>
      </c>
      <c r="M14" s="603"/>
    </row>
    <row r="15" spans="1:13" s="604" customFormat="1" x14ac:dyDescent="0.25">
      <c r="A15" s="606" t="s">
        <v>29</v>
      </c>
      <c r="B15" s="602" t="s">
        <v>941</v>
      </c>
      <c r="C15" s="601" t="s">
        <v>265</v>
      </c>
      <c r="D15" s="962">
        <v>3787</v>
      </c>
      <c r="E15" s="962">
        <v>5325</v>
      </c>
      <c r="F15" s="962">
        <v>400</v>
      </c>
      <c r="G15" s="962">
        <v>5221</v>
      </c>
      <c r="H15" s="962">
        <v>4291</v>
      </c>
      <c r="I15" s="603">
        <v>7021</v>
      </c>
      <c r="J15" s="603">
        <v>1368</v>
      </c>
      <c r="K15" s="603">
        <v>232</v>
      </c>
      <c r="L15" s="603">
        <v>131</v>
      </c>
      <c r="M15" s="603"/>
    </row>
    <row r="16" spans="1:13" s="604" customFormat="1" x14ac:dyDescent="0.25">
      <c r="A16" s="606" t="s">
        <v>30</v>
      </c>
      <c r="B16" s="602" t="s">
        <v>31</v>
      </c>
      <c r="C16" s="601" t="s">
        <v>268</v>
      </c>
      <c r="D16" s="962">
        <v>275</v>
      </c>
      <c r="E16" s="962">
        <v>487</v>
      </c>
      <c r="F16" s="962">
        <v>64</v>
      </c>
      <c r="G16" s="962">
        <v>463</v>
      </c>
      <c r="H16" s="962">
        <v>363</v>
      </c>
      <c r="I16" s="603">
        <v>704</v>
      </c>
      <c r="J16" s="603">
        <v>21</v>
      </c>
      <c r="K16" s="603">
        <v>7</v>
      </c>
      <c r="L16" s="603">
        <v>1</v>
      </c>
      <c r="M16" s="603"/>
    </row>
    <row r="17" spans="1:13" s="604" customFormat="1" x14ac:dyDescent="0.25">
      <c r="A17" s="606" t="s">
        <v>32</v>
      </c>
      <c r="B17" s="602" t="s">
        <v>33</v>
      </c>
      <c r="C17" s="601" t="s">
        <v>265</v>
      </c>
      <c r="D17" s="962">
        <v>1143</v>
      </c>
      <c r="E17" s="962">
        <v>1473</v>
      </c>
      <c r="F17" s="962">
        <v>116</v>
      </c>
      <c r="G17" s="962">
        <v>1518</v>
      </c>
      <c r="H17" s="962">
        <v>1216</v>
      </c>
      <c r="I17" s="603">
        <v>2349</v>
      </c>
      <c r="J17" s="603">
        <v>110</v>
      </c>
      <c r="K17" s="603">
        <v>143</v>
      </c>
      <c r="L17" s="603">
        <v>42</v>
      </c>
      <c r="M17" s="603"/>
    </row>
    <row r="18" spans="1:13" s="604" customFormat="1" x14ac:dyDescent="0.25">
      <c r="A18" s="606" t="s">
        <v>36</v>
      </c>
      <c r="B18" s="602" t="s">
        <v>37</v>
      </c>
      <c r="C18" s="601" t="s">
        <v>264</v>
      </c>
      <c r="D18" s="962">
        <v>1719</v>
      </c>
      <c r="E18" s="962">
        <v>2630</v>
      </c>
      <c r="F18" s="962">
        <v>457</v>
      </c>
      <c r="G18" s="962">
        <v>2668</v>
      </c>
      <c r="H18" s="962">
        <v>2138</v>
      </c>
      <c r="I18" s="603">
        <v>1136</v>
      </c>
      <c r="J18" s="603">
        <v>3459</v>
      </c>
      <c r="K18" s="603">
        <v>91</v>
      </c>
      <c r="L18" s="603">
        <v>35</v>
      </c>
      <c r="M18" s="603"/>
    </row>
    <row r="19" spans="1:13" s="604" customFormat="1" x14ac:dyDescent="0.25">
      <c r="A19" s="606" t="s">
        <v>38</v>
      </c>
      <c r="B19" s="602" t="s">
        <v>39</v>
      </c>
      <c r="C19" s="601" t="s">
        <v>268</v>
      </c>
      <c r="D19" s="962">
        <v>2005</v>
      </c>
      <c r="E19" s="962">
        <v>3964</v>
      </c>
      <c r="F19" s="962">
        <v>293</v>
      </c>
      <c r="G19" s="962">
        <v>3462</v>
      </c>
      <c r="H19" s="962">
        <v>2800</v>
      </c>
      <c r="I19" s="603">
        <v>6031</v>
      </c>
      <c r="J19" s="603">
        <v>20</v>
      </c>
      <c r="K19" s="603">
        <v>17</v>
      </c>
      <c r="L19" s="603">
        <v>10</v>
      </c>
      <c r="M19" s="603"/>
    </row>
    <row r="20" spans="1:13" s="604" customFormat="1" x14ac:dyDescent="0.25">
      <c r="A20" s="606" t="s">
        <v>40</v>
      </c>
      <c r="B20" s="602" t="s">
        <v>41</v>
      </c>
      <c r="C20" s="601" t="s">
        <v>266</v>
      </c>
      <c r="D20" s="962">
        <v>1565</v>
      </c>
      <c r="E20" s="962">
        <v>2469</v>
      </c>
      <c r="F20" s="962">
        <v>278</v>
      </c>
      <c r="G20" s="962">
        <v>2386</v>
      </c>
      <c r="H20" s="962">
        <v>1926</v>
      </c>
      <c r="I20" s="603">
        <v>2070</v>
      </c>
      <c r="J20" s="603">
        <v>1871</v>
      </c>
      <c r="K20" s="603">
        <v>132</v>
      </c>
      <c r="L20" s="603">
        <v>90</v>
      </c>
      <c r="M20" s="603"/>
    </row>
    <row r="21" spans="1:13" s="604" customFormat="1" x14ac:dyDescent="0.25">
      <c r="A21" s="606" t="s">
        <v>42</v>
      </c>
      <c r="B21" s="602" t="s">
        <v>43</v>
      </c>
      <c r="C21" s="601" t="s">
        <v>265</v>
      </c>
      <c r="D21" s="962">
        <v>4135</v>
      </c>
      <c r="E21" s="962">
        <v>6163</v>
      </c>
      <c r="F21" s="962">
        <v>564</v>
      </c>
      <c r="G21" s="962">
        <v>6170</v>
      </c>
      <c r="H21" s="962">
        <v>4692</v>
      </c>
      <c r="I21" s="603">
        <v>6940</v>
      </c>
      <c r="J21" s="603">
        <v>2657</v>
      </c>
      <c r="K21" s="603">
        <v>244</v>
      </c>
      <c r="L21" s="603">
        <v>115</v>
      </c>
      <c r="M21" s="603"/>
    </row>
    <row r="22" spans="1:13" s="604" customFormat="1" x14ac:dyDescent="0.25">
      <c r="A22" s="606" t="s">
        <v>44</v>
      </c>
      <c r="B22" s="602" t="s">
        <v>45</v>
      </c>
      <c r="C22" s="601" t="s">
        <v>266</v>
      </c>
      <c r="D22" s="962">
        <v>2863</v>
      </c>
      <c r="E22" s="962">
        <v>3709</v>
      </c>
      <c r="F22" s="962">
        <v>301</v>
      </c>
      <c r="G22" s="962">
        <v>3841</v>
      </c>
      <c r="H22" s="962">
        <v>3032</v>
      </c>
      <c r="I22" s="603">
        <v>3304</v>
      </c>
      <c r="J22" s="603">
        <v>2362</v>
      </c>
      <c r="K22" s="603">
        <v>230</v>
      </c>
      <c r="L22" s="603">
        <v>80</v>
      </c>
      <c r="M22" s="603"/>
    </row>
    <row r="23" spans="1:13" s="604" customFormat="1" x14ac:dyDescent="0.25">
      <c r="A23" s="606" t="s">
        <v>46</v>
      </c>
      <c r="B23" s="602" t="s">
        <v>47</v>
      </c>
      <c r="C23" s="601" t="s">
        <v>268</v>
      </c>
      <c r="D23" s="962">
        <v>2513</v>
      </c>
      <c r="E23" s="962">
        <v>4090</v>
      </c>
      <c r="F23" s="962">
        <v>529</v>
      </c>
      <c r="G23" s="962">
        <v>3861</v>
      </c>
      <c r="H23" s="962">
        <v>3271</v>
      </c>
      <c r="I23" s="603">
        <v>6140</v>
      </c>
      <c r="J23" s="603">
        <v>104</v>
      </c>
      <c r="K23" s="603">
        <v>158</v>
      </c>
      <c r="L23" s="603">
        <v>3</v>
      </c>
      <c r="M23" s="603"/>
    </row>
    <row r="24" spans="1:13" s="604" customFormat="1" x14ac:dyDescent="0.25">
      <c r="A24" s="606" t="s">
        <v>48</v>
      </c>
      <c r="B24" s="602" t="s">
        <v>269</v>
      </c>
      <c r="C24" s="601" t="s">
        <v>266</v>
      </c>
      <c r="D24" s="962">
        <v>474</v>
      </c>
      <c r="E24" s="962">
        <v>812</v>
      </c>
      <c r="F24" s="962">
        <v>83</v>
      </c>
      <c r="G24" s="962">
        <v>744</v>
      </c>
      <c r="H24" s="962">
        <v>625</v>
      </c>
      <c r="I24" s="603">
        <v>399</v>
      </c>
      <c r="J24" s="603">
        <v>748</v>
      </c>
      <c r="K24" s="603">
        <v>49</v>
      </c>
      <c r="L24" s="603">
        <v>9</v>
      </c>
      <c r="M24" s="603"/>
    </row>
    <row r="25" spans="1:13" s="604" customFormat="1" x14ac:dyDescent="0.25">
      <c r="A25" s="606" t="s">
        <v>50</v>
      </c>
      <c r="B25" s="602" t="s">
        <v>51</v>
      </c>
      <c r="C25" s="601" t="s">
        <v>265</v>
      </c>
      <c r="D25" s="962">
        <v>1167</v>
      </c>
      <c r="E25" s="962">
        <v>1672</v>
      </c>
      <c r="F25" s="962">
        <v>245</v>
      </c>
      <c r="G25" s="962">
        <v>1703</v>
      </c>
      <c r="H25" s="962">
        <v>1381</v>
      </c>
      <c r="I25" s="603">
        <v>1393</v>
      </c>
      <c r="J25" s="603">
        <v>1506</v>
      </c>
      <c r="K25" s="603">
        <v>90</v>
      </c>
      <c r="L25" s="603">
        <v>57</v>
      </c>
      <c r="M25" s="603"/>
    </row>
    <row r="26" spans="1:13" s="604" customFormat="1" x14ac:dyDescent="0.25">
      <c r="A26" s="606" t="s">
        <v>56</v>
      </c>
      <c r="B26" s="602" t="s">
        <v>295</v>
      </c>
      <c r="C26" s="601" t="s">
        <v>266</v>
      </c>
      <c r="D26" s="962">
        <v>21743</v>
      </c>
      <c r="E26" s="962">
        <v>24980</v>
      </c>
      <c r="F26" s="962">
        <v>1446</v>
      </c>
      <c r="G26" s="962">
        <v>28046</v>
      </c>
      <c r="H26" s="962">
        <v>20123</v>
      </c>
      <c r="I26" s="603">
        <v>20041</v>
      </c>
      <c r="J26" s="603">
        <v>16961</v>
      </c>
      <c r="K26" s="603">
        <v>3492</v>
      </c>
      <c r="L26" s="603">
        <v>590</v>
      </c>
      <c r="M26" s="603"/>
    </row>
    <row r="27" spans="1:13" s="604" customFormat="1" x14ac:dyDescent="0.25">
      <c r="A27" s="606" t="s">
        <v>58</v>
      </c>
      <c r="B27" s="602" t="s">
        <v>59</v>
      </c>
      <c r="C27" s="601" t="s">
        <v>267</v>
      </c>
      <c r="D27" s="962">
        <v>384</v>
      </c>
      <c r="E27" s="962">
        <v>537</v>
      </c>
      <c r="F27" s="962">
        <v>87</v>
      </c>
      <c r="G27" s="962">
        <v>550</v>
      </c>
      <c r="H27" s="962">
        <v>458</v>
      </c>
      <c r="I27" s="603">
        <v>771</v>
      </c>
      <c r="J27" s="603">
        <v>132</v>
      </c>
      <c r="K27" s="603">
        <v>20</v>
      </c>
      <c r="L27" s="603">
        <v>6</v>
      </c>
      <c r="M27" s="603"/>
    </row>
    <row r="28" spans="1:13" s="604" customFormat="1" x14ac:dyDescent="0.25">
      <c r="A28" s="606" t="s">
        <v>60</v>
      </c>
      <c r="B28" s="602" t="s">
        <v>61</v>
      </c>
      <c r="C28" s="601" t="s">
        <v>265</v>
      </c>
      <c r="D28" s="962">
        <v>325</v>
      </c>
      <c r="E28" s="962">
        <v>465</v>
      </c>
      <c r="F28" s="962">
        <v>63</v>
      </c>
      <c r="G28" s="962">
        <v>467</v>
      </c>
      <c r="H28" s="962">
        <v>386</v>
      </c>
      <c r="I28" s="603">
        <v>804</v>
      </c>
      <c r="J28" s="603">
        <v>6</v>
      </c>
      <c r="K28" s="603">
        <v>0</v>
      </c>
      <c r="L28" s="603">
        <v>0</v>
      </c>
      <c r="M28" s="603"/>
    </row>
    <row r="29" spans="1:13" s="604" customFormat="1" x14ac:dyDescent="0.25">
      <c r="A29" s="606" t="s">
        <v>62</v>
      </c>
      <c r="B29" s="602" t="s">
        <v>63</v>
      </c>
      <c r="C29" s="601" t="s">
        <v>267</v>
      </c>
      <c r="D29" s="962">
        <v>3514</v>
      </c>
      <c r="E29" s="962">
        <v>4323</v>
      </c>
      <c r="F29" s="962">
        <v>370</v>
      </c>
      <c r="G29" s="962">
        <v>4669</v>
      </c>
      <c r="H29" s="962">
        <v>3538</v>
      </c>
      <c r="I29" s="603">
        <v>3957</v>
      </c>
      <c r="J29" s="603">
        <v>2388</v>
      </c>
      <c r="K29" s="603">
        <v>621</v>
      </c>
      <c r="L29" s="603">
        <v>111</v>
      </c>
      <c r="M29" s="603"/>
    </row>
    <row r="30" spans="1:13" s="604" customFormat="1" x14ac:dyDescent="0.25">
      <c r="A30" s="606" t="s">
        <v>64</v>
      </c>
      <c r="B30" s="602" t="s">
        <v>65</v>
      </c>
      <c r="C30" s="601" t="s">
        <v>266</v>
      </c>
      <c r="D30" s="962">
        <v>1113</v>
      </c>
      <c r="E30" s="962">
        <v>1636</v>
      </c>
      <c r="F30" s="962">
        <v>200</v>
      </c>
      <c r="G30" s="962">
        <v>1620</v>
      </c>
      <c r="H30" s="962">
        <v>1329</v>
      </c>
      <c r="I30" s="603">
        <v>1380</v>
      </c>
      <c r="J30" s="603">
        <v>1383</v>
      </c>
      <c r="K30" s="603">
        <v>93</v>
      </c>
      <c r="L30" s="603">
        <v>55</v>
      </c>
      <c r="M30" s="603"/>
    </row>
    <row r="31" spans="1:13" s="604" customFormat="1" x14ac:dyDescent="0.25">
      <c r="A31" s="606" t="s">
        <v>68</v>
      </c>
      <c r="B31" s="602" t="s">
        <v>69</v>
      </c>
      <c r="C31" s="601" t="s">
        <v>268</v>
      </c>
      <c r="D31" s="962">
        <v>1490</v>
      </c>
      <c r="E31" s="962">
        <v>2668</v>
      </c>
      <c r="F31" s="962">
        <v>214</v>
      </c>
      <c r="G31" s="962">
        <v>2379</v>
      </c>
      <c r="H31" s="962">
        <v>1993</v>
      </c>
      <c r="I31" s="603">
        <v>4152</v>
      </c>
      <c r="J31" s="603">
        <v>47</v>
      </c>
      <c r="K31" s="603">
        <v>6</v>
      </c>
      <c r="L31" s="603">
        <v>3</v>
      </c>
      <c r="M31" s="603"/>
    </row>
    <row r="32" spans="1:13" s="604" customFormat="1" x14ac:dyDescent="0.25">
      <c r="A32" s="606" t="s">
        <v>70</v>
      </c>
      <c r="B32" s="602" t="s">
        <v>71</v>
      </c>
      <c r="C32" s="601" t="s">
        <v>264</v>
      </c>
      <c r="D32" s="962">
        <v>2497</v>
      </c>
      <c r="E32" s="962">
        <v>3542</v>
      </c>
      <c r="F32" s="962">
        <v>287</v>
      </c>
      <c r="G32" s="962">
        <v>3639</v>
      </c>
      <c r="H32" s="962">
        <v>2687</v>
      </c>
      <c r="I32" s="603">
        <v>3110</v>
      </c>
      <c r="J32" s="603">
        <v>2308</v>
      </c>
      <c r="K32" s="603">
        <v>132</v>
      </c>
      <c r="L32" s="603">
        <v>18</v>
      </c>
      <c r="M32" s="603"/>
    </row>
    <row r="33" spans="1:13" s="604" customFormat="1" x14ac:dyDescent="0.25">
      <c r="A33" s="606" t="s">
        <v>72</v>
      </c>
      <c r="B33" s="602" t="s">
        <v>73</v>
      </c>
      <c r="C33" s="601" t="s">
        <v>266</v>
      </c>
      <c r="D33" s="962">
        <v>1272</v>
      </c>
      <c r="E33" s="962">
        <v>1750</v>
      </c>
      <c r="F33" s="962">
        <v>140</v>
      </c>
      <c r="G33" s="962">
        <v>1835</v>
      </c>
      <c r="H33" s="962">
        <v>1327</v>
      </c>
      <c r="I33" s="603">
        <v>771</v>
      </c>
      <c r="J33" s="603">
        <v>1651</v>
      </c>
      <c r="K33" s="603">
        <v>61</v>
      </c>
      <c r="L33" s="603">
        <v>27</v>
      </c>
      <c r="M33" s="603"/>
    </row>
    <row r="34" spans="1:13" s="604" customFormat="1" x14ac:dyDescent="0.25">
      <c r="A34" s="606" t="s">
        <v>74</v>
      </c>
      <c r="B34" s="602" t="s">
        <v>296</v>
      </c>
      <c r="C34" s="601" t="s">
        <v>267</v>
      </c>
      <c r="D34" s="962">
        <v>35402</v>
      </c>
      <c r="E34" s="962">
        <v>37691</v>
      </c>
      <c r="F34" s="962">
        <v>8254</v>
      </c>
      <c r="G34" s="962">
        <v>46688</v>
      </c>
      <c r="H34" s="962">
        <v>34661</v>
      </c>
      <c r="I34" s="603">
        <v>34111</v>
      </c>
      <c r="J34" s="603">
        <v>15220</v>
      </c>
      <c r="K34" s="603">
        <v>15757</v>
      </c>
      <c r="L34" s="603">
        <v>383</v>
      </c>
      <c r="M34" s="603"/>
    </row>
    <row r="35" spans="1:13" s="604" customFormat="1" x14ac:dyDescent="0.25">
      <c r="A35" s="606" t="s">
        <v>76</v>
      </c>
      <c r="B35" s="602" t="s">
        <v>77</v>
      </c>
      <c r="C35" s="601" t="s">
        <v>267</v>
      </c>
      <c r="D35" s="962">
        <v>2534</v>
      </c>
      <c r="E35" s="962">
        <v>3122</v>
      </c>
      <c r="F35" s="962">
        <v>268</v>
      </c>
      <c r="G35" s="962">
        <v>3355</v>
      </c>
      <c r="H35" s="962">
        <v>2569</v>
      </c>
      <c r="I35" s="603">
        <v>3487</v>
      </c>
      <c r="J35" s="603">
        <v>1332</v>
      </c>
      <c r="K35" s="603">
        <v>410</v>
      </c>
      <c r="L35" s="603">
        <v>163</v>
      </c>
      <c r="M35" s="603"/>
    </row>
    <row r="36" spans="1:13" s="604" customFormat="1" x14ac:dyDescent="0.25">
      <c r="A36" s="606" t="s">
        <v>78</v>
      </c>
      <c r="B36" s="602" t="s">
        <v>79</v>
      </c>
      <c r="C36" s="601" t="s">
        <v>268</v>
      </c>
      <c r="D36" s="962">
        <v>1025</v>
      </c>
      <c r="E36" s="962">
        <v>1450</v>
      </c>
      <c r="F36" s="962">
        <v>171</v>
      </c>
      <c r="G36" s="962">
        <v>1397</v>
      </c>
      <c r="H36" s="962">
        <v>1249</v>
      </c>
      <c r="I36" s="603">
        <v>2284</v>
      </c>
      <c r="J36" s="603">
        <v>100</v>
      </c>
      <c r="K36" s="603">
        <v>117</v>
      </c>
      <c r="L36" s="603">
        <v>12</v>
      </c>
      <c r="M36" s="603"/>
    </row>
    <row r="37" spans="1:13" s="604" customFormat="1" x14ac:dyDescent="0.25">
      <c r="A37" s="606" t="s">
        <v>80</v>
      </c>
      <c r="B37" s="602" t="s">
        <v>81</v>
      </c>
      <c r="C37" s="601" t="s">
        <v>266</v>
      </c>
      <c r="D37" s="962">
        <v>1078</v>
      </c>
      <c r="E37" s="962">
        <v>1359</v>
      </c>
      <c r="F37" s="962">
        <v>132</v>
      </c>
      <c r="G37" s="962">
        <v>1472</v>
      </c>
      <c r="H37" s="962">
        <v>1097</v>
      </c>
      <c r="I37" s="603">
        <v>1480</v>
      </c>
      <c r="J37" s="603">
        <v>768</v>
      </c>
      <c r="K37" s="603">
        <v>115</v>
      </c>
      <c r="L37" s="603">
        <v>76</v>
      </c>
      <c r="M37" s="603"/>
    </row>
    <row r="38" spans="1:13" s="604" customFormat="1" x14ac:dyDescent="0.25">
      <c r="A38" s="606" t="s">
        <v>84</v>
      </c>
      <c r="B38" s="602" t="s">
        <v>85</v>
      </c>
      <c r="C38" s="601" t="s">
        <v>265</v>
      </c>
      <c r="D38" s="962">
        <v>4126</v>
      </c>
      <c r="E38" s="962">
        <v>5978</v>
      </c>
      <c r="F38" s="962">
        <v>512</v>
      </c>
      <c r="G38" s="962">
        <v>5838</v>
      </c>
      <c r="H38" s="962">
        <v>4778</v>
      </c>
      <c r="I38" s="603">
        <v>7732</v>
      </c>
      <c r="J38" s="603">
        <v>1500</v>
      </c>
      <c r="K38" s="603">
        <v>291</v>
      </c>
      <c r="L38" s="603">
        <v>43</v>
      </c>
      <c r="M38" s="603"/>
    </row>
    <row r="39" spans="1:13" s="604" customFormat="1" x14ac:dyDescent="0.25">
      <c r="A39" s="606" t="s">
        <v>86</v>
      </c>
      <c r="B39" s="602" t="s">
        <v>87</v>
      </c>
      <c r="C39" s="601" t="s">
        <v>267</v>
      </c>
      <c r="D39" s="962">
        <v>4249</v>
      </c>
      <c r="E39" s="962">
        <v>5053</v>
      </c>
      <c r="F39" s="962">
        <v>412</v>
      </c>
      <c r="G39" s="962">
        <v>5429</v>
      </c>
      <c r="H39" s="962">
        <v>4285</v>
      </c>
      <c r="I39" s="603">
        <v>7490</v>
      </c>
      <c r="J39" s="603">
        <v>743</v>
      </c>
      <c r="K39" s="603">
        <v>340</v>
      </c>
      <c r="L39" s="603">
        <v>134</v>
      </c>
      <c r="M39" s="603"/>
    </row>
    <row r="40" spans="1:13" s="604" customFormat="1" x14ac:dyDescent="0.25">
      <c r="A40" s="606" t="s">
        <v>92</v>
      </c>
      <c r="B40" s="602" t="s">
        <v>93</v>
      </c>
      <c r="C40" s="601" t="s">
        <v>268</v>
      </c>
      <c r="D40" s="962">
        <v>1161</v>
      </c>
      <c r="E40" s="962">
        <v>1883</v>
      </c>
      <c r="F40" s="962">
        <v>194</v>
      </c>
      <c r="G40" s="962">
        <v>1777</v>
      </c>
      <c r="H40" s="962">
        <v>1461</v>
      </c>
      <c r="I40" s="603">
        <v>3005</v>
      </c>
      <c r="J40" s="603">
        <v>57</v>
      </c>
      <c r="K40" s="603">
        <v>26</v>
      </c>
      <c r="L40" s="603">
        <v>13</v>
      </c>
      <c r="M40" s="603"/>
    </row>
    <row r="41" spans="1:13" s="604" customFormat="1" x14ac:dyDescent="0.25">
      <c r="A41" s="606" t="s">
        <v>94</v>
      </c>
      <c r="B41" s="602" t="s">
        <v>95</v>
      </c>
      <c r="C41" s="601" t="s">
        <v>264</v>
      </c>
      <c r="D41" s="962">
        <v>2209</v>
      </c>
      <c r="E41" s="962">
        <v>3390</v>
      </c>
      <c r="F41" s="962">
        <v>252</v>
      </c>
      <c r="G41" s="962">
        <v>3236</v>
      </c>
      <c r="H41" s="962">
        <v>2615</v>
      </c>
      <c r="I41" s="603">
        <v>4403</v>
      </c>
      <c r="J41" s="603">
        <v>880</v>
      </c>
      <c r="K41" s="603">
        <v>156</v>
      </c>
      <c r="L41" s="603">
        <v>93</v>
      </c>
      <c r="M41" s="603"/>
    </row>
    <row r="42" spans="1:13" s="604" customFormat="1" x14ac:dyDescent="0.25">
      <c r="A42" s="606" t="s">
        <v>96</v>
      </c>
      <c r="B42" s="602" t="s">
        <v>97</v>
      </c>
      <c r="C42" s="601" t="s">
        <v>266</v>
      </c>
      <c r="D42" s="962">
        <v>705</v>
      </c>
      <c r="E42" s="962">
        <v>1033</v>
      </c>
      <c r="F42" s="962">
        <v>121</v>
      </c>
      <c r="G42" s="962">
        <v>1070</v>
      </c>
      <c r="H42" s="962">
        <v>789</v>
      </c>
      <c r="I42" s="603">
        <v>903</v>
      </c>
      <c r="J42" s="603">
        <v>746</v>
      </c>
      <c r="K42" s="603">
        <v>66</v>
      </c>
      <c r="L42" s="603">
        <v>16</v>
      </c>
      <c r="M42" s="603"/>
    </row>
    <row r="43" spans="1:13" s="604" customFormat="1" x14ac:dyDescent="0.25">
      <c r="A43" s="606" t="s">
        <v>98</v>
      </c>
      <c r="B43" s="602" t="s">
        <v>99</v>
      </c>
      <c r="C43" s="601" t="s">
        <v>268</v>
      </c>
      <c r="D43" s="962">
        <v>1360</v>
      </c>
      <c r="E43" s="962">
        <v>2110</v>
      </c>
      <c r="F43" s="962">
        <v>318</v>
      </c>
      <c r="G43" s="962">
        <v>2089</v>
      </c>
      <c r="H43" s="962">
        <v>1699</v>
      </c>
      <c r="I43" s="603">
        <v>3348</v>
      </c>
      <c r="J43" s="603">
        <v>164</v>
      </c>
      <c r="K43" s="603">
        <v>64</v>
      </c>
      <c r="L43" s="603">
        <v>2</v>
      </c>
      <c r="M43" s="603"/>
    </row>
    <row r="44" spans="1:13" s="604" customFormat="1" x14ac:dyDescent="0.25">
      <c r="A44" s="606" t="s">
        <v>100</v>
      </c>
      <c r="B44" s="602" t="s">
        <v>101</v>
      </c>
      <c r="C44" s="601" t="s">
        <v>267</v>
      </c>
      <c r="D44" s="962">
        <v>1323</v>
      </c>
      <c r="E44" s="962">
        <v>1641</v>
      </c>
      <c r="F44" s="962">
        <v>121</v>
      </c>
      <c r="G44" s="962">
        <v>1706</v>
      </c>
      <c r="H44" s="962">
        <v>1379</v>
      </c>
      <c r="I44" s="603">
        <v>2185</v>
      </c>
      <c r="J44" s="603">
        <v>475</v>
      </c>
      <c r="K44" s="603">
        <v>165</v>
      </c>
      <c r="L44" s="603">
        <v>80</v>
      </c>
      <c r="M44" s="603"/>
    </row>
    <row r="45" spans="1:13" s="604" customFormat="1" x14ac:dyDescent="0.25">
      <c r="A45" s="606" t="s">
        <v>102</v>
      </c>
      <c r="B45" s="602" t="s">
        <v>282</v>
      </c>
      <c r="C45" s="601" t="s">
        <v>264</v>
      </c>
      <c r="D45" s="962">
        <v>2313</v>
      </c>
      <c r="E45" s="962">
        <v>3106</v>
      </c>
      <c r="F45" s="962">
        <v>353</v>
      </c>
      <c r="G45" s="962">
        <v>3302</v>
      </c>
      <c r="H45" s="962">
        <v>2470</v>
      </c>
      <c r="I45" s="603">
        <v>733</v>
      </c>
      <c r="J45" s="603">
        <v>4550</v>
      </c>
      <c r="K45" s="603">
        <v>127</v>
      </c>
      <c r="L45" s="603">
        <v>13</v>
      </c>
      <c r="M45" s="603"/>
    </row>
    <row r="46" spans="1:13" s="604" customFormat="1" x14ac:dyDescent="0.25">
      <c r="A46" s="606" t="s">
        <v>104</v>
      </c>
      <c r="B46" s="602" t="s">
        <v>105</v>
      </c>
      <c r="C46" s="601" t="s">
        <v>265</v>
      </c>
      <c r="D46" s="962">
        <v>3344</v>
      </c>
      <c r="E46" s="962">
        <v>4882</v>
      </c>
      <c r="F46" s="962">
        <v>733</v>
      </c>
      <c r="G46" s="962">
        <v>5101</v>
      </c>
      <c r="H46" s="962">
        <v>3858</v>
      </c>
      <c r="I46" s="603">
        <v>3118</v>
      </c>
      <c r="J46" s="603">
        <v>4846</v>
      </c>
      <c r="K46" s="603">
        <v>192</v>
      </c>
      <c r="L46" s="603">
        <v>70</v>
      </c>
      <c r="M46" s="603"/>
    </row>
    <row r="47" spans="1:13" s="604" customFormat="1" x14ac:dyDescent="0.25">
      <c r="A47" s="606" t="s">
        <v>108</v>
      </c>
      <c r="B47" s="602" t="s">
        <v>109</v>
      </c>
      <c r="C47" s="601" t="s">
        <v>266</v>
      </c>
      <c r="D47" s="962">
        <v>3329</v>
      </c>
      <c r="E47" s="962">
        <v>4463</v>
      </c>
      <c r="F47" s="962">
        <v>369</v>
      </c>
      <c r="G47" s="962">
        <v>4653</v>
      </c>
      <c r="H47" s="962">
        <v>3508</v>
      </c>
      <c r="I47" s="603">
        <v>4702</v>
      </c>
      <c r="J47" s="603">
        <v>1959</v>
      </c>
      <c r="K47" s="603">
        <v>304</v>
      </c>
      <c r="L47" s="603">
        <v>60</v>
      </c>
      <c r="M47" s="603"/>
    </row>
    <row r="48" spans="1:13" s="604" customFormat="1" x14ac:dyDescent="0.25">
      <c r="A48" s="606" t="s">
        <v>110</v>
      </c>
      <c r="B48" s="602" t="s">
        <v>111</v>
      </c>
      <c r="C48" s="601" t="s">
        <v>266</v>
      </c>
      <c r="D48" s="962">
        <v>20976</v>
      </c>
      <c r="E48" s="962">
        <v>25303</v>
      </c>
      <c r="F48" s="962">
        <v>2090</v>
      </c>
      <c r="G48" s="962">
        <v>28310</v>
      </c>
      <c r="H48" s="962">
        <v>20059</v>
      </c>
      <c r="I48" s="603">
        <v>11268</v>
      </c>
      <c r="J48" s="603">
        <v>25465</v>
      </c>
      <c r="K48" s="603">
        <v>2936</v>
      </c>
      <c r="L48" s="603">
        <v>264</v>
      </c>
      <c r="M48" s="603"/>
    </row>
    <row r="49" spans="1:13" s="604" customFormat="1" x14ac:dyDescent="0.25">
      <c r="A49" s="606" t="s">
        <v>112</v>
      </c>
      <c r="B49" s="602" t="s">
        <v>300</v>
      </c>
      <c r="C49" s="601" t="s">
        <v>265</v>
      </c>
      <c r="D49" s="962">
        <v>8026</v>
      </c>
      <c r="E49" s="962">
        <v>12361</v>
      </c>
      <c r="F49" s="962">
        <v>1120</v>
      </c>
      <c r="G49" s="962">
        <v>11978</v>
      </c>
      <c r="H49" s="962">
        <v>9529</v>
      </c>
      <c r="I49" s="603">
        <v>10507</v>
      </c>
      <c r="J49" s="603">
        <v>7541</v>
      </c>
      <c r="K49" s="603">
        <v>268</v>
      </c>
      <c r="L49" s="603">
        <v>94</v>
      </c>
      <c r="M49" s="603"/>
    </row>
    <row r="50" spans="1:13" s="604" customFormat="1" x14ac:dyDescent="0.25">
      <c r="A50" s="606" t="s">
        <v>114</v>
      </c>
      <c r="B50" s="602" t="s">
        <v>115</v>
      </c>
      <c r="C50" s="601" t="s">
        <v>265</v>
      </c>
      <c r="D50" s="962">
        <v>77</v>
      </c>
      <c r="E50" s="962">
        <v>127</v>
      </c>
      <c r="F50" s="962">
        <v>17</v>
      </c>
      <c r="G50" s="962">
        <v>132</v>
      </c>
      <c r="H50" s="962">
        <v>89</v>
      </c>
      <c r="I50" s="603">
        <v>170</v>
      </c>
      <c r="J50" s="603">
        <v>0</v>
      </c>
      <c r="K50" s="603">
        <v>0</v>
      </c>
      <c r="L50" s="603">
        <v>0</v>
      </c>
      <c r="M50" s="603"/>
    </row>
    <row r="51" spans="1:13" s="604" customFormat="1" x14ac:dyDescent="0.25">
      <c r="A51" s="606" t="s">
        <v>118</v>
      </c>
      <c r="B51" s="602" t="s">
        <v>270</v>
      </c>
      <c r="C51" s="601" t="s">
        <v>264</v>
      </c>
      <c r="D51" s="962">
        <v>2209</v>
      </c>
      <c r="E51" s="962">
        <v>3086</v>
      </c>
      <c r="F51" s="962">
        <v>303</v>
      </c>
      <c r="G51" s="962">
        <v>3196</v>
      </c>
      <c r="H51" s="962">
        <v>2402</v>
      </c>
      <c r="I51" s="603">
        <v>2203</v>
      </c>
      <c r="J51" s="603">
        <v>2626</v>
      </c>
      <c r="K51" s="603">
        <v>134</v>
      </c>
      <c r="L51" s="603">
        <v>79</v>
      </c>
      <c r="M51" s="603"/>
    </row>
    <row r="52" spans="1:13" s="604" customFormat="1" x14ac:dyDescent="0.25">
      <c r="A52" s="606" t="s">
        <v>120</v>
      </c>
      <c r="B52" s="602" t="s">
        <v>121</v>
      </c>
      <c r="C52" s="601" t="s">
        <v>264</v>
      </c>
      <c r="D52" s="962">
        <v>3114</v>
      </c>
      <c r="E52" s="962">
        <v>3702</v>
      </c>
      <c r="F52" s="962">
        <v>242</v>
      </c>
      <c r="G52" s="962">
        <v>4127</v>
      </c>
      <c r="H52" s="962">
        <v>2931</v>
      </c>
      <c r="I52" s="603">
        <v>3162</v>
      </c>
      <c r="J52" s="603">
        <v>2725</v>
      </c>
      <c r="K52" s="603">
        <v>379</v>
      </c>
      <c r="L52" s="603">
        <v>172</v>
      </c>
      <c r="M52" s="603"/>
    </row>
    <row r="53" spans="1:13" s="604" customFormat="1" x14ac:dyDescent="0.25">
      <c r="A53" s="606" t="s">
        <v>122</v>
      </c>
      <c r="B53" s="602" t="s">
        <v>287</v>
      </c>
      <c r="C53" s="601" t="s">
        <v>266</v>
      </c>
      <c r="D53" s="962">
        <v>666</v>
      </c>
      <c r="E53" s="962">
        <v>938</v>
      </c>
      <c r="F53" s="962">
        <v>101</v>
      </c>
      <c r="G53" s="962">
        <v>974</v>
      </c>
      <c r="H53" s="962">
        <v>731</v>
      </c>
      <c r="I53" s="603">
        <v>815</v>
      </c>
      <c r="J53" s="603">
        <v>687</v>
      </c>
      <c r="K53" s="603">
        <v>67</v>
      </c>
      <c r="L53" s="603">
        <v>47</v>
      </c>
      <c r="M53" s="603"/>
    </row>
    <row r="54" spans="1:13" s="604" customFormat="1" x14ac:dyDescent="0.25">
      <c r="A54" s="606" t="s">
        <v>124</v>
      </c>
      <c r="B54" s="602" t="s">
        <v>125</v>
      </c>
      <c r="C54" s="601" t="s">
        <v>267</v>
      </c>
      <c r="D54" s="962">
        <v>1782</v>
      </c>
      <c r="E54" s="962">
        <v>2158</v>
      </c>
      <c r="F54" s="962">
        <v>151</v>
      </c>
      <c r="G54" s="962">
        <v>2320</v>
      </c>
      <c r="H54" s="962">
        <v>1771</v>
      </c>
      <c r="I54" s="603">
        <v>2041</v>
      </c>
      <c r="J54" s="603">
        <v>1479</v>
      </c>
      <c r="K54" s="603">
        <v>174</v>
      </c>
      <c r="L54" s="603">
        <v>118</v>
      </c>
      <c r="M54" s="603"/>
    </row>
    <row r="55" spans="1:13" s="604" customFormat="1" x14ac:dyDescent="0.25">
      <c r="A55" s="606" t="s">
        <v>126</v>
      </c>
      <c r="B55" s="602" t="s">
        <v>127</v>
      </c>
      <c r="C55" s="601" t="s">
        <v>266</v>
      </c>
      <c r="D55" s="962">
        <v>1051</v>
      </c>
      <c r="E55" s="962">
        <v>1305</v>
      </c>
      <c r="F55" s="962">
        <v>141</v>
      </c>
      <c r="G55" s="962">
        <v>1435</v>
      </c>
      <c r="H55" s="962">
        <v>1062</v>
      </c>
      <c r="I55" s="603">
        <v>1240</v>
      </c>
      <c r="J55" s="603">
        <v>921</v>
      </c>
      <c r="K55" s="603">
        <v>89</v>
      </c>
      <c r="L55" s="603">
        <v>21</v>
      </c>
      <c r="M55" s="603"/>
    </row>
    <row r="56" spans="1:13" s="604" customFormat="1" x14ac:dyDescent="0.25">
      <c r="A56" s="606" t="s">
        <v>128</v>
      </c>
      <c r="B56" s="602" t="s">
        <v>129</v>
      </c>
      <c r="C56" s="601" t="s">
        <v>266</v>
      </c>
      <c r="D56" s="962">
        <v>871</v>
      </c>
      <c r="E56" s="962">
        <v>1195</v>
      </c>
      <c r="F56" s="962">
        <v>167</v>
      </c>
      <c r="G56" s="962">
        <v>1284</v>
      </c>
      <c r="H56" s="962">
        <v>949</v>
      </c>
      <c r="I56" s="603">
        <v>649</v>
      </c>
      <c r="J56" s="603">
        <v>1485</v>
      </c>
      <c r="K56" s="603">
        <v>73</v>
      </c>
      <c r="L56" s="603">
        <v>58</v>
      </c>
      <c r="M56" s="603"/>
    </row>
    <row r="57" spans="1:13" s="604" customFormat="1" x14ac:dyDescent="0.25">
      <c r="A57" s="606" t="s">
        <v>130</v>
      </c>
      <c r="B57" s="602" t="s">
        <v>131</v>
      </c>
      <c r="C57" s="601" t="s">
        <v>268</v>
      </c>
      <c r="D57" s="962">
        <v>2472</v>
      </c>
      <c r="E57" s="962">
        <v>4650</v>
      </c>
      <c r="F57" s="962">
        <v>586</v>
      </c>
      <c r="G57" s="962">
        <v>4179</v>
      </c>
      <c r="H57" s="962">
        <v>3529</v>
      </c>
      <c r="I57" s="603">
        <v>7340</v>
      </c>
      <c r="J57" s="603">
        <v>45</v>
      </c>
      <c r="K57" s="603">
        <v>25</v>
      </c>
      <c r="L57" s="603">
        <v>1</v>
      </c>
      <c r="M57" s="603"/>
    </row>
    <row r="58" spans="1:13" s="604" customFormat="1" x14ac:dyDescent="0.25">
      <c r="A58" s="606" t="s">
        <v>132</v>
      </c>
      <c r="B58" s="602" t="s">
        <v>133</v>
      </c>
      <c r="C58" s="601" t="s">
        <v>267</v>
      </c>
      <c r="D58" s="962">
        <v>7013</v>
      </c>
      <c r="E58" s="962">
        <v>7327</v>
      </c>
      <c r="F58" s="962">
        <v>1423</v>
      </c>
      <c r="G58" s="962">
        <v>9149</v>
      </c>
      <c r="H58" s="962">
        <v>6615</v>
      </c>
      <c r="I58" s="603">
        <v>6665</v>
      </c>
      <c r="J58" s="603">
        <v>2475</v>
      </c>
      <c r="K58" s="603">
        <v>2734</v>
      </c>
      <c r="L58" s="603">
        <v>69</v>
      </c>
      <c r="M58" s="603"/>
    </row>
    <row r="59" spans="1:13" s="604" customFormat="1" x14ac:dyDescent="0.25">
      <c r="A59" s="606" t="s">
        <v>134</v>
      </c>
      <c r="B59" s="602" t="s">
        <v>135</v>
      </c>
      <c r="C59" s="601" t="s">
        <v>267</v>
      </c>
      <c r="D59" s="962">
        <v>2476</v>
      </c>
      <c r="E59" s="962">
        <v>3536</v>
      </c>
      <c r="F59" s="962">
        <v>359</v>
      </c>
      <c r="G59" s="962">
        <v>3551</v>
      </c>
      <c r="H59" s="962">
        <v>2820</v>
      </c>
      <c r="I59" s="603">
        <v>3723</v>
      </c>
      <c r="J59" s="603">
        <v>1660</v>
      </c>
      <c r="K59" s="603">
        <v>166</v>
      </c>
      <c r="L59" s="603">
        <v>83</v>
      </c>
      <c r="M59" s="603"/>
    </row>
    <row r="60" spans="1:13" s="604" customFormat="1" x14ac:dyDescent="0.25">
      <c r="A60" s="606" t="s">
        <v>136</v>
      </c>
      <c r="B60" s="602" t="s">
        <v>137</v>
      </c>
      <c r="C60" s="601" t="s">
        <v>266</v>
      </c>
      <c r="D60" s="962">
        <v>1286</v>
      </c>
      <c r="E60" s="962">
        <v>1832</v>
      </c>
      <c r="F60" s="962">
        <v>256</v>
      </c>
      <c r="G60" s="962">
        <v>1904</v>
      </c>
      <c r="H60" s="962">
        <v>1470</v>
      </c>
      <c r="I60" s="603">
        <v>1374</v>
      </c>
      <c r="J60" s="603">
        <v>1569</v>
      </c>
      <c r="K60" s="603">
        <v>304</v>
      </c>
      <c r="L60" s="603">
        <v>43</v>
      </c>
      <c r="M60" s="603"/>
    </row>
    <row r="61" spans="1:13" s="604" customFormat="1" x14ac:dyDescent="0.25">
      <c r="A61" s="606" t="s">
        <v>140</v>
      </c>
      <c r="B61" s="602" t="s">
        <v>141</v>
      </c>
      <c r="C61" s="601" t="s">
        <v>267</v>
      </c>
      <c r="D61" s="962">
        <v>920</v>
      </c>
      <c r="E61" s="962">
        <v>1252</v>
      </c>
      <c r="F61" s="962">
        <v>137</v>
      </c>
      <c r="G61" s="962">
        <v>1284</v>
      </c>
      <c r="H61" s="962">
        <v>1025</v>
      </c>
      <c r="I61" s="603">
        <v>1631</v>
      </c>
      <c r="J61" s="603">
        <v>392</v>
      </c>
      <c r="K61" s="603">
        <v>49</v>
      </c>
      <c r="L61" s="603">
        <v>5</v>
      </c>
      <c r="M61" s="603"/>
    </row>
    <row r="62" spans="1:13" s="604" customFormat="1" x14ac:dyDescent="0.25">
      <c r="A62" s="606" t="s">
        <v>146</v>
      </c>
      <c r="B62" s="602" t="s">
        <v>147</v>
      </c>
      <c r="C62" s="601" t="s">
        <v>264</v>
      </c>
      <c r="D62" s="962">
        <v>468</v>
      </c>
      <c r="E62" s="962">
        <v>796</v>
      </c>
      <c r="F62" s="962">
        <v>96</v>
      </c>
      <c r="G62" s="962">
        <v>779</v>
      </c>
      <c r="H62" s="962">
        <v>581</v>
      </c>
      <c r="I62" s="603">
        <v>970</v>
      </c>
      <c r="J62" s="603">
        <v>266</v>
      </c>
      <c r="K62" s="603">
        <v>25</v>
      </c>
      <c r="L62" s="603">
        <v>16</v>
      </c>
      <c r="M62" s="603"/>
    </row>
    <row r="63" spans="1:13" s="604" customFormat="1" x14ac:dyDescent="0.25">
      <c r="A63" s="606" t="s">
        <v>148</v>
      </c>
      <c r="B63" s="602" t="s">
        <v>149</v>
      </c>
      <c r="C63" s="601" t="s">
        <v>265</v>
      </c>
      <c r="D63" s="962">
        <v>2764</v>
      </c>
      <c r="E63" s="962">
        <v>3951</v>
      </c>
      <c r="F63" s="962">
        <v>488</v>
      </c>
      <c r="G63" s="962">
        <v>4109</v>
      </c>
      <c r="H63" s="962">
        <v>3094</v>
      </c>
      <c r="I63" s="603">
        <v>2567</v>
      </c>
      <c r="J63" s="603">
        <v>4208</v>
      </c>
      <c r="K63" s="603">
        <v>106</v>
      </c>
      <c r="L63" s="603">
        <v>31</v>
      </c>
      <c r="M63" s="603"/>
    </row>
    <row r="64" spans="1:13" s="604" customFormat="1" x14ac:dyDescent="0.25">
      <c r="A64" s="606" t="s">
        <v>150</v>
      </c>
      <c r="B64" s="602" t="s">
        <v>151</v>
      </c>
      <c r="C64" s="601" t="s">
        <v>266</v>
      </c>
      <c r="D64" s="962">
        <v>816</v>
      </c>
      <c r="E64" s="962">
        <v>1259</v>
      </c>
      <c r="F64" s="962">
        <v>129</v>
      </c>
      <c r="G64" s="962">
        <v>1213</v>
      </c>
      <c r="H64" s="962">
        <v>991</v>
      </c>
      <c r="I64" s="603">
        <v>1328</v>
      </c>
      <c r="J64" s="603">
        <v>700</v>
      </c>
      <c r="K64" s="603">
        <v>32</v>
      </c>
      <c r="L64" s="603">
        <v>14</v>
      </c>
      <c r="M64" s="603"/>
    </row>
    <row r="65" spans="1:13" s="604" customFormat="1" x14ac:dyDescent="0.25">
      <c r="A65" s="606" t="s">
        <v>152</v>
      </c>
      <c r="B65" s="602" t="s">
        <v>153</v>
      </c>
      <c r="C65" s="601" t="s">
        <v>268</v>
      </c>
      <c r="D65" s="962">
        <v>3995</v>
      </c>
      <c r="E65" s="962">
        <v>5943</v>
      </c>
      <c r="F65" s="962">
        <v>443</v>
      </c>
      <c r="G65" s="962">
        <v>5797</v>
      </c>
      <c r="H65" s="962">
        <v>4584</v>
      </c>
      <c r="I65" s="603">
        <v>7884</v>
      </c>
      <c r="J65" s="603">
        <v>876</v>
      </c>
      <c r="K65" s="603">
        <v>294</v>
      </c>
      <c r="L65" s="603">
        <v>117</v>
      </c>
      <c r="M65" s="603"/>
    </row>
    <row r="66" spans="1:13" s="604" customFormat="1" x14ac:dyDescent="0.25">
      <c r="A66" s="606" t="s">
        <v>154</v>
      </c>
      <c r="B66" s="602" t="s">
        <v>155</v>
      </c>
      <c r="C66" s="601" t="s">
        <v>265</v>
      </c>
      <c r="D66" s="962">
        <v>1127</v>
      </c>
      <c r="E66" s="962">
        <v>1667</v>
      </c>
      <c r="F66" s="962">
        <v>252</v>
      </c>
      <c r="G66" s="962">
        <v>1654</v>
      </c>
      <c r="H66" s="962">
        <v>1392</v>
      </c>
      <c r="I66" s="603">
        <v>1819</v>
      </c>
      <c r="J66" s="603">
        <v>581</v>
      </c>
      <c r="K66" s="603">
        <v>78</v>
      </c>
      <c r="L66" s="603">
        <v>16</v>
      </c>
      <c r="M66" s="603"/>
    </row>
    <row r="67" spans="1:13" s="604" customFormat="1" x14ac:dyDescent="0.25">
      <c r="A67" s="606" t="s">
        <v>156</v>
      </c>
      <c r="B67" s="602" t="s">
        <v>157</v>
      </c>
      <c r="C67" s="601" t="s">
        <v>266</v>
      </c>
      <c r="D67" s="962">
        <v>817</v>
      </c>
      <c r="E67" s="962">
        <v>1052</v>
      </c>
      <c r="F67" s="962">
        <v>67</v>
      </c>
      <c r="G67" s="962">
        <v>1086</v>
      </c>
      <c r="H67" s="962">
        <v>850</v>
      </c>
      <c r="I67" s="603">
        <v>1262</v>
      </c>
      <c r="J67" s="603">
        <v>357</v>
      </c>
      <c r="K67" s="603">
        <v>70</v>
      </c>
      <c r="L67" s="603">
        <v>21</v>
      </c>
      <c r="M67" s="603"/>
    </row>
    <row r="68" spans="1:13" s="604" customFormat="1" x14ac:dyDescent="0.25">
      <c r="A68" s="606" t="s">
        <v>162</v>
      </c>
      <c r="B68" s="602" t="s">
        <v>163</v>
      </c>
      <c r="C68" s="601" t="s">
        <v>264</v>
      </c>
      <c r="D68" s="962">
        <v>1413</v>
      </c>
      <c r="E68" s="962">
        <v>1985</v>
      </c>
      <c r="F68" s="962">
        <v>388</v>
      </c>
      <c r="G68" s="962">
        <v>2170</v>
      </c>
      <c r="H68" s="962">
        <v>1616</v>
      </c>
      <c r="I68" s="603">
        <v>1204</v>
      </c>
      <c r="J68" s="603">
        <v>2309</v>
      </c>
      <c r="K68" s="603">
        <v>44</v>
      </c>
      <c r="L68" s="603">
        <v>7</v>
      </c>
      <c r="M68" s="603"/>
    </row>
    <row r="69" spans="1:13" s="604" customFormat="1" x14ac:dyDescent="0.25">
      <c r="A69" s="606" t="s">
        <v>164</v>
      </c>
      <c r="B69" s="602" t="s">
        <v>165</v>
      </c>
      <c r="C69" s="601" t="s">
        <v>266</v>
      </c>
      <c r="D69" s="962">
        <v>941</v>
      </c>
      <c r="E69" s="962">
        <v>1347</v>
      </c>
      <c r="F69" s="962">
        <v>173</v>
      </c>
      <c r="G69" s="962">
        <v>1379</v>
      </c>
      <c r="H69" s="962">
        <v>1082</v>
      </c>
      <c r="I69" s="603">
        <v>920</v>
      </c>
      <c r="J69" s="603">
        <v>1282</v>
      </c>
      <c r="K69" s="603">
        <v>110</v>
      </c>
      <c r="L69" s="603">
        <v>31</v>
      </c>
      <c r="M69" s="603"/>
    </row>
    <row r="70" spans="1:13" s="604" customFormat="1" x14ac:dyDescent="0.25">
      <c r="A70" s="606" t="s">
        <v>168</v>
      </c>
      <c r="B70" s="602" t="s">
        <v>169</v>
      </c>
      <c r="C70" s="601" t="s">
        <v>266</v>
      </c>
      <c r="D70" s="962">
        <v>1853</v>
      </c>
      <c r="E70" s="962">
        <v>2544</v>
      </c>
      <c r="F70" s="962">
        <v>285</v>
      </c>
      <c r="G70" s="962">
        <v>2614</v>
      </c>
      <c r="H70" s="962">
        <v>2068</v>
      </c>
      <c r="I70" s="603">
        <v>1803</v>
      </c>
      <c r="J70" s="603">
        <v>2421</v>
      </c>
      <c r="K70" s="603">
        <v>183</v>
      </c>
      <c r="L70" s="603">
        <v>32</v>
      </c>
      <c r="M70" s="603"/>
    </row>
    <row r="71" spans="1:13" s="604" customFormat="1" x14ac:dyDescent="0.25">
      <c r="A71" s="606" t="s">
        <v>170</v>
      </c>
      <c r="B71" s="602" t="s">
        <v>171</v>
      </c>
      <c r="C71" s="601" t="s">
        <v>267</v>
      </c>
      <c r="D71" s="962">
        <v>2056</v>
      </c>
      <c r="E71" s="962">
        <v>2674</v>
      </c>
      <c r="F71" s="962">
        <v>239</v>
      </c>
      <c r="G71" s="962">
        <v>2860</v>
      </c>
      <c r="H71" s="962">
        <v>2109</v>
      </c>
      <c r="I71" s="603">
        <v>2886</v>
      </c>
      <c r="J71" s="603">
        <v>1256</v>
      </c>
      <c r="K71" s="603">
        <v>178</v>
      </c>
      <c r="L71" s="603">
        <v>82</v>
      </c>
      <c r="M71" s="603"/>
    </row>
    <row r="72" spans="1:13" s="604" customFormat="1" x14ac:dyDescent="0.25">
      <c r="A72" s="606" t="s">
        <v>172</v>
      </c>
      <c r="B72" s="602" t="s">
        <v>173</v>
      </c>
      <c r="C72" s="601" t="s">
        <v>267</v>
      </c>
      <c r="D72" s="962">
        <v>2044</v>
      </c>
      <c r="E72" s="962">
        <v>2961</v>
      </c>
      <c r="F72" s="962">
        <v>298</v>
      </c>
      <c r="G72" s="962">
        <v>2924</v>
      </c>
      <c r="H72" s="962">
        <v>2379</v>
      </c>
      <c r="I72" s="603">
        <v>4729</v>
      </c>
      <c r="J72" s="603">
        <v>162</v>
      </c>
      <c r="K72" s="603">
        <v>50</v>
      </c>
      <c r="L72" s="603">
        <v>14</v>
      </c>
      <c r="M72" s="603"/>
    </row>
    <row r="73" spans="1:13" s="604" customFormat="1" x14ac:dyDescent="0.25">
      <c r="A73" s="606" t="s">
        <v>174</v>
      </c>
      <c r="B73" s="602" t="s">
        <v>175</v>
      </c>
      <c r="C73" s="601" t="s">
        <v>268</v>
      </c>
      <c r="D73" s="962">
        <v>1497</v>
      </c>
      <c r="E73" s="962">
        <v>2452</v>
      </c>
      <c r="F73" s="962">
        <v>315</v>
      </c>
      <c r="G73" s="962">
        <v>2288</v>
      </c>
      <c r="H73" s="962">
        <v>1976</v>
      </c>
      <c r="I73" s="603">
        <v>3598</v>
      </c>
      <c r="J73" s="603">
        <v>350</v>
      </c>
      <c r="K73" s="603">
        <v>131</v>
      </c>
      <c r="L73" s="603">
        <v>31</v>
      </c>
      <c r="M73" s="603"/>
    </row>
    <row r="74" spans="1:13" s="604" customFormat="1" x14ac:dyDescent="0.25">
      <c r="A74" s="606" t="s">
        <v>178</v>
      </c>
      <c r="B74" s="602" t="s">
        <v>179</v>
      </c>
      <c r="C74" s="601" t="s">
        <v>265</v>
      </c>
      <c r="D74" s="962">
        <v>5163</v>
      </c>
      <c r="E74" s="962">
        <v>7503</v>
      </c>
      <c r="F74" s="962">
        <v>918</v>
      </c>
      <c r="G74" s="962">
        <v>7626</v>
      </c>
      <c r="H74" s="962">
        <v>5958</v>
      </c>
      <c r="I74" s="603">
        <v>7416</v>
      </c>
      <c r="J74" s="603">
        <v>4198</v>
      </c>
      <c r="K74" s="603">
        <v>404</v>
      </c>
      <c r="L74" s="603">
        <v>89</v>
      </c>
      <c r="M74" s="603"/>
    </row>
    <row r="75" spans="1:13" s="604" customFormat="1" x14ac:dyDescent="0.25">
      <c r="A75" s="606" t="s">
        <v>182</v>
      </c>
      <c r="B75" s="602" t="s">
        <v>183</v>
      </c>
      <c r="C75" s="601" t="s">
        <v>266</v>
      </c>
      <c r="D75" s="962">
        <v>806</v>
      </c>
      <c r="E75" s="962">
        <v>1107</v>
      </c>
      <c r="F75" s="962">
        <v>123</v>
      </c>
      <c r="G75" s="962">
        <v>1158</v>
      </c>
      <c r="H75" s="962">
        <v>878</v>
      </c>
      <c r="I75" s="603">
        <v>1329</v>
      </c>
      <c r="J75" s="603">
        <v>327</v>
      </c>
      <c r="K75" s="603">
        <v>45</v>
      </c>
      <c r="L75" s="603">
        <v>9</v>
      </c>
      <c r="M75" s="603"/>
    </row>
    <row r="76" spans="1:13" s="604" customFormat="1" x14ac:dyDescent="0.25">
      <c r="A76" s="606" t="s">
        <v>184</v>
      </c>
      <c r="B76" s="602" t="s">
        <v>185</v>
      </c>
      <c r="C76" s="601" t="s">
        <v>266</v>
      </c>
      <c r="D76" s="962">
        <v>1853</v>
      </c>
      <c r="E76" s="962">
        <v>2696</v>
      </c>
      <c r="F76" s="962">
        <v>320</v>
      </c>
      <c r="G76" s="962">
        <v>2753</v>
      </c>
      <c r="H76" s="962">
        <v>2116</v>
      </c>
      <c r="I76" s="603">
        <v>1682</v>
      </c>
      <c r="J76" s="603">
        <v>2836</v>
      </c>
      <c r="K76" s="603">
        <v>109</v>
      </c>
      <c r="L76" s="603">
        <v>67</v>
      </c>
      <c r="M76" s="603"/>
    </row>
    <row r="77" spans="1:13" s="604" customFormat="1" x14ac:dyDescent="0.25">
      <c r="A77" s="606" t="s">
        <v>186</v>
      </c>
      <c r="B77" s="602" t="s">
        <v>187</v>
      </c>
      <c r="C77" s="601" t="s">
        <v>264</v>
      </c>
      <c r="D77" s="962">
        <v>2055</v>
      </c>
      <c r="E77" s="962">
        <v>2510</v>
      </c>
      <c r="F77" s="962">
        <v>120</v>
      </c>
      <c r="G77" s="962">
        <v>2730</v>
      </c>
      <c r="H77" s="962">
        <v>1955</v>
      </c>
      <c r="I77" s="603">
        <v>2214</v>
      </c>
      <c r="J77" s="603">
        <v>1922</v>
      </c>
      <c r="K77" s="603">
        <v>139</v>
      </c>
      <c r="L77" s="603">
        <v>40</v>
      </c>
      <c r="M77" s="603"/>
    </row>
    <row r="78" spans="1:13" s="604" customFormat="1" x14ac:dyDescent="0.25">
      <c r="A78" s="606" t="s">
        <v>188</v>
      </c>
      <c r="B78" s="602" t="s">
        <v>189</v>
      </c>
      <c r="C78" s="601" t="s">
        <v>267</v>
      </c>
      <c r="D78" s="962">
        <v>22427</v>
      </c>
      <c r="E78" s="962">
        <v>22350</v>
      </c>
      <c r="F78" s="962">
        <v>2121</v>
      </c>
      <c r="G78" s="962">
        <v>27132</v>
      </c>
      <c r="H78" s="962">
        <v>19767</v>
      </c>
      <c r="I78" s="603">
        <v>20332</v>
      </c>
      <c r="J78" s="603">
        <v>14366</v>
      </c>
      <c r="K78" s="603">
        <v>5170</v>
      </c>
      <c r="L78" s="603">
        <v>613</v>
      </c>
      <c r="M78" s="603"/>
    </row>
    <row r="79" spans="1:13" s="604" customFormat="1" x14ac:dyDescent="0.25">
      <c r="A79" s="606" t="s">
        <v>190</v>
      </c>
      <c r="B79" s="602" t="s">
        <v>191</v>
      </c>
      <c r="C79" s="601" t="s">
        <v>268</v>
      </c>
      <c r="D79" s="962">
        <v>2707</v>
      </c>
      <c r="E79" s="962">
        <v>4606</v>
      </c>
      <c r="F79" s="962">
        <v>451</v>
      </c>
      <c r="G79" s="962">
        <v>4284</v>
      </c>
      <c r="H79" s="962">
        <v>3480</v>
      </c>
      <c r="I79" s="603">
        <v>6520</v>
      </c>
      <c r="J79" s="603">
        <v>752</v>
      </c>
      <c r="K79" s="603">
        <v>216</v>
      </c>
      <c r="L79" s="603">
        <v>89</v>
      </c>
      <c r="M79" s="603"/>
    </row>
    <row r="80" spans="1:13" s="604" customFormat="1" x14ac:dyDescent="0.25">
      <c r="A80" s="606" t="s">
        <v>194</v>
      </c>
      <c r="B80" s="602" t="s">
        <v>195</v>
      </c>
      <c r="C80" s="601" t="s">
        <v>267</v>
      </c>
      <c r="D80" s="962">
        <v>268</v>
      </c>
      <c r="E80" s="962">
        <v>332</v>
      </c>
      <c r="F80" s="962">
        <v>48</v>
      </c>
      <c r="G80" s="962">
        <v>373</v>
      </c>
      <c r="H80" s="962">
        <v>275</v>
      </c>
      <c r="I80" s="603">
        <v>524</v>
      </c>
      <c r="J80" s="603">
        <v>78</v>
      </c>
      <c r="K80" s="603">
        <v>16</v>
      </c>
      <c r="L80" s="603">
        <v>4</v>
      </c>
      <c r="M80" s="603"/>
    </row>
    <row r="81" spans="1:13" s="604" customFormat="1" x14ac:dyDescent="0.25">
      <c r="A81" s="606" t="s">
        <v>198</v>
      </c>
      <c r="B81" s="602" t="s">
        <v>272</v>
      </c>
      <c r="C81" s="601" t="s">
        <v>266</v>
      </c>
      <c r="D81" s="962">
        <v>788</v>
      </c>
      <c r="E81" s="962">
        <v>1190</v>
      </c>
      <c r="F81" s="962">
        <v>142</v>
      </c>
      <c r="G81" s="962">
        <v>1179</v>
      </c>
      <c r="H81" s="962">
        <v>941</v>
      </c>
      <c r="I81" s="603">
        <v>863</v>
      </c>
      <c r="J81" s="603">
        <v>975</v>
      </c>
      <c r="K81" s="603">
        <v>128</v>
      </c>
      <c r="L81" s="603">
        <v>23</v>
      </c>
      <c r="M81" s="603"/>
    </row>
    <row r="82" spans="1:13" s="604" customFormat="1" x14ac:dyDescent="0.25">
      <c r="A82" s="606" t="s">
        <v>202</v>
      </c>
      <c r="B82" s="602" t="s">
        <v>301</v>
      </c>
      <c r="C82" s="601" t="s">
        <v>265</v>
      </c>
      <c r="D82" s="962">
        <v>5166</v>
      </c>
      <c r="E82" s="962">
        <v>6637</v>
      </c>
      <c r="F82" s="962">
        <v>632</v>
      </c>
      <c r="G82" s="962">
        <v>7064</v>
      </c>
      <c r="H82" s="962">
        <v>5372</v>
      </c>
      <c r="I82" s="603">
        <v>8334</v>
      </c>
      <c r="J82" s="603">
        <v>1940</v>
      </c>
      <c r="K82" s="603">
        <v>630</v>
      </c>
      <c r="L82" s="603">
        <v>249</v>
      </c>
      <c r="M82" s="603"/>
    </row>
    <row r="83" spans="1:13" s="604" customFormat="1" x14ac:dyDescent="0.25">
      <c r="A83" s="606" t="s">
        <v>204</v>
      </c>
      <c r="B83" s="602" t="s">
        <v>293</v>
      </c>
      <c r="C83" s="601" t="s">
        <v>265</v>
      </c>
      <c r="D83" s="962">
        <v>2243</v>
      </c>
      <c r="E83" s="962">
        <v>3136</v>
      </c>
      <c r="F83" s="962">
        <v>385</v>
      </c>
      <c r="G83" s="962">
        <v>3304</v>
      </c>
      <c r="H83" s="962">
        <v>2460</v>
      </c>
      <c r="I83" s="603">
        <v>4772</v>
      </c>
      <c r="J83" s="603">
        <v>434</v>
      </c>
      <c r="K83" s="603">
        <v>92</v>
      </c>
      <c r="L83" s="603">
        <v>24</v>
      </c>
      <c r="M83" s="603"/>
    </row>
    <row r="84" spans="1:13" s="604" customFormat="1" x14ac:dyDescent="0.25">
      <c r="A84" s="606" t="s">
        <v>206</v>
      </c>
      <c r="B84" s="602" t="s">
        <v>294</v>
      </c>
      <c r="C84" s="601" t="s">
        <v>267</v>
      </c>
      <c r="D84" s="962">
        <v>7502</v>
      </c>
      <c r="E84" s="962">
        <v>9083</v>
      </c>
      <c r="F84" s="962">
        <v>731</v>
      </c>
      <c r="G84" s="962">
        <v>9667</v>
      </c>
      <c r="H84" s="962">
        <v>7649</v>
      </c>
      <c r="I84" s="603">
        <v>11072</v>
      </c>
      <c r="J84" s="603">
        <v>1439</v>
      </c>
      <c r="K84" s="603">
        <v>1469</v>
      </c>
      <c r="L84" s="603">
        <v>105</v>
      </c>
      <c r="M84" s="603"/>
    </row>
    <row r="85" spans="1:13" s="604" customFormat="1" x14ac:dyDescent="0.25">
      <c r="A85" s="606" t="s">
        <v>208</v>
      </c>
      <c r="B85" s="602" t="s">
        <v>209</v>
      </c>
      <c r="C85" s="601" t="s">
        <v>268</v>
      </c>
      <c r="D85" s="962">
        <v>2778</v>
      </c>
      <c r="E85" s="962">
        <v>4703</v>
      </c>
      <c r="F85" s="962">
        <v>453</v>
      </c>
      <c r="G85" s="962">
        <v>4377</v>
      </c>
      <c r="H85" s="962">
        <v>3557</v>
      </c>
      <c r="I85" s="603">
        <v>6914</v>
      </c>
      <c r="J85" s="603">
        <v>66</v>
      </c>
      <c r="K85" s="603">
        <v>13</v>
      </c>
      <c r="L85" s="603">
        <v>6</v>
      </c>
      <c r="M85" s="603"/>
    </row>
    <row r="86" spans="1:13" s="604" customFormat="1" x14ac:dyDescent="0.25">
      <c r="A86" s="606" t="s">
        <v>210</v>
      </c>
      <c r="B86" s="602" t="s">
        <v>211</v>
      </c>
      <c r="C86" s="601" t="s">
        <v>268</v>
      </c>
      <c r="D86" s="962">
        <v>1824</v>
      </c>
      <c r="E86" s="962">
        <v>2945</v>
      </c>
      <c r="F86" s="962">
        <v>403</v>
      </c>
      <c r="G86" s="962">
        <v>2784</v>
      </c>
      <c r="H86" s="962">
        <v>2388</v>
      </c>
      <c r="I86" s="603">
        <v>4745</v>
      </c>
      <c r="J86" s="603">
        <v>90</v>
      </c>
      <c r="K86" s="603">
        <v>56</v>
      </c>
      <c r="L86" s="603">
        <v>2</v>
      </c>
      <c r="M86" s="603"/>
    </row>
    <row r="87" spans="1:13" s="604" customFormat="1" x14ac:dyDescent="0.25">
      <c r="A87" s="606" t="s">
        <v>212</v>
      </c>
      <c r="B87" s="602" t="s">
        <v>213</v>
      </c>
      <c r="C87" s="601" t="s">
        <v>267</v>
      </c>
      <c r="D87" s="962">
        <v>3178</v>
      </c>
      <c r="E87" s="962">
        <v>4104</v>
      </c>
      <c r="F87" s="962">
        <v>324</v>
      </c>
      <c r="G87" s="962">
        <v>4244</v>
      </c>
      <c r="H87" s="962">
        <v>3362</v>
      </c>
      <c r="I87" s="603">
        <v>6075</v>
      </c>
      <c r="J87" s="603">
        <v>344</v>
      </c>
      <c r="K87" s="603">
        <v>580</v>
      </c>
      <c r="L87" s="603">
        <v>26</v>
      </c>
      <c r="M87" s="603"/>
    </row>
    <row r="88" spans="1:13" s="604" customFormat="1" x14ac:dyDescent="0.25">
      <c r="A88" s="606" t="s">
        <v>214</v>
      </c>
      <c r="B88" s="602" t="s">
        <v>215</v>
      </c>
      <c r="C88" s="601" t="s">
        <v>268</v>
      </c>
      <c r="D88" s="962">
        <v>2973</v>
      </c>
      <c r="E88" s="962">
        <v>5039</v>
      </c>
      <c r="F88" s="962">
        <v>496</v>
      </c>
      <c r="G88" s="962">
        <v>4662</v>
      </c>
      <c r="H88" s="962">
        <v>3846</v>
      </c>
      <c r="I88" s="603">
        <v>7622</v>
      </c>
      <c r="J88" s="603">
        <v>215</v>
      </c>
      <c r="K88" s="603">
        <v>74</v>
      </c>
      <c r="L88" s="603">
        <v>14</v>
      </c>
      <c r="M88" s="603"/>
    </row>
    <row r="89" spans="1:13" s="604" customFormat="1" x14ac:dyDescent="0.25">
      <c r="A89" s="606" t="s">
        <v>216</v>
      </c>
      <c r="B89" s="602" t="s">
        <v>217</v>
      </c>
      <c r="C89" s="601" t="s">
        <v>264</v>
      </c>
      <c r="D89" s="962">
        <v>1550</v>
      </c>
      <c r="E89" s="962">
        <v>2195</v>
      </c>
      <c r="F89" s="962">
        <v>289</v>
      </c>
      <c r="G89" s="962">
        <v>2343</v>
      </c>
      <c r="H89" s="962">
        <v>1691</v>
      </c>
      <c r="I89" s="603">
        <v>1186</v>
      </c>
      <c r="J89" s="603">
        <v>2215</v>
      </c>
      <c r="K89" s="603">
        <v>51</v>
      </c>
      <c r="L89" s="603">
        <v>9</v>
      </c>
      <c r="M89" s="603"/>
    </row>
    <row r="90" spans="1:13" s="604" customFormat="1" x14ac:dyDescent="0.25">
      <c r="A90" s="606" t="s">
        <v>218</v>
      </c>
      <c r="B90" s="602" t="s">
        <v>219</v>
      </c>
      <c r="C90" s="601" t="s">
        <v>267</v>
      </c>
      <c r="D90" s="962">
        <v>8132</v>
      </c>
      <c r="E90" s="962">
        <v>9211</v>
      </c>
      <c r="F90" s="962">
        <v>581</v>
      </c>
      <c r="G90" s="962">
        <v>10162</v>
      </c>
      <c r="H90" s="962">
        <v>7762</v>
      </c>
      <c r="I90" s="603">
        <v>9747</v>
      </c>
      <c r="J90" s="603">
        <v>4877</v>
      </c>
      <c r="K90" s="603">
        <v>1070</v>
      </c>
      <c r="L90" s="603">
        <v>236</v>
      </c>
      <c r="M90" s="603"/>
    </row>
    <row r="91" spans="1:13" s="604" customFormat="1" x14ac:dyDescent="0.25">
      <c r="A91" s="606" t="s">
        <v>220</v>
      </c>
      <c r="B91" s="602" t="s">
        <v>221</v>
      </c>
      <c r="C91" s="601" t="s">
        <v>267</v>
      </c>
      <c r="D91" s="962">
        <v>6969</v>
      </c>
      <c r="E91" s="962">
        <v>7309</v>
      </c>
      <c r="F91" s="962">
        <v>429</v>
      </c>
      <c r="G91" s="962">
        <v>8603</v>
      </c>
      <c r="H91" s="962">
        <v>6104</v>
      </c>
      <c r="I91" s="603">
        <v>6453</v>
      </c>
      <c r="J91" s="603">
        <v>4264</v>
      </c>
      <c r="K91" s="603">
        <v>1402</v>
      </c>
      <c r="L91" s="603">
        <v>329</v>
      </c>
      <c r="M91" s="603"/>
    </row>
    <row r="92" spans="1:13" s="604" customFormat="1" x14ac:dyDescent="0.25">
      <c r="A92" s="606" t="s">
        <v>224</v>
      </c>
      <c r="B92" s="602" t="s">
        <v>225</v>
      </c>
      <c r="C92" s="601" t="s">
        <v>264</v>
      </c>
      <c r="D92" s="962">
        <v>517</v>
      </c>
      <c r="E92" s="962">
        <v>818</v>
      </c>
      <c r="F92" s="962">
        <v>85</v>
      </c>
      <c r="G92" s="962">
        <v>792</v>
      </c>
      <c r="H92" s="962">
        <v>628</v>
      </c>
      <c r="I92" s="603">
        <v>494</v>
      </c>
      <c r="J92" s="603">
        <v>871</v>
      </c>
      <c r="K92" s="603">
        <v>31</v>
      </c>
      <c r="L92" s="603">
        <v>19</v>
      </c>
      <c r="M92" s="603"/>
    </row>
    <row r="93" spans="1:13" s="604" customFormat="1" x14ac:dyDescent="0.25">
      <c r="A93" s="606" t="s">
        <v>226</v>
      </c>
      <c r="B93" s="602" t="s">
        <v>227</v>
      </c>
      <c r="C93" s="601" t="s">
        <v>264</v>
      </c>
      <c r="D93" s="962">
        <v>1089</v>
      </c>
      <c r="E93" s="962">
        <v>1501</v>
      </c>
      <c r="F93" s="962">
        <v>187</v>
      </c>
      <c r="G93" s="962">
        <v>1598</v>
      </c>
      <c r="H93" s="962">
        <v>1179</v>
      </c>
      <c r="I93" s="603">
        <v>582</v>
      </c>
      <c r="J93" s="603">
        <v>1761</v>
      </c>
      <c r="K93" s="603">
        <v>25</v>
      </c>
      <c r="L93" s="603">
        <v>13</v>
      </c>
      <c r="M93" s="603"/>
    </row>
    <row r="94" spans="1:13" s="604" customFormat="1" x14ac:dyDescent="0.25">
      <c r="A94" s="606" t="s">
        <v>228</v>
      </c>
      <c r="B94" s="602" t="s">
        <v>229</v>
      </c>
      <c r="C94" s="601" t="s">
        <v>268</v>
      </c>
      <c r="D94" s="962">
        <v>4023</v>
      </c>
      <c r="E94" s="962">
        <v>6786</v>
      </c>
      <c r="F94" s="962">
        <v>595</v>
      </c>
      <c r="G94" s="962">
        <v>6364</v>
      </c>
      <c r="H94" s="962">
        <v>5040</v>
      </c>
      <c r="I94" s="603">
        <v>10214</v>
      </c>
      <c r="J94" s="603">
        <v>467</v>
      </c>
      <c r="K94" s="603">
        <v>95</v>
      </c>
      <c r="L94" s="603">
        <v>54</v>
      </c>
      <c r="M94" s="603"/>
    </row>
    <row r="95" spans="1:13" s="604" customFormat="1" x14ac:dyDescent="0.25">
      <c r="A95" s="606" t="s">
        <v>232</v>
      </c>
      <c r="B95" s="602" t="s">
        <v>233</v>
      </c>
      <c r="C95" s="601" t="s">
        <v>267</v>
      </c>
      <c r="D95" s="962">
        <v>2786</v>
      </c>
      <c r="E95" s="962">
        <v>3818</v>
      </c>
      <c r="F95" s="962">
        <v>286</v>
      </c>
      <c r="G95" s="962">
        <v>3859</v>
      </c>
      <c r="H95" s="962">
        <v>3031</v>
      </c>
      <c r="I95" s="603">
        <v>5056</v>
      </c>
      <c r="J95" s="603">
        <v>718</v>
      </c>
      <c r="K95" s="603">
        <v>276</v>
      </c>
      <c r="L95" s="603">
        <v>145</v>
      </c>
      <c r="M95" s="603"/>
    </row>
    <row r="96" spans="1:13" s="604" customFormat="1" x14ac:dyDescent="0.25">
      <c r="A96" s="606" t="s">
        <v>234</v>
      </c>
      <c r="B96" s="602" t="s">
        <v>235</v>
      </c>
      <c r="C96" s="601" t="s">
        <v>268</v>
      </c>
      <c r="D96" s="962">
        <v>3878</v>
      </c>
      <c r="E96" s="962">
        <v>6144</v>
      </c>
      <c r="F96" s="962">
        <v>643</v>
      </c>
      <c r="G96" s="962">
        <v>5967</v>
      </c>
      <c r="H96" s="962">
        <v>4698</v>
      </c>
      <c r="I96" s="603">
        <v>9616</v>
      </c>
      <c r="J96" s="603">
        <v>267</v>
      </c>
      <c r="K96" s="603">
        <v>152</v>
      </c>
      <c r="L96" s="603">
        <v>53</v>
      </c>
      <c r="M96" s="603"/>
    </row>
    <row r="97" spans="1:13" s="604" customFormat="1" x14ac:dyDescent="0.25">
      <c r="A97" s="606" t="s">
        <v>236</v>
      </c>
      <c r="B97" s="602" t="s">
        <v>237</v>
      </c>
      <c r="C97" s="601" t="s">
        <v>266</v>
      </c>
      <c r="D97" s="962">
        <v>1829</v>
      </c>
      <c r="E97" s="962">
        <v>2485</v>
      </c>
      <c r="F97" s="962">
        <v>334</v>
      </c>
      <c r="G97" s="962">
        <v>2616</v>
      </c>
      <c r="H97" s="962">
        <v>2032</v>
      </c>
      <c r="I97" s="603">
        <v>1949</v>
      </c>
      <c r="J97" s="603">
        <v>1865</v>
      </c>
      <c r="K97" s="603">
        <v>241</v>
      </c>
      <c r="L97" s="603">
        <v>103</v>
      </c>
      <c r="M97" s="603"/>
    </row>
    <row r="98" spans="1:13" s="604" customFormat="1" x14ac:dyDescent="0.25">
      <c r="A98" s="606" t="s">
        <v>242</v>
      </c>
      <c r="B98" s="602" t="s">
        <v>243</v>
      </c>
      <c r="C98" s="601" t="s">
        <v>268</v>
      </c>
      <c r="D98" s="962">
        <v>4067</v>
      </c>
      <c r="E98" s="962">
        <v>6841</v>
      </c>
      <c r="F98" s="962">
        <v>520</v>
      </c>
      <c r="G98" s="962">
        <v>6361</v>
      </c>
      <c r="H98" s="962">
        <v>5067</v>
      </c>
      <c r="I98" s="603">
        <v>10127</v>
      </c>
      <c r="J98" s="603">
        <v>256</v>
      </c>
      <c r="K98" s="603">
        <v>54</v>
      </c>
      <c r="L98" s="603">
        <v>33</v>
      </c>
      <c r="M98" s="603"/>
    </row>
    <row r="99" spans="1:13" s="604" customFormat="1" x14ac:dyDescent="0.25">
      <c r="A99" s="606" t="s">
        <v>244</v>
      </c>
      <c r="B99" s="602" t="s">
        <v>245</v>
      </c>
      <c r="C99" s="601" t="s">
        <v>268</v>
      </c>
      <c r="D99" s="962">
        <v>2181</v>
      </c>
      <c r="E99" s="962">
        <v>3420</v>
      </c>
      <c r="F99" s="962">
        <v>366</v>
      </c>
      <c r="G99" s="962">
        <v>3317</v>
      </c>
      <c r="H99" s="962">
        <v>2650</v>
      </c>
      <c r="I99" s="603">
        <v>5084</v>
      </c>
      <c r="J99" s="603">
        <v>343</v>
      </c>
      <c r="K99" s="603">
        <v>93</v>
      </c>
      <c r="L99" s="603">
        <v>40</v>
      </c>
      <c r="M99" s="603"/>
    </row>
    <row r="100" spans="1:13" s="604" customFormat="1" x14ac:dyDescent="0.25">
      <c r="A100" s="606" t="s">
        <v>246</v>
      </c>
      <c r="B100" s="602" t="s">
        <v>247</v>
      </c>
      <c r="C100" s="601" t="s">
        <v>264</v>
      </c>
      <c r="D100" s="962">
        <v>2266</v>
      </c>
      <c r="E100" s="962">
        <v>2768</v>
      </c>
      <c r="F100" s="962">
        <v>179</v>
      </c>
      <c r="G100" s="962">
        <v>3036</v>
      </c>
      <c r="H100" s="962">
        <v>2177</v>
      </c>
      <c r="I100" s="603">
        <v>2684</v>
      </c>
      <c r="J100" s="603">
        <v>1770</v>
      </c>
      <c r="K100" s="603">
        <v>359</v>
      </c>
      <c r="L100" s="603">
        <v>121</v>
      </c>
      <c r="M100" s="603"/>
    </row>
    <row r="101" spans="1:13" s="604" customFormat="1" x14ac:dyDescent="0.25">
      <c r="A101" s="606" t="s">
        <v>14</v>
      </c>
      <c r="B101" s="602" t="s">
        <v>15</v>
      </c>
      <c r="C101" s="601" t="s">
        <v>267</v>
      </c>
      <c r="D101" s="962">
        <v>6223</v>
      </c>
      <c r="E101" s="962">
        <v>7274</v>
      </c>
      <c r="F101" s="962">
        <v>1051</v>
      </c>
      <c r="G101" s="962">
        <v>8439</v>
      </c>
      <c r="H101" s="962">
        <v>6109</v>
      </c>
      <c r="I101" s="603">
        <v>4980</v>
      </c>
      <c r="J101" s="603">
        <v>5551</v>
      </c>
      <c r="K101" s="603">
        <v>922</v>
      </c>
      <c r="L101" s="603">
        <v>44</v>
      </c>
      <c r="M101" s="603"/>
    </row>
    <row r="102" spans="1:13" s="604" customFormat="1" x14ac:dyDescent="0.25">
      <c r="A102" s="606" t="s">
        <v>34</v>
      </c>
      <c r="B102" s="602" t="s">
        <v>35</v>
      </c>
      <c r="C102" s="601" t="s">
        <v>268</v>
      </c>
      <c r="D102" s="962">
        <v>2299</v>
      </c>
      <c r="E102" s="962">
        <v>3688</v>
      </c>
      <c r="F102" s="962">
        <v>320</v>
      </c>
      <c r="G102" s="962">
        <v>3476</v>
      </c>
      <c r="H102" s="962">
        <v>2831</v>
      </c>
      <c r="I102" s="603">
        <v>5070</v>
      </c>
      <c r="J102" s="603">
        <v>650</v>
      </c>
      <c r="K102" s="603">
        <v>150</v>
      </c>
      <c r="L102" s="603">
        <v>106</v>
      </c>
      <c r="M102" s="603"/>
    </row>
    <row r="103" spans="1:13" s="604" customFormat="1" x14ac:dyDescent="0.25">
      <c r="A103" s="606" t="s">
        <v>52</v>
      </c>
      <c r="B103" s="602" t="s">
        <v>53</v>
      </c>
      <c r="C103" s="601" t="s">
        <v>265</v>
      </c>
      <c r="D103" s="962">
        <v>2783</v>
      </c>
      <c r="E103" s="962">
        <v>4336</v>
      </c>
      <c r="F103" s="962">
        <v>361</v>
      </c>
      <c r="G103" s="962">
        <v>4067</v>
      </c>
      <c r="H103" s="962">
        <v>3413</v>
      </c>
      <c r="I103" s="603">
        <v>2190</v>
      </c>
      <c r="J103" s="603">
        <v>4150</v>
      </c>
      <c r="K103" s="603">
        <v>584</v>
      </c>
      <c r="L103" s="603">
        <v>158</v>
      </c>
      <c r="M103" s="603"/>
    </row>
    <row r="104" spans="1:13" s="604" customFormat="1" x14ac:dyDescent="0.25">
      <c r="A104" s="606" t="s">
        <v>54</v>
      </c>
      <c r="B104" s="602" t="s">
        <v>55</v>
      </c>
      <c r="C104" s="601" t="s">
        <v>264</v>
      </c>
      <c r="D104" s="962">
        <v>15016</v>
      </c>
      <c r="E104" s="962">
        <v>17682</v>
      </c>
      <c r="F104" s="962">
        <v>1247</v>
      </c>
      <c r="G104" s="962">
        <v>20127</v>
      </c>
      <c r="H104" s="962">
        <v>13818</v>
      </c>
      <c r="I104" s="603">
        <v>9990</v>
      </c>
      <c r="J104" s="603">
        <v>19030</v>
      </c>
      <c r="K104" s="603">
        <v>1326</v>
      </c>
      <c r="L104" s="603">
        <v>335</v>
      </c>
      <c r="M104" s="603"/>
    </row>
    <row r="105" spans="1:13" s="604" customFormat="1" x14ac:dyDescent="0.25">
      <c r="A105" s="606" t="s">
        <v>66</v>
      </c>
      <c r="B105" s="602" t="s">
        <v>67</v>
      </c>
      <c r="C105" s="601" t="s">
        <v>265</v>
      </c>
      <c r="D105" s="962">
        <v>6576</v>
      </c>
      <c r="E105" s="962">
        <v>9871</v>
      </c>
      <c r="F105" s="962">
        <v>876</v>
      </c>
      <c r="G105" s="962">
        <v>9796</v>
      </c>
      <c r="H105" s="962">
        <v>7527</v>
      </c>
      <c r="I105" s="603">
        <v>4102</v>
      </c>
      <c r="J105" s="603">
        <v>11205</v>
      </c>
      <c r="K105" s="603">
        <v>357</v>
      </c>
      <c r="L105" s="603">
        <v>35</v>
      </c>
      <c r="M105" s="603"/>
    </row>
    <row r="106" spans="1:13" s="604" customFormat="1" x14ac:dyDescent="0.25">
      <c r="A106" s="606" t="s">
        <v>82</v>
      </c>
      <c r="B106" s="602" t="s">
        <v>83</v>
      </c>
      <c r="C106" s="601" t="s">
        <v>264</v>
      </c>
      <c r="D106" s="962">
        <v>1372</v>
      </c>
      <c r="E106" s="962">
        <v>1914</v>
      </c>
      <c r="F106" s="962">
        <v>162</v>
      </c>
      <c r="G106" s="962">
        <v>2007</v>
      </c>
      <c r="H106" s="962">
        <v>1441</v>
      </c>
      <c r="I106" s="603">
        <v>333</v>
      </c>
      <c r="J106" s="603">
        <v>2764</v>
      </c>
      <c r="K106" s="603">
        <v>31</v>
      </c>
      <c r="L106" s="603">
        <v>17</v>
      </c>
      <c r="M106" s="603"/>
    </row>
    <row r="107" spans="1:13" s="604" customFormat="1" x14ac:dyDescent="0.25">
      <c r="A107" s="606" t="s">
        <v>88</v>
      </c>
      <c r="B107" s="602" t="s">
        <v>89</v>
      </c>
      <c r="C107" s="601" t="s">
        <v>267</v>
      </c>
      <c r="D107" s="962">
        <v>2795</v>
      </c>
      <c r="E107" s="962">
        <v>3921</v>
      </c>
      <c r="F107" s="962">
        <v>266</v>
      </c>
      <c r="G107" s="962">
        <v>3996</v>
      </c>
      <c r="H107" s="962">
        <v>2986</v>
      </c>
      <c r="I107" s="603">
        <v>2434</v>
      </c>
      <c r="J107" s="603">
        <v>2788</v>
      </c>
      <c r="K107" s="603">
        <v>659</v>
      </c>
      <c r="L107" s="603">
        <v>101</v>
      </c>
      <c r="M107" s="603"/>
    </row>
    <row r="108" spans="1:13" s="604" customFormat="1" x14ac:dyDescent="0.25">
      <c r="A108" s="606" t="s">
        <v>90</v>
      </c>
      <c r="B108" s="602" t="s">
        <v>91</v>
      </c>
      <c r="C108" s="601" t="s">
        <v>268</v>
      </c>
      <c r="D108" s="962">
        <v>1039</v>
      </c>
      <c r="E108" s="962">
        <v>1531</v>
      </c>
      <c r="F108" s="962">
        <v>165</v>
      </c>
      <c r="G108" s="962">
        <v>1541</v>
      </c>
      <c r="H108" s="962">
        <v>1194</v>
      </c>
      <c r="I108" s="603">
        <v>2128</v>
      </c>
      <c r="J108" s="603">
        <v>302</v>
      </c>
      <c r="K108" s="603">
        <v>38</v>
      </c>
      <c r="L108" s="603">
        <v>6</v>
      </c>
      <c r="M108" s="603"/>
    </row>
    <row r="109" spans="1:13" s="604" customFormat="1" x14ac:dyDescent="0.25">
      <c r="A109" s="606" t="s">
        <v>106</v>
      </c>
      <c r="B109" s="602" t="s">
        <v>107</v>
      </c>
      <c r="C109" s="601" t="s">
        <v>264</v>
      </c>
      <c r="D109" s="962">
        <v>13462</v>
      </c>
      <c r="E109" s="962">
        <v>16991</v>
      </c>
      <c r="F109" s="962">
        <v>1081</v>
      </c>
      <c r="G109" s="962">
        <v>18364</v>
      </c>
      <c r="H109" s="962">
        <v>13170</v>
      </c>
      <c r="I109" s="603">
        <v>5875</v>
      </c>
      <c r="J109" s="603">
        <v>20308</v>
      </c>
      <c r="K109" s="603">
        <v>864</v>
      </c>
      <c r="L109" s="603">
        <v>236</v>
      </c>
      <c r="M109" s="603"/>
    </row>
    <row r="110" spans="1:13" s="604" customFormat="1" x14ac:dyDescent="0.25">
      <c r="A110" s="606" t="s">
        <v>116</v>
      </c>
      <c r="B110" s="602" t="s">
        <v>117</v>
      </c>
      <c r="C110" s="601" t="s">
        <v>266</v>
      </c>
      <c r="D110" s="962">
        <v>4189</v>
      </c>
      <c r="E110" s="962">
        <v>5327</v>
      </c>
      <c r="F110" s="962">
        <v>287</v>
      </c>
      <c r="G110" s="962">
        <v>5612</v>
      </c>
      <c r="H110" s="962">
        <v>4191</v>
      </c>
      <c r="I110" s="603">
        <v>3249</v>
      </c>
      <c r="J110" s="603">
        <v>5021</v>
      </c>
      <c r="K110" s="603">
        <v>226</v>
      </c>
      <c r="L110" s="603">
        <v>55</v>
      </c>
      <c r="M110" s="603"/>
    </row>
    <row r="111" spans="1:13" s="604" customFormat="1" x14ac:dyDescent="0.25">
      <c r="A111" s="606" t="s">
        <v>138</v>
      </c>
      <c r="B111" s="602" t="s">
        <v>139</v>
      </c>
      <c r="C111" s="601" t="s">
        <v>265</v>
      </c>
      <c r="D111" s="962">
        <v>7368</v>
      </c>
      <c r="E111" s="962">
        <v>10189</v>
      </c>
      <c r="F111" s="962">
        <v>772</v>
      </c>
      <c r="G111" s="962">
        <v>10460</v>
      </c>
      <c r="H111" s="962">
        <v>7869</v>
      </c>
      <c r="I111" s="603">
        <v>5110</v>
      </c>
      <c r="J111" s="603">
        <v>10414</v>
      </c>
      <c r="K111" s="603">
        <v>419</v>
      </c>
      <c r="L111" s="603">
        <v>175</v>
      </c>
      <c r="M111" s="603"/>
    </row>
    <row r="112" spans="1:13" s="604" customFormat="1" x14ac:dyDescent="0.25">
      <c r="A112" s="606" t="s">
        <v>142</v>
      </c>
      <c r="B112" s="602" t="s">
        <v>143</v>
      </c>
      <c r="C112" s="601" t="s">
        <v>267</v>
      </c>
      <c r="D112" s="962">
        <v>3846</v>
      </c>
      <c r="E112" s="962">
        <v>3466</v>
      </c>
      <c r="F112" s="962">
        <v>207</v>
      </c>
      <c r="G112" s="962">
        <v>4255</v>
      </c>
      <c r="H112" s="962">
        <v>3265</v>
      </c>
      <c r="I112" s="603">
        <v>3287</v>
      </c>
      <c r="J112" s="603">
        <v>1431</v>
      </c>
      <c r="K112" s="603">
        <v>915</v>
      </c>
      <c r="L112" s="603">
        <v>46</v>
      </c>
      <c r="M112" s="603"/>
    </row>
    <row r="113" spans="1:13" s="604" customFormat="1" x14ac:dyDescent="0.25">
      <c r="A113" s="606" t="s">
        <v>144</v>
      </c>
      <c r="B113" s="602" t="s">
        <v>145</v>
      </c>
      <c r="C113" s="601" t="s">
        <v>267</v>
      </c>
      <c r="D113" s="962">
        <v>1084</v>
      </c>
      <c r="E113" s="962">
        <v>998</v>
      </c>
      <c r="F113" s="962">
        <v>106</v>
      </c>
      <c r="G113" s="962">
        <v>1240</v>
      </c>
      <c r="H113" s="962">
        <v>948</v>
      </c>
      <c r="I113" s="603">
        <v>899</v>
      </c>
      <c r="J113" s="603">
        <v>287</v>
      </c>
      <c r="K113" s="603">
        <v>565</v>
      </c>
      <c r="L113" s="603">
        <v>6</v>
      </c>
      <c r="M113" s="603"/>
    </row>
    <row r="114" spans="1:13" s="604" customFormat="1" x14ac:dyDescent="0.25">
      <c r="A114" s="606" t="s">
        <v>158</v>
      </c>
      <c r="B114" s="602" t="s">
        <v>159</v>
      </c>
      <c r="C114" s="601" t="s">
        <v>264</v>
      </c>
      <c r="D114" s="962">
        <v>21106</v>
      </c>
      <c r="E114" s="962">
        <v>26755</v>
      </c>
      <c r="F114" s="962">
        <v>1546</v>
      </c>
      <c r="G114" s="962">
        <v>28840</v>
      </c>
      <c r="H114" s="962">
        <v>20567</v>
      </c>
      <c r="I114" s="603">
        <v>8621</v>
      </c>
      <c r="J114" s="603">
        <v>32339</v>
      </c>
      <c r="K114" s="603">
        <v>2607</v>
      </c>
      <c r="L114" s="603">
        <v>543</v>
      </c>
      <c r="M114" s="603"/>
    </row>
    <row r="115" spans="1:13" s="604" customFormat="1" x14ac:dyDescent="0.25">
      <c r="A115" s="606" t="s">
        <v>160</v>
      </c>
      <c r="B115" s="602" t="s">
        <v>161</v>
      </c>
      <c r="C115" s="601" t="s">
        <v>264</v>
      </c>
      <c r="D115" s="962">
        <v>26582</v>
      </c>
      <c r="E115" s="962">
        <v>35383</v>
      </c>
      <c r="F115" s="962">
        <v>2636</v>
      </c>
      <c r="G115" s="962">
        <v>37554</v>
      </c>
      <c r="H115" s="962">
        <v>27047</v>
      </c>
      <c r="I115" s="603">
        <v>10008</v>
      </c>
      <c r="J115" s="603">
        <v>45723</v>
      </c>
      <c r="K115" s="603">
        <v>2147</v>
      </c>
      <c r="L115" s="603">
        <v>425</v>
      </c>
      <c r="M115" s="603"/>
    </row>
    <row r="116" spans="1:13" s="604" customFormat="1" x14ac:dyDescent="0.25">
      <c r="A116" s="606" t="s">
        <v>166</v>
      </c>
      <c r="B116" s="602" t="s">
        <v>167</v>
      </c>
      <c r="C116" s="601" t="s">
        <v>268</v>
      </c>
      <c r="D116" s="962">
        <v>503</v>
      </c>
      <c r="E116" s="962">
        <v>853</v>
      </c>
      <c r="F116" s="962">
        <v>92</v>
      </c>
      <c r="G116" s="962">
        <v>861</v>
      </c>
      <c r="H116" s="962">
        <v>587</v>
      </c>
      <c r="I116" s="603">
        <v>1178</v>
      </c>
      <c r="J116" s="603">
        <v>124</v>
      </c>
      <c r="K116" s="603">
        <v>50</v>
      </c>
      <c r="L116" s="603">
        <v>36</v>
      </c>
      <c r="M116" s="603"/>
    </row>
    <row r="117" spans="1:13" s="604" customFormat="1" x14ac:dyDescent="0.25">
      <c r="A117" s="606" t="s">
        <v>176</v>
      </c>
      <c r="B117" s="602" t="s">
        <v>177</v>
      </c>
      <c r="C117" s="601" t="s">
        <v>266</v>
      </c>
      <c r="D117" s="962">
        <v>5385</v>
      </c>
      <c r="E117" s="962">
        <v>8647</v>
      </c>
      <c r="F117" s="962">
        <v>664</v>
      </c>
      <c r="G117" s="962">
        <v>8276</v>
      </c>
      <c r="H117" s="962">
        <v>6420</v>
      </c>
      <c r="I117" s="603">
        <v>1059</v>
      </c>
      <c r="J117" s="603">
        <v>11981</v>
      </c>
      <c r="K117" s="603">
        <v>333</v>
      </c>
      <c r="L117" s="603">
        <v>56</v>
      </c>
      <c r="M117" s="603"/>
    </row>
    <row r="118" spans="1:13" s="604" customFormat="1" x14ac:dyDescent="0.25">
      <c r="A118" s="606" t="s">
        <v>180</v>
      </c>
      <c r="B118" s="602" t="s">
        <v>181</v>
      </c>
      <c r="C118" s="601" t="s">
        <v>264</v>
      </c>
      <c r="D118" s="962">
        <v>13362</v>
      </c>
      <c r="E118" s="962">
        <v>16724</v>
      </c>
      <c r="F118" s="962">
        <v>1140</v>
      </c>
      <c r="G118" s="962">
        <v>18334</v>
      </c>
      <c r="H118" s="962">
        <v>12892</v>
      </c>
      <c r="I118" s="603">
        <v>4684</v>
      </c>
      <c r="J118" s="603">
        <v>23088</v>
      </c>
      <c r="K118" s="603">
        <v>411</v>
      </c>
      <c r="L118" s="603">
        <v>124</v>
      </c>
      <c r="M118" s="603"/>
    </row>
    <row r="119" spans="1:13" s="604" customFormat="1" x14ac:dyDescent="0.25">
      <c r="A119" s="606" t="s">
        <v>192</v>
      </c>
      <c r="B119" s="602" t="s">
        <v>193</v>
      </c>
      <c r="C119" s="601" t="s">
        <v>268</v>
      </c>
      <c r="D119" s="962">
        <v>1002</v>
      </c>
      <c r="E119" s="962">
        <v>1543</v>
      </c>
      <c r="F119" s="962">
        <v>64</v>
      </c>
      <c r="G119" s="962">
        <v>1459</v>
      </c>
      <c r="H119" s="962">
        <v>1150</v>
      </c>
      <c r="I119" s="603">
        <v>1804</v>
      </c>
      <c r="J119" s="603">
        <v>441</v>
      </c>
      <c r="K119" s="603">
        <v>73</v>
      </c>
      <c r="L119" s="603">
        <v>44</v>
      </c>
      <c r="M119" s="603"/>
    </row>
    <row r="120" spans="1:13" s="604" customFormat="1" x14ac:dyDescent="0.25">
      <c r="A120" s="606" t="s">
        <v>196</v>
      </c>
      <c r="B120" s="602" t="s">
        <v>197</v>
      </c>
      <c r="C120" s="601" t="s">
        <v>266</v>
      </c>
      <c r="D120" s="962">
        <v>26148</v>
      </c>
      <c r="E120" s="962">
        <v>39565</v>
      </c>
      <c r="F120" s="962">
        <v>2735</v>
      </c>
      <c r="G120" s="962">
        <v>38298</v>
      </c>
      <c r="H120" s="962">
        <v>30150</v>
      </c>
      <c r="I120" s="603">
        <v>6342</v>
      </c>
      <c r="J120" s="603">
        <v>51642</v>
      </c>
      <c r="K120" s="603">
        <v>3198</v>
      </c>
      <c r="L120" s="603">
        <v>235</v>
      </c>
      <c r="M120" s="603"/>
    </row>
    <row r="121" spans="1:13" s="604" customFormat="1" x14ac:dyDescent="0.25">
      <c r="A121" s="606" t="s">
        <v>200</v>
      </c>
      <c r="B121" s="602" t="s">
        <v>201</v>
      </c>
      <c r="C121" s="601" t="s">
        <v>265</v>
      </c>
      <c r="D121" s="962">
        <v>13246</v>
      </c>
      <c r="E121" s="962">
        <v>19007</v>
      </c>
      <c r="F121" s="962">
        <v>1347</v>
      </c>
      <c r="G121" s="962">
        <v>18728</v>
      </c>
      <c r="H121" s="962">
        <v>14872</v>
      </c>
      <c r="I121" s="603">
        <v>14341</v>
      </c>
      <c r="J121" s="603">
        <v>14435</v>
      </c>
      <c r="K121" s="603">
        <v>2208</v>
      </c>
      <c r="L121" s="603">
        <v>304</v>
      </c>
      <c r="M121" s="603"/>
    </row>
    <row r="122" spans="1:13" s="604" customFormat="1" x14ac:dyDescent="0.25">
      <c r="A122" s="606" t="s">
        <v>222</v>
      </c>
      <c r="B122" s="602" t="s">
        <v>223</v>
      </c>
      <c r="C122" s="601" t="s">
        <v>264</v>
      </c>
      <c r="D122" s="962">
        <v>7238</v>
      </c>
      <c r="E122" s="962">
        <v>9403</v>
      </c>
      <c r="F122" s="962">
        <v>830</v>
      </c>
      <c r="G122" s="962">
        <v>10126</v>
      </c>
      <c r="H122" s="962">
        <v>7345</v>
      </c>
      <c r="I122" s="603">
        <v>3415</v>
      </c>
      <c r="J122" s="603">
        <v>12241</v>
      </c>
      <c r="K122" s="603">
        <v>334</v>
      </c>
      <c r="L122" s="603">
        <v>142</v>
      </c>
      <c r="M122" s="603"/>
    </row>
    <row r="123" spans="1:13" s="604" customFormat="1" x14ac:dyDescent="0.25">
      <c r="A123" s="606" t="s">
        <v>230</v>
      </c>
      <c r="B123" s="602" t="s">
        <v>231</v>
      </c>
      <c r="C123" s="601" t="s">
        <v>264</v>
      </c>
      <c r="D123" s="962">
        <v>22260</v>
      </c>
      <c r="E123" s="962">
        <v>27783</v>
      </c>
      <c r="F123" s="962">
        <v>2101</v>
      </c>
      <c r="G123" s="962">
        <v>30327</v>
      </c>
      <c r="H123" s="962">
        <v>21817</v>
      </c>
      <c r="I123" s="603">
        <v>17273</v>
      </c>
      <c r="J123" s="603">
        <v>21882</v>
      </c>
      <c r="K123" s="603">
        <v>3747</v>
      </c>
      <c r="L123" s="603">
        <v>1003</v>
      </c>
      <c r="M123" s="603"/>
    </row>
    <row r="124" spans="1:13" s="604" customFormat="1" x14ac:dyDescent="0.25">
      <c r="A124" s="606" t="s">
        <v>238</v>
      </c>
      <c r="B124" s="602" t="s">
        <v>239</v>
      </c>
      <c r="C124" s="601" t="s">
        <v>264</v>
      </c>
      <c r="D124" s="962">
        <v>856</v>
      </c>
      <c r="E124" s="962">
        <v>1114</v>
      </c>
      <c r="F124" s="962">
        <v>42</v>
      </c>
      <c r="G124" s="962">
        <v>1127</v>
      </c>
      <c r="H124" s="962">
        <v>885</v>
      </c>
      <c r="I124" s="603">
        <v>770</v>
      </c>
      <c r="J124" s="603">
        <v>957</v>
      </c>
      <c r="K124" s="603">
        <v>175</v>
      </c>
      <c r="L124" s="603">
        <v>35</v>
      </c>
      <c r="M124" s="603"/>
    </row>
    <row r="125" spans="1:13" s="604" customFormat="1" x14ac:dyDescent="0.25">
      <c r="A125" s="606" t="s">
        <v>240</v>
      </c>
      <c r="B125" s="602" t="s">
        <v>241</v>
      </c>
      <c r="C125" s="601" t="s">
        <v>267</v>
      </c>
      <c r="D125" s="962">
        <v>2941</v>
      </c>
      <c r="E125" s="962">
        <v>3620</v>
      </c>
      <c r="F125" s="962">
        <v>258</v>
      </c>
      <c r="G125" s="962">
        <v>3716</v>
      </c>
      <c r="H125" s="962">
        <v>3103</v>
      </c>
      <c r="I125" s="603">
        <v>4430</v>
      </c>
      <c r="J125" s="603">
        <v>1274</v>
      </c>
      <c r="K125" s="603">
        <v>271</v>
      </c>
      <c r="L125" s="603">
        <v>61</v>
      </c>
      <c r="M125" s="603"/>
    </row>
    <row r="126" spans="1:13" x14ac:dyDescent="0.25">
      <c r="B126" s="508"/>
      <c r="C126" s="508"/>
      <c r="D126" s="508"/>
      <c r="E126" s="508"/>
      <c r="F126" s="508"/>
      <c r="G126" s="508"/>
      <c r="H126" s="508"/>
    </row>
    <row r="128" spans="1:13" ht="15.75" customHeight="1" x14ac:dyDescent="0.25">
      <c r="A128" s="2115" t="s">
        <v>1163</v>
      </c>
      <c r="B128" s="2115"/>
      <c r="C128" s="2115"/>
      <c r="D128" s="2115"/>
      <c r="E128" s="2115"/>
      <c r="F128" s="2115"/>
      <c r="G128" s="2115"/>
      <c r="H128" s="2115"/>
      <c r="I128" s="2115"/>
      <c r="J128" s="2115"/>
      <c r="K128" s="2115"/>
      <c r="L128" s="2115"/>
      <c r="M128" s="2115"/>
    </row>
    <row r="129" spans="1:13" x14ac:dyDescent="0.25">
      <c r="A129" s="2115"/>
      <c r="B129" s="2115"/>
      <c r="C129" s="2115"/>
      <c r="D129" s="2115"/>
      <c r="E129" s="2115"/>
      <c r="F129" s="2115"/>
      <c r="G129" s="2115"/>
      <c r="H129" s="2115"/>
      <c r="I129" s="2115"/>
      <c r="J129" s="2115"/>
      <c r="K129" s="2115"/>
      <c r="L129" s="2115"/>
      <c r="M129" s="2115"/>
    </row>
    <row r="130" spans="1:13" s="414" customFormat="1" x14ac:dyDescent="0.25">
      <c r="A130" s="414" t="s">
        <v>248</v>
      </c>
    </row>
    <row r="131" spans="1:13" s="414" customFormat="1" x14ac:dyDescent="0.25">
      <c r="A131" s="415" t="s">
        <v>249</v>
      </c>
      <c r="B131" s="416" t="s">
        <v>250</v>
      </c>
      <c r="C131" s="416"/>
      <c r="D131" s="416"/>
      <c r="E131" s="416"/>
      <c r="F131" s="416"/>
      <c r="G131" s="416"/>
      <c r="H131" s="416"/>
    </row>
  </sheetData>
  <autoFilter ref="A4:C4"/>
  <sortState ref="A6:O125">
    <sortCondition ref="A6:A125"/>
  </sortState>
  <mergeCells count="4">
    <mergeCell ref="D3:F3"/>
    <mergeCell ref="G3:H3"/>
    <mergeCell ref="A128:M129"/>
    <mergeCell ref="I3:L3"/>
  </mergeCells>
  <hyperlinks>
    <hyperlink ref="B131" r:id="rId1"/>
  </hyperlinks>
  <pageMargins left="0.75" right="0.75" top="1" bottom="1" header="0.5" footer="0.5"/>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31"/>
  <sheetViews>
    <sheetView workbookViewId="0">
      <pane xSplit="3" ySplit="5" topLeftCell="F107" activePane="bottomRight" state="frozen"/>
      <selection pane="topRight" activeCell="D1" sqref="D1"/>
      <selection pane="bottomLeft" activeCell="A6" sqref="A6"/>
      <selection pane="bottomRight" activeCell="A6" sqref="A6:XFD125"/>
    </sheetView>
  </sheetViews>
  <sheetFormatPr defaultColWidth="14.375" defaultRowHeight="15.75" x14ac:dyDescent="0.25"/>
  <cols>
    <col min="1" max="1" width="14.375" style="503"/>
    <col min="2" max="2" width="32.25" style="503" customWidth="1"/>
    <col min="3" max="3" width="14.5" style="503" customWidth="1"/>
    <col min="4" max="4" width="11.875" style="503" customWidth="1"/>
    <col min="5" max="5" width="11.125" style="503" customWidth="1"/>
    <col min="6" max="6" width="14.5" style="503" customWidth="1"/>
    <col min="7" max="8" width="9.75" style="503" customWidth="1"/>
    <col min="9" max="12" width="10.75" style="503" customWidth="1"/>
    <col min="13" max="16384" width="14.375" style="503"/>
  </cols>
  <sheetData>
    <row r="1" spans="1:13" x14ac:dyDescent="0.25">
      <c r="A1" s="257" t="s">
        <v>1167</v>
      </c>
    </row>
    <row r="2" spans="1:13" x14ac:dyDescent="0.25">
      <c r="B2" s="504"/>
      <c r="C2" s="504"/>
      <c r="D2" s="504"/>
      <c r="E2" s="504"/>
      <c r="F2" s="504"/>
      <c r="G2" s="504"/>
      <c r="H2" s="504"/>
    </row>
    <row r="3" spans="1:13" ht="23.25" customHeight="1" x14ac:dyDescent="0.25">
      <c r="A3" s="505"/>
      <c r="B3" s="506"/>
      <c r="C3" s="605"/>
      <c r="D3" s="2114" t="s">
        <v>892</v>
      </c>
      <c r="E3" s="2114"/>
      <c r="F3" s="2114"/>
      <c r="G3" s="2114" t="s">
        <v>887</v>
      </c>
      <c r="H3" s="2114"/>
      <c r="I3" s="2114" t="s">
        <v>778</v>
      </c>
      <c r="J3" s="2114"/>
      <c r="K3" s="2114"/>
      <c r="L3" s="2114"/>
      <c r="M3" s="507" t="s">
        <v>846</v>
      </c>
    </row>
    <row r="4" spans="1:13" ht="35.25" customHeight="1" x14ac:dyDescent="0.25">
      <c r="A4" s="507" t="s">
        <v>4</v>
      </c>
      <c r="B4" s="506" t="s">
        <v>5</v>
      </c>
      <c r="C4" s="605" t="s">
        <v>251</v>
      </c>
      <c r="D4" s="1201" t="s">
        <v>618</v>
      </c>
      <c r="E4" s="1201" t="s">
        <v>720</v>
      </c>
      <c r="F4" s="1201" t="s">
        <v>793</v>
      </c>
      <c r="G4" s="1201" t="s">
        <v>549</v>
      </c>
      <c r="H4" s="1201" t="s">
        <v>548</v>
      </c>
      <c r="I4" s="605" t="s">
        <v>2</v>
      </c>
      <c r="J4" s="605" t="s">
        <v>445</v>
      </c>
      <c r="K4" s="605" t="s">
        <v>847</v>
      </c>
      <c r="L4" s="1596" t="s">
        <v>1171</v>
      </c>
      <c r="M4" s="507" t="s">
        <v>551</v>
      </c>
    </row>
    <row r="5" spans="1:13" x14ac:dyDescent="0.25">
      <c r="A5" s="1223" t="s">
        <v>8</v>
      </c>
      <c r="B5" s="1224" t="s">
        <v>9</v>
      </c>
      <c r="C5" s="1225"/>
      <c r="D5" s="1226">
        <f>SUM(D6:D125)</f>
        <v>85536</v>
      </c>
      <c r="E5" s="1226">
        <f t="shared" ref="E5:F5" si="0">SUM(E6:E125)</f>
        <v>48785</v>
      </c>
      <c r="F5" s="1226">
        <f t="shared" si="0"/>
        <v>139</v>
      </c>
      <c r="G5" s="1226">
        <f t="shared" ref="G5" si="1">SUM(G6:G125)</f>
        <v>82689</v>
      </c>
      <c r="H5" s="1226">
        <f t="shared" ref="H5:L5" si="2">SUM(H6:H125)</f>
        <v>51773</v>
      </c>
      <c r="I5" s="1227">
        <f t="shared" si="2"/>
        <v>44378</v>
      </c>
      <c r="J5" s="1227">
        <f t="shared" si="2"/>
        <v>70029</v>
      </c>
      <c r="K5" s="1227">
        <f t="shared" si="2"/>
        <v>6352</v>
      </c>
      <c r="L5" s="1227">
        <f t="shared" si="2"/>
        <v>2241</v>
      </c>
      <c r="M5" s="1227">
        <f t="shared" ref="M5" si="3">SUM(M6:M125)</f>
        <v>0</v>
      </c>
    </row>
    <row r="6" spans="1:13" s="604" customFormat="1" x14ac:dyDescent="0.25">
      <c r="A6" s="606" t="s">
        <v>10</v>
      </c>
      <c r="B6" s="602" t="s">
        <v>11</v>
      </c>
      <c r="C6" s="601" t="s">
        <v>264</v>
      </c>
      <c r="D6" s="962">
        <v>517</v>
      </c>
      <c r="E6" s="962">
        <v>293</v>
      </c>
      <c r="F6" s="962">
        <v>0</v>
      </c>
      <c r="G6" s="962">
        <v>496</v>
      </c>
      <c r="H6" s="962">
        <v>314</v>
      </c>
      <c r="I6" s="603">
        <v>277</v>
      </c>
      <c r="J6" s="603">
        <v>495</v>
      </c>
      <c r="K6" s="603">
        <v>26</v>
      </c>
      <c r="L6" s="603">
        <v>25</v>
      </c>
      <c r="M6" s="603"/>
    </row>
    <row r="7" spans="1:13" s="604" customFormat="1" x14ac:dyDescent="0.25">
      <c r="A7" s="606" t="s">
        <v>12</v>
      </c>
      <c r="B7" s="602" t="s">
        <v>13</v>
      </c>
      <c r="C7" s="601" t="s">
        <v>265</v>
      </c>
      <c r="D7" s="962">
        <v>437</v>
      </c>
      <c r="E7" s="962">
        <v>269</v>
      </c>
      <c r="F7" s="962">
        <v>1</v>
      </c>
      <c r="G7" s="962">
        <v>430</v>
      </c>
      <c r="H7" s="962">
        <v>277</v>
      </c>
      <c r="I7" s="603">
        <v>240</v>
      </c>
      <c r="J7" s="603">
        <v>224</v>
      </c>
      <c r="K7" s="603">
        <v>76</v>
      </c>
      <c r="L7" s="603">
        <v>12</v>
      </c>
      <c r="M7" s="603"/>
    </row>
    <row r="8" spans="1:13" s="604" customFormat="1" x14ac:dyDescent="0.25">
      <c r="A8" s="606" t="s">
        <v>16</v>
      </c>
      <c r="B8" s="602" t="s">
        <v>297</v>
      </c>
      <c r="C8" s="601" t="s">
        <v>265</v>
      </c>
      <c r="D8" s="962">
        <v>272</v>
      </c>
      <c r="E8" s="962">
        <v>167</v>
      </c>
      <c r="F8" s="962">
        <v>0</v>
      </c>
      <c r="G8" s="962">
        <v>252</v>
      </c>
      <c r="H8" s="962">
        <v>187</v>
      </c>
      <c r="I8" s="603">
        <v>313</v>
      </c>
      <c r="J8" s="603">
        <v>52</v>
      </c>
      <c r="K8" s="603">
        <v>57</v>
      </c>
      <c r="L8" s="603">
        <v>56</v>
      </c>
      <c r="M8" s="603"/>
    </row>
    <row r="9" spans="1:13" s="604" customFormat="1" x14ac:dyDescent="0.25">
      <c r="A9" s="606" t="s">
        <v>18</v>
      </c>
      <c r="B9" s="602" t="s">
        <v>19</v>
      </c>
      <c r="C9" s="601" t="s">
        <v>266</v>
      </c>
      <c r="D9" s="962">
        <v>126</v>
      </c>
      <c r="E9" s="962">
        <v>77</v>
      </c>
      <c r="F9" s="962">
        <v>2</v>
      </c>
      <c r="G9" s="962">
        <v>120</v>
      </c>
      <c r="H9" s="962">
        <v>85</v>
      </c>
      <c r="I9" s="603">
        <v>99</v>
      </c>
      <c r="J9" s="603">
        <v>90</v>
      </c>
      <c r="K9" s="603">
        <v>16</v>
      </c>
      <c r="L9" s="603">
        <v>6</v>
      </c>
      <c r="M9" s="603"/>
    </row>
    <row r="10" spans="1:13" s="604" customFormat="1" x14ac:dyDescent="0.25">
      <c r="A10" s="606" t="s">
        <v>20</v>
      </c>
      <c r="B10" s="602" t="s">
        <v>21</v>
      </c>
      <c r="C10" s="601" t="s">
        <v>265</v>
      </c>
      <c r="D10" s="962">
        <v>267</v>
      </c>
      <c r="E10" s="962">
        <v>140</v>
      </c>
      <c r="F10" s="962">
        <v>0</v>
      </c>
      <c r="G10" s="962">
        <v>236</v>
      </c>
      <c r="H10" s="962">
        <v>171</v>
      </c>
      <c r="I10" s="603">
        <v>253</v>
      </c>
      <c r="J10" s="603">
        <v>120</v>
      </c>
      <c r="K10" s="603">
        <v>17</v>
      </c>
      <c r="L10" s="603">
        <v>15</v>
      </c>
      <c r="M10" s="603"/>
    </row>
    <row r="11" spans="1:13" s="604" customFormat="1" x14ac:dyDescent="0.25">
      <c r="A11" s="606" t="s">
        <v>22</v>
      </c>
      <c r="B11" s="602" t="s">
        <v>23</v>
      </c>
      <c r="C11" s="601" t="s">
        <v>265</v>
      </c>
      <c r="D11" s="962">
        <v>249</v>
      </c>
      <c r="E11" s="962">
        <v>146</v>
      </c>
      <c r="F11" s="962">
        <v>0</v>
      </c>
      <c r="G11" s="962">
        <v>229</v>
      </c>
      <c r="H11" s="962">
        <v>166</v>
      </c>
      <c r="I11" s="603">
        <v>185</v>
      </c>
      <c r="J11" s="603">
        <v>191</v>
      </c>
      <c r="K11" s="603">
        <v>13</v>
      </c>
      <c r="L11" s="603">
        <v>10</v>
      </c>
      <c r="M11" s="603"/>
    </row>
    <row r="12" spans="1:13" s="604" customFormat="1" x14ac:dyDescent="0.25">
      <c r="A12" s="606" t="s">
        <v>24</v>
      </c>
      <c r="B12" s="602" t="s">
        <v>25</v>
      </c>
      <c r="C12" s="601" t="s">
        <v>267</v>
      </c>
      <c r="D12" s="962">
        <v>595</v>
      </c>
      <c r="E12" s="962">
        <v>409</v>
      </c>
      <c r="F12" s="962">
        <v>4</v>
      </c>
      <c r="G12" s="962">
        <v>620</v>
      </c>
      <c r="H12" s="962">
        <v>388</v>
      </c>
      <c r="I12" s="603">
        <v>264</v>
      </c>
      <c r="J12" s="603">
        <v>502</v>
      </c>
      <c r="K12" s="603">
        <v>154</v>
      </c>
      <c r="L12" s="603">
        <v>7</v>
      </c>
      <c r="M12" s="603"/>
    </row>
    <row r="13" spans="1:13" s="604" customFormat="1" x14ac:dyDescent="0.25">
      <c r="A13" s="606" t="s">
        <v>26</v>
      </c>
      <c r="B13" s="602" t="s">
        <v>686</v>
      </c>
      <c r="C13" s="601" t="s">
        <v>265</v>
      </c>
      <c r="D13" s="962">
        <v>1221</v>
      </c>
      <c r="E13" s="962">
        <v>695</v>
      </c>
      <c r="F13" s="962">
        <v>0</v>
      </c>
      <c r="G13" s="962">
        <v>1180</v>
      </c>
      <c r="H13" s="962">
        <v>736</v>
      </c>
      <c r="I13" s="603">
        <v>1307</v>
      </c>
      <c r="J13" s="603">
        <v>432</v>
      </c>
      <c r="K13" s="603">
        <v>50</v>
      </c>
      <c r="L13" s="603">
        <v>29</v>
      </c>
      <c r="M13" s="603"/>
    </row>
    <row r="14" spans="1:13" s="604" customFormat="1" x14ac:dyDescent="0.25">
      <c r="A14" s="606" t="s">
        <v>27</v>
      </c>
      <c r="B14" s="602" t="s">
        <v>28</v>
      </c>
      <c r="C14" s="601" t="s">
        <v>265</v>
      </c>
      <c r="D14" s="962">
        <v>11</v>
      </c>
      <c r="E14" s="962">
        <v>2</v>
      </c>
      <c r="F14" s="962">
        <v>0</v>
      </c>
      <c r="G14" s="962">
        <v>8</v>
      </c>
      <c r="H14" s="962">
        <v>5</v>
      </c>
      <c r="I14" s="603">
        <v>9</v>
      </c>
      <c r="J14" s="603">
        <v>2</v>
      </c>
      <c r="K14" s="603">
        <v>0</v>
      </c>
      <c r="L14" s="603">
        <v>0</v>
      </c>
      <c r="M14" s="603"/>
    </row>
    <row r="15" spans="1:13" s="604" customFormat="1" x14ac:dyDescent="0.25">
      <c r="A15" s="606" t="s">
        <v>29</v>
      </c>
      <c r="B15" s="602" t="s">
        <v>941</v>
      </c>
      <c r="C15" s="601" t="s">
        <v>265</v>
      </c>
      <c r="D15" s="962">
        <v>554</v>
      </c>
      <c r="E15" s="962">
        <v>305</v>
      </c>
      <c r="F15" s="962">
        <v>0</v>
      </c>
      <c r="G15" s="962">
        <v>499</v>
      </c>
      <c r="H15" s="962">
        <v>360</v>
      </c>
      <c r="I15" s="603">
        <v>590</v>
      </c>
      <c r="J15" s="603">
        <v>168</v>
      </c>
      <c r="K15" s="603">
        <v>60</v>
      </c>
      <c r="L15" s="603">
        <v>54</v>
      </c>
      <c r="M15" s="603"/>
    </row>
    <row r="16" spans="1:13" s="604" customFormat="1" x14ac:dyDescent="0.25">
      <c r="A16" s="606" t="s">
        <v>30</v>
      </c>
      <c r="B16" s="602" t="s">
        <v>31</v>
      </c>
      <c r="C16" s="601" t="s">
        <v>268</v>
      </c>
      <c r="D16" s="962">
        <v>41</v>
      </c>
      <c r="E16" s="962">
        <v>24</v>
      </c>
      <c r="F16" s="962">
        <v>0</v>
      </c>
      <c r="G16" s="962">
        <v>43</v>
      </c>
      <c r="H16" s="962">
        <v>22</v>
      </c>
      <c r="I16" s="603">
        <v>53</v>
      </c>
      <c r="J16" s="603">
        <v>7</v>
      </c>
      <c r="K16" s="603">
        <v>1</v>
      </c>
      <c r="L16" s="603">
        <v>0</v>
      </c>
      <c r="M16" s="603"/>
    </row>
    <row r="17" spans="1:13" s="604" customFormat="1" x14ac:dyDescent="0.25">
      <c r="A17" s="606" t="s">
        <v>32</v>
      </c>
      <c r="B17" s="602" t="s">
        <v>33</v>
      </c>
      <c r="C17" s="601" t="s">
        <v>265</v>
      </c>
      <c r="D17" s="962">
        <v>103</v>
      </c>
      <c r="E17" s="962">
        <v>61</v>
      </c>
      <c r="F17" s="962">
        <v>2</v>
      </c>
      <c r="G17" s="962">
        <v>92</v>
      </c>
      <c r="H17" s="962">
        <v>74</v>
      </c>
      <c r="I17" s="603">
        <v>140</v>
      </c>
      <c r="J17" s="603">
        <v>10</v>
      </c>
      <c r="K17" s="603">
        <v>13</v>
      </c>
      <c r="L17" s="603">
        <v>9</v>
      </c>
      <c r="M17" s="603"/>
    </row>
    <row r="18" spans="1:13" s="604" customFormat="1" x14ac:dyDescent="0.25">
      <c r="A18" s="606" t="s">
        <v>36</v>
      </c>
      <c r="B18" s="602" t="s">
        <v>37</v>
      </c>
      <c r="C18" s="601" t="s">
        <v>264</v>
      </c>
      <c r="D18" s="962">
        <v>295</v>
      </c>
      <c r="E18" s="962">
        <v>147</v>
      </c>
      <c r="F18" s="962">
        <v>0</v>
      </c>
      <c r="G18" s="962">
        <v>280</v>
      </c>
      <c r="H18" s="962">
        <v>162</v>
      </c>
      <c r="I18" s="603">
        <v>67</v>
      </c>
      <c r="J18" s="603">
        <v>367</v>
      </c>
      <c r="K18" s="603">
        <v>5</v>
      </c>
      <c r="L18" s="603">
        <v>3</v>
      </c>
      <c r="M18" s="603"/>
    </row>
    <row r="19" spans="1:13" s="604" customFormat="1" x14ac:dyDescent="0.25">
      <c r="A19" s="606" t="s">
        <v>38</v>
      </c>
      <c r="B19" s="602" t="s">
        <v>39</v>
      </c>
      <c r="C19" s="601" t="s">
        <v>268</v>
      </c>
      <c r="D19" s="962">
        <v>363</v>
      </c>
      <c r="E19" s="962">
        <v>276</v>
      </c>
      <c r="F19" s="962">
        <v>1</v>
      </c>
      <c r="G19" s="962">
        <v>362</v>
      </c>
      <c r="H19" s="962">
        <v>278</v>
      </c>
      <c r="I19" s="603">
        <v>614</v>
      </c>
      <c r="J19" s="603">
        <v>9</v>
      </c>
      <c r="K19" s="603">
        <v>6</v>
      </c>
      <c r="L19" s="603">
        <v>6</v>
      </c>
      <c r="M19" s="603"/>
    </row>
    <row r="20" spans="1:13" s="604" customFormat="1" x14ac:dyDescent="0.25">
      <c r="A20" s="606" t="s">
        <v>40</v>
      </c>
      <c r="B20" s="602" t="s">
        <v>41</v>
      </c>
      <c r="C20" s="601" t="s">
        <v>266</v>
      </c>
      <c r="D20" s="962">
        <v>190</v>
      </c>
      <c r="E20" s="962">
        <v>112</v>
      </c>
      <c r="F20" s="962">
        <v>0</v>
      </c>
      <c r="G20" s="962">
        <v>184</v>
      </c>
      <c r="H20" s="962">
        <v>118</v>
      </c>
      <c r="I20" s="603">
        <v>108</v>
      </c>
      <c r="J20" s="603">
        <v>158</v>
      </c>
      <c r="K20" s="603">
        <v>28</v>
      </c>
      <c r="L20" s="603">
        <v>22</v>
      </c>
      <c r="M20" s="603"/>
    </row>
    <row r="21" spans="1:13" s="604" customFormat="1" x14ac:dyDescent="0.25">
      <c r="A21" s="606" t="s">
        <v>42</v>
      </c>
      <c r="B21" s="602" t="s">
        <v>43</v>
      </c>
      <c r="C21" s="601" t="s">
        <v>265</v>
      </c>
      <c r="D21" s="962">
        <v>616</v>
      </c>
      <c r="E21" s="962">
        <v>410</v>
      </c>
      <c r="F21" s="962">
        <v>0</v>
      </c>
      <c r="G21" s="962">
        <v>644</v>
      </c>
      <c r="H21" s="962">
        <v>382</v>
      </c>
      <c r="I21" s="603">
        <v>635</v>
      </c>
      <c r="J21" s="603">
        <v>286</v>
      </c>
      <c r="K21" s="603">
        <v>29</v>
      </c>
      <c r="L21" s="603">
        <v>24</v>
      </c>
      <c r="M21" s="603"/>
    </row>
    <row r="22" spans="1:13" s="604" customFormat="1" x14ac:dyDescent="0.25">
      <c r="A22" s="606" t="s">
        <v>44</v>
      </c>
      <c r="B22" s="602" t="s">
        <v>45</v>
      </c>
      <c r="C22" s="601" t="s">
        <v>266</v>
      </c>
      <c r="D22" s="962">
        <v>441</v>
      </c>
      <c r="E22" s="962">
        <v>267</v>
      </c>
      <c r="F22" s="962">
        <v>1</v>
      </c>
      <c r="G22" s="962">
        <v>422</v>
      </c>
      <c r="H22" s="962">
        <v>287</v>
      </c>
      <c r="I22" s="603">
        <v>319</v>
      </c>
      <c r="J22" s="603">
        <v>263</v>
      </c>
      <c r="K22" s="603">
        <v>27</v>
      </c>
      <c r="L22" s="603">
        <v>17</v>
      </c>
      <c r="M22" s="603"/>
    </row>
    <row r="23" spans="1:13" s="604" customFormat="1" x14ac:dyDescent="0.25">
      <c r="A23" s="606" t="s">
        <v>46</v>
      </c>
      <c r="B23" s="602" t="s">
        <v>47</v>
      </c>
      <c r="C23" s="601" t="s">
        <v>268</v>
      </c>
      <c r="D23" s="962">
        <v>285</v>
      </c>
      <c r="E23" s="962">
        <v>143</v>
      </c>
      <c r="F23" s="962">
        <v>0</v>
      </c>
      <c r="G23" s="962">
        <v>242</v>
      </c>
      <c r="H23" s="962">
        <v>186</v>
      </c>
      <c r="I23" s="603">
        <v>383</v>
      </c>
      <c r="J23" s="603">
        <v>11</v>
      </c>
      <c r="K23" s="603">
        <v>16</v>
      </c>
      <c r="L23" s="603">
        <v>1</v>
      </c>
      <c r="M23" s="603"/>
    </row>
    <row r="24" spans="1:13" s="604" customFormat="1" x14ac:dyDescent="0.25">
      <c r="A24" s="606" t="s">
        <v>48</v>
      </c>
      <c r="B24" s="602" t="s">
        <v>269</v>
      </c>
      <c r="C24" s="601" t="s">
        <v>266</v>
      </c>
      <c r="D24" s="962">
        <v>50</v>
      </c>
      <c r="E24" s="962">
        <v>26</v>
      </c>
      <c r="F24" s="962">
        <v>0</v>
      </c>
      <c r="G24" s="962">
        <v>50</v>
      </c>
      <c r="H24" s="962">
        <v>26</v>
      </c>
      <c r="I24" s="603">
        <v>29</v>
      </c>
      <c r="J24" s="603">
        <v>37</v>
      </c>
      <c r="K24" s="603">
        <v>5</v>
      </c>
      <c r="L24" s="603">
        <v>1</v>
      </c>
      <c r="M24" s="603"/>
    </row>
    <row r="25" spans="1:13" s="604" customFormat="1" x14ac:dyDescent="0.25">
      <c r="A25" s="606" t="s">
        <v>50</v>
      </c>
      <c r="B25" s="602" t="s">
        <v>51</v>
      </c>
      <c r="C25" s="601" t="s">
        <v>265</v>
      </c>
      <c r="D25" s="962">
        <v>201</v>
      </c>
      <c r="E25" s="962">
        <v>132</v>
      </c>
      <c r="F25" s="962">
        <v>0</v>
      </c>
      <c r="G25" s="962">
        <v>185</v>
      </c>
      <c r="H25" s="962">
        <v>148</v>
      </c>
      <c r="I25" s="603">
        <v>132</v>
      </c>
      <c r="J25" s="603">
        <v>183</v>
      </c>
      <c r="K25" s="603">
        <v>7</v>
      </c>
      <c r="L25" s="603">
        <v>5</v>
      </c>
      <c r="M25" s="603"/>
    </row>
    <row r="26" spans="1:13" s="604" customFormat="1" x14ac:dyDescent="0.25">
      <c r="A26" s="606" t="s">
        <v>56</v>
      </c>
      <c r="B26" s="602" t="s">
        <v>295</v>
      </c>
      <c r="C26" s="601" t="s">
        <v>266</v>
      </c>
      <c r="D26" s="962">
        <v>2342</v>
      </c>
      <c r="E26" s="962">
        <v>1313</v>
      </c>
      <c r="F26" s="962">
        <v>1</v>
      </c>
      <c r="G26" s="962">
        <v>2226</v>
      </c>
      <c r="H26" s="962">
        <v>1430</v>
      </c>
      <c r="I26" s="603">
        <v>1160</v>
      </c>
      <c r="J26" s="603">
        <v>1696</v>
      </c>
      <c r="K26" s="603">
        <v>224</v>
      </c>
      <c r="L26" s="603">
        <v>56</v>
      </c>
      <c r="M26" s="603"/>
    </row>
    <row r="27" spans="1:13" s="604" customFormat="1" x14ac:dyDescent="0.25">
      <c r="A27" s="606" t="s">
        <v>58</v>
      </c>
      <c r="B27" s="602" t="s">
        <v>59</v>
      </c>
      <c r="C27" s="601" t="s">
        <v>267</v>
      </c>
      <c r="D27" s="962">
        <v>34</v>
      </c>
      <c r="E27" s="962">
        <v>14</v>
      </c>
      <c r="F27" s="962">
        <v>0</v>
      </c>
      <c r="G27" s="962">
        <v>30</v>
      </c>
      <c r="H27" s="962">
        <v>18</v>
      </c>
      <c r="I27" s="603">
        <v>38</v>
      </c>
      <c r="J27" s="603">
        <v>8</v>
      </c>
      <c r="K27" s="603">
        <v>0</v>
      </c>
      <c r="L27" s="603">
        <v>0</v>
      </c>
      <c r="M27" s="603"/>
    </row>
    <row r="28" spans="1:13" s="604" customFormat="1" x14ac:dyDescent="0.25">
      <c r="A28" s="606" t="s">
        <v>60</v>
      </c>
      <c r="B28" s="602" t="s">
        <v>61</v>
      </c>
      <c r="C28" s="601" t="s">
        <v>265</v>
      </c>
      <c r="D28" s="962">
        <v>43</v>
      </c>
      <c r="E28" s="962">
        <v>23</v>
      </c>
      <c r="F28" s="962">
        <v>0</v>
      </c>
      <c r="G28" s="962">
        <v>44</v>
      </c>
      <c r="H28" s="962">
        <v>22</v>
      </c>
      <c r="I28" s="603">
        <v>62</v>
      </c>
      <c r="J28" s="603">
        <v>1</v>
      </c>
      <c r="K28" s="603">
        <v>0</v>
      </c>
      <c r="L28" s="603">
        <v>0</v>
      </c>
      <c r="M28" s="603"/>
    </row>
    <row r="29" spans="1:13" s="604" customFormat="1" x14ac:dyDescent="0.25">
      <c r="A29" s="606" t="s">
        <v>62</v>
      </c>
      <c r="B29" s="602" t="s">
        <v>63</v>
      </c>
      <c r="C29" s="601" t="s">
        <v>267</v>
      </c>
      <c r="D29" s="962">
        <v>399</v>
      </c>
      <c r="E29" s="962">
        <v>242</v>
      </c>
      <c r="F29" s="962">
        <v>0</v>
      </c>
      <c r="G29" s="962">
        <v>403</v>
      </c>
      <c r="H29" s="962">
        <v>238</v>
      </c>
      <c r="I29" s="603">
        <v>311</v>
      </c>
      <c r="J29" s="603">
        <v>254</v>
      </c>
      <c r="K29" s="603">
        <v>42</v>
      </c>
      <c r="L29" s="603">
        <v>10</v>
      </c>
      <c r="M29" s="603"/>
    </row>
    <row r="30" spans="1:13" s="604" customFormat="1" x14ac:dyDescent="0.25">
      <c r="A30" s="606" t="s">
        <v>64</v>
      </c>
      <c r="B30" s="602" t="s">
        <v>65</v>
      </c>
      <c r="C30" s="601" t="s">
        <v>266</v>
      </c>
      <c r="D30" s="962">
        <v>178</v>
      </c>
      <c r="E30" s="962">
        <v>110</v>
      </c>
      <c r="F30" s="962">
        <v>1</v>
      </c>
      <c r="G30" s="962">
        <v>156</v>
      </c>
      <c r="H30" s="962">
        <v>133</v>
      </c>
      <c r="I30" s="603">
        <v>109</v>
      </c>
      <c r="J30" s="603">
        <v>154</v>
      </c>
      <c r="K30" s="603">
        <v>17</v>
      </c>
      <c r="L30" s="603">
        <v>15</v>
      </c>
      <c r="M30" s="603"/>
    </row>
    <row r="31" spans="1:13" s="604" customFormat="1" x14ac:dyDescent="0.25">
      <c r="A31" s="606" t="s">
        <v>68</v>
      </c>
      <c r="B31" s="602" t="s">
        <v>69</v>
      </c>
      <c r="C31" s="601" t="s">
        <v>268</v>
      </c>
      <c r="D31" s="962">
        <v>162</v>
      </c>
      <c r="E31" s="962">
        <v>131</v>
      </c>
      <c r="F31" s="962">
        <v>0</v>
      </c>
      <c r="G31" s="962">
        <v>180</v>
      </c>
      <c r="H31" s="962">
        <v>113</v>
      </c>
      <c r="I31" s="603">
        <v>282</v>
      </c>
      <c r="J31" s="603">
        <v>8</v>
      </c>
      <c r="K31" s="603">
        <v>1</v>
      </c>
      <c r="L31" s="603">
        <v>1</v>
      </c>
      <c r="M31" s="603"/>
    </row>
    <row r="32" spans="1:13" s="604" customFormat="1" x14ac:dyDescent="0.25">
      <c r="A32" s="606" t="s">
        <v>70</v>
      </c>
      <c r="B32" s="602" t="s">
        <v>71</v>
      </c>
      <c r="C32" s="601" t="s">
        <v>264</v>
      </c>
      <c r="D32" s="962">
        <v>371</v>
      </c>
      <c r="E32" s="962">
        <v>190</v>
      </c>
      <c r="F32" s="962">
        <v>0</v>
      </c>
      <c r="G32" s="962">
        <v>329</v>
      </c>
      <c r="H32" s="962">
        <v>232</v>
      </c>
      <c r="I32" s="603">
        <v>225</v>
      </c>
      <c r="J32" s="603">
        <v>254</v>
      </c>
      <c r="K32" s="603">
        <v>16</v>
      </c>
      <c r="L32" s="603">
        <v>5</v>
      </c>
      <c r="M32" s="603"/>
    </row>
    <row r="33" spans="1:13" s="604" customFormat="1" x14ac:dyDescent="0.25">
      <c r="A33" s="606" t="s">
        <v>72</v>
      </c>
      <c r="B33" s="602" t="s">
        <v>73</v>
      </c>
      <c r="C33" s="601" t="s">
        <v>266</v>
      </c>
      <c r="D33" s="962">
        <v>225</v>
      </c>
      <c r="E33" s="962">
        <v>121</v>
      </c>
      <c r="F33" s="962">
        <v>1</v>
      </c>
      <c r="G33" s="962">
        <v>216</v>
      </c>
      <c r="H33" s="962">
        <v>131</v>
      </c>
      <c r="I33" s="603">
        <v>66</v>
      </c>
      <c r="J33" s="603">
        <v>214</v>
      </c>
      <c r="K33" s="603">
        <v>14</v>
      </c>
      <c r="L33" s="603">
        <v>12</v>
      </c>
      <c r="M33" s="603"/>
    </row>
    <row r="34" spans="1:13" s="604" customFormat="1" x14ac:dyDescent="0.25">
      <c r="A34" s="606" t="s">
        <v>74</v>
      </c>
      <c r="B34" s="602" t="s">
        <v>296</v>
      </c>
      <c r="C34" s="601" t="s">
        <v>267</v>
      </c>
      <c r="D34" s="962">
        <v>3759</v>
      </c>
      <c r="E34" s="962">
        <v>2491</v>
      </c>
      <c r="F34" s="962">
        <v>20</v>
      </c>
      <c r="G34" s="962">
        <v>3771</v>
      </c>
      <c r="H34" s="962">
        <v>2499</v>
      </c>
      <c r="I34" s="603">
        <v>1997</v>
      </c>
      <c r="J34" s="603">
        <v>2160</v>
      </c>
      <c r="K34" s="603">
        <v>812</v>
      </c>
      <c r="L34" s="603">
        <v>99</v>
      </c>
      <c r="M34" s="603"/>
    </row>
    <row r="35" spans="1:13" s="604" customFormat="1" x14ac:dyDescent="0.25">
      <c r="A35" s="606" t="s">
        <v>76</v>
      </c>
      <c r="B35" s="602" t="s">
        <v>77</v>
      </c>
      <c r="C35" s="601" t="s">
        <v>267</v>
      </c>
      <c r="D35" s="962">
        <v>242</v>
      </c>
      <c r="E35" s="962">
        <v>141</v>
      </c>
      <c r="F35" s="962">
        <v>0</v>
      </c>
      <c r="G35" s="962">
        <v>229</v>
      </c>
      <c r="H35" s="962">
        <v>154</v>
      </c>
      <c r="I35" s="603">
        <v>182</v>
      </c>
      <c r="J35" s="603">
        <v>101</v>
      </c>
      <c r="K35" s="603">
        <v>46</v>
      </c>
      <c r="L35" s="603">
        <v>33</v>
      </c>
      <c r="M35" s="603"/>
    </row>
    <row r="36" spans="1:13" s="604" customFormat="1" x14ac:dyDescent="0.25">
      <c r="A36" s="606" t="s">
        <v>78</v>
      </c>
      <c r="B36" s="602" t="s">
        <v>79</v>
      </c>
      <c r="C36" s="601" t="s">
        <v>268</v>
      </c>
      <c r="D36" s="962">
        <v>123</v>
      </c>
      <c r="E36" s="962">
        <v>62</v>
      </c>
      <c r="F36" s="962">
        <v>0</v>
      </c>
      <c r="G36" s="962">
        <v>97</v>
      </c>
      <c r="H36" s="962">
        <v>88</v>
      </c>
      <c r="I36" s="603">
        <v>160</v>
      </c>
      <c r="J36" s="603">
        <v>17</v>
      </c>
      <c r="K36" s="603">
        <v>3</v>
      </c>
      <c r="L36" s="603">
        <v>3</v>
      </c>
      <c r="M36" s="603"/>
    </row>
    <row r="37" spans="1:13" s="604" customFormat="1" x14ac:dyDescent="0.25">
      <c r="A37" s="606" t="s">
        <v>80</v>
      </c>
      <c r="B37" s="602" t="s">
        <v>81</v>
      </c>
      <c r="C37" s="601" t="s">
        <v>266</v>
      </c>
      <c r="D37" s="962">
        <v>151</v>
      </c>
      <c r="E37" s="962">
        <v>62</v>
      </c>
      <c r="F37" s="962">
        <v>1</v>
      </c>
      <c r="G37" s="962">
        <v>130</v>
      </c>
      <c r="H37" s="962">
        <v>84</v>
      </c>
      <c r="I37" s="603">
        <v>127</v>
      </c>
      <c r="J37" s="603">
        <v>71</v>
      </c>
      <c r="K37" s="603">
        <v>8</v>
      </c>
      <c r="L37" s="603">
        <v>5</v>
      </c>
      <c r="M37" s="603"/>
    </row>
    <row r="38" spans="1:13" s="604" customFormat="1" x14ac:dyDescent="0.25">
      <c r="A38" s="606" t="s">
        <v>84</v>
      </c>
      <c r="B38" s="602" t="s">
        <v>85</v>
      </c>
      <c r="C38" s="601" t="s">
        <v>265</v>
      </c>
      <c r="D38" s="962">
        <v>563</v>
      </c>
      <c r="E38" s="962">
        <v>295</v>
      </c>
      <c r="F38" s="962">
        <v>2</v>
      </c>
      <c r="G38" s="962">
        <v>504</v>
      </c>
      <c r="H38" s="962">
        <v>356</v>
      </c>
      <c r="I38" s="603">
        <v>572</v>
      </c>
      <c r="J38" s="603">
        <v>189</v>
      </c>
      <c r="K38" s="603">
        <v>24</v>
      </c>
      <c r="L38" s="603">
        <v>11</v>
      </c>
      <c r="M38" s="603"/>
    </row>
    <row r="39" spans="1:13" s="604" customFormat="1" x14ac:dyDescent="0.25">
      <c r="A39" s="606" t="s">
        <v>86</v>
      </c>
      <c r="B39" s="602" t="s">
        <v>87</v>
      </c>
      <c r="C39" s="601" t="s">
        <v>267</v>
      </c>
      <c r="D39" s="962">
        <v>245</v>
      </c>
      <c r="E39" s="962">
        <v>136</v>
      </c>
      <c r="F39" s="962">
        <v>0</v>
      </c>
      <c r="G39" s="962">
        <v>232</v>
      </c>
      <c r="H39" s="962">
        <v>149</v>
      </c>
      <c r="I39" s="603">
        <v>251</v>
      </c>
      <c r="J39" s="603">
        <v>69</v>
      </c>
      <c r="K39" s="603">
        <v>13</v>
      </c>
      <c r="L39" s="603">
        <v>8</v>
      </c>
      <c r="M39" s="603"/>
    </row>
    <row r="40" spans="1:13" s="604" customFormat="1" x14ac:dyDescent="0.25">
      <c r="A40" s="606" t="s">
        <v>92</v>
      </c>
      <c r="B40" s="602" t="s">
        <v>93</v>
      </c>
      <c r="C40" s="601" t="s">
        <v>268</v>
      </c>
      <c r="D40" s="962">
        <v>114</v>
      </c>
      <c r="E40" s="962">
        <v>60</v>
      </c>
      <c r="F40" s="962">
        <v>0</v>
      </c>
      <c r="G40" s="962">
        <v>111</v>
      </c>
      <c r="H40" s="962">
        <v>63</v>
      </c>
      <c r="I40" s="603">
        <v>151</v>
      </c>
      <c r="J40" s="603">
        <v>10</v>
      </c>
      <c r="K40" s="603">
        <v>6</v>
      </c>
      <c r="L40" s="603">
        <v>2</v>
      </c>
      <c r="M40" s="603"/>
    </row>
    <row r="41" spans="1:13" s="604" customFormat="1" x14ac:dyDescent="0.25">
      <c r="A41" s="606" t="s">
        <v>94</v>
      </c>
      <c r="B41" s="602" t="s">
        <v>95</v>
      </c>
      <c r="C41" s="601" t="s">
        <v>264</v>
      </c>
      <c r="D41" s="962">
        <v>345</v>
      </c>
      <c r="E41" s="962">
        <v>190</v>
      </c>
      <c r="F41" s="962">
        <v>0</v>
      </c>
      <c r="G41" s="962">
        <v>305</v>
      </c>
      <c r="H41" s="962">
        <v>230</v>
      </c>
      <c r="I41" s="603">
        <v>369</v>
      </c>
      <c r="J41" s="603">
        <v>103</v>
      </c>
      <c r="K41" s="603">
        <v>25</v>
      </c>
      <c r="L41" s="603">
        <v>23</v>
      </c>
      <c r="M41" s="603"/>
    </row>
    <row r="42" spans="1:13" s="604" customFormat="1" x14ac:dyDescent="0.25">
      <c r="A42" s="606" t="s">
        <v>96</v>
      </c>
      <c r="B42" s="602" t="s">
        <v>97</v>
      </c>
      <c r="C42" s="601" t="s">
        <v>266</v>
      </c>
      <c r="D42" s="962">
        <v>77</v>
      </c>
      <c r="E42" s="962">
        <v>50</v>
      </c>
      <c r="F42" s="962">
        <v>0</v>
      </c>
      <c r="G42" s="962">
        <v>78</v>
      </c>
      <c r="H42" s="962">
        <v>49</v>
      </c>
      <c r="I42" s="603">
        <v>88</v>
      </c>
      <c r="J42" s="603">
        <v>25</v>
      </c>
      <c r="K42" s="603">
        <v>8</v>
      </c>
      <c r="L42" s="603">
        <v>6</v>
      </c>
      <c r="M42" s="603"/>
    </row>
    <row r="43" spans="1:13" s="604" customFormat="1" x14ac:dyDescent="0.25">
      <c r="A43" s="606" t="s">
        <v>98</v>
      </c>
      <c r="B43" s="602" t="s">
        <v>99</v>
      </c>
      <c r="C43" s="601" t="s">
        <v>268</v>
      </c>
      <c r="D43" s="962">
        <v>127</v>
      </c>
      <c r="E43" s="962">
        <v>68</v>
      </c>
      <c r="F43" s="962">
        <v>1</v>
      </c>
      <c r="G43" s="962">
        <v>105</v>
      </c>
      <c r="H43" s="962">
        <v>91</v>
      </c>
      <c r="I43" s="603">
        <v>165</v>
      </c>
      <c r="J43" s="603">
        <v>18</v>
      </c>
      <c r="K43" s="603">
        <v>9</v>
      </c>
      <c r="L43" s="603">
        <v>2</v>
      </c>
      <c r="M43" s="603"/>
    </row>
    <row r="44" spans="1:13" s="604" customFormat="1" x14ac:dyDescent="0.25">
      <c r="A44" s="606" t="s">
        <v>100</v>
      </c>
      <c r="B44" s="602" t="s">
        <v>101</v>
      </c>
      <c r="C44" s="601" t="s">
        <v>267</v>
      </c>
      <c r="D44" s="962">
        <v>159</v>
      </c>
      <c r="E44" s="962">
        <v>87</v>
      </c>
      <c r="F44" s="962">
        <v>0</v>
      </c>
      <c r="G44" s="962">
        <v>132</v>
      </c>
      <c r="H44" s="962">
        <v>114</v>
      </c>
      <c r="I44" s="603">
        <v>153</v>
      </c>
      <c r="J44" s="603">
        <v>51</v>
      </c>
      <c r="K44" s="603">
        <v>26</v>
      </c>
      <c r="L44" s="603">
        <v>21</v>
      </c>
      <c r="M44" s="603"/>
    </row>
    <row r="45" spans="1:13" s="604" customFormat="1" x14ac:dyDescent="0.25">
      <c r="A45" s="606" t="s">
        <v>102</v>
      </c>
      <c r="B45" s="602" t="s">
        <v>282</v>
      </c>
      <c r="C45" s="601" t="s">
        <v>264</v>
      </c>
      <c r="D45" s="962">
        <v>452</v>
      </c>
      <c r="E45" s="962">
        <v>251</v>
      </c>
      <c r="F45" s="962">
        <v>4</v>
      </c>
      <c r="G45" s="962">
        <v>417</v>
      </c>
      <c r="H45" s="962">
        <v>290</v>
      </c>
      <c r="I45" s="603">
        <v>38</v>
      </c>
      <c r="J45" s="603">
        <v>606</v>
      </c>
      <c r="K45" s="603">
        <v>32</v>
      </c>
      <c r="L45" s="603">
        <v>4</v>
      </c>
      <c r="M45" s="603"/>
    </row>
    <row r="46" spans="1:13" s="604" customFormat="1" x14ac:dyDescent="0.25">
      <c r="A46" s="606" t="s">
        <v>104</v>
      </c>
      <c r="B46" s="602" t="s">
        <v>105</v>
      </c>
      <c r="C46" s="601" t="s">
        <v>265</v>
      </c>
      <c r="D46" s="962">
        <v>544</v>
      </c>
      <c r="E46" s="962">
        <v>297</v>
      </c>
      <c r="F46" s="962">
        <v>2</v>
      </c>
      <c r="G46" s="962">
        <v>520</v>
      </c>
      <c r="H46" s="962">
        <v>323</v>
      </c>
      <c r="I46" s="603">
        <v>221</v>
      </c>
      <c r="J46" s="603">
        <v>537</v>
      </c>
      <c r="K46" s="603">
        <v>18</v>
      </c>
      <c r="L46" s="603">
        <v>12</v>
      </c>
      <c r="M46" s="603"/>
    </row>
    <row r="47" spans="1:13" s="604" customFormat="1" x14ac:dyDescent="0.25">
      <c r="A47" s="606" t="s">
        <v>108</v>
      </c>
      <c r="B47" s="602" t="s">
        <v>109</v>
      </c>
      <c r="C47" s="601" t="s">
        <v>266</v>
      </c>
      <c r="D47" s="962">
        <v>357</v>
      </c>
      <c r="E47" s="962">
        <v>207</v>
      </c>
      <c r="F47" s="962">
        <v>1</v>
      </c>
      <c r="G47" s="962">
        <v>326</v>
      </c>
      <c r="H47" s="962">
        <v>239</v>
      </c>
      <c r="I47" s="603">
        <v>269</v>
      </c>
      <c r="J47" s="603">
        <v>189</v>
      </c>
      <c r="K47" s="603">
        <v>26</v>
      </c>
      <c r="L47" s="603">
        <v>5</v>
      </c>
      <c r="M47" s="603"/>
    </row>
    <row r="48" spans="1:13" s="604" customFormat="1" x14ac:dyDescent="0.25">
      <c r="A48" s="606" t="s">
        <v>110</v>
      </c>
      <c r="B48" s="602" t="s">
        <v>111</v>
      </c>
      <c r="C48" s="601" t="s">
        <v>266</v>
      </c>
      <c r="D48" s="962">
        <v>3513</v>
      </c>
      <c r="E48" s="962">
        <v>1961</v>
      </c>
      <c r="F48" s="962">
        <v>8</v>
      </c>
      <c r="G48" s="962">
        <v>3424</v>
      </c>
      <c r="H48" s="962">
        <v>2058</v>
      </c>
      <c r="I48" s="603">
        <v>939</v>
      </c>
      <c r="J48" s="603">
        <v>3569</v>
      </c>
      <c r="K48" s="603">
        <v>242</v>
      </c>
      <c r="L48" s="603">
        <v>44</v>
      </c>
      <c r="M48" s="603"/>
    </row>
    <row r="49" spans="1:13" s="604" customFormat="1" x14ac:dyDescent="0.25">
      <c r="A49" s="606" t="s">
        <v>112</v>
      </c>
      <c r="B49" s="602" t="s">
        <v>300</v>
      </c>
      <c r="C49" s="601" t="s">
        <v>265</v>
      </c>
      <c r="D49" s="962">
        <v>1299</v>
      </c>
      <c r="E49" s="962">
        <v>670</v>
      </c>
      <c r="F49" s="962">
        <v>0</v>
      </c>
      <c r="G49" s="962">
        <v>1180</v>
      </c>
      <c r="H49" s="962">
        <v>789</v>
      </c>
      <c r="I49" s="603">
        <v>759</v>
      </c>
      <c r="J49" s="603">
        <v>885</v>
      </c>
      <c r="K49" s="603">
        <v>42</v>
      </c>
      <c r="L49" s="603">
        <v>27</v>
      </c>
      <c r="M49" s="603"/>
    </row>
    <row r="50" spans="1:13" s="604" customFormat="1" x14ac:dyDescent="0.25">
      <c r="A50" s="606" t="s">
        <v>114</v>
      </c>
      <c r="B50" s="602" t="s">
        <v>115</v>
      </c>
      <c r="C50" s="601" t="s">
        <v>265</v>
      </c>
      <c r="D50" s="962">
        <v>7</v>
      </c>
      <c r="E50" s="962">
        <v>3</v>
      </c>
      <c r="F50" s="962">
        <v>0</v>
      </c>
      <c r="G50" s="962">
        <v>6</v>
      </c>
      <c r="H50" s="962">
        <v>4</v>
      </c>
      <c r="I50" s="603">
        <v>4</v>
      </c>
      <c r="J50" s="603">
        <v>0</v>
      </c>
      <c r="K50" s="603">
        <v>0</v>
      </c>
      <c r="L50" s="603">
        <v>0</v>
      </c>
      <c r="M50" s="603"/>
    </row>
    <row r="51" spans="1:13" s="604" customFormat="1" x14ac:dyDescent="0.25">
      <c r="A51" s="606" t="s">
        <v>118</v>
      </c>
      <c r="B51" s="602" t="s">
        <v>270</v>
      </c>
      <c r="C51" s="601" t="s">
        <v>264</v>
      </c>
      <c r="D51" s="962">
        <v>302</v>
      </c>
      <c r="E51" s="962">
        <v>162</v>
      </c>
      <c r="F51" s="962">
        <v>0</v>
      </c>
      <c r="G51" s="962">
        <v>279</v>
      </c>
      <c r="H51" s="962">
        <v>185</v>
      </c>
      <c r="I51" s="603">
        <v>162</v>
      </c>
      <c r="J51" s="603">
        <v>258</v>
      </c>
      <c r="K51" s="603">
        <v>11</v>
      </c>
      <c r="L51" s="603">
        <v>6</v>
      </c>
      <c r="M51" s="603"/>
    </row>
    <row r="52" spans="1:13" s="604" customFormat="1" x14ac:dyDescent="0.25">
      <c r="A52" s="606" t="s">
        <v>120</v>
      </c>
      <c r="B52" s="602" t="s">
        <v>121</v>
      </c>
      <c r="C52" s="601" t="s">
        <v>264</v>
      </c>
      <c r="D52" s="962">
        <v>439</v>
      </c>
      <c r="E52" s="962">
        <v>261</v>
      </c>
      <c r="F52" s="962">
        <v>0</v>
      </c>
      <c r="G52" s="962">
        <v>454</v>
      </c>
      <c r="H52" s="962">
        <v>246</v>
      </c>
      <c r="I52" s="603">
        <v>255</v>
      </c>
      <c r="J52" s="603">
        <v>334</v>
      </c>
      <c r="K52" s="603">
        <v>44</v>
      </c>
      <c r="L52" s="603">
        <v>24</v>
      </c>
      <c r="M52" s="603"/>
    </row>
    <row r="53" spans="1:13" s="604" customFormat="1" x14ac:dyDescent="0.25">
      <c r="A53" s="606" t="s">
        <v>122</v>
      </c>
      <c r="B53" s="602" t="s">
        <v>287</v>
      </c>
      <c r="C53" s="601" t="s">
        <v>266</v>
      </c>
      <c r="D53" s="962">
        <v>114</v>
      </c>
      <c r="E53" s="962">
        <v>66</v>
      </c>
      <c r="F53" s="962">
        <v>0</v>
      </c>
      <c r="G53" s="962">
        <v>109</v>
      </c>
      <c r="H53" s="962">
        <v>71</v>
      </c>
      <c r="I53" s="603">
        <v>82</v>
      </c>
      <c r="J53" s="603">
        <v>76</v>
      </c>
      <c r="K53" s="603">
        <v>14</v>
      </c>
      <c r="L53" s="603">
        <v>13</v>
      </c>
      <c r="M53" s="603"/>
    </row>
    <row r="54" spans="1:13" s="604" customFormat="1" x14ac:dyDescent="0.25">
      <c r="A54" s="606" t="s">
        <v>124</v>
      </c>
      <c r="B54" s="602" t="s">
        <v>125</v>
      </c>
      <c r="C54" s="601" t="s">
        <v>267</v>
      </c>
      <c r="D54" s="962">
        <v>175</v>
      </c>
      <c r="E54" s="962">
        <v>83</v>
      </c>
      <c r="F54" s="962">
        <v>0</v>
      </c>
      <c r="G54" s="962">
        <v>163</v>
      </c>
      <c r="H54" s="962">
        <v>95</v>
      </c>
      <c r="I54" s="603">
        <v>104</v>
      </c>
      <c r="J54" s="603">
        <v>113</v>
      </c>
      <c r="K54" s="603">
        <v>17</v>
      </c>
      <c r="L54" s="603">
        <v>13</v>
      </c>
      <c r="M54" s="603"/>
    </row>
    <row r="55" spans="1:13" s="604" customFormat="1" x14ac:dyDescent="0.25">
      <c r="A55" s="606" t="s">
        <v>126</v>
      </c>
      <c r="B55" s="602" t="s">
        <v>127</v>
      </c>
      <c r="C55" s="601" t="s">
        <v>266</v>
      </c>
      <c r="D55" s="962">
        <v>108</v>
      </c>
      <c r="E55" s="962">
        <v>59</v>
      </c>
      <c r="F55" s="962">
        <v>0</v>
      </c>
      <c r="G55" s="962">
        <v>93</v>
      </c>
      <c r="H55" s="962">
        <v>74</v>
      </c>
      <c r="I55" s="603">
        <v>78</v>
      </c>
      <c r="J55" s="603">
        <v>82</v>
      </c>
      <c r="K55" s="603">
        <v>5</v>
      </c>
      <c r="L55" s="603">
        <v>1</v>
      </c>
      <c r="M55" s="603"/>
    </row>
    <row r="56" spans="1:13" s="604" customFormat="1" x14ac:dyDescent="0.25">
      <c r="A56" s="606" t="s">
        <v>128</v>
      </c>
      <c r="B56" s="602" t="s">
        <v>129</v>
      </c>
      <c r="C56" s="601" t="s">
        <v>266</v>
      </c>
      <c r="D56" s="962">
        <v>118</v>
      </c>
      <c r="E56" s="962">
        <v>59</v>
      </c>
      <c r="F56" s="962">
        <v>0</v>
      </c>
      <c r="G56" s="962">
        <v>109</v>
      </c>
      <c r="H56" s="962">
        <v>68</v>
      </c>
      <c r="I56" s="603">
        <v>53</v>
      </c>
      <c r="J56" s="603">
        <v>116</v>
      </c>
      <c r="K56" s="603">
        <v>7</v>
      </c>
      <c r="L56" s="603">
        <v>7</v>
      </c>
      <c r="M56" s="603"/>
    </row>
    <row r="57" spans="1:13" s="604" customFormat="1" x14ac:dyDescent="0.25">
      <c r="A57" s="606" t="s">
        <v>130</v>
      </c>
      <c r="B57" s="602" t="s">
        <v>131</v>
      </c>
      <c r="C57" s="601" t="s">
        <v>268</v>
      </c>
      <c r="D57" s="962">
        <v>645</v>
      </c>
      <c r="E57" s="962">
        <v>449</v>
      </c>
      <c r="F57" s="962">
        <v>4</v>
      </c>
      <c r="G57" s="962">
        <v>626</v>
      </c>
      <c r="H57" s="962">
        <v>472</v>
      </c>
      <c r="I57" s="603">
        <v>1052</v>
      </c>
      <c r="J57" s="603">
        <v>11</v>
      </c>
      <c r="K57" s="603">
        <v>4</v>
      </c>
      <c r="L57" s="603">
        <v>1</v>
      </c>
      <c r="M57" s="603"/>
    </row>
    <row r="58" spans="1:13" s="604" customFormat="1" x14ac:dyDescent="0.25">
      <c r="A58" s="606" t="s">
        <v>132</v>
      </c>
      <c r="B58" s="602" t="s">
        <v>133</v>
      </c>
      <c r="C58" s="601" t="s">
        <v>267</v>
      </c>
      <c r="D58" s="962">
        <v>753</v>
      </c>
      <c r="E58" s="962">
        <v>518</v>
      </c>
      <c r="F58" s="962">
        <v>3</v>
      </c>
      <c r="G58" s="962">
        <v>743</v>
      </c>
      <c r="H58" s="962">
        <v>531</v>
      </c>
      <c r="I58" s="603">
        <v>503</v>
      </c>
      <c r="J58" s="603">
        <v>305</v>
      </c>
      <c r="K58" s="603">
        <v>114</v>
      </c>
      <c r="L58" s="603">
        <v>12</v>
      </c>
      <c r="M58" s="603"/>
    </row>
    <row r="59" spans="1:13" s="604" customFormat="1" x14ac:dyDescent="0.25">
      <c r="A59" s="606" t="s">
        <v>134</v>
      </c>
      <c r="B59" s="602" t="s">
        <v>135</v>
      </c>
      <c r="C59" s="601" t="s">
        <v>267</v>
      </c>
      <c r="D59" s="962">
        <v>312</v>
      </c>
      <c r="E59" s="962">
        <v>174</v>
      </c>
      <c r="F59" s="962">
        <v>0</v>
      </c>
      <c r="G59" s="962">
        <v>311</v>
      </c>
      <c r="H59" s="962">
        <v>175</v>
      </c>
      <c r="I59" s="603">
        <v>246</v>
      </c>
      <c r="J59" s="603">
        <v>175</v>
      </c>
      <c r="K59" s="603">
        <v>12</v>
      </c>
      <c r="L59" s="603">
        <v>10</v>
      </c>
      <c r="M59" s="603"/>
    </row>
    <row r="60" spans="1:13" s="604" customFormat="1" x14ac:dyDescent="0.25">
      <c r="A60" s="606" t="s">
        <v>136</v>
      </c>
      <c r="B60" s="602" t="s">
        <v>137</v>
      </c>
      <c r="C60" s="601" t="s">
        <v>266</v>
      </c>
      <c r="D60" s="962">
        <v>134</v>
      </c>
      <c r="E60" s="962">
        <v>77</v>
      </c>
      <c r="F60" s="962">
        <v>0</v>
      </c>
      <c r="G60" s="962">
        <v>124</v>
      </c>
      <c r="H60" s="962">
        <v>87</v>
      </c>
      <c r="I60" s="603">
        <v>55</v>
      </c>
      <c r="J60" s="603">
        <v>139</v>
      </c>
      <c r="K60" s="603">
        <v>12</v>
      </c>
      <c r="L60" s="603">
        <v>6</v>
      </c>
      <c r="M60" s="603"/>
    </row>
    <row r="61" spans="1:13" s="604" customFormat="1" x14ac:dyDescent="0.25">
      <c r="A61" s="606" t="s">
        <v>140</v>
      </c>
      <c r="B61" s="602" t="s">
        <v>141</v>
      </c>
      <c r="C61" s="601" t="s">
        <v>267</v>
      </c>
      <c r="D61" s="962">
        <v>92</v>
      </c>
      <c r="E61" s="962">
        <v>40</v>
      </c>
      <c r="F61" s="962">
        <v>0</v>
      </c>
      <c r="G61" s="962">
        <v>83</v>
      </c>
      <c r="H61" s="962">
        <v>49</v>
      </c>
      <c r="I61" s="603">
        <v>91</v>
      </c>
      <c r="J61" s="603">
        <v>26</v>
      </c>
      <c r="K61" s="603">
        <v>3</v>
      </c>
      <c r="L61" s="603">
        <v>3</v>
      </c>
      <c r="M61" s="603"/>
    </row>
    <row r="62" spans="1:13" s="604" customFormat="1" x14ac:dyDescent="0.25">
      <c r="A62" s="606" t="s">
        <v>146</v>
      </c>
      <c r="B62" s="602" t="s">
        <v>147</v>
      </c>
      <c r="C62" s="601" t="s">
        <v>264</v>
      </c>
      <c r="D62" s="962">
        <v>52</v>
      </c>
      <c r="E62" s="962">
        <v>29</v>
      </c>
      <c r="F62" s="962">
        <v>0</v>
      </c>
      <c r="G62" s="962">
        <v>47</v>
      </c>
      <c r="H62" s="962">
        <v>34</v>
      </c>
      <c r="I62" s="603">
        <v>48</v>
      </c>
      <c r="J62" s="603">
        <v>25</v>
      </c>
      <c r="K62" s="603">
        <v>2</v>
      </c>
      <c r="L62" s="603">
        <v>2</v>
      </c>
      <c r="M62" s="603"/>
    </row>
    <row r="63" spans="1:13" s="604" customFormat="1" x14ac:dyDescent="0.25">
      <c r="A63" s="606" t="s">
        <v>148</v>
      </c>
      <c r="B63" s="602" t="s">
        <v>149</v>
      </c>
      <c r="C63" s="601" t="s">
        <v>265</v>
      </c>
      <c r="D63" s="962">
        <v>427</v>
      </c>
      <c r="E63" s="962">
        <v>203</v>
      </c>
      <c r="F63" s="962">
        <v>0</v>
      </c>
      <c r="G63" s="962">
        <v>402</v>
      </c>
      <c r="H63" s="962">
        <v>228</v>
      </c>
      <c r="I63" s="603">
        <v>160</v>
      </c>
      <c r="J63" s="603">
        <v>440</v>
      </c>
      <c r="K63" s="603">
        <v>10</v>
      </c>
      <c r="L63" s="603">
        <v>8</v>
      </c>
      <c r="M63" s="603"/>
    </row>
    <row r="64" spans="1:13" s="604" customFormat="1" x14ac:dyDescent="0.25">
      <c r="A64" s="606" t="s">
        <v>150</v>
      </c>
      <c r="B64" s="602" t="s">
        <v>151</v>
      </c>
      <c r="C64" s="601" t="s">
        <v>266</v>
      </c>
      <c r="D64" s="962">
        <v>129</v>
      </c>
      <c r="E64" s="962">
        <v>103</v>
      </c>
      <c r="F64" s="962">
        <v>0</v>
      </c>
      <c r="G64" s="962">
        <v>140</v>
      </c>
      <c r="H64" s="962">
        <v>92</v>
      </c>
      <c r="I64" s="603">
        <v>146</v>
      </c>
      <c r="J64" s="603">
        <v>71</v>
      </c>
      <c r="K64" s="603">
        <v>4</v>
      </c>
      <c r="L64" s="603">
        <v>4</v>
      </c>
      <c r="M64" s="603"/>
    </row>
    <row r="65" spans="1:13" s="604" customFormat="1" x14ac:dyDescent="0.25">
      <c r="A65" s="606" t="s">
        <v>152</v>
      </c>
      <c r="B65" s="602" t="s">
        <v>153</v>
      </c>
      <c r="C65" s="601" t="s">
        <v>268</v>
      </c>
      <c r="D65" s="962">
        <v>717</v>
      </c>
      <c r="E65" s="962">
        <v>412</v>
      </c>
      <c r="F65" s="962">
        <v>0</v>
      </c>
      <c r="G65" s="962">
        <v>664</v>
      </c>
      <c r="H65" s="962">
        <v>465</v>
      </c>
      <c r="I65" s="603">
        <v>884</v>
      </c>
      <c r="J65" s="603">
        <v>131</v>
      </c>
      <c r="K65" s="603">
        <v>44</v>
      </c>
      <c r="L65" s="603">
        <v>24</v>
      </c>
      <c r="M65" s="603"/>
    </row>
    <row r="66" spans="1:13" s="604" customFormat="1" x14ac:dyDescent="0.25">
      <c r="A66" s="606" t="s">
        <v>154</v>
      </c>
      <c r="B66" s="602" t="s">
        <v>155</v>
      </c>
      <c r="C66" s="601" t="s">
        <v>265</v>
      </c>
      <c r="D66" s="962">
        <v>125</v>
      </c>
      <c r="E66" s="962">
        <v>64</v>
      </c>
      <c r="F66" s="962">
        <v>0</v>
      </c>
      <c r="G66" s="962">
        <v>108</v>
      </c>
      <c r="H66" s="962">
        <v>81</v>
      </c>
      <c r="I66" s="603">
        <v>110</v>
      </c>
      <c r="J66" s="603">
        <v>51</v>
      </c>
      <c r="K66" s="603">
        <v>5</v>
      </c>
      <c r="L66" s="603">
        <v>3</v>
      </c>
      <c r="M66" s="603"/>
    </row>
    <row r="67" spans="1:13" s="604" customFormat="1" x14ac:dyDescent="0.25">
      <c r="A67" s="606" t="s">
        <v>156</v>
      </c>
      <c r="B67" s="602" t="s">
        <v>157</v>
      </c>
      <c r="C67" s="601" t="s">
        <v>266</v>
      </c>
      <c r="D67" s="962">
        <v>122</v>
      </c>
      <c r="E67" s="962">
        <v>74</v>
      </c>
      <c r="F67" s="962">
        <v>0</v>
      </c>
      <c r="G67" s="962">
        <v>114</v>
      </c>
      <c r="H67" s="962">
        <v>82</v>
      </c>
      <c r="I67" s="603">
        <v>111</v>
      </c>
      <c r="J67" s="603">
        <v>38</v>
      </c>
      <c r="K67" s="603">
        <v>15</v>
      </c>
      <c r="L67" s="603">
        <v>3</v>
      </c>
      <c r="M67" s="603"/>
    </row>
    <row r="68" spans="1:13" s="604" customFormat="1" x14ac:dyDescent="0.25">
      <c r="A68" s="606" t="s">
        <v>162</v>
      </c>
      <c r="B68" s="602" t="s">
        <v>163</v>
      </c>
      <c r="C68" s="601" t="s">
        <v>264</v>
      </c>
      <c r="D68" s="962">
        <v>249</v>
      </c>
      <c r="E68" s="962">
        <v>129</v>
      </c>
      <c r="F68" s="962">
        <v>0</v>
      </c>
      <c r="G68" s="962">
        <v>234</v>
      </c>
      <c r="H68" s="962">
        <v>144</v>
      </c>
      <c r="I68" s="603">
        <v>78</v>
      </c>
      <c r="J68" s="603">
        <v>281</v>
      </c>
      <c r="K68" s="603">
        <v>4</v>
      </c>
      <c r="L68" s="603">
        <v>3</v>
      </c>
      <c r="M68" s="603"/>
    </row>
    <row r="69" spans="1:13" s="604" customFormat="1" x14ac:dyDescent="0.25">
      <c r="A69" s="606" t="s">
        <v>164</v>
      </c>
      <c r="B69" s="602" t="s">
        <v>165</v>
      </c>
      <c r="C69" s="601" t="s">
        <v>266</v>
      </c>
      <c r="D69" s="962">
        <v>118</v>
      </c>
      <c r="E69" s="962">
        <v>58</v>
      </c>
      <c r="F69" s="962">
        <v>1</v>
      </c>
      <c r="G69" s="962">
        <v>109</v>
      </c>
      <c r="H69" s="962">
        <v>68</v>
      </c>
      <c r="I69" s="603">
        <v>63</v>
      </c>
      <c r="J69" s="603">
        <v>86</v>
      </c>
      <c r="K69" s="603">
        <v>11</v>
      </c>
      <c r="L69" s="603">
        <v>4</v>
      </c>
      <c r="M69" s="603"/>
    </row>
    <row r="70" spans="1:13" s="604" customFormat="1" x14ac:dyDescent="0.25">
      <c r="A70" s="606" t="s">
        <v>168</v>
      </c>
      <c r="B70" s="602" t="s">
        <v>169</v>
      </c>
      <c r="C70" s="601" t="s">
        <v>266</v>
      </c>
      <c r="D70" s="962">
        <v>342</v>
      </c>
      <c r="E70" s="962">
        <v>180</v>
      </c>
      <c r="F70" s="962">
        <v>0</v>
      </c>
      <c r="G70" s="962">
        <v>317</v>
      </c>
      <c r="H70" s="962">
        <v>205</v>
      </c>
      <c r="I70" s="603">
        <v>161</v>
      </c>
      <c r="J70" s="603">
        <v>335</v>
      </c>
      <c r="K70" s="603">
        <v>15</v>
      </c>
      <c r="L70" s="603">
        <v>9</v>
      </c>
      <c r="M70" s="603"/>
    </row>
    <row r="71" spans="1:13" s="604" customFormat="1" x14ac:dyDescent="0.25">
      <c r="A71" s="606" t="s">
        <v>170</v>
      </c>
      <c r="B71" s="602" t="s">
        <v>171</v>
      </c>
      <c r="C71" s="601" t="s">
        <v>267</v>
      </c>
      <c r="D71" s="962">
        <v>279</v>
      </c>
      <c r="E71" s="962">
        <v>158</v>
      </c>
      <c r="F71" s="962">
        <v>0</v>
      </c>
      <c r="G71" s="962">
        <v>271</v>
      </c>
      <c r="H71" s="962">
        <v>166</v>
      </c>
      <c r="I71" s="603">
        <v>216</v>
      </c>
      <c r="J71" s="603">
        <v>125</v>
      </c>
      <c r="K71" s="603">
        <v>23</v>
      </c>
      <c r="L71" s="603">
        <v>16</v>
      </c>
      <c r="M71" s="603"/>
    </row>
    <row r="72" spans="1:13" s="604" customFormat="1" x14ac:dyDescent="0.25">
      <c r="A72" s="606" t="s">
        <v>172</v>
      </c>
      <c r="B72" s="602" t="s">
        <v>173</v>
      </c>
      <c r="C72" s="601" t="s">
        <v>267</v>
      </c>
      <c r="D72" s="962">
        <v>147</v>
      </c>
      <c r="E72" s="962">
        <v>90</v>
      </c>
      <c r="F72" s="962">
        <v>0</v>
      </c>
      <c r="G72" s="962">
        <v>136</v>
      </c>
      <c r="H72" s="962">
        <v>101</v>
      </c>
      <c r="I72" s="603">
        <v>215</v>
      </c>
      <c r="J72" s="603">
        <v>17</v>
      </c>
      <c r="K72" s="603">
        <v>3</v>
      </c>
      <c r="L72" s="603">
        <v>1</v>
      </c>
      <c r="M72" s="603"/>
    </row>
    <row r="73" spans="1:13" s="604" customFormat="1" x14ac:dyDescent="0.25">
      <c r="A73" s="606" t="s">
        <v>174</v>
      </c>
      <c r="B73" s="602" t="s">
        <v>175</v>
      </c>
      <c r="C73" s="601" t="s">
        <v>268</v>
      </c>
      <c r="D73" s="962">
        <v>255</v>
      </c>
      <c r="E73" s="962">
        <v>183</v>
      </c>
      <c r="F73" s="962">
        <v>0</v>
      </c>
      <c r="G73" s="962">
        <v>251</v>
      </c>
      <c r="H73" s="962">
        <v>187</v>
      </c>
      <c r="I73" s="603">
        <v>348</v>
      </c>
      <c r="J73" s="603">
        <v>45</v>
      </c>
      <c r="K73" s="603">
        <v>35</v>
      </c>
      <c r="L73" s="603">
        <v>11</v>
      </c>
      <c r="M73" s="603"/>
    </row>
    <row r="74" spans="1:13" s="604" customFormat="1" x14ac:dyDescent="0.25">
      <c r="A74" s="606" t="s">
        <v>178</v>
      </c>
      <c r="B74" s="602" t="s">
        <v>179</v>
      </c>
      <c r="C74" s="601" t="s">
        <v>265</v>
      </c>
      <c r="D74" s="962">
        <v>606</v>
      </c>
      <c r="E74" s="962">
        <v>332</v>
      </c>
      <c r="F74" s="962">
        <v>2</v>
      </c>
      <c r="G74" s="962">
        <v>573</v>
      </c>
      <c r="H74" s="962">
        <v>367</v>
      </c>
      <c r="I74" s="603">
        <v>467</v>
      </c>
      <c r="J74" s="603">
        <v>360</v>
      </c>
      <c r="K74" s="603">
        <v>36</v>
      </c>
      <c r="L74" s="603">
        <v>10</v>
      </c>
      <c r="M74" s="603"/>
    </row>
    <row r="75" spans="1:13" s="604" customFormat="1" x14ac:dyDescent="0.25">
      <c r="A75" s="606" t="s">
        <v>182</v>
      </c>
      <c r="B75" s="602" t="s">
        <v>183</v>
      </c>
      <c r="C75" s="601" t="s">
        <v>266</v>
      </c>
      <c r="D75" s="962">
        <v>113</v>
      </c>
      <c r="E75" s="962">
        <v>61</v>
      </c>
      <c r="F75" s="962">
        <v>2</v>
      </c>
      <c r="G75" s="962">
        <v>103</v>
      </c>
      <c r="H75" s="962">
        <v>73</v>
      </c>
      <c r="I75" s="603">
        <v>126</v>
      </c>
      <c r="J75" s="603">
        <v>31</v>
      </c>
      <c r="K75" s="603">
        <v>7</v>
      </c>
      <c r="L75" s="603">
        <v>7</v>
      </c>
      <c r="M75" s="603"/>
    </row>
    <row r="76" spans="1:13" s="604" customFormat="1" x14ac:dyDescent="0.25">
      <c r="A76" s="606" t="s">
        <v>184</v>
      </c>
      <c r="B76" s="602" t="s">
        <v>185</v>
      </c>
      <c r="C76" s="601" t="s">
        <v>266</v>
      </c>
      <c r="D76" s="962">
        <v>349</v>
      </c>
      <c r="E76" s="962">
        <v>214</v>
      </c>
      <c r="F76" s="962">
        <v>0</v>
      </c>
      <c r="G76" s="962">
        <v>361</v>
      </c>
      <c r="H76" s="962">
        <v>202</v>
      </c>
      <c r="I76" s="603">
        <v>128</v>
      </c>
      <c r="J76" s="603">
        <v>397</v>
      </c>
      <c r="K76" s="603">
        <v>21</v>
      </c>
      <c r="L76" s="603">
        <v>21</v>
      </c>
      <c r="M76" s="603"/>
    </row>
    <row r="77" spans="1:13" s="604" customFormat="1" x14ac:dyDescent="0.25">
      <c r="A77" s="606" t="s">
        <v>186</v>
      </c>
      <c r="B77" s="602" t="s">
        <v>187</v>
      </c>
      <c r="C77" s="601" t="s">
        <v>264</v>
      </c>
      <c r="D77" s="962">
        <v>335</v>
      </c>
      <c r="E77" s="962">
        <v>175</v>
      </c>
      <c r="F77" s="962">
        <v>0</v>
      </c>
      <c r="G77" s="962">
        <v>309</v>
      </c>
      <c r="H77" s="962">
        <v>201</v>
      </c>
      <c r="I77" s="603">
        <v>185</v>
      </c>
      <c r="J77" s="603">
        <v>237</v>
      </c>
      <c r="K77" s="603">
        <v>21</v>
      </c>
      <c r="L77" s="603">
        <v>5</v>
      </c>
      <c r="M77" s="603"/>
    </row>
    <row r="78" spans="1:13" s="604" customFormat="1" x14ac:dyDescent="0.25">
      <c r="A78" s="606" t="s">
        <v>188</v>
      </c>
      <c r="B78" s="602" t="s">
        <v>189</v>
      </c>
      <c r="C78" s="601" t="s">
        <v>267</v>
      </c>
      <c r="D78" s="962">
        <v>3053</v>
      </c>
      <c r="E78" s="962">
        <v>1832</v>
      </c>
      <c r="F78" s="962">
        <v>1</v>
      </c>
      <c r="G78" s="962">
        <v>3010</v>
      </c>
      <c r="H78" s="962">
        <v>1877</v>
      </c>
      <c r="I78" s="603">
        <v>1641</v>
      </c>
      <c r="J78" s="603">
        <v>2127</v>
      </c>
      <c r="K78" s="603">
        <v>499</v>
      </c>
      <c r="L78" s="603">
        <v>133</v>
      </c>
      <c r="M78" s="603"/>
    </row>
    <row r="79" spans="1:13" s="604" customFormat="1" x14ac:dyDescent="0.25">
      <c r="A79" s="606" t="s">
        <v>190</v>
      </c>
      <c r="B79" s="602" t="s">
        <v>191</v>
      </c>
      <c r="C79" s="601" t="s">
        <v>268</v>
      </c>
      <c r="D79" s="962">
        <v>436</v>
      </c>
      <c r="E79" s="962">
        <v>218</v>
      </c>
      <c r="F79" s="962">
        <v>0</v>
      </c>
      <c r="G79" s="962">
        <v>372</v>
      </c>
      <c r="H79" s="962">
        <v>282</v>
      </c>
      <c r="I79" s="603">
        <v>479</v>
      </c>
      <c r="J79" s="603">
        <v>109</v>
      </c>
      <c r="K79" s="603">
        <v>39</v>
      </c>
      <c r="L79" s="603">
        <v>16</v>
      </c>
      <c r="M79" s="603"/>
    </row>
    <row r="80" spans="1:13" s="604" customFormat="1" x14ac:dyDescent="0.25">
      <c r="A80" s="606" t="s">
        <v>194</v>
      </c>
      <c r="B80" s="602" t="s">
        <v>195</v>
      </c>
      <c r="C80" s="601" t="s">
        <v>267</v>
      </c>
      <c r="D80" s="962">
        <v>33</v>
      </c>
      <c r="E80" s="962">
        <v>19</v>
      </c>
      <c r="F80" s="962">
        <v>0</v>
      </c>
      <c r="G80" s="962">
        <v>30</v>
      </c>
      <c r="H80" s="962">
        <v>22</v>
      </c>
      <c r="I80" s="603">
        <v>31</v>
      </c>
      <c r="J80" s="603">
        <v>9</v>
      </c>
      <c r="K80" s="603">
        <v>2</v>
      </c>
      <c r="L80" s="603">
        <v>0</v>
      </c>
      <c r="M80" s="603"/>
    </row>
    <row r="81" spans="1:13" s="604" customFormat="1" x14ac:dyDescent="0.25">
      <c r="A81" s="606" t="s">
        <v>198</v>
      </c>
      <c r="B81" s="602" t="s">
        <v>272</v>
      </c>
      <c r="C81" s="601" t="s">
        <v>266</v>
      </c>
      <c r="D81" s="962">
        <v>123</v>
      </c>
      <c r="E81" s="962">
        <v>59</v>
      </c>
      <c r="F81" s="962">
        <v>1</v>
      </c>
      <c r="G81" s="962">
        <v>106</v>
      </c>
      <c r="H81" s="962">
        <v>77</v>
      </c>
      <c r="I81" s="603">
        <v>46</v>
      </c>
      <c r="J81" s="603">
        <v>115</v>
      </c>
      <c r="K81" s="603">
        <v>12</v>
      </c>
      <c r="L81" s="603">
        <v>6</v>
      </c>
      <c r="M81" s="603"/>
    </row>
    <row r="82" spans="1:13" s="604" customFormat="1" x14ac:dyDescent="0.25">
      <c r="A82" s="606" t="s">
        <v>202</v>
      </c>
      <c r="B82" s="602" t="s">
        <v>301</v>
      </c>
      <c r="C82" s="601" t="s">
        <v>265</v>
      </c>
      <c r="D82" s="962">
        <v>718</v>
      </c>
      <c r="E82" s="962">
        <v>338</v>
      </c>
      <c r="F82" s="962">
        <v>0</v>
      </c>
      <c r="G82" s="962">
        <v>618</v>
      </c>
      <c r="H82" s="962">
        <v>438</v>
      </c>
      <c r="I82" s="603">
        <v>685</v>
      </c>
      <c r="J82" s="603">
        <v>242</v>
      </c>
      <c r="K82" s="603">
        <v>56</v>
      </c>
      <c r="L82" s="603">
        <v>49</v>
      </c>
      <c r="M82" s="603"/>
    </row>
    <row r="83" spans="1:13" s="604" customFormat="1" x14ac:dyDescent="0.25">
      <c r="A83" s="606" t="s">
        <v>204</v>
      </c>
      <c r="B83" s="602" t="s">
        <v>293</v>
      </c>
      <c r="C83" s="601" t="s">
        <v>265</v>
      </c>
      <c r="D83" s="962">
        <v>197</v>
      </c>
      <c r="E83" s="962">
        <v>106</v>
      </c>
      <c r="F83" s="962">
        <v>0</v>
      </c>
      <c r="G83" s="962">
        <v>185</v>
      </c>
      <c r="H83" s="962">
        <v>118</v>
      </c>
      <c r="I83" s="603">
        <v>231</v>
      </c>
      <c r="J83" s="603">
        <v>37</v>
      </c>
      <c r="K83" s="603">
        <v>6</v>
      </c>
      <c r="L83" s="603">
        <v>6</v>
      </c>
      <c r="M83" s="603"/>
    </row>
    <row r="84" spans="1:13" s="604" customFormat="1" x14ac:dyDescent="0.25">
      <c r="A84" s="606" t="s">
        <v>206</v>
      </c>
      <c r="B84" s="602" t="s">
        <v>294</v>
      </c>
      <c r="C84" s="601" t="s">
        <v>267</v>
      </c>
      <c r="D84" s="962">
        <v>826</v>
      </c>
      <c r="E84" s="962">
        <v>505</v>
      </c>
      <c r="F84" s="962">
        <v>1</v>
      </c>
      <c r="G84" s="962">
        <v>778</v>
      </c>
      <c r="H84" s="962">
        <v>554</v>
      </c>
      <c r="I84" s="603">
        <v>761</v>
      </c>
      <c r="J84" s="603">
        <v>178</v>
      </c>
      <c r="K84" s="603">
        <v>148</v>
      </c>
      <c r="L84" s="603">
        <v>31</v>
      </c>
      <c r="M84" s="603"/>
    </row>
    <row r="85" spans="1:13" s="604" customFormat="1" x14ac:dyDescent="0.25">
      <c r="A85" s="606" t="s">
        <v>208</v>
      </c>
      <c r="B85" s="602" t="s">
        <v>209</v>
      </c>
      <c r="C85" s="601" t="s">
        <v>268</v>
      </c>
      <c r="D85" s="962">
        <v>497</v>
      </c>
      <c r="E85" s="962">
        <v>339</v>
      </c>
      <c r="F85" s="962">
        <v>0</v>
      </c>
      <c r="G85" s="962">
        <v>494</v>
      </c>
      <c r="H85" s="962">
        <v>342</v>
      </c>
      <c r="I85" s="603">
        <v>746</v>
      </c>
      <c r="J85" s="603">
        <v>12</v>
      </c>
      <c r="K85" s="603">
        <v>1</v>
      </c>
      <c r="L85" s="603">
        <v>1</v>
      </c>
      <c r="M85" s="603"/>
    </row>
    <row r="86" spans="1:13" s="604" customFormat="1" x14ac:dyDescent="0.25">
      <c r="A86" s="606" t="s">
        <v>210</v>
      </c>
      <c r="B86" s="602" t="s">
        <v>211</v>
      </c>
      <c r="C86" s="601" t="s">
        <v>268</v>
      </c>
      <c r="D86" s="962">
        <v>439</v>
      </c>
      <c r="E86" s="962">
        <v>260</v>
      </c>
      <c r="F86" s="962">
        <v>1</v>
      </c>
      <c r="G86" s="962">
        <v>416</v>
      </c>
      <c r="H86" s="962">
        <v>284</v>
      </c>
      <c r="I86" s="603">
        <v>631</v>
      </c>
      <c r="J86" s="603">
        <v>22</v>
      </c>
      <c r="K86" s="603">
        <v>3</v>
      </c>
      <c r="L86" s="603">
        <v>0</v>
      </c>
      <c r="M86" s="603"/>
    </row>
    <row r="87" spans="1:13" s="604" customFormat="1" x14ac:dyDescent="0.25">
      <c r="A87" s="606" t="s">
        <v>212</v>
      </c>
      <c r="B87" s="602" t="s">
        <v>213</v>
      </c>
      <c r="C87" s="601" t="s">
        <v>267</v>
      </c>
      <c r="D87" s="962">
        <v>202</v>
      </c>
      <c r="E87" s="962">
        <v>114</v>
      </c>
      <c r="F87" s="962">
        <v>0</v>
      </c>
      <c r="G87" s="962">
        <v>188</v>
      </c>
      <c r="H87" s="962">
        <v>128</v>
      </c>
      <c r="I87" s="603">
        <v>260</v>
      </c>
      <c r="J87" s="603">
        <v>28</v>
      </c>
      <c r="K87" s="603">
        <v>19</v>
      </c>
      <c r="L87" s="603">
        <v>3</v>
      </c>
      <c r="M87" s="603"/>
    </row>
    <row r="88" spans="1:13" s="604" customFormat="1" x14ac:dyDescent="0.25">
      <c r="A88" s="606" t="s">
        <v>214</v>
      </c>
      <c r="B88" s="602" t="s">
        <v>215</v>
      </c>
      <c r="C88" s="601" t="s">
        <v>268</v>
      </c>
      <c r="D88" s="962">
        <v>546</v>
      </c>
      <c r="E88" s="962">
        <v>347</v>
      </c>
      <c r="F88" s="962">
        <v>0</v>
      </c>
      <c r="G88" s="962">
        <v>513</v>
      </c>
      <c r="H88" s="962">
        <v>380</v>
      </c>
      <c r="I88" s="603">
        <v>818</v>
      </c>
      <c r="J88" s="603">
        <v>28</v>
      </c>
      <c r="K88" s="603">
        <v>8</v>
      </c>
      <c r="L88" s="603">
        <v>4</v>
      </c>
      <c r="M88" s="603"/>
    </row>
    <row r="89" spans="1:13" s="604" customFormat="1" x14ac:dyDescent="0.25">
      <c r="A89" s="606" t="s">
        <v>216</v>
      </c>
      <c r="B89" s="602" t="s">
        <v>217</v>
      </c>
      <c r="C89" s="601" t="s">
        <v>264</v>
      </c>
      <c r="D89" s="962">
        <v>225</v>
      </c>
      <c r="E89" s="962">
        <v>148</v>
      </c>
      <c r="F89" s="962">
        <v>3</v>
      </c>
      <c r="G89" s="962">
        <v>235</v>
      </c>
      <c r="H89" s="962">
        <v>141</v>
      </c>
      <c r="I89" s="603">
        <v>74</v>
      </c>
      <c r="J89" s="603">
        <v>257</v>
      </c>
      <c r="K89" s="603">
        <v>3</v>
      </c>
      <c r="L89" s="603">
        <v>1</v>
      </c>
      <c r="M89" s="603"/>
    </row>
    <row r="90" spans="1:13" s="604" customFormat="1" x14ac:dyDescent="0.25">
      <c r="A90" s="606" t="s">
        <v>218</v>
      </c>
      <c r="B90" s="602" t="s">
        <v>219</v>
      </c>
      <c r="C90" s="601" t="s">
        <v>267</v>
      </c>
      <c r="D90" s="962">
        <v>1236</v>
      </c>
      <c r="E90" s="962">
        <v>712</v>
      </c>
      <c r="F90" s="962">
        <v>0</v>
      </c>
      <c r="G90" s="962">
        <v>1161</v>
      </c>
      <c r="H90" s="962">
        <v>787</v>
      </c>
      <c r="I90" s="603">
        <v>936</v>
      </c>
      <c r="J90" s="603">
        <v>782</v>
      </c>
      <c r="K90" s="603">
        <v>81</v>
      </c>
      <c r="L90" s="603">
        <v>45</v>
      </c>
      <c r="M90" s="603"/>
    </row>
    <row r="91" spans="1:13" s="604" customFormat="1" x14ac:dyDescent="0.25">
      <c r="A91" s="606" t="s">
        <v>220</v>
      </c>
      <c r="B91" s="602" t="s">
        <v>221</v>
      </c>
      <c r="C91" s="601" t="s">
        <v>267</v>
      </c>
      <c r="D91" s="962">
        <v>944</v>
      </c>
      <c r="E91" s="962">
        <v>547</v>
      </c>
      <c r="F91" s="962">
        <v>1</v>
      </c>
      <c r="G91" s="962">
        <v>924</v>
      </c>
      <c r="H91" s="962">
        <v>568</v>
      </c>
      <c r="I91" s="603">
        <v>501</v>
      </c>
      <c r="J91" s="603">
        <v>602</v>
      </c>
      <c r="K91" s="603">
        <v>134</v>
      </c>
      <c r="L91" s="603">
        <v>72</v>
      </c>
      <c r="M91" s="603"/>
    </row>
    <row r="92" spans="1:13" s="604" customFormat="1" x14ac:dyDescent="0.25">
      <c r="A92" s="606" t="s">
        <v>224</v>
      </c>
      <c r="B92" s="602" t="s">
        <v>225</v>
      </c>
      <c r="C92" s="601" t="s">
        <v>264</v>
      </c>
      <c r="D92" s="962">
        <v>102</v>
      </c>
      <c r="E92" s="962">
        <v>63</v>
      </c>
      <c r="F92" s="962">
        <v>0</v>
      </c>
      <c r="G92" s="962">
        <v>99</v>
      </c>
      <c r="H92" s="962">
        <v>66</v>
      </c>
      <c r="I92" s="603">
        <v>42</v>
      </c>
      <c r="J92" s="603">
        <v>120</v>
      </c>
      <c r="K92" s="603">
        <v>3</v>
      </c>
      <c r="L92" s="603">
        <v>3</v>
      </c>
      <c r="M92" s="603"/>
    </row>
    <row r="93" spans="1:13" s="604" customFormat="1" x14ac:dyDescent="0.25">
      <c r="A93" s="606" t="s">
        <v>226</v>
      </c>
      <c r="B93" s="602" t="s">
        <v>227</v>
      </c>
      <c r="C93" s="601" t="s">
        <v>264</v>
      </c>
      <c r="D93" s="962">
        <v>232</v>
      </c>
      <c r="E93" s="962">
        <v>136</v>
      </c>
      <c r="F93" s="962">
        <v>0</v>
      </c>
      <c r="G93" s="962">
        <v>236</v>
      </c>
      <c r="H93" s="962">
        <v>132</v>
      </c>
      <c r="I93" s="603">
        <v>74</v>
      </c>
      <c r="J93" s="603">
        <v>267</v>
      </c>
      <c r="K93" s="603">
        <v>5</v>
      </c>
      <c r="L93" s="603">
        <v>4</v>
      </c>
      <c r="M93" s="603"/>
    </row>
    <row r="94" spans="1:13" s="604" customFormat="1" x14ac:dyDescent="0.25">
      <c r="A94" s="606" t="s">
        <v>228</v>
      </c>
      <c r="B94" s="602" t="s">
        <v>229</v>
      </c>
      <c r="C94" s="601" t="s">
        <v>268</v>
      </c>
      <c r="D94" s="962">
        <v>600</v>
      </c>
      <c r="E94" s="962">
        <v>390</v>
      </c>
      <c r="F94" s="962">
        <v>0</v>
      </c>
      <c r="G94" s="962">
        <v>584</v>
      </c>
      <c r="H94" s="962">
        <v>406</v>
      </c>
      <c r="I94" s="603">
        <v>845</v>
      </c>
      <c r="J94" s="603">
        <v>66</v>
      </c>
      <c r="K94" s="603">
        <v>16</v>
      </c>
      <c r="L94" s="603">
        <v>16</v>
      </c>
      <c r="M94" s="603"/>
    </row>
    <row r="95" spans="1:13" s="604" customFormat="1" x14ac:dyDescent="0.25">
      <c r="A95" s="606" t="s">
        <v>232</v>
      </c>
      <c r="B95" s="602" t="s">
        <v>233</v>
      </c>
      <c r="C95" s="601" t="s">
        <v>267</v>
      </c>
      <c r="D95" s="962">
        <v>340</v>
      </c>
      <c r="E95" s="962">
        <v>189</v>
      </c>
      <c r="F95" s="962">
        <v>0</v>
      </c>
      <c r="G95" s="962">
        <v>308</v>
      </c>
      <c r="H95" s="962">
        <v>221</v>
      </c>
      <c r="I95" s="603">
        <v>370</v>
      </c>
      <c r="J95" s="603">
        <v>101</v>
      </c>
      <c r="K95" s="603">
        <v>42</v>
      </c>
      <c r="L95" s="603">
        <v>37</v>
      </c>
      <c r="M95" s="603"/>
    </row>
    <row r="96" spans="1:13" s="604" customFormat="1" x14ac:dyDescent="0.25">
      <c r="A96" s="606" t="s">
        <v>234</v>
      </c>
      <c r="B96" s="602" t="s">
        <v>235</v>
      </c>
      <c r="C96" s="601" t="s">
        <v>268</v>
      </c>
      <c r="D96" s="962">
        <v>559</v>
      </c>
      <c r="E96" s="962">
        <v>323</v>
      </c>
      <c r="F96" s="962">
        <v>0</v>
      </c>
      <c r="G96" s="962">
        <v>513</v>
      </c>
      <c r="H96" s="962">
        <v>369</v>
      </c>
      <c r="I96" s="603">
        <v>808</v>
      </c>
      <c r="J96" s="603">
        <v>35</v>
      </c>
      <c r="K96" s="603">
        <v>25</v>
      </c>
      <c r="L96" s="603">
        <v>7</v>
      </c>
      <c r="M96" s="603"/>
    </row>
    <row r="97" spans="1:13" s="604" customFormat="1" x14ac:dyDescent="0.25">
      <c r="A97" s="606" t="s">
        <v>236</v>
      </c>
      <c r="B97" s="602" t="s">
        <v>237</v>
      </c>
      <c r="C97" s="601" t="s">
        <v>266</v>
      </c>
      <c r="D97" s="962">
        <v>254</v>
      </c>
      <c r="E97" s="962">
        <v>130</v>
      </c>
      <c r="F97" s="962">
        <v>0</v>
      </c>
      <c r="G97" s="962">
        <v>220</v>
      </c>
      <c r="H97" s="962">
        <v>164</v>
      </c>
      <c r="I97" s="603">
        <v>122</v>
      </c>
      <c r="J97" s="603">
        <v>202</v>
      </c>
      <c r="K97" s="603">
        <v>20</v>
      </c>
      <c r="L97" s="603">
        <v>17</v>
      </c>
      <c r="M97" s="603"/>
    </row>
    <row r="98" spans="1:13" s="604" customFormat="1" x14ac:dyDescent="0.25">
      <c r="A98" s="606" t="s">
        <v>242</v>
      </c>
      <c r="B98" s="602" t="s">
        <v>243</v>
      </c>
      <c r="C98" s="601" t="s">
        <v>268</v>
      </c>
      <c r="D98" s="962">
        <v>867</v>
      </c>
      <c r="E98" s="962">
        <v>558</v>
      </c>
      <c r="F98" s="962">
        <v>1</v>
      </c>
      <c r="G98" s="962">
        <v>817</v>
      </c>
      <c r="H98" s="962">
        <v>609</v>
      </c>
      <c r="I98" s="603">
        <v>1279</v>
      </c>
      <c r="J98" s="603">
        <v>34</v>
      </c>
      <c r="K98" s="603">
        <v>11</v>
      </c>
      <c r="L98" s="603">
        <v>9</v>
      </c>
      <c r="M98" s="603"/>
    </row>
    <row r="99" spans="1:13" s="604" customFormat="1" x14ac:dyDescent="0.25">
      <c r="A99" s="606" t="s">
        <v>244</v>
      </c>
      <c r="B99" s="602" t="s">
        <v>245</v>
      </c>
      <c r="C99" s="601" t="s">
        <v>268</v>
      </c>
      <c r="D99" s="962">
        <v>323</v>
      </c>
      <c r="E99" s="962">
        <v>174</v>
      </c>
      <c r="F99" s="962">
        <v>0</v>
      </c>
      <c r="G99" s="962">
        <v>283</v>
      </c>
      <c r="H99" s="962">
        <v>214</v>
      </c>
      <c r="I99" s="603">
        <v>407</v>
      </c>
      <c r="J99" s="603">
        <v>67</v>
      </c>
      <c r="K99" s="603">
        <v>10</v>
      </c>
      <c r="L99" s="603">
        <v>6</v>
      </c>
      <c r="M99" s="603"/>
    </row>
    <row r="100" spans="1:13" s="604" customFormat="1" x14ac:dyDescent="0.25">
      <c r="A100" s="606" t="s">
        <v>246</v>
      </c>
      <c r="B100" s="602" t="s">
        <v>247</v>
      </c>
      <c r="C100" s="601" t="s">
        <v>264</v>
      </c>
      <c r="D100" s="962">
        <v>364</v>
      </c>
      <c r="E100" s="962">
        <v>205</v>
      </c>
      <c r="F100" s="962">
        <v>0</v>
      </c>
      <c r="G100" s="962">
        <v>360</v>
      </c>
      <c r="H100" s="962">
        <v>209</v>
      </c>
      <c r="I100" s="603">
        <v>275</v>
      </c>
      <c r="J100" s="603">
        <v>238</v>
      </c>
      <c r="K100" s="603">
        <v>23</v>
      </c>
      <c r="L100" s="603">
        <v>12</v>
      </c>
      <c r="M100" s="603"/>
    </row>
    <row r="101" spans="1:13" s="604" customFormat="1" x14ac:dyDescent="0.25">
      <c r="A101" s="606" t="s">
        <v>14</v>
      </c>
      <c r="B101" s="602" t="s">
        <v>15</v>
      </c>
      <c r="C101" s="601" t="s">
        <v>267</v>
      </c>
      <c r="D101" s="962">
        <v>1315</v>
      </c>
      <c r="E101" s="962">
        <v>877</v>
      </c>
      <c r="F101" s="962">
        <v>3</v>
      </c>
      <c r="G101" s="962">
        <v>1358</v>
      </c>
      <c r="H101" s="962">
        <v>837</v>
      </c>
      <c r="I101" s="603">
        <v>555</v>
      </c>
      <c r="J101" s="603">
        <v>1004</v>
      </c>
      <c r="K101" s="603">
        <v>90</v>
      </c>
      <c r="L101" s="603">
        <v>15</v>
      </c>
      <c r="M101" s="603"/>
    </row>
    <row r="102" spans="1:13" s="604" customFormat="1" x14ac:dyDescent="0.25">
      <c r="A102" s="606" t="s">
        <v>34</v>
      </c>
      <c r="B102" s="602" t="s">
        <v>35</v>
      </c>
      <c r="C102" s="601" t="s">
        <v>268</v>
      </c>
      <c r="D102" s="962">
        <v>624</v>
      </c>
      <c r="E102" s="962">
        <v>394</v>
      </c>
      <c r="F102" s="962">
        <v>0</v>
      </c>
      <c r="G102" s="962">
        <v>585</v>
      </c>
      <c r="H102" s="962">
        <v>433</v>
      </c>
      <c r="I102" s="603">
        <v>790</v>
      </c>
      <c r="J102" s="603">
        <v>130</v>
      </c>
      <c r="K102" s="603">
        <v>38</v>
      </c>
      <c r="L102" s="603">
        <v>35</v>
      </c>
      <c r="M102" s="603"/>
    </row>
    <row r="103" spans="1:13" s="604" customFormat="1" x14ac:dyDescent="0.25">
      <c r="A103" s="606" t="s">
        <v>52</v>
      </c>
      <c r="B103" s="602" t="s">
        <v>53</v>
      </c>
      <c r="C103" s="601" t="s">
        <v>265</v>
      </c>
      <c r="D103" s="962">
        <v>743</v>
      </c>
      <c r="E103" s="962">
        <v>445</v>
      </c>
      <c r="F103" s="962">
        <v>1</v>
      </c>
      <c r="G103" s="962">
        <v>705</v>
      </c>
      <c r="H103" s="962">
        <v>484</v>
      </c>
      <c r="I103" s="603">
        <v>222</v>
      </c>
      <c r="J103" s="603">
        <v>728</v>
      </c>
      <c r="K103" s="603">
        <v>129</v>
      </c>
      <c r="L103" s="603">
        <v>50</v>
      </c>
      <c r="M103" s="603"/>
    </row>
    <row r="104" spans="1:13" s="604" customFormat="1" x14ac:dyDescent="0.25">
      <c r="A104" s="606" t="s">
        <v>54</v>
      </c>
      <c r="B104" s="602" t="s">
        <v>55</v>
      </c>
      <c r="C104" s="601" t="s">
        <v>264</v>
      </c>
      <c r="D104" s="962">
        <v>2723</v>
      </c>
      <c r="E104" s="962">
        <v>1412</v>
      </c>
      <c r="F104" s="962">
        <v>1</v>
      </c>
      <c r="G104" s="962">
        <v>2566</v>
      </c>
      <c r="H104" s="962">
        <v>1570</v>
      </c>
      <c r="I104" s="603">
        <v>833</v>
      </c>
      <c r="J104" s="603">
        <v>2756</v>
      </c>
      <c r="K104" s="603">
        <v>131</v>
      </c>
      <c r="L104" s="603">
        <v>64</v>
      </c>
      <c r="M104" s="603"/>
    </row>
    <row r="105" spans="1:13" s="604" customFormat="1" x14ac:dyDescent="0.25">
      <c r="A105" s="606" t="s">
        <v>66</v>
      </c>
      <c r="B105" s="602" t="s">
        <v>67</v>
      </c>
      <c r="C105" s="601" t="s">
        <v>265</v>
      </c>
      <c r="D105" s="962">
        <v>1352</v>
      </c>
      <c r="E105" s="962">
        <v>730</v>
      </c>
      <c r="F105" s="962">
        <v>4</v>
      </c>
      <c r="G105" s="962">
        <v>1299</v>
      </c>
      <c r="H105" s="962">
        <v>787</v>
      </c>
      <c r="I105" s="603">
        <v>345</v>
      </c>
      <c r="J105" s="603">
        <v>1568</v>
      </c>
      <c r="K105" s="603">
        <v>36</v>
      </c>
      <c r="L105" s="603">
        <v>6</v>
      </c>
      <c r="M105" s="603"/>
    </row>
    <row r="106" spans="1:13" s="604" customFormat="1" x14ac:dyDescent="0.25">
      <c r="A106" s="606" t="s">
        <v>82</v>
      </c>
      <c r="B106" s="602" t="s">
        <v>83</v>
      </c>
      <c r="C106" s="601" t="s">
        <v>264</v>
      </c>
      <c r="D106" s="962">
        <v>276</v>
      </c>
      <c r="E106" s="962">
        <v>137</v>
      </c>
      <c r="F106" s="962">
        <v>0</v>
      </c>
      <c r="G106" s="962">
        <v>250</v>
      </c>
      <c r="H106" s="962">
        <v>163</v>
      </c>
      <c r="I106" s="603">
        <v>34</v>
      </c>
      <c r="J106" s="603">
        <v>314</v>
      </c>
      <c r="K106" s="603">
        <v>7</v>
      </c>
      <c r="L106" s="603">
        <v>6</v>
      </c>
      <c r="M106" s="603"/>
    </row>
    <row r="107" spans="1:13" s="604" customFormat="1" x14ac:dyDescent="0.25">
      <c r="A107" s="606" t="s">
        <v>88</v>
      </c>
      <c r="B107" s="602" t="s">
        <v>89</v>
      </c>
      <c r="C107" s="601" t="s">
        <v>267</v>
      </c>
      <c r="D107" s="962">
        <v>557</v>
      </c>
      <c r="E107" s="962">
        <v>355</v>
      </c>
      <c r="F107" s="962">
        <v>0</v>
      </c>
      <c r="G107" s="962">
        <v>575</v>
      </c>
      <c r="H107" s="962">
        <v>337</v>
      </c>
      <c r="I107" s="603">
        <v>286</v>
      </c>
      <c r="J107" s="603">
        <v>438</v>
      </c>
      <c r="K107" s="603">
        <v>49</v>
      </c>
      <c r="L107" s="603">
        <v>24</v>
      </c>
      <c r="M107" s="603"/>
    </row>
    <row r="108" spans="1:13" s="604" customFormat="1" x14ac:dyDescent="0.25">
      <c r="A108" s="606" t="s">
        <v>90</v>
      </c>
      <c r="B108" s="602" t="s">
        <v>91</v>
      </c>
      <c r="C108" s="601" t="s">
        <v>268</v>
      </c>
      <c r="D108" s="962">
        <v>137</v>
      </c>
      <c r="E108" s="962">
        <v>73</v>
      </c>
      <c r="F108" s="962">
        <v>0</v>
      </c>
      <c r="G108" s="962">
        <v>121</v>
      </c>
      <c r="H108" s="962">
        <v>89</v>
      </c>
      <c r="I108" s="603">
        <v>151</v>
      </c>
      <c r="J108" s="603">
        <v>45</v>
      </c>
      <c r="K108" s="603">
        <v>7</v>
      </c>
      <c r="L108" s="603">
        <v>2</v>
      </c>
      <c r="M108" s="603"/>
    </row>
    <row r="109" spans="1:13" s="604" customFormat="1" x14ac:dyDescent="0.25">
      <c r="A109" s="606" t="s">
        <v>106</v>
      </c>
      <c r="B109" s="602" t="s">
        <v>107</v>
      </c>
      <c r="C109" s="601" t="s">
        <v>264</v>
      </c>
      <c r="D109" s="962">
        <v>3130</v>
      </c>
      <c r="E109" s="962">
        <v>1671</v>
      </c>
      <c r="F109" s="962">
        <v>6</v>
      </c>
      <c r="G109" s="962">
        <v>3013</v>
      </c>
      <c r="H109" s="962">
        <v>1794</v>
      </c>
      <c r="I109" s="603">
        <v>601</v>
      </c>
      <c r="J109" s="603">
        <v>3548</v>
      </c>
      <c r="K109" s="603">
        <v>120</v>
      </c>
      <c r="L109" s="603">
        <v>58</v>
      </c>
      <c r="M109" s="603"/>
    </row>
    <row r="110" spans="1:13" s="604" customFormat="1" x14ac:dyDescent="0.25">
      <c r="A110" s="606" t="s">
        <v>116</v>
      </c>
      <c r="B110" s="602" t="s">
        <v>117</v>
      </c>
      <c r="C110" s="601" t="s">
        <v>266</v>
      </c>
      <c r="D110" s="962">
        <v>936</v>
      </c>
      <c r="E110" s="962">
        <v>531</v>
      </c>
      <c r="F110" s="962">
        <v>1</v>
      </c>
      <c r="G110" s="962">
        <v>920</v>
      </c>
      <c r="H110" s="962">
        <v>548</v>
      </c>
      <c r="I110" s="603">
        <v>407</v>
      </c>
      <c r="J110" s="603">
        <v>834</v>
      </c>
      <c r="K110" s="603">
        <v>33</v>
      </c>
      <c r="L110" s="603">
        <v>16</v>
      </c>
      <c r="M110" s="603"/>
    </row>
    <row r="111" spans="1:13" s="604" customFormat="1" x14ac:dyDescent="0.25">
      <c r="A111" s="606" t="s">
        <v>138</v>
      </c>
      <c r="B111" s="602" t="s">
        <v>139</v>
      </c>
      <c r="C111" s="601" t="s">
        <v>265</v>
      </c>
      <c r="D111" s="962">
        <v>1505</v>
      </c>
      <c r="E111" s="962">
        <v>826</v>
      </c>
      <c r="F111" s="962">
        <v>2</v>
      </c>
      <c r="G111" s="962">
        <v>1475</v>
      </c>
      <c r="H111" s="962">
        <v>858</v>
      </c>
      <c r="I111" s="603">
        <v>450</v>
      </c>
      <c r="J111" s="603">
        <v>1588</v>
      </c>
      <c r="K111" s="603">
        <v>47</v>
      </c>
      <c r="L111" s="603">
        <v>35</v>
      </c>
      <c r="M111" s="603"/>
    </row>
    <row r="112" spans="1:13" s="604" customFormat="1" x14ac:dyDescent="0.25">
      <c r="A112" s="606" t="s">
        <v>142</v>
      </c>
      <c r="B112" s="602" t="s">
        <v>143</v>
      </c>
      <c r="C112" s="601" t="s">
        <v>267</v>
      </c>
      <c r="D112" s="962">
        <v>496</v>
      </c>
      <c r="E112" s="962">
        <v>287</v>
      </c>
      <c r="F112" s="962">
        <v>0</v>
      </c>
      <c r="G112" s="962">
        <v>471</v>
      </c>
      <c r="H112" s="962">
        <v>312</v>
      </c>
      <c r="I112" s="603">
        <v>336</v>
      </c>
      <c r="J112" s="603">
        <v>247</v>
      </c>
      <c r="K112" s="603">
        <v>50</v>
      </c>
      <c r="L112" s="603">
        <v>7</v>
      </c>
      <c r="M112" s="603"/>
    </row>
    <row r="113" spans="1:13" s="604" customFormat="1" x14ac:dyDescent="0.25">
      <c r="A113" s="606" t="s">
        <v>144</v>
      </c>
      <c r="B113" s="602" t="s">
        <v>145</v>
      </c>
      <c r="C113" s="601" t="s">
        <v>267</v>
      </c>
      <c r="D113" s="962">
        <v>104</v>
      </c>
      <c r="E113" s="962">
        <v>71</v>
      </c>
      <c r="F113" s="962">
        <v>0</v>
      </c>
      <c r="G113" s="962">
        <v>106</v>
      </c>
      <c r="H113" s="962">
        <v>69</v>
      </c>
      <c r="I113" s="603">
        <v>75</v>
      </c>
      <c r="J113" s="603">
        <v>30</v>
      </c>
      <c r="K113" s="603">
        <v>28</v>
      </c>
      <c r="L113" s="603">
        <v>2</v>
      </c>
      <c r="M113" s="603"/>
    </row>
    <row r="114" spans="1:13" s="604" customFormat="1" x14ac:dyDescent="0.25">
      <c r="A114" s="606" t="s">
        <v>158</v>
      </c>
      <c r="B114" s="602" t="s">
        <v>159</v>
      </c>
      <c r="C114" s="601" t="s">
        <v>264</v>
      </c>
      <c r="D114" s="962">
        <v>4615</v>
      </c>
      <c r="E114" s="962">
        <v>2542</v>
      </c>
      <c r="F114" s="962">
        <v>7</v>
      </c>
      <c r="G114" s="962">
        <v>4491</v>
      </c>
      <c r="H114" s="962">
        <v>2673</v>
      </c>
      <c r="I114" s="603">
        <v>960</v>
      </c>
      <c r="J114" s="603">
        <v>5192</v>
      </c>
      <c r="K114" s="603">
        <v>314</v>
      </c>
      <c r="L114" s="603">
        <v>76</v>
      </c>
      <c r="M114" s="603"/>
    </row>
    <row r="115" spans="1:13" s="604" customFormat="1" x14ac:dyDescent="0.25">
      <c r="A115" s="606" t="s">
        <v>160</v>
      </c>
      <c r="B115" s="602" t="s">
        <v>161</v>
      </c>
      <c r="C115" s="601" t="s">
        <v>264</v>
      </c>
      <c r="D115" s="962">
        <v>5282</v>
      </c>
      <c r="E115" s="962">
        <v>2806</v>
      </c>
      <c r="F115" s="962">
        <v>10</v>
      </c>
      <c r="G115" s="962">
        <v>5170</v>
      </c>
      <c r="H115" s="962">
        <v>2928</v>
      </c>
      <c r="I115" s="603">
        <v>776</v>
      </c>
      <c r="J115" s="603">
        <v>6386</v>
      </c>
      <c r="K115" s="603">
        <v>236</v>
      </c>
      <c r="L115" s="603">
        <v>79</v>
      </c>
      <c r="M115" s="603"/>
    </row>
    <row r="116" spans="1:13" s="604" customFormat="1" x14ac:dyDescent="0.25">
      <c r="A116" s="606" t="s">
        <v>166</v>
      </c>
      <c r="B116" s="602" t="s">
        <v>167</v>
      </c>
      <c r="C116" s="601" t="s">
        <v>268</v>
      </c>
      <c r="D116" s="962">
        <v>148</v>
      </c>
      <c r="E116" s="962">
        <v>96</v>
      </c>
      <c r="F116" s="962">
        <v>1</v>
      </c>
      <c r="G116" s="962">
        <v>148</v>
      </c>
      <c r="H116" s="962">
        <v>97</v>
      </c>
      <c r="I116" s="603">
        <v>180</v>
      </c>
      <c r="J116" s="603">
        <v>29</v>
      </c>
      <c r="K116" s="603">
        <v>17</v>
      </c>
      <c r="L116" s="603">
        <v>16</v>
      </c>
      <c r="M116" s="603"/>
    </row>
    <row r="117" spans="1:13" s="604" customFormat="1" x14ac:dyDescent="0.25">
      <c r="A117" s="606" t="s">
        <v>176</v>
      </c>
      <c r="B117" s="602" t="s">
        <v>177</v>
      </c>
      <c r="C117" s="601" t="s">
        <v>266</v>
      </c>
      <c r="D117" s="962">
        <v>1452</v>
      </c>
      <c r="E117" s="962">
        <v>866</v>
      </c>
      <c r="F117" s="962">
        <v>1</v>
      </c>
      <c r="G117" s="962">
        <v>1502</v>
      </c>
      <c r="H117" s="962">
        <v>817</v>
      </c>
      <c r="I117" s="603">
        <v>96</v>
      </c>
      <c r="J117" s="603">
        <v>2012</v>
      </c>
      <c r="K117" s="603">
        <v>58</v>
      </c>
      <c r="L117" s="603">
        <v>10</v>
      </c>
      <c r="M117" s="603"/>
    </row>
    <row r="118" spans="1:13" s="604" customFormat="1" x14ac:dyDescent="0.25">
      <c r="A118" s="606" t="s">
        <v>180</v>
      </c>
      <c r="B118" s="602" t="s">
        <v>181</v>
      </c>
      <c r="C118" s="601" t="s">
        <v>264</v>
      </c>
      <c r="D118" s="962">
        <v>3010</v>
      </c>
      <c r="E118" s="962">
        <v>1558</v>
      </c>
      <c r="F118" s="962">
        <v>3</v>
      </c>
      <c r="G118" s="962">
        <v>2883</v>
      </c>
      <c r="H118" s="962">
        <v>1688</v>
      </c>
      <c r="I118" s="603">
        <v>477</v>
      </c>
      <c r="J118" s="603">
        <v>3691</v>
      </c>
      <c r="K118" s="603">
        <v>47</v>
      </c>
      <c r="L118" s="603">
        <v>25</v>
      </c>
      <c r="M118" s="603"/>
    </row>
    <row r="119" spans="1:13" s="604" customFormat="1" x14ac:dyDescent="0.25">
      <c r="A119" s="606" t="s">
        <v>192</v>
      </c>
      <c r="B119" s="602" t="s">
        <v>193</v>
      </c>
      <c r="C119" s="601" t="s">
        <v>268</v>
      </c>
      <c r="D119" s="962">
        <v>198</v>
      </c>
      <c r="E119" s="962">
        <v>124</v>
      </c>
      <c r="F119" s="962">
        <v>0</v>
      </c>
      <c r="G119" s="962">
        <v>175</v>
      </c>
      <c r="H119" s="962">
        <v>147</v>
      </c>
      <c r="I119" s="603">
        <v>222</v>
      </c>
      <c r="J119" s="603">
        <v>44</v>
      </c>
      <c r="K119" s="603">
        <v>13</v>
      </c>
      <c r="L119" s="603">
        <v>8</v>
      </c>
      <c r="M119" s="603"/>
    </row>
    <row r="120" spans="1:13" s="604" customFormat="1" x14ac:dyDescent="0.25">
      <c r="A120" s="606" t="s">
        <v>196</v>
      </c>
      <c r="B120" s="602" t="s">
        <v>197</v>
      </c>
      <c r="C120" s="601" t="s">
        <v>266</v>
      </c>
      <c r="D120" s="962">
        <v>6361</v>
      </c>
      <c r="E120" s="962">
        <v>3584</v>
      </c>
      <c r="F120" s="962">
        <v>12</v>
      </c>
      <c r="G120" s="962">
        <v>6465</v>
      </c>
      <c r="H120" s="962">
        <v>3492</v>
      </c>
      <c r="I120" s="603">
        <v>517</v>
      </c>
      <c r="J120" s="603">
        <v>8192</v>
      </c>
      <c r="K120" s="603">
        <v>352</v>
      </c>
      <c r="L120" s="603">
        <v>42</v>
      </c>
      <c r="M120" s="603"/>
    </row>
    <row r="121" spans="1:13" s="604" customFormat="1" x14ac:dyDescent="0.25">
      <c r="A121" s="606" t="s">
        <v>200</v>
      </c>
      <c r="B121" s="602" t="s">
        <v>201</v>
      </c>
      <c r="C121" s="601" t="s">
        <v>265</v>
      </c>
      <c r="D121" s="962">
        <v>3067</v>
      </c>
      <c r="E121" s="962">
        <v>1763</v>
      </c>
      <c r="F121" s="962">
        <v>10</v>
      </c>
      <c r="G121" s="962">
        <v>2983</v>
      </c>
      <c r="H121" s="962">
        <v>1858</v>
      </c>
      <c r="I121" s="603">
        <v>1603</v>
      </c>
      <c r="J121" s="603">
        <v>2660</v>
      </c>
      <c r="K121" s="603">
        <v>291</v>
      </c>
      <c r="L121" s="603">
        <v>92</v>
      </c>
      <c r="M121" s="603"/>
    </row>
    <row r="122" spans="1:13" s="604" customFormat="1" x14ac:dyDescent="0.25">
      <c r="A122" s="606" t="s">
        <v>222</v>
      </c>
      <c r="B122" s="602" t="s">
        <v>223</v>
      </c>
      <c r="C122" s="601" t="s">
        <v>264</v>
      </c>
      <c r="D122" s="962">
        <v>1170</v>
      </c>
      <c r="E122" s="962">
        <v>595</v>
      </c>
      <c r="F122" s="962">
        <v>0</v>
      </c>
      <c r="G122" s="962">
        <v>1094</v>
      </c>
      <c r="H122" s="962">
        <v>671</v>
      </c>
      <c r="I122" s="603">
        <v>258</v>
      </c>
      <c r="J122" s="603">
        <v>1320</v>
      </c>
      <c r="K122" s="603">
        <v>43</v>
      </c>
      <c r="L122" s="603">
        <v>24</v>
      </c>
      <c r="M122" s="603"/>
    </row>
    <row r="123" spans="1:13" s="604" customFormat="1" x14ac:dyDescent="0.25">
      <c r="A123" s="606" t="s">
        <v>230</v>
      </c>
      <c r="B123" s="602" t="s">
        <v>231</v>
      </c>
      <c r="C123" s="601" t="s">
        <v>264</v>
      </c>
      <c r="D123" s="962">
        <v>2585</v>
      </c>
      <c r="E123" s="962">
        <v>1399</v>
      </c>
      <c r="F123" s="962">
        <v>2</v>
      </c>
      <c r="G123" s="962">
        <v>2529</v>
      </c>
      <c r="H123" s="962">
        <v>1457</v>
      </c>
      <c r="I123" s="603">
        <v>953</v>
      </c>
      <c r="J123" s="603">
        <v>2236</v>
      </c>
      <c r="K123" s="603">
        <v>267</v>
      </c>
      <c r="L123" s="603">
        <v>127</v>
      </c>
      <c r="M123" s="603"/>
    </row>
    <row r="124" spans="1:13" s="604" customFormat="1" x14ac:dyDescent="0.25">
      <c r="A124" s="606" t="s">
        <v>238</v>
      </c>
      <c r="B124" s="602" t="s">
        <v>239</v>
      </c>
      <c r="C124" s="601" t="s">
        <v>264</v>
      </c>
      <c r="D124" s="962">
        <v>122</v>
      </c>
      <c r="E124" s="962">
        <v>69</v>
      </c>
      <c r="F124" s="962">
        <v>0</v>
      </c>
      <c r="G124" s="962">
        <v>117</v>
      </c>
      <c r="H124" s="962">
        <v>74</v>
      </c>
      <c r="I124" s="603">
        <v>63</v>
      </c>
      <c r="J124" s="603">
        <v>114</v>
      </c>
      <c r="K124" s="603">
        <v>9</v>
      </c>
      <c r="L124" s="603">
        <v>7</v>
      </c>
      <c r="M124" s="603"/>
    </row>
    <row r="125" spans="1:13" s="604" customFormat="1" x14ac:dyDescent="0.25">
      <c r="A125" s="606" t="s">
        <v>240</v>
      </c>
      <c r="B125" s="602" t="s">
        <v>241</v>
      </c>
      <c r="C125" s="601" t="s">
        <v>267</v>
      </c>
      <c r="D125" s="962">
        <v>290</v>
      </c>
      <c r="E125" s="962">
        <v>173</v>
      </c>
      <c r="F125" s="962">
        <v>1</v>
      </c>
      <c r="G125" s="962">
        <v>280</v>
      </c>
      <c r="H125" s="962">
        <v>184</v>
      </c>
      <c r="I125" s="603">
        <v>284</v>
      </c>
      <c r="J125" s="603">
        <v>144</v>
      </c>
      <c r="K125" s="603">
        <v>15</v>
      </c>
      <c r="L125" s="603">
        <v>4</v>
      </c>
      <c r="M125" s="603"/>
    </row>
    <row r="126" spans="1:13" x14ac:dyDescent="0.25">
      <c r="B126" s="508"/>
      <c r="C126" s="508"/>
      <c r="D126" s="508"/>
      <c r="E126" s="508"/>
      <c r="F126" s="508"/>
      <c r="G126" s="508"/>
      <c r="H126" s="508"/>
    </row>
    <row r="128" spans="1:13" ht="15.75" customHeight="1" x14ac:dyDescent="0.25">
      <c r="A128" s="1229" t="s">
        <v>1163</v>
      </c>
      <c r="B128" s="1229"/>
      <c r="C128" s="1229"/>
      <c r="D128" s="1229"/>
      <c r="E128" s="1229"/>
      <c r="F128" s="1229"/>
      <c r="G128" s="1202"/>
      <c r="H128" s="1202"/>
    </row>
    <row r="130" spans="1:8" s="414" customFormat="1" x14ac:dyDescent="0.25">
      <c r="A130" s="414" t="s">
        <v>248</v>
      </c>
    </row>
    <row r="131" spans="1:8" s="414" customFormat="1" x14ac:dyDescent="0.25">
      <c r="A131" s="415" t="s">
        <v>249</v>
      </c>
      <c r="B131" s="416" t="s">
        <v>250</v>
      </c>
      <c r="C131" s="416"/>
      <c r="D131" s="416"/>
      <c r="E131" s="416"/>
      <c r="F131" s="416"/>
      <c r="G131" s="416"/>
      <c r="H131" s="416"/>
    </row>
  </sheetData>
  <autoFilter ref="A4:C4"/>
  <sortState ref="A6:O125">
    <sortCondition ref="A6:A125"/>
  </sortState>
  <mergeCells count="3">
    <mergeCell ref="D3:F3"/>
    <mergeCell ref="G3:H3"/>
    <mergeCell ref="I3:L3"/>
  </mergeCells>
  <hyperlinks>
    <hyperlink ref="B131"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5" sqref="F5:H5"/>
    </sheetView>
  </sheetViews>
  <sheetFormatPr defaultRowHeight="15.75" x14ac:dyDescent="0.25"/>
  <cols>
    <col min="9" max="11" width="11.625" customWidth="1"/>
    <col min="12" max="12" width="12.5" customWidth="1"/>
  </cols>
  <sheetData>
    <row r="1" spans="1:24" s="66" customFormat="1" ht="15.75" customHeight="1" x14ac:dyDescent="0.2">
      <c r="A1" s="1959" t="s">
        <v>1126</v>
      </c>
      <c r="B1" s="1959"/>
      <c r="C1" s="2069" t="s">
        <v>9</v>
      </c>
      <c r="D1" s="2070"/>
      <c r="E1" s="2070"/>
      <c r="F1" s="2071"/>
      <c r="G1" s="1544"/>
      <c r="H1" s="1541"/>
      <c r="I1" s="1540"/>
      <c r="J1" s="1542"/>
      <c r="K1" s="1545"/>
      <c r="L1" s="1545"/>
      <c r="M1" s="161"/>
      <c r="N1" s="161"/>
      <c r="Q1" s="71"/>
      <c r="R1" s="71"/>
      <c r="S1" s="71"/>
    </row>
    <row r="2" spans="1:24" s="66" customFormat="1" ht="15.75" customHeight="1" x14ac:dyDescent="0.2">
      <c r="A2" s="1524"/>
      <c r="B2" s="1524"/>
      <c r="C2" s="1543"/>
      <c r="D2" s="1543"/>
      <c r="E2" s="1543"/>
      <c r="F2" s="1543"/>
      <c r="G2" s="1540"/>
      <c r="H2" s="1541"/>
      <c r="I2" s="1540"/>
      <c r="J2" s="1542"/>
      <c r="K2" s="161"/>
      <c r="L2" s="161"/>
      <c r="M2" s="161"/>
      <c r="N2" s="161"/>
      <c r="Q2" s="71"/>
      <c r="R2" s="71"/>
      <c r="S2" s="71"/>
    </row>
    <row r="3" spans="1:24" s="66" customFormat="1" ht="13.5" customHeight="1" x14ac:dyDescent="0.2">
      <c r="F3" s="2063" t="s">
        <v>1215</v>
      </c>
      <c r="G3" s="2064"/>
      <c r="H3" s="2064"/>
      <c r="I3" s="2041" t="s">
        <v>314</v>
      </c>
      <c r="J3" s="2061" t="s">
        <v>315</v>
      </c>
      <c r="K3" s="2067" t="s">
        <v>662</v>
      </c>
      <c r="L3" s="2039" t="s">
        <v>1088</v>
      </c>
      <c r="M3" s="78"/>
      <c r="N3" s="83"/>
      <c r="S3" s="82"/>
      <c r="T3" s="92"/>
      <c r="U3" s="127"/>
      <c r="V3" s="80"/>
      <c r="W3" s="80"/>
      <c r="X3" s="87"/>
    </row>
    <row r="4" spans="1:24" s="66" customFormat="1" ht="13.5" customHeight="1" x14ac:dyDescent="0.2">
      <c r="F4" s="2065"/>
      <c r="G4" s="2066"/>
      <c r="H4" s="2066"/>
      <c r="I4" s="2042"/>
      <c r="J4" s="2062"/>
      <c r="K4" s="2068"/>
      <c r="L4" s="2040"/>
      <c r="M4" s="78"/>
      <c r="N4" s="83"/>
      <c r="S4" s="82"/>
      <c r="T4" s="92"/>
      <c r="U4" s="127"/>
      <c r="V4" s="80"/>
      <c r="W4" s="80"/>
      <c r="X4" s="87"/>
    </row>
    <row r="5" spans="1:24" s="66" customFormat="1" ht="13.5" customHeight="1" x14ac:dyDescent="0.2">
      <c r="F5" s="1928" t="s">
        <v>317</v>
      </c>
      <c r="G5" s="1929"/>
      <c r="H5" s="1929"/>
      <c r="I5" s="1482">
        <f>I6+I7</f>
        <v>286800565.14999998</v>
      </c>
      <c r="J5" s="1482">
        <f t="shared" ref="J5:L5" si="0">J6+J7</f>
        <v>111848470.43000001</v>
      </c>
      <c r="K5" s="1482">
        <f t="shared" si="0"/>
        <v>245029946.56999999</v>
      </c>
      <c r="L5" s="1483">
        <f t="shared" si="0"/>
        <v>643678982.14999986</v>
      </c>
      <c r="M5" s="78"/>
      <c r="N5" s="83"/>
      <c r="S5" s="82"/>
      <c r="U5" s="87"/>
      <c r="V5" s="87"/>
      <c r="W5" s="87"/>
      <c r="X5" s="87"/>
    </row>
    <row r="6" spans="1:24" s="66" customFormat="1" ht="13.5" customHeight="1" x14ac:dyDescent="0.2">
      <c r="F6" s="1910" t="s">
        <v>943</v>
      </c>
      <c r="G6" s="1911"/>
      <c r="H6" s="1911"/>
      <c r="I6" s="1386">
        <f>VLOOKUP(C1,Staffing_LASER,4,FALSE)</f>
        <v>271234858.35999995</v>
      </c>
      <c r="J6" s="1484">
        <f>VLOOKUP(C1,Staffing_LASER,5,FALSE)</f>
        <v>111848470.43000001</v>
      </c>
      <c r="K6" s="1484">
        <f>VLOOKUP(C1,Staffing_LASER,11,FALSE)</f>
        <v>196652487.53999999</v>
      </c>
      <c r="L6" s="391">
        <f>VLOOKUP(C1,Staffing_LASER,9,FALSE)</f>
        <v>579735816.32999992</v>
      </c>
      <c r="M6" s="78"/>
      <c r="N6" s="83"/>
      <c r="S6" s="82"/>
      <c r="U6" s="128"/>
      <c r="V6" s="80"/>
      <c r="W6" s="80"/>
      <c r="X6" s="87"/>
    </row>
    <row r="7" spans="1:24" s="66" customFormat="1" ht="13.5" customHeight="1" x14ac:dyDescent="0.2">
      <c r="F7" s="1910" t="s">
        <v>972</v>
      </c>
      <c r="G7" s="1911"/>
      <c r="H7" s="1911"/>
      <c r="I7" s="1386">
        <f>VLOOKUP(C1,Other_Oper_Exp_LASER,4,FALSE)</f>
        <v>15565706.789999999</v>
      </c>
      <c r="J7" s="1484">
        <f>VLOOKUP(C1,Other_Oper_Exp_LASER,5,FALSE)</f>
        <v>0</v>
      </c>
      <c r="K7" s="1484">
        <f>VLOOKUP(C1,Other_Oper_Exp_LASER,11,FALSE)</f>
        <v>48377459.030000001</v>
      </c>
      <c r="L7" s="391">
        <f>VLOOKUP(C1,Other_Oper_Exp_LASER,9,FALSE)</f>
        <v>63943165.819999993</v>
      </c>
      <c r="O7" s="312"/>
      <c r="P7" s="312"/>
      <c r="Q7" s="302"/>
      <c r="R7" s="301"/>
      <c r="S7" s="82"/>
      <c r="T7" s="81"/>
      <c r="U7" s="81"/>
      <c r="V7" s="81"/>
      <c r="W7" s="81"/>
    </row>
    <row r="8" spans="1:24" s="66" customFormat="1" ht="13.5" customHeight="1" x14ac:dyDescent="0.2">
      <c r="F8" s="2034" t="s">
        <v>1081</v>
      </c>
      <c r="G8" s="2035"/>
      <c r="H8" s="2035"/>
      <c r="I8" s="1430">
        <f>I5/L5</f>
        <v>0.44556459524596587</v>
      </c>
      <c r="J8" s="1430">
        <f>J5/L5</f>
        <v>0.17376436629390421</v>
      </c>
      <c r="K8" s="1430">
        <f>K5/L5</f>
        <v>0.38067103846013012</v>
      </c>
      <c r="L8" s="1431">
        <f>L5/L5</f>
        <v>1</v>
      </c>
      <c r="O8" s="312"/>
      <c r="P8" s="312"/>
      <c r="Q8" s="302"/>
      <c r="R8" s="301"/>
      <c r="S8" s="82"/>
    </row>
    <row r="9" spans="1:24" s="66" customFormat="1" ht="13.5" customHeight="1" x14ac:dyDescent="0.2">
      <c r="F9" s="1951" t="s">
        <v>1078</v>
      </c>
      <c r="G9" s="1952"/>
      <c r="H9" s="1952"/>
      <c r="I9" s="1485">
        <f>I5/I24</f>
        <v>5.0618264115898398E-2</v>
      </c>
      <c r="J9" s="1485">
        <f>J5/J24</f>
        <v>2.6208621483138496E-2</v>
      </c>
      <c r="K9" s="1485">
        <f>K5/K24</f>
        <v>0.61167461061007722</v>
      </c>
      <c r="L9" s="1486">
        <f>L5/L24</f>
        <v>6.228653020313827E-2</v>
      </c>
      <c r="O9" s="312"/>
      <c r="P9" s="312"/>
      <c r="Q9" s="303"/>
      <c r="R9" s="301"/>
      <c r="S9" s="82"/>
    </row>
    <row r="10" spans="1:24" s="66" customFormat="1" ht="13.5" customHeight="1" x14ac:dyDescent="0.2">
      <c r="F10" s="1926" t="s">
        <v>975</v>
      </c>
      <c r="G10" s="1927"/>
      <c r="H10" s="1927"/>
      <c r="I10" s="1777">
        <f>VLOOKUP(C1,Client_Svcs_LASER,4,FALSE)</f>
        <v>12775908.935972035</v>
      </c>
      <c r="J10" s="1778">
        <f>VLOOKUP(C1,Client_Svcs_LASER,5,FALSE)</f>
        <v>8958762.1469999999</v>
      </c>
      <c r="K10" s="1778">
        <f>VLOOKUP(C1,Client_Svcs_LASER,11,FALSE)</f>
        <v>8561135.3399999999</v>
      </c>
      <c r="L10" s="1779">
        <f>VLOOKUP(C1,Client_Svcs_LASER,9, FALSE)</f>
        <v>30295806.422972031</v>
      </c>
      <c r="O10" s="312"/>
      <c r="P10" s="312"/>
      <c r="Q10" s="303"/>
      <c r="R10" s="301"/>
      <c r="S10" s="82"/>
      <c r="T10" s="81"/>
      <c r="U10" s="81" t="s">
        <v>1087</v>
      </c>
      <c r="V10" s="81" t="s">
        <v>1086</v>
      </c>
      <c r="W10" s="81" t="s">
        <v>1085</v>
      </c>
    </row>
    <row r="11" spans="1:24" s="66" customFormat="1" ht="13.5" customHeight="1" x14ac:dyDescent="0.2">
      <c r="F11" s="1523" t="s">
        <v>1082</v>
      </c>
      <c r="G11" s="1428"/>
      <c r="H11" s="1428"/>
      <c r="I11" s="1430">
        <f>I10/L10</f>
        <v>0.42170552444131681</v>
      </c>
      <c r="J11" s="1432">
        <f>J10/L10</f>
        <v>0.29570964449412868</v>
      </c>
      <c r="K11" s="1432">
        <f>K10/L10</f>
        <v>0.28258483106455462</v>
      </c>
      <c r="L11" s="1433">
        <f>L10/L10</f>
        <v>1</v>
      </c>
      <c r="O11" s="312"/>
      <c r="P11" s="312"/>
      <c r="Q11" s="303"/>
      <c r="R11" s="301"/>
      <c r="S11" s="82"/>
      <c r="T11" s="81"/>
      <c r="U11" s="81"/>
      <c r="V11" s="81"/>
      <c r="W11" s="81"/>
    </row>
    <row r="12" spans="1:24" s="66" customFormat="1" ht="13.5" customHeight="1" x14ac:dyDescent="0.2">
      <c r="F12" s="1924" t="s">
        <v>1079</v>
      </c>
      <c r="G12" s="1925"/>
      <c r="H12" s="1925"/>
      <c r="I12" s="1487">
        <f>I10/I24</f>
        <v>2.2548572472424187E-3</v>
      </c>
      <c r="J12" s="1488">
        <f>J10/J24</f>
        <v>2.0992402056596647E-3</v>
      </c>
      <c r="K12" s="1488">
        <f>K10/K24</f>
        <v>2.1371384187029052E-2</v>
      </c>
      <c r="L12" s="1489">
        <f>L10/L24</f>
        <v>2.9316176450097848E-3</v>
      </c>
      <c r="O12" s="311"/>
      <c r="P12" s="311"/>
      <c r="S12" s="82"/>
      <c r="T12" s="81" t="s">
        <v>314</v>
      </c>
      <c r="U12" s="1439">
        <f>I9</f>
        <v>5.0618264115898398E-2</v>
      </c>
      <c r="V12" s="1439">
        <f>I12</f>
        <v>2.2548572472424187E-3</v>
      </c>
      <c r="W12" s="1439">
        <f>I23</f>
        <v>0.94712687863685918</v>
      </c>
      <c r="X12" s="87"/>
    </row>
    <row r="13" spans="1:24" s="66" customFormat="1" ht="13.5" customHeight="1" x14ac:dyDescent="0.2">
      <c r="F13" s="1921" t="s">
        <v>641</v>
      </c>
      <c r="G13" s="1922"/>
      <c r="H13" s="1922"/>
      <c r="I13" s="1482">
        <f>SUM(I14:I21)</f>
        <v>5366373754.7350998</v>
      </c>
      <c r="J13" s="1482">
        <f>SUM(J14:J21)</f>
        <v>4146814034.7971163</v>
      </c>
      <c r="K13" s="1482">
        <f>SUM(K14:K21)</f>
        <v>146997633.59285524</v>
      </c>
      <c r="L13" s="1483">
        <f>SUM(L14:L21)</f>
        <v>9660185423.1250706</v>
      </c>
      <c r="O13" s="311"/>
      <c r="P13" s="311"/>
      <c r="S13" s="82"/>
      <c r="T13" s="81" t="s">
        <v>315</v>
      </c>
      <c r="U13" s="1439">
        <f>J9</f>
        <v>2.6208621483138496E-2</v>
      </c>
      <c r="V13" s="1439">
        <f>J12</f>
        <v>2.0992402056596647E-3</v>
      </c>
      <c r="W13" s="1439">
        <f>J23</f>
        <v>0.97169213831120183</v>
      </c>
      <c r="X13" s="87"/>
    </row>
    <row r="14" spans="1:24" s="66" customFormat="1" ht="13.5" customHeight="1" x14ac:dyDescent="0.2">
      <c r="F14" s="1910" t="s">
        <v>976</v>
      </c>
      <c r="G14" s="1911"/>
      <c r="H14" s="1911"/>
      <c r="I14" s="1780">
        <f>VLOOKUP(C1,Medicaid_FAMIS_LASER,5,FALSE)</f>
        <v>3841017854.4189754</v>
      </c>
      <c r="J14" s="1781">
        <f>VLOOKUP(C1,Medicaid_FAMIS_LASER,6,FALSE)</f>
        <v>3734326054.9832401</v>
      </c>
      <c r="K14" s="1781">
        <f>VLOOKUP(C1,Medicaid_FAMIS_LASER,7,FALSE)</f>
        <v>19189880.862855252</v>
      </c>
      <c r="L14" s="1782">
        <f>VLOOKUP(C1,Medicaid_FAMIS_LASER,4,FALSE)</f>
        <v>7594533790.26507</v>
      </c>
      <c r="O14" s="311"/>
      <c r="P14" s="311"/>
      <c r="S14" s="82"/>
      <c r="T14" s="81" t="s">
        <v>662</v>
      </c>
      <c r="U14" s="1439">
        <f>K9</f>
        <v>0.61167461061007722</v>
      </c>
      <c r="V14" s="1439">
        <f>K12</f>
        <v>2.1371384187029052E-2</v>
      </c>
      <c r="W14" s="1439">
        <f>K23</f>
        <v>0.36695400520289367</v>
      </c>
      <c r="X14" s="87"/>
    </row>
    <row r="15" spans="1:24" s="66" customFormat="1" ht="13.5" customHeight="1" x14ac:dyDescent="0.2">
      <c r="F15" s="1910" t="s">
        <v>1096</v>
      </c>
      <c r="G15" s="1911"/>
      <c r="H15" s="1911"/>
      <c r="I15" s="1780">
        <f>VLOOKUP(C1,SNAP_LASER,5,FALSE)</f>
        <v>1247287678</v>
      </c>
      <c r="J15" s="1781">
        <v>0</v>
      </c>
      <c r="K15" s="1781">
        <v>0</v>
      </c>
      <c r="L15" s="1782">
        <f>VLOOKUP(C1,SNAP_LASER,4,FALSE)</f>
        <v>1247287678</v>
      </c>
      <c r="M15" s="78"/>
      <c r="N15" s="83"/>
      <c r="O15" s="83"/>
      <c r="P15" s="83"/>
      <c r="S15" s="82"/>
      <c r="T15" s="81" t="s">
        <v>281</v>
      </c>
      <c r="U15" s="1439">
        <f>L9</f>
        <v>6.228653020313827E-2</v>
      </c>
      <c r="V15" s="1439">
        <f>L12</f>
        <v>2.9316176450097848E-3</v>
      </c>
      <c r="W15" s="1439">
        <f>L23</f>
        <v>0.93478185215185194</v>
      </c>
      <c r="X15" s="87"/>
    </row>
    <row r="16" spans="1:24" s="66" customFormat="1" ht="13.5" customHeight="1" x14ac:dyDescent="0.2">
      <c r="F16" s="1910" t="s">
        <v>983</v>
      </c>
      <c r="G16" s="1911"/>
      <c r="H16" s="1911"/>
      <c r="I16" s="1780">
        <f>VLOOKUP(C1,TANF_LASER,4,FALSE)</f>
        <v>39621020.891123995</v>
      </c>
      <c r="J16" s="1780">
        <f>VLOOKUP(C1,TANF_LASER,6,FALSE)</f>
        <v>46786610.208875999</v>
      </c>
      <c r="K16" s="1780">
        <f>VLOOKUP(C1,TANF_LASER,10,FALSE)</f>
        <v>0</v>
      </c>
      <c r="L16" s="1783">
        <f>VLOOKUP(C1,TANF_LASER,9,FALSE)</f>
        <v>86407631.099999994</v>
      </c>
      <c r="M16" s="78"/>
      <c r="N16" s="83"/>
      <c r="O16" s="83"/>
      <c r="P16" s="83"/>
      <c r="S16" s="82"/>
      <c r="T16" s="81"/>
      <c r="U16" s="81"/>
      <c r="V16" s="81"/>
      <c r="W16" s="81"/>
    </row>
    <row r="17" spans="1:23" s="66" customFormat="1" ht="13.5" customHeight="1" x14ac:dyDescent="0.2">
      <c r="F17" s="1910" t="s">
        <v>1097</v>
      </c>
      <c r="G17" s="1911"/>
      <c r="H17" s="1911"/>
      <c r="I17" s="1780">
        <f>VLOOKUP(C1,EA_LASER,5,FALSE)</f>
        <v>63135621.759999998</v>
      </c>
      <c r="J17" s="1781">
        <f>VLOOKUP(C1,EA_LASER,7,FALSE)</f>
        <v>0</v>
      </c>
      <c r="K17" s="1781">
        <f>VLOOKUP(C1,EA_LASER,10,FALSE)</f>
        <v>0</v>
      </c>
      <c r="L17" s="1782">
        <f>VLOOKUP(C1,EA_LASER,4,FALSE)</f>
        <v>63135621.759999998</v>
      </c>
      <c r="M17" s="78"/>
      <c r="N17" s="83"/>
      <c r="O17" s="83"/>
      <c r="P17" s="83"/>
      <c r="S17" s="82"/>
      <c r="T17" s="81"/>
      <c r="U17" s="81"/>
      <c r="V17" s="81"/>
      <c r="W17" s="81"/>
    </row>
    <row r="18" spans="1:23" s="66" customFormat="1" ht="13.5" customHeight="1" x14ac:dyDescent="0.2">
      <c r="F18" s="1910" t="s">
        <v>1002</v>
      </c>
      <c r="G18" s="1911"/>
      <c r="H18" s="1911"/>
      <c r="I18" s="1780">
        <f>VLOOKUP(C1,FC_Adop_LASER,4,FALSE)</f>
        <v>68153786.710000008</v>
      </c>
      <c r="J18" s="1780">
        <f>VLOOKUP(C1,FC_Adop_LASER,5,FALSE)</f>
        <v>94354002.929999992</v>
      </c>
      <c r="K18" s="1780">
        <f>VLOOKUP(C1,FC_Adop_LASER,8,FALSE)</f>
        <v>1123154.76</v>
      </c>
      <c r="L18" s="1783">
        <f>VLOOKUP(C1,FC_Adop_LASER,9,FALSE)</f>
        <v>163630944.40000001</v>
      </c>
      <c r="M18" s="78"/>
      <c r="N18" s="83"/>
      <c r="O18" s="83"/>
      <c r="P18" s="83"/>
      <c r="S18" s="82"/>
      <c r="T18" s="81"/>
      <c r="U18" s="81"/>
      <c r="V18" s="81"/>
      <c r="W18" s="81"/>
    </row>
    <row r="19" spans="1:23" s="66" customFormat="1" ht="13.5" customHeight="1" x14ac:dyDescent="0.2">
      <c r="F19" s="1910" t="s">
        <v>1026</v>
      </c>
      <c r="G19" s="1911"/>
      <c r="H19" s="1911"/>
      <c r="I19" s="1780">
        <f>VLOOKUP(C1,CSA_LASER,4,FALSE)</f>
        <v>0</v>
      </c>
      <c r="J19" s="1780">
        <f>VLOOKUP(C1,CSA_LASER,5,FALSE)</f>
        <v>223512032</v>
      </c>
      <c r="K19" s="1780">
        <f>VLOOKUP(C1,CSA_LASER,9,FALSE)</f>
        <v>119788501.25999999</v>
      </c>
      <c r="L19" s="1783">
        <f>VLOOKUP(C1,CSA_LASER,8,FALSE)</f>
        <v>343300533.25999999</v>
      </c>
      <c r="M19" s="78"/>
      <c r="N19" s="83"/>
      <c r="O19" s="83"/>
      <c r="P19" s="83"/>
      <c r="S19" s="82"/>
      <c r="T19" s="81"/>
      <c r="U19" s="81"/>
      <c r="V19" s="81"/>
      <c r="W19" s="81"/>
    </row>
    <row r="20" spans="1:23" s="66" customFormat="1" ht="13.5" customHeight="1" x14ac:dyDescent="0.2">
      <c r="F20" s="1521" t="s">
        <v>1029</v>
      </c>
      <c r="G20" s="1522"/>
      <c r="H20" s="1522"/>
      <c r="I20" s="1780">
        <f>VLOOKUP(C1,ChildCareLASER,9,FALSE)</f>
        <v>103411023.285</v>
      </c>
      <c r="J20" s="1780">
        <f>VLOOKUP(C1,ChildCareLASER,10,FALSE)</f>
        <v>26336628.274999999</v>
      </c>
      <c r="K20" s="1781">
        <v>0</v>
      </c>
      <c r="L20" s="1782">
        <f>VLOOKUP(C1,ChildCareLASER,8,FALSE)</f>
        <v>129747651.56</v>
      </c>
      <c r="M20" s="78"/>
      <c r="N20" s="83"/>
      <c r="O20" s="83"/>
      <c r="P20" s="83"/>
      <c r="S20" s="82"/>
      <c r="T20" s="81"/>
      <c r="U20" s="81"/>
      <c r="V20" s="81"/>
      <c r="W20" s="81"/>
    </row>
    <row r="21" spans="1:23" s="66" customFormat="1" ht="13.5" customHeight="1" x14ac:dyDescent="0.2">
      <c r="F21" s="1910" t="s">
        <v>1031</v>
      </c>
      <c r="G21" s="1911"/>
      <c r="H21" s="1911"/>
      <c r="I21" s="1780">
        <f>VLOOKUP(C1,OT_BENE_LASER,4,FALSE)</f>
        <v>3746769.6700000004</v>
      </c>
      <c r="J21" s="1780">
        <f>VLOOKUP(C1,OT_BENE_LASER,5,FALSE)</f>
        <v>21498706.399999999</v>
      </c>
      <c r="K21" s="1780">
        <f>VLOOKUP(C1,OT_BENE_LASER,8,FALSE)</f>
        <v>6896096.709999999</v>
      </c>
      <c r="L21" s="1783">
        <f>VLOOKUP(C1,OT_BENE_LASER,9,FALSE)</f>
        <v>32141572.779999997</v>
      </c>
      <c r="M21" s="78"/>
      <c r="N21" s="83"/>
      <c r="O21" s="83"/>
      <c r="P21" s="83"/>
      <c r="S21" s="82"/>
      <c r="T21" s="81"/>
      <c r="U21" s="81"/>
      <c r="V21" s="81"/>
      <c r="W21" s="81"/>
    </row>
    <row r="22" spans="1:23" s="66" customFormat="1" ht="13.5" customHeight="1" x14ac:dyDescent="0.2">
      <c r="F22" s="2034" t="s">
        <v>1083</v>
      </c>
      <c r="G22" s="2035"/>
      <c r="H22" s="2035"/>
      <c r="I22" s="1430">
        <f>I13/L13</f>
        <v>0.55551457034031526</v>
      </c>
      <c r="J22" s="1430">
        <f>J13/L13</f>
        <v>0.42926857541163238</v>
      </c>
      <c r="K22" s="1430">
        <f>K13/L13</f>
        <v>1.5216854248052466E-2</v>
      </c>
      <c r="L22" s="1431">
        <f>L13/L13</f>
        <v>1</v>
      </c>
      <c r="M22" s="78"/>
      <c r="N22" s="83"/>
      <c r="O22" s="83"/>
      <c r="P22" s="83"/>
      <c r="S22" s="82"/>
      <c r="T22" s="81"/>
      <c r="U22" s="81"/>
      <c r="V22" s="81"/>
      <c r="W22" s="81"/>
    </row>
    <row r="23" spans="1:23" s="66" customFormat="1" ht="13.5" customHeight="1" x14ac:dyDescent="0.2">
      <c r="F23" s="1951" t="s">
        <v>1080</v>
      </c>
      <c r="G23" s="1952"/>
      <c r="H23" s="1952"/>
      <c r="I23" s="1491">
        <f>I13/I24</f>
        <v>0.94712687863685918</v>
      </c>
      <c r="J23" s="1491">
        <f>J13/J24</f>
        <v>0.97169213831120183</v>
      </c>
      <c r="K23" s="1491">
        <f>K13/K24</f>
        <v>0.36695400520289367</v>
      </c>
      <c r="L23" s="1492">
        <f>L13/L24</f>
        <v>0.93478185215185194</v>
      </c>
      <c r="M23" s="78"/>
      <c r="N23" s="83"/>
      <c r="O23" s="83"/>
      <c r="P23" s="83"/>
      <c r="S23" s="82"/>
      <c r="T23" s="81"/>
      <c r="U23" s="81"/>
      <c r="V23" s="81"/>
      <c r="W23" s="81"/>
    </row>
    <row r="24" spans="1:23" s="66" customFormat="1" ht="13.5" customHeight="1" x14ac:dyDescent="0.2">
      <c r="F24" s="2037" t="s">
        <v>1089</v>
      </c>
      <c r="G24" s="2038"/>
      <c r="H24" s="2038"/>
      <c r="I24" s="1776">
        <f>I5+I10+I13</f>
        <v>5665950228.8210716</v>
      </c>
      <c r="J24" s="1776">
        <f t="shared" ref="J24:L24" si="1">J5+J10+J13</f>
        <v>4267621267.3741164</v>
      </c>
      <c r="K24" s="1776">
        <f t="shared" si="1"/>
        <v>400588715.50285524</v>
      </c>
      <c r="L24" s="1438">
        <f t="shared" si="1"/>
        <v>10334160211.698042</v>
      </c>
      <c r="M24" s="92"/>
      <c r="N24" s="92"/>
      <c r="O24" s="83"/>
      <c r="P24" s="83"/>
      <c r="S24" s="82"/>
      <c r="T24" s="81"/>
      <c r="U24" s="81"/>
      <c r="V24" s="81"/>
      <c r="W24" s="81"/>
    </row>
    <row r="25" spans="1:23" s="66" customFormat="1" ht="13.5" customHeight="1" x14ac:dyDescent="0.2">
      <c r="F25" s="1493" t="s">
        <v>1084</v>
      </c>
      <c r="G25" s="1494"/>
      <c r="H25" s="1495"/>
      <c r="I25" s="1496">
        <f>I24/$L24</f>
        <v>0.5482738909357473</v>
      </c>
      <c r="J25" s="392">
        <f>J24/$L24</f>
        <v>0.41296256105486567</v>
      </c>
      <c r="K25" s="392">
        <f>K24/$L24</f>
        <v>3.8763548009387125E-2</v>
      </c>
      <c r="L25" s="393">
        <f>SUM(I25:K25)</f>
        <v>1</v>
      </c>
      <c r="M25" s="92"/>
      <c r="N25" s="92"/>
      <c r="P25" s="83"/>
      <c r="S25" s="82"/>
      <c r="T25" s="81"/>
      <c r="U25" s="81"/>
      <c r="V25" s="81"/>
      <c r="W25" s="81"/>
    </row>
    <row r="26" spans="1:23" s="66" customFormat="1" ht="13.5" customHeight="1" x14ac:dyDescent="0.2">
      <c r="B26" s="91"/>
      <c r="C26" s="91"/>
      <c r="D26" s="133"/>
      <c r="E26" s="133"/>
      <c r="F26" s="2072" t="s">
        <v>1105</v>
      </c>
      <c r="G26" s="2072"/>
      <c r="H26" s="2072"/>
      <c r="I26" s="2072"/>
      <c r="J26" s="2072"/>
      <c r="K26" s="2072"/>
      <c r="L26" s="2072"/>
      <c r="M26" s="92"/>
      <c r="N26" s="92"/>
      <c r="O26" s="83"/>
      <c r="P26" s="83"/>
      <c r="S26" s="82"/>
      <c r="T26" s="81"/>
      <c r="U26" s="81"/>
      <c r="V26" s="81"/>
      <c r="W26" s="81"/>
    </row>
    <row r="27" spans="1:23" s="66" customFormat="1" ht="13.5" customHeight="1" x14ac:dyDescent="0.2">
      <c r="A27" s="1920"/>
      <c r="B27" s="1920"/>
      <c r="C27" s="1920"/>
      <c r="D27" s="1923" t="s">
        <v>1219</v>
      </c>
      <c r="E27" s="1923"/>
      <c r="F27" s="91"/>
      <c r="G27" s="133"/>
      <c r="I27" s="1923" t="s">
        <v>1218</v>
      </c>
      <c r="J27" s="1923"/>
      <c r="M27" s="92"/>
      <c r="N27" s="92"/>
      <c r="O27" s="83"/>
      <c r="P27" s="83"/>
      <c r="S27" s="82"/>
      <c r="T27" s="81"/>
      <c r="U27" s="81"/>
      <c r="V27" s="81"/>
      <c r="W27" s="81"/>
    </row>
    <row r="28" spans="1:23" s="66" customFormat="1" ht="13.5" customHeight="1" x14ac:dyDescent="0.2">
      <c r="A28" s="1920"/>
      <c r="B28" s="1920"/>
      <c r="C28" s="1920"/>
      <c r="D28" s="1923"/>
      <c r="E28" s="1923"/>
      <c r="F28" s="91"/>
      <c r="G28" s="133"/>
      <c r="I28" s="1923"/>
      <c r="J28" s="1923"/>
      <c r="M28" s="92"/>
      <c r="N28" s="92"/>
      <c r="O28" s="83"/>
      <c r="P28" s="83"/>
      <c r="S28" s="82"/>
      <c r="T28" s="81"/>
      <c r="U28" s="81"/>
      <c r="V28" s="81"/>
      <c r="W28" s="81"/>
    </row>
    <row r="29" spans="1:23" s="66" customFormat="1" ht="13.5" customHeight="1" x14ac:dyDescent="0.2">
      <c r="A29" s="1920"/>
      <c r="B29" s="1920"/>
      <c r="C29" s="1920"/>
      <c r="D29" s="1923"/>
      <c r="E29" s="1923"/>
      <c r="F29" s="91"/>
      <c r="G29" s="133"/>
      <c r="I29" s="1923"/>
      <c r="J29" s="1923"/>
      <c r="M29" s="92"/>
      <c r="N29" s="92"/>
      <c r="O29" s="83"/>
      <c r="P29" s="83"/>
      <c r="S29" s="82"/>
      <c r="T29" s="81"/>
      <c r="U29" s="81"/>
      <c r="V29" s="81"/>
      <c r="W29" s="81"/>
    </row>
    <row r="30" spans="1:23" s="66" customFormat="1" ht="13.5" customHeight="1" x14ac:dyDescent="0.2">
      <c r="A30" s="1920"/>
      <c r="B30" s="1920"/>
      <c r="C30" s="1920"/>
      <c r="D30" s="1923"/>
      <c r="E30" s="1923"/>
      <c r="F30" s="91"/>
      <c r="G30" s="133"/>
      <c r="I30" s="1923"/>
      <c r="J30" s="1923"/>
      <c r="M30" s="92"/>
      <c r="N30" s="92"/>
      <c r="O30" s="83"/>
      <c r="P30" s="83"/>
      <c r="S30" s="82"/>
      <c r="T30" s="81"/>
      <c r="U30" s="81"/>
      <c r="V30" s="81"/>
      <c r="W30" s="81"/>
    </row>
    <row r="31" spans="1:23" s="66" customFormat="1" ht="13.5" customHeight="1" x14ac:dyDescent="0.2">
      <c r="B31" s="91"/>
      <c r="C31" s="91"/>
      <c r="D31" s="133"/>
      <c r="E31" s="133"/>
      <c r="F31" s="91"/>
      <c r="G31" s="133"/>
      <c r="M31" s="92"/>
      <c r="N31" s="92"/>
      <c r="O31" s="83"/>
      <c r="P31" s="83"/>
      <c r="S31" s="82"/>
      <c r="T31" s="81"/>
      <c r="U31" s="81"/>
      <c r="V31" s="81"/>
      <c r="W31" s="81"/>
    </row>
  </sheetData>
  <mergeCells count="29">
    <mergeCell ref="L3:L4"/>
    <mergeCell ref="F18:H18"/>
    <mergeCell ref="F6:H6"/>
    <mergeCell ref="F7:H7"/>
    <mergeCell ref="F8:H8"/>
    <mergeCell ref="F9:H9"/>
    <mergeCell ref="F10:H10"/>
    <mergeCell ref="F12:H12"/>
    <mergeCell ref="F5:H5"/>
    <mergeCell ref="F3:H4"/>
    <mergeCell ref="I3:I4"/>
    <mergeCell ref="J3:J4"/>
    <mergeCell ref="K3:K4"/>
    <mergeCell ref="A27:C30"/>
    <mergeCell ref="D27:E30"/>
    <mergeCell ref="I27:J30"/>
    <mergeCell ref="A1:B1"/>
    <mergeCell ref="C1:F1"/>
    <mergeCell ref="F19:H19"/>
    <mergeCell ref="F21:H21"/>
    <mergeCell ref="F22:H22"/>
    <mergeCell ref="F23:H23"/>
    <mergeCell ref="F24:H24"/>
    <mergeCell ref="F26:L26"/>
    <mergeCell ref="F13:H13"/>
    <mergeCell ref="F14:H14"/>
    <mergeCell ref="F15:H15"/>
    <mergeCell ref="F16:H16"/>
    <mergeCell ref="F17:H17"/>
  </mergeCells>
  <dataValidations count="1">
    <dataValidation type="list" allowBlank="1" showInputMessage="1" showErrorMessage="1" sqref="C1:C2">
      <formula1>Region</formula1>
    </dataValidation>
  </dataValidations>
  <pageMargins left="0.45" right="0.45" top="0.75" bottom="0.75" header="0.3" footer="0.3"/>
  <pageSetup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31"/>
  <sheetViews>
    <sheetView workbookViewId="0">
      <pane xSplit="3" ySplit="5" topLeftCell="H108" activePane="bottomRight" state="frozen"/>
      <selection pane="topRight" activeCell="D1" sqref="D1"/>
      <selection pane="bottomLeft" activeCell="A6" sqref="A6"/>
      <selection pane="bottomRight" activeCell="N111" sqref="N111"/>
    </sheetView>
  </sheetViews>
  <sheetFormatPr defaultColWidth="14.375" defaultRowHeight="15.75" x14ac:dyDescent="0.25"/>
  <cols>
    <col min="1" max="1" width="14.375" style="503"/>
    <col min="2" max="2" width="32.25" style="503" customWidth="1"/>
    <col min="3" max="3" width="14.5" style="503" customWidth="1"/>
    <col min="4" max="4" width="11.875" style="503" customWidth="1"/>
    <col min="5" max="5" width="11.125" style="503" customWidth="1"/>
    <col min="6" max="6" width="14.5" style="503" customWidth="1"/>
    <col min="7" max="8" width="10.125" style="503" customWidth="1"/>
    <col min="9" max="13" width="12.25" style="503" customWidth="1"/>
    <col min="14" max="16384" width="14.375" style="503"/>
  </cols>
  <sheetData>
    <row r="1" spans="1:14" x14ac:dyDescent="0.25">
      <c r="A1" s="257" t="s">
        <v>1168</v>
      </c>
    </row>
    <row r="2" spans="1:14" x14ac:dyDescent="0.25">
      <c r="B2" s="504"/>
      <c r="C2" s="504"/>
      <c r="D2" s="504"/>
      <c r="E2" s="504"/>
      <c r="F2" s="504"/>
      <c r="G2" s="504"/>
      <c r="H2" s="504"/>
    </row>
    <row r="3" spans="1:14" ht="23.25" customHeight="1" x14ac:dyDescent="0.25">
      <c r="A3" s="505"/>
      <c r="B3" s="506"/>
      <c r="C3" s="605"/>
      <c r="D3" s="2114" t="s">
        <v>892</v>
      </c>
      <c r="E3" s="2114"/>
      <c r="F3" s="2114"/>
      <c r="G3" s="2114" t="s">
        <v>887</v>
      </c>
      <c r="H3" s="2114"/>
      <c r="I3" s="2114" t="s">
        <v>778</v>
      </c>
      <c r="J3" s="2114"/>
      <c r="K3" s="2114"/>
      <c r="L3" s="2114"/>
      <c r="M3" s="1201"/>
      <c r="N3" s="507" t="s">
        <v>846</v>
      </c>
    </row>
    <row r="4" spans="1:14" ht="35.25" customHeight="1" x14ac:dyDescent="0.25">
      <c r="A4" s="507" t="s">
        <v>4</v>
      </c>
      <c r="B4" s="506" t="s">
        <v>5</v>
      </c>
      <c r="C4" s="605" t="s">
        <v>251</v>
      </c>
      <c r="D4" s="1201" t="s">
        <v>618</v>
      </c>
      <c r="E4" s="1201" t="s">
        <v>720</v>
      </c>
      <c r="F4" s="1201" t="s">
        <v>793</v>
      </c>
      <c r="G4" s="1201" t="s">
        <v>549</v>
      </c>
      <c r="H4" s="1201" t="s">
        <v>548</v>
      </c>
      <c r="I4" s="605" t="s">
        <v>2</v>
      </c>
      <c r="J4" s="605" t="s">
        <v>445</v>
      </c>
      <c r="K4" s="605" t="s">
        <v>847</v>
      </c>
      <c r="L4" s="605" t="s">
        <v>1171</v>
      </c>
      <c r="M4" s="1201" t="s">
        <v>281</v>
      </c>
      <c r="N4" s="507" t="s">
        <v>551</v>
      </c>
    </row>
    <row r="5" spans="1:14" x14ac:dyDescent="0.25">
      <c r="A5" s="1223" t="s">
        <v>8</v>
      </c>
      <c r="B5" s="1224" t="s">
        <v>9</v>
      </c>
      <c r="C5" s="1225"/>
      <c r="D5" s="1226">
        <f>SUM(D6:D125)</f>
        <v>737727</v>
      </c>
      <c r="E5" s="1226">
        <f t="shared" ref="E5:F5" si="0">SUM(E6:E125)</f>
        <v>534206</v>
      </c>
      <c r="F5" s="1226">
        <f t="shared" si="0"/>
        <v>117478</v>
      </c>
      <c r="G5" s="1226">
        <f t="shared" ref="G5" si="1">SUM(G6:G125)</f>
        <v>804047</v>
      </c>
      <c r="H5" s="1226">
        <f t="shared" ref="H5:M5" si="2">SUM(H6:H125)</f>
        <v>585361</v>
      </c>
      <c r="I5" s="1227">
        <f t="shared" si="2"/>
        <v>668222</v>
      </c>
      <c r="J5" s="1227">
        <f t="shared" si="2"/>
        <v>501829</v>
      </c>
      <c r="K5" s="1227">
        <f t="shared" si="2"/>
        <v>144265</v>
      </c>
      <c r="L5" s="1227">
        <f t="shared" si="2"/>
        <v>75096</v>
      </c>
      <c r="M5" s="1227">
        <f t="shared" si="2"/>
        <v>1389412</v>
      </c>
      <c r="N5" s="1227">
        <f t="shared" ref="N5" si="3">SUM(N6:N125)</f>
        <v>0</v>
      </c>
    </row>
    <row r="6" spans="1:14" s="604" customFormat="1" x14ac:dyDescent="0.25">
      <c r="A6" s="606" t="s">
        <v>10</v>
      </c>
      <c r="B6" s="602" t="s">
        <v>11</v>
      </c>
      <c r="C6" s="601" t="s">
        <v>264</v>
      </c>
      <c r="D6" s="962">
        <v>4885</v>
      </c>
      <c r="E6" s="962">
        <v>3255</v>
      </c>
      <c r="F6" s="962">
        <v>978</v>
      </c>
      <c r="G6" s="962">
        <v>5223</v>
      </c>
      <c r="H6" s="962">
        <v>3895</v>
      </c>
      <c r="I6" s="603">
        <v>4325</v>
      </c>
      <c r="J6" s="603">
        <v>4183</v>
      </c>
      <c r="K6" s="603">
        <v>511</v>
      </c>
      <c r="L6" s="603">
        <v>99</v>
      </c>
      <c r="M6" s="603">
        <v>9118</v>
      </c>
      <c r="N6" s="603"/>
    </row>
    <row r="7" spans="1:14" s="604" customFormat="1" x14ac:dyDescent="0.25">
      <c r="A7" s="606" t="s">
        <v>12</v>
      </c>
      <c r="B7" s="602" t="s">
        <v>13</v>
      </c>
      <c r="C7" s="601" t="s">
        <v>265</v>
      </c>
      <c r="D7" s="962">
        <v>6237</v>
      </c>
      <c r="E7" s="962">
        <v>3833</v>
      </c>
      <c r="F7" s="962">
        <v>949</v>
      </c>
      <c r="G7" s="962">
        <v>6208</v>
      </c>
      <c r="H7" s="962">
        <v>4811</v>
      </c>
      <c r="I7" s="603">
        <v>6180</v>
      </c>
      <c r="J7" s="603">
        <v>2613</v>
      </c>
      <c r="K7" s="603">
        <v>1338</v>
      </c>
      <c r="L7" s="603">
        <v>888</v>
      </c>
      <c r="M7" s="603">
        <v>11019</v>
      </c>
      <c r="N7" s="603"/>
    </row>
    <row r="8" spans="1:14" s="604" customFormat="1" x14ac:dyDescent="0.25">
      <c r="A8" s="606" t="s">
        <v>16</v>
      </c>
      <c r="B8" s="602" t="s">
        <v>297</v>
      </c>
      <c r="C8" s="601" t="s">
        <v>265</v>
      </c>
      <c r="D8" s="962">
        <v>2499</v>
      </c>
      <c r="E8" s="962">
        <v>2408</v>
      </c>
      <c r="F8" s="962">
        <v>637</v>
      </c>
      <c r="G8" s="962">
        <v>3238</v>
      </c>
      <c r="H8" s="962">
        <v>2306</v>
      </c>
      <c r="I8" s="603">
        <v>4506</v>
      </c>
      <c r="J8" s="603">
        <v>519</v>
      </c>
      <c r="K8" s="603">
        <v>332</v>
      </c>
      <c r="L8" s="603">
        <v>187</v>
      </c>
      <c r="M8" s="603">
        <v>5544</v>
      </c>
      <c r="N8" s="603"/>
    </row>
    <row r="9" spans="1:14" s="604" customFormat="1" x14ac:dyDescent="0.25">
      <c r="A9" s="606" t="s">
        <v>18</v>
      </c>
      <c r="B9" s="602" t="s">
        <v>19</v>
      </c>
      <c r="C9" s="601" t="s">
        <v>266</v>
      </c>
      <c r="D9" s="962">
        <v>1273</v>
      </c>
      <c r="E9" s="962">
        <v>1127</v>
      </c>
      <c r="F9" s="962">
        <v>312</v>
      </c>
      <c r="G9" s="962">
        <v>1545</v>
      </c>
      <c r="H9" s="962">
        <v>1167</v>
      </c>
      <c r="I9" s="603">
        <v>1601</v>
      </c>
      <c r="J9" s="603">
        <v>952</v>
      </c>
      <c r="K9" s="603">
        <v>140</v>
      </c>
      <c r="L9" s="603">
        <v>19</v>
      </c>
      <c r="M9" s="603">
        <v>2712</v>
      </c>
      <c r="N9" s="603"/>
    </row>
    <row r="10" spans="1:14" s="604" customFormat="1" x14ac:dyDescent="0.25">
      <c r="A10" s="606" t="s">
        <v>20</v>
      </c>
      <c r="B10" s="602" t="s">
        <v>21</v>
      </c>
      <c r="C10" s="601" t="s">
        <v>265</v>
      </c>
      <c r="D10" s="962">
        <v>3021</v>
      </c>
      <c r="E10" s="962">
        <v>2453</v>
      </c>
      <c r="F10" s="962">
        <v>660</v>
      </c>
      <c r="G10" s="962">
        <v>3489</v>
      </c>
      <c r="H10" s="962">
        <v>2645</v>
      </c>
      <c r="I10" s="603">
        <v>3964</v>
      </c>
      <c r="J10" s="603">
        <v>1566</v>
      </c>
      <c r="K10" s="603">
        <v>369</v>
      </c>
      <c r="L10" s="603">
        <v>235</v>
      </c>
      <c r="M10" s="603">
        <v>6134</v>
      </c>
      <c r="N10" s="603"/>
    </row>
    <row r="11" spans="1:14" s="604" customFormat="1" x14ac:dyDescent="0.25">
      <c r="A11" s="606" t="s">
        <v>22</v>
      </c>
      <c r="B11" s="602" t="s">
        <v>23</v>
      </c>
      <c r="C11" s="601" t="s">
        <v>265</v>
      </c>
      <c r="D11" s="962">
        <v>1719</v>
      </c>
      <c r="E11" s="962">
        <v>1588</v>
      </c>
      <c r="F11" s="962">
        <v>424</v>
      </c>
      <c r="G11" s="962">
        <v>2198</v>
      </c>
      <c r="H11" s="962">
        <v>1533</v>
      </c>
      <c r="I11" s="603">
        <v>2276</v>
      </c>
      <c r="J11" s="603">
        <v>1268</v>
      </c>
      <c r="K11" s="603">
        <v>127</v>
      </c>
      <c r="L11" s="603">
        <v>60</v>
      </c>
      <c r="M11" s="603">
        <v>3731</v>
      </c>
      <c r="N11" s="603"/>
    </row>
    <row r="12" spans="1:14" s="604" customFormat="1" x14ac:dyDescent="0.25">
      <c r="A12" s="606" t="s">
        <v>24</v>
      </c>
      <c r="B12" s="602" t="s">
        <v>25</v>
      </c>
      <c r="C12" s="601" t="s">
        <v>267</v>
      </c>
      <c r="D12" s="962">
        <v>9987</v>
      </c>
      <c r="E12" s="962">
        <v>4495</v>
      </c>
      <c r="F12" s="962">
        <v>2225</v>
      </c>
      <c r="G12" s="962">
        <v>9125</v>
      </c>
      <c r="H12" s="962">
        <v>7582</v>
      </c>
      <c r="I12" s="603">
        <v>7676</v>
      </c>
      <c r="J12" s="603">
        <v>4163</v>
      </c>
      <c r="K12" s="603">
        <v>3770</v>
      </c>
      <c r="L12" s="603">
        <v>1098</v>
      </c>
      <c r="M12" s="603">
        <v>16707</v>
      </c>
      <c r="N12" s="603"/>
    </row>
    <row r="13" spans="1:14" s="604" customFormat="1" x14ac:dyDescent="0.25">
      <c r="A13" s="606" t="s">
        <v>26</v>
      </c>
      <c r="B13" s="602" t="s">
        <v>686</v>
      </c>
      <c r="C13" s="601" t="s">
        <v>265</v>
      </c>
      <c r="D13" s="962">
        <v>11842</v>
      </c>
      <c r="E13" s="962">
        <v>9302</v>
      </c>
      <c r="F13" s="962">
        <v>1944</v>
      </c>
      <c r="G13" s="962">
        <v>13453</v>
      </c>
      <c r="H13" s="962">
        <v>9635</v>
      </c>
      <c r="I13" s="603">
        <v>18274</v>
      </c>
      <c r="J13" s="603">
        <v>2881</v>
      </c>
      <c r="K13" s="603">
        <v>1171</v>
      </c>
      <c r="L13" s="603">
        <v>762</v>
      </c>
      <c r="M13" s="603">
        <v>23088</v>
      </c>
      <c r="N13" s="603"/>
    </row>
    <row r="14" spans="1:14" s="604" customFormat="1" x14ac:dyDescent="0.25">
      <c r="A14" s="606" t="s">
        <v>27</v>
      </c>
      <c r="B14" s="602" t="s">
        <v>28</v>
      </c>
      <c r="C14" s="601" t="s">
        <v>265</v>
      </c>
      <c r="D14" s="962">
        <v>385</v>
      </c>
      <c r="E14" s="962">
        <v>341</v>
      </c>
      <c r="F14" s="962">
        <v>121</v>
      </c>
      <c r="G14" s="962">
        <v>491</v>
      </c>
      <c r="H14" s="962">
        <v>356</v>
      </c>
      <c r="I14" s="603">
        <v>763</v>
      </c>
      <c r="J14" s="603">
        <v>34</v>
      </c>
      <c r="K14" s="603">
        <v>40</v>
      </c>
      <c r="L14" s="603">
        <v>10</v>
      </c>
      <c r="M14" s="603">
        <v>847</v>
      </c>
      <c r="N14" s="603"/>
    </row>
    <row r="15" spans="1:14" s="604" customFormat="1" x14ac:dyDescent="0.25">
      <c r="A15" s="606" t="s">
        <v>29</v>
      </c>
      <c r="B15" s="602" t="s">
        <v>941</v>
      </c>
      <c r="C15" s="601" t="s">
        <v>265</v>
      </c>
      <c r="D15" s="962">
        <v>5650</v>
      </c>
      <c r="E15" s="962">
        <v>4550</v>
      </c>
      <c r="F15" s="962">
        <v>959</v>
      </c>
      <c r="G15" s="962">
        <v>6363</v>
      </c>
      <c r="H15" s="962">
        <v>4796</v>
      </c>
      <c r="I15" s="603">
        <v>8673</v>
      </c>
      <c r="J15" s="603">
        <v>1506</v>
      </c>
      <c r="K15" s="603">
        <v>505</v>
      </c>
      <c r="L15" s="603">
        <v>475</v>
      </c>
      <c r="M15" s="603">
        <v>11159</v>
      </c>
      <c r="N15" s="603"/>
    </row>
    <row r="16" spans="1:14" s="604" customFormat="1" x14ac:dyDescent="0.25">
      <c r="A16" s="606" t="s">
        <v>30</v>
      </c>
      <c r="B16" s="602" t="s">
        <v>31</v>
      </c>
      <c r="C16" s="601" t="s">
        <v>268</v>
      </c>
      <c r="D16" s="962">
        <v>485</v>
      </c>
      <c r="E16" s="962">
        <v>505</v>
      </c>
      <c r="F16" s="962">
        <v>145</v>
      </c>
      <c r="G16" s="962">
        <v>653</v>
      </c>
      <c r="H16" s="962">
        <v>482</v>
      </c>
      <c r="I16" s="603">
        <v>1034</v>
      </c>
      <c r="J16" s="603">
        <v>31</v>
      </c>
      <c r="K16" s="603">
        <v>23</v>
      </c>
      <c r="L16" s="603">
        <v>47</v>
      </c>
      <c r="M16" s="603">
        <v>1135</v>
      </c>
      <c r="N16" s="603"/>
    </row>
    <row r="17" spans="1:14" s="604" customFormat="1" x14ac:dyDescent="0.25">
      <c r="A17" s="606" t="s">
        <v>32</v>
      </c>
      <c r="B17" s="602" t="s">
        <v>33</v>
      </c>
      <c r="C17" s="601" t="s">
        <v>265</v>
      </c>
      <c r="D17" s="962">
        <v>1729</v>
      </c>
      <c r="E17" s="962">
        <v>1411</v>
      </c>
      <c r="F17" s="962">
        <v>369</v>
      </c>
      <c r="G17" s="962">
        <v>1992</v>
      </c>
      <c r="H17" s="962">
        <v>1517</v>
      </c>
      <c r="I17" s="603">
        <v>3065</v>
      </c>
      <c r="J17" s="603">
        <v>161</v>
      </c>
      <c r="K17" s="603">
        <v>217</v>
      </c>
      <c r="L17" s="603">
        <v>66</v>
      </c>
      <c r="M17" s="603">
        <v>3509</v>
      </c>
      <c r="N17" s="603"/>
    </row>
    <row r="18" spans="1:14" s="604" customFormat="1" x14ac:dyDescent="0.25">
      <c r="A18" s="606" t="s">
        <v>36</v>
      </c>
      <c r="B18" s="602" t="s">
        <v>37</v>
      </c>
      <c r="C18" s="601" t="s">
        <v>264</v>
      </c>
      <c r="D18" s="962">
        <v>2084</v>
      </c>
      <c r="E18" s="962">
        <v>1989</v>
      </c>
      <c r="F18" s="962">
        <v>810</v>
      </c>
      <c r="G18" s="962">
        <v>2822</v>
      </c>
      <c r="H18" s="962">
        <v>2061</v>
      </c>
      <c r="I18" s="603">
        <v>1254</v>
      </c>
      <c r="J18" s="603">
        <v>3411</v>
      </c>
      <c r="K18" s="603">
        <v>150</v>
      </c>
      <c r="L18" s="603">
        <v>68</v>
      </c>
      <c r="M18" s="603">
        <v>4883</v>
      </c>
      <c r="N18" s="603"/>
    </row>
    <row r="19" spans="1:14" s="604" customFormat="1" x14ac:dyDescent="0.25">
      <c r="A19" s="606" t="s">
        <v>38</v>
      </c>
      <c r="B19" s="602" t="s">
        <v>39</v>
      </c>
      <c r="C19" s="601" t="s">
        <v>268</v>
      </c>
      <c r="D19" s="962">
        <v>2751</v>
      </c>
      <c r="E19" s="962">
        <v>3570</v>
      </c>
      <c r="F19" s="962">
        <v>668</v>
      </c>
      <c r="G19" s="962">
        <v>3885</v>
      </c>
      <c r="H19" s="962">
        <v>3104</v>
      </c>
      <c r="I19" s="603">
        <v>6784</v>
      </c>
      <c r="J19" s="603">
        <v>22</v>
      </c>
      <c r="K19" s="603">
        <v>74</v>
      </c>
      <c r="L19" s="603">
        <v>109</v>
      </c>
      <c r="M19" s="603">
        <v>6989</v>
      </c>
      <c r="N19" s="603"/>
    </row>
    <row r="20" spans="1:14" s="604" customFormat="1" x14ac:dyDescent="0.25">
      <c r="A20" s="606" t="s">
        <v>40</v>
      </c>
      <c r="B20" s="602" t="s">
        <v>41</v>
      </c>
      <c r="C20" s="601" t="s">
        <v>266</v>
      </c>
      <c r="D20" s="962">
        <v>1947</v>
      </c>
      <c r="E20" s="962">
        <v>1639</v>
      </c>
      <c r="F20" s="962">
        <v>501</v>
      </c>
      <c r="G20" s="962">
        <v>2367</v>
      </c>
      <c r="H20" s="962">
        <v>1720</v>
      </c>
      <c r="I20" s="603">
        <v>2057</v>
      </c>
      <c r="J20" s="603">
        <v>1726</v>
      </c>
      <c r="K20" s="603">
        <v>204</v>
      </c>
      <c r="L20" s="603">
        <v>100</v>
      </c>
      <c r="M20" s="603">
        <v>4087</v>
      </c>
      <c r="N20" s="603"/>
    </row>
    <row r="21" spans="1:14" s="604" customFormat="1" x14ac:dyDescent="0.25">
      <c r="A21" s="606" t="s">
        <v>42</v>
      </c>
      <c r="B21" s="602" t="s">
        <v>43</v>
      </c>
      <c r="C21" s="601" t="s">
        <v>265</v>
      </c>
      <c r="D21" s="962">
        <v>5561</v>
      </c>
      <c r="E21" s="962">
        <v>5053</v>
      </c>
      <c r="F21" s="962">
        <v>1138</v>
      </c>
      <c r="G21" s="962">
        <v>6971</v>
      </c>
      <c r="H21" s="962">
        <v>4781</v>
      </c>
      <c r="I21" s="603">
        <v>7995</v>
      </c>
      <c r="J21" s="603">
        <v>2730</v>
      </c>
      <c r="K21" s="603">
        <v>542</v>
      </c>
      <c r="L21" s="603">
        <v>485</v>
      </c>
      <c r="M21" s="603">
        <v>11752</v>
      </c>
      <c r="N21" s="603"/>
    </row>
    <row r="22" spans="1:14" s="604" customFormat="1" x14ac:dyDescent="0.25">
      <c r="A22" s="606" t="s">
        <v>44</v>
      </c>
      <c r="B22" s="602" t="s">
        <v>45</v>
      </c>
      <c r="C22" s="601" t="s">
        <v>266</v>
      </c>
      <c r="D22" s="962">
        <v>3496</v>
      </c>
      <c r="E22" s="962">
        <v>2431</v>
      </c>
      <c r="F22" s="962">
        <v>469</v>
      </c>
      <c r="G22" s="962">
        <v>3685</v>
      </c>
      <c r="H22" s="962">
        <v>2711</v>
      </c>
      <c r="I22" s="603">
        <v>3369</v>
      </c>
      <c r="J22" s="603">
        <v>2223</v>
      </c>
      <c r="K22" s="603">
        <v>346</v>
      </c>
      <c r="L22" s="603">
        <v>458</v>
      </c>
      <c r="M22" s="603">
        <v>6396</v>
      </c>
      <c r="N22" s="603"/>
    </row>
    <row r="23" spans="1:14" s="604" customFormat="1" x14ac:dyDescent="0.25">
      <c r="A23" s="606" t="s">
        <v>46</v>
      </c>
      <c r="B23" s="602" t="s">
        <v>47</v>
      </c>
      <c r="C23" s="601" t="s">
        <v>268</v>
      </c>
      <c r="D23" s="962">
        <v>3372</v>
      </c>
      <c r="E23" s="962">
        <v>2985</v>
      </c>
      <c r="F23" s="962">
        <v>1129</v>
      </c>
      <c r="G23" s="962">
        <v>4311</v>
      </c>
      <c r="H23" s="962">
        <v>3175</v>
      </c>
      <c r="I23" s="603">
        <v>6754</v>
      </c>
      <c r="J23" s="603">
        <v>109</v>
      </c>
      <c r="K23" s="603">
        <v>247</v>
      </c>
      <c r="L23" s="603">
        <v>376</v>
      </c>
      <c r="M23" s="603">
        <v>7486</v>
      </c>
      <c r="N23" s="603"/>
    </row>
    <row r="24" spans="1:14" s="604" customFormat="1" x14ac:dyDescent="0.25">
      <c r="A24" s="606" t="s">
        <v>48</v>
      </c>
      <c r="B24" s="602" t="s">
        <v>269</v>
      </c>
      <c r="C24" s="601" t="s">
        <v>266</v>
      </c>
      <c r="D24" s="962">
        <v>607</v>
      </c>
      <c r="E24" s="962">
        <v>559</v>
      </c>
      <c r="F24" s="962">
        <v>178</v>
      </c>
      <c r="G24" s="962">
        <v>811</v>
      </c>
      <c r="H24" s="962">
        <v>533</v>
      </c>
      <c r="I24" s="603">
        <v>418</v>
      </c>
      <c r="J24" s="603">
        <v>772</v>
      </c>
      <c r="K24" s="603">
        <v>89</v>
      </c>
      <c r="L24" s="603">
        <v>65</v>
      </c>
      <c r="M24" s="603">
        <v>1344</v>
      </c>
      <c r="N24" s="603"/>
    </row>
    <row r="25" spans="1:14" s="604" customFormat="1" x14ac:dyDescent="0.25">
      <c r="A25" s="606" t="s">
        <v>50</v>
      </c>
      <c r="B25" s="602" t="s">
        <v>51</v>
      </c>
      <c r="C25" s="601" t="s">
        <v>265</v>
      </c>
      <c r="D25" s="962">
        <v>1544</v>
      </c>
      <c r="E25" s="962">
        <v>1416</v>
      </c>
      <c r="F25" s="962">
        <v>481</v>
      </c>
      <c r="G25" s="962">
        <v>1986</v>
      </c>
      <c r="H25" s="962">
        <v>1455</v>
      </c>
      <c r="I25" s="603">
        <v>1693</v>
      </c>
      <c r="J25" s="603">
        <v>1564</v>
      </c>
      <c r="K25" s="603">
        <v>122</v>
      </c>
      <c r="L25" s="603">
        <v>62</v>
      </c>
      <c r="M25" s="603">
        <v>3441</v>
      </c>
      <c r="N25" s="603"/>
    </row>
    <row r="26" spans="1:14" s="604" customFormat="1" x14ac:dyDescent="0.25">
      <c r="A26" s="606" t="s">
        <v>56</v>
      </c>
      <c r="B26" s="602" t="s">
        <v>295</v>
      </c>
      <c r="C26" s="601" t="s">
        <v>266</v>
      </c>
      <c r="D26" s="962">
        <v>30767</v>
      </c>
      <c r="E26" s="962">
        <v>19638</v>
      </c>
      <c r="F26" s="962">
        <v>2593</v>
      </c>
      <c r="G26" s="962">
        <v>30462</v>
      </c>
      <c r="H26" s="962">
        <v>22536</v>
      </c>
      <c r="I26" s="603">
        <v>24333</v>
      </c>
      <c r="J26" s="603">
        <v>17696</v>
      </c>
      <c r="K26" s="603">
        <v>7272</v>
      </c>
      <c r="L26" s="603">
        <v>3697</v>
      </c>
      <c r="M26" s="603">
        <v>52998</v>
      </c>
      <c r="N26" s="603"/>
    </row>
    <row r="27" spans="1:14" s="604" customFormat="1" x14ac:dyDescent="0.25">
      <c r="A27" s="606" t="s">
        <v>58</v>
      </c>
      <c r="B27" s="602" t="s">
        <v>59</v>
      </c>
      <c r="C27" s="601" t="s">
        <v>267</v>
      </c>
      <c r="D27" s="962">
        <v>693</v>
      </c>
      <c r="E27" s="962">
        <v>515</v>
      </c>
      <c r="F27" s="962">
        <v>172</v>
      </c>
      <c r="G27" s="962">
        <v>774</v>
      </c>
      <c r="H27" s="962">
        <v>606</v>
      </c>
      <c r="I27" s="603">
        <v>1115</v>
      </c>
      <c r="J27" s="603">
        <v>153</v>
      </c>
      <c r="K27" s="603">
        <v>71</v>
      </c>
      <c r="L27" s="603">
        <v>41</v>
      </c>
      <c r="M27" s="603">
        <v>1380</v>
      </c>
      <c r="N27" s="603"/>
    </row>
    <row r="28" spans="1:14" s="604" customFormat="1" x14ac:dyDescent="0.25">
      <c r="A28" s="606" t="s">
        <v>60</v>
      </c>
      <c r="B28" s="602" t="s">
        <v>61</v>
      </c>
      <c r="C28" s="601" t="s">
        <v>265</v>
      </c>
      <c r="D28" s="962">
        <v>516</v>
      </c>
      <c r="E28" s="962">
        <v>451</v>
      </c>
      <c r="F28" s="962">
        <v>124</v>
      </c>
      <c r="G28" s="962">
        <v>634</v>
      </c>
      <c r="H28" s="962">
        <v>457</v>
      </c>
      <c r="I28" s="603">
        <v>1036</v>
      </c>
      <c r="J28" s="603">
        <v>4</v>
      </c>
      <c r="K28" s="603">
        <v>28</v>
      </c>
      <c r="L28" s="603">
        <v>23</v>
      </c>
      <c r="M28" s="603">
        <v>1091</v>
      </c>
      <c r="N28" s="603"/>
    </row>
    <row r="29" spans="1:14" s="604" customFormat="1" x14ac:dyDescent="0.25">
      <c r="A29" s="606" t="s">
        <v>62</v>
      </c>
      <c r="B29" s="602" t="s">
        <v>63</v>
      </c>
      <c r="C29" s="601" t="s">
        <v>267</v>
      </c>
      <c r="D29" s="962">
        <v>5209</v>
      </c>
      <c r="E29" s="962">
        <v>3228</v>
      </c>
      <c r="F29" s="962">
        <v>667</v>
      </c>
      <c r="G29" s="962">
        <v>5201</v>
      </c>
      <c r="H29" s="962">
        <v>3903</v>
      </c>
      <c r="I29" s="603">
        <v>5128</v>
      </c>
      <c r="J29" s="603">
        <v>2316</v>
      </c>
      <c r="K29" s="603">
        <v>1120</v>
      </c>
      <c r="L29" s="603">
        <v>540</v>
      </c>
      <c r="M29" s="603">
        <v>9104</v>
      </c>
      <c r="N29" s="603"/>
    </row>
    <row r="30" spans="1:14" s="604" customFormat="1" x14ac:dyDescent="0.25">
      <c r="A30" s="606" t="s">
        <v>64</v>
      </c>
      <c r="B30" s="602" t="s">
        <v>65</v>
      </c>
      <c r="C30" s="601" t="s">
        <v>266</v>
      </c>
      <c r="D30" s="962">
        <v>1377</v>
      </c>
      <c r="E30" s="962">
        <v>1186</v>
      </c>
      <c r="F30" s="962">
        <v>337</v>
      </c>
      <c r="G30" s="962">
        <v>1658</v>
      </c>
      <c r="H30" s="962">
        <v>1242</v>
      </c>
      <c r="I30" s="603">
        <v>1402</v>
      </c>
      <c r="J30" s="603">
        <v>1322</v>
      </c>
      <c r="K30" s="603">
        <v>128</v>
      </c>
      <c r="L30" s="603">
        <v>48</v>
      </c>
      <c r="M30" s="603">
        <v>2900</v>
      </c>
      <c r="N30" s="603"/>
    </row>
    <row r="31" spans="1:14" s="604" customFormat="1" x14ac:dyDescent="0.25">
      <c r="A31" s="606" t="s">
        <v>68</v>
      </c>
      <c r="B31" s="602" t="s">
        <v>69</v>
      </c>
      <c r="C31" s="601" t="s">
        <v>268</v>
      </c>
      <c r="D31" s="962">
        <v>2126</v>
      </c>
      <c r="E31" s="962">
        <v>2422</v>
      </c>
      <c r="F31" s="962">
        <v>538</v>
      </c>
      <c r="G31" s="962">
        <v>2885</v>
      </c>
      <c r="H31" s="962">
        <v>2201</v>
      </c>
      <c r="I31" s="603">
        <v>4912</v>
      </c>
      <c r="J31" s="603">
        <v>49</v>
      </c>
      <c r="K31" s="603">
        <v>38</v>
      </c>
      <c r="L31" s="603">
        <v>87</v>
      </c>
      <c r="M31" s="603">
        <v>5086</v>
      </c>
      <c r="N31" s="603"/>
    </row>
    <row r="32" spans="1:14" s="604" customFormat="1" x14ac:dyDescent="0.25">
      <c r="A32" s="606" t="s">
        <v>70</v>
      </c>
      <c r="B32" s="602" t="s">
        <v>71</v>
      </c>
      <c r="C32" s="601" t="s">
        <v>264</v>
      </c>
      <c r="D32" s="962">
        <v>3127</v>
      </c>
      <c r="E32" s="962">
        <v>2465</v>
      </c>
      <c r="F32" s="962">
        <v>553</v>
      </c>
      <c r="G32" s="962">
        <v>3617</v>
      </c>
      <c r="H32" s="962">
        <v>2528</v>
      </c>
      <c r="I32" s="603">
        <v>3099</v>
      </c>
      <c r="J32" s="603">
        <v>2397</v>
      </c>
      <c r="K32" s="603">
        <v>316</v>
      </c>
      <c r="L32" s="603">
        <v>333</v>
      </c>
      <c r="M32" s="603">
        <v>6145</v>
      </c>
      <c r="N32" s="603"/>
    </row>
    <row r="33" spans="1:14" s="604" customFormat="1" x14ac:dyDescent="0.25">
      <c r="A33" s="606" t="s">
        <v>72</v>
      </c>
      <c r="B33" s="602" t="s">
        <v>73</v>
      </c>
      <c r="C33" s="601" t="s">
        <v>266</v>
      </c>
      <c r="D33" s="962">
        <v>1532</v>
      </c>
      <c r="E33" s="962">
        <v>1240</v>
      </c>
      <c r="F33" s="962">
        <v>264</v>
      </c>
      <c r="G33" s="962">
        <v>1824</v>
      </c>
      <c r="H33" s="962">
        <v>1212</v>
      </c>
      <c r="I33" s="603">
        <v>874</v>
      </c>
      <c r="J33" s="603">
        <v>1622</v>
      </c>
      <c r="K33" s="603">
        <v>209</v>
      </c>
      <c r="L33" s="603">
        <v>331</v>
      </c>
      <c r="M33" s="603">
        <v>3036</v>
      </c>
      <c r="N33" s="603"/>
    </row>
    <row r="34" spans="1:14" s="604" customFormat="1" x14ac:dyDescent="0.25">
      <c r="A34" s="606" t="s">
        <v>74</v>
      </c>
      <c r="B34" s="602" t="s">
        <v>296</v>
      </c>
      <c r="C34" s="601" t="s">
        <v>267</v>
      </c>
      <c r="D34" s="962">
        <v>68893</v>
      </c>
      <c r="E34" s="962">
        <v>28788</v>
      </c>
      <c r="F34" s="962">
        <v>11953</v>
      </c>
      <c r="G34" s="962">
        <v>59890</v>
      </c>
      <c r="H34" s="962">
        <v>49744</v>
      </c>
      <c r="I34" s="603">
        <v>48939</v>
      </c>
      <c r="J34" s="603">
        <v>19057</v>
      </c>
      <c r="K34" s="603">
        <v>34155</v>
      </c>
      <c r="L34" s="603">
        <v>7483</v>
      </c>
      <c r="M34" s="603">
        <v>109634</v>
      </c>
      <c r="N34" s="603"/>
    </row>
    <row r="35" spans="1:14" s="604" customFormat="1" x14ac:dyDescent="0.25">
      <c r="A35" s="606" t="s">
        <v>76</v>
      </c>
      <c r="B35" s="602" t="s">
        <v>77</v>
      </c>
      <c r="C35" s="601" t="s">
        <v>267</v>
      </c>
      <c r="D35" s="962">
        <v>4513</v>
      </c>
      <c r="E35" s="962">
        <v>2610</v>
      </c>
      <c r="F35" s="962">
        <v>567</v>
      </c>
      <c r="G35" s="962">
        <v>4361</v>
      </c>
      <c r="H35" s="962">
        <v>3329</v>
      </c>
      <c r="I35" s="603">
        <v>4932</v>
      </c>
      <c r="J35" s="603">
        <v>1452</v>
      </c>
      <c r="K35" s="603">
        <v>977</v>
      </c>
      <c r="L35" s="603">
        <v>329</v>
      </c>
      <c r="M35" s="603">
        <v>7690</v>
      </c>
      <c r="N35" s="603"/>
    </row>
    <row r="36" spans="1:14" s="604" customFormat="1" x14ac:dyDescent="0.25">
      <c r="A36" s="606" t="s">
        <v>78</v>
      </c>
      <c r="B36" s="602" t="s">
        <v>79</v>
      </c>
      <c r="C36" s="601" t="s">
        <v>268</v>
      </c>
      <c r="D36" s="962">
        <v>1582</v>
      </c>
      <c r="E36" s="962">
        <v>1242</v>
      </c>
      <c r="F36" s="962">
        <v>330</v>
      </c>
      <c r="G36" s="962">
        <v>1755</v>
      </c>
      <c r="H36" s="962">
        <v>1399</v>
      </c>
      <c r="I36" s="603">
        <v>2819</v>
      </c>
      <c r="J36" s="603">
        <v>116</v>
      </c>
      <c r="K36" s="603">
        <v>145</v>
      </c>
      <c r="L36" s="603">
        <v>74</v>
      </c>
      <c r="M36" s="603">
        <v>3154</v>
      </c>
      <c r="N36" s="603"/>
    </row>
    <row r="37" spans="1:14" s="604" customFormat="1" x14ac:dyDescent="0.25">
      <c r="A37" s="606" t="s">
        <v>80</v>
      </c>
      <c r="B37" s="602" t="s">
        <v>81</v>
      </c>
      <c r="C37" s="601" t="s">
        <v>266</v>
      </c>
      <c r="D37" s="962">
        <v>1758</v>
      </c>
      <c r="E37" s="962">
        <v>1201</v>
      </c>
      <c r="F37" s="962">
        <v>310</v>
      </c>
      <c r="G37" s="962">
        <v>1884</v>
      </c>
      <c r="H37" s="962">
        <v>1385</v>
      </c>
      <c r="I37" s="603">
        <v>2037</v>
      </c>
      <c r="J37" s="603">
        <v>885</v>
      </c>
      <c r="K37" s="603">
        <v>244</v>
      </c>
      <c r="L37" s="603">
        <v>103</v>
      </c>
      <c r="M37" s="603">
        <v>3269</v>
      </c>
      <c r="N37" s="603"/>
    </row>
    <row r="38" spans="1:14" s="604" customFormat="1" x14ac:dyDescent="0.25">
      <c r="A38" s="606" t="s">
        <v>84</v>
      </c>
      <c r="B38" s="602" t="s">
        <v>85</v>
      </c>
      <c r="C38" s="601" t="s">
        <v>265</v>
      </c>
      <c r="D38" s="962">
        <v>5481</v>
      </c>
      <c r="E38" s="962">
        <v>4619</v>
      </c>
      <c r="F38" s="962">
        <v>1000</v>
      </c>
      <c r="G38" s="962">
        <v>6423</v>
      </c>
      <c r="H38" s="962">
        <v>4677</v>
      </c>
      <c r="I38" s="603">
        <v>8507</v>
      </c>
      <c r="J38" s="603">
        <v>1475</v>
      </c>
      <c r="K38" s="603">
        <v>586</v>
      </c>
      <c r="L38" s="603">
        <v>532</v>
      </c>
      <c r="M38" s="603">
        <v>11100</v>
      </c>
      <c r="N38" s="603"/>
    </row>
    <row r="39" spans="1:14" s="604" customFormat="1" x14ac:dyDescent="0.25">
      <c r="A39" s="606" t="s">
        <v>86</v>
      </c>
      <c r="B39" s="602" t="s">
        <v>87</v>
      </c>
      <c r="C39" s="601" t="s">
        <v>267</v>
      </c>
      <c r="D39" s="962">
        <v>6784</v>
      </c>
      <c r="E39" s="962">
        <v>4335</v>
      </c>
      <c r="F39" s="962">
        <v>874</v>
      </c>
      <c r="G39" s="962">
        <v>6836</v>
      </c>
      <c r="H39" s="962">
        <v>5157</v>
      </c>
      <c r="I39" s="603">
        <v>9445</v>
      </c>
      <c r="J39" s="603">
        <v>813</v>
      </c>
      <c r="K39" s="603">
        <v>1133</v>
      </c>
      <c r="L39" s="603">
        <v>602</v>
      </c>
      <c r="M39" s="603">
        <v>11993</v>
      </c>
      <c r="N39" s="603"/>
    </row>
    <row r="40" spans="1:14" s="604" customFormat="1" x14ac:dyDescent="0.25">
      <c r="A40" s="606" t="s">
        <v>92</v>
      </c>
      <c r="B40" s="602" t="s">
        <v>93</v>
      </c>
      <c r="C40" s="601" t="s">
        <v>268</v>
      </c>
      <c r="D40" s="962">
        <v>1738</v>
      </c>
      <c r="E40" s="962">
        <v>1660</v>
      </c>
      <c r="F40" s="962">
        <v>456</v>
      </c>
      <c r="G40" s="962">
        <v>2194</v>
      </c>
      <c r="H40" s="962">
        <v>1660</v>
      </c>
      <c r="I40" s="603">
        <v>3598</v>
      </c>
      <c r="J40" s="603">
        <v>81</v>
      </c>
      <c r="K40" s="603">
        <v>100</v>
      </c>
      <c r="L40" s="603">
        <v>75</v>
      </c>
      <c r="M40" s="603">
        <v>3854</v>
      </c>
      <c r="N40" s="603"/>
    </row>
    <row r="41" spans="1:14" s="604" customFormat="1" x14ac:dyDescent="0.25">
      <c r="A41" s="606" t="s">
        <v>94</v>
      </c>
      <c r="B41" s="602" t="s">
        <v>95</v>
      </c>
      <c r="C41" s="601" t="s">
        <v>264</v>
      </c>
      <c r="D41" s="962">
        <v>2997</v>
      </c>
      <c r="E41" s="962">
        <v>2392</v>
      </c>
      <c r="F41" s="962">
        <v>493</v>
      </c>
      <c r="G41" s="962">
        <v>3414</v>
      </c>
      <c r="H41" s="962">
        <v>2468</v>
      </c>
      <c r="I41" s="603">
        <v>4540</v>
      </c>
      <c r="J41" s="603">
        <v>874</v>
      </c>
      <c r="K41" s="603">
        <v>299</v>
      </c>
      <c r="L41" s="603">
        <v>169</v>
      </c>
      <c r="M41" s="603">
        <v>5882</v>
      </c>
      <c r="N41" s="603"/>
    </row>
    <row r="42" spans="1:14" s="604" customFormat="1" x14ac:dyDescent="0.25">
      <c r="A42" s="606" t="s">
        <v>96</v>
      </c>
      <c r="B42" s="602" t="s">
        <v>97</v>
      </c>
      <c r="C42" s="601" t="s">
        <v>266</v>
      </c>
      <c r="D42" s="962">
        <v>1089</v>
      </c>
      <c r="E42" s="962">
        <v>849</v>
      </c>
      <c r="F42" s="962">
        <v>215</v>
      </c>
      <c r="G42" s="962">
        <v>1219</v>
      </c>
      <c r="H42" s="962">
        <v>934</v>
      </c>
      <c r="I42" s="603">
        <v>1149</v>
      </c>
      <c r="J42" s="603">
        <v>795</v>
      </c>
      <c r="K42" s="603">
        <v>138</v>
      </c>
      <c r="L42" s="603">
        <v>71</v>
      </c>
      <c r="M42" s="603">
        <v>2153</v>
      </c>
      <c r="N42" s="603"/>
    </row>
    <row r="43" spans="1:14" s="604" customFormat="1" x14ac:dyDescent="0.25">
      <c r="A43" s="606" t="s">
        <v>98</v>
      </c>
      <c r="B43" s="602" t="s">
        <v>99</v>
      </c>
      <c r="C43" s="601" t="s">
        <v>268</v>
      </c>
      <c r="D43" s="962">
        <v>1837</v>
      </c>
      <c r="E43" s="962">
        <v>1681</v>
      </c>
      <c r="F43" s="962">
        <v>686</v>
      </c>
      <c r="G43" s="962">
        <v>2470</v>
      </c>
      <c r="H43" s="962">
        <v>1734</v>
      </c>
      <c r="I43" s="603">
        <v>3838</v>
      </c>
      <c r="J43" s="603">
        <v>149</v>
      </c>
      <c r="K43" s="603">
        <v>114</v>
      </c>
      <c r="L43" s="603">
        <v>103</v>
      </c>
      <c r="M43" s="603">
        <v>4204</v>
      </c>
      <c r="N43" s="603"/>
    </row>
    <row r="44" spans="1:14" s="604" customFormat="1" x14ac:dyDescent="0.25">
      <c r="A44" s="606" t="s">
        <v>100</v>
      </c>
      <c r="B44" s="602" t="s">
        <v>101</v>
      </c>
      <c r="C44" s="601" t="s">
        <v>267</v>
      </c>
      <c r="D44" s="962">
        <v>1884</v>
      </c>
      <c r="E44" s="962">
        <v>1230</v>
      </c>
      <c r="F44" s="962">
        <v>257</v>
      </c>
      <c r="G44" s="962">
        <v>1894</v>
      </c>
      <c r="H44" s="962">
        <v>1477</v>
      </c>
      <c r="I44" s="603">
        <v>2543</v>
      </c>
      <c r="J44" s="603">
        <v>440</v>
      </c>
      <c r="K44" s="603">
        <v>277</v>
      </c>
      <c r="L44" s="603">
        <v>111</v>
      </c>
      <c r="M44" s="603">
        <v>3371</v>
      </c>
      <c r="N44" s="603"/>
    </row>
    <row r="45" spans="1:14" s="604" customFormat="1" x14ac:dyDescent="0.25">
      <c r="A45" s="606" t="s">
        <v>102</v>
      </c>
      <c r="B45" s="602" t="s">
        <v>282</v>
      </c>
      <c r="C45" s="601" t="s">
        <v>264</v>
      </c>
      <c r="D45" s="962">
        <v>2717</v>
      </c>
      <c r="E45" s="962">
        <v>2207</v>
      </c>
      <c r="F45" s="962">
        <v>631</v>
      </c>
      <c r="G45" s="962">
        <v>3279</v>
      </c>
      <c r="H45" s="962">
        <v>2276</v>
      </c>
      <c r="I45" s="603">
        <v>873</v>
      </c>
      <c r="J45" s="603">
        <v>4335</v>
      </c>
      <c r="K45" s="603">
        <v>201</v>
      </c>
      <c r="L45" s="603">
        <v>146</v>
      </c>
      <c r="M45" s="603">
        <v>5555</v>
      </c>
      <c r="N45" s="603"/>
    </row>
    <row r="46" spans="1:14" s="604" customFormat="1" x14ac:dyDescent="0.25">
      <c r="A46" s="606" t="s">
        <v>104</v>
      </c>
      <c r="B46" s="602" t="s">
        <v>105</v>
      </c>
      <c r="C46" s="601" t="s">
        <v>265</v>
      </c>
      <c r="D46" s="962">
        <v>4374</v>
      </c>
      <c r="E46" s="962">
        <v>4244</v>
      </c>
      <c r="F46" s="962">
        <v>1447</v>
      </c>
      <c r="G46" s="962">
        <v>5965</v>
      </c>
      <c r="H46" s="962">
        <v>4100</v>
      </c>
      <c r="I46" s="603">
        <v>3954</v>
      </c>
      <c r="J46" s="603">
        <v>5311</v>
      </c>
      <c r="K46" s="603">
        <v>374</v>
      </c>
      <c r="L46" s="603">
        <v>426</v>
      </c>
      <c r="M46" s="603">
        <v>10065</v>
      </c>
      <c r="N46" s="603"/>
    </row>
    <row r="47" spans="1:14" s="604" customFormat="1" x14ac:dyDescent="0.25">
      <c r="A47" s="606" t="s">
        <v>108</v>
      </c>
      <c r="B47" s="602" t="s">
        <v>109</v>
      </c>
      <c r="C47" s="601" t="s">
        <v>266</v>
      </c>
      <c r="D47" s="962">
        <v>5120</v>
      </c>
      <c r="E47" s="962">
        <v>3794</v>
      </c>
      <c r="F47" s="962">
        <v>749</v>
      </c>
      <c r="G47" s="962">
        <v>5559</v>
      </c>
      <c r="H47" s="962">
        <v>4104</v>
      </c>
      <c r="I47" s="603">
        <v>6171</v>
      </c>
      <c r="J47" s="603">
        <v>2021</v>
      </c>
      <c r="K47" s="603">
        <v>870</v>
      </c>
      <c r="L47" s="603">
        <v>601</v>
      </c>
      <c r="M47" s="603">
        <v>9663</v>
      </c>
      <c r="N47" s="603"/>
    </row>
    <row r="48" spans="1:14" s="604" customFormat="1" x14ac:dyDescent="0.25">
      <c r="A48" s="606" t="s">
        <v>110</v>
      </c>
      <c r="B48" s="602" t="s">
        <v>111</v>
      </c>
      <c r="C48" s="601" t="s">
        <v>266</v>
      </c>
      <c r="D48" s="962">
        <v>27955</v>
      </c>
      <c r="E48" s="962">
        <v>18765</v>
      </c>
      <c r="F48" s="962">
        <v>3214</v>
      </c>
      <c r="G48" s="962">
        <v>28961</v>
      </c>
      <c r="H48" s="962">
        <v>20973</v>
      </c>
      <c r="I48" s="603">
        <v>14898</v>
      </c>
      <c r="J48" s="603">
        <v>25359</v>
      </c>
      <c r="K48" s="603">
        <v>5819</v>
      </c>
      <c r="L48" s="603">
        <v>3858</v>
      </c>
      <c r="M48" s="603">
        <v>49934</v>
      </c>
      <c r="N48" s="603"/>
    </row>
    <row r="49" spans="1:14" s="604" customFormat="1" x14ac:dyDescent="0.25">
      <c r="A49" s="606" t="s">
        <v>112</v>
      </c>
      <c r="B49" s="602" t="s">
        <v>300</v>
      </c>
      <c r="C49" s="601" t="s">
        <v>265</v>
      </c>
      <c r="D49" s="962">
        <v>10148</v>
      </c>
      <c r="E49" s="962">
        <v>9322</v>
      </c>
      <c r="F49" s="962">
        <v>2387</v>
      </c>
      <c r="G49" s="962">
        <v>12807</v>
      </c>
      <c r="H49" s="962">
        <v>9050</v>
      </c>
      <c r="I49" s="603">
        <v>11994</v>
      </c>
      <c r="J49" s="603">
        <v>7520</v>
      </c>
      <c r="K49" s="603">
        <v>735</v>
      </c>
      <c r="L49" s="603">
        <v>1608</v>
      </c>
      <c r="M49" s="603">
        <v>21857</v>
      </c>
      <c r="N49" s="603"/>
    </row>
    <row r="50" spans="1:14" s="604" customFormat="1" x14ac:dyDescent="0.25">
      <c r="A50" s="606" t="s">
        <v>114</v>
      </c>
      <c r="B50" s="602" t="s">
        <v>115</v>
      </c>
      <c r="C50" s="601" t="s">
        <v>265</v>
      </c>
      <c r="D50" s="962">
        <v>209</v>
      </c>
      <c r="E50" s="962">
        <v>185</v>
      </c>
      <c r="F50" s="962">
        <v>48</v>
      </c>
      <c r="G50" s="962">
        <v>252</v>
      </c>
      <c r="H50" s="962">
        <v>190</v>
      </c>
      <c r="I50" s="603">
        <v>354</v>
      </c>
      <c r="J50" s="603">
        <v>32</v>
      </c>
      <c r="K50" s="603">
        <v>33</v>
      </c>
      <c r="L50" s="603">
        <v>23</v>
      </c>
      <c r="M50" s="603">
        <v>442</v>
      </c>
      <c r="N50" s="603"/>
    </row>
    <row r="51" spans="1:14" s="604" customFormat="1" x14ac:dyDescent="0.25">
      <c r="A51" s="606" t="s">
        <v>118</v>
      </c>
      <c r="B51" s="602" t="s">
        <v>270</v>
      </c>
      <c r="C51" s="601" t="s">
        <v>264</v>
      </c>
      <c r="D51" s="962">
        <v>2758</v>
      </c>
      <c r="E51" s="962">
        <v>2338</v>
      </c>
      <c r="F51" s="962">
        <v>597</v>
      </c>
      <c r="G51" s="962">
        <v>3396</v>
      </c>
      <c r="H51" s="962">
        <v>2297</v>
      </c>
      <c r="I51" s="603">
        <v>2560</v>
      </c>
      <c r="J51" s="603">
        <v>2572</v>
      </c>
      <c r="K51" s="603">
        <v>261</v>
      </c>
      <c r="L51" s="603">
        <v>300</v>
      </c>
      <c r="M51" s="603">
        <v>5693</v>
      </c>
      <c r="N51" s="603"/>
    </row>
    <row r="52" spans="1:14" s="604" customFormat="1" x14ac:dyDescent="0.25">
      <c r="A52" s="606" t="s">
        <v>120</v>
      </c>
      <c r="B52" s="602" t="s">
        <v>121</v>
      </c>
      <c r="C52" s="601" t="s">
        <v>264</v>
      </c>
      <c r="D52" s="962">
        <v>4319</v>
      </c>
      <c r="E52" s="962">
        <v>2768</v>
      </c>
      <c r="F52" s="962">
        <v>455</v>
      </c>
      <c r="G52" s="962">
        <v>4371</v>
      </c>
      <c r="H52" s="962">
        <v>3171</v>
      </c>
      <c r="I52" s="603">
        <v>3817</v>
      </c>
      <c r="J52" s="603">
        <v>2715</v>
      </c>
      <c r="K52" s="603">
        <v>646</v>
      </c>
      <c r="L52" s="603">
        <v>364</v>
      </c>
      <c r="M52" s="603">
        <v>7542</v>
      </c>
      <c r="N52" s="603"/>
    </row>
    <row r="53" spans="1:14" s="604" customFormat="1" x14ac:dyDescent="0.25">
      <c r="A53" s="606" t="s">
        <v>122</v>
      </c>
      <c r="B53" s="602" t="s">
        <v>287</v>
      </c>
      <c r="C53" s="601" t="s">
        <v>266</v>
      </c>
      <c r="D53" s="962">
        <v>818</v>
      </c>
      <c r="E53" s="962">
        <v>775</v>
      </c>
      <c r="F53" s="962">
        <v>172</v>
      </c>
      <c r="G53" s="962">
        <v>1050</v>
      </c>
      <c r="H53" s="962">
        <v>715</v>
      </c>
      <c r="I53" s="603">
        <v>853</v>
      </c>
      <c r="J53" s="603">
        <v>726</v>
      </c>
      <c r="K53" s="603">
        <v>105</v>
      </c>
      <c r="L53" s="603">
        <v>81</v>
      </c>
      <c r="M53" s="603">
        <v>1765</v>
      </c>
      <c r="N53" s="603"/>
    </row>
    <row r="54" spans="1:14" s="604" customFormat="1" x14ac:dyDescent="0.25">
      <c r="A54" s="606" t="s">
        <v>124</v>
      </c>
      <c r="B54" s="602" t="s">
        <v>125</v>
      </c>
      <c r="C54" s="601" t="s">
        <v>267</v>
      </c>
      <c r="D54" s="962">
        <v>2191</v>
      </c>
      <c r="E54" s="962">
        <v>1522</v>
      </c>
      <c r="F54" s="962">
        <v>272</v>
      </c>
      <c r="G54" s="962">
        <v>2307</v>
      </c>
      <c r="H54" s="962">
        <v>1678</v>
      </c>
      <c r="I54" s="603">
        <v>2213</v>
      </c>
      <c r="J54" s="603">
        <v>1330</v>
      </c>
      <c r="K54" s="603">
        <v>240</v>
      </c>
      <c r="L54" s="603">
        <v>202</v>
      </c>
      <c r="M54" s="603">
        <v>3985</v>
      </c>
      <c r="N54" s="603"/>
    </row>
    <row r="55" spans="1:14" s="604" customFormat="1" x14ac:dyDescent="0.25">
      <c r="A55" s="606" t="s">
        <v>126</v>
      </c>
      <c r="B55" s="602" t="s">
        <v>127</v>
      </c>
      <c r="C55" s="601" t="s">
        <v>266</v>
      </c>
      <c r="D55" s="962">
        <v>1390</v>
      </c>
      <c r="E55" s="962">
        <v>998</v>
      </c>
      <c r="F55" s="962">
        <v>235</v>
      </c>
      <c r="G55" s="962">
        <v>1538</v>
      </c>
      <c r="H55" s="962">
        <v>1085</v>
      </c>
      <c r="I55" s="603">
        <v>1418</v>
      </c>
      <c r="J55" s="603">
        <v>913</v>
      </c>
      <c r="K55" s="603">
        <v>199</v>
      </c>
      <c r="L55" s="603">
        <v>93</v>
      </c>
      <c r="M55" s="603">
        <v>2623</v>
      </c>
      <c r="N55" s="603"/>
    </row>
    <row r="56" spans="1:14" s="604" customFormat="1" x14ac:dyDescent="0.25">
      <c r="A56" s="606" t="s">
        <v>128</v>
      </c>
      <c r="B56" s="602" t="s">
        <v>129</v>
      </c>
      <c r="C56" s="601" t="s">
        <v>266</v>
      </c>
      <c r="D56" s="962">
        <v>1176</v>
      </c>
      <c r="E56" s="962">
        <v>861</v>
      </c>
      <c r="F56" s="962">
        <v>339</v>
      </c>
      <c r="G56" s="962">
        <v>1447</v>
      </c>
      <c r="H56" s="962">
        <v>929</v>
      </c>
      <c r="I56" s="603">
        <v>794</v>
      </c>
      <c r="J56" s="603">
        <v>1457</v>
      </c>
      <c r="K56" s="603">
        <v>113</v>
      </c>
      <c r="L56" s="603">
        <v>12</v>
      </c>
      <c r="M56" s="603">
        <v>2376</v>
      </c>
      <c r="N56" s="603"/>
    </row>
    <row r="57" spans="1:14" s="604" customFormat="1" x14ac:dyDescent="0.25">
      <c r="A57" s="606" t="s">
        <v>130</v>
      </c>
      <c r="B57" s="602" t="s">
        <v>131</v>
      </c>
      <c r="C57" s="601" t="s">
        <v>268</v>
      </c>
      <c r="D57" s="962">
        <v>3313</v>
      </c>
      <c r="E57" s="962">
        <v>3895</v>
      </c>
      <c r="F57" s="962">
        <v>1176</v>
      </c>
      <c r="G57" s="962">
        <v>4666</v>
      </c>
      <c r="H57" s="962">
        <v>3718</v>
      </c>
      <c r="I57" s="603">
        <v>8049</v>
      </c>
      <c r="J57" s="603">
        <v>42</v>
      </c>
      <c r="K57" s="603">
        <v>132</v>
      </c>
      <c r="L57" s="603">
        <v>161</v>
      </c>
      <c r="M57" s="603">
        <v>8384</v>
      </c>
      <c r="N57" s="603"/>
    </row>
    <row r="58" spans="1:14" s="604" customFormat="1" x14ac:dyDescent="0.25">
      <c r="A58" s="606" t="s">
        <v>132</v>
      </c>
      <c r="B58" s="602" t="s">
        <v>133</v>
      </c>
      <c r="C58" s="601" t="s">
        <v>267</v>
      </c>
      <c r="D58" s="962">
        <v>15549</v>
      </c>
      <c r="E58" s="962">
        <v>6335</v>
      </c>
      <c r="F58" s="962">
        <v>2326</v>
      </c>
      <c r="G58" s="962">
        <v>13310</v>
      </c>
      <c r="H58" s="962">
        <v>10900</v>
      </c>
      <c r="I58" s="603">
        <v>11710</v>
      </c>
      <c r="J58" s="603">
        <v>3058</v>
      </c>
      <c r="K58" s="603">
        <v>7715</v>
      </c>
      <c r="L58" s="603">
        <v>1727</v>
      </c>
      <c r="M58" s="603">
        <v>24210</v>
      </c>
      <c r="N58" s="603"/>
    </row>
    <row r="59" spans="1:14" s="604" customFormat="1" x14ac:dyDescent="0.25">
      <c r="A59" s="606" t="s">
        <v>134</v>
      </c>
      <c r="B59" s="602" t="s">
        <v>135</v>
      </c>
      <c r="C59" s="601" t="s">
        <v>267</v>
      </c>
      <c r="D59" s="962">
        <v>3449</v>
      </c>
      <c r="E59" s="962">
        <v>2749</v>
      </c>
      <c r="F59" s="962">
        <v>655</v>
      </c>
      <c r="G59" s="962">
        <v>3950</v>
      </c>
      <c r="H59" s="962">
        <v>2903</v>
      </c>
      <c r="I59" s="603">
        <v>4233</v>
      </c>
      <c r="J59" s="603">
        <v>1824</v>
      </c>
      <c r="K59" s="603">
        <v>381</v>
      </c>
      <c r="L59" s="603">
        <v>415</v>
      </c>
      <c r="M59" s="603">
        <v>6853</v>
      </c>
      <c r="N59" s="603"/>
    </row>
    <row r="60" spans="1:14" s="604" customFormat="1" x14ac:dyDescent="0.25">
      <c r="A60" s="606" t="s">
        <v>136</v>
      </c>
      <c r="B60" s="602" t="s">
        <v>137</v>
      </c>
      <c r="C60" s="601" t="s">
        <v>266</v>
      </c>
      <c r="D60" s="962">
        <v>1598</v>
      </c>
      <c r="E60" s="962">
        <v>1316</v>
      </c>
      <c r="F60" s="962">
        <v>508</v>
      </c>
      <c r="G60" s="962">
        <v>1979</v>
      </c>
      <c r="H60" s="962">
        <v>1443</v>
      </c>
      <c r="I60" s="603">
        <v>1494</v>
      </c>
      <c r="J60" s="603">
        <v>1663</v>
      </c>
      <c r="K60" s="603">
        <v>210</v>
      </c>
      <c r="L60" s="603">
        <v>55</v>
      </c>
      <c r="M60" s="603">
        <v>3422</v>
      </c>
      <c r="N60" s="603"/>
    </row>
    <row r="61" spans="1:14" s="604" customFormat="1" x14ac:dyDescent="0.25">
      <c r="A61" s="606" t="s">
        <v>140</v>
      </c>
      <c r="B61" s="602" t="s">
        <v>141</v>
      </c>
      <c r="C61" s="601" t="s">
        <v>267</v>
      </c>
      <c r="D61" s="962">
        <v>1303</v>
      </c>
      <c r="E61" s="962">
        <v>891</v>
      </c>
      <c r="F61" s="962">
        <v>289</v>
      </c>
      <c r="G61" s="962">
        <v>1440</v>
      </c>
      <c r="H61" s="962">
        <v>1043</v>
      </c>
      <c r="I61" s="603">
        <v>1898</v>
      </c>
      <c r="J61" s="603">
        <v>384</v>
      </c>
      <c r="K61" s="603">
        <v>109</v>
      </c>
      <c r="L61" s="603">
        <v>92</v>
      </c>
      <c r="M61" s="603">
        <v>2483</v>
      </c>
      <c r="N61" s="603"/>
    </row>
    <row r="62" spans="1:14" s="604" customFormat="1" x14ac:dyDescent="0.25">
      <c r="A62" s="606" t="s">
        <v>146</v>
      </c>
      <c r="B62" s="602" t="s">
        <v>147</v>
      </c>
      <c r="C62" s="601" t="s">
        <v>264</v>
      </c>
      <c r="D62" s="962">
        <v>651</v>
      </c>
      <c r="E62" s="962">
        <v>520</v>
      </c>
      <c r="F62" s="962">
        <v>181</v>
      </c>
      <c r="G62" s="962">
        <v>790</v>
      </c>
      <c r="H62" s="962">
        <v>562</v>
      </c>
      <c r="I62" s="603">
        <v>975</v>
      </c>
      <c r="J62" s="603">
        <v>268</v>
      </c>
      <c r="K62" s="603">
        <v>69</v>
      </c>
      <c r="L62" s="603">
        <v>40</v>
      </c>
      <c r="M62" s="603">
        <v>1352</v>
      </c>
      <c r="N62" s="603"/>
    </row>
    <row r="63" spans="1:14" s="604" customFormat="1" x14ac:dyDescent="0.25">
      <c r="A63" s="606" t="s">
        <v>148</v>
      </c>
      <c r="B63" s="602" t="s">
        <v>149</v>
      </c>
      <c r="C63" s="601" t="s">
        <v>265</v>
      </c>
      <c r="D63" s="962">
        <v>3724</v>
      </c>
      <c r="E63" s="962">
        <v>3181</v>
      </c>
      <c r="F63" s="962">
        <v>1091</v>
      </c>
      <c r="G63" s="962">
        <v>4711</v>
      </c>
      <c r="H63" s="962">
        <v>3285</v>
      </c>
      <c r="I63" s="603">
        <v>3109</v>
      </c>
      <c r="J63" s="603">
        <v>4478</v>
      </c>
      <c r="K63" s="603">
        <v>248</v>
      </c>
      <c r="L63" s="603">
        <v>161</v>
      </c>
      <c r="M63" s="603">
        <v>7996</v>
      </c>
      <c r="N63" s="603"/>
    </row>
    <row r="64" spans="1:14" s="604" customFormat="1" x14ac:dyDescent="0.25">
      <c r="A64" s="606" t="s">
        <v>150</v>
      </c>
      <c r="B64" s="602" t="s">
        <v>151</v>
      </c>
      <c r="C64" s="601" t="s">
        <v>266</v>
      </c>
      <c r="D64" s="962">
        <v>1049</v>
      </c>
      <c r="E64" s="962">
        <v>954</v>
      </c>
      <c r="F64" s="962">
        <v>265</v>
      </c>
      <c r="G64" s="962">
        <v>1315</v>
      </c>
      <c r="H64" s="962">
        <v>953</v>
      </c>
      <c r="I64" s="603">
        <v>1410</v>
      </c>
      <c r="J64" s="603">
        <v>664</v>
      </c>
      <c r="K64" s="603">
        <v>118</v>
      </c>
      <c r="L64" s="603">
        <v>76</v>
      </c>
      <c r="M64" s="603">
        <v>2268</v>
      </c>
      <c r="N64" s="603"/>
    </row>
    <row r="65" spans="1:14" s="604" customFormat="1" x14ac:dyDescent="0.25">
      <c r="A65" s="606" t="s">
        <v>152</v>
      </c>
      <c r="B65" s="602" t="s">
        <v>153</v>
      </c>
      <c r="C65" s="601" t="s">
        <v>268</v>
      </c>
      <c r="D65" s="962">
        <v>5653</v>
      </c>
      <c r="E65" s="962">
        <v>4892</v>
      </c>
      <c r="F65" s="962">
        <v>908</v>
      </c>
      <c r="G65" s="962">
        <v>6609</v>
      </c>
      <c r="H65" s="962">
        <v>4844</v>
      </c>
      <c r="I65" s="603">
        <v>9311</v>
      </c>
      <c r="J65" s="603">
        <v>877</v>
      </c>
      <c r="K65" s="603">
        <v>624</v>
      </c>
      <c r="L65" s="603">
        <v>641</v>
      </c>
      <c r="M65" s="603">
        <v>11453</v>
      </c>
      <c r="N65" s="603"/>
    </row>
    <row r="66" spans="1:14" s="604" customFormat="1" x14ac:dyDescent="0.25">
      <c r="A66" s="606" t="s">
        <v>154</v>
      </c>
      <c r="B66" s="602" t="s">
        <v>155</v>
      </c>
      <c r="C66" s="601" t="s">
        <v>265</v>
      </c>
      <c r="D66" s="962">
        <v>1547</v>
      </c>
      <c r="E66" s="962">
        <v>1331</v>
      </c>
      <c r="F66" s="962">
        <v>449</v>
      </c>
      <c r="G66" s="962">
        <v>1905</v>
      </c>
      <c r="H66" s="962">
        <v>1422</v>
      </c>
      <c r="I66" s="603">
        <v>2223</v>
      </c>
      <c r="J66" s="603">
        <v>642</v>
      </c>
      <c r="K66" s="603">
        <v>188</v>
      </c>
      <c r="L66" s="603">
        <v>274</v>
      </c>
      <c r="M66" s="603">
        <v>3327</v>
      </c>
      <c r="N66" s="603"/>
    </row>
    <row r="67" spans="1:14" s="604" customFormat="1" x14ac:dyDescent="0.25">
      <c r="A67" s="606" t="s">
        <v>156</v>
      </c>
      <c r="B67" s="602" t="s">
        <v>157</v>
      </c>
      <c r="C67" s="601" t="s">
        <v>266</v>
      </c>
      <c r="D67" s="962">
        <v>1144</v>
      </c>
      <c r="E67" s="962">
        <v>906</v>
      </c>
      <c r="F67" s="962">
        <v>137</v>
      </c>
      <c r="G67" s="962">
        <v>1254</v>
      </c>
      <c r="H67" s="962">
        <v>933</v>
      </c>
      <c r="I67" s="603">
        <v>1497</v>
      </c>
      <c r="J67" s="603">
        <v>436</v>
      </c>
      <c r="K67" s="603">
        <v>135</v>
      </c>
      <c r="L67" s="603">
        <v>119</v>
      </c>
      <c r="M67" s="603">
        <v>2187</v>
      </c>
      <c r="N67" s="603"/>
    </row>
    <row r="68" spans="1:14" s="604" customFormat="1" x14ac:dyDescent="0.25">
      <c r="A68" s="606" t="s">
        <v>162</v>
      </c>
      <c r="B68" s="602" t="s">
        <v>163</v>
      </c>
      <c r="C68" s="601" t="s">
        <v>264</v>
      </c>
      <c r="D68" s="962">
        <v>1813</v>
      </c>
      <c r="E68" s="962">
        <v>1470</v>
      </c>
      <c r="F68" s="962">
        <v>650</v>
      </c>
      <c r="G68" s="962">
        <v>2285</v>
      </c>
      <c r="H68" s="962">
        <v>1648</v>
      </c>
      <c r="I68" s="603">
        <v>1337</v>
      </c>
      <c r="J68" s="603">
        <v>2312</v>
      </c>
      <c r="K68" s="603">
        <v>160</v>
      </c>
      <c r="L68" s="603">
        <v>124</v>
      </c>
      <c r="M68" s="603">
        <v>3933</v>
      </c>
      <c r="N68" s="603"/>
    </row>
    <row r="69" spans="1:14" s="604" customFormat="1" x14ac:dyDescent="0.25">
      <c r="A69" s="606" t="s">
        <v>164</v>
      </c>
      <c r="B69" s="602" t="s">
        <v>165</v>
      </c>
      <c r="C69" s="601" t="s">
        <v>266</v>
      </c>
      <c r="D69" s="962">
        <v>1226</v>
      </c>
      <c r="E69" s="962">
        <v>1038</v>
      </c>
      <c r="F69" s="962">
        <v>315</v>
      </c>
      <c r="G69" s="962">
        <v>1506</v>
      </c>
      <c r="H69" s="962">
        <v>1073</v>
      </c>
      <c r="I69" s="603">
        <v>1068</v>
      </c>
      <c r="J69" s="603">
        <v>1321</v>
      </c>
      <c r="K69" s="603">
        <v>131</v>
      </c>
      <c r="L69" s="603">
        <v>59</v>
      </c>
      <c r="M69" s="603">
        <v>2579</v>
      </c>
      <c r="N69" s="603"/>
    </row>
    <row r="70" spans="1:14" s="604" customFormat="1" x14ac:dyDescent="0.25">
      <c r="A70" s="606" t="s">
        <v>168</v>
      </c>
      <c r="B70" s="602" t="s">
        <v>169</v>
      </c>
      <c r="C70" s="601" t="s">
        <v>266</v>
      </c>
      <c r="D70" s="962">
        <v>2228</v>
      </c>
      <c r="E70" s="962">
        <v>1841</v>
      </c>
      <c r="F70" s="962">
        <v>531</v>
      </c>
      <c r="G70" s="962">
        <v>2692</v>
      </c>
      <c r="H70" s="962">
        <v>1908</v>
      </c>
      <c r="I70" s="603">
        <v>1956</v>
      </c>
      <c r="J70" s="603">
        <v>2357</v>
      </c>
      <c r="K70" s="603">
        <v>161</v>
      </c>
      <c r="L70" s="603">
        <v>126</v>
      </c>
      <c r="M70" s="603">
        <v>4600</v>
      </c>
      <c r="N70" s="603"/>
    </row>
    <row r="71" spans="1:14" s="604" customFormat="1" x14ac:dyDescent="0.25">
      <c r="A71" s="606" t="s">
        <v>170</v>
      </c>
      <c r="B71" s="602" t="s">
        <v>171</v>
      </c>
      <c r="C71" s="601" t="s">
        <v>267</v>
      </c>
      <c r="D71" s="962">
        <v>3184</v>
      </c>
      <c r="E71" s="962">
        <v>2287</v>
      </c>
      <c r="F71" s="962">
        <v>559</v>
      </c>
      <c r="G71" s="962">
        <v>3512</v>
      </c>
      <c r="H71" s="962">
        <v>2518</v>
      </c>
      <c r="I71" s="603">
        <v>3815</v>
      </c>
      <c r="J71" s="603">
        <v>1464</v>
      </c>
      <c r="K71" s="603">
        <v>441</v>
      </c>
      <c r="L71" s="603">
        <v>310</v>
      </c>
      <c r="M71" s="603">
        <v>6030</v>
      </c>
      <c r="N71" s="603"/>
    </row>
    <row r="72" spans="1:14" s="604" customFormat="1" x14ac:dyDescent="0.25">
      <c r="A72" s="606" t="s">
        <v>172</v>
      </c>
      <c r="B72" s="602" t="s">
        <v>173</v>
      </c>
      <c r="C72" s="601" t="s">
        <v>267</v>
      </c>
      <c r="D72" s="962">
        <v>2546</v>
      </c>
      <c r="E72" s="962">
        <v>2304</v>
      </c>
      <c r="F72" s="962">
        <v>662</v>
      </c>
      <c r="G72" s="962">
        <v>3129</v>
      </c>
      <c r="H72" s="962">
        <v>2383</v>
      </c>
      <c r="I72" s="603">
        <v>5104</v>
      </c>
      <c r="J72" s="603">
        <v>154</v>
      </c>
      <c r="K72" s="603">
        <v>94</v>
      </c>
      <c r="L72" s="603">
        <v>160</v>
      </c>
      <c r="M72" s="603">
        <v>5512</v>
      </c>
      <c r="N72" s="603"/>
    </row>
    <row r="73" spans="1:14" s="604" customFormat="1" x14ac:dyDescent="0.25">
      <c r="A73" s="606" t="s">
        <v>174</v>
      </c>
      <c r="B73" s="602" t="s">
        <v>175</v>
      </c>
      <c r="C73" s="601" t="s">
        <v>268</v>
      </c>
      <c r="D73" s="962">
        <v>2093</v>
      </c>
      <c r="E73" s="962">
        <v>2143</v>
      </c>
      <c r="F73" s="962">
        <v>646</v>
      </c>
      <c r="G73" s="962">
        <v>2787</v>
      </c>
      <c r="H73" s="962">
        <v>2095</v>
      </c>
      <c r="I73" s="603">
        <v>4212</v>
      </c>
      <c r="J73" s="603">
        <v>368</v>
      </c>
      <c r="K73" s="603">
        <v>202</v>
      </c>
      <c r="L73" s="603">
        <v>100</v>
      </c>
      <c r="M73" s="603">
        <v>4882</v>
      </c>
      <c r="N73" s="603"/>
    </row>
    <row r="74" spans="1:14" s="604" customFormat="1" x14ac:dyDescent="0.25">
      <c r="A74" s="606" t="s">
        <v>178</v>
      </c>
      <c r="B74" s="602" t="s">
        <v>179</v>
      </c>
      <c r="C74" s="601" t="s">
        <v>265</v>
      </c>
      <c r="D74" s="962">
        <v>6863</v>
      </c>
      <c r="E74" s="962">
        <v>6315</v>
      </c>
      <c r="F74" s="962">
        <v>2007</v>
      </c>
      <c r="G74" s="962">
        <v>9028</v>
      </c>
      <c r="H74" s="962">
        <v>6157</v>
      </c>
      <c r="I74" s="603">
        <v>8918</v>
      </c>
      <c r="J74" s="603">
        <v>4739</v>
      </c>
      <c r="K74" s="603">
        <v>705</v>
      </c>
      <c r="L74" s="603">
        <v>823</v>
      </c>
      <c r="M74" s="603">
        <v>15185</v>
      </c>
      <c r="N74" s="603"/>
    </row>
    <row r="75" spans="1:14" s="604" customFormat="1" x14ac:dyDescent="0.25">
      <c r="A75" s="606" t="s">
        <v>182</v>
      </c>
      <c r="B75" s="602" t="s">
        <v>183</v>
      </c>
      <c r="C75" s="601" t="s">
        <v>266</v>
      </c>
      <c r="D75" s="962">
        <v>1362</v>
      </c>
      <c r="E75" s="962">
        <v>997</v>
      </c>
      <c r="F75" s="962">
        <v>193</v>
      </c>
      <c r="G75" s="962">
        <v>1455</v>
      </c>
      <c r="H75" s="962">
        <v>1097</v>
      </c>
      <c r="I75" s="603">
        <v>1780</v>
      </c>
      <c r="J75" s="603">
        <v>443</v>
      </c>
      <c r="K75" s="603">
        <v>155</v>
      </c>
      <c r="L75" s="603">
        <v>174</v>
      </c>
      <c r="M75" s="603">
        <v>2552</v>
      </c>
      <c r="N75" s="603"/>
    </row>
    <row r="76" spans="1:14" s="604" customFormat="1" x14ac:dyDescent="0.25">
      <c r="A76" s="606" t="s">
        <v>184</v>
      </c>
      <c r="B76" s="602" t="s">
        <v>185</v>
      </c>
      <c r="C76" s="601" t="s">
        <v>266</v>
      </c>
      <c r="D76" s="962">
        <v>2432</v>
      </c>
      <c r="E76" s="962">
        <v>2267</v>
      </c>
      <c r="F76" s="962">
        <v>550</v>
      </c>
      <c r="G76" s="962">
        <v>3065</v>
      </c>
      <c r="H76" s="962">
        <v>2184</v>
      </c>
      <c r="I76" s="603">
        <v>1857</v>
      </c>
      <c r="J76" s="603">
        <v>3056</v>
      </c>
      <c r="K76" s="603">
        <v>207</v>
      </c>
      <c r="L76" s="603">
        <v>129</v>
      </c>
      <c r="M76" s="603">
        <v>5249</v>
      </c>
      <c r="N76" s="603"/>
    </row>
    <row r="77" spans="1:14" s="604" customFormat="1" x14ac:dyDescent="0.25">
      <c r="A77" s="606" t="s">
        <v>186</v>
      </c>
      <c r="B77" s="602" t="s">
        <v>187</v>
      </c>
      <c r="C77" s="601" t="s">
        <v>264</v>
      </c>
      <c r="D77" s="962">
        <v>2529</v>
      </c>
      <c r="E77" s="962">
        <v>1976</v>
      </c>
      <c r="F77" s="962">
        <v>269</v>
      </c>
      <c r="G77" s="962">
        <v>2831</v>
      </c>
      <c r="H77" s="962">
        <v>1943</v>
      </c>
      <c r="I77" s="603">
        <v>2343</v>
      </c>
      <c r="J77" s="603">
        <v>1901</v>
      </c>
      <c r="K77" s="603">
        <v>342</v>
      </c>
      <c r="L77" s="603">
        <v>188</v>
      </c>
      <c r="M77" s="603">
        <v>4774</v>
      </c>
      <c r="N77" s="603"/>
    </row>
    <row r="78" spans="1:14" s="604" customFormat="1" x14ac:dyDescent="0.25">
      <c r="A78" s="606" t="s">
        <v>188</v>
      </c>
      <c r="B78" s="602" t="s">
        <v>189</v>
      </c>
      <c r="C78" s="601" t="s">
        <v>267</v>
      </c>
      <c r="D78" s="962">
        <v>40256</v>
      </c>
      <c r="E78" s="962">
        <v>18144</v>
      </c>
      <c r="F78" s="962">
        <v>3161</v>
      </c>
      <c r="G78" s="962">
        <v>34446</v>
      </c>
      <c r="H78" s="962">
        <v>27115</v>
      </c>
      <c r="I78" s="603">
        <v>27948</v>
      </c>
      <c r="J78" s="603">
        <v>16454</v>
      </c>
      <c r="K78" s="603">
        <v>13729</v>
      </c>
      <c r="L78" s="603">
        <v>3430</v>
      </c>
      <c r="M78" s="603">
        <v>61561</v>
      </c>
      <c r="N78" s="603"/>
    </row>
    <row r="79" spans="1:14" s="604" customFormat="1" x14ac:dyDescent="0.25">
      <c r="A79" s="606" t="s">
        <v>190</v>
      </c>
      <c r="B79" s="602" t="s">
        <v>191</v>
      </c>
      <c r="C79" s="601" t="s">
        <v>268</v>
      </c>
      <c r="D79" s="962">
        <v>3493</v>
      </c>
      <c r="E79" s="962">
        <v>3609</v>
      </c>
      <c r="F79" s="962">
        <v>920</v>
      </c>
      <c r="G79" s="962">
        <v>4616</v>
      </c>
      <c r="H79" s="962">
        <v>3406</v>
      </c>
      <c r="I79" s="603">
        <v>6899</v>
      </c>
      <c r="J79" s="603">
        <v>720</v>
      </c>
      <c r="K79" s="603">
        <v>301</v>
      </c>
      <c r="L79" s="603">
        <v>102</v>
      </c>
      <c r="M79" s="603">
        <v>8022</v>
      </c>
      <c r="N79" s="603"/>
    </row>
    <row r="80" spans="1:14" s="604" customFormat="1" x14ac:dyDescent="0.25">
      <c r="A80" s="606" t="s">
        <v>194</v>
      </c>
      <c r="B80" s="602" t="s">
        <v>195</v>
      </c>
      <c r="C80" s="601" t="s">
        <v>267</v>
      </c>
      <c r="D80" s="962">
        <v>515</v>
      </c>
      <c r="E80" s="962">
        <v>392</v>
      </c>
      <c r="F80" s="962">
        <v>120</v>
      </c>
      <c r="G80" s="962">
        <v>577</v>
      </c>
      <c r="H80" s="962">
        <v>450</v>
      </c>
      <c r="I80" s="603">
        <v>871</v>
      </c>
      <c r="J80" s="603">
        <v>102</v>
      </c>
      <c r="K80" s="603">
        <v>32</v>
      </c>
      <c r="L80" s="603">
        <v>22</v>
      </c>
      <c r="M80" s="603">
        <v>1027</v>
      </c>
      <c r="N80" s="603"/>
    </row>
    <row r="81" spans="1:14" s="604" customFormat="1" x14ac:dyDescent="0.25">
      <c r="A81" s="606" t="s">
        <v>198</v>
      </c>
      <c r="B81" s="602" t="s">
        <v>272</v>
      </c>
      <c r="C81" s="601" t="s">
        <v>266</v>
      </c>
      <c r="D81" s="962">
        <v>1037</v>
      </c>
      <c r="E81" s="962">
        <v>832</v>
      </c>
      <c r="F81" s="962">
        <v>208</v>
      </c>
      <c r="G81" s="962">
        <v>1224</v>
      </c>
      <c r="H81" s="962">
        <v>853</v>
      </c>
      <c r="I81" s="603">
        <v>920</v>
      </c>
      <c r="J81" s="603">
        <v>885</v>
      </c>
      <c r="K81" s="603">
        <v>199</v>
      </c>
      <c r="L81" s="603">
        <v>73</v>
      </c>
      <c r="M81" s="603">
        <v>2077</v>
      </c>
      <c r="N81" s="603"/>
    </row>
    <row r="82" spans="1:14" s="604" customFormat="1" x14ac:dyDescent="0.25">
      <c r="A82" s="606" t="s">
        <v>202</v>
      </c>
      <c r="B82" s="602" t="s">
        <v>301</v>
      </c>
      <c r="C82" s="601" t="s">
        <v>265</v>
      </c>
      <c r="D82" s="962">
        <v>8161</v>
      </c>
      <c r="E82" s="962">
        <v>5818</v>
      </c>
      <c r="F82" s="962">
        <v>1428</v>
      </c>
      <c r="G82" s="962">
        <v>8851</v>
      </c>
      <c r="H82" s="962">
        <v>6556</v>
      </c>
      <c r="I82" s="603">
        <v>11283</v>
      </c>
      <c r="J82" s="603">
        <v>2093</v>
      </c>
      <c r="K82" s="603">
        <v>1291</v>
      </c>
      <c r="L82" s="603">
        <v>740</v>
      </c>
      <c r="M82" s="603">
        <v>15407</v>
      </c>
      <c r="N82" s="603"/>
    </row>
    <row r="83" spans="1:14" s="604" customFormat="1" x14ac:dyDescent="0.25">
      <c r="A83" s="606" t="s">
        <v>204</v>
      </c>
      <c r="B83" s="602" t="s">
        <v>293</v>
      </c>
      <c r="C83" s="601" t="s">
        <v>265</v>
      </c>
      <c r="D83" s="962">
        <v>3092</v>
      </c>
      <c r="E83" s="962">
        <v>2525</v>
      </c>
      <c r="F83" s="962">
        <v>836</v>
      </c>
      <c r="G83" s="962">
        <v>3774</v>
      </c>
      <c r="H83" s="962">
        <v>2679</v>
      </c>
      <c r="I83" s="603">
        <v>5487</v>
      </c>
      <c r="J83" s="603">
        <v>459</v>
      </c>
      <c r="K83" s="603">
        <v>285</v>
      </c>
      <c r="L83" s="603">
        <v>222</v>
      </c>
      <c r="M83" s="603">
        <v>6453</v>
      </c>
      <c r="N83" s="603"/>
    </row>
    <row r="84" spans="1:14" s="604" customFormat="1" x14ac:dyDescent="0.25">
      <c r="A84" s="606" t="s">
        <v>206</v>
      </c>
      <c r="B84" s="602" t="s">
        <v>294</v>
      </c>
      <c r="C84" s="601" t="s">
        <v>267</v>
      </c>
      <c r="D84" s="962">
        <v>11890</v>
      </c>
      <c r="E84" s="962">
        <v>6766</v>
      </c>
      <c r="F84" s="962">
        <v>1592</v>
      </c>
      <c r="G84" s="962">
        <v>11445</v>
      </c>
      <c r="H84" s="962">
        <v>8803</v>
      </c>
      <c r="I84" s="603">
        <v>14790</v>
      </c>
      <c r="J84" s="603">
        <v>1472</v>
      </c>
      <c r="K84" s="603">
        <v>2458</v>
      </c>
      <c r="L84" s="603">
        <v>1528</v>
      </c>
      <c r="M84" s="603">
        <v>20248</v>
      </c>
      <c r="N84" s="603"/>
    </row>
    <row r="85" spans="1:14" s="604" customFormat="1" x14ac:dyDescent="0.25">
      <c r="A85" s="606" t="s">
        <v>208</v>
      </c>
      <c r="B85" s="602" t="s">
        <v>209</v>
      </c>
      <c r="C85" s="601" t="s">
        <v>268</v>
      </c>
      <c r="D85" s="962">
        <v>3593</v>
      </c>
      <c r="E85" s="962">
        <v>3974</v>
      </c>
      <c r="F85" s="962">
        <v>853</v>
      </c>
      <c r="G85" s="962">
        <v>4810</v>
      </c>
      <c r="H85" s="962">
        <v>3610</v>
      </c>
      <c r="I85" s="603">
        <v>7682</v>
      </c>
      <c r="J85" s="603">
        <v>76</v>
      </c>
      <c r="K85" s="603">
        <v>123</v>
      </c>
      <c r="L85" s="603">
        <v>539</v>
      </c>
      <c r="M85" s="603">
        <v>8420</v>
      </c>
      <c r="N85" s="603"/>
    </row>
    <row r="86" spans="1:14" s="604" customFormat="1" x14ac:dyDescent="0.25">
      <c r="A86" s="606" t="s">
        <v>210</v>
      </c>
      <c r="B86" s="602" t="s">
        <v>211</v>
      </c>
      <c r="C86" s="601" t="s">
        <v>268</v>
      </c>
      <c r="D86" s="962">
        <v>2416</v>
      </c>
      <c r="E86" s="962">
        <v>2780</v>
      </c>
      <c r="F86" s="962">
        <v>918</v>
      </c>
      <c r="G86" s="962">
        <v>3425</v>
      </c>
      <c r="H86" s="962">
        <v>2689</v>
      </c>
      <c r="I86" s="603">
        <v>5752</v>
      </c>
      <c r="J86" s="603">
        <v>94</v>
      </c>
      <c r="K86" s="603">
        <v>105</v>
      </c>
      <c r="L86" s="603">
        <v>163</v>
      </c>
      <c r="M86" s="603">
        <v>6114</v>
      </c>
      <c r="N86" s="603"/>
    </row>
    <row r="87" spans="1:14" s="604" customFormat="1" x14ac:dyDescent="0.25">
      <c r="A87" s="606" t="s">
        <v>212</v>
      </c>
      <c r="B87" s="602" t="s">
        <v>213</v>
      </c>
      <c r="C87" s="601" t="s">
        <v>267</v>
      </c>
      <c r="D87" s="962">
        <v>4252</v>
      </c>
      <c r="E87" s="962">
        <v>2917</v>
      </c>
      <c r="F87" s="962">
        <v>762</v>
      </c>
      <c r="G87" s="962">
        <v>4604</v>
      </c>
      <c r="H87" s="962">
        <v>3327</v>
      </c>
      <c r="I87" s="603">
        <v>6590</v>
      </c>
      <c r="J87" s="603">
        <v>325</v>
      </c>
      <c r="K87" s="603">
        <v>694</v>
      </c>
      <c r="L87" s="603">
        <v>322</v>
      </c>
      <c r="M87" s="603">
        <v>7931</v>
      </c>
      <c r="N87" s="603"/>
    </row>
    <row r="88" spans="1:14" s="604" customFormat="1" x14ac:dyDescent="0.25">
      <c r="A88" s="606" t="s">
        <v>214</v>
      </c>
      <c r="B88" s="602" t="s">
        <v>215</v>
      </c>
      <c r="C88" s="601" t="s">
        <v>268</v>
      </c>
      <c r="D88" s="962">
        <v>3808</v>
      </c>
      <c r="E88" s="962">
        <v>3978</v>
      </c>
      <c r="F88" s="962">
        <v>1036</v>
      </c>
      <c r="G88" s="962">
        <v>5044</v>
      </c>
      <c r="H88" s="962">
        <v>3778</v>
      </c>
      <c r="I88" s="603">
        <v>8103</v>
      </c>
      <c r="J88" s="603">
        <v>198</v>
      </c>
      <c r="K88" s="603">
        <v>208</v>
      </c>
      <c r="L88" s="603">
        <v>313</v>
      </c>
      <c r="M88" s="603">
        <v>8822</v>
      </c>
      <c r="N88" s="603"/>
    </row>
    <row r="89" spans="1:14" s="604" customFormat="1" x14ac:dyDescent="0.25">
      <c r="A89" s="606" t="s">
        <v>216</v>
      </c>
      <c r="B89" s="602" t="s">
        <v>217</v>
      </c>
      <c r="C89" s="601" t="s">
        <v>264</v>
      </c>
      <c r="D89" s="962">
        <v>1978</v>
      </c>
      <c r="E89" s="962">
        <v>1688</v>
      </c>
      <c r="F89" s="962">
        <v>490</v>
      </c>
      <c r="G89" s="962">
        <v>2516</v>
      </c>
      <c r="H89" s="962">
        <v>1640</v>
      </c>
      <c r="I89" s="603">
        <v>1452</v>
      </c>
      <c r="J89" s="603">
        <v>2247</v>
      </c>
      <c r="K89" s="603">
        <v>150</v>
      </c>
      <c r="L89" s="603">
        <v>307</v>
      </c>
      <c r="M89" s="603">
        <v>4156</v>
      </c>
      <c r="N89" s="603"/>
    </row>
    <row r="90" spans="1:14" s="604" customFormat="1" x14ac:dyDescent="0.25">
      <c r="A90" s="606" t="s">
        <v>218</v>
      </c>
      <c r="B90" s="602" t="s">
        <v>219</v>
      </c>
      <c r="C90" s="601" t="s">
        <v>267</v>
      </c>
      <c r="D90" s="962">
        <v>11731</v>
      </c>
      <c r="E90" s="962">
        <v>7633</v>
      </c>
      <c r="F90" s="962">
        <v>1052</v>
      </c>
      <c r="G90" s="962">
        <v>11674</v>
      </c>
      <c r="H90" s="962">
        <v>8742</v>
      </c>
      <c r="I90" s="603">
        <v>11848</v>
      </c>
      <c r="J90" s="603">
        <v>5135</v>
      </c>
      <c r="K90" s="603">
        <v>2387</v>
      </c>
      <c r="L90" s="603">
        <v>1046</v>
      </c>
      <c r="M90" s="603">
        <v>20416</v>
      </c>
      <c r="N90" s="603"/>
    </row>
    <row r="91" spans="1:14" s="604" customFormat="1" x14ac:dyDescent="0.25">
      <c r="A91" s="606" t="s">
        <v>220</v>
      </c>
      <c r="B91" s="602" t="s">
        <v>221</v>
      </c>
      <c r="C91" s="601" t="s">
        <v>267</v>
      </c>
      <c r="D91" s="962">
        <v>10107</v>
      </c>
      <c r="E91" s="962">
        <v>5960</v>
      </c>
      <c r="F91" s="962">
        <v>765</v>
      </c>
      <c r="G91" s="962">
        <v>9801</v>
      </c>
      <c r="H91" s="962">
        <v>7031</v>
      </c>
      <c r="I91" s="603">
        <v>8258</v>
      </c>
      <c r="J91" s="603">
        <v>4557</v>
      </c>
      <c r="K91" s="603">
        <v>2701</v>
      </c>
      <c r="L91" s="603">
        <v>1316</v>
      </c>
      <c r="M91" s="603">
        <v>16832</v>
      </c>
      <c r="N91" s="603"/>
    </row>
    <row r="92" spans="1:14" s="604" customFormat="1" x14ac:dyDescent="0.25">
      <c r="A92" s="606" t="s">
        <v>224</v>
      </c>
      <c r="B92" s="602" t="s">
        <v>225</v>
      </c>
      <c r="C92" s="601" t="s">
        <v>264</v>
      </c>
      <c r="D92" s="962">
        <v>678</v>
      </c>
      <c r="E92" s="962">
        <v>597</v>
      </c>
      <c r="F92" s="962">
        <v>158</v>
      </c>
      <c r="G92" s="962">
        <v>833</v>
      </c>
      <c r="H92" s="962">
        <v>600</v>
      </c>
      <c r="I92" s="603">
        <v>504</v>
      </c>
      <c r="J92" s="603">
        <v>882</v>
      </c>
      <c r="K92" s="603">
        <v>40</v>
      </c>
      <c r="L92" s="603">
        <v>7</v>
      </c>
      <c r="M92" s="603">
        <v>1433</v>
      </c>
      <c r="N92" s="603"/>
    </row>
    <row r="93" spans="1:14" s="604" customFormat="1" x14ac:dyDescent="0.25">
      <c r="A93" s="606" t="s">
        <v>226</v>
      </c>
      <c r="B93" s="602" t="s">
        <v>227</v>
      </c>
      <c r="C93" s="601" t="s">
        <v>264</v>
      </c>
      <c r="D93" s="962">
        <v>1249</v>
      </c>
      <c r="E93" s="962">
        <v>1096</v>
      </c>
      <c r="F93" s="962">
        <v>313</v>
      </c>
      <c r="G93" s="962">
        <v>1577</v>
      </c>
      <c r="H93" s="962">
        <v>1081</v>
      </c>
      <c r="I93" s="603">
        <v>676</v>
      </c>
      <c r="J93" s="603">
        <v>1733</v>
      </c>
      <c r="K93" s="603">
        <v>66</v>
      </c>
      <c r="L93" s="603">
        <v>183</v>
      </c>
      <c r="M93" s="603">
        <v>2658</v>
      </c>
      <c r="N93" s="603"/>
    </row>
    <row r="94" spans="1:14" s="604" customFormat="1" x14ac:dyDescent="0.25">
      <c r="A94" s="606" t="s">
        <v>228</v>
      </c>
      <c r="B94" s="602" t="s">
        <v>229</v>
      </c>
      <c r="C94" s="601" t="s">
        <v>268</v>
      </c>
      <c r="D94" s="962">
        <v>5097</v>
      </c>
      <c r="E94" s="962">
        <v>5322</v>
      </c>
      <c r="F94" s="962">
        <v>1172</v>
      </c>
      <c r="G94" s="962">
        <v>6757</v>
      </c>
      <c r="H94" s="962">
        <v>4834</v>
      </c>
      <c r="I94" s="603">
        <v>10592</v>
      </c>
      <c r="J94" s="603">
        <v>434</v>
      </c>
      <c r="K94" s="603">
        <v>225</v>
      </c>
      <c r="L94" s="603">
        <v>340</v>
      </c>
      <c r="M94" s="603">
        <v>11591</v>
      </c>
      <c r="N94" s="603"/>
    </row>
    <row r="95" spans="1:14" s="604" customFormat="1" x14ac:dyDescent="0.25">
      <c r="A95" s="606" t="s">
        <v>232</v>
      </c>
      <c r="B95" s="602" t="s">
        <v>233</v>
      </c>
      <c r="C95" s="601" t="s">
        <v>267</v>
      </c>
      <c r="D95" s="962">
        <v>3723</v>
      </c>
      <c r="E95" s="962">
        <v>2921</v>
      </c>
      <c r="F95" s="962">
        <v>523</v>
      </c>
      <c r="G95" s="962">
        <v>4187</v>
      </c>
      <c r="H95" s="962">
        <v>2980</v>
      </c>
      <c r="I95" s="603">
        <v>5579</v>
      </c>
      <c r="J95" s="603">
        <v>679</v>
      </c>
      <c r="K95" s="603">
        <v>536</v>
      </c>
      <c r="L95" s="603">
        <v>373</v>
      </c>
      <c r="M95" s="603">
        <v>7167</v>
      </c>
      <c r="N95" s="603"/>
    </row>
    <row r="96" spans="1:14" s="604" customFormat="1" x14ac:dyDescent="0.25">
      <c r="A96" s="606" t="s">
        <v>234</v>
      </c>
      <c r="B96" s="602" t="s">
        <v>235</v>
      </c>
      <c r="C96" s="601" t="s">
        <v>268</v>
      </c>
      <c r="D96" s="962">
        <v>5130</v>
      </c>
      <c r="E96" s="962">
        <v>5160</v>
      </c>
      <c r="F96" s="962">
        <v>1319</v>
      </c>
      <c r="G96" s="962">
        <v>6731</v>
      </c>
      <c r="H96" s="962">
        <v>4878</v>
      </c>
      <c r="I96" s="603">
        <v>10718</v>
      </c>
      <c r="J96" s="603">
        <v>251</v>
      </c>
      <c r="K96" s="603">
        <v>329</v>
      </c>
      <c r="L96" s="603">
        <v>311</v>
      </c>
      <c r="M96" s="603">
        <v>11609</v>
      </c>
      <c r="N96" s="603"/>
    </row>
    <row r="97" spans="1:14" s="604" customFormat="1" x14ac:dyDescent="0.25">
      <c r="A97" s="606" t="s">
        <v>236</v>
      </c>
      <c r="B97" s="602" t="s">
        <v>237</v>
      </c>
      <c r="C97" s="601" t="s">
        <v>266</v>
      </c>
      <c r="D97" s="962">
        <v>2177</v>
      </c>
      <c r="E97" s="962">
        <v>1741</v>
      </c>
      <c r="F97" s="962">
        <v>577</v>
      </c>
      <c r="G97" s="962">
        <v>2629</v>
      </c>
      <c r="H97" s="962">
        <v>1866</v>
      </c>
      <c r="I97" s="603">
        <v>2100</v>
      </c>
      <c r="J97" s="603">
        <v>1806</v>
      </c>
      <c r="K97" s="603">
        <v>310</v>
      </c>
      <c r="L97" s="603">
        <v>279</v>
      </c>
      <c r="M97" s="603">
        <v>4495</v>
      </c>
      <c r="N97" s="603"/>
    </row>
    <row r="98" spans="1:14" s="604" customFormat="1" x14ac:dyDescent="0.25">
      <c r="A98" s="606" t="s">
        <v>242</v>
      </c>
      <c r="B98" s="602" t="s">
        <v>243</v>
      </c>
      <c r="C98" s="601" t="s">
        <v>268</v>
      </c>
      <c r="D98" s="962">
        <v>5251</v>
      </c>
      <c r="E98" s="962">
        <v>5951</v>
      </c>
      <c r="F98" s="962">
        <v>1099</v>
      </c>
      <c r="G98" s="962">
        <v>7067</v>
      </c>
      <c r="H98" s="962">
        <v>5234</v>
      </c>
      <c r="I98" s="603">
        <v>11223</v>
      </c>
      <c r="J98" s="603">
        <v>298</v>
      </c>
      <c r="K98" s="603">
        <v>272</v>
      </c>
      <c r="L98" s="603">
        <v>508</v>
      </c>
      <c r="M98" s="603">
        <v>12301</v>
      </c>
      <c r="N98" s="603"/>
    </row>
    <row r="99" spans="1:14" s="604" customFormat="1" x14ac:dyDescent="0.25">
      <c r="A99" s="606" t="s">
        <v>244</v>
      </c>
      <c r="B99" s="602" t="s">
        <v>245</v>
      </c>
      <c r="C99" s="601" t="s">
        <v>268</v>
      </c>
      <c r="D99" s="962">
        <v>3120</v>
      </c>
      <c r="E99" s="962">
        <v>2955</v>
      </c>
      <c r="F99" s="962">
        <v>791</v>
      </c>
      <c r="G99" s="962">
        <v>4006</v>
      </c>
      <c r="H99" s="962">
        <v>2860</v>
      </c>
      <c r="I99" s="603">
        <v>6096</v>
      </c>
      <c r="J99" s="603">
        <v>347</v>
      </c>
      <c r="K99" s="603">
        <v>199</v>
      </c>
      <c r="L99" s="603">
        <v>224</v>
      </c>
      <c r="M99" s="603">
        <v>6866</v>
      </c>
      <c r="N99" s="603"/>
    </row>
    <row r="100" spans="1:14" s="604" customFormat="1" x14ac:dyDescent="0.25">
      <c r="A100" s="606" t="s">
        <v>246</v>
      </c>
      <c r="B100" s="602" t="s">
        <v>247</v>
      </c>
      <c r="C100" s="601" t="s">
        <v>264</v>
      </c>
      <c r="D100" s="962">
        <v>3363</v>
      </c>
      <c r="E100" s="962">
        <v>2302</v>
      </c>
      <c r="F100" s="962">
        <v>406</v>
      </c>
      <c r="G100" s="962">
        <v>3608</v>
      </c>
      <c r="H100" s="962">
        <v>2462</v>
      </c>
      <c r="I100" s="603">
        <v>3505</v>
      </c>
      <c r="J100" s="603">
        <v>1732</v>
      </c>
      <c r="K100" s="603">
        <v>630</v>
      </c>
      <c r="L100" s="603">
        <v>204</v>
      </c>
      <c r="M100" s="603">
        <v>6071</v>
      </c>
      <c r="N100" s="603"/>
    </row>
    <row r="101" spans="1:14" s="604" customFormat="1" x14ac:dyDescent="0.25">
      <c r="A101" s="606" t="s">
        <v>14</v>
      </c>
      <c r="B101" s="602" t="s">
        <v>15</v>
      </c>
      <c r="C101" s="601" t="s">
        <v>267</v>
      </c>
      <c r="D101" s="962">
        <v>11342</v>
      </c>
      <c r="E101" s="962">
        <v>5419</v>
      </c>
      <c r="F101" s="962">
        <v>1577</v>
      </c>
      <c r="G101" s="962">
        <v>10216</v>
      </c>
      <c r="H101" s="962">
        <v>8122</v>
      </c>
      <c r="I101" s="603">
        <v>6413</v>
      </c>
      <c r="J101" s="603">
        <v>7427</v>
      </c>
      <c r="K101" s="603">
        <v>3039</v>
      </c>
      <c r="L101" s="603">
        <v>1459</v>
      </c>
      <c r="M101" s="603">
        <v>18338</v>
      </c>
      <c r="N101" s="603"/>
    </row>
    <row r="102" spans="1:14" s="604" customFormat="1" x14ac:dyDescent="0.25">
      <c r="A102" s="606" t="s">
        <v>34</v>
      </c>
      <c r="B102" s="602" t="s">
        <v>35</v>
      </c>
      <c r="C102" s="601" t="s">
        <v>268</v>
      </c>
      <c r="D102" s="962">
        <v>2630</v>
      </c>
      <c r="E102" s="962">
        <v>2647</v>
      </c>
      <c r="F102" s="962">
        <v>556</v>
      </c>
      <c r="G102" s="962">
        <v>3411</v>
      </c>
      <c r="H102" s="962">
        <v>2422</v>
      </c>
      <c r="I102" s="603">
        <v>4855</v>
      </c>
      <c r="J102" s="603">
        <v>575</v>
      </c>
      <c r="K102" s="603">
        <v>210</v>
      </c>
      <c r="L102" s="603">
        <v>193</v>
      </c>
      <c r="M102" s="603">
        <v>5833</v>
      </c>
      <c r="N102" s="603"/>
    </row>
    <row r="103" spans="1:14" s="604" customFormat="1" x14ac:dyDescent="0.25">
      <c r="A103" s="606" t="s">
        <v>52</v>
      </c>
      <c r="B103" s="602" t="s">
        <v>53</v>
      </c>
      <c r="C103" s="601" t="s">
        <v>265</v>
      </c>
      <c r="D103" s="962">
        <v>3786</v>
      </c>
      <c r="E103" s="962">
        <v>3274</v>
      </c>
      <c r="F103" s="962">
        <v>626</v>
      </c>
      <c r="G103" s="962">
        <v>4310</v>
      </c>
      <c r="H103" s="962">
        <v>3376</v>
      </c>
      <c r="I103" s="603">
        <v>2634</v>
      </c>
      <c r="J103" s="603">
        <v>4002</v>
      </c>
      <c r="K103" s="603">
        <v>836</v>
      </c>
      <c r="L103" s="603">
        <v>214</v>
      </c>
      <c r="M103" s="603">
        <v>7686</v>
      </c>
      <c r="N103" s="603"/>
    </row>
    <row r="104" spans="1:14" s="604" customFormat="1" x14ac:dyDescent="0.25">
      <c r="A104" s="606" t="s">
        <v>54</v>
      </c>
      <c r="B104" s="602" t="s">
        <v>55</v>
      </c>
      <c r="C104" s="601" t="s">
        <v>264</v>
      </c>
      <c r="D104" s="962">
        <v>19192</v>
      </c>
      <c r="E104" s="962">
        <v>14448</v>
      </c>
      <c r="F104" s="962">
        <v>2197</v>
      </c>
      <c r="G104" s="962">
        <v>21349</v>
      </c>
      <c r="H104" s="962">
        <v>14488</v>
      </c>
      <c r="I104" s="603">
        <v>12481</v>
      </c>
      <c r="J104" s="603">
        <v>19262</v>
      </c>
      <c r="K104" s="603">
        <v>2253</v>
      </c>
      <c r="L104" s="603">
        <v>1841</v>
      </c>
      <c r="M104" s="603">
        <v>35837</v>
      </c>
      <c r="N104" s="603"/>
    </row>
    <row r="105" spans="1:14" s="604" customFormat="1" x14ac:dyDescent="0.25">
      <c r="A105" s="606" t="s">
        <v>66</v>
      </c>
      <c r="B105" s="602" t="s">
        <v>67</v>
      </c>
      <c r="C105" s="601" t="s">
        <v>265</v>
      </c>
      <c r="D105" s="962">
        <v>7721</v>
      </c>
      <c r="E105" s="962">
        <v>7544</v>
      </c>
      <c r="F105" s="962">
        <v>1860</v>
      </c>
      <c r="G105" s="962">
        <v>10356</v>
      </c>
      <c r="H105" s="962">
        <v>6769</v>
      </c>
      <c r="I105" s="603">
        <v>4742</v>
      </c>
      <c r="J105" s="603">
        <v>10882</v>
      </c>
      <c r="K105" s="603">
        <v>661</v>
      </c>
      <c r="L105" s="603">
        <v>840</v>
      </c>
      <c r="M105" s="603">
        <v>17125</v>
      </c>
      <c r="N105" s="603"/>
    </row>
    <row r="106" spans="1:14" s="604" customFormat="1" x14ac:dyDescent="0.25">
      <c r="A106" s="606" t="s">
        <v>82</v>
      </c>
      <c r="B106" s="602" t="s">
        <v>83</v>
      </c>
      <c r="C106" s="601" t="s">
        <v>264</v>
      </c>
      <c r="D106" s="962">
        <v>1567</v>
      </c>
      <c r="E106" s="962">
        <v>1513</v>
      </c>
      <c r="F106" s="962">
        <v>294</v>
      </c>
      <c r="G106" s="962">
        <v>2065</v>
      </c>
      <c r="H106" s="962">
        <v>1309</v>
      </c>
      <c r="I106" s="603">
        <v>391</v>
      </c>
      <c r="J106" s="603">
        <v>2695</v>
      </c>
      <c r="K106" s="603">
        <v>109</v>
      </c>
      <c r="L106" s="603">
        <v>179</v>
      </c>
      <c r="M106" s="603">
        <v>3374</v>
      </c>
      <c r="N106" s="603"/>
    </row>
    <row r="107" spans="1:14" s="604" customFormat="1" x14ac:dyDescent="0.25">
      <c r="A107" s="606" t="s">
        <v>88</v>
      </c>
      <c r="B107" s="602" t="s">
        <v>89</v>
      </c>
      <c r="C107" s="601" t="s">
        <v>267</v>
      </c>
      <c r="D107" s="962">
        <v>3590</v>
      </c>
      <c r="E107" s="962">
        <v>2773</v>
      </c>
      <c r="F107" s="962">
        <v>425</v>
      </c>
      <c r="G107" s="962">
        <v>3989</v>
      </c>
      <c r="H107" s="962">
        <v>2799</v>
      </c>
      <c r="I107" s="603">
        <v>2686</v>
      </c>
      <c r="J107" s="603">
        <v>2778</v>
      </c>
      <c r="K107" s="603">
        <v>860</v>
      </c>
      <c r="L107" s="603">
        <v>464</v>
      </c>
      <c r="M107" s="603">
        <v>6788</v>
      </c>
      <c r="N107" s="603"/>
    </row>
    <row r="108" spans="1:14" s="604" customFormat="1" x14ac:dyDescent="0.25">
      <c r="A108" s="606" t="s">
        <v>90</v>
      </c>
      <c r="B108" s="602" t="s">
        <v>91</v>
      </c>
      <c r="C108" s="601" t="s">
        <v>268</v>
      </c>
      <c r="D108" s="962">
        <v>1263</v>
      </c>
      <c r="E108" s="962">
        <v>1049</v>
      </c>
      <c r="F108" s="962">
        <v>349</v>
      </c>
      <c r="G108" s="962">
        <v>1580</v>
      </c>
      <c r="H108" s="962">
        <v>1081</v>
      </c>
      <c r="I108" s="603">
        <v>2114</v>
      </c>
      <c r="J108" s="603">
        <v>267</v>
      </c>
      <c r="K108" s="603">
        <v>150</v>
      </c>
      <c r="L108" s="603">
        <v>130</v>
      </c>
      <c r="M108" s="603">
        <v>2661</v>
      </c>
      <c r="N108" s="603"/>
    </row>
    <row r="109" spans="1:14" s="604" customFormat="1" x14ac:dyDescent="0.25">
      <c r="A109" s="606" t="s">
        <v>106</v>
      </c>
      <c r="B109" s="602" t="s">
        <v>107</v>
      </c>
      <c r="C109" s="601" t="s">
        <v>264</v>
      </c>
      <c r="D109" s="962">
        <v>16163</v>
      </c>
      <c r="E109" s="962">
        <v>13588</v>
      </c>
      <c r="F109" s="962">
        <v>1779</v>
      </c>
      <c r="G109" s="962">
        <v>18995</v>
      </c>
      <c r="H109" s="962">
        <v>12535</v>
      </c>
      <c r="I109" s="603">
        <v>7004</v>
      </c>
      <c r="J109" s="603">
        <v>20522</v>
      </c>
      <c r="K109" s="603">
        <v>1785</v>
      </c>
      <c r="L109" s="603">
        <v>2219</v>
      </c>
      <c r="M109" s="603">
        <v>31530</v>
      </c>
      <c r="N109" s="603"/>
    </row>
    <row r="110" spans="1:14" s="604" customFormat="1" x14ac:dyDescent="0.25">
      <c r="A110" s="606" t="s">
        <v>116</v>
      </c>
      <c r="B110" s="602" t="s">
        <v>117</v>
      </c>
      <c r="C110" s="601" t="s">
        <v>266</v>
      </c>
      <c r="D110" s="962">
        <v>4786</v>
      </c>
      <c r="E110" s="962">
        <v>3769</v>
      </c>
      <c r="F110" s="962">
        <v>449</v>
      </c>
      <c r="G110" s="962">
        <v>5344</v>
      </c>
      <c r="H110" s="962">
        <v>3660</v>
      </c>
      <c r="I110" s="603">
        <v>3202</v>
      </c>
      <c r="J110" s="603">
        <v>4690</v>
      </c>
      <c r="K110" s="603">
        <v>446</v>
      </c>
      <c r="L110" s="603">
        <v>666</v>
      </c>
      <c r="M110" s="603">
        <v>9004</v>
      </c>
      <c r="N110" s="603"/>
    </row>
    <row r="111" spans="1:14" s="604" customFormat="1" x14ac:dyDescent="0.25">
      <c r="A111" s="606" t="s">
        <v>138</v>
      </c>
      <c r="B111" s="602" t="s">
        <v>139</v>
      </c>
      <c r="C111" s="601" t="s">
        <v>265</v>
      </c>
      <c r="D111" s="962">
        <v>8883</v>
      </c>
      <c r="E111" s="962">
        <v>8165</v>
      </c>
      <c r="F111" s="962">
        <v>1536</v>
      </c>
      <c r="G111" s="962">
        <v>10919</v>
      </c>
      <c r="H111" s="962">
        <v>7665</v>
      </c>
      <c r="I111" s="603">
        <v>6316</v>
      </c>
      <c r="J111" s="603">
        <v>10208</v>
      </c>
      <c r="K111" s="603">
        <v>839</v>
      </c>
      <c r="L111" s="603">
        <v>1221</v>
      </c>
      <c r="M111" s="603">
        <v>18584</v>
      </c>
      <c r="N111" s="603"/>
    </row>
    <row r="112" spans="1:14" s="604" customFormat="1" x14ac:dyDescent="0.25">
      <c r="A112" s="606" t="s">
        <v>142</v>
      </c>
      <c r="B112" s="602" t="s">
        <v>143</v>
      </c>
      <c r="C112" s="601" t="s">
        <v>267</v>
      </c>
      <c r="D112" s="962">
        <v>6436</v>
      </c>
      <c r="E112" s="962">
        <v>2223</v>
      </c>
      <c r="F112" s="962">
        <v>283</v>
      </c>
      <c r="G112" s="962">
        <v>4871</v>
      </c>
      <c r="H112" s="962">
        <v>4072</v>
      </c>
      <c r="I112" s="603">
        <v>4540</v>
      </c>
      <c r="J112" s="603">
        <v>1545</v>
      </c>
      <c r="K112" s="603">
        <v>1948</v>
      </c>
      <c r="L112" s="603">
        <v>910</v>
      </c>
      <c r="M112" s="603">
        <v>8943</v>
      </c>
      <c r="N112" s="603"/>
    </row>
    <row r="113" spans="1:14" s="604" customFormat="1" x14ac:dyDescent="0.25">
      <c r="A113" s="606" t="s">
        <v>144</v>
      </c>
      <c r="B113" s="602" t="s">
        <v>145</v>
      </c>
      <c r="C113" s="601" t="s">
        <v>267</v>
      </c>
      <c r="D113" s="962">
        <v>2358</v>
      </c>
      <c r="E113" s="962">
        <v>728</v>
      </c>
      <c r="F113" s="962">
        <v>134</v>
      </c>
      <c r="G113" s="962">
        <v>1722</v>
      </c>
      <c r="H113" s="962">
        <v>1498</v>
      </c>
      <c r="I113" s="603">
        <v>1688</v>
      </c>
      <c r="J113" s="603">
        <v>340</v>
      </c>
      <c r="K113" s="603">
        <v>970</v>
      </c>
      <c r="L113" s="603">
        <v>222</v>
      </c>
      <c r="M113" s="603">
        <v>3220</v>
      </c>
      <c r="N113" s="603"/>
    </row>
    <row r="114" spans="1:14" s="604" customFormat="1" x14ac:dyDescent="0.25">
      <c r="A114" s="606" t="s">
        <v>158</v>
      </c>
      <c r="B114" s="602" t="s">
        <v>159</v>
      </c>
      <c r="C114" s="601" t="s">
        <v>264</v>
      </c>
      <c r="D114" s="962">
        <v>24116</v>
      </c>
      <c r="E114" s="962">
        <v>19111</v>
      </c>
      <c r="F114" s="962">
        <v>2610</v>
      </c>
      <c r="G114" s="962">
        <v>27793</v>
      </c>
      <c r="H114" s="962">
        <v>18043</v>
      </c>
      <c r="I114" s="603">
        <v>9937</v>
      </c>
      <c r="J114" s="603">
        <v>29784</v>
      </c>
      <c r="K114" s="603">
        <v>3538</v>
      </c>
      <c r="L114" s="603">
        <v>2578</v>
      </c>
      <c r="M114" s="603">
        <v>45837</v>
      </c>
      <c r="N114" s="603"/>
    </row>
    <row r="115" spans="1:14" s="604" customFormat="1" x14ac:dyDescent="0.25">
      <c r="A115" s="606" t="s">
        <v>160</v>
      </c>
      <c r="B115" s="602" t="s">
        <v>161</v>
      </c>
      <c r="C115" s="601" t="s">
        <v>264</v>
      </c>
      <c r="D115" s="962">
        <v>30203</v>
      </c>
      <c r="E115" s="962">
        <v>25893</v>
      </c>
      <c r="F115" s="962">
        <v>4032</v>
      </c>
      <c r="G115" s="962">
        <v>36323</v>
      </c>
      <c r="H115" s="962">
        <v>23804</v>
      </c>
      <c r="I115" s="603">
        <v>11301</v>
      </c>
      <c r="J115" s="603">
        <v>42755</v>
      </c>
      <c r="K115" s="603">
        <v>3214</v>
      </c>
      <c r="L115" s="603">
        <v>2858</v>
      </c>
      <c r="M115" s="603">
        <v>60128</v>
      </c>
      <c r="N115" s="603"/>
    </row>
    <row r="116" spans="1:14" s="604" customFormat="1" x14ac:dyDescent="0.25">
      <c r="A116" s="606" t="s">
        <v>166</v>
      </c>
      <c r="B116" s="602" t="s">
        <v>167</v>
      </c>
      <c r="C116" s="601" t="s">
        <v>268</v>
      </c>
      <c r="D116" s="962">
        <v>615</v>
      </c>
      <c r="E116" s="962">
        <v>712</v>
      </c>
      <c r="F116" s="962">
        <v>159</v>
      </c>
      <c r="G116" s="962">
        <v>908</v>
      </c>
      <c r="H116" s="962">
        <v>578</v>
      </c>
      <c r="I116" s="603">
        <v>1231</v>
      </c>
      <c r="J116" s="603">
        <v>122</v>
      </c>
      <c r="K116" s="603">
        <v>75</v>
      </c>
      <c r="L116" s="603">
        <v>58</v>
      </c>
      <c r="M116" s="603">
        <v>1486</v>
      </c>
      <c r="N116" s="603"/>
    </row>
    <row r="117" spans="1:14" s="604" customFormat="1" x14ac:dyDescent="0.25">
      <c r="A117" s="606" t="s">
        <v>176</v>
      </c>
      <c r="B117" s="602" t="s">
        <v>177</v>
      </c>
      <c r="C117" s="601" t="s">
        <v>266</v>
      </c>
      <c r="D117" s="962">
        <v>6093</v>
      </c>
      <c r="E117" s="962">
        <v>5613</v>
      </c>
      <c r="F117" s="962">
        <v>1038</v>
      </c>
      <c r="G117" s="962">
        <v>7460</v>
      </c>
      <c r="H117" s="962">
        <v>5284</v>
      </c>
      <c r="I117" s="603">
        <v>1066</v>
      </c>
      <c r="J117" s="603">
        <v>10511</v>
      </c>
      <c r="K117" s="603">
        <v>630</v>
      </c>
      <c r="L117" s="603">
        <v>537</v>
      </c>
      <c r="M117" s="603">
        <v>12744</v>
      </c>
      <c r="N117" s="603"/>
    </row>
    <row r="118" spans="1:14" s="604" customFormat="1" x14ac:dyDescent="0.25">
      <c r="A118" s="606" t="s">
        <v>180</v>
      </c>
      <c r="B118" s="602" t="s">
        <v>181</v>
      </c>
      <c r="C118" s="601" t="s">
        <v>264</v>
      </c>
      <c r="D118" s="962">
        <v>15496</v>
      </c>
      <c r="E118" s="962">
        <v>13113</v>
      </c>
      <c r="F118" s="962">
        <v>1892</v>
      </c>
      <c r="G118" s="962">
        <v>18201</v>
      </c>
      <c r="H118" s="962">
        <v>12300</v>
      </c>
      <c r="I118" s="603">
        <v>5477</v>
      </c>
      <c r="J118" s="603">
        <v>22620</v>
      </c>
      <c r="K118" s="603">
        <v>1017</v>
      </c>
      <c r="L118" s="603">
        <v>1387</v>
      </c>
      <c r="M118" s="603">
        <v>30501</v>
      </c>
      <c r="N118" s="603"/>
    </row>
    <row r="119" spans="1:14" s="604" customFormat="1" x14ac:dyDescent="0.25">
      <c r="A119" s="606" t="s">
        <v>192</v>
      </c>
      <c r="B119" s="602" t="s">
        <v>193</v>
      </c>
      <c r="C119" s="601" t="s">
        <v>268</v>
      </c>
      <c r="D119" s="962">
        <v>1247</v>
      </c>
      <c r="E119" s="962">
        <v>1146</v>
      </c>
      <c r="F119" s="962">
        <v>147</v>
      </c>
      <c r="G119" s="962">
        <v>1489</v>
      </c>
      <c r="H119" s="962">
        <v>1051</v>
      </c>
      <c r="I119" s="603">
        <v>1887</v>
      </c>
      <c r="J119" s="603">
        <v>418</v>
      </c>
      <c r="K119" s="603">
        <v>107</v>
      </c>
      <c r="L119" s="603">
        <v>128</v>
      </c>
      <c r="M119" s="603">
        <v>2540</v>
      </c>
      <c r="N119" s="603"/>
    </row>
    <row r="120" spans="1:14" s="604" customFormat="1" x14ac:dyDescent="0.25">
      <c r="A120" s="606" t="s">
        <v>196</v>
      </c>
      <c r="B120" s="602" t="s">
        <v>197</v>
      </c>
      <c r="C120" s="601" t="s">
        <v>266</v>
      </c>
      <c r="D120" s="962">
        <v>29950</v>
      </c>
      <c r="E120" s="962">
        <v>25390</v>
      </c>
      <c r="F120" s="962">
        <v>4660</v>
      </c>
      <c r="G120" s="962">
        <v>35243</v>
      </c>
      <c r="H120" s="962">
        <v>24757</v>
      </c>
      <c r="I120" s="603">
        <v>6952</v>
      </c>
      <c r="J120" s="603">
        <v>45633</v>
      </c>
      <c r="K120" s="603">
        <v>4109</v>
      </c>
      <c r="L120" s="603">
        <v>3306</v>
      </c>
      <c r="M120" s="603">
        <v>60000</v>
      </c>
      <c r="N120" s="603"/>
    </row>
    <row r="121" spans="1:14" s="604" customFormat="1" x14ac:dyDescent="0.25">
      <c r="A121" s="606" t="s">
        <v>200</v>
      </c>
      <c r="B121" s="602" t="s">
        <v>201</v>
      </c>
      <c r="C121" s="601" t="s">
        <v>265</v>
      </c>
      <c r="D121" s="962">
        <v>15667</v>
      </c>
      <c r="E121" s="962">
        <v>13675</v>
      </c>
      <c r="F121" s="962">
        <v>2429</v>
      </c>
      <c r="G121" s="962">
        <v>18479</v>
      </c>
      <c r="H121" s="962">
        <v>13291</v>
      </c>
      <c r="I121" s="603">
        <v>14503</v>
      </c>
      <c r="J121" s="603">
        <v>13608</v>
      </c>
      <c r="K121" s="603">
        <v>2340</v>
      </c>
      <c r="L121" s="603">
        <v>1320</v>
      </c>
      <c r="M121" s="603">
        <v>31771</v>
      </c>
      <c r="N121" s="603"/>
    </row>
    <row r="122" spans="1:14" s="604" customFormat="1" x14ac:dyDescent="0.25">
      <c r="A122" s="606" t="s">
        <v>222</v>
      </c>
      <c r="B122" s="602" t="s">
        <v>223</v>
      </c>
      <c r="C122" s="601" t="s">
        <v>264</v>
      </c>
      <c r="D122" s="962">
        <v>8550</v>
      </c>
      <c r="E122" s="962">
        <v>7490</v>
      </c>
      <c r="F122" s="962">
        <v>1479</v>
      </c>
      <c r="G122" s="962">
        <v>10570</v>
      </c>
      <c r="H122" s="962">
        <v>6949</v>
      </c>
      <c r="I122" s="603">
        <v>3876</v>
      </c>
      <c r="J122" s="603">
        <v>12213</v>
      </c>
      <c r="K122" s="603">
        <v>654</v>
      </c>
      <c r="L122" s="603">
        <v>776</v>
      </c>
      <c r="M122" s="603">
        <v>17519</v>
      </c>
      <c r="N122" s="603"/>
    </row>
    <row r="123" spans="1:14" s="604" customFormat="1" x14ac:dyDescent="0.25">
      <c r="A123" s="606" t="s">
        <v>230</v>
      </c>
      <c r="B123" s="602" t="s">
        <v>231</v>
      </c>
      <c r="C123" s="601" t="s">
        <v>264</v>
      </c>
      <c r="D123" s="962">
        <v>31450</v>
      </c>
      <c r="E123" s="962">
        <v>22676</v>
      </c>
      <c r="F123" s="962">
        <v>3530</v>
      </c>
      <c r="G123" s="962">
        <v>34093</v>
      </c>
      <c r="H123" s="962">
        <v>23563</v>
      </c>
      <c r="I123" s="603">
        <v>23565</v>
      </c>
      <c r="J123" s="603">
        <v>23095</v>
      </c>
      <c r="K123" s="603">
        <v>6506</v>
      </c>
      <c r="L123" s="603">
        <v>4490</v>
      </c>
      <c r="M123" s="603">
        <v>57656</v>
      </c>
      <c r="N123" s="603"/>
    </row>
    <row r="124" spans="1:14" s="604" customFormat="1" x14ac:dyDescent="0.25">
      <c r="A124" s="606" t="s">
        <v>238</v>
      </c>
      <c r="B124" s="602" t="s">
        <v>239</v>
      </c>
      <c r="C124" s="601" t="s">
        <v>264</v>
      </c>
      <c r="D124" s="962">
        <v>993</v>
      </c>
      <c r="E124" s="962">
        <v>700</v>
      </c>
      <c r="F124" s="962">
        <v>88</v>
      </c>
      <c r="G124" s="962">
        <v>1013</v>
      </c>
      <c r="H124" s="962">
        <v>768</v>
      </c>
      <c r="I124" s="603">
        <v>709</v>
      </c>
      <c r="J124" s="603">
        <v>826</v>
      </c>
      <c r="K124" s="603">
        <v>208</v>
      </c>
      <c r="L124" s="603">
        <v>38</v>
      </c>
      <c r="M124" s="603">
        <v>1781</v>
      </c>
      <c r="N124" s="603"/>
    </row>
    <row r="125" spans="1:14" s="604" customFormat="1" x14ac:dyDescent="0.25">
      <c r="A125" s="606" t="s">
        <v>240</v>
      </c>
      <c r="B125" s="602" t="s">
        <v>241</v>
      </c>
      <c r="C125" s="601" t="s">
        <v>267</v>
      </c>
      <c r="D125" s="962">
        <v>4105</v>
      </c>
      <c r="E125" s="962">
        <v>2437</v>
      </c>
      <c r="F125" s="962">
        <v>451</v>
      </c>
      <c r="G125" s="962">
        <v>3784</v>
      </c>
      <c r="H125" s="962">
        <v>3209</v>
      </c>
      <c r="I125" s="603">
        <v>4671</v>
      </c>
      <c r="J125" s="603">
        <v>1200</v>
      </c>
      <c r="K125" s="603">
        <v>701</v>
      </c>
      <c r="L125" s="603">
        <v>421</v>
      </c>
      <c r="M125" s="603">
        <v>6993</v>
      </c>
      <c r="N125" s="603"/>
    </row>
    <row r="126" spans="1:14" x14ac:dyDescent="0.25">
      <c r="B126" s="508"/>
      <c r="C126" s="508"/>
      <c r="D126" s="508"/>
      <c r="E126" s="508"/>
      <c r="F126" s="508"/>
      <c r="G126" s="508"/>
      <c r="H126" s="508"/>
    </row>
    <row r="128" spans="1:14" ht="15.75" customHeight="1" x14ac:dyDescent="0.25">
      <c r="A128" s="1229" t="s">
        <v>1169</v>
      </c>
      <c r="B128" s="1228"/>
      <c r="C128" s="1228"/>
      <c r="D128" s="1228"/>
      <c r="E128" s="1228"/>
      <c r="F128" s="1228"/>
      <c r="G128" s="1202"/>
      <c r="H128" s="1202"/>
    </row>
    <row r="130" spans="1:8" s="414" customFormat="1" x14ac:dyDescent="0.25">
      <c r="A130" s="414" t="s">
        <v>248</v>
      </c>
    </row>
    <row r="131" spans="1:8" s="414" customFormat="1" x14ac:dyDescent="0.25">
      <c r="A131" s="415" t="s">
        <v>249</v>
      </c>
      <c r="B131" s="416" t="s">
        <v>250</v>
      </c>
      <c r="C131" s="416"/>
      <c r="D131" s="416"/>
      <c r="E131" s="416"/>
      <c r="F131" s="416"/>
      <c r="G131" s="416"/>
      <c r="H131" s="416"/>
    </row>
  </sheetData>
  <autoFilter ref="A4:C4"/>
  <sortState ref="A6:P125">
    <sortCondition ref="A6:A125"/>
  </sortState>
  <mergeCells count="3">
    <mergeCell ref="D3:F3"/>
    <mergeCell ref="G3:H3"/>
    <mergeCell ref="I3:L3"/>
  </mergeCells>
  <hyperlinks>
    <hyperlink ref="B131"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5"/>
  <sheetViews>
    <sheetView workbookViewId="0">
      <selection activeCell="B5" sqref="B5"/>
    </sheetView>
  </sheetViews>
  <sheetFormatPr defaultRowHeight="12.75" x14ac:dyDescent="0.2"/>
  <cols>
    <col min="1" max="1" width="5" style="326" bestFit="1" customWidth="1"/>
    <col min="2" max="2" width="26.375" style="326" customWidth="1"/>
    <col min="3" max="3" width="8.75" style="93" customWidth="1"/>
    <col min="4" max="16384" width="9" style="93"/>
  </cols>
  <sheetData>
    <row r="1" spans="1:24" x14ac:dyDescent="0.2">
      <c r="A1" s="93"/>
      <c r="B1" s="93"/>
    </row>
    <row r="2" spans="1:24" x14ac:dyDescent="0.2">
      <c r="A2" s="93"/>
      <c r="B2" s="93"/>
      <c r="C2" s="2117" t="s">
        <v>793</v>
      </c>
      <c r="D2" s="2117"/>
      <c r="E2" s="2117"/>
      <c r="F2" s="2117"/>
      <c r="G2" s="2117" t="s">
        <v>794</v>
      </c>
      <c r="H2" s="2117"/>
      <c r="I2" s="2117"/>
      <c r="J2" s="2117"/>
      <c r="K2" s="2117" t="s">
        <v>796</v>
      </c>
      <c r="L2" s="2117"/>
      <c r="M2" s="2117"/>
      <c r="N2" s="2117"/>
      <c r="P2" s="2116" t="s">
        <v>727</v>
      </c>
      <c r="Q2" s="2116"/>
      <c r="R2" s="2116"/>
      <c r="S2" s="2116" t="s">
        <v>795</v>
      </c>
      <c r="T2" s="2116"/>
      <c r="U2" s="2116"/>
      <c r="V2" s="2116" t="s">
        <v>7</v>
      </c>
      <c r="W2" s="2116"/>
      <c r="X2" s="2116"/>
    </row>
    <row r="3" spans="1:24" x14ac:dyDescent="0.2">
      <c r="A3" s="325" t="s">
        <v>4</v>
      </c>
      <c r="B3" s="325" t="s">
        <v>5</v>
      </c>
      <c r="C3" s="327" t="s">
        <v>281</v>
      </c>
      <c r="D3" s="327" t="s">
        <v>2</v>
      </c>
      <c r="E3" s="327" t="s">
        <v>445</v>
      </c>
      <c r="F3" s="327" t="s">
        <v>446</v>
      </c>
      <c r="G3" s="327" t="s">
        <v>281</v>
      </c>
      <c r="H3" s="327" t="s">
        <v>2</v>
      </c>
      <c r="I3" s="327" t="s">
        <v>445</v>
      </c>
      <c r="J3" s="327" t="s">
        <v>446</v>
      </c>
      <c r="K3" s="327" t="s">
        <v>281</v>
      </c>
      <c r="L3" s="327" t="s">
        <v>2</v>
      </c>
      <c r="M3" s="327" t="s">
        <v>445</v>
      </c>
      <c r="N3" s="327" t="s">
        <v>446</v>
      </c>
      <c r="P3" s="93" t="s">
        <v>2</v>
      </c>
      <c r="Q3" s="93" t="s">
        <v>445</v>
      </c>
      <c r="R3" s="93" t="s">
        <v>446</v>
      </c>
      <c r="S3" s="93" t="s">
        <v>2</v>
      </c>
      <c r="T3" s="93" t="s">
        <v>445</v>
      </c>
      <c r="U3" s="93" t="s">
        <v>446</v>
      </c>
      <c r="V3" s="93" t="s">
        <v>2</v>
      </c>
      <c r="W3" s="93" t="s">
        <v>445</v>
      </c>
      <c r="X3" s="93" t="s">
        <v>446</v>
      </c>
    </row>
    <row r="4" spans="1:24" x14ac:dyDescent="0.2">
      <c r="A4" s="325"/>
      <c r="B4" s="325" t="s">
        <v>9</v>
      </c>
      <c r="C4" s="93">
        <f>SUM(C5:C125)</f>
        <v>22002</v>
      </c>
      <c r="D4" s="93">
        <f t="shared" ref="D4:N4" si="0">SUM(D5:D125)</f>
        <v>19535</v>
      </c>
      <c r="E4" s="93">
        <f t="shared" si="0"/>
        <v>1592</v>
      </c>
      <c r="F4" s="93">
        <f t="shared" si="0"/>
        <v>902</v>
      </c>
      <c r="G4" s="93">
        <f t="shared" si="0"/>
        <v>424404</v>
      </c>
      <c r="H4" s="93">
        <f t="shared" si="0"/>
        <v>366184</v>
      </c>
      <c r="I4" s="93">
        <f t="shared" si="0"/>
        <v>34432</v>
      </c>
      <c r="J4" s="93">
        <f t="shared" si="0"/>
        <v>24382</v>
      </c>
      <c r="K4" s="93">
        <f t="shared" si="0"/>
        <v>214324</v>
      </c>
      <c r="L4" s="93">
        <f t="shared" si="0"/>
        <v>178956</v>
      </c>
      <c r="M4" s="93">
        <f t="shared" si="0"/>
        <v>22489</v>
      </c>
      <c r="N4" s="93">
        <f t="shared" si="0"/>
        <v>13188</v>
      </c>
      <c r="P4" s="93">
        <f>D4/C4</f>
        <v>0.8878738296518498</v>
      </c>
      <c r="Q4" s="93">
        <f>E4/C4</f>
        <v>7.235705844923189E-2</v>
      </c>
      <c r="R4" s="93">
        <f>F4/C4</f>
        <v>4.0996273066084901E-2</v>
      </c>
      <c r="S4" s="93">
        <f>H4/G4</f>
        <v>0.86281938907267608</v>
      </c>
      <c r="T4" s="93">
        <f>I4/G4</f>
        <v>8.1130243824280635E-2</v>
      </c>
      <c r="U4" s="93">
        <f>J4/G4</f>
        <v>5.7449976908794449E-2</v>
      </c>
      <c r="V4" s="93">
        <f>L4/K4</f>
        <v>0.83497881711800825</v>
      </c>
      <c r="W4" s="93">
        <f>M4/K4</f>
        <v>0.10492991918777178</v>
      </c>
      <c r="X4" s="93">
        <f>N4/K4</f>
        <v>6.1533006102909613E-2</v>
      </c>
    </row>
    <row r="5" spans="1:24" x14ac:dyDescent="0.2">
      <c r="A5" s="326">
        <v>1</v>
      </c>
      <c r="B5" s="93" t="s">
        <v>450</v>
      </c>
      <c r="C5" s="93">
        <v>57</v>
      </c>
      <c r="D5" s="93">
        <v>48</v>
      </c>
      <c r="E5" s="93">
        <v>6</v>
      </c>
      <c r="F5" s="93">
        <f>C5-D5-E5</f>
        <v>3</v>
      </c>
      <c r="G5" s="93">
        <v>1743</v>
      </c>
      <c r="H5" s="93">
        <v>1596</v>
      </c>
      <c r="I5" s="93">
        <v>71</v>
      </c>
      <c r="J5" s="93">
        <f>G5-H5-I5</f>
        <v>76</v>
      </c>
      <c r="K5" s="93">
        <v>1235</v>
      </c>
      <c r="L5" s="93">
        <v>1115</v>
      </c>
      <c r="M5" s="93">
        <v>57</v>
      </c>
      <c r="N5" s="93">
        <f>K5-L5-M5</f>
        <v>63</v>
      </c>
      <c r="P5" s="93">
        <f t="shared" ref="P5:P68" si="1">D5/C5</f>
        <v>0.84210526315789469</v>
      </c>
      <c r="Q5" s="93">
        <f t="shared" ref="Q5:Q68" si="2">E5/C5</f>
        <v>0.10526315789473684</v>
      </c>
      <c r="R5" s="93">
        <f t="shared" ref="R5:R68" si="3">F5/C5</f>
        <v>5.2631578947368418E-2</v>
      </c>
      <c r="S5" s="93">
        <f t="shared" ref="S5:S68" si="4">H5/G5</f>
        <v>0.91566265060240959</v>
      </c>
      <c r="T5" s="93">
        <f t="shared" ref="T5:T68" si="5">I5/G5</f>
        <v>4.0734366035570853E-2</v>
      </c>
      <c r="U5" s="93">
        <f t="shared" ref="U5:U68" si="6">J5/G5</f>
        <v>4.360298336201951E-2</v>
      </c>
      <c r="V5" s="93">
        <f t="shared" ref="V5:V68" si="7">L5/K5</f>
        <v>0.90283400809716596</v>
      </c>
      <c r="W5" s="93">
        <f t="shared" ref="W5:W68" si="8">M5/K5</f>
        <v>4.6153846153846156E-2</v>
      </c>
      <c r="X5" s="93">
        <f t="shared" ref="X5:X68" si="9">N5/K5</f>
        <v>5.1012145748987853E-2</v>
      </c>
    </row>
    <row r="6" spans="1:24" x14ac:dyDescent="0.2">
      <c r="A6" s="326">
        <v>3</v>
      </c>
      <c r="B6" s="93" t="s">
        <v>451</v>
      </c>
      <c r="C6" s="93">
        <v>153</v>
      </c>
      <c r="D6" s="93">
        <v>146</v>
      </c>
      <c r="E6" s="93">
        <v>3</v>
      </c>
      <c r="F6" s="93">
        <f t="shared" ref="F6:F69" si="10">C6-D6-E6</f>
        <v>4</v>
      </c>
      <c r="G6" s="93">
        <v>3666</v>
      </c>
      <c r="H6" s="93">
        <v>3182</v>
      </c>
      <c r="I6" s="93">
        <v>233</v>
      </c>
      <c r="J6" s="93">
        <f t="shared" ref="J6:J69" si="11">G6-H6-I6</f>
        <v>251</v>
      </c>
      <c r="K6" s="93">
        <v>1832</v>
      </c>
      <c r="L6" s="93">
        <v>1586</v>
      </c>
      <c r="M6" s="93">
        <v>122</v>
      </c>
      <c r="N6" s="93">
        <f t="shared" ref="N6:N69" si="12">K6-L6-M6</f>
        <v>124</v>
      </c>
      <c r="P6" s="93">
        <f t="shared" si="1"/>
        <v>0.95424836601307195</v>
      </c>
      <c r="Q6" s="93">
        <f t="shared" si="2"/>
        <v>1.9607843137254902E-2</v>
      </c>
      <c r="R6" s="93">
        <f t="shared" si="3"/>
        <v>2.6143790849673203E-2</v>
      </c>
      <c r="S6" s="93">
        <f t="shared" si="4"/>
        <v>0.86797599563557015</v>
      </c>
      <c r="T6" s="93">
        <f t="shared" si="5"/>
        <v>6.3557010365520999E-2</v>
      </c>
      <c r="U6" s="93">
        <f t="shared" si="6"/>
        <v>6.846699399890889E-2</v>
      </c>
      <c r="V6" s="93">
        <f t="shared" si="7"/>
        <v>0.86572052401746724</v>
      </c>
      <c r="W6" s="93">
        <f t="shared" si="8"/>
        <v>6.6593886462882099E-2</v>
      </c>
      <c r="X6" s="93">
        <f t="shared" si="9"/>
        <v>6.768558951965066E-2</v>
      </c>
    </row>
    <row r="7" spans="1:24" x14ac:dyDescent="0.2">
      <c r="A7" s="326">
        <v>5</v>
      </c>
      <c r="B7" s="93" t="s">
        <v>687</v>
      </c>
      <c r="C7" s="93">
        <v>32</v>
      </c>
      <c r="D7" s="93">
        <v>30</v>
      </c>
      <c r="E7" s="93">
        <v>1</v>
      </c>
      <c r="F7" s="93">
        <f>(C7-D7-E7)+0</f>
        <v>1</v>
      </c>
      <c r="G7" s="93">
        <v>158</v>
      </c>
      <c r="H7" s="93">
        <v>142</v>
      </c>
      <c r="I7" s="93">
        <v>10</v>
      </c>
      <c r="J7" s="93">
        <f>(G7-H7-I7)+1</f>
        <v>7</v>
      </c>
      <c r="K7" s="93">
        <v>103</v>
      </c>
      <c r="L7" s="93">
        <v>93</v>
      </c>
      <c r="M7" s="93">
        <v>10</v>
      </c>
      <c r="N7" s="93">
        <f>(K7-L7-M7)+0</f>
        <v>0</v>
      </c>
      <c r="P7" s="93">
        <f t="shared" si="1"/>
        <v>0.9375</v>
      </c>
      <c r="Q7" s="93">
        <f t="shared" si="2"/>
        <v>3.125E-2</v>
      </c>
      <c r="R7" s="93">
        <f t="shared" si="3"/>
        <v>3.125E-2</v>
      </c>
      <c r="S7" s="93">
        <f t="shared" si="4"/>
        <v>0.89873417721518989</v>
      </c>
      <c r="T7" s="93">
        <f t="shared" si="5"/>
        <v>6.3291139240506333E-2</v>
      </c>
      <c r="U7" s="93">
        <f t="shared" si="6"/>
        <v>4.4303797468354431E-2</v>
      </c>
      <c r="V7" s="93">
        <f t="shared" si="7"/>
        <v>0.90291262135922334</v>
      </c>
      <c r="W7" s="93">
        <f t="shared" si="8"/>
        <v>9.7087378640776698E-2</v>
      </c>
      <c r="X7" s="93">
        <f t="shared" si="9"/>
        <v>0</v>
      </c>
    </row>
    <row r="8" spans="1:24" x14ac:dyDescent="0.2">
      <c r="A8" s="326">
        <v>7</v>
      </c>
      <c r="B8" s="93" t="s">
        <v>452</v>
      </c>
      <c r="C8" s="93">
        <v>15</v>
      </c>
      <c r="D8" s="93">
        <v>13</v>
      </c>
      <c r="E8" s="93">
        <v>2</v>
      </c>
      <c r="F8" s="93">
        <f t="shared" si="10"/>
        <v>0</v>
      </c>
      <c r="G8" s="93">
        <v>218</v>
      </c>
      <c r="H8" s="93">
        <v>178</v>
      </c>
      <c r="I8" s="93">
        <v>6</v>
      </c>
      <c r="J8" s="93">
        <f t="shared" si="11"/>
        <v>34</v>
      </c>
      <c r="K8" s="93">
        <v>90</v>
      </c>
      <c r="L8" s="93">
        <v>72</v>
      </c>
      <c r="M8" s="93">
        <v>3</v>
      </c>
      <c r="N8" s="93">
        <f t="shared" si="12"/>
        <v>15</v>
      </c>
      <c r="P8" s="93">
        <f t="shared" si="1"/>
        <v>0.8666666666666667</v>
      </c>
      <c r="Q8" s="93">
        <f t="shared" si="2"/>
        <v>0.13333333333333333</v>
      </c>
      <c r="R8" s="93">
        <f t="shared" si="3"/>
        <v>0</v>
      </c>
      <c r="S8" s="93">
        <f t="shared" si="4"/>
        <v>0.8165137614678899</v>
      </c>
      <c r="T8" s="93">
        <f t="shared" si="5"/>
        <v>2.7522935779816515E-2</v>
      </c>
      <c r="U8" s="93">
        <f t="shared" si="6"/>
        <v>0.15596330275229359</v>
      </c>
      <c r="V8" s="93">
        <f t="shared" si="7"/>
        <v>0.8</v>
      </c>
      <c r="W8" s="93">
        <f t="shared" si="8"/>
        <v>3.3333333333333333E-2</v>
      </c>
      <c r="X8" s="93">
        <f t="shared" si="9"/>
        <v>0.16666666666666666</v>
      </c>
    </row>
    <row r="9" spans="1:24" x14ac:dyDescent="0.2">
      <c r="A9" s="326">
        <v>9</v>
      </c>
      <c r="B9" s="93" t="s">
        <v>453</v>
      </c>
      <c r="C9" s="93">
        <v>41</v>
      </c>
      <c r="D9" s="93">
        <v>33</v>
      </c>
      <c r="E9" s="93">
        <v>7</v>
      </c>
      <c r="F9" s="93">
        <f t="shared" si="10"/>
        <v>1</v>
      </c>
      <c r="G9" s="93">
        <v>397</v>
      </c>
      <c r="H9" s="93">
        <v>339</v>
      </c>
      <c r="I9" s="93">
        <v>45</v>
      </c>
      <c r="J9" s="93">
        <f t="shared" si="11"/>
        <v>13</v>
      </c>
      <c r="K9" s="93">
        <v>202</v>
      </c>
      <c r="L9" s="93">
        <v>185</v>
      </c>
      <c r="M9" s="93">
        <v>16</v>
      </c>
      <c r="N9" s="93">
        <f t="shared" si="12"/>
        <v>1</v>
      </c>
      <c r="P9" s="93">
        <f t="shared" si="1"/>
        <v>0.80487804878048785</v>
      </c>
      <c r="Q9" s="93">
        <f t="shared" si="2"/>
        <v>0.17073170731707318</v>
      </c>
      <c r="R9" s="93">
        <f t="shared" si="3"/>
        <v>2.4390243902439025E-2</v>
      </c>
      <c r="S9" s="93">
        <f t="shared" si="4"/>
        <v>0.853904282115869</v>
      </c>
      <c r="T9" s="93">
        <f t="shared" si="5"/>
        <v>0.11335012594458438</v>
      </c>
      <c r="U9" s="93">
        <f t="shared" si="6"/>
        <v>3.2745591939546598E-2</v>
      </c>
      <c r="V9" s="93">
        <f t="shared" si="7"/>
        <v>0.91584158415841588</v>
      </c>
      <c r="W9" s="93">
        <f t="shared" si="8"/>
        <v>7.9207920792079209E-2</v>
      </c>
      <c r="X9" s="93">
        <f t="shared" si="9"/>
        <v>4.9504950495049506E-3</v>
      </c>
    </row>
    <row r="10" spans="1:24" x14ac:dyDescent="0.2">
      <c r="A10" s="326">
        <v>11</v>
      </c>
      <c r="B10" s="93" t="s">
        <v>454</v>
      </c>
      <c r="C10" s="93">
        <v>14</v>
      </c>
      <c r="D10" s="93">
        <v>14</v>
      </c>
      <c r="E10" s="93">
        <v>0</v>
      </c>
      <c r="F10" s="93">
        <f t="shared" si="10"/>
        <v>0</v>
      </c>
      <c r="G10" s="93">
        <v>115</v>
      </c>
      <c r="H10" s="93">
        <v>95</v>
      </c>
      <c r="I10" s="93">
        <v>11</v>
      </c>
      <c r="J10" s="93">
        <f t="shared" si="11"/>
        <v>9</v>
      </c>
      <c r="K10" s="93">
        <v>60</v>
      </c>
      <c r="L10" s="93">
        <v>51</v>
      </c>
      <c r="M10" s="93">
        <v>6</v>
      </c>
      <c r="N10" s="93">
        <f t="shared" si="12"/>
        <v>3</v>
      </c>
      <c r="P10" s="93">
        <f t="shared" si="1"/>
        <v>1</v>
      </c>
      <c r="Q10" s="93">
        <f t="shared" si="2"/>
        <v>0</v>
      </c>
      <c r="R10" s="93">
        <f t="shared" si="3"/>
        <v>0</v>
      </c>
      <c r="S10" s="93">
        <f t="shared" si="4"/>
        <v>0.82608695652173914</v>
      </c>
      <c r="T10" s="93">
        <f t="shared" si="5"/>
        <v>9.5652173913043481E-2</v>
      </c>
      <c r="U10" s="93">
        <f t="shared" si="6"/>
        <v>7.8260869565217397E-2</v>
      </c>
      <c r="V10" s="93">
        <f t="shared" si="7"/>
        <v>0.85</v>
      </c>
      <c r="W10" s="93">
        <f t="shared" si="8"/>
        <v>0.1</v>
      </c>
      <c r="X10" s="93">
        <f t="shared" si="9"/>
        <v>0.05</v>
      </c>
    </row>
    <row r="11" spans="1:24" x14ac:dyDescent="0.2">
      <c r="A11" s="326">
        <v>13</v>
      </c>
      <c r="B11" s="93" t="s">
        <v>455</v>
      </c>
      <c r="C11" s="93">
        <v>1535</v>
      </c>
      <c r="D11" s="93">
        <v>1418</v>
      </c>
      <c r="E11" s="93">
        <v>55</v>
      </c>
      <c r="F11" s="93">
        <f t="shared" si="10"/>
        <v>62</v>
      </c>
      <c r="G11" s="93">
        <v>23449</v>
      </c>
      <c r="H11" s="93">
        <v>20976</v>
      </c>
      <c r="I11" s="93">
        <v>983</v>
      </c>
      <c r="J11" s="93">
        <f t="shared" si="11"/>
        <v>1490</v>
      </c>
      <c r="K11" s="93">
        <v>7809</v>
      </c>
      <c r="L11" s="93">
        <v>6853</v>
      </c>
      <c r="M11" s="93">
        <v>414</v>
      </c>
      <c r="N11" s="93">
        <f t="shared" si="12"/>
        <v>542</v>
      </c>
      <c r="P11" s="93">
        <f t="shared" si="1"/>
        <v>0.92377850162866448</v>
      </c>
      <c r="Q11" s="93">
        <f t="shared" si="2"/>
        <v>3.5830618892508145E-2</v>
      </c>
      <c r="R11" s="93">
        <f t="shared" si="3"/>
        <v>4.0390879478827364E-2</v>
      </c>
      <c r="S11" s="93">
        <f t="shared" si="4"/>
        <v>0.89453708047251479</v>
      </c>
      <c r="T11" s="93">
        <f t="shared" si="5"/>
        <v>4.1920764211693461E-2</v>
      </c>
      <c r="U11" s="93">
        <f t="shared" si="6"/>
        <v>6.3542155315791715E-2</v>
      </c>
      <c r="V11" s="93">
        <f t="shared" si="7"/>
        <v>0.87757715456524521</v>
      </c>
      <c r="W11" s="93">
        <f t="shared" si="8"/>
        <v>5.3015751056473298E-2</v>
      </c>
      <c r="X11" s="93">
        <f t="shared" si="9"/>
        <v>6.9407094378281464E-2</v>
      </c>
    </row>
    <row r="12" spans="1:24" x14ac:dyDescent="0.2">
      <c r="A12" s="326">
        <v>15</v>
      </c>
      <c r="B12" s="93" t="s">
        <v>797</v>
      </c>
      <c r="C12" s="93">
        <v>132</v>
      </c>
      <c r="D12" s="93">
        <v>115</v>
      </c>
      <c r="E12" s="93">
        <v>10</v>
      </c>
      <c r="F12" s="93">
        <f>((C12-D12-E12)+3)+1</f>
        <v>11</v>
      </c>
      <c r="G12" s="93">
        <v>2063</v>
      </c>
      <c r="H12" s="93">
        <v>1815</v>
      </c>
      <c r="I12" s="93">
        <v>162</v>
      </c>
      <c r="J12" s="93">
        <f>((G12-H12-I12)+21)+24</f>
        <v>131</v>
      </c>
      <c r="K12" s="93">
        <v>1405</v>
      </c>
      <c r="L12" s="93">
        <v>1224</v>
      </c>
      <c r="M12" s="93">
        <v>125</v>
      </c>
      <c r="N12" s="93">
        <f>((K12-L12-M12)+3)+22</f>
        <v>81</v>
      </c>
      <c r="P12" s="93">
        <f t="shared" si="1"/>
        <v>0.87121212121212122</v>
      </c>
      <c r="Q12" s="93">
        <f t="shared" si="2"/>
        <v>7.575757575757576E-2</v>
      </c>
      <c r="R12" s="93">
        <f t="shared" si="3"/>
        <v>8.3333333333333329E-2</v>
      </c>
      <c r="S12" s="93">
        <f t="shared" si="4"/>
        <v>0.87978671837130396</v>
      </c>
      <c r="T12" s="93">
        <f t="shared" si="5"/>
        <v>7.8526417838099855E-2</v>
      </c>
      <c r="U12" s="93">
        <f t="shared" si="6"/>
        <v>6.3499757634512849E-2</v>
      </c>
      <c r="V12" s="93">
        <f t="shared" si="7"/>
        <v>0.87117437722419933</v>
      </c>
      <c r="W12" s="93">
        <f t="shared" si="8"/>
        <v>8.8967971530249115E-2</v>
      </c>
      <c r="X12" s="93">
        <f t="shared" si="9"/>
        <v>5.7651245551601421E-2</v>
      </c>
    </row>
    <row r="13" spans="1:24" x14ac:dyDescent="0.2">
      <c r="A13" s="326">
        <v>17</v>
      </c>
      <c r="B13" s="93" t="s">
        <v>456</v>
      </c>
      <c r="C13" s="93">
        <v>11</v>
      </c>
      <c r="D13" s="93">
        <v>10</v>
      </c>
      <c r="E13" s="93">
        <v>1</v>
      </c>
      <c r="F13" s="93">
        <f t="shared" si="10"/>
        <v>0</v>
      </c>
      <c r="G13" s="93">
        <v>54</v>
      </c>
      <c r="H13" s="93">
        <v>44</v>
      </c>
      <c r="I13" s="93">
        <v>8</v>
      </c>
      <c r="J13" s="93">
        <f t="shared" si="11"/>
        <v>2</v>
      </c>
      <c r="K13" s="93">
        <v>37</v>
      </c>
      <c r="L13" s="93">
        <v>26</v>
      </c>
      <c r="M13" s="93">
        <v>11</v>
      </c>
      <c r="N13" s="93">
        <f t="shared" si="12"/>
        <v>0</v>
      </c>
      <c r="P13" s="93">
        <f t="shared" si="1"/>
        <v>0.90909090909090906</v>
      </c>
      <c r="Q13" s="93">
        <f t="shared" si="2"/>
        <v>9.0909090909090912E-2</v>
      </c>
      <c r="R13" s="93">
        <f t="shared" si="3"/>
        <v>0</v>
      </c>
      <c r="S13" s="93">
        <f t="shared" si="4"/>
        <v>0.81481481481481477</v>
      </c>
      <c r="T13" s="93">
        <f t="shared" si="5"/>
        <v>0.14814814814814814</v>
      </c>
      <c r="U13" s="93">
        <f t="shared" si="6"/>
        <v>3.7037037037037035E-2</v>
      </c>
      <c r="V13" s="93">
        <f t="shared" si="7"/>
        <v>0.70270270270270274</v>
      </c>
      <c r="W13" s="93">
        <f t="shared" si="8"/>
        <v>0.29729729729729731</v>
      </c>
      <c r="X13" s="93">
        <f t="shared" si="9"/>
        <v>0</v>
      </c>
    </row>
    <row r="14" spans="1:24" x14ac:dyDescent="0.2">
      <c r="A14" s="326">
        <v>19</v>
      </c>
      <c r="B14" s="93" t="s">
        <v>688</v>
      </c>
      <c r="C14" s="93">
        <v>87</v>
      </c>
      <c r="D14" s="93">
        <v>80</v>
      </c>
      <c r="E14" s="93">
        <v>6</v>
      </c>
      <c r="F14" s="93">
        <f>(C14-D14-E14)+0</f>
        <v>1</v>
      </c>
      <c r="G14" s="93">
        <v>760</v>
      </c>
      <c r="H14" s="93">
        <v>697</v>
      </c>
      <c r="I14" s="93">
        <v>35</v>
      </c>
      <c r="J14" s="93">
        <f>(G14-H14-I14)+4</f>
        <v>32</v>
      </c>
      <c r="K14" s="93">
        <v>515</v>
      </c>
      <c r="L14" s="93">
        <v>448</v>
      </c>
      <c r="M14" s="93">
        <v>46</v>
      </c>
      <c r="N14" s="93">
        <f>(K14-L14-M14)+2</f>
        <v>23</v>
      </c>
      <c r="P14" s="93">
        <f t="shared" si="1"/>
        <v>0.91954022988505746</v>
      </c>
      <c r="Q14" s="93">
        <f t="shared" si="2"/>
        <v>6.8965517241379309E-2</v>
      </c>
      <c r="R14" s="93">
        <f t="shared" si="3"/>
        <v>1.1494252873563218E-2</v>
      </c>
      <c r="S14" s="93">
        <f t="shared" si="4"/>
        <v>0.91710526315789476</v>
      </c>
      <c r="T14" s="93">
        <f t="shared" si="5"/>
        <v>4.6052631578947366E-2</v>
      </c>
      <c r="U14" s="93">
        <f t="shared" si="6"/>
        <v>4.2105263157894736E-2</v>
      </c>
      <c r="V14" s="93">
        <f t="shared" si="7"/>
        <v>0.86990291262135921</v>
      </c>
      <c r="W14" s="93">
        <f t="shared" si="8"/>
        <v>8.9320388349514557E-2</v>
      </c>
      <c r="X14" s="93">
        <f t="shared" si="9"/>
        <v>4.4660194174757278E-2</v>
      </c>
    </row>
    <row r="15" spans="1:24" x14ac:dyDescent="0.2">
      <c r="A15" s="326">
        <v>21</v>
      </c>
      <c r="B15" s="93" t="s">
        <v>457</v>
      </c>
      <c r="C15" s="93">
        <v>1</v>
      </c>
      <c r="D15" s="93">
        <v>1</v>
      </c>
      <c r="E15" s="93">
        <v>0</v>
      </c>
      <c r="F15" s="93">
        <f t="shared" si="10"/>
        <v>0</v>
      </c>
      <c r="G15" s="93">
        <v>39</v>
      </c>
      <c r="H15" s="93">
        <v>37</v>
      </c>
      <c r="I15" s="93">
        <v>2</v>
      </c>
      <c r="J15" s="93">
        <f t="shared" si="11"/>
        <v>0</v>
      </c>
      <c r="K15" s="93">
        <v>10</v>
      </c>
      <c r="L15" s="93">
        <v>10</v>
      </c>
      <c r="M15" s="93">
        <v>0</v>
      </c>
      <c r="N15" s="93">
        <f t="shared" si="12"/>
        <v>0</v>
      </c>
      <c r="P15" s="93">
        <f t="shared" si="1"/>
        <v>1</v>
      </c>
      <c r="Q15" s="93">
        <f t="shared" si="2"/>
        <v>0</v>
      </c>
      <c r="R15" s="93">
        <f t="shared" si="3"/>
        <v>0</v>
      </c>
      <c r="S15" s="93">
        <f t="shared" si="4"/>
        <v>0.94871794871794868</v>
      </c>
      <c r="T15" s="93">
        <f t="shared" si="5"/>
        <v>5.128205128205128E-2</v>
      </c>
      <c r="U15" s="93">
        <f t="shared" si="6"/>
        <v>0</v>
      </c>
      <c r="V15" s="93">
        <f t="shared" si="7"/>
        <v>1</v>
      </c>
      <c r="W15" s="93">
        <f t="shared" si="8"/>
        <v>0</v>
      </c>
      <c r="X15" s="93">
        <f t="shared" si="9"/>
        <v>0</v>
      </c>
    </row>
    <row r="16" spans="1:24" x14ac:dyDescent="0.2">
      <c r="A16" s="326">
        <v>23</v>
      </c>
      <c r="B16" s="93" t="s">
        <v>458</v>
      </c>
      <c r="C16" s="93">
        <v>16</v>
      </c>
      <c r="D16" s="93">
        <v>16</v>
      </c>
      <c r="E16" s="93">
        <v>0</v>
      </c>
      <c r="F16" s="93">
        <f t="shared" si="10"/>
        <v>0</v>
      </c>
      <c r="G16" s="93">
        <v>212</v>
      </c>
      <c r="H16" s="93">
        <v>184</v>
      </c>
      <c r="I16" s="93">
        <v>13</v>
      </c>
      <c r="J16" s="93">
        <f t="shared" si="11"/>
        <v>15</v>
      </c>
      <c r="K16" s="93">
        <v>167</v>
      </c>
      <c r="L16" s="93">
        <v>141</v>
      </c>
      <c r="M16" s="93">
        <v>18</v>
      </c>
      <c r="N16" s="93">
        <f t="shared" si="12"/>
        <v>8</v>
      </c>
      <c r="P16" s="93">
        <f t="shared" si="1"/>
        <v>1</v>
      </c>
      <c r="Q16" s="93">
        <f t="shared" si="2"/>
        <v>0</v>
      </c>
      <c r="R16" s="93">
        <f t="shared" si="3"/>
        <v>0</v>
      </c>
      <c r="S16" s="93">
        <f t="shared" si="4"/>
        <v>0.86792452830188682</v>
      </c>
      <c r="T16" s="93">
        <f t="shared" si="5"/>
        <v>6.1320754716981132E-2</v>
      </c>
      <c r="U16" s="93">
        <f t="shared" si="6"/>
        <v>7.0754716981132074E-2</v>
      </c>
      <c r="V16" s="93">
        <f t="shared" si="7"/>
        <v>0.84431137724550898</v>
      </c>
      <c r="W16" s="93">
        <f t="shared" si="8"/>
        <v>0.10778443113772455</v>
      </c>
      <c r="X16" s="93">
        <f t="shared" si="9"/>
        <v>4.790419161676647E-2</v>
      </c>
    </row>
    <row r="17" spans="1:24" x14ac:dyDescent="0.2">
      <c r="A17" s="326">
        <v>25</v>
      </c>
      <c r="B17" s="93" t="s">
        <v>459</v>
      </c>
      <c r="C17" s="93">
        <v>13</v>
      </c>
      <c r="D17" s="93">
        <v>8</v>
      </c>
      <c r="E17" s="93">
        <v>4</v>
      </c>
      <c r="F17" s="93">
        <f t="shared" si="10"/>
        <v>1</v>
      </c>
      <c r="G17" s="93">
        <v>199</v>
      </c>
      <c r="H17" s="93">
        <v>145</v>
      </c>
      <c r="I17" s="93">
        <v>46</v>
      </c>
      <c r="J17" s="93">
        <f t="shared" si="11"/>
        <v>8</v>
      </c>
      <c r="K17" s="93">
        <v>104</v>
      </c>
      <c r="L17" s="93">
        <v>73</v>
      </c>
      <c r="M17" s="93">
        <v>23</v>
      </c>
      <c r="N17" s="93">
        <f t="shared" si="12"/>
        <v>8</v>
      </c>
      <c r="P17" s="93">
        <f t="shared" si="1"/>
        <v>0.61538461538461542</v>
      </c>
      <c r="Q17" s="93">
        <f t="shared" si="2"/>
        <v>0.30769230769230771</v>
      </c>
      <c r="R17" s="93">
        <f t="shared" si="3"/>
        <v>7.6923076923076927E-2</v>
      </c>
      <c r="S17" s="93">
        <f t="shared" si="4"/>
        <v>0.72864321608040206</v>
      </c>
      <c r="T17" s="93">
        <f t="shared" si="5"/>
        <v>0.23115577889447236</v>
      </c>
      <c r="U17" s="93">
        <f t="shared" si="6"/>
        <v>4.0201005025125629E-2</v>
      </c>
      <c r="V17" s="93">
        <f t="shared" si="7"/>
        <v>0.70192307692307687</v>
      </c>
      <c r="W17" s="93">
        <f t="shared" si="8"/>
        <v>0.22115384615384615</v>
      </c>
      <c r="X17" s="93">
        <f t="shared" si="9"/>
        <v>7.6923076923076927E-2</v>
      </c>
    </row>
    <row r="18" spans="1:24" x14ac:dyDescent="0.2">
      <c r="A18" s="326">
        <v>27</v>
      </c>
      <c r="B18" s="93" t="s">
        <v>460</v>
      </c>
      <c r="C18" s="93">
        <v>8</v>
      </c>
      <c r="D18" s="93">
        <v>8</v>
      </c>
      <c r="E18" s="93">
        <v>0</v>
      </c>
      <c r="F18" s="93">
        <f t="shared" si="10"/>
        <v>0</v>
      </c>
      <c r="G18" s="93">
        <v>50</v>
      </c>
      <c r="H18" s="93">
        <v>44</v>
      </c>
      <c r="I18" s="93">
        <v>3</v>
      </c>
      <c r="J18" s="93">
        <f t="shared" si="11"/>
        <v>3</v>
      </c>
      <c r="K18" s="93">
        <v>42</v>
      </c>
      <c r="L18" s="93">
        <v>36</v>
      </c>
      <c r="M18" s="93">
        <v>2</v>
      </c>
      <c r="N18" s="93">
        <f t="shared" si="12"/>
        <v>4</v>
      </c>
      <c r="P18" s="93">
        <f t="shared" si="1"/>
        <v>1</v>
      </c>
      <c r="Q18" s="93">
        <f t="shared" si="2"/>
        <v>0</v>
      </c>
      <c r="R18" s="93">
        <f t="shared" si="3"/>
        <v>0</v>
      </c>
      <c r="S18" s="93">
        <f t="shared" si="4"/>
        <v>0.88</v>
      </c>
      <c r="T18" s="93">
        <f t="shared" si="5"/>
        <v>0.06</v>
      </c>
      <c r="U18" s="93">
        <f t="shared" si="6"/>
        <v>0.06</v>
      </c>
      <c r="V18" s="93">
        <f t="shared" si="7"/>
        <v>0.8571428571428571</v>
      </c>
      <c r="W18" s="93">
        <f t="shared" si="8"/>
        <v>4.7619047619047616E-2</v>
      </c>
      <c r="X18" s="93">
        <f t="shared" si="9"/>
        <v>9.5238095238095233E-2</v>
      </c>
    </row>
    <row r="19" spans="1:24" x14ac:dyDescent="0.2">
      <c r="A19" s="326">
        <v>29</v>
      </c>
      <c r="B19" s="93" t="s">
        <v>461</v>
      </c>
      <c r="C19" s="93">
        <v>13</v>
      </c>
      <c r="D19" s="93">
        <v>8</v>
      </c>
      <c r="E19" s="93">
        <v>5</v>
      </c>
      <c r="F19" s="93">
        <f t="shared" si="10"/>
        <v>0</v>
      </c>
      <c r="G19" s="93">
        <v>197</v>
      </c>
      <c r="H19" s="93">
        <v>163</v>
      </c>
      <c r="I19" s="93">
        <v>27</v>
      </c>
      <c r="J19" s="93">
        <f t="shared" si="11"/>
        <v>7</v>
      </c>
      <c r="K19" s="93">
        <v>88</v>
      </c>
      <c r="L19" s="93">
        <v>72</v>
      </c>
      <c r="M19" s="93">
        <v>16</v>
      </c>
      <c r="N19" s="93">
        <f t="shared" si="12"/>
        <v>0</v>
      </c>
      <c r="P19" s="93">
        <f t="shared" si="1"/>
        <v>0.61538461538461542</v>
      </c>
      <c r="Q19" s="93">
        <f t="shared" si="2"/>
        <v>0.38461538461538464</v>
      </c>
      <c r="R19" s="93">
        <f t="shared" si="3"/>
        <v>0</v>
      </c>
      <c r="S19" s="93">
        <f t="shared" si="4"/>
        <v>0.82741116751269039</v>
      </c>
      <c r="T19" s="93">
        <f t="shared" si="5"/>
        <v>0.13705583756345177</v>
      </c>
      <c r="U19" s="93">
        <f t="shared" si="6"/>
        <v>3.553299492385787E-2</v>
      </c>
      <c r="V19" s="93">
        <f t="shared" si="7"/>
        <v>0.81818181818181823</v>
      </c>
      <c r="W19" s="93">
        <f t="shared" si="8"/>
        <v>0.18181818181818182</v>
      </c>
      <c r="X19" s="93">
        <f t="shared" si="9"/>
        <v>0</v>
      </c>
    </row>
    <row r="20" spans="1:24" x14ac:dyDescent="0.2">
      <c r="A20" s="326">
        <v>31</v>
      </c>
      <c r="B20" s="93" t="s">
        <v>462</v>
      </c>
      <c r="C20" s="93">
        <v>37</v>
      </c>
      <c r="D20" s="93">
        <v>34</v>
      </c>
      <c r="E20" s="93">
        <v>2</v>
      </c>
      <c r="F20" s="93">
        <f t="shared" si="10"/>
        <v>1</v>
      </c>
      <c r="G20" s="93">
        <v>672</v>
      </c>
      <c r="H20" s="93">
        <v>604</v>
      </c>
      <c r="I20" s="93">
        <v>40</v>
      </c>
      <c r="J20" s="93">
        <f t="shared" si="11"/>
        <v>28</v>
      </c>
      <c r="K20" s="93">
        <v>310</v>
      </c>
      <c r="L20" s="93">
        <v>277</v>
      </c>
      <c r="M20" s="93">
        <v>26</v>
      </c>
      <c r="N20" s="93">
        <f t="shared" si="12"/>
        <v>7</v>
      </c>
      <c r="P20" s="93">
        <f t="shared" si="1"/>
        <v>0.91891891891891897</v>
      </c>
      <c r="Q20" s="93">
        <f t="shared" si="2"/>
        <v>5.4054054054054057E-2</v>
      </c>
      <c r="R20" s="93">
        <f t="shared" si="3"/>
        <v>2.7027027027027029E-2</v>
      </c>
      <c r="S20" s="93">
        <f t="shared" si="4"/>
        <v>0.89880952380952384</v>
      </c>
      <c r="T20" s="93">
        <f t="shared" si="5"/>
        <v>5.9523809523809521E-2</v>
      </c>
      <c r="U20" s="93">
        <f t="shared" si="6"/>
        <v>4.1666666666666664E-2</v>
      </c>
      <c r="V20" s="93">
        <f t="shared" si="7"/>
        <v>0.8935483870967742</v>
      </c>
      <c r="W20" s="93">
        <f t="shared" si="8"/>
        <v>8.387096774193549E-2</v>
      </c>
      <c r="X20" s="93">
        <f t="shared" si="9"/>
        <v>2.2580645161290321E-2</v>
      </c>
    </row>
    <row r="21" spans="1:24" x14ac:dyDescent="0.2">
      <c r="A21" s="326">
        <v>33</v>
      </c>
      <c r="B21" s="93" t="s">
        <v>463</v>
      </c>
      <c r="C21" s="93">
        <v>46</v>
      </c>
      <c r="D21" s="93">
        <v>39</v>
      </c>
      <c r="E21" s="93">
        <v>6</v>
      </c>
      <c r="F21" s="93">
        <f t="shared" si="10"/>
        <v>1</v>
      </c>
      <c r="G21" s="93">
        <v>606</v>
      </c>
      <c r="H21" s="93">
        <v>501</v>
      </c>
      <c r="I21" s="93">
        <v>63</v>
      </c>
      <c r="J21" s="93">
        <f t="shared" si="11"/>
        <v>42</v>
      </c>
      <c r="K21" s="93">
        <v>364</v>
      </c>
      <c r="L21" s="93">
        <v>284</v>
      </c>
      <c r="M21" s="93">
        <v>62</v>
      </c>
      <c r="N21" s="93">
        <f t="shared" si="12"/>
        <v>18</v>
      </c>
      <c r="P21" s="93">
        <f t="shared" si="1"/>
        <v>0.84782608695652173</v>
      </c>
      <c r="Q21" s="93">
        <f t="shared" si="2"/>
        <v>0.13043478260869565</v>
      </c>
      <c r="R21" s="93">
        <f t="shared" si="3"/>
        <v>2.1739130434782608E-2</v>
      </c>
      <c r="S21" s="93">
        <f t="shared" si="4"/>
        <v>0.82673267326732669</v>
      </c>
      <c r="T21" s="93">
        <f t="shared" si="5"/>
        <v>0.10396039603960396</v>
      </c>
      <c r="U21" s="93">
        <f t="shared" si="6"/>
        <v>6.9306930693069313E-2</v>
      </c>
      <c r="V21" s="93">
        <f t="shared" si="7"/>
        <v>0.78021978021978022</v>
      </c>
      <c r="W21" s="93">
        <f t="shared" si="8"/>
        <v>0.17032967032967034</v>
      </c>
      <c r="X21" s="93">
        <f t="shared" si="9"/>
        <v>4.9450549450549448E-2</v>
      </c>
    </row>
    <row r="22" spans="1:24" x14ac:dyDescent="0.2">
      <c r="A22" s="326">
        <v>35</v>
      </c>
      <c r="B22" s="93" t="s">
        <v>464</v>
      </c>
      <c r="C22" s="93">
        <v>34</v>
      </c>
      <c r="D22" s="93">
        <v>33</v>
      </c>
      <c r="E22" s="93">
        <v>0</v>
      </c>
      <c r="F22" s="93">
        <f t="shared" si="10"/>
        <v>1</v>
      </c>
      <c r="G22" s="93">
        <v>457</v>
      </c>
      <c r="H22" s="93">
        <v>425</v>
      </c>
      <c r="I22" s="93">
        <v>5</v>
      </c>
      <c r="J22" s="93">
        <f t="shared" si="11"/>
        <v>27</v>
      </c>
      <c r="K22" s="93">
        <v>344</v>
      </c>
      <c r="L22" s="93">
        <v>314</v>
      </c>
      <c r="M22" s="93">
        <v>6</v>
      </c>
      <c r="N22" s="93">
        <f t="shared" si="12"/>
        <v>24</v>
      </c>
      <c r="P22" s="93">
        <f t="shared" si="1"/>
        <v>0.97058823529411764</v>
      </c>
      <c r="Q22" s="93">
        <f t="shared" si="2"/>
        <v>0</v>
      </c>
      <c r="R22" s="93">
        <f t="shared" si="3"/>
        <v>2.9411764705882353E-2</v>
      </c>
      <c r="S22" s="93">
        <f t="shared" si="4"/>
        <v>0.92997811816192555</v>
      </c>
      <c r="T22" s="93">
        <f t="shared" si="5"/>
        <v>1.0940919037199124E-2</v>
      </c>
      <c r="U22" s="93">
        <f t="shared" si="6"/>
        <v>5.9080962800875277E-2</v>
      </c>
      <c r="V22" s="93">
        <f t="shared" si="7"/>
        <v>0.91279069767441856</v>
      </c>
      <c r="W22" s="93">
        <f t="shared" si="8"/>
        <v>1.7441860465116279E-2</v>
      </c>
      <c r="X22" s="93">
        <f t="shared" si="9"/>
        <v>6.9767441860465115E-2</v>
      </c>
    </row>
    <row r="23" spans="1:24" x14ac:dyDescent="0.2">
      <c r="A23" s="326">
        <v>36</v>
      </c>
      <c r="B23" s="93" t="s">
        <v>465</v>
      </c>
      <c r="C23" s="93">
        <v>3</v>
      </c>
      <c r="D23" s="93">
        <v>3</v>
      </c>
      <c r="E23" s="93">
        <v>0</v>
      </c>
      <c r="F23" s="93">
        <f t="shared" si="10"/>
        <v>0</v>
      </c>
      <c r="G23" s="93">
        <v>78</v>
      </c>
      <c r="H23" s="93">
        <v>47</v>
      </c>
      <c r="I23" s="93">
        <v>4</v>
      </c>
      <c r="J23" s="93">
        <f t="shared" si="11"/>
        <v>27</v>
      </c>
      <c r="K23" s="93">
        <v>26</v>
      </c>
      <c r="L23" s="93">
        <v>18</v>
      </c>
      <c r="M23" s="93">
        <v>4</v>
      </c>
      <c r="N23" s="93">
        <f t="shared" si="12"/>
        <v>4</v>
      </c>
      <c r="P23" s="93">
        <f t="shared" si="1"/>
        <v>1</v>
      </c>
      <c r="Q23" s="93">
        <f t="shared" si="2"/>
        <v>0</v>
      </c>
      <c r="R23" s="93">
        <f t="shared" si="3"/>
        <v>0</v>
      </c>
      <c r="S23" s="93">
        <f t="shared" si="4"/>
        <v>0.60256410256410253</v>
      </c>
      <c r="T23" s="93">
        <f t="shared" si="5"/>
        <v>5.128205128205128E-2</v>
      </c>
      <c r="U23" s="93">
        <f t="shared" si="6"/>
        <v>0.34615384615384615</v>
      </c>
      <c r="V23" s="93">
        <f t="shared" si="7"/>
        <v>0.69230769230769229</v>
      </c>
      <c r="W23" s="93">
        <f t="shared" si="8"/>
        <v>0.15384615384615385</v>
      </c>
      <c r="X23" s="93">
        <f t="shared" si="9"/>
        <v>0.15384615384615385</v>
      </c>
    </row>
    <row r="24" spans="1:24" x14ac:dyDescent="0.2">
      <c r="A24" s="326">
        <v>37</v>
      </c>
      <c r="B24" s="93" t="s">
        <v>466</v>
      </c>
      <c r="C24" s="93">
        <v>10</v>
      </c>
      <c r="D24" s="93">
        <v>9</v>
      </c>
      <c r="E24" s="93">
        <v>1</v>
      </c>
      <c r="F24" s="93">
        <f t="shared" si="10"/>
        <v>0</v>
      </c>
      <c r="G24" s="93">
        <v>164</v>
      </c>
      <c r="H24" s="93">
        <v>133</v>
      </c>
      <c r="I24" s="93">
        <v>22</v>
      </c>
      <c r="J24" s="93">
        <f t="shared" si="11"/>
        <v>9</v>
      </c>
      <c r="K24" s="93">
        <v>100</v>
      </c>
      <c r="L24" s="93">
        <v>75</v>
      </c>
      <c r="M24" s="93">
        <v>21</v>
      </c>
      <c r="N24" s="93">
        <f t="shared" si="12"/>
        <v>4</v>
      </c>
      <c r="P24" s="93">
        <f t="shared" si="1"/>
        <v>0.9</v>
      </c>
      <c r="Q24" s="93">
        <f t="shared" si="2"/>
        <v>0.1</v>
      </c>
      <c r="R24" s="93">
        <f t="shared" si="3"/>
        <v>0</v>
      </c>
      <c r="S24" s="93">
        <f t="shared" si="4"/>
        <v>0.81097560975609762</v>
      </c>
      <c r="T24" s="93">
        <f t="shared" si="5"/>
        <v>0.13414634146341464</v>
      </c>
      <c r="U24" s="93">
        <f t="shared" si="6"/>
        <v>5.4878048780487805E-2</v>
      </c>
      <c r="V24" s="93">
        <f t="shared" si="7"/>
        <v>0.75</v>
      </c>
      <c r="W24" s="93">
        <f t="shared" si="8"/>
        <v>0.21</v>
      </c>
      <c r="X24" s="93">
        <f t="shared" si="9"/>
        <v>0.04</v>
      </c>
    </row>
    <row r="25" spans="1:24" x14ac:dyDescent="0.2">
      <c r="A25" s="326">
        <v>41</v>
      </c>
      <c r="B25" s="93" t="s">
        <v>689</v>
      </c>
      <c r="C25" s="93">
        <v>650</v>
      </c>
      <c r="D25" s="93">
        <v>564</v>
      </c>
      <c r="E25" s="93">
        <v>57</v>
      </c>
      <c r="F25" s="93">
        <f>(C25-D25-E25)+3</f>
        <v>32</v>
      </c>
      <c r="G25" s="93">
        <v>14927</v>
      </c>
      <c r="H25" s="93">
        <v>12410</v>
      </c>
      <c r="I25" s="93">
        <v>1545</v>
      </c>
      <c r="J25" s="93">
        <f>(G25-H25-I25)+20</f>
        <v>992</v>
      </c>
      <c r="K25" s="93">
        <v>8746</v>
      </c>
      <c r="L25" s="93">
        <v>7085</v>
      </c>
      <c r="M25" s="93">
        <v>1130</v>
      </c>
      <c r="N25" s="93">
        <f>(K25-L25-M25)+13</f>
        <v>544</v>
      </c>
      <c r="P25" s="93">
        <f t="shared" si="1"/>
        <v>0.86769230769230765</v>
      </c>
      <c r="Q25" s="93">
        <f t="shared" si="2"/>
        <v>8.7692307692307694E-2</v>
      </c>
      <c r="R25" s="93">
        <f t="shared" si="3"/>
        <v>4.9230769230769231E-2</v>
      </c>
      <c r="S25" s="93">
        <f t="shared" si="4"/>
        <v>0.83137937964761843</v>
      </c>
      <c r="T25" s="93">
        <f t="shared" si="5"/>
        <v>0.10350371809472768</v>
      </c>
      <c r="U25" s="93">
        <f t="shared" si="6"/>
        <v>6.6456756213572721E-2</v>
      </c>
      <c r="V25" s="93">
        <f t="shared" si="7"/>
        <v>0.81008461010747768</v>
      </c>
      <c r="W25" s="93">
        <f t="shared" si="8"/>
        <v>0.12920192087811572</v>
      </c>
      <c r="X25" s="93">
        <f t="shared" si="9"/>
        <v>6.2199862794420309E-2</v>
      </c>
    </row>
    <row r="26" spans="1:24" x14ac:dyDescent="0.2">
      <c r="A26" s="326">
        <v>43</v>
      </c>
      <c r="B26" s="93" t="s">
        <v>467</v>
      </c>
      <c r="C26" s="93">
        <v>19</v>
      </c>
      <c r="D26" s="93">
        <v>17</v>
      </c>
      <c r="E26" s="93">
        <v>1</v>
      </c>
      <c r="F26" s="93">
        <f t="shared" si="10"/>
        <v>1</v>
      </c>
      <c r="G26" s="93">
        <v>304</v>
      </c>
      <c r="H26" s="93">
        <v>276</v>
      </c>
      <c r="I26" s="93">
        <v>5</v>
      </c>
      <c r="J26" s="93">
        <f t="shared" si="11"/>
        <v>23</v>
      </c>
      <c r="K26" s="93">
        <v>186</v>
      </c>
      <c r="L26" s="93">
        <v>167</v>
      </c>
      <c r="M26" s="93">
        <v>8</v>
      </c>
      <c r="N26" s="93">
        <f t="shared" si="12"/>
        <v>11</v>
      </c>
      <c r="P26" s="93">
        <f t="shared" si="1"/>
        <v>0.89473684210526316</v>
      </c>
      <c r="Q26" s="93">
        <f t="shared" si="2"/>
        <v>5.2631578947368418E-2</v>
      </c>
      <c r="R26" s="93">
        <f t="shared" si="3"/>
        <v>5.2631578947368418E-2</v>
      </c>
      <c r="S26" s="93">
        <f t="shared" si="4"/>
        <v>0.90789473684210531</v>
      </c>
      <c r="T26" s="93">
        <f t="shared" si="5"/>
        <v>1.6447368421052631E-2</v>
      </c>
      <c r="U26" s="93">
        <f t="shared" si="6"/>
        <v>7.5657894736842105E-2</v>
      </c>
      <c r="V26" s="93">
        <f t="shared" si="7"/>
        <v>0.89784946236559138</v>
      </c>
      <c r="W26" s="93">
        <f t="shared" si="8"/>
        <v>4.3010752688172046E-2</v>
      </c>
      <c r="X26" s="93">
        <f t="shared" si="9"/>
        <v>5.9139784946236562E-2</v>
      </c>
    </row>
    <row r="27" spans="1:24" x14ac:dyDescent="0.2">
      <c r="A27" s="326">
        <v>45</v>
      </c>
      <c r="B27" s="93" t="s">
        <v>468</v>
      </c>
      <c r="C27" s="93">
        <v>5</v>
      </c>
      <c r="D27" s="93">
        <v>5</v>
      </c>
      <c r="E27" s="93">
        <v>0</v>
      </c>
      <c r="F27" s="93">
        <f t="shared" si="10"/>
        <v>0</v>
      </c>
      <c r="G27" s="93">
        <v>24</v>
      </c>
      <c r="H27" s="93">
        <v>18</v>
      </c>
      <c r="I27" s="93">
        <v>1</v>
      </c>
      <c r="J27" s="93">
        <f t="shared" si="11"/>
        <v>5</v>
      </c>
      <c r="K27" s="93">
        <v>18</v>
      </c>
      <c r="L27" s="93">
        <v>17</v>
      </c>
      <c r="M27" s="93">
        <v>0</v>
      </c>
      <c r="N27" s="93">
        <f t="shared" si="12"/>
        <v>1</v>
      </c>
      <c r="P27" s="93">
        <f t="shared" si="1"/>
        <v>1</v>
      </c>
      <c r="Q27" s="93">
        <f t="shared" si="2"/>
        <v>0</v>
      </c>
      <c r="R27" s="93">
        <f t="shared" si="3"/>
        <v>0</v>
      </c>
      <c r="S27" s="93">
        <f t="shared" si="4"/>
        <v>0.75</v>
      </c>
      <c r="T27" s="93">
        <f t="shared" si="5"/>
        <v>4.1666666666666664E-2</v>
      </c>
      <c r="U27" s="93">
        <f t="shared" si="6"/>
        <v>0.20833333333333334</v>
      </c>
      <c r="V27" s="93">
        <f t="shared" si="7"/>
        <v>0.94444444444444442</v>
      </c>
      <c r="W27" s="93">
        <f t="shared" si="8"/>
        <v>0</v>
      </c>
      <c r="X27" s="93">
        <f t="shared" si="9"/>
        <v>5.5555555555555552E-2</v>
      </c>
    </row>
    <row r="28" spans="1:24" x14ac:dyDescent="0.2">
      <c r="A28" s="326">
        <v>47</v>
      </c>
      <c r="B28" s="93" t="s">
        <v>469</v>
      </c>
      <c r="C28" s="93">
        <v>95</v>
      </c>
      <c r="D28" s="93">
        <v>83</v>
      </c>
      <c r="E28" s="93">
        <v>7</v>
      </c>
      <c r="F28" s="93">
        <f t="shared" si="10"/>
        <v>5</v>
      </c>
      <c r="G28" s="93">
        <v>2527</v>
      </c>
      <c r="H28" s="93">
        <v>2116</v>
      </c>
      <c r="I28" s="93">
        <v>193</v>
      </c>
      <c r="J28" s="93">
        <f t="shared" si="11"/>
        <v>218</v>
      </c>
      <c r="K28" s="93">
        <v>1584</v>
      </c>
      <c r="L28" s="93">
        <v>1282</v>
      </c>
      <c r="M28" s="93">
        <v>176</v>
      </c>
      <c r="N28" s="93">
        <f t="shared" si="12"/>
        <v>126</v>
      </c>
      <c r="P28" s="93">
        <f t="shared" si="1"/>
        <v>0.87368421052631584</v>
      </c>
      <c r="Q28" s="93">
        <f t="shared" si="2"/>
        <v>7.3684210526315783E-2</v>
      </c>
      <c r="R28" s="93">
        <f t="shared" si="3"/>
        <v>5.2631578947368418E-2</v>
      </c>
      <c r="S28" s="93">
        <f t="shared" si="4"/>
        <v>0.83735654926790659</v>
      </c>
      <c r="T28" s="93">
        <f t="shared" si="5"/>
        <v>7.6375148397309064E-2</v>
      </c>
      <c r="U28" s="93">
        <f t="shared" si="6"/>
        <v>8.626830233478433E-2</v>
      </c>
      <c r="V28" s="93">
        <f t="shared" si="7"/>
        <v>0.80934343434343436</v>
      </c>
      <c r="W28" s="93">
        <f t="shared" si="8"/>
        <v>0.1111111111111111</v>
      </c>
      <c r="X28" s="93">
        <f t="shared" si="9"/>
        <v>7.9545454545454544E-2</v>
      </c>
    </row>
    <row r="29" spans="1:24" x14ac:dyDescent="0.2">
      <c r="A29" s="326">
        <v>49</v>
      </c>
      <c r="B29" s="93" t="s">
        <v>470</v>
      </c>
      <c r="C29" s="93">
        <v>3</v>
      </c>
      <c r="D29" s="93">
        <v>1</v>
      </c>
      <c r="E29" s="93">
        <v>2</v>
      </c>
      <c r="F29" s="93">
        <f t="shared" si="10"/>
        <v>0</v>
      </c>
      <c r="G29" s="93">
        <v>111</v>
      </c>
      <c r="H29" s="93">
        <v>92</v>
      </c>
      <c r="I29" s="93">
        <v>15</v>
      </c>
      <c r="J29" s="93">
        <f t="shared" si="11"/>
        <v>4</v>
      </c>
      <c r="K29" s="93">
        <v>95</v>
      </c>
      <c r="L29" s="93">
        <v>67</v>
      </c>
      <c r="M29" s="93">
        <v>27</v>
      </c>
      <c r="N29" s="93">
        <f t="shared" si="12"/>
        <v>1</v>
      </c>
      <c r="P29" s="93">
        <f t="shared" si="1"/>
        <v>0.33333333333333331</v>
      </c>
      <c r="Q29" s="93">
        <f t="shared" si="2"/>
        <v>0.66666666666666663</v>
      </c>
      <c r="R29" s="93">
        <f t="shared" si="3"/>
        <v>0</v>
      </c>
      <c r="S29" s="93">
        <f t="shared" si="4"/>
        <v>0.8288288288288288</v>
      </c>
      <c r="T29" s="93">
        <f t="shared" si="5"/>
        <v>0.13513513513513514</v>
      </c>
      <c r="U29" s="93">
        <f t="shared" si="6"/>
        <v>3.6036036036036036E-2</v>
      </c>
      <c r="V29" s="93">
        <f t="shared" si="7"/>
        <v>0.70526315789473681</v>
      </c>
      <c r="W29" s="93">
        <f t="shared" si="8"/>
        <v>0.28421052631578947</v>
      </c>
      <c r="X29" s="93">
        <f t="shared" si="9"/>
        <v>1.0526315789473684E-2</v>
      </c>
    </row>
    <row r="30" spans="1:24" x14ac:dyDescent="0.2">
      <c r="A30" s="326">
        <v>51</v>
      </c>
      <c r="B30" s="93" t="s">
        <v>471</v>
      </c>
      <c r="C30" s="93">
        <v>7</v>
      </c>
      <c r="D30" s="93">
        <v>7</v>
      </c>
      <c r="E30" s="93">
        <v>0</v>
      </c>
      <c r="F30" s="93">
        <f t="shared" si="10"/>
        <v>0</v>
      </c>
      <c r="G30" s="93">
        <v>53</v>
      </c>
      <c r="H30" s="93">
        <v>45</v>
      </c>
      <c r="I30" s="93">
        <v>4</v>
      </c>
      <c r="J30" s="93">
        <f t="shared" si="11"/>
        <v>4</v>
      </c>
      <c r="K30" s="93">
        <v>34</v>
      </c>
      <c r="L30" s="93">
        <v>30</v>
      </c>
      <c r="M30" s="93">
        <v>1</v>
      </c>
      <c r="N30" s="93">
        <f t="shared" si="12"/>
        <v>3</v>
      </c>
      <c r="P30" s="93">
        <f t="shared" si="1"/>
        <v>1</v>
      </c>
      <c r="Q30" s="93">
        <f t="shared" si="2"/>
        <v>0</v>
      </c>
      <c r="R30" s="93">
        <f t="shared" si="3"/>
        <v>0</v>
      </c>
      <c r="S30" s="93">
        <f t="shared" si="4"/>
        <v>0.84905660377358494</v>
      </c>
      <c r="T30" s="93">
        <f t="shared" si="5"/>
        <v>7.5471698113207544E-2</v>
      </c>
      <c r="U30" s="93">
        <f t="shared" si="6"/>
        <v>7.5471698113207544E-2</v>
      </c>
      <c r="V30" s="93">
        <f t="shared" si="7"/>
        <v>0.88235294117647056</v>
      </c>
      <c r="W30" s="93">
        <f t="shared" si="8"/>
        <v>2.9411764705882353E-2</v>
      </c>
      <c r="X30" s="93">
        <f t="shared" si="9"/>
        <v>8.8235294117647065E-2</v>
      </c>
    </row>
    <row r="31" spans="1:24" x14ac:dyDescent="0.2">
      <c r="A31" s="326">
        <v>53</v>
      </c>
      <c r="B31" s="93" t="s">
        <v>472</v>
      </c>
      <c r="C31" s="93">
        <v>16</v>
      </c>
      <c r="D31" s="93">
        <v>7</v>
      </c>
      <c r="E31" s="93">
        <v>8</v>
      </c>
      <c r="F31" s="93">
        <f t="shared" si="10"/>
        <v>1</v>
      </c>
      <c r="G31" s="93">
        <v>425</v>
      </c>
      <c r="H31" s="93">
        <v>317</v>
      </c>
      <c r="I31" s="93">
        <v>84</v>
      </c>
      <c r="J31" s="93">
        <f t="shared" si="11"/>
        <v>24</v>
      </c>
      <c r="K31" s="93">
        <v>299</v>
      </c>
      <c r="L31" s="93">
        <v>221</v>
      </c>
      <c r="M31" s="93">
        <v>65</v>
      </c>
      <c r="N31" s="93">
        <f t="shared" si="12"/>
        <v>13</v>
      </c>
      <c r="P31" s="93">
        <f t="shared" si="1"/>
        <v>0.4375</v>
      </c>
      <c r="Q31" s="93">
        <f t="shared" si="2"/>
        <v>0.5</v>
      </c>
      <c r="R31" s="93">
        <f t="shared" si="3"/>
        <v>6.25E-2</v>
      </c>
      <c r="S31" s="93">
        <f t="shared" si="4"/>
        <v>0.74588235294117644</v>
      </c>
      <c r="T31" s="93">
        <f t="shared" si="5"/>
        <v>0.1976470588235294</v>
      </c>
      <c r="U31" s="93">
        <f t="shared" si="6"/>
        <v>5.647058823529412E-2</v>
      </c>
      <c r="V31" s="93">
        <f t="shared" si="7"/>
        <v>0.73913043478260865</v>
      </c>
      <c r="W31" s="93">
        <f t="shared" si="8"/>
        <v>0.21739130434782608</v>
      </c>
      <c r="X31" s="93">
        <f t="shared" si="9"/>
        <v>4.3478260869565216E-2</v>
      </c>
    </row>
    <row r="32" spans="1:24" x14ac:dyDescent="0.2">
      <c r="A32" s="326">
        <v>57</v>
      </c>
      <c r="B32" s="93" t="s">
        <v>473</v>
      </c>
      <c r="C32" s="93">
        <v>19</v>
      </c>
      <c r="D32" s="93">
        <v>16</v>
      </c>
      <c r="E32" s="93">
        <v>2</v>
      </c>
      <c r="F32" s="93">
        <f t="shared" si="10"/>
        <v>1</v>
      </c>
      <c r="G32" s="93">
        <v>222</v>
      </c>
      <c r="H32" s="93">
        <v>151</v>
      </c>
      <c r="I32" s="93">
        <v>18</v>
      </c>
      <c r="J32" s="93">
        <f t="shared" si="11"/>
        <v>53</v>
      </c>
      <c r="K32" s="93">
        <v>116</v>
      </c>
      <c r="L32" s="93">
        <v>80</v>
      </c>
      <c r="M32" s="93">
        <v>22</v>
      </c>
      <c r="N32" s="93">
        <f t="shared" si="12"/>
        <v>14</v>
      </c>
      <c r="P32" s="93">
        <f t="shared" si="1"/>
        <v>0.84210526315789469</v>
      </c>
      <c r="Q32" s="93">
        <f t="shared" si="2"/>
        <v>0.10526315789473684</v>
      </c>
      <c r="R32" s="93">
        <f t="shared" si="3"/>
        <v>5.2631578947368418E-2</v>
      </c>
      <c r="S32" s="93">
        <f t="shared" si="4"/>
        <v>0.68018018018018023</v>
      </c>
      <c r="T32" s="93">
        <f t="shared" si="5"/>
        <v>8.1081081081081086E-2</v>
      </c>
      <c r="U32" s="93">
        <f t="shared" si="6"/>
        <v>0.23873873873873874</v>
      </c>
      <c r="V32" s="93">
        <f t="shared" si="7"/>
        <v>0.68965517241379315</v>
      </c>
      <c r="W32" s="93">
        <f t="shared" si="8"/>
        <v>0.18965517241379309</v>
      </c>
      <c r="X32" s="93">
        <f t="shared" si="9"/>
        <v>0.1206896551724138</v>
      </c>
    </row>
    <row r="33" spans="1:24" x14ac:dyDescent="0.2">
      <c r="A33" s="326">
        <v>59</v>
      </c>
      <c r="B33" s="93" t="s">
        <v>296</v>
      </c>
      <c r="C33" s="93">
        <v>7248</v>
      </c>
      <c r="D33" s="93">
        <v>6757</v>
      </c>
      <c r="E33" s="93">
        <v>238</v>
      </c>
      <c r="F33" s="93">
        <f>((C33-D33-E33)+10)+2</f>
        <v>265</v>
      </c>
      <c r="G33" s="93">
        <v>118237</v>
      </c>
      <c r="H33" s="93">
        <v>107418</v>
      </c>
      <c r="I33" s="93">
        <v>4936</v>
      </c>
      <c r="J33" s="93">
        <f>((G33-H33-I33)+179)+20</f>
        <v>6082</v>
      </c>
      <c r="K33" s="93">
        <v>53198</v>
      </c>
      <c r="L33" s="93">
        <v>47298</v>
      </c>
      <c r="M33" s="93">
        <v>2831</v>
      </c>
      <c r="N33" s="93">
        <f>((K33-L33-M33)+103)+32</f>
        <v>3204</v>
      </c>
      <c r="P33" s="93">
        <f t="shared" si="1"/>
        <v>0.93225717439293598</v>
      </c>
      <c r="Q33" s="93">
        <f t="shared" si="2"/>
        <v>3.283664459161148E-2</v>
      </c>
      <c r="R33" s="93">
        <f t="shared" si="3"/>
        <v>3.6561810154525386E-2</v>
      </c>
      <c r="S33" s="93">
        <f t="shared" si="4"/>
        <v>0.9084973400881281</v>
      </c>
      <c r="T33" s="93">
        <f t="shared" si="5"/>
        <v>4.1746661366577301E-2</v>
      </c>
      <c r="U33" s="93">
        <f t="shared" si="6"/>
        <v>5.1439058839449582E-2</v>
      </c>
      <c r="V33" s="93">
        <f t="shared" si="7"/>
        <v>0.8890935749464266</v>
      </c>
      <c r="W33" s="93">
        <f t="shared" si="8"/>
        <v>5.3216286326553633E-2</v>
      </c>
      <c r="X33" s="93">
        <f t="shared" si="9"/>
        <v>6.0227828113838866E-2</v>
      </c>
    </row>
    <row r="34" spans="1:24" x14ac:dyDescent="0.2">
      <c r="A34" s="326">
        <v>61</v>
      </c>
      <c r="B34" s="93" t="s">
        <v>474</v>
      </c>
      <c r="C34" s="93">
        <v>120</v>
      </c>
      <c r="D34" s="93">
        <v>109</v>
      </c>
      <c r="E34" s="93">
        <v>8</v>
      </c>
      <c r="F34" s="93">
        <f t="shared" si="10"/>
        <v>3</v>
      </c>
      <c r="G34" s="93">
        <v>2532</v>
      </c>
      <c r="H34" s="93">
        <v>2301</v>
      </c>
      <c r="I34" s="93">
        <v>110</v>
      </c>
      <c r="J34" s="93">
        <f t="shared" si="11"/>
        <v>121</v>
      </c>
      <c r="K34" s="93">
        <v>1632</v>
      </c>
      <c r="L34" s="93">
        <v>1440</v>
      </c>
      <c r="M34" s="93">
        <v>111</v>
      </c>
      <c r="N34" s="93">
        <f t="shared" si="12"/>
        <v>81</v>
      </c>
      <c r="P34" s="93">
        <f t="shared" si="1"/>
        <v>0.90833333333333333</v>
      </c>
      <c r="Q34" s="93">
        <f t="shared" si="2"/>
        <v>6.6666666666666666E-2</v>
      </c>
      <c r="R34" s="93">
        <f t="shared" si="3"/>
        <v>2.5000000000000001E-2</v>
      </c>
      <c r="S34" s="93">
        <f t="shared" si="4"/>
        <v>0.90876777251184837</v>
      </c>
      <c r="T34" s="93">
        <f t="shared" si="5"/>
        <v>4.3443917851500792E-2</v>
      </c>
      <c r="U34" s="93">
        <f t="shared" si="6"/>
        <v>4.7788309636650872E-2</v>
      </c>
      <c r="V34" s="93">
        <f t="shared" si="7"/>
        <v>0.88235294117647056</v>
      </c>
      <c r="W34" s="93">
        <f t="shared" si="8"/>
        <v>6.8014705882352935E-2</v>
      </c>
      <c r="X34" s="93">
        <f t="shared" si="9"/>
        <v>4.9632352941176468E-2</v>
      </c>
    </row>
    <row r="35" spans="1:24" x14ac:dyDescent="0.2">
      <c r="A35" s="326">
        <v>63</v>
      </c>
      <c r="B35" s="93" t="s">
        <v>475</v>
      </c>
      <c r="C35" s="93">
        <v>20</v>
      </c>
      <c r="D35" s="93">
        <v>18</v>
      </c>
      <c r="E35" s="93">
        <v>2</v>
      </c>
      <c r="F35" s="93">
        <f t="shared" si="10"/>
        <v>0</v>
      </c>
      <c r="G35" s="93">
        <v>251</v>
      </c>
      <c r="H35" s="93">
        <v>230</v>
      </c>
      <c r="I35" s="93">
        <v>17</v>
      </c>
      <c r="J35" s="93">
        <f t="shared" si="11"/>
        <v>4</v>
      </c>
      <c r="K35" s="93">
        <v>142</v>
      </c>
      <c r="L35" s="93">
        <v>136</v>
      </c>
      <c r="M35" s="93">
        <v>5</v>
      </c>
      <c r="N35" s="93">
        <f t="shared" si="12"/>
        <v>1</v>
      </c>
      <c r="P35" s="93">
        <f t="shared" si="1"/>
        <v>0.9</v>
      </c>
      <c r="Q35" s="93">
        <f t="shared" si="2"/>
        <v>0.1</v>
      </c>
      <c r="R35" s="93">
        <f t="shared" si="3"/>
        <v>0</v>
      </c>
      <c r="S35" s="93">
        <f t="shared" si="4"/>
        <v>0.91633466135458164</v>
      </c>
      <c r="T35" s="93">
        <f t="shared" si="5"/>
        <v>6.7729083665338641E-2</v>
      </c>
      <c r="U35" s="93">
        <f t="shared" si="6"/>
        <v>1.5936254980079681E-2</v>
      </c>
      <c r="V35" s="93">
        <f t="shared" si="7"/>
        <v>0.95774647887323938</v>
      </c>
      <c r="W35" s="93">
        <f t="shared" si="8"/>
        <v>3.5211267605633804E-2</v>
      </c>
      <c r="X35" s="93">
        <f t="shared" si="9"/>
        <v>7.0422535211267607E-3</v>
      </c>
    </row>
    <row r="36" spans="1:24" x14ac:dyDescent="0.2">
      <c r="A36" s="326">
        <v>65</v>
      </c>
      <c r="B36" s="93" t="s">
        <v>476</v>
      </c>
      <c r="C36" s="93">
        <v>44</v>
      </c>
      <c r="D36" s="93">
        <v>40</v>
      </c>
      <c r="E36" s="93">
        <v>2</v>
      </c>
      <c r="F36" s="93">
        <f t="shared" si="10"/>
        <v>2</v>
      </c>
      <c r="G36" s="93">
        <v>453</v>
      </c>
      <c r="H36" s="93">
        <v>414</v>
      </c>
      <c r="I36" s="93">
        <v>26</v>
      </c>
      <c r="J36" s="93">
        <f t="shared" si="11"/>
        <v>13</v>
      </c>
      <c r="K36" s="93">
        <v>296</v>
      </c>
      <c r="L36" s="93">
        <v>258</v>
      </c>
      <c r="M36" s="93">
        <v>27</v>
      </c>
      <c r="N36" s="93">
        <f t="shared" si="12"/>
        <v>11</v>
      </c>
      <c r="P36" s="93">
        <f t="shared" si="1"/>
        <v>0.90909090909090906</v>
      </c>
      <c r="Q36" s="93">
        <f t="shared" si="2"/>
        <v>4.5454545454545456E-2</v>
      </c>
      <c r="R36" s="93">
        <f t="shared" si="3"/>
        <v>4.5454545454545456E-2</v>
      </c>
      <c r="S36" s="93">
        <f t="shared" si="4"/>
        <v>0.91390728476821192</v>
      </c>
      <c r="T36" s="93">
        <f t="shared" si="5"/>
        <v>5.7395143487858721E-2</v>
      </c>
      <c r="U36" s="93">
        <f t="shared" si="6"/>
        <v>2.8697571743929361E-2</v>
      </c>
      <c r="V36" s="93">
        <f t="shared" si="7"/>
        <v>0.8716216216216216</v>
      </c>
      <c r="W36" s="93">
        <f t="shared" si="8"/>
        <v>9.1216216216216214E-2</v>
      </c>
      <c r="X36" s="93">
        <f t="shared" si="9"/>
        <v>3.7162162162162164E-2</v>
      </c>
    </row>
    <row r="37" spans="1:24" x14ac:dyDescent="0.2">
      <c r="A37" s="326">
        <v>67</v>
      </c>
      <c r="B37" s="93" t="s">
        <v>85</v>
      </c>
      <c r="C37" s="93">
        <v>55</v>
      </c>
      <c r="D37" s="93">
        <v>50</v>
      </c>
      <c r="E37" s="93">
        <v>5</v>
      </c>
      <c r="F37" s="93">
        <f t="shared" si="10"/>
        <v>0</v>
      </c>
      <c r="G37" s="93">
        <v>850</v>
      </c>
      <c r="H37" s="93">
        <v>694</v>
      </c>
      <c r="I37" s="93">
        <v>50</v>
      </c>
      <c r="J37" s="93">
        <f t="shared" si="11"/>
        <v>106</v>
      </c>
      <c r="K37" s="93">
        <v>592</v>
      </c>
      <c r="L37" s="93">
        <v>506</v>
      </c>
      <c r="M37" s="93">
        <v>21</v>
      </c>
      <c r="N37" s="93">
        <f t="shared" si="12"/>
        <v>65</v>
      </c>
      <c r="P37" s="93">
        <f t="shared" si="1"/>
        <v>0.90909090909090906</v>
      </c>
      <c r="Q37" s="93">
        <f t="shared" si="2"/>
        <v>9.0909090909090912E-2</v>
      </c>
      <c r="R37" s="93">
        <f t="shared" si="3"/>
        <v>0</v>
      </c>
      <c r="S37" s="93">
        <f t="shared" si="4"/>
        <v>0.81647058823529417</v>
      </c>
      <c r="T37" s="93">
        <f t="shared" si="5"/>
        <v>5.8823529411764705E-2</v>
      </c>
      <c r="U37" s="93">
        <f t="shared" si="6"/>
        <v>0.12470588235294118</v>
      </c>
      <c r="V37" s="93">
        <f t="shared" si="7"/>
        <v>0.85472972972972971</v>
      </c>
      <c r="W37" s="93">
        <f t="shared" si="8"/>
        <v>3.5472972972972971E-2</v>
      </c>
      <c r="X37" s="93">
        <f t="shared" si="9"/>
        <v>0.1097972972972973</v>
      </c>
    </row>
    <row r="38" spans="1:24" x14ac:dyDescent="0.2">
      <c r="A38" s="326">
        <v>69</v>
      </c>
      <c r="B38" s="93" t="s">
        <v>477</v>
      </c>
      <c r="C38" s="93">
        <v>129</v>
      </c>
      <c r="D38" s="93">
        <v>121</v>
      </c>
      <c r="E38" s="93">
        <v>3</v>
      </c>
      <c r="F38" s="93">
        <f t="shared" si="10"/>
        <v>5</v>
      </c>
      <c r="G38" s="93">
        <v>3136</v>
      </c>
      <c r="H38" s="93">
        <v>2869</v>
      </c>
      <c r="I38" s="93">
        <v>140</v>
      </c>
      <c r="J38" s="93">
        <f t="shared" si="11"/>
        <v>127</v>
      </c>
      <c r="K38" s="93">
        <v>2215</v>
      </c>
      <c r="L38" s="93">
        <v>1968</v>
      </c>
      <c r="M38" s="93">
        <v>152</v>
      </c>
      <c r="N38" s="93">
        <f t="shared" si="12"/>
        <v>95</v>
      </c>
      <c r="P38" s="93">
        <f t="shared" si="1"/>
        <v>0.93798449612403101</v>
      </c>
      <c r="Q38" s="93">
        <f t="shared" si="2"/>
        <v>2.3255813953488372E-2</v>
      </c>
      <c r="R38" s="93">
        <f t="shared" si="3"/>
        <v>3.875968992248062E-2</v>
      </c>
      <c r="S38" s="93">
        <f t="shared" si="4"/>
        <v>0.91485969387755106</v>
      </c>
      <c r="T38" s="93">
        <f t="shared" si="5"/>
        <v>4.4642857142857144E-2</v>
      </c>
      <c r="U38" s="93">
        <f t="shared" si="6"/>
        <v>4.0497448979591837E-2</v>
      </c>
      <c r="V38" s="93">
        <f t="shared" si="7"/>
        <v>0.8884875846501129</v>
      </c>
      <c r="W38" s="93">
        <f t="shared" si="8"/>
        <v>6.8623024830699778E-2</v>
      </c>
      <c r="X38" s="93">
        <f t="shared" si="9"/>
        <v>4.2889390519187359E-2</v>
      </c>
    </row>
    <row r="39" spans="1:24" x14ac:dyDescent="0.2">
      <c r="A39" s="326">
        <v>71</v>
      </c>
      <c r="B39" s="93" t="s">
        <v>478</v>
      </c>
      <c r="C39" s="93">
        <v>19</v>
      </c>
      <c r="D39" s="93">
        <v>19</v>
      </c>
      <c r="E39" s="93">
        <v>0</v>
      </c>
      <c r="F39" s="93">
        <f t="shared" si="10"/>
        <v>0</v>
      </c>
      <c r="G39" s="93">
        <v>107</v>
      </c>
      <c r="H39" s="93">
        <v>100</v>
      </c>
      <c r="I39" s="93">
        <v>2</v>
      </c>
      <c r="J39" s="93">
        <f t="shared" si="11"/>
        <v>5</v>
      </c>
      <c r="K39" s="93">
        <v>87</v>
      </c>
      <c r="L39" s="93">
        <v>83</v>
      </c>
      <c r="M39" s="93">
        <v>0</v>
      </c>
      <c r="N39" s="93">
        <f t="shared" si="12"/>
        <v>4</v>
      </c>
      <c r="P39" s="93">
        <f t="shared" si="1"/>
        <v>1</v>
      </c>
      <c r="Q39" s="93">
        <f t="shared" si="2"/>
        <v>0</v>
      </c>
      <c r="R39" s="93">
        <f t="shared" si="3"/>
        <v>0</v>
      </c>
      <c r="S39" s="93">
        <f t="shared" si="4"/>
        <v>0.93457943925233644</v>
      </c>
      <c r="T39" s="93">
        <f t="shared" si="5"/>
        <v>1.8691588785046728E-2</v>
      </c>
      <c r="U39" s="93">
        <f t="shared" si="6"/>
        <v>4.6728971962616821E-2</v>
      </c>
      <c r="V39" s="93">
        <f t="shared" si="7"/>
        <v>0.95402298850574707</v>
      </c>
      <c r="W39" s="93">
        <f t="shared" si="8"/>
        <v>0</v>
      </c>
      <c r="X39" s="93">
        <f t="shared" si="9"/>
        <v>4.5977011494252873E-2</v>
      </c>
    </row>
    <row r="40" spans="1:24" x14ac:dyDescent="0.2">
      <c r="A40" s="326">
        <v>73</v>
      </c>
      <c r="B40" s="93" t="s">
        <v>479</v>
      </c>
      <c r="C40" s="93">
        <v>55</v>
      </c>
      <c r="D40" s="93">
        <v>50</v>
      </c>
      <c r="E40" s="93">
        <v>3</v>
      </c>
      <c r="F40" s="93">
        <f t="shared" si="10"/>
        <v>2</v>
      </c>
      <c r="G40" s="93">
        <v>588</v>
      </c>
      <c r="H40" s="93">
        <v>513</v>
      </c>
      <c r="I40" s="93">
        <v>47</v>
      </c>
      <c r="J40" s="93">
        <f t="shared" si="11"/>
        <v>28</v>
      </c>
      <c r="K40" s="93">
        <v>335</v>
      </c>
      <c r="L40" s="93">
        <v>297</v>
      </c>
      <c r="M40" s="93">
        <v>26</v>
      </c>
      <c r="N40" s="93">
        <f t="shared" si="12"/>
        <v>12</v>
      </c>
      <c r="P40" s="93">
        <f t="shared" si="1"/>
        <v>0.90909090909090906</v>
      </c>
      <c r="Q40" s="93">
        <f t="shared" si="2"/>
        <v>5.4545454545454543E-2</v>
      </c>
      <c r="R40" s="93">
        <f t="shared" si="3"/>
        <v>3.6363636363636362E-2</v>
      </c>
      <c r="S40" s="93">
        <f t="shared" si="4"/>
        <v>0.87244897959183676</v>
      </c>
      <c r="T40" s="93">
        <f t="shared" si="5"/>
        <v>7.9931972789115652E-2</v>
      </c>
      <c r="U40" s="93">
        <f t="shared" si="6"/>
        <v>4.7619047619047616E-2</v>
      </c>
      <c r="V40" s="93">
        <f t="shared" si="7"/>
        <v>0.88656716417910453</v>
      </c>
      <c r="W40" s="93">
        <f t="shared" si="8"/>
        <v>7.7611940298507459E-2</v>
      </c>
      <c r="X40" s="93">
        <f t="shared" si="9"/>
        <v>3.5820895522388062E-2</v>
      </c>
    </row>
    <row r="41" spans="1:24" x14ac:dyDescent="0.2">
      <c r="A41" s="326">
        <v>75</v>
      </c>
      <c r="B41" s="93" t="s">
        <v>480</v>
      </c>
      <c r="C41" s="93">
        <v>17</v>
      </c>
      <c r="D41" s="93">
        <v>14</v>
      </c>
      <c r="E41" s="93">
        <v>3</v>
      </c>
      <c r="F41" s="93">
        <f t="shared" si="10"/>
        <v>0</v>
      </c>
      <c r="G41" s="93">
        <v>281</v>
      </c>
      <c r="H41" s="93">
        <v>251</v>
      </c>
      <c r="I41" s="93">
        <v>20</v>
      </c>
      <c r="J41" s="93">
        <f t="shared" si="11"/>
        <v>10</v>
      </c>
      <c r="K41" s="93">
        <v>160</v>
      </c>
      <c r="L41" s="93">
        <v>135</v>
      </c>
      <c r="M41" s="93">
        <v>16</v>
      </c>
      <c r="N41" s="93">
        <f t="shared" si="12"/>
        <v>9</v>
      </c>
      <c r="P41" s="93">
        <f t="shared" si="1"/>
        <v>0.82352941176470584</v>
      </c>
      <c r="Q41" s="93">
        <f t="shared" si="2"/>
        <v>0.17647058823529413</v>
      </c>
      <c r="R41" s="93">
        <f t="shared" si="3"/>
        <v>0</v>
      </c>
      <c r="S41" s="93">
        <f t="shared" si="4"/>
        <v>0.89323843416370108</v>
      </c>
      <c r="T41" s="93">
        <f t="shared" si="5"/>
        <v>7.1174377224199295E-2</v>
      </c>
      <c r="U41" s="93">
        <f t="shared" si="6"/>
        <v>3.5587188612099648E-2</v>
      </c>
      <c r="V41" s="93">
        <f t="shared" si="7"/>
        <v>0.84375</v>
      </c>
      <c r="W41" s="93">
        <f t="shared" si="8"/>
        <v>0.1</v>
      </c>
      <c r="X41" s="93">
        <f t="shared" si="9"/>
        <v>5.6250000000000001E-2</v>
      </c>
    </row>
    <row r="42" spans="1:24" x14ac:dyDescent="0.2">
      <c r="A42" s="326">
        <v>77</v>
      </c>
      <c r="B42" s="93" t="s">
        <v>481</v>
      </c>
      <c r="C42" s="93">
        <v>10</v>
      </c>
      <c r="D42" s="93">
        <v>9</v>
      </c>
      <c r="E42" s="93">
        <v>1</v>
      </c>
      <c r="F42" s="93">
        <f t="shared" si="10"/>
        <v>0</v>
      </c>
      <c r="G42" s="93">
        <v>252</v>
      </c>
      <c r="H42" s="93">
        <v>236</v>
      </c>
      <c r="I42" s="93">
        <v>6</v>
      </c>
      <c r="J42" s="93">
        <f t="shared" si="11"/>
        <v>10</v>
      </c>
      <c r="K42" s="93">
        <v>162</v>
      </c>
      <c r="L42" s="93">
        <v>155</v>
      </c>
      <c r="M42" s="93">
        <v>6</v>
      </c>
      <c r="N42" s="93">
        <f t="shared" si="12"/>
        <v>1</v>
      </c>
      <c r="P42" s="93">
        <f t="shared" si="1"/>
        <v>0.9</v>
      </c>
      <c r="Q42" s="93">
        <f t="shared" si="2"/>
        <v>0.1</v>
      </c>
      <c r="R42" s="93">
        <f t="shared" si="3"/>
        <v>0</v>
      </c>
      <c r="S42" s="93">
        <f t="shared" si="4"/>
        <v>0.93650793650793651</v>
      </c>
      <c r="T42" s="93">
        <f t="shared" si="5"/>
        <v>2.3809523809523808E-2</v>
      </c>
      <c r="U42" s="93">
        <f t="shared" si="6"/>
        <v>3.968253968253968E-2</v>
      </c>
      <c r="V42" s="93">
        <f t="shared" si="7"/>
        <v>0.95679012345679015</v>
      </c>
      <c r="W42" s="93">
        <f t="shared" si="8"/>
        <v>3.7037037037037035E-2</v>
      </c>
      <c r="X42" s="93">
        <f t="shared" si="9"/>
        <v>6.1728395061728392E-3</v>
      </c>
    </row>
    <row r="43" spans="1:24" x14ac:dyDescent="0.2">
      <c r="A43" s="326">
        <v>79</v>
      </c>
      <c r="B43" s="93" t="s">
        <v>482</v>
      </c>
      <c r="C43" s="93">
        <v>21</v>
      </c>
      <c r="D43" s="93">
        <v>21</v>
      </c>
      <c r="E43" s="93">
        <v>0</v>
      </c>
      <c r="F43" s="93">
        <f t="shared" si="10"/>
        <v>0</v>
      </c>
      <c r="G43" s="93">
        <v>482</v>
      </c>
      <c r="H43" s="93">
        <v>443</v>
      </c>
      <c r="I43" s="93">
        <v>14</v>
      </c>
      <c r="J43" s="93">
        <f t="shared" si="11"/>
        <v>25</v>
      </c>
      <c r="K43" s="93">
        <v>344</v>
      </c>
      <c r="L43" s="93">
        <v>307</v>
      </c>
      <c r="M43" s="93">
        <v>22</v>
      </c>
      <c r="N43" s="93">
        <f t="shared" si="12"/>
        <v>15</v>
      </c>
      <c r="P43" s="93">
        <f t="shared" si="1"/>
        <v>1</v>
      </c>
      <c r="Q43" s="93">
        <f t="shared" si="2"/>
        <v>0</v>
      </c>
      <c r="R43" s="93">
        <f t="shared" si="3"/>
        <v>0</v>
      </c>
      <c r="S43" s="93">
        <f t="shared" si="4"/>
        <v>0.91908713692946054</v>
      </c>
      <c r="T43" s="93">
        <f t="shared" si="5"/>
        <v>2.9045643153526972E-2</v>
      </c>
      <c r="U43" s="93">
        <f t="shared" si="6"/>
        <v>5.1867219917012451E-2</v>
      </c>
      <c r="V43" s="93">
        <f t="shared" si="7"/>
        <v>0.89244186046511631</v>
      </c>
      <c r="W43" s="93">
        <f t="shared" si="8"/>
        <v>6.3953488372093026E-2</v>
      </c>
      <c r="X43" s="93">
        <f t="shared" si="9"/>
        <v>4.3604651162790699E-2</v>
      </c>
    </row>
    <row r="44" spans="1:24" x14ac:dyDescent="0.2">
      <c r="A44" s="326">
        <v>81</v>
      </c>
      <c r="B44" s="93" t="s">
        <v>693</v>
      </c>
      <c r="C44" s="93">
        <v>12</v>
      </c>
      <c r="D44" s="93">
        <v>6</v>
      </c>
      <c r="E44" s="93">
        <v>5</v>
      </c>
      <c r="F44" s="93">
        <f>(C44-D44-E44)+1</f>
        <v>2</v>
      </c>
      <c r="G44" s="93">
        <v>328</v>
      </c>
      <c r="H44" s="93">
        <v>250</v>
      </c>
      <c r="I44" s="93">
        <v>64</v>
      </c>
      <c r="J44" s="93">
        <f>(G44-H44-I44)+12</f>
        <v>26</v>
      </c>
      <c r="K44" s="93">
        <v>143</v>
      </c>
      <c r="L44" s="93">
        <v>94</v>
      </c>
      <c r="M44" s="93">
        <v>44</v>
      </c>
      <c r="N44" s="93">
        <f>(K44-L44-M44)+4</f>
        <v>9</v>
      </c>
      <c r="P44" s="93">
        <f t="shared" si="1"/>
        <v>0.5</v>
      </c>
      <c r="Q44" s="93">
        <f t="shared" si="2"/>
        <v>0.41666666666666669</v>
      </c>
      <c r="R44" s="93">
        <f t="shared" si="3"/>
        <v>0.16666666666666666</v>
      </c>
      <c r="S44" s="93">
        <f t="shared" si="4"/>
        <v>0.76219512195121952</v>
      </c>
      <c r="T44" s="93">
        <f t="shared" si="5"/>
        <v>0.1951219512195122</v>
      </c>
      <c r="U44" s="93">
        <f t="shared" si="6"/>
        <v>7.926829268292683E-2</v>
      </c>
      <c r="V44" s="93">
        <f t="shared" si="7"/>
        <v>0.65734265734265729</v>
      </c>
      <c r="W44" s="93">
        <f t="shared" si="8"/>
        <v>0.30769230769230771</v>
      </c>
      <c r="X44" s="93">
        <f t="shared" si="9"/>
        <v>6.2937062937062943E-2</v>
      </c>
    </row>
    <row r="45" spans="1:24" x14ac:dyDescent="0.2">
      <c r="A45" s="326">
        <v>83</v>
      </c>
      <c r="B45" s="93" t="s">
        <v>790</v>
      </c>
      <c r="C45" s="93">
        <v>41</v>
      </c>
      <c r="D45" s="93">
        <v>32</v>
      </c>
      <c r="E45" s="93">
        <v>9</v>
      </c>
      <c r="F45" s="93">
        <f t="shared" si="10"/>
        <v>0</v>
      </c>
      <c r="G45" s="93">
        <v>344</v>
      </c>
      <c r="H45" s="93">
        <v>260</v>
      </c>
      <c r="I45" s="93">
        <v>68</v>
      </c>
      <c r="J45" s="93">
        <f t="shared" si="11"/>
        <v>16</v>
      </c>
      <c r="K45" s="93">
        <v>235</v>
      </c>
      <c r="L45" s="93">
        <v>181</v>
      </c>
      <c r="M45" s="93">
        <v>48</v>
      </c>
      <c r="N45" s="93">
        <f t="shared" si="12"/>
        <v>6</v>
      </c>
      <c r="P45" s="93">
        <f t="shared" si="1"/>
        <v>0.78048780487804881</v>
      </c>
      <c r="Q45" s="93">
        <f t="shared" si="2"/>
        <v>0.21951219512195122</v>
      </c>
      <c r="R45" s="93">
        <f t="shared" si="3"/>
        <v>0</v>
      </c>
      <c r="S45" s="93">
        <f t="shared" si="4"/>
        <v>0.7558139534883721</v>
      </c>
      <c r="T45" s="93">
        <f t="shared" si="5"/>
        <v>0.19767441860465115</v>
      </c>
      <c r="U45" s="93">
        <f t="shared" si="6"/>
        <v>4.6511627906976744E-2</v>
      </c>
      <c r="V45" s="93">
        <f t="shared" si="7"/>
        <v>0.77021276595744681</v>
      </c>
      <c r="W45" s="93">
        <f t="shared" si="8"/>
        <v>0.20425531914893616</v>
      </c>
      <c r="X45" s="93">
        <f t="shared" si="9"/>
        <v>2.553191489361702E-2</v>
      </c>
    </row>
    <row r="46" spans="1:24" x14ac:dyDescent="0.2">
      <c r="A46" s="326">
        <v>85</v>
      </c>
      <c r="B46" s="93" t="s">
        <v>483</v>
      </c>
      <c r="C46" s="93">
        <v>92</v>
      </c>
      <c r="D46" s="93">
        <v>84</v>
      </c>
      <c r="E46" s="93">
        <v>6</v>
      </c>
      <c r="F46" s="93">
        <f t="shared" si="10"/>
        <v>2</v>
      </c>
      <c r="G46" s="93">
        <v>1392</v>
      </c>
      <c r="H46" s="93">
        <v>1198</v>
      </c>
      <c r="I46" s="93">
        <v>103</v>
      </c>
      <c r="J46" s="93">
        <f t="shared" si="11"/>
        <v>91</v>
      </c>
      <c r="K46" s="93">
        <v>821</v>
      </c>
      <c r="L46" s="93">
        <v>695</v>
      </c>
      <c r="M46" s="93">
        <v>69</v>
      </c>
      <c r="N46" s="93">
        <f t="shared" si="12"/>
        <v>57</v>
      </c>
      <c r="P46" s="93">
        <f t="shared" si="1"/>
        <v>0.91304347826086951</v>
      </c>
      <c r="Q46" s="93">
        <f t="shared" si="2"/>
        <v>6.5217391304347824E-2</v>
      </c>
      <c r="R46" s="93">
        <f t="shared" si="3"/>
        <v>2.1739130434782608E-2</v>
      </c>
      <c r="S46" s="93">
        <f t="shared" si="4"/>
        <v>0.86063218390804597</v>
      </c>
      <c r="T46" s="93">
        <f t="shared" si="5"/>
        <v>7.3994252873563218E-2</v>
      </c>
      <c r="U46" s="93">
        <f t="shared" si="6"/>
        <v>6.5373563218390801E-2</v>
      </c>
      <c r="V46" s="93">
        <f t="shared" si="7"/>
        <v>0.84652862362971981</v>
      </c>
      <c r="W46" s="93">
        <f t="shared" si="8"/>
        <v>8.4043848964677217E-2</v>
      </c>
      <c r="X46" s="93">
        <f t="shared" si="9"/>
        <v>6.9427527405602929E-2</v>
      </c>
    </row>
    <row r="47" spans="1:24" x14ac:dyDescent="0.2">
      <c r="A47" s="326">
        <v>87</v>
      </c>
      <c r="B47" s="93" t="s">
        <v>484</v>
      </c>
      <c r="C47" s="93">
        <v>547</v>
      </c>
      <c r="D47" s="93">
        <v>462</v>
      </c>
      <c r="E47" s="93">
        <v>68</v>
      </c>
      <c r="F47" s="93">
        <f t="shared" si="10"/>
        <v>17</v>
      </c>
      <c r="G47" s="93">
        <v>9871</v>
      </c>
      <c r="H47" s="93">
        <v>8145</v>
      </c>
      <c r="I47" s="93">
        <v>1289</v>
      </c>
      <c r="J47" s="93">
        <f t="shared" si="11"/>
        <v>437</v>
      </c>
      <c r="K47" s="93">
        <v>5298</v>
      </c>
      <c r="L47" s="93">
        <v>4149</v>
      </c>
      <c r="M47" s="93">
        <v>905</v>
      </c>
      <c r="N47" s="93">
        <f t="shared" si="12"/>
        <v>244</v>
      </c>
      <c r="P47" s="93">
        <f t="shared" si="1"/>
        <v>0.84460694698354666</v>
      </c>
      <c r="Q47" s="93">
        <f t="shared" si="2"/>
        <v>0.12431444241316271</v>
      </c>
      <c r="R47" s="93">
        <f t="shared" si="3"/>
        <v>3.1078610603290677E-2</v>
      </c>
      <c r="S47" s="93">
        <f t="shared" si="4"/>
        <v>0.82514436227332588</v>
      </c>
      <c r="T47" s="93">
        <f t="shared" si="5"/>
        <v>0.13058454057339683</v>
      </c>
      <c r="U47" s="93">
        <f t="shared" si="6"/>
        <v>4.4271097153277275E-2</v>
      </c>
      <c r="V47" s="93">
        <f t="shared" si="7"/>
        <v>0.78312570781426949</v>
      </c>
      <c r="W47" s="93">
        <f t="shared" si="8"/>
        <v>0.17081917704794261</v>
      </c>
      <c r="X47" s="93">
        <f t="shared" si="9"/>
        <v>4.6055115137787844E-2</v>
      </c>
    </row>
    <row r="48" spans="1:24" x14ac:dyDescent="0.2">
      <c r="A48" s="326">
        <v>89</v>
      </c>
      <c r="B48" s="93" t="s">
        <v>791</v>
      </c>
      <c r="C48" s="93">
        <v>48</v>
      </c>
      <c r="D48" s="93">
        <v>38</v>
      </c>
      <c r="E48" s="93">
        <v>4</v>
      </c>
      <c r="F48" s="93">
        <f t="shared" si="10"/>
        <v>6</v>
      </c>
      <c r="G48" s="93">
        <v>1511</v>
      </c>
      <c r="H48" s="93">
        <v>1324</v>
      </c>
      <c r="I48" s="93">
        <v>116</v>
      </c>
      <c r="J48" s="93">
        <f t="shared" si="11"/>
        <v>71</v>
      </c>
      <c r="K48" s="93">
        <v>1126</v>
      </c>
      <c r="L48" s="93">
        <v>996</v>
      </c>
      <c r="M48" s="93">
        <v>88</v>
      </c>
      <c r="N48" s="93">
        <f t="shared" si="12"/>
        <v>42</v>
      </c>
      <c r="P48" s="93">
        <f t="shared" si="1"/>
        <v>0.79166666666666663</v>
      </c>
      <c r="Q48" s="93">
        <f t="shared" si="2"/>
        <v>8.3333333333333329E-2</v>
      </c>
      <c r="R48" s="93">
        <f t="shared" si="3"/>
        <v>0.125</v>
      </c>
      <c r="S48" s="93">
        <f t="shared" si="4"/>
        <v>0.87624090006618138</v>
      </c>
      <c r="T48" s="93">
        <f t="shared" si="5"/>
        <v>7.6770350761085376E-2</v>
      </c>
      <c r="U48" s="93">
        <f t="shared" si="6"/>
        <v>4.6988749172733289E-2</v>
      </c>
      <c r="V48" s="93">
        <f t="shared" si="7"/>
        <v>0.88454706927175841</v>
      </c>
      <c r="W48" s="93">
        <f t="shared" si="8"/>
        <v>7.8152753108348141E-2</v>
      </c>
      <c r="X48" s="93">
        <f t="shared" si="9"/>
        <v>3.7300177619893425E-2</v>
      </c>
    </row>
    <row r="49" spans="1:24" x14ac:dyDescent="0.2">
      <c r="A49" s="326">
        <v>91</v>
      </c>
      <c r="B49" s="93" t="s">
        <v>485</v>
      </c>
      <c r="C49" s="93">
        <v>4</v>
      </c>
      <c r="D49" s="93">
        <v>3</v>
      </c>
      <c r="E49" s="93">
        <v>0</v>
      </c>
      <c r="F49" s="93">
        <f t="shared" si="10"/>
        <v>1</v>
      </c>
      <c r="G49" s="93">
        <v>12</v>
      </c>
      <c r="H49" s="93">
        <v>12</v>
      </c>
      <c r="I49" s="93">
        <v>0</v>
      </c>
      <c r="J49" s="93">
        <f t="shared" si="11"/>
        <v>0</v>
      </c>
      <c r="K49" s="93">
        <v>5</v>
      </c>
      <c r="L49" s="93">
        <v>4</v>
      </c>
      <c r="M49" s="93">
        <v>1</v>
      </c>
      <c r="N49" s="93">
        <f t="shared" si="12"/>
        <v>0</v>
      </c>
      <c r="P49" s="93">
        <f t="shared" si="1"/>
        <v>0.75</v>
      </c>
      <c r="Q49" s="93">
        <f t="shared" si="2"/>
        <v>0</v>
      </c>
      <c r="R49" s="93">
        <f t="shared" si="3"/>
        <v>0.25</v>
      </c>
      <c r="S49" s="93">
        <f t="shared" si="4"/>
        <v>1</v>
      </c>
      <c r="T49" s="93">
        <f t="shared" si="5"/>
        <v>0</v>
      </c>
      <c r="U49" s="93">
        <f t="shared" si="6"/>
        <v>0</v>
      </c>
      <c r="V49" s="93">
        <f t="shared" si="7"/>
        <v>0.8</v>
      </c>
      <c r="W49" s="93">
        <f t="shared" si="8"/>
        <v>0.2</v>
      </c>
      <c r="X49" s="93">
        <f t="shared" si="9"/>
        <v>0</v>
      </c>
    </row>
    <row r="50" spans="1:24" x14ac:dyDescent="0.2">
      <c r="A50" s="326">
        <v>93</v>
      </c>
      <c r="B50" s="93" t="s">
        <v>486</v>
      </c>
      <c r="C50" s="93">
        <v>33</v>
      </c>
      <c r="D50" s="93">
        <v>26</v>
      </c>
      <c r="E50" s="93">
        <v>6</v>
      </c>
      <c r="F50" s="93">
        <f t="shared" si="10"/>
        <v>1</v>
      </c>
      <c r="G50" s="93">
        <v>396</v>
      </c>
      <c r="H50" s="93">
        <v>317</v>
      </c>
      <c r="I50" s="93">
        <v>45</v>
      </c>
      <c r="J50" s="93">
        <f t="shared" si="11"/>
        <v>34</v>
      </c>
      <c r="K50" s="93">
        <v>293</v>
      </c>
      <c r="L50" s="93">
        <v>226</v>
      </c>
      <c r="M50" s="93">
        <v>51</v>
      </c>
      <c r="N50" s="93">
        <f t="shared" si="12"/>
        <v>16</v>
      </c>
      <c r="P50" s="93">
        <f t="shared" si="1"/>
        <v>0.78787878787878785</v>
      </c>
      <c r="Q50" s="93">
        <f t="shared" si="2"/>
        <v>0.18181818181818182</v>
      </c>
      <c r="R50" s="93">
        <f t="shared" si="3"/>
        <v>3.0303030303030304E-2</v>
      </c>
      <c r="S50" s="93">
        <f t="shared" si="4"/>
        <v>0.8005050505050505</v>
      </c>
      <c r="T50" s="93">
        <f t="shared" si="5"/>
        <v>0.11363636363636363</v>
      </c>
      <c r="U50" s="93">
        <f t="shared" si="6"/>
        <v>8.5858585858585856E-2</v>
      </c>
      <c r="V50" s="93">
        <f t="shared" si="7"/>
        <v>0.77133105802047786</v>
      </c>
      <c r="W50" s="93">
        <f t="shared" si="8"/>
        <v>0.17406143344709898</v>
      </c>
      <c r="X50" s="93">
        <f t="shared" si="9"/>
        <v>5.4607508532423209E-2</v>
      </c>
    </row>
    <row r="51" spans="1:24" x14ac:dyDescent="0.2">
      <c r="A51" s="326">
        <v>95</v>
      </c>
      <c r="B51" s="93" t="s">
        <v>285</v>
      </c>
      <c r="C51" s="93">
        <v>159</v>
      </c>
      <c r="D51" s="93">
        <v>143</v>
      </c>
      <c r="E51" s="93">
        <v>13</v>
      </c>
      <c r="F51" s="93">
        <f t="shared" si="10"/>
        <v>3</v>
      </c>
      <c r="G51" s="93">
        <v>1980</v>
      </c>
      <c r="H51" s="93">
        <v>1747</v>
      </c>
      <c r="I51" s="93">
        <v>167</v>
      </c>
      <c r="J51" s="93">
        <f t="shared" si="11"/>
        <v>66</v>
      </c>
      <c r="K51" s="93">
        <v>1122</v>
      </c>
      <c r="L51" s="93">
        <v>978</v>
      </c>
      <c r="M51" s="93">
        <v>103</v>
      </c>
      <c r="N51" s="93">
        <f t="shared" si="12"/>
        <v>41</v>
      </c>
      <c r="P51" s="93">
        <f t="shared" si="1"/>
        <v>0.89937106918238996</v>
      </c>
      <c r="Q51" s="93">
        <f t="shared" si="2"/>
        <v>8.1761006289308172E-2</v>
      </c>
      <c r="R51" s="93">
        <f t="shared" si="3"/>
        <v>1.8867924528301886E-2</v>
      </c>
      <c r="S51" s="93">
        <f t="shared" si="4"/>
        <v>0.88232323232323229</v>
      </c>
      <c r="T51" s="93">
        <f t="shared" si="5"/>
        <v>8.4343434343434345E-2</v>
      </c>
      <c r="U51" s="93">
        <f t="shared" si="6"/>
        <v>3.3333333333333333E-2</v>
      </c>
      <c r="V51" s="93">
        <f t="shared" si="7"/>
        <v>0.87165775401069523</v>
      </c>
      <c r="W51" s="93">
        <f t="shared" si="8"/>
        <v>9.1800356506238856E-2</v>
      </c>
      <c r="X51" s="93">
        <f t="shared" si="9"/>
        <v>3.6541889483065956E-2</v>
      </c>
    </row>
    <row r="52" spans="1:24" x14ac:dyDescent="0.2">
      <c r="A52" s="326">
        <v>97</v>
      </c>
      <c r="B52" s="93" t="s">
        <v>487</v>
      </c>
      <c r="C52" s="93">
        <v>3</v>
      </c>
      <c r="D52" s="93">
        <v>3</v>
      </c>
      <c r="E52" s="93">
        <v>0</v>
      </c>
      <c r="F52" s="93">
        <f t="shared" si="10"/>
        <v>0</v>
      </c>
      <c r="G52" s="93">
        <v>121</v>
      </c>
      <c r="H52" s="93">
        <v>107</v>
      </c>
      <c r="I52" s="93">
        <v>8</v>
      </c>
      <c r="J52" s="93">
        <f t="shared" si="11"/>
        <v>6</v>
      </c>
      <c r="K52" s="93">
        <v>78</v>
      </c>
      <c r="L52" s="93">
        <v>63</v>
      </c>
      <c r="M52" s="93">
        <v>8</v>
      </c>
      <c r="N52" s="93">
        <f t="shared" si="12"/>
        <v>7</v>
      </c>
      <c r="P52" s="93">
        <f t="shared" si="1"/>
        <v>1</v>
      </c>
      <c r="Q52" s="93">
        <f t="shared" si="2"/>
        <v>0</v>
      </c>
      <c r="R52" s="93">
        <f t="shared" si="3"/>
        <v>0</v>
      </c>
      <c r="S52" s="93">
        <f t="shared" si="4"/>
        <v>0.88429752066115708</v>
      </c>
      <c r="T52" s="93">
        <f t="shared" si="5"/>
        <v>6.6115702479338845E-2</v>
      </c>
      <c r="U52" s="93">
        <f t="shared" si="6"/>
        <v>4.9586776859504134E-2</v>
      </c>
      <c r="V52" s="93">
        <f t="shared" si="7"/>
        <v>0.80769230769230771</v>
      </c>
      <c r="W52" s="93">
        <f t="shared" si="8"/>
        <v>0.10256410256410256</v>
      </c>
      <c r="X52" s="93">
        <f t="shared" si="9"/>
        <v>8.9743589743589744E-2</v>
      </c>
    </row>
    <row r="53" spans="1:24" x14ac:dyDescent="0.2">
      <c r="A53" s="326">
        <v>99</v>
      </c>
      <c r="B53" s="93" t="s">
        <v>488</v>
      </c>
      <c r="C53" s="93">
        <v>25</v>
      </c>
      <c r="D53" s="93">
        <v>22</v>
      </c>
      <c r="E53" s="93">
        <v>3</v>
      </c>
      <c r="F53" s="93">
        <f t="shared" si="10"/>
        <v>0</v>
      </c>
      <c r="G53" s="93">
        <v>530</v>
      </c>
      <c r="H53" s="93">
        <v>450</v>
      </c>
      <c r="I53" s="93">
        <v>40</v>
      </c>
      <c r="J53" s="93">
        <f t="shared" si="11"/>
        <v>40</v>
      </c>
      <c r="K53" s="93">
        <v>308</v>
      </c>
      <c r="L53" s="93">
        <v>255</v>
      </c>
      <c r="M53" s="93">
        <v>40</v>
      </c>
      <c r="N53" s="93">
        <f t="shared" si="12"/>
        <v>13</v>
      </c>
      <c r="P53" s="93">
        <f t="shared" si="1"/>
        <v>0.88</v>
      </c>
      <c r="Q53" s="93">
        <f t="shared" si="2"/>
        <v>0.12</v>
      </c>
      <c r="R53" s="93">
        <f t="shared" si="3"/>
        <v>0</v>
      </c>
      <c r="S53" s="93">
        <f t="shared" si="4"/>
        <v>0.84905660377358494</v>
      </c>
      <c r="T53" s="93">
        <f t="shared" si="5"/>
        <v>7.5471698113207544E-2</v>
      </c>
      <c r="U53" s="93">
        <f t="shared" si="6"/>
        <v>7.5471698113207544E-2</v>
      </c>
      <c r="V53" s="93">
        <f t="shared" si="7"/>
        <v>0.82792207792207795</v>
      </c>
      <c r="W53" s="93">
        <f t="shared" si="8"/>
        <v>0.12987012987012986</v>
      </c>
      <c r="X53" s="93">
        <f t="shared" si="9"/>
        <v>4.2207792207792208E-2</v>
      </c>
    </row>
    <row r="54" spans="1:24" x14ac:dyDescent="0.2">
      <c r="A54" s="326">
        <v>101</v>
      </c>
      <c r="B54" s="93" t="s">
        <v>489</v>
      </c>
      <c r="C54" s="93">
        <v>12</v>
      </c>
      <c r="D54" s="93">
        <v>10</v>
      </c>
      <c r="E54" s="93">
        <v>0</v>
      </c>
      <c r="F54" s="93">
        <f t="shared" si="10"/>
        <v>2</v>
      </c>
      <c r="G54" s="93">
        <v>204</v>
      </c>
      <c r="H54" s="93">
        <v>162</v>
      </c>
      <c r="I54" s="93">
        <v>27</v>
      </c>
      <c r="J54" s="93">
        <f t="shared" si="11"/>
        <v>15</v>
      </c>
      <c r="K54" s="93">
        <v>140</v>
      </c>
      <c r="L54" s="93">
        <v>122</v>
      </c>
      <c r="M54" s="93">
        <v>13</v>
      </c>
      <c r="N54" s="93">
        <f t="shared" si="12"/>
        <v>5</v>
      </c>
      <c r="P54" s="93">
        <f t="shared" si="1"/>
        <v>0.83333333333333337</v>
      </c>
      <c r="Q54" s="93">
        <f t="shared" si="2"/>
        <v>0</v>
      </c>
      <c r="R54" s="93">
        <f t="shared" si="3"/>
        <v>0.16666666666666666</v>
      </c>
      <c r="S54" s="93">
        <f t="shared" si="4"/>
        <v>0.79411764705882348</v>
      </c>
      <c r="T54" s="93">
        <f t="shared" si="5"/>
        <v>0.13235294117647059</v>
      </c>
      <c r="U54" s="93">
        <f t="shared" si="6"/>
        <v>7.3529411764705885E-2</v>
      </c>
      <c r="V54" s="93">
        <f t="shared" si="7"/>
        <v>0.87142857142857144</v>
      </c>
      <c r="W54" s="93">
        <f t="shared" si="8"/>
        <v>9.285714285714286E-2</v>
      </c>
      <c r="X54" s="93">
        <f t="shared" si="9"/>
        <v>3.5714285714285712E-2</v>
      </c>
    </row>
    <row r="55" spans="1:24" x14ac:dyDescent="0.2">
      <c r="A55" s="326">
        <v>103</v>
      </c>
      <c r="B55" s="93" t="s">
        <v>490</v>
      </c>
      <c r="C55" s="93">
        <v>22</v>
      </c>
      <c r="D55" s="93">
        <v>15</v>
      </c>
      <c r="E55" s="93">
        <v>7</v>
      </c>
      <c r="F55" s="93">
        <f t="shared" si="10"/>
        <v>0</v>
      </c>
      <c r="G55" s="93">
        <v>70</v>
      </c>
      <c r="H55" s="93">
        <v>54</v>
      </c>
      <c r="I55" s="93">
        <v>7</v>
      </c>
      <c r="J55" s="93">
        <f t="shared" si="11"/>
        <v>9</v>
      </c>
      <c r="K55" s="93">
        <v>49</v>
      </c>
      <c r="L55" s="93">
        <v>34</v>
      </c>
      <c r="M55" s="93">
        <v>13</v>
      </c>
      <c r="N55" s="93">
        <f t="shared" si="12"/>
        <v>2</v>
      </c>
      <c r="P55" s="93">
        <f t="shared" si="1"/>
        <v>0.68181818181818177</v>
      </c>
      <c r="Q55" s="93">
        <f t="shared" si="2"/>
        <v>0.31818181818181818</v>
      </c>
      <c r="R55" s="93">
        <f t="shared" si="3"/>
        <v>0</v>
      </c>
      <c r="S55" s="93">
        <f t="shared" si="4"/>
        <v>0.77142857142857146</v>
      </c>
      <c r="T55" s="93">
        <f t="shared" si="5"/>
        <v>0.1</v>
      </c>
      <c r="U55" s="93">
        <f t="shared" si="6"/>
        <v>0.12857142857142856</v>
      </c>
      <c r="V55" s="93">
        <f t="shared" si="7"/>
        <v>0.69387755102040816</v>
      </c>
      <c r="W55" s="93">
        <f t="shared" si="8"/>
        <v>0.26530612244897961</v>
      </c>
      <c r="X55" s="93">
        <f t="shared" si="9"/>
        <v>4.0816326530612242E-2</v>
      </c>
    </row>
    <row r="56" spans="1:24" x14ac:dyDescent="0.2">
      <c r="A56" s="326">
        <v>105</v>
      </c>
      <c r="B56" s="93" t="s">
        <v>491</v>
      </c>
      <c r="C56" s="93">
        <v>11</v>
      </c>
      <c r="D56" s="93">
        <v>9</v>
      </c>
      <c r="E56" s="93">
        <v>1</v>
      </c>
      <c r="F56" s="93">
        <f t="shared" si="10"/>
        <v>1</v>
      </c>
      <c r="G56" s="93">
        <v>345</v>
      </c>
      <c r="H56" s="93">
        <v>277</v>
      </c>
      <c r="I56" s="93">
        <v>55</v>
      </c>
      <c r="J56" s="93">
        <f t="shared" si="11"/>
        <v>13</v>
      </c>
      <c r="K56" s="93">
        <v>70</v>
      </c>
      <c r="L56" s="93">
        <v>67</v>
      </c>
      <c r="M56" s="93">
        <v>0</v>
      </c>
      <c r="N56" s="93">
        <f t="shared" si="12"/>
        <v>3</v>
      </c>
      <c r="P56" s="93">
        <f t="shared" si="1"/>
        <v>0.81818181818181823</v>
      </c>
      <c r="Q56" s="93">
        <f t="shared" si="2"/>
        <v>9.0909090909090912E-2</v>
      </c>
      <c r="R56" s="93">
        <f t="shared" si="3"/>
        <v>9.0909090909090912E-2</v>
      </c>
      <c r="S56" s="93">
        <f t="shared" si="4"/>
        <v>0.80289855072463767</v>
      </c>
      <c r="T56" s="93">
        <f t="shared" si="5"/>
        <v>0.15942028985507245</v>
      </c>
      <c r="U56" s="93">
        <f t="shared" si="6"/>
        <v>3.7681159420289857E-2</v>
      </c>
      <c r="V56" s="93">
        <f t="shared" si="7"/>
        <v>0.95714285714285718</v>
      </c>
      <c r="W56" s="93">
        <f t="shared" si="8"/>
        <v>0</v>
      </c>
      <c r="X56" s="93">
        <f t="shared" si="9"/>
        <v>4.2857142857142858E-2</v>
      </c>
    </row>
    <row r="57" spans="1:24" x14ac:dyDescent="0.2">
      <c r="A57" s="326">
        <v>107</v>
      </c>
      <c r="B57" s="93" t="s">
        <v>492</v>
      </c>
      <c r="C57" s="93">
        <v>1182</v>
      </c>
      <c r="D57" s="93">
        <v>1094</v>
      </c>
      <c r="E57" s="93">
        <v>42</v>
      </c>
      <c r="F57" s="93">
        <f t="shared" si="10"/>
        <v>46</v>
      </c>
      <c r="G57" s="93">
        <v>25826</v>
      </c>
      <c r="H57" s="93">
        <v>23649</v>
      </c>
      <c r="I57" s="93">
        <v>1045</v>
      </c>
      <c r="J57" s="93">
        <f t="shared" si="11"/>
        <v>1132</v>
      </c>
      <c r="K57" s="93">
        <v>13833</v>
      </c>
      <c r="L57" s="93">
        <v>12233</v>
      </c>
      <c r="M57" s="93">
        <v>812</v>
      </c>
      <c r="N57" s="93">
        <f t="shared" si="12"/>
        <v>788</v>
      </c>
      <c r="P57" s="93">
        <f t="shared" si="1"/>
        <v>0.9255499153976311</v>
      </c>
      <c r="Q57" s="93">
        <f t="shared" si="2"/>
        <v>3.553299492385787E-2</v>
      </c>
      <c r="R57" s="93">
        <f t="shared" si="3"/>
        <v>3.8917089678510999E-2</v>
      </c>
      <c r="S57" s="93">
        <f t="shared" si="4"/>
        <v>0.91570510338418643</v>
      </c>
      <c r="T57" s="93">
        <f t="shared" si="5"/>
        <v>4.0463099202354219E-2</v>
      </c>
      <c r="U57" s="93">
        <f t="shared" si="6"/>
        <v>4.3831797413459307E-2</v>
      </c>
      <c r="V57" s="93">
        <f t="shared" si="7"/>
        <v>0.88433456227860907</v>
      </c>
      <c r="W57" s="93">
        <f t="shared" si="8"/>
        <v>5.8700209643605873E-2</v>
      </c>
      <c r="X57" s="93">
        <f t="shared" si="9"/>
        <v>5.6965228077785007E-2</v>
      </c>
    </row>
    <row r="58" spans="1:24" x14ac:dyDescent="0.2">
      <c r="A58" s="326">
        <v>109</v>
      </c>
      <c r="B58" s="93" t="s">
        <v>493</v>
      </c>
      <c r="C58" s="93">
        <v>39</v>
      </c>
      <c r="D58" s="93">
        <v>33</v>
      </c>
      <c r="E58" s="93">
        <v>6</v>
      </c>
      <c r="F58" s="93">
        <f t="shared" si="10"/>
        <v>0</v>
      </c>
      <c r="G58" s="93">
        <v>465</v>
      </c>
      <c r="H58" s="93">
        <v>392</v>
      </c>
      <c r="I58" s="93">
        <v>48</v>
      </c>
      <c r="J58" s="93">
        <f t="shared" si="11"/>
        <v>25</v>
      </c>
      <c r="K58" s="93">
        <v>283</v>
      </c>
      <c r="L58" s="93">
        <v>251</v>
      </c>
      <c r="M58" s="93">
        <v>26</v>
      </c>
      <c r="N58" s="93">
        <f t="shared" si="12"/>
        <v>6</v>
      </c>
      <c r="P58" s="93">
        <f t="shared" si="1"/>
        <v>0.84615384615384615</v>
      </c>
      <c r="Q58" s="93">
        <f t="shared" si="2"/>
        <v>0.15384615384615385</v>
      </c>
      <c r="R58" s="93">
        <f t="shared" si="3"/>
        <v>0</v>
      </c>
      <c r="S58" s="93">
        <f t="shared" si="4"/>
        <v>0.84301075268817205</v>
      </c>
      <c r="T58" s="93">
        <f t="shared" si="5"/>
        <v>0.1032258064516129</v>
      </c>
      <c r="U58" s="93">
        <f t="shared" si="6"/>
        <v>5.3763440860215055E-2</v>
      </c>
      <c r="V58" s="93">
        <f t="shared" si="7"/>
        <v>0.88692579505300351</v>
      </c>
      <c r="W58" s="93">
        <f t="shared" si="8"/>
        <v>9.187279151943463E-2</v>
      </c>
      <c r="X58" s="93">
        <f t="shared" si="9"/>
        <v>2.1201413427561839E-2</v>
      </c>
    </row>
    <row r="59" spans="1:24" x14ac:dyDescent="0.2">
      <c r="A59" s="326">
        <v>111</v>
      </c>
      <c r="B59" s="93" t="s">
        <v>494</v>
      </c>
      <c r="C59" s="93">
        <v>15</v>
      </c>
      <c r="D59" s="93">
        <v>10</v>
      </c>
      <c r="E59" s="93">
        <v>4</v>
      </c>
      <c r="F59" s="93">
        <f t="shared" si="10"/>
        <v>1</v>
      </c>
      <c r="G59" s="93">
        <v>316</v>
      </c>
      <c r="H59" s="93">
        <v>252</v>
      </c>
      <c r="I59" s="93">
        <v>47</v>
      </c>
      <c r="J59" s="93">
        <f t="shared" si="11"/>
        <v>17</v>
      </c>
      <c r="K59" s="93">
        <v>173</v>
      </c>
      <c r="L59" s="93">
        <v>135</v>
      </c>
      <c r="M59" s="93">
        <v>31</v>
      </c>
      <c r="N59" s="93">
        <f t="shared" si="12"/>
        <v>7</v>
      </c>
      <c r="P59" s="93">
        <f t="shared" si="1"/>
        <v>0.66666666666666663</v>
      </c>
      <c r="Q59" s="93">
        <f t="shared" si="2"/>
        <v>0.26666666666666666</v>
      </c>
      <c r="R59" s="93">
        <f t="shared" si="3"/>
        <v>6.6666666666666666E-2</v>
      </c>
      <c r="S59" s="93">
        <f t="shared" si="4"/>
        <v>0.79746835443037978</v>
      </c>
      <c r="T59" s="93">
        <f t="shared" si="5"/>
        <v>0.14873417721518986</v>
      </c>
      <c r="U59" s="93">
        <f t="shared" si="6"/>
        <v>5.3797468354430382E-2</v>
      </c>
      <c r="V59" s="93">
        <f t="shared" si="7"/>
        <v>0.78034682080924855</v>
      </c>
      <c r="W59" s="93">
        <f t="shared" si="8"/>
        <v>0.1791907514450867</v>
      </c>
      <c r="X59" s="93">
        <f t="shared" si="9"/>
        <v>4.046242774566474E-2</v>
      </c>
    </row>
    <row r="60" spans="1:24" x14ac:dyDescent="0.2">
      <c r="A60" s="326">
        <v>113</v>
      </c>
      <c r="B60" s="93" t="s">
        <v>495</v>
      </c>
      <c r="C60" s="93">
        <v>12</v>
      </c>
      <c r="D60" s="93">
        <v>12</v>
      </c>
      <c r="E60" s="93">
        <v>0</v>
      </c>
      <c r="F60" s="93">
        <f t="shared" si="10"/>
        <v>0</v>
      </c>
      <c r="G60" s="93">
        <v>133</v>
      </c>
      <c r="H60" s="93">
        <v>122</v>
      </c>
      <c r="I60" s="93">
        <v>3</v>
      </c>
      <c r="J60" s="93">
        <f t="shared" si="11"/>
        <v>8</v>
      </c>
      <c r="K60" s="93">
        <v>97</v>
      </c>
      <c r="L60" s="93">
        <v>87</v>
      </c>
      <c r="M60" s="93">
        <v>10</v>
      </c>
      <c r="N60" s="93">
        <f t="shared" si="12"/>
        <v>0</v>
      </c>
      <c r="P60" s="93">
        <f t="shared" si="1"/>
        <v>1</v>
      </c>
      <c r="Q60" s="93">
        <f t="shared" si="2"/>
        <v>0</v>
      </c>
      <c r="R60" s="93">
        <f t="shared" si="3"/>
        <v>0</v>
      </c>
      <c r="S60" s="93">
        <f t="shared" si="4"/>
        <v>0.91729323308270672</v>
      </c>
      <c r="T60" s="93">
        <f t="shared" si="5"/>
        <v>2.2556390977443608E-2</v>
      </c>
      <c r="U60" s="93">
        <f t="shared" si="6"/>
        <v>6.0150375939849621E-2</v>
      </c>
      <c r="V60" s="93">
        <f t="shared" si="7"/>
        <v>0.89690721649484539</v>
      </c>
      <c r="W60" s="93">
        <f t="shared" si="8"/>
        <v>0.10309278350515463</v>
      </c>
      <c r="X60" s="93">
        <f t="shared" si="9"/>
        <v>0</v>
      </c>
    </row>
    <row r="61" spans="1:24" x14ac:dyDescent="0.2">
      <c r="A61" s="326">
        <v>115</v>
      </c>
      <c r="B61" s="93" t="s">
        <v>496</v>
      </c>
      <c r="C61" s="93">
        <v>8</v>
      </c>
      <c r="D61" s="93">
        <v>8</v>
      </c>
      <c r="E61" s="93">
        <v>0</v>
      </c>
      <c r="F61" s="93">
        <f t="shared" si="10"/>
        <v>0</v>
      </c>
      <c r="G61" s="93">
        <v>84</v>
      </c>
      <c r="H61" s="93">
        <v>77</v>
      </c>
      <c r="I61" s="93">
        <v>2</v>
      </c>
      <c r="J61" s="93">
        <f t="shared" si="11"/>
        <v>5</v>
      </c>
      <c r="K61" s="93">
        <v>46</v>
      </c>
      <c r="L61" s="93">
        <v>46</v>
      </c>
      <c r="M61" s="93">
        <v>0</v>
      </c>
      <c r="N61" s="93">
        <f t="shared" si="12"/>
        <v>0</v>
      </c>
      <c r="P61" s="93">
        <f t="shared" si="1"/>
        <v>1</v>
      </c>
      <c r="Q61" s="93">
        <f t="shared" si="2"/>
        <v>0</v>
      </c>
      <c r="R61" s="93">
        <f t="shared" si="3"/>
        <v>0</v>
      </c>
      <c r="S61" s="93">
        <f t="shared" si="4"/>
        <v>0.91666666666666663</v>
      </c>
      <c r="T61" s="93">
        <f t="shared" si="5"/>
        <v>2.3809523809523808E-2</v>
      </c>
      <c r="U61" s="93">
        <f t="shared" si="6"/>
        <v>5.9523809523809521E-2</v>
      </c>
      <c r="V61" s="93">
        <f t="shared" si="7"/>
        <v>1</v>
      </c>
      <c r="W61" s="93">
        <f t="shared" si="8"/>
        <v>0</v>
      </c>
      <c r="X61" s="93">
        <f t="shared" si="9"/>
        <v>0</v>
      </c>
    </row>
    <row r="62" spans="1:24" x14ac:dyDescent="0.2">
      <c r="A62" s="326">
        <v>117</v>
      </c>
      <c r="B62" s="93" t="s">
        <v>497</v>
      </c>
      <c r="C62" s="93">
        <v>65</v>
      </c>
      <c r="D62" s="93">
        <v>42</v>
      </c>
      <c r="E62" s="93">
        <v>16</v>
      </c>
      <c r="F62" s="93">
        <f t="shared" si="10"/>
        <v>7</v>
      </c>
      <c r="G62" s="93">
        <v>550</v>
      </c>
      <c r="H62" s="93">
        <v>453</v>
      </c>
      <c r="I62" s="93">
        <v>88</v>
      </c>
      <c r="J62" s="93">
        <f t="shared" si="11"/>
        <v>9</v>
      </c>
      <c r="K62" s="93">
        <v>256</v>
      </c>
      <c r="L62" s="93">
        <v>195</v>
      </c>
      <c r="M62" s="93">
        <v>59</v>
      </c>
      <c r="N62" s="93">
        <f t="shared" si="12"/>
        <v>2</v>
      </c>
      <c r="P62" s="93">
        <f t="shared" si="1"/>
        <v>0.64615384615384619</v>
      </c>
      <c r="Q62" s="93">
        <f t="shared" si="2"/>
        <v>0.24615384615384617</v>
      </c>
      <c r="R62" s="93">
        <f t="shared" si="3"/>
        <v>0.1076923076923077</v>
      </c>
      <c r="S62" s="93">
        <f t="shared" si="4"/>
        <v>0.82363636363636361</v>
      </c>
      <c r="T62" s="93">
        <f t="shared" si="5"/>
        <v>0.16</v>
      </c>
      <c r="U62" s="93">
        <f t="shared" si="6"/>
        <v>1.6363636363636365E-2</v>
      </c>
      <c r="V62" s="93">
        <f t="shared" si="7"/>
        <v>0.76171875</v>
      </c>
      <c r="W62" s="93">
        <f t="shared" si="8"/>
        <v>0.23046875</v>
      </c>
      <c r="X62" s="93">
        <f t="shared" si="9"/>
        <v>7.8125E-3</v>
      </c>
    </row>
    <row r="63" spans="1:24" x14ac:dyDescent="0.2">
      <c r="A63" s="326">
        <v>119</v>
      </c>
      <c r="B63" s="93" t="s">
        <v>498</v>
      </c>
      <c r="C63" s="93">
        <v>8</v>
      </c>
      <c r="D63" s="93">
        <v>4</v>
      </c>
      <c r="E63" s="93">
        <v>2</v>
      </c>
      <c r="F63" s="93">
        <f t="shared" si="10"/>
        <v>2</v>
      </c>
      <c r="G63" s="93">
        <v>113</v>
      </c>
      <c r="H63" s="93">
        <v>94</v>
      </c>
      <c r="I63" s="93">
        <v>17</v>
      </c>
      <c r="J63" s="93">
        <f t="shared" si="11"/>
        <v>2</v>
      </c>
      <c r="K63" s="93">
        <v>49</v>
      </c>
      <c r="L63" s="93">
        <v>43</v>
      </c>
      <c r="M63" s="93">
        <v>5</v>
      </c>
      <c r="N63" s="93">
        <f t="shared" si="12"/>
        <v>1</v>
      </c>
      <c r="P63" s="93">
        <f t="shared" si="1"/>
        <v>0.5</v>
      </c>
      <c r="Q63" s="93">
        <f t="shared" si="2"/>
        <v>0.25</v>
      </c>
      <c r="R63" s="93">
        <f t="shared" si="3"/>
        <v>0.25</v>
      </c>
      <c r="S63" s="93">
        <f t="shared" si="4"/>
        <v>0.83185840707964598</v>
      </c>
      <c r="T63" s="93">
        <f t="shared" si="5"/>
        <v>0.15044247787610621</v>
      </c>
      <c r="U63" s="93">
        <f t="shared" si="6"/>
        <v>1.7699115044247787E-2</v>
      </c>
      <c r="V63" s="93">
        <f t="shared" si="7"/>
        <v>0.87755102040816324</v>
      </c>
      <c r="W63" s="93">
        <f t="shared" si="8"/>
        <v>0.10204081632653061</v>
      </c>
      <c r="X63" s="93">
        <f t="shared" si="9"/>
        <v>2.0408163265306121E-2</v>
      </c>
    </row>
    <row r="64" spans="1:24" x14ac:dyDescent="0.2">
      <c r="A64" s="326">
        <v>121</v>
      </c>
      <c r="B64" s="93" t="s">
        <v>499</v>
      </c>
      <c r="C64" s="93">
        <v>74</v>
      </c>
      <c r="D64" s="93">
        <v>69</v>
      </c>
      <c r="E64" s="93">
        <v>4</v>
      </c>
      <c r="F64" s="93">
        <f t="shared" si="10"/>
        <v>1</v>
      </c>
      <c r="G64" s="93">
        <v>2075</v>
      </c>
      <c r="H64" s="93">
        <v>1799</v>
      </c>
      <c r="I64" s="93">
        <v>116</v>
      </c>
      <c r="J64" s="93">
        <f t="shared" si="11"/>
        <v>160</v>
      </c>
      <c r="K64" s="93">
        <v>540</v>
      </c>
      <c r="L64" s="93">
        <v>472</v>
      </c>
      <c r="M64" s="93">
        <v>31</v>
      </c>
      <c r="N64" s="93">
        <f t="shared" si="12"/>
        <v>37</v>
      </c>
      <c r="P64" s="93">
        <f t="shared" si="1"/>
        <v>0.93243243243243246</v>
      </c>
      <c r="Q64" s="93">
        <f t="shared" si="2"/>
        <v>5.4054054054054057E-2</v>
      </c>
      <c r="R64" s="93">
        <f t="shared" si="3"/>
        <v>1.3513513513513514E-2</v>
      </c>
      <c r="S64" s="93">
        <f t="shared" si="4"/>
        <v>0.86698795180722887</v>
      </c>
      <c r="T64" s="93">
        <f t="shared" si="5"/>
        <v>5.5903614457831326E-2</v>
      </c>
      <c r="U64" s="93">
        <f t="shared" si="6"/>
        <v>7.7108433734939766E-2</v>
      </c>
      <c r="V64" s="93">
        <f t="shared" si="7"/>
        <v>0.87407407407407411</v>
      </c>
      <c r="W64" s="93">
        <f t="shared" si="8"/>
        <v>5.7407407407407407E-2</v>
      </c>
      <c r="X64" s="93">
        <f t="shared" si="9"/>
        <v>6.851851851851852E-2</v>
      </c>
    </row>
    <row r="65" spans="1:24" x14ac:dyDescent="0.2">
      <c r="A65" s="326">
        <v>125</v>
      </c>
      <c r="B65" s="93" t="s">
        <v>500</v>
      </c>
      <c r="C65" s="93">
        <v>23</v>
      </c>
      <c r="D65" s="93">
        <v>19</v>
      </c>
      <c r="E65" s="93">
        <v>2</v>
      </c>
      <c r="F65" s="93">
        <f t="shared" si="10"/>
        <v>2</v>
      </c>
      <c r="G65" s="93">
        <v>297</v>
      </c>
      <c r="H65" s="93">
        <v>254</v>
      </c>
      <c r="I65" s="93">
        <v>26</v>
      </c>
      <c r="J65" s="93">
        <f t="shared" si="11"/>
        <v>17</v>
      </c>
      <c r="K65" s="93">
        <v>187</v>
      </c>
      <c r="L65" s="93">
        <v>149</v>
      </c>
      <c r="M65" s="93">
        <v>32</v>
      </c>
      <c r="N65" s="93">
        <f t="shared" si="12"/>
        <v>6</v>
      </c>
      <c r="P65" s="93">
        <f t="shared" si="1"/>
        <v>0.82608695652173914</v>
      </c>
      <c r="Q65" s="93">
        <f t="shared" si="2"/>
        <v>8.6956521739130432E-2</v>
      </c>
      <c r="R65" s="93">
        <f t="shared" si="3"/>
        <v>8.6956521739130432E-2</v>
      </c>
      <c r="S65" s="93">
        <f t="shared" si="4"/>
        <v>0.85521885521885521</v>
      </c>
      <c r="T65" s="93">
        <f t="shared" si="5"/>
        <v>8.7542087542087546E-2</v>
      </c>
      <c r="U65" s="93">
        <f t="shared" si="6"/>
        <v>5.7239057239057242E-2</v>
      </c>
      <c r="V65" s="93">
        <f t="shared" si="7"/>
        <v>0.79679144385026734</v>
      </c>
      <c r="W65" s="93">
        <f t="shared" si="8"/>
        <v>0.17112299465240641</v>
      </c>
      <c r="X65" s="93">
        <f t="shared" si="9"/>
        <v>3.2085561497326207E-2</v>
      </c>
    </row>
    <row r="66" spans="1:24" x14ac:dyDescent="0.2">
      <c r="A66" s="326">
        <v>127</v>
      </c>
      <c r="B66" s="93" t="s">
        <v>501</v>
      </c>
      <c r="C66" s="93">
        <v>15</v>
      </c>
      <c r="D66" s="93">
        <v>14</v>
      </c>
      <c r="E66" s="93">
        <v>0</v>
      </c>
      <c r="F66" s="93">
        <f t="shared" si="10"/>
        <v>1</v>
      </c>
      <c r="G66" s="93">
        <v>230</v>
      </c>
      <c r="H66" s="93">
        <v>202</v>
      </c>
      <c r="I66" s="93">
        <v>16</v>
      </c>
      <c r="J66" s="93">
        <f t="shared" si="11"/>
        <v>12</v>
      </c>
      <c r="K66" s="93">
        <v>165</v>
      </c>
      <c r="L66" s="93">
        <v>142</v>
      </c>
      <c r="M66" s="93">
        <v>9</v>
      </c>
      <c r="N66" s="93">
        <f t="shared" si="12"/>
        <v>14</v>
      </c>
      <c r="P66" s="93">
        <f t="shared" si="1"/>
        <v>0.93333333333333335</v>
      </c>
      <c r="Q66" s="93">
        <f t="shared" si="2"/>
        <v>0</v>
      </c>
      <c r="R66" s="93">
        <f t="shared" si="3"/>
        <v>6.6666666666666666E-2</v>
      </c>
      <c r="S66" s="93">
        <f t="shared" si="4"/>
        <v>0.87826086956521743</v>
      </c>
      <c r="T66" s="93">
        <f t="shared" si="5"/>
        <v>6.9565217391304349E-2</v>
      </c>
      <c r="U66" s="93">
        <f t="shared" si="6"/>
        <v>5.2173913043478258E-2</v>
      </c>
      <c r="V66" s="93">
        <f t="shared" si="7"/>
        <v>0.8606060606060606</v>
      </c>
      <c r="W66" s="93">
        <f t="shared" si="8"/>
        <v>5.4545454545454543E-2</v>
      </c>
      <c r="X66" s="93">
        <f t="shared" si="9"/>
        <v>8.4848484848484854E-2</v>
      </c>
    </row>
    <row r="67" spans="1:24" x14ac:dyDescent="0.2">
      <c r="A67" s="326">
        <v>131</v>
      </c>
      <c r="B67" s="93" t="s">
        <v>502</v>
      </c>
      <c r="C67" s="93">
        <v>32</v>
      </c>
      <c r="D67" s="93">
        <v>28</v>
      </c>
      <c r="E67" s="93">
        <v>3</v>
      </c>
      <c r="F67" s="93">
        <f t="shared" si="10"/>
        <v>1</v>
      </c>
      <c r="G67" s="93">
        <v>545</v>
      </c>
      <c r="H67" s="93">
        <v>495</v>
      </c>
      <c r="I67" s="93">
        <v>30</v>
      </c>
      <c r="J67" s="93">
        <f t="shared" si="11"/>
        <v>20</v>
      </c>
      <c r="K67" s="93">
        <v>336</v>
      </c>
      <c r="L67" s="93">
        <v>304</v>
      </c>
      <c r="M67" s="93">
        <v>25</v>
      </c>
      <c r="N67" s="93">
        <f t="shared" si="12"/>
        <v>7</v>
      </c>
      <c r="P67" s="93">
        <f t="shared" si="1"/>
        <v>0.875</v>
      </c>
      <c r="Q67" s="93">
        <f t="shared" si="2"/>
        <v>9.375E-2</v>
      </c>
      <c r="R67" s="93">
        <f t="shared" si="3"/>
        <v>3.125E-2</v>
      </c>
      <c r="S67" s="93">
        <f t="shared" si="4"/>
        <v>0.90825688073394495</v>
      </c>
      <c r="T67" s="93">
        <f t="shared" si="5"/>
        <v>5.5045871559633031E-2</v>
      </c>
      <c r="U67" s="93">
        <f t="shared" si="6"/>
        <v>3.669724770642202E-2</v>
      </c>
      <c r="V67" s="93">
        <f t="shared" si="7"/>
        <v>0.90476190476190477</v>
      </c>
      <c r="W67" s="93">
        <f t="shared" si="8"/>
        <v>7.4404761904761904E-2</v>
      </c>
      <c r="X67" s="93">
        <f t="shared" si="9"/>
        <v>2.0833333333333332E-2</v>
      </c>
    </row>
    <row r="68" spans="1:24" x14ac:dyDescent="0.2">
      <c r="A68" s="326">
        <v>133</v>
      </c>
      <c r="B68" s="93" t="s">
        <v>503</v>
      </c>
      <c r="C68" s="93">
        <v>20</v>
      </c>
      <c r="D68" s="93">
        <v>16</v>
      </c>
      <c r="E68" s="93">
        <v>4</v>
      </c>
      <c r="F68" s="93">
        <f t="shared" si="10"/>
        <v>0</v>
      </c>
      <c r="G68" s="93">
        <v>250</v>
      </c>
      <c r="H68" s="93">
        <v>221</v>
      </c>
      <c r="I68" s="93">
        <v>18</v>
      </c>
      <c r="J68" s="93">
        <f t="shared" si="11"/>
        <v>11</v>
      </c>
      <c r="K68" s="93">
        <v>130</v>
      </c>
      <c r="L68" s="93">
        <v>109</v>
      </c>
      <c r="M68" s="93">
        <v>10</v>
      </c>
      <c r="N68" s="93">
        <f t="shared" si="12"/>
        <v>11</v>
      </c>
      <c r="P68" s="93">
        <f t="shared" si="1"/>
        <v>0.8</v>
      </c>
      <c r="Q68" s="93">
        <f t="shared" si="2"/>
        <v>0.2</v>
      </c>
      <c r="R68" s="93">
        <f t="shared" si="3"/>
        <v>0</v>
      </c>
      <c r="S68" s="93">
        <f t="shared" si="4"/>
        <v>0.88400000000000001</v>
      </c>
      <c r="T68" s="93">
        <f t="shared" si="5"/>
        <v>7.1999999999999995E-2</v>
      </c>
      <c r="U68" s="93">
        <f t="shared" si="6"/>
        <v>4.3999999999999997E-2</v>
      </c>
      <c r="V68" s="93">
        <f t="shared" si="7"/>
        <v>0.83846153846153848</v>
      </c>
      <c r="W68" s="93">
        <f t="shared" si="8"/>
        <v>7.6923076923076927E-2</v>
      </c>
      <c r="X68" s="93">
        <f t="shared" si="9"/>
        <v>8.461538461538462E-2</v>
      </c>
    </row>
    <row r="69" spans="1:24" x14ac:dyDescent="0.2">
      <c r="A69" s="326">
        <v>135</v>
      </c>
      <c r="B69" s="93" t="s">
        <v>504</v>
      </c>
      <c r="C69" s="93">
        <v>25</v>
      </c>
      <c r="D69" s="93">
        <v>11</v>
      </c>
      <c r="E69" s="93">
        <v>14</v>
      </c>
      <c r="F69" s="93">
        <f t="shared" si="10"/>
        <v>0</v>
      </c>
      <c r="G69" s="93">
        <v>415</v>
      </c>
      <c r="H69" s="93">
        <v>304</v>
      </c>
      <c r="I69" s="93">
        <v>66</v>
      </c>
      <c r="J69" s="93">
        <f t="shared" si="11"/>
        <v>45</v>
      </c>
      <c r="K69" s="93">
        <v>215</v>
      </c>
      <c r="L69" s="93">
        <v>145</v>
      </c>
      <c r="M69" s="93">
        <v>46</v>
      </c>
      <c r="N69" s="93">
        <f t="shared" si="12"/>
        <v>24</v>
      </c>
      <c r="P69" s="93">
        <f t="shared" ref="P69:P121" si="13">D69/C69</f>
        <v>0.44</v>
      </c>
      <c r="Q69" s="93">
        <f t="shared" ref="Q69:Q121" si="14">E69/C69</f>
        <v>0.56000000000000005</v>
      </c>
      <c r="R69" s="93">
        <f t="shared" ref="R69:R121" si="15">F69/C69</f>
        <v>0</v>
      </c>
      <c r="S69" s="93">
        <f t="shared" ref="S69:S121" si="16">H69/G69</f>
        <v>0.73253012048192767</v>
      </c>
      <c r="T69" s="93">
        <f t="shared" ref="T69:T121" si="17">I69/G69</f>
        <v>0.15903614457831325</v>
      </c>
      <c r="U69" s="93">
        <f t="shared" ref="U69:U121" si="18">J69/G69</f>
        <v>0.10843373493975904</v>
      </c>
      <c r="V69" s="93">
        <f t="shared" ref="V69:V121" si="19">L69/K69</f>
        <v>0.67441860465116277</v>
      </c>
      <c r="W69" s="93">
        <f t="shared" ref="W69:W121" si="20">M69/K69</f>
        <v>0.21395348837209302</v>
      </c>
      <c r="X69" s="93">
        <f t="shared" ref="X69:X121" si="21">N69/K69</f>
        <v>0.11162790697674418</v>
      </c>
    </row>
    <row r="70" spans="1:24" x14ac:dyDescent="0.2">
      <c r="A70" s="326">
        <v>137</v>
      </c>
      <c r="B70" s="93" t="s">
        <v>505</v>
      </c>
      <c r="C70" s="93">
        <v>74</v>
      </c>
      <c r="D70" s="93">
        <v>68</v>
      </c>
      <c r="E70" s="93">
        <v>3</v>
      </c>
      <c r="F70" s="93">
        <f t="shared" ref="F70:F121" si="22">C70-D70-E70</f>
        <v>3</v>
      </c>
      <c r="G70" s="93">
        <v>690</v>
      </c>
      <c r="H70" s="93">
        <v>596</v>
      </c>
      <c r="I70" s="93">
        <v>59</v>
      </c>
      <c r="J70" s="93">
        <f t="shared" ref="J70:J121" si="23">G70-H70-I70</f>
        <v>35</v>
      </c>
      <c r="K70" s="93">
        <v>432</v>
      </c>
      <c r="L70" s="93">
        <v>368</v>
      </c>
      <c r="M70" s="93">
        <v>49</v>
      </c>
      <c r="N70" s="93">
        <f t="shared" ref="N70:N121" si="24">K70-L70-M70</f>
        <v>15</v>
      </c>
      <c r="P70" s="93">
        <f t="shared" si="13"/>
        <v>0.91891891891891897</v>
      </c>
      <c r="Q70" s="93">
        <f t="shared" si="14"/>
        <v>4.0540540540540543E-2</v>
      </c>
      <c r="R70" s="93">
        <f t="shared" si="15"/>
        <v>4.0540540540540543E-2</v>
      </c>
      <c r="S70" s="93">
        <f t="shared" si="16"/>
        <v>0.86376811594202896</v>
      </c>
      <c r="T70" s="93">
        <f t="shared" si="17"/>
        <v>8.5507246376811591E-2</v>
      </c>
      <c r="U70" s="93">
        <f t="shared" si="18"/>
        <v>5.0724637681159424E-2</v>
      </c>
      <c r="V70" s="93">
        <f t="shared" si="19"/>
        <v>0.85185185185185186</v>
      </c>
      <c r="W70" s="93">
        <f t="shared" si="20"/>
        <v>0.11342592592592593</v>
      </c>
      <c r="X70" s="93">
        <f t="shared" si="21"/>
        <v>3.4722222222222224E-2</v>
      </c>
    </row>
    <row r="71" spans="1:24" x14ac:dyDescent="0.2">
      <c r="A71" s="326">
        <v>139</v>
      </c>
      <c r="B71" s="93" t="s">
        <v>506</v>
      </c>
      <c r="C71" s="93">
        <v>27</v>
      </c>
      <c r="D71" s="93">
        <v>25</v>
      </c>
      <c r="E71" s="93">
        <v>2</v>
      </c>
      <c r="F71" s="93">
        <f t="shared" si="22"/>
        <v>0</v>
      </c>
      <c r="G71" s="93">
        <v>217</v>
      </c>
      <c r="H71" s="93">
        <v>195</v>
      </c>
      <c r="I71" s="93">
        <v>15</v>
      </c>
      <c r="J71" s="93">
        <f t="shared" si="23"/>
        <v>7</v>
      </c>
      <c r="K71" s="93">
        <v>144</v>
      </c>
      <c r="L71" s="93">
        <v>132</v>
      </c>
      <c r="M71" s="93">
        <v>10</v>
      </c>
      <c r="N71" s="93">
        <f t="shared" si="24"/>
        <v>2</v>
      </c>
      <c r="P71" s="93">
        <f t="shared" si="13"/>
        <v>0.92592592592592593</v>
      </c>
      <c r="Q71" s="93">
        <f t="shared" si="14"/>
        <v>7.407407407407407E-2</v>
      </c>
      <c r="R71" s="93">
        <f t="shared" si="15"/>
        <v>0</v>
      </c>
      <c r="S71" s="93">
        <f t="shared" si="16"/>
        <v>0.89861751152073732</v>
      </c>
      <c r="T71" s="93">
        <f t="shared" si="17"/>
        <v>6.9124423963133647E-2</v>
      </c>
      <c r="U71" s="93">
        <f t="shared" si="18"/>
        <v>3.2258064516129031E-2</v>
      </c>
      <c r="V71" s="93">
        <f t="shared" si="19"/>
        <v>0.91666666666666663</v>
      </c>
      <c r="W71" s="93">
        <f t="shared" si="20"/>
        <v>6.9444444444444448E-2</v>
      </c>
      <c r="X71" s="93">
        <f t="shared" si="21"/>
        <v>1.3888888888888888E-2</v>
      </c>
    </row>
    <row r="72" spans="1:24" x14ac:dyDescent="0.2">
      <c r="A72" s="326">
        <v>141</v>
      </c>
      <c r="B72" s="93" t="s">
        <v>507</v>
      </c>
      <c r="C72" s="93">
        <v>28</v>
      </c>
      <c r="D72" s="93">
        <v>26</v>
      </c>
      <c r="E72" s="93">
        <v>2</v>
      </c>
      <c r="F72" s="93">
        <f t="shared" si="22"/>
        <v>0</v>
      </c>
      <c r="G72" s="93">
        <v>270</v>
      </c>
      <c r="H72" s="93">
        <v>246</v>
      </c>
      <c r="I72" s="93">
        <v>7</v>
      </c>
      <c r="J72" s="93">
        <f t="shared" si="23"/>
        <v>17</v>
      </c>
      <c r="K72" s="93">
        <v>170</v>
      </c>
      <c r="L72" s="93">
        <v>155</v>
      </c>
      <c r="M72" s="93">
        <v>3</v>
      </c>
      <c r="N72" s="93">
        <f t="shared" si="24"/>
        <v>12</v>
      </c>
      <c r="P72" s="93">
        <f t="shared" si="13"/>
        <v>0.9285714285714286</v>
      </c>
      <c r="Q72" s="93">
        <f t="shared" si="14"/>
        <v>7.1428571428571425E-2</v>
      </c>
      <c r="R72" s="93">
        <f t="shared" si="15"/>
        <v>0</v>
      </c>
      <c r="S72" s="93">
        <f t="shared" si="16"/>
        <v>0.91111111111111109</v>
      </c>
      <c r="T72" s="93">
        <f t="shared" si="17"/>
        <v>2.5925925925925925E-2</v>
      </c>
      <c r="U72" s="93">
        <f t="shared" si="18"/>
        <v>6.2962962962962957E-2</v>
      </c>
      <c r="V72" s="93">
        <f t="shared" si="19"/>
        <v>0.91176470588235292</v>
      </c>
      <c r="W72" s="93">
        <f t="shared" si="20"/>
        <v>1.7647058823529412E-2</v>
      </c>
      <c r="X72" s="93">
        <f t="shared" si="21"/>
        <v>7.0588235294117646E-2</v>
      </c>
    </row>
    <row r="73" spans="1:24" x14ac:dyDescent="0.2">
      <c r="A73" s="326">
        <v>143</v>
      </c>
      <c r="B73" s="93" t="s">
        <v>508</v>
      </c>
      <c r="C73" s="93">
        <v>65</v>
      </c>
      <c r="D73" s="93">
        <v>54</v>
      </c>
      <c r="E73" s="93">
        <v>9</v>
      </c>
      <c r="F73" s="93">
        <f t="shared" si="22"/>
        <v>2</v>
      </c>
      <c r="G73" s="93">
        <v>807</v>
      </c>
      <c r="H73" s="93">
        <v>722</v>
      </c>
      <c r="I73" s="93">
        <v>60</v>
      </c>
      <c r="J73" s="93">
        <f t="shared" si="23"/>
        <v>25</v>
      </c>
      <c r="K73" s="93">
        <v>541</v>
      </c>
      <c r="L73" s="93">
        <v>481</v>
      </c>
      <c r="M73" s="93">
        <v>40</v>
      </c>
      <c r="N73" s="93">
        <f t="shared" si="24"/>
        <v>20</v>
      </c>
      <c r="P73" s="93">
        <f t="shared" si="13"/>
        <v>0.83076923076923082</v>
      </c>
      <c r="Q73" s="93">
        <f t="shared" si="14"/>
        <v>0.13846153846153847</v>
      </c>
      <c r="R73" s="93">
        <f t="shared" si="15"/>
        <v>3.0769230769230771E-2</v>
      </c>
      <c r="S73" s="93">
        <f t="shared" si="16"/>
        <v>0.89467162329615857</v>
      </c>
      <c r="T73" s="93">
        <f t="shared" si="17"/>
        <v>7.434944237918216E-2</v>
      </c>
      <c r="U73" s="93">
        <f t="shared" si="18"/>
        <v>3.0978934324659233E-2</v>
      </c>
      <c r="V73" s="93">
        <f t="shared" si="19"/>
        <v>0.88909426987061002</v>
      </c>
      <c r="W73" s="93">
        <f t="shared" si="20"/>
        <v>7.3937153419593352E-2</v>
      </c>
      <c r="X73" s="93">
        <f t="shared" si="21"/>
        <v>3.6968576709796676E-2</v>
      </c>
    </row>
    <row r="74" spans="1:24" x14ac:dyDescent="0.2">
      <c r="A74" s="326">
        <v>145</v>
      </c>
      <c r="B74" s="93" t="s">
        <v>509</v>
      </c>
      <c r="C74" s="93">
        <v>25</v>
      </c>
      <c r="D74" s="93">
        <v>23</v>
      </c>
      <c r="E74" s="93">
        <v>2</v>
      </c>
      <c r="F74" s="93">
        <f t="shared" si="22"/>
        <v>0</v>
      </c>
      <c r="G74" s="93">
        <v>340</v>
      </c>
      <c r="H74" s="93">
        <v>306</v>
      </c>
      <c r="I74" s="93">
        <v>28</v>
      </c>
      <c r="J74" s="93">
        <f t="shared" si="23"/>
        <v>6</v>
      </c>
      <c r="K74" s="93">
        <v>159</v>
      </c>
      <c r="L74" s="93">
        <v>145</v>
      </c>
      <c r="M74" s="93">
        <v>14</v>
      </c>
      <c r="N74" s="93">
        <f t="shared" si="24"/>
        <v>0</v>
      </c>
      <c r="P74" s="93">
        <f t="shared" si="13"/>
        <v>0.92</v>
      </c>
      <c r="Q74" s="93">
        <f t="shared" si="14"/>
        <v>0.08</v>
      </c>
      <c r="R74" s="93">
        <f t="shared" si="15"/>
        <v>0</v>
      </c>
      <c r="S74" s="93">
        <f t="shared" si="16"/>
        <v>0.9</v>
      </c>
      <c r="T74" s="93">
        <f t="shared" si="17"/>
        <v>8.2352941176470587E-2</v>
      </c>
      <c r="U74" s="93">
        <f t="shared" si="18"/>
        <v>1.7647058823529412E-2</v>
      </c>
      <c r="V74" s="93">
        <f t="shared" si="19"/>
        <v>0.91194968553459121</v>
      </c>
      <c r="W74" s="93">
        <f t="shared" si="20"/>
        <v>8.8050314465408799E-2</v>
      </c>
      <c r="X74" s="93">
        <f t="shared" si="21"/>
        <v>0</v>
      </c>
    </row>
    <row r="75" spans="1:24" x14ac:dyDescent="0.2">
      <c r="A75" s="326">
        <v>147</v>
      </c>
      <c r="B75" s="93" t="s">
        <v>510</v>
      </c>
      <c r="C75" s="93">
        <v>19</v>
      </c>
      <c r="D75" s="93">
        <v>15</v>
      </c>
      <c r="E75" s="93">
        <v>3</v>
      </c>
      <c r="F75" s="93">
        <f t="shared" si="22"/>
        <v>1</v>
      </c>
      <c r="G75" s="93">
        <v>387</v>
      </c>
      <c r="H75" s="93">
        <v>288</v>
      </c>
      <c r="I75" s="93">
        <v>81</v>
      </c>
      <c r="J75" s="93">
        <f t="shared" si="23"/>
        <v>18</v>
      </c>
      <c r="K75" s="93">
        <v>138</v>
      </c>
      <c r="L75" s="93">
        <v>90</v>
      </c>
      <c r="M75" s="93">
        <v>43</v>
      </c>
      <c r="N75" s="93">
        <f t="shared" si="24"/>
        <v>5</v>
      </c>
      <c r="P75" s="93">
        <f t="shared" si="13"/>
        <v>0.78947368421052633</v>
      </c>
      <c r="Q75" s="93">
        <f t="shared" si="14"/>
        <v>0.15789473684210525</v>
      </c>
      <c r="R75" s="93">
        <f t="shared" si="15"/>
        <v>5.2631578947368418E-2</v>
      </c>
      <c r="S75" s="93">
        <f t="shared" si="16"/>
        <v>0.7441860465116279</v>
      </c>
      <c r="T75" s="93">
        <f t="shared" si="17"/>
        <v>0.20930232558139536</v>
      </c>
      <c r="U75" s="93">
        <f t="shared" si="18"/>
        <v>4.6511627906976744E-2</v>
      </c>
      <c r="V75" s="93">
        <f t="shared" si="19"/>
        <v>0.65217391304347827</v>
      </c>
      <c r="W75" s="93">
        <f t="shared" si="20"/>
        <v>0.31159420289855072</v>
      </c>
      <c r="X75" s="93">
        <f t="shared" si="21"/>
        <v>3.6231884057971016E-2</v>
      </c>
    </row>
    <row r="76" spans="1:24" x14ac:dyDescent="0.2">
      <c r="A76" s="326">
        <v>149</v>
      </c>
      <c r="B76" s="93" t="s">
        <v>511</v>
      </c>
      <c r="C76" s="93">
        <v>42</v>
      </c>
      <c r="D76" s="93">
        <v>34</v>
      </c>
      <c r="E76" s="93">
        <v>6</v>
      </c>
      <c r="F76" s="93">
        <f t="shared" si="22"/>
        <v>2</v>
      </c>
      <c r="G76" s="93">
        <v>1603</v>
      </c>
      <c r="H76" s="93">
        <v>1198</v>
      </c>
      <c r="I76" s="93">
        <v>338</v>
      </c>
      <c r="J76" s="93">
        <f t="shared" si="23"/>
        <v>67</v>
      </c>
      <c r="K76" s="93">
        <v>739</v>
      </c>
      <c r="L76" s="93">
        <v>525</v>
      </c>
      <c r="M76" s="93">
        <v>163</v>
      </c>
      <c r="N76" s="93">
        <f t="shared" si="24"/>
        <v>51</v>
      </c>
      <c r="P76" s="93">
        <f t="shared" si="13"/>
        <v>0.80952380952380953</v>
      </c>
      <c r="Q76" s="93">
        <f t="shared" si="14"/>
        <v>0.14285714285714285</v>
      </c>
      <c r="R76" s="93">
        <f t="shared" si="15"/>
        <v>4.7619047619047616E-2</v>
      </c>
      <c r="S76" s="93">
        <f t="shared" si="16"/>
        <v>0.74734872114784778</v>
      </c>
      <c r="T76" s="93">
        <f t="shared" si="17"/>
        <v>0.21085464753587024</v>
      </c>
      <c r="U76" s="93">
        <f t="shared" si="18"/>
        <v>4.1796631316281974E-2</v>
      </c>
      <c r="V76" s="93">
        <f t="shared" si="19"/>
        <v>0.71041948579161029</v>
      </c>
      <c r="W76" s="93">
        <f t="shared" si="20"/>
        <v>0.22056833558863329</v>
      </c>
      <c r="X76" s="93">
        <f t="shared" si="21"/>
        <v>6.9012178619756434E-2</v>
      </c>
    </row>
    <row r="77" spans="1:24" x14ac:dyDescent="0.2">
      <c r="A77" s="326">
        <v>153</v>
      </c>
      <c r="B77" s="93" t="s">
        <v>512</v>
      </c>
      <c r="C77" s="93">
        <v>2113</v>
      </c>
      <c r="D77" s="93">
        <v>1878</v>
      </c>
      <c r="E77" s="93">
        <v>119</v>
      </c>
      <c r="F77" s="93">
        <f t="shared" si="22"/>
        <v>116</v>
      </c>
      <c r="G77" s="93">
        <v>53586</v>
      </c>
      <c r="H77" s="93">
        <v>46734</v>
      </c>
      <c r="I77" s="93">
        <v>3714</v>
      </c>
      <c r="J77" s="93">
        <f t="shared" si="23"/>
        <v>3138</v>
      </c>
      <c r="K77" s="93">
        <v>30044</v>
      </c>
      <c r="L77" s="93">
        <v>25292</v>
      </c>
      <c r="M77" s="93">
        <v>2766</v>
      </c>
      <c r="N77" s="93">
        <f t="shared" si="24"/>
        <v>1986</v>
      </c>
      <c r="P77" s="93">
        <f t="shared" si="13"/>
        <v>0.88878371982962612</v>
      </c>
      <c r="Q77" s="93">
        <f t="shared" si="14"/>
        <v>5.6318031235210599E-2</v>
      </c>
      <c r="R77" s="93">
        <f t="shared" si="15"/>
        <v>5.4898248935163277E-2</v>
      </c>
      <c r="S77" s="93">
        <f t="shared" si="16"/>
        <v>0.87213078042772363</v>
      </c>
      <c r="T77" s="93">
        <f t="shared" si="17"/>
        <v>6.9309147911767996E-2</v>
      </c>
      <c r="U77" s="93">
        <f t="shared" si="18"/>
        <v>5.8560071660508341E-2</v>
      </c>
      <c r="V77" s="93">
        <f t="shared" si="19"/>
        <v>0.84183197976301427</v>
      </c>
      <c r="W77" s="93">
        <f t="shared" si="20"/>
        <v>9.2064971375316204E-2</v>
      </c>
      <c r="X77" s="93">
        <f t="shared" si="21"/>
        <v>6.6103048861669553E-2</v>
      </c>
    </row>
    <row r="78" spans="1:24" x14ac:dyDescent="0.2">
      <c r="A78" s="326">
        <v>155</v>
      </c>
      <c r="B78" s="93" t="s">
        <v>513</v>
      </c>
      <c r="C78" s="93">
        <v>32</v>
      </c>
      <c r="D78" s="93">
        <v>31</v>
      </c>
      <c r="E78" s="93">
        <v>1</v>
      </c>
      <c r="F78" s="93">
        <f t="shared" si="22"/>
        <v>0</v>
      </c>
      <c r="G78" s="93">
        <v>264</v>
      </c>
      <c r="H78" s="93">
        <v>249</v>
      </c>
      <c r="I78" s="93">
        <v>8</v>
      </c>
      <c r="J78" s="93">
        <f t="shared" si="23"/>
        <v>7</v>
      </c>
      <c r="K78" s="93">
        <v>175</v>
      </c>
      <c r="L78" s="93">
        <v>160</v>
      </c>
      <c r="M78" s="93">
        <v>13</v>
      </c>
      <c r="N78" s="93">
        <f t="shared" si="24"/>
        <v>2</v>
      </c>
      <c r="P78" s="93">
        <f t="shared" si="13"/>
        <v>0.96875</v>
      </c>
      <c r="Q78" s="93">
        <f t="shared" si="14"/>
        <v>3.125E-2</v>
      </c>
      <c r="R78" s="93">
        <f t="shared" si="15"/>
        <v>0</v>
      </c>
      <c r="S78" s="93">
        <f t="shared" si="16"/>
        <v>0.94318181818181823</v>
      </c>
      <c r="T78" s="93">
        <f t="shared" si="17"/>
        <v>3.0303030303030304E-2</v>
      </c>
      <c r="U78" s="93">
        <f t="shared" si="18"/>
        <v>2.6515151515151516E-2</v>
      </c>
      <c r="V78" s="93">
        <f t="shared" si="19"/>
        <v>0.91428571428571426</v>
      </c>
      <c r="W78" s="93">
        <f t="shared" si="20"/>
        <v>7.4285714285714288E-2</v>
      </c>
      <c r="X78" s="93">
        <f t="shared" si="21"/>
        <v>1.1428571428571429E-2</v>
      </c>
    </row>
    <row r="79" spans="1:24" x14ac:dyDescent="0.2">
      <c r="A79" s="326">
        <v>157</v>
      </c>
      <c r="B79" s="93" t="s">
        <v>514</v>
      </c>
      <c r="C79" s="93">
        <v>18</v>
      </c>
      <c r="D79" s="93">
        <v>18</v>
      </c>
      <c r="E79" s="93">
        <v>0</v>
      </c>
      <c r="F79" s="93">
        <f t="shared" si="22"/>
        <v>0</v>
      </c>
      <c r="G79" s="93">
        <v>143</v>
      </c>
      <c r="H79" s="93">
        <v>134</v>
      </c>
      <c r="I79" s="93">
        <v>7</v>
      </c>
      <c r="J79" s="93">
        <f t="shared" si="23"/>
        <v>2</v>
      </c>
      <c r="K79" s="93">
        <v>82</v>
      </c>
      <c r="L79" s="93">
        <v>77</v>
      </c>
      <c r="M79" s="93">
        <v>4</v>
      </c>
      <c r="N79" s="93">
        <f t="shared" si="24"/>
        <v>1</v>
      </c>
      <c r="P79" s="93">
        <f t="shared" si="13"/>
        <v>1</v>
      </c>
      <c r="Q79" s="93">
        <f t="shared" si="14"/>
        <v>0</v>
      </c>
      <c r="R79" s="93">
        <f t="shared" si="15"/>
        <v>0</v>
      </c>
      <c r="S79" s="93">
        <f t="shared" si="16"/>
        <v>0.93706293706293708</v>
      </c>
      <c r="T79" s="93">
        <f t="shared" si="17"/>
        <v>4.8951048951048952E-2</v>
      </c>
      <c r="U79" s="93">
        <f t="shared" si="18"/>
        <v>1.3986013986013986E-2</v>
      </c>
      <c r="V79" s="93">
        <f t="shared" si="19"/>
        <v>0.93902439024390238</v>
      </c>
      <c r="W79" s="93">
        <f t="shared" si="20"/>
        <v>4.878048780487805E-2</v>
      </c>
      <c r="X79" s="93">
        <f t="shared" si="21"/>
        <v>1.2195121951219513E-2</v>
      </c>
    </row>
    <row r="80" spans="1:24" x14ac:dyDescent="0.2">
      <c r="A80" s="326">
        <v>159</v>
      </c>
      <c r="B80" s="93" t="s">
        <v>272</v>
      </c>
      <c r="C80" s="93">
        <v>20</v>
      </c>
      <c r="D80" s="93">
        <v>19</v>
      </c>
      <c r="E80" s="93">
        <v>1</v>
      </c>
      <c r="F80" s="93">
        <f t="shared" si="22"/>
        <v>0</v>
      </c>
      <c r="G80" s="93">
        <v>356</v>
      </c>
      <c r="H80" s="93">
        <v>331</v>
      </c>
      <c r="I80" s="93">
        <v>16</v>
      </c>
      <c r="J80" s="93">
        <f t="shared" si="23"/>
        <v>9</v>
      </c>
      <c r="K80" s="93">
        <v>157</v>
      </c>
      <c r="L80" s="93">
        <v>145</v>
      </c>
      <c r="M80" s="93">
        <v>9</v>
      </c>
      <c r="N80" s="93">
        <f t="shared" si="24"/>
        <v>3</v>
      </c>
      <c r="P80" s="93">
        <f t="shared" si="13"/>
        <v>0.95</v>
      </c>
      <c r="Q80" s="93">
        <f t="shared" si="14"/>
        <v>0.05</v>
      </c>
      <c r="R80" s="93">
        <f t="shared" si="15"/>
        <v>0</v>
      </c>
      <c r="S80" s="93">
        <f t="shared" si="16"/>
        <v>0.9297752808988764</v>
      </c>
      <c r="T80" s="93">
        <f t="shared" si="17"/>
        <v>4.49438202247191E-2</v>
      </c>
      <c r="U80" s="93">
        <f t="shared" si="18"/>
        <v>2.5280898876404494E-2</v>
      </c>
      <c r="V80" s="93">
        <f t="shared" si="19"/>
        <v>0.92356687898089174</v>
      </c>
      <c r="W80" s="93">
        <f t="shared" si="20"/>
        <v>5.7324840764331211E-2</v>
      </c>
      <c r="X80" s="93">
        <f t="shared" si="21"/>
        <v>1.9108280254777069E-2</v>
      </c>
    </row>
    <row r="81" spans="1:24" x14ac:dyDescent="0.2">
      <c r="A81" s="326">
        <v>161</v>
      </c>
      <c r="B81" s="93" t="s">
        <v>301</v>
      </c>
      <c r="C81" s="93">
        <v>114</v>
      </c>
      <c r="D81" s="93">
        <v>107</v>
      </c>
      <c r="E81" s="93">
        <v>4</v>
      </c>
      <c r="F81" s="93">
        <f>(C81-D81-E81)+1</f>
        <v>4</v>
      </c>
      <c r="G81" s="93">
        <v>1628</v>
      </c>
      <c r="H81" s="93">
        <v>1460</v>
      </c>
      <c r="I81" s="93">
        <v>107</v>
      </c>
      <c r="J81" s="93">
        <f>(G81-H81-I81)+18</f>
        <v>79</v>
      </c>
      <c r="K81" s="93">
        <v>1001</v>
      </c>
      <c r="L81" s="93">
        <v>885</v>
      </c>
      <c r="M81" s="93">
        <v>86</v>
      </c>
      <c r="N81" s="93">
        <f>(K81-L81-M81)+11</f>
        <v>41</v>
      </c>
      <c r="P81" s="93">
        <f t="shared" si="13"/>
        <v>0.93859649122807021</v>
      </c>
      <c r="Q81" s="93">
        <f t="shared" si="14"/>
        <v>3.5087719298245612E-2</v>
      </c>
      <c r="R81" s="93">
        <f t="shared" si="15"/>
        <v>3.5087719298245612E-2</v>
      </c>
      <c r="S81" s="93">
        <f t="shared" si="16"/>
        <v>0.89680589680589684</v>
      </c>
      <c r="T81" s="93">
        <f t="shared" si="17"/>
        <v>6.5724815724815727E-2</v>
      </c>
      <c r="U81" s="93">
        <f t="shared" si="18"/>
        <v>4.8525798525798525E-2</v>
      </c>
      <c r="V81" s="93">
        <f t="shared" si="19"/>
        <v>0.88411588411588415</v>
      </c>
      <c r="W81" s="93">
        <f t="shared" si="20"/>
        <v>8.5914085914085919E-2</v>
      </c>
      <c r="X81" s="93">
        <f t="shared" si="21"/>
        <v>4.095904095904096E-2</v>
      </c>
    </row>
    <row r="82" spans="1:24" x14ac:dyDescent="0.2">
      <c r="A82" s="326">
        <v>163</v>
      </c>
      <c r="B82" s="93" t="s">
        <v>691</v>
      </c>
      <c r="C82" s="93">
        <v>41</v>
      </c>
      <c r="D82" s="93">
        <v>40</v>
      </c>
      <c r="E82" s="93">
        <v>1</v>
      </c>
      <c r="F82" s="93">
        <f>((C82-D82-E82)+0)+0</f>
        <v>0</v>
      </c>
      <c r="G82" s="93">
        <v>487</v>
      </c>
      <c r="H82" s="93">
        <v>442</v>
      </c>
      <c r="I82" s="93">
        <v>24</v>
      </c>
      <c r="J82" s="93">
        <f>((G82-H82-I82)+4)+6</f>
        <v>31</v>
      </c>
      <c r="K82" s="93">
        <v>195</v>
      </c>
      <c r="L82" s="93">
        <v>175</v>
      </c>
      <c r="M82" s="93">
        <v>13</v>
      </c>
      <c r="N82" s="93">
        <f>((K82-L82-M82)+1)+0</f>
        <v>8</v>
      </c>
      <c r="P82" s="93">
        <f t="shared" si="13"/>
        <v>0.97560975609756095</v>
      </c>
      <c r="Q82" s="93">
        <f t="shared" si="14"/>
        <v>2.4390243902439025E-2</v>
      </c>
      <c r="R82" s="93">
        <f t="shared" si="15"/>
        <v>0</v>
      </c>
      <c r="S82" s="93">
        <f t="shared" si="16"/>
        <v>0.9075975359342916</v>
      </c>
      <c r="T82" s="93">
        <f t="shared" si="17"/>
        <v>4.9281314168377825E-2</v>
      </c>
      <c r="U82" s="93">
        <f t="shared" si="18"/>
        <v>6.3655030800821355E-2</v>
      </c>
      <c r="V82" s="93">
        <f t="shared" si="19"/>
        <v>0.89743589743589747</v>
      </c>
      <c r="W82" s="93">
        <f t="shared" si="20"/>
        <v>6.6666666666666666E-2</v>
      </c>
      <c r="X82" s="93">
        <f t="shared" si="21"/>
        <v>4.1025641025641026E-2</v>
      </c>
    </row>
    <row r="83" spans="1:24" x14ac:dyDescent="0.2">
      <c r="A83" s="326">
        <v>165</v>
      </c>
      <c r="B83" s="93" t="s">
        <v>692</v>
      </c>
      <c r="C83" s="93">
        <v>215</v>
      </c>
      <c r="D83" s="93">
        <v>194</v>
      </c>
      <c r="E83" s="93">
        <v>9</v>
      </c>
      <c r="F83" s="93">
        <f>(C83-D83-E83)+6</f>
        <v>18</v>
      </c>
      <c r="G83" s="93">
        <v>7689</v>
      </c>
      <c r="H83" s="93">
        <v>6695</v>
      </c>
      <c r="I83" s="93">
        <v>485</v>
      </c>
      <c r="J83" s="93">
        <f>(G83-H83-I83)+277</f>
        <v>786</v>
      </c>
      <c r="K83" s="93">
        <v>4417</v>
      </c>
      <c r="L83" s="93">
        <v>3859</v>
      </c>
      <c r="M83" s="93">
        <v>284</v>
      </c>
      <c r="N83" s="93">
        <f>(K83-L83-M83)+114</f>
        <v>388</v>
      </c>
      <c r="P83" s="93">
        <f t="shared" si="13"/>
        <v>0.9023255813953488</v>
      </c>
      <c r="Q83" s="93">
        <f t="shared" si="14"/>
        <v>4.1860465116279069E-2</v>
      </c>
      <c r="R83" s="93">
        <f t="shared" si="15"/>
        <v>8.3720930232558138E-2</v>
      </c>
      <c r="S83" s="93">
        <f t="shared" si="16"/>
        <v>0.87072441149694368</v>
      </c>
      <c r="T83" s="93">
        <f t="shared" si="17"/>
        <v>6.3077123162960075E-2</v>
      </c>
      <c r="U83" s="93">
        <f t="shared" si="18"/>
        <v>0.10222395630120952</v>
      </c>
      <c r="V83" s="93">
        <f t="shared" si="19"/>
        <v>0.87366991170477704</v>
      </c>
      <c r="W83" s="93">
        <f t="shared" si="20"/>
        <v>6.4297034186099167E-2</v>
      </c>
      <c r="X83" s="93">
        <f t="shared" si="21"/>
        <v>8.7842426986642519E-2</v>
      </c>
    </row>
    <row r="84" spans="1:24" x14ac:dyDescent="0.2">
      <c r="A84" s="326">
        <v>167</v>
      </c>
      <c r="B84" s="93" t="s">
        <v>515</v>
      </c>
      <c r="C84" s="93">
        <v>18</v>
      </c>
      <c r="D84" s="93">
        <v>17</v>
      </c>
      <c r="E84" s="93">
        <v>1</v>
      </c>
      <c r="F84" s="93">
        <f t="shared" si="22"/>
        <v>0</v>
      </c>
      <c r="G84" s="93">
        <v>152</v>
      </c>
      <c r="H84" s="93">
        <v>136</v>
      </c>
      <c r="I84" s="93">
        <v>8</v>
      </c>
      <c r="J84" s="93">
        <f t="shared" si="23"/>
        <v>8</v>
      </c>
      <c r="K84" s="93">
        <v>125</v>
      </c>
      <c r="L84" s="93">
        <v>110</v>
      </c>
      <c r="M84" s="93">
        <v>3</v>
      </c>
      <c r="N84" s="93">
        <f t="shared" si="24"/>
        <v>12</v>
      </c>
      <c r="P84" s="93">
        <f t="shared" si="13"/>
        <v>0.94444444444444442</v>
      </c>
      <c r="Q84" s="93">
        <f t="shared" si="14"/>
        <v>5.5555555555555552E-2</v>
      </c>
      <c r="R84" s="93">
        <f t="shared" si="15"/>
        <v>0</v>
      </c>
      <c r="S84" s="93">
        <f t="shared" si="16"/>
        <v>0.89473684210526316</v>
      </c>
      <c r="T84" s="93">
        <f t="shared" si="17"/>
        <v>5.2631578947368418E-2</v>
      </c>
      <c r="U84" s="93">
        <f t="shared" si="18"/>
        <v>5.2631578947368418E-2</v>
      </c>
      <c r="V84" s="93">
        <f t="shared" si="19"/>
        <v>0.88</v>
      </c>
      <c r="W84" s="93">
        <f t="shared" si="20"/>
        <v>2.4E-2</v>
      </c>
      <c r="X84" s="93">
        <f t="shared" si="21"/>
        <v>9.6000000000000002E-2</v>
      </c>
    </row>
    <row r="85" spans="1:24" x14ac:dyDescent="0.2">
      <c r="A85" s="326">
        <v>169</v>
      </c>
      <c r="B85" s="93" t="s">
        <v>516</v>
      </c>
      <c r="C85" s="93">
        <v>13</v>
      </c>
      <c r="D85" s="93">
        <v>12</v>
      </c>
      <c r="E85" s="93">
        <v>1</v>
      </c>
      <c r="F85" s="93">
        <f t="shared" si="22"/>
        <v>0</v>
      </c>
      <c r="G85" s="93">
        <v>131</v>
      </c>
      <c r="H85" s="93">
        <v>119</v>
      </c>
      <c r="I85" s="93">
        <v>3</v>
      </c>
      <c r="J85" s="93">
        <f t="shared" si="23"/>
        <v>9</v>
      </c>
      <c r="K85" s="93">
        <v>104</v>
      </c>
      <c r="L85" s="93">
        <v>93</v>
      </c>
      <c r="M85" s="93">
        <v>0</v>
      </c>
      <c r="N85" s="93">
        <f t="shared" si="24"/>
        <v>11</v>
      </c>
      <c r="P85" s="93">
        <f t="shared" si="13"/>
        <v>0.92307692307692313</v>
      </c>
      <c r="Q85" s="93">
        <f t="shared" si="14"/>
        <v>7.6923076923076927E-2</v>
      </c>
      <c r="R85" s="93">
        <f t="shared" si="15"/>
        <v>0</v>
      </c>
      <c r="S85" s="93">
        <f t="shared" si="16"/>
        <v>0.90839694656488545</v>
      </c>
      <c r="T85" s="93">
        <f t="shared" si="17"/>
        <v>2.2900763358778626E-2</v>
      </c>
      <c r="U85" s="93">
        <f t="shared" si="18"/>
        <v>6.8702290076335881E-2</v>
      </c>
      <c r="V85" s="93">
        <f t="shared" si="19"/>
        <v>0.89423076923076927</v>
      </c>
      <c r="W85" s="93">
        <f t="shared" si="20"/>
        <v>0</v>
      </c>
      <c r="X85" s="93">
        <f t="shared" si="21"/>
        <v>0.10576923076923077</v>
      </c>
    </row>
    <row r="86" spans="1:24" x14ac:dyDescent="0.2">
      <c r="A86" s="326">
        <v>171</v>
      </c>
      <c r="B86" s="93" t="s">
        <v>517</v>
      </c>
      <c r="C86" s="93">
        <v>74</v>
      </c>
      <c r="D86" s="93">
        <v>66</v>
      </c>
      <c r="E86" s="93">
        <v>1</v>
      </c>
      <c r="F86" s="93">
        <f t="shared" si="22"/>
        <v>7</v>
      </c>
      <c r="G86" s="93">
        <v>1518</v>
      </c>
      <c r="H86" s="93">
        <v>1378</v>
      </c>
      <c r="I86" s="93">
        <v>69</v>
      </c>
      <c r="J86" s="93">
        <f t="shared" si="23"/>
        <v>71</v>
      </c>
      <c r="K86" s="93">
        <v>1060</v>
      </c>
      <c r="L86" s="93">
        <v>979</v>
      </c>
      <c r="M86" s="93">
        <v>40</v>
      </c>
      <c r="N86" s="93">
        <f t="shared" si="24"/>
        <v>41</v>
      </c>
      <c r="P86" s="93">
        <f t="shared" si="13"/>
        <v>0.89189189189189189</v>
      </c>
      <c r="Q86" s="93">
        <f t="shared" si="14"/>
        <v>1.3513513513513514E-2</v>
      </c>
      <c r="R86" s="93">
        <f t="shared" si="15"/>
        <v>9.45945945945946E-2</v>
      </c>
      <c r="S86" s="93">
        <f t="shared" si="16"/>
        <v>0.90777338603425561</v>
      </c>
      <c r="T86" s="93">
        <f t="shared" si="17"/>
        <v>4.5454545454545456E-2</v>
      </c>
      <c r="U86" s="93">
        <f t="shared" si="18"/>
        <v>4.6772068511198944E-2</v>
      </c>
      <c r="V86" s="93">
        <f t="shared" si="19"/>
        <v>0.92358490566037732</v>
      </c>
      <c r="W86" s="93">
        <f t="shared" si="20"/>
        <v>3.7735849056603772E-2</v>
      </c>
      <c r="X86" s="93">
        <f t="shared" si="21"/>
        <v>3.8679245283018866E-2</v>
      </c>
    </row>
    <row r="87" spans="1:24" x14ac:dyDescent="0.2">
      <c r="A87" s="326">
        <v>173</v>
      </c>
      <c r="B87" s="93" t="s">
        <v>518</v>
      </c>
      <c r="C87" s="93">
        <v>24</v>
      </c>
      <c r="D87" s="93">
        <v>24</v>
      </c>
      <c r="E87" s="93">
        <v>0</v>
      </c>
      <c r="F87" s="93">
        <f t="shared" si="22"/>
        <v>0</v>
      </c>
      <c r="G87" s="93">
        <v>317</v>
      </c>
      <c r="H87" s="93">
        <v>293</v>
      </c>
      <c r="I87" s="93">
        <v>15</v>
      </c>
      <c r="J87" s="93">
        <f t="shared" si="23"/>
        <v>9</v>
      </c>
      <c r="K87" s="93">
        <v>200</v>
      </c>
      <c r="L87" s="93">
        <v>187</v>
      </c>
      <c r="M87" s="93">
        <v>13</v>
      </c>
      <c r="N87" s="93">
        <f t="shared" si="24"/>
        <v>0</v>
      </c>
      <c r="P87" s="93">
        <f t="shared" si="13"/>
        <v>1</v>
      </c>
      <c r="Q87" s="93">
        <f t="shared" si="14"/>
        <v>0</v>
      </c>
      <c r="R87" s="93">
        <f t="shared" si="15"/>
        <v>0</v>
      </c>
      <c r="S87" s="93">
        <f t="shared" si="16"/>
        <v>0.9242902208201893</v>
      </c>
      <c r="T87" s="93">
        <f t="shared" si="17"/>
        <v>4.7318611987381701E-2</v>
      </c>
      <c r="U87" s="93">
        <f t="shared" si="18"/>
        <v>2.8391167192429023E-2</v>
      </c>
      <c r="V87" s="93">
        <f t="shared" si="19"/>
        <v>0.93500000000000005</v>
      </c>
      <c r="W87" s="93">
        <f t="shared" si="20"/>
        <v>6.5000000000000002E-2</v>
      </c>
      <c r="X87" s="93">
        <f t="shared" si="21"/>
        <v>0</v>
      </c>
    </row>
    <row r="88" spans="1:24" x14ac:dyDescent="0.2">
      <c r="A88" s="326">
        <v>175</v>
      </c>
      <c r="B88" s="93" t="s">
        <v>519</v>
      </c>
      <c r="C88" s="93">
        <v>18</v>
      </c>
      <c r="D88" s="93">
        <v>13</v>
      </c>
      <c r="E88" s="93">
        <v>5</v>
      </c>
      <c r="F88" s="93">
        <f t="shared" si="22"/>
        <v>0</v>
      </c>
      <c r="G88" s="93">
        <v>118</v>
      </c>
      <c r="H88" s="93">
        <v>74</v>
      </c>
      <c r="I88" s="93">
        <v>29</v>
      </c>
      <c r="J88" s="93">
        <f t="shared" si="23"/>
        <v>15</v>
      </c>
      <c r="K88" s="93">
        <v>91</v>
      </c>
      <c r="L88" s="93">
        <v>62</v>
      </c>
      <c r="M88" s="93">
        <v>20</v>
      </c>
      <c r="N88" s="93">
        <f t="shared" si="24"/>
        <v>9</v>
      </c>
      <c r="P88" s="93">
        <f t="shared" si="13"/>
        <v>0.72222222222222221</v>
      </c>
      <c r="Q88" s="93">
        <f t="shared" si="14"/>
        <v>0.27777777777777779</v>
      </c>
      <c r="R88" s="93">
        <f t="shared" si="15"/>
        <v>0</v>
      </c>
      <c r="S88" s="93">
        <f t="shared" si="16"/>
        <v>0.6271186440677966</v>
      </c>
      <c r="T88" s="93">
        <f t="shared" si="17"/>
        <v>0.24576271186440679</v>
      </c>
      <c r="U88" s="93">
        <f t="shared" si="18"/>
        <v>0.1271186440677966</v>
      </c>
      <c r="V88" s="93">
        <f t="shared" si="19"/>
        <v>0.68131868131868134</v>
      </c>
      <c r="W88" s="93">
        <f t="shared" si="20"/>
        <v>0.21978021978021978</v>
      </c>
      <c r="X88" s="93">
        <f t="shared" si="21"/>
        <v>9.8901098901098897E-2</v>
      </c>
    </row>
    <row r="89" spans="1:24" x14ac:dyDescent="0.2">
      <c r="A89" s="326">
        <v>177</v>
      </c>
      <c r="B89" s="93" t="s">
        <v>520</v>
      </c>
      <c r="C89" s="93">
        <v>298</v>
      </c>
      <c r="D89" s="93">
        <v>273</v>
      </c>
      <c r="E89" s="93">
        <v>15</v>
      </c>
      <c r="F89" s="93">
        <f t="shared" si="22"/>
        <v>10</v>
      </c>
      <c r="G89" s="93">
        <v>5779</v>
      </c>
      <c r="H89" s="93">
        <v>5040</v>
      </c>
      <c r="I89" s="93">
        <v>493</v>
      </c>
      <c r="J89" s="93">
        <f t="shared" si="23"/>
        <v>246</v>
      </c>
      <c r="K89" s="93">
        <v>3576</v>
      </c>
      <c r="L89" s="93">
        <v>3027</v>
      </c>
      <c r="M89" s="93">
        <v>385</v>
      </c>
      <c r="N89" s="93">
        <f t="shared" si="24"/>
        <v>164</v>
      </c>
      <c r="P89" s="93">
        <f t="shared" si="13"/>
        <v>0.91610738255033553</v>
      </c>
      <c r="Q89" s="93">
        <f t="shared" si="14"/>
        <v>5.0335570469798654E-2</v>
      </c>
      <c r="R89" s="93">
        <f t="shared" si="15"/>
        <v>3.3557046979865772E-2</v>
      </c>
      <c r="S89" s="93">
        <f t="shared" si="16"/>
        <v>0.87212320470669669</v>
      </c>
      <c r="T89" s="93">
        <f t="shared" si="17"/>
        <v>8.5308876968333627E-2</v>
      </c>
      <c r="U89" s="93">
        <f t="shared" si="18"/>
        <v>4.2567918324969721E-2</v>
      </c>
      <c r="V89" s="93">
        <f t="shared" si="19"/>
        <v>0.84647651006711411</v>
      </c>
      <c r="W89" s="93">
        <f t="shared" si="20"/>
        <v>0.10766219239373602</v>
      </c>
      <c r="X89" s="93">
        <f t="shared" si="21"/>
        <v>4.5861297539149887E-2</v>
      </c>
    </row>
    <row r="90" spans="1:24" x14ac:dyDescent="0.2">
      <c r="A90" s="326">
        <v>179</v>
      </c>
      <c r="B90" s="93" t="s">
        <v>521</v>
      </c>
      <c r="C90" s="93">
        <v>305</v>
      </c>
      <c r="D90" s="93">
        <v>264</v>
      </c>
      <c r="E90" s="93">
        <v>26</v>
      </c>
      <c r="F90" s="93">
        <f t="shared" si="22"/>
        <v>15</v>
      </c>
      <c r="G90" s="93">
        <v>7426</v>
      </c>
      <c r="H90" s="93">
        <v>6368</v>
      </c>
      <c r="I90" s="93">
        <v>715</v>
      </c>
      <c r="J90" s="93">
        <f t="shared" si="23"/>
        <v>343</v>
      </c>
      <c r="K90" s="93">
        <v>4761</v>
      </c>
      <c r="L90" s="93">
        <v>3942</v>
      </c>
      <c r="M90" s="93">
        <v>554</v>
      </c>
      <c r="N90" s="93">
        <f t="shared" si="24"/>
        <v>265</v>
      </c>
      <c r="P90" s="93">
        <f t="shared" si="13"/>
        <v>0.86557377049180328</v>
      </c>
      <c r="Q90" s="93">
        <f t="shared" si="14"/>
        <v>8.5245901639344257E-2</v>
      </c>
      <c r="R90" s="93">
        <f t="shared" si="15"/>
        <v>4.9180327868852458E-2</v>
      </c>
      <c r="S90" s="93">
        <f t="shared" si="16"/>
        <v>0.85752760570966868</v>
      </c>
      <c r="T90" s="93">
        <f t="shared" si="17"/>
        <v>9.6283328844600058E-2</v>
      </c>
      <c r="U90" s="93">
        <f t="shared" si="18"/>
        <v>4.6189065445731217E-2</v>
      </c>
      <c r="V90" s="93">
        <f t="shared" si="19"/>
        <v>0.82797731568998112</v>
      </c>
      <c r="W90" s="93">
        <f t="shared" si="20"/>
        <v>0.11636210880067213</v>
      </c>
      <c r="X90" s="93">
        <f t="shared" si="21"/>
        <v>5.5660575509346777E-2</v>
      </c>
    </row>
    <row r="91" spans="1:24" x14ac:dyDescent="0.2">
      <c r="A91" s="326">
        <v>181</v>
      </c>
      <c r="B91" s="93" t="s">
        <v>522</v>
      </c>
      <c r="C91" s="93">
        <v>4</v>
      </c>
      <c r="D91" s="93">
        <v>3</v>
      </c>
      <c r="E91" s="93">
        <v>1</v>
      </c>
      <c r="F91" s="93">
        <f t="shared" si="22"/>
        <v>0</v>
      </c>
      <c r="G91" s="93">
        <v>71</v>
      </c>
      <c r="H91" s="93">
        <v>49</v>
      </c>
      <c r="I91" s="93">
        <v>16</v>
      </c>
      <c r="J91" s="93">
        <f t="shared" si="23"/>
        <v>6</v>
      </c>
      <c r="K91" s="93">
        <v>24</v>
      </c>
      <c r="L91" s="93">
        <v>13</v>
      </c>
      <c r="M91" s="93">
        <v>11</v>
      </c>
      <c r="N91" s="93">
        <f t="shared" si="24"/>
        <v>0</v>
      </c>
      <c r="P91" s="93">
        <f t="shared" si="13"/>
        <v>0.75</v>
      </c>
      <c r="Q91" s="93">
        <f t="shared" si="14"/>
        <v>0.25</v>
      </c>
      <c r="R91" s="93">
        <f t="shared" si="15"/>
        <v>0</v>
      </c>
      <c r="S91" s="93">
        <f t="shared" si="16"/>
        <v>0.6901408450704225</v>
      </c>
      <c r="T91" s="93">
        <f t="shared" si="17"/>
        <v>0.22535211267605634</v>
      </c>
      <c r="U91" s="93">
        <f t="shared" si="18"/>
        <v>8.4507042253521125E-2</v>
      </c>
      <c r="V91" s="93">
        <f t="shared" si="19"/>
        <v>0.54166666666666663</v>
      </c>
      <c r="W91" s="93">
        <f t="shared" si="20"/>
        <v>0.45833333333333331</v>
      </c>
      <c r="X91" s="93">
        <f t="shared" si="21"/>
        <v>0</v>
      </c>
    </row>
    <row r="92" spans="1:24" x14ac:dyDescent="0.2">
      <c r="A92" s="326">
        <v>183</v>
      </c>
      <c r="B92" s="93" t="s">
        <v>523</v>
      </c>
      <c r="C92" s="93">
        <v>3</v>
      </c>
      <c r="D92" s="93">
        <v>1</v>
      </c>
      <c r="E92" s="93">
        <v>2</v>
      </c>
      <c r="F92" s="93">
        <f t="shared" si="22"/>
        <v>0</v>
      </c>
      <c r="G92" s="93">
        <v>195</v>
      </c>
      <c r="H92" s="93">
        <v>148</v>
      </c>
      <c r="I92" s="93">
        <v>33</v>
      </c>
      <c r="J92" s="93">
        <f t="shared" si="23"/>
        <v>14</v>
      </c>
      <c r="K92" s="93">
        <v>88</v>
      </c>
      <c r="L92" s="93">
        <v>63</v>
      </c>
      <c r="M92" s="93">
        <v>19</v>
      </c>
      <c r="N92" s="93">
        <f t="shared" si="24"/>
        <v>6</v>
      </c>
      <c r="P92" s="93">
        <f t="shared" si="13"/>
        <v>0.33333333333333331</v>
      </c>
      <c r="Q92" s="93">
        <f t="shared" si="14"/>
        <v>0.66666666666666663</v>
      </c>
      <c r="R92" s="93">
        <f t="shared" si="15"/>
        <v>0</v>
      </c>
      <c r="S92" s="93">
        <f t="shared" si="16"/>
        <v>0.75897435897435894</v>
      </c>
      <c r="T92" s="93">
        <f t="shared" si="17"/>
        <v>0.16923076923076924</v>
      </c>
      <c r="U92" s="93">
        <f t="shared" si="18"/>
        <v>7.179487179487179E-2</v>
      </c>
      <c r="V92" s="93">
        <f t="shared" si="19"/>
        <v>0.71590909090909094</v>
      </c>
      <c r="W92" s="93">
        <f t="shared" si="20"/>
        <v>0.21590909090909091</v>
      </c>
      <c r="X92" s="93">
        <f t="shared" si="21"/>
        <v>6.8181818181818177E-2</v>
      </c>
    </row>
    <row r="93" spans="1:24" x14ac:dyDescent="0.2">
      <c r="A93" s="326">
        <v>185</v>
      </c>
      <c r="B93" s="93" t="s">
        <v>524</v>
      </c>
      <c r="C93" s="93">
        <v>26</v>
      </c>
      <c r="D93" s="93">
        <v>26</v>
      </c>
      <c r="E93" s="93">
        <v>0</v>
      </c>
      <c r="F93" s="93">
        <f t="shared" si="22"/>
        <v>0</v>
      </c>
      <c r="G93" s="93">
        <v>215</v>
      </c>
      <c r="H93" s="93">
        <v>196</v>
      </c>
      <c r="I93" s="93">
        <v>7</v>
      </c>
      <c r="J93" s="93">
        <f t="shared" si="23"/>
        <v>12</v>
      </c>
      <c r="K93" s="93">
        <v>84</v>
      </c>
      <c r="L93" s="93">
        <v>77</v>
      </c>
      <c r="M93" s="93">
        <v>7</v>
      </c>
      <c r="N93" s="93">
        <f t="shared" si="24"/>
        <v>0</v>
      </c>
      <c r="P93" s="93">
        <f t="shared" si="13"/>
        <v>1</v>
      </c>
      <c r="Q93" s="93">
        <f t="shared" si="14"/>
        <v>0</v>
      </c>
      <c r="R93" s="93">
        <f t="shared" si="15"/>
        <v>0</v>
      </c>
      <c r="S93" s="93">
        <f t="shared" si="16"/>
        <v>0.91162790697674423</v>
      </c>
      <c r="T93" s="93">
        <f t="shared" si="17"/>
        <v>3.255813953488372E-2</v>
      </c>
      <c r="U93" s="93">
        <f t="shared" si="18"/>
        <v>5.5813953488372092E-2</v>
      </c>
      <c r="V93" s="93">
        <f t="shared" si="19"/>
        <v>0.91666666666666663</v>
      </c>
      <c r="W93" s="93">
        <f t="shared" si="20"/>
        <v>8.3333333333333329E-2</v>
      </c>
      <c r="X93" s="93">
        <f t="shared" si="21"/>
        <v>0</v>
      </c>
    </row>
    <row r="94" spans="1:24" x14ac:dyDescent="0.2">
      <c r="A94" s="326">
        <v>187</v>
      </c>
      <c r="B94" s="93" t="s">
        <v>525</v>
      </c>
      <c r="C94" s="93">
        <v>60</v>
      </c>
      <c r="D94" s="93">
        <v>57</v>
      </c>
      <c r="E94" s="93">
        <v>0</v>
      </c>
      <c r="F94" s="93">
        <f t="shared" si="22"/>
        <v>3</v>
      </c>
      <c r="G94" s="93">
        <v>798</v>
      </c>
      <c r="H94" s="93">
        <v>733</v>
      </c>
      <c r="I94" s="93">
        <v>27</v>
      </c>
      <c r="J94" s="93">
        <f t="shared" si="23"/>
        <v>38</v>
      </c>
      <c r="K94" s="93">
        <v>549</v>
      </c>
      <c r="L94" s="93">
        <v>473</v>
      </c>
      <c r="M94" s="93">
        <v>24</v>
      </c>
      <c r="N94" s="93">
        <f t="shared" si="24"/>
        <v>52</v>
      </c>
      <c r="P94" s="93">
        <f t="shared" si="13"/>
        <v>0.95</v>
      </c>
      <c r="Q94" s="93">
        <f t="shared" si="14"/>
        <v>0</v>
      </c>
      <c r="R94" s="93">
        <f t="shared" si="15"/>
        <v>0.05</v>
      </c>
      <c r="S94" s="93">
        <f t="shared" si="16"/>
        <v>0.918546365914787</v>
      </c>
      <c r="T94" s="93">
        <f t="shared" si="17"/>
        <v>3.3834586466165412E-2</v>
      </c>
      <c r="U94" s="93">
        <f t="shared" si="18"/>
        <v>4.7619047619047616E-2</v>
      </c>
      <c r="V94" s="93">
        <f t="shared" si="19"/>
        <v>0.86156648451730422</v>
      </c>
      <c r="W94" s="93">
        <f t="shared" si="20"/>
        <v>4.3715846994535519E-2</v>
      </c>
      <c r="X94" s="93">
        <f t="shared" si="21"/>
        <v>9.4717668488160295E-2</v>
      </c>
    </row>
    <row r="95" spans="1:24" x14ac:dyDescent="0.2">
      <c r="A95" s="326">
        <v>191</v>
      </c>
      <c r="B95" s="93" t="s">
        <v>526</v>
      </c>
      <c r="C95" s="93">
        <v>51</v>
      </c>
      <c r="D95" s="93">
        <v>49</v>
      </c>
      <c r="E95" s="93">
        <v>0</v>
      </c>
      <c r="F95" s="93">
        <f t="shared" si="22"/>
        <v>2</v>
      </c>
      <c r="G95" s="93">
        <v>483</v>
      </c>
      <c r="H95" s="93">
        <v>460</v>
      </c>
      <c r="I95" s="93">
        <v>9</v>
      </c>
      <c r="J95" s="93">
        <f t="shared" si="23"/>
        <v>14</v>
      </c>
      <c r="K95" s="93">
        <v>246</v>
      </c>
      <c r="L95" s="93">
        <v>225</v>
      </c>
      <c r="M95" s="93">
        <v>9</v>
      </c>
      <c r="N95" s="93">
        <f t="shared" si="24"/>
        <v>12</v>
      </c>
      <c r="P95" s="93">
        <f t="shared" si="13"/>
        <v>0.96078431372549022</v>
      </c>
      <c r="Q95" s="93">
        <f t="shared" si="14"/>
        <v>0</v>
      </c>
      <c r="R95" s="93">
        <f t="shared" si="15"/>
        <v>3.9215686274509803E-2</v>
      </c>
      <c r="S95" s="93">
        <f t="shared" si="16"/>
        <v>0.95238095238095233</v>
      </c>
      <c r="T95" s="93">
        <f t="shared" si="17"/>
        <v>1.8633540372670808E-2</v>
      </c>
      <c r="U95" s="93">
        <f t="shared" si="18"/>
        <v>2.8985507246376812E-2</v>
      </c>
      <c r="V95" s="93">
        <f t="shared" si="19"/>
        <v>0.91463414634146345</v>
      </c>
      <c r="W95" s="93">
        <f t="shared" si="20"/>
        <v>3.6585365853658534E-2</v>
      </c>
      <c r="X95" s="93">
        <f t="shared" si="21"/>
        <v>4.878048780487805E-2</v>
      </c>
    </row>
    <row r="96" spans="1:24" x14ac:dyDescent="0.2">
      <c r="A96" s="326">
        <v>193</v>
      </c>
      <c r="B96" s="93" t="s">
        <v>527</v>
      </c>
      <c r="C96" s="93">
        <v>33</v>
      </c>
      <c r="D96" s="93">
        <v>23</v>
      </c>
      <c r="E96" s="93">
        <v>7</v>
      </c>
      <c r="F96" s="93">
        <f t="shared" si="22"/>
        <v>3</v>
      </c>
      <c r="G96" s="93">
        <v>663</v>
      </c>
      <c r="H96" s="93">
        <v>570</v>
      </c>
      <c r="I96" s="93">
        <v>53</v>
      </c>
      <c r="J96" s="93">
        <f t="shared" si="23"/>
        <v>40</v>
      </c>
      <c r="K96" s="93">
        <v>379</v>
      </c>
      <c r="L96" s="93">
        <v>315</v>
      </c>
      <c r="M96" s="93">
        <v>38</v>
      </c>
      <c r="N96" s="93">
        <f t="shared" si="24"/>
        <v>26</v>
      </c>
      <c r="P96" s="93">
        <f t="shared" si="13"/>
        <v>0.69696969696969702</v>
      </c>
      <c r="Q96" s="93">
        <f t="shared" si="14"/>
        <v>0.21212121212121213</v>
      </c>
      <c r="R96" s="93">
        <f t="shared" si="15"/>
        <v>9.0909090909090912E-2</v>
      </c>
      <c r="S96" s="93">
        <f t="shared" si="16"/>
        <v>0.85972850678733037</v>
      </c>
      <c r="T96" s="93">
        <f t="shared" si="17"/>
        <v>7.9939668174962286E-2</v>
      </c>
      <c r="U96" s="93">
        <f t="shared" si="18"/>
        <v>6.0331825037707391E-2</v>
      </c>
      <c r="V96" s="93">
        <f t="shared" si="19"/>
        <v>0.83113456464379942</v>
      </c>
      <c r="W96" s="93">
        <f t="shared" si="20"/>
        <v>0.10026385224274406</v>
      </c>
      <c r="X96" s="93">
        <f t="shared" si="21"/>
        <v>6.860158311345646E-2</v>
      </c>
    </row>
    <row r="97" spans="1:24" x14ac:dyDescent="0.2">
      <c r="A97" s="326">
        <v>195</v>
      </c>
      <c r="B97" s="93" t="s">
        <v>528</v>
      </c>
      <c r="C97" s="93">
        <v>22</v>
      </c>
      <c r="D97" s="93">
        <v>22</v>
      </c>
      <c r="E97" s="93">
        <v>0</v>
      </c>
      <c r="F97" s="93">
        <f t="shared" si="22"/>
        <v>0</v>
      </c>
      <c r="G97" s="93">
        <v>339</v>
      </c>
      <c r="H97" s="93">
        <v>303</v>
      </c>
      <c r="I97" s="93">
        <v>32</v>
      </c>
      <c r="J97" s="93">
        <f t="shared" si="23"/>
        <v>4</v>
      </c>
      <c r="K97" s="93">
        <v>161</v>
      </c>
      <c r="L97" s="93">
        <v>149</v>
      </c>
      <c r="M97" s="93">
        <v>9</v>
      </c>
      <c r="N97" s="93">
        <f t="shared" si="24"/>
        <v>3</v>
      </c>
      <c r="P97" s="93">
        <f t="shared" si="13"/>
        <v>1</v>
      </c>
      <c r="Q97" s="93">
        <f t="shared" si="14"/>
        <v>0</v>
      </c>
      <c r="R97" s="93">
        <f t="shared" si="15"/>
        <v>0</v>
      </c>
      <c r="S97" s="93">
        <f t="shared" si="16"/>
        <v>0.89380530973451322</v>
      </c>
      <c r="T97" s="93">
        <f t="shared" si="17"/>
        <v>9.4395280235988199E-2</v>
      </c>
      <c r="U97" s="93">
        <f t="shared" si="18"/>
        <v>1.1799410029498525E-2</v>
      </c>
      <c r="V97" s="93">
        <f t="shared" si="19"/>
        <v>0.92546583850931674</v>
      </c>
      <c r="W97" s="93">
        <f t="shared" si="20"/>
        <v>5.5900621118012424E-2</v>
      </c>
      <c r="X97" s="93">
        <f t="shared" si="21"/>
        <v>1.8633540372670808E-2</v>
      </c>
    </row>
    <row r="98" spans="1:24" x14ac:dyDescent="0.2">
      <c r="A98" s="326">
        <v>197</v>
      </c>
      <c r="B98" s="93" t="s">
        <v>529</v>
      </c>
      <c r="C98" s="93">
        <v>20</v>
      </c>
      <c r="D98" s="93">
        <v>20</v>
      </c>
      <c r="E98" s="93">
        <v>0</v>
      </c>
      <c r="F98" s="93">
        <f t="shared" si="22"/>
        <v>0</v>
      </c>
      <c r="G98" s="93">
        <v>168</v>
      </c>
      <c r="H98" s="93">
        <v>152</v>
      </c>
      <c r="I98" s="93">
        <v>9</v>
      </c>
      <c r="J98" s="93">
        <f t="shared" si="23"/>
        <v>7</v>
      </c>
      <c r="K98" s="93">
        <v>110</v>
      </c>
      <c r="L98" s="93">
        <v>99</v>
      </c>
      <c r="M98" s="93">
        <v>9</v>
      </c>
      <c r="N98" s="93">
        <f t="shared" si="24"/>
        <v>2</v>
      </c>
      <c r="P98" s="93">
        <f t="shared" si="13"/>
        <v>1</v>
      </c>
      <c r="Q98" s="93">
        <f t="shared" si="14"/>
        <v>0</v>
      </c>
      <c r="R98" s="93">
        <f t="shared" si="15"/>
        <v>0</v>
      </c>
      <c r="S98" s="93">
        <f t="shared" si="16"/>
        <v>0.90476190476190477</v>
      </c>
      <c r="T98" s="93">
        <f t="shared" si="17"/>
        <v>5.3571428571428568E-2</v>
      </c>
      <c r="U98" s="93">
        <f t="shared" si="18"/>
        <v>4.1666666666666664E-2</v>
      </c>
      <c r="V98" s="93">
        <f t="shared" si="19"/>
        <v>0.9</v>
      </c>
      <c r="W98" s="93">
        <f t="shared" si="20"/>
        <v>8.1818181818181818E-2</v>
      </c>
      <c r="X98" s="93">
        <f t="shared" si="21"/>
        <v>1.8181818181818181E-2</v>
      </c>
    </row>
    <row r="99" spans="1:24" x14ac:dyDescent="0.2">
      <c r="A99" s="326">
        <v>199</v>
      </c>
      <c r="B99" s="93" t="s">
        <v>690</v>
      </c>
      <c r="C99" s="93">
        <v>101</v>
      </c>
      <c r="D99" s="93">
        <v>90</v>
      </c>
      <c r="E99" s="93">
        <v>9</v>
      </c>
      <c r="F99" s="93">
        <f>(C99-D99-E99)+0</f>
        <v>2</v>
      </c>
      <c r="G99" s="93">
        <v>2018</v>
      </c>
      <c r="H99" s="93">
        <v>1720</v>
      </c>
      <c r="I99" s="93">
        <v>163</v>
      </c>
      <c r="J99" s="93">
        <f>(G99-H99-I99)+8</f>
        <v>143</v>
      </c>
      <c r="K99" s="93">
        <v>1307</v>
      </c>
      <c r="L99" s="93">
        <v>1057</v>
      </c>
      <c r="M99" s="93">
        <v>149</v>
      </c>
      <c r="N99" s="93">
        <f>(K99-L99-M99)+4</f>
        <v>105</v>
      </c>
      <c r="P99" s="93">
        <f t="shared" si="13"/>
        <v>0.8910891089108911</v>
      </c>
      <c r="Q99" s="93">
        <f t="shared" si="14"/>
        <v>8.9108910891089105E-2</v>
      </c>
      <c r="R99" s="93">
        <f t="shared" si="15"/>
        <v>1.9801980198019802E-2</v>
      </c>
      <c r="S99" s="93">
        <f t="shared" si="16"/>
        <v>0.85232903865213083</v>
      </c>
      <c r="T99" s="93">
        <f t="shared" si="17"/>
        <v>8.0773042616451934E-2</v>
      </c>
      <c r="U99" s="93">
        <f t="shared" si="18"/>
        <v>7.0862239841427158E-2</v>
      </c>
      <c r="V99" s="93">
        <f t="shared" si="19"/>
        <v>0.8087222647283856</v>
      </c>
      <c r="W99" s="93">
        <f t="shared" si="20"/>
        <v>0.11400153022188217</v>
      </c>
      <c r="X99" s="93">
        <f t="shared" si="21"/>
        <v>8.0336648814078038E-2</v>
      </c>
    </row>
    <row r="100" spans="1:24" x14ac:dyDescent="0.2">
      <c r="A100" s="326">
        <v>510</v>
      </c>
      <c r="B100" s="93" t="s">
        <v>670</v>
      </c>
      <c r="C100" s="93">
        <v>821</v>
      </c>
      <c r="D100" s="93">
        <v>748</v>
      </c>
      <c r="E100" s="93">
        <v>45</v>
      </c>
      <c r="F100" s="93">
        <f t="shared" si="22"/>
        <v>28</v>
      </c>
      <c r="G100" s="93">
        <v>16799</v>
      </c>
      <c r="H100" s="93">
        <v>14652</v>
      </c>
      <c r="I100" s="93">
        <v>1166</v>
      </c>
      <c r="J100" s="93">
        <f t="shared" si="23"/>
        <v>981</v>
      </c>
      <c r="K100" s="93">
        <v>6089</v>
      </c>
      <c r="L100" s="93">
        <v>5260</v>
      </c>
      <c r="M100" s="93">
        <v>488</v>
      </c>
      <c r="N100" s="93">
        <f t="shared" si="24"/>
        <v>341</v>
      </c>
      <c r="P100" s="93">
        <f t="shared" si="13"/>
        <v>0.91108404384896469</v>
      </c>
      <c r="Q100" s="93">
        <f t="shared" si="14"/>
        <v>5.4811205846528627E-2</v>
      </c>
      <c r="R100" s="93">
        <f t="shared" si="15"/>
        <v>3.4104750304506701E-2</v>
      </c>
      <c r="S100" s="93">
        <f t="shared" si="16"/>
        <v>0.87219477349842256</v>
      </c>
      <c r="T100" s="93">
        <f t="shared" si="17"/>
        <v>6.94088933865111E-2</v>
      </c>
      <c r="U100" s="93">
        <f t="shared" si="18"/>
        <v>5.8396333115066375E-2</v>
      </c>
      <c r="V100" s="93">
        <f t="shared" si="19"/>
        <v>0.8638528494005584</v>
      </c>
      <c r="W100" s="93">
        <f t="shared" si="20"/>
        <v>8.0144522910165869E-2</v>
      </c>
      <c r="X100" s="93">
        <f t="shared" si="21"/>
        <v>5.600262768927574E-2</v>
      </c>
    </row>
    <row r="101" spans="1:24" x14ac:dyDescent="0.2">
      <c r="A101" s="326">
        <v>520</v>
      </c>
      <c r="B101" s="93" t="s">
        <v>666</v>
      </c>
      <c r="C101" s="93">
        <v>11</v>
      </c>
      <c r="D101" s="93">
        <v>7</v>
      </c>
      <c r="E101" s="93">
        <v>1</v>
      </c>
      <c r="F101" s="93">
        <f t="shared" si="22"/>
        <v>3</v>
      </c>
      <c r="G101" s="93">
        <v>145</v>
      </c>
      <c r="H101" s="93">
        <v>122</v>
      </c>
      <c r="I101" s="93">
        <v>11</v>
      </c>
      <c r="J101" s="93">
        <f t="shared" si="23"/>
        <v>12</v>
      </c>
      <c r="K101" s="93">
        <v>102</v>
      </c>
      <c r="L101" s="93">
        <v>88</v>
      </c>
      <c r="M101" s="93">
        <v>10</v>
      </c>
      <c r="N101" s="93">
        <f t="shared" si="24"/>
        <v>4</v>
      </c>
      <c r="P101" s="93">
        <f t="shared" si="13"/>
        <v>0.63636363636363635</v>
      </c>
      <c r="Q101" s="93">
        <f t="shared" si="14"/>
        <v>9.0909090909090912E-2</v>
      </c>
      <c r="R101" s="93">
        <f t="shared" si="15"/>
        <v>0.27272727272727271</v>
      </c>
      <c r="S101" s="93">
        <f t="shared" si="16"/>
        <v>0.8413793103448276</v>
      </c>
      <c r="T101" s="93">
        <f t="shared" si="17"/>
        <v>7.586206896551724E-2</v>
      </c>
      <c r="U101" s="93">
        <f t="shared" si="18"/>
        <v>8.2758620689655171E-2</v>
      </c>
      <c r="V101" s="93">
        <f t="shared" si="19"/>
        <v>0.86274509803921573</v>
      </c>
      <c r="W101" s="93">
        <f t="shared" si="20"/>
        <v>9.8039215686274508E-2</v>
      </c>
      <c r="X101" s="93">
        <f t="shared" si="21"/>
        <v>3.9215686274509803E-2</v>
      </c>
    </row>
    <row r="102" spans="1:24" x14ac:dyDescent="0.2">
      <c r="A102" s="326">
        <v>540</v>
      </c>
      <c r="B102" s="93" t="s">
        <v>672</v>
      </c>
      <c r="C102" s="93">
        <v>61</v>
      </c>
      <c r="D102" s="93">
        <v>54</v>
      </c>
      <c r="E102" s="93">
        <v>3</v>
      </c>
      <c r="F102" s="93">
        <f t="shared" si="22"/>
        <v>4</v>
      </c>
      <c r="G102" s="93">
        <v>1629</v>
      </c>
      <c r="H102" s="93">
        <v>1384</v>
      </c>
      <c r="I102" s="93">
        <v>143</v>
      </c>
      <c r="J102" s="93">
        <f t="shared" si="23"/>
        <v>102</v>
      </c>
      <c r="K102" s="93">
        <v>538</v>
      </c>
      <c r="L102" s="93">
        <v>443</v>
      </c>
      <c r="M102" s="93">
        <v>69</v>
      </c>
      <c r="N102" s="93">
        <f t="shared" si="24"/>
        <v>26</v>
      </c>
      <c r="P102" s="93">
        <f t="shared" si="13"/>
        <v>0.88524590163934425</v>
      </c>
      <c r="Q102" s="93">
        <f t="shared" si="14"/>
        <v>4.9180327868852458E-2</v>
      </c>
      <c r="R102" s="93">
        <f t="shared" si="15"/>
        <v>6.5573770491803282E-2</v>
      </c>
      <c r="S102" s="93">
        <f t="shared" si="16"/>
        <v>0.84960098219766733</v>
      </c>
      <c r="T102" s="93">
        <f t="shared" si="17"/>
        <v>8.7783916513198279E-2</v>
      </c>
      <c r="U102" s="93">
        <f t="shared" si="18"/>
        <v>6.2615101289134445E-2</v>
      </c>
      <c r="V102" s="93">
        <f t="shared" si="19"/>
        <v>0.82342007434944242</v>
      </c>
      <c r="W102" s="93">
        <f t="shared" si="20"/>
        <v>0.12825278810408922</v>
      </c>
      <c r="X102" s="93">
        <f t="shared" si="21"/>
        <v>4.8327137546468404E-2</v>
      </c>
    </row>
    <row r="103" spans="1:24" x14ac:dyDescent="0.2">
      <c r="A103" s="326">
        <v>550</v>
      </c>
      <c r="B103" s="93" t="s">
        <v>678</v>
      </c>
      <c r="C103" s="93">
        <v>358</v>
      </c>
      <c r="D103" s="93">
        <v>280</v>
      </c>
      <c r="E103" s="93">
        <v>60</v>
      </c>
      <c r="F103" s="93">
        <f t="shared" si="22"/>
        <v>18</v>
      </c>
      <c r="G103" s="93">
        <v>6149</v>
      </c>
      <c r="H103" s="93">
        <v>4728</v>
      </c>
      <c r="I103" s="93">
        <v>985</v>
      </c>
      <c r="J103" s="93">
        <f t="shared" si="23"/>
        <v>436</v>
      </c>
      <c r="K103" s="93">
        <v>3821</v>
      </c>
      <c r="L103" s="93">
        <v>2776</v>
      </c>
      <c r="M103" s="93">
        <v>784</v>
      </c>
      <c r="N103" s="93">
        <f t="shared" si="24"/>
        <v>261</v>
      </c>
      <c r="P103" s="93">
        <f t="shared" si="13"/>
        <v>0.78212290502793291</v>
      </c>
      <c r="Q103" s="93">
        <f t="shared" si="14"/>
        <v>0.16759776536312848</v>
      </c>
      <c r="R103" s="93">
        <f t="shared" si="15"/>
        <v>5.027932960893855E-2</v>
      </c>
      <c r="S103" s="93">
        <f t="shared" si="16"/>
        <v>0.76890551309155963</v>
      </c>
      <c r="T103" s="93">
        <f t="shared" si="17"/>
        <v>0.16018864856074158</v>
      </c>
      <c r="U103" s="93">
        <f t="shared" si="18"/>
        <v>7.0905838347698813E-2</v>
      </c>
      <c r="V103" s="93">
        <f t="shared" si="19"/>
        <v>0.72651138445433128</v>
      </c>
      <c r="W103" s="93">
        <f t="shared" si="20"/>
        <v>0.20518188955770741</v>
      </c>
      <c r="X103" s="93">
        <f t="shared" si="21"/>
        <v>6.8306725987961267E-2</v>
      </c>
    </row>
    <row r="104" spans="1:24" x14ac:dyDescent="0.2">
      <c r="A104" s="326">
        <v>590</v>
      </c>
      <c r="B104" s="93" t="s">
        <v>674</v>
      </c>
      <c r="C104" s="93">
        <v>42</v>
      </c>
      <c r="D104" s="93">
        <v>30</v>
      </c>
      <c r="E104" s="93">
        <v>11</v>
      </c>
      <c r="F104" s="93">
        <f t="shared" si="22"/>
        <v>1</v>
      </c>
      <c r="G104" s="93">
        <v>741</v>
      </c>
      <c r="H104" s="93">
        <v>604</v>
      </c>
      <c r="I104" s="93">
        <v>81</v>
      </c>
      <c r="J104" s="93">
        <f t="shared" si="23"/>
        <v>56</v>
      </c>
      <c r="K104" s="93">
        <v>508</v>
      </c>
      <c r="L104" s="93">
        <v>422</v>
      </c>
      <c r="M104" s="93">
        <v>60</v>
      </c>
      <c r="N104" s="93">
        <f t="shared" si="24"/>
        <v>26</v>
      </c>
      <c r="P104" s="93">
        <f t="shared" si="13"/>
        <v>0.7142857142857143</v>
      </c>
      <c r="Q104" s="93">
        <f t="shared" si="14"/>
        <v>0.26190476190476192</v>
      </c>
      <c r="R104" s="93">
        <f t="shared" si="15"/>
        <v>2.3809523809523808E-2</v>
      </c>
      <c r="S104" s="93">
        <f t="shared" si="16"/>
        <v>0.81511470985155199</v>
      </c>
      <c r="T104" s="93">
        <f t="shared" si="17"/>
        <v>0.10931174089068826</v>
      </c>
      <c r="U104" s="93">
        <f t="shared" si="18"/>
        <v>7.5573549257759789E-2</v>
      </c>
      <c r="V104" s="93">
        <f t="shared" si="19"/>
        <v>0.8307086614173228</v>
      </c>
      <c r="W104" s="93">
        <f t="shared" si="20"/>
        <v>0.11811023622047244</v>
      </c>
      <c r="X104" s="93">
        <f t="shared" si="21"/>
        <v>5.1181102362204724E-2</v>
      </c>
    </row>
    <row r="105" spans="1:24" x14ac:dyDescent="0.2">
      <c r="A105" s="326">
        <v>620</v>
      </c>
      <c r="B105" s="93" t="s">
        <v>83</v>
      </c>
      <c r="C105" s="93">
        <v>8</v>
      </c>
      <c r="D105" s="93">
        <v>8</v>
      </c>
      <c r="E105" s="93">
        <v>0</v>
      </c>
      <c r="F105" s="93">
        <f t="shared" si="22"/>
        <v>0</v>
      </c>
      <c r="G105" s="93">
        <v>90</v>
      </c>
      <c r="H105" s="93">
        <v>67</v>
      </c>
      <c r="I105" s="93">
        <v>20</v>
      </c>
      <c r="J105" s="93">
        <f t="shared" si="23"/>
        <v>3</v>
      </c>
      <c r="K105" s="93">
        <v>63</v>
      </c>
      <c r="L105" s="93">
        <v>48</v>
      </c>
      <c r="M105" s="93">
        <v>15</v>
      </c>
      <c r="N105" s="93">
        <f t="shared" si="24"/>
        <v>0</v>
      </c>
      <c r="P105" s="93">
        <f t="shared" si="13"/>
        <v>1</v>
      </c>
      <c r="Q105" s="93">
        <f t="shared" si="14"/>
        <v>0</v>
      </c>
      <c r="R105" s="93">
        <f t="shared" si="15"/>
        <v>0</v>
      </c>
      <c r="S105" s="93">
        <f t="shared" si="16"/>
        <v>0.74444444444444446</v>
      </c>
      <c r="T105" s="93">
        <f t="shared" si="17"/>
        <v>0.22222222222222221</v>
      </c>
      <c r="U105" s="93">
        <f t="shared" si="18"/>
        <v>3.3333333333333333E-2</v>
      </c>
      <c r="V105" s="93">
        <f t="shared" si="19"/>
        <v>0.76190476190476186</v>
      </c>
      <c r="W105" s="93">
        <f t="shared" si="20"/>
        <v>0.23809523809523808</v>
      </c>
      <c r="X105" s="93">
        <f t="shared" si="21"/>
        <v>0</v>
      </c>
    </row>
    <row r="106" spans="1:24" x14ac:dyDescent="0.2">
      <c r="A106" s="326">
        <v>630</v>
      </c>
      <c r="B106" s="93" t="s">
        <v>675</v>
      </c>
      <c r="C106" s="93">
        <v>63</v>
      </c>
      <c r="D106" s="93">
        <v>57</v>
      </c>
      <c r="E106" s="93">
        <v>2</v>
      </c>
      <c r="F106" s="93">
        <f t="shared" si="22"/>
        <v>4</v>
      </c>
      <c r="G106" s="93">
        <v>1774</v>
      </c>
      <c r="H106" s="93">
        <v>1444</v>
      </c>
      <c r="I106" s="93">
        <v>196</v>
      </c>
      <c r="J106" s="93">
        <f t="shared" si="23"/>
        <v>134</v>
      </c>
      <c r="K106" s="93">
        <v>987</v>
      </c>
      <c r="L106" s="93">
        <v>762</v>
      </c>
      <c r="M106" s="93">
        <v>149</v>
      </c>
      <c r="N106" s="93">
        <f t="shared" si="24"/>
        <v>76</v>
      </c>
      <c r="P106" s="93">
        <f t="shared" si="13"/>
        <v>0.90476190476190477</v>
      </c>
      <c r="Q106" s="93">
        <f t="shared" si="14"/>
        <v>3.1746031746031744E-2</v>
      </c>
      <c r="R106" s="93">
        <f t="shared" si="15"/>
        <v>6.3492063492063489E-2</v>
      </c>
      <c r="S106" s="93">
        <f t="shared" si="16"/>
        <v>0.81397970687711385</v>
      </c>
      <c r="T106" s="93">
        <f t="shared" si="17"/>
        <v>0.1104847801578354</v>
      </c>
      <c r="U106" s="93">
        <f t="shared" si="18"/>
        <v>7.5535512965050733E-2</v>
      </c>
      <c r="V106" s="93">
        <f t="shared" si="19"/>
        <v>0.77203647416413379</v>
      </c>
      <c r="W106" s="93">
        <f t="shared" si="20"/>
        <v>0.15096251266464034</v>
      </c>
      <c r="X106" s="93">
        <f t="shared" si="21"/>
        <v>7.7001013171225943E-2</v>
      </c>
    </row>
    <row r="107" spans="1:24" x14ac:dyDescent="0.2">
      <c r="A107" s="326">
        <v>640</v>
      </c>
      <c r="B107" s="93" t="s">
        <v>667</v>
      </c>
      <c r="C107" s="93">
        <v>16</v>
      </c>
      <c r="D107" s="93">
        <v>13</v>
      </c>
      <c r="E107" s="93">
        <v>3</v>
      </c>
      <c r="F107" s="93">
        <f t="shared" si="22"/>
        <v>0</v>
      </c>
      <c r="G107" s="93">
        <v>481</v>
      </c>
      <c r="H107" s="93">
        <v>446</v>
      </c>
      <c r="I107" s="93">
        <v>13</v>
      </c>
      <c r="J107" s="93">
        <f t="shared" si="23"/>
        <v>22</v>
      </c>
      <c r="K107" s="93">
        <v>445</v>
      </c>
      <c r="L107" s="93">
        <v>399</v>
      </c>
      <c r="M107" s="93">
        <v>37</v>
      </c>
      <c r="N107" s="93">
        <f t="shared" si="24"/>
        <v>9</v>
      </c>
      <c r="P107" s="93">
        <f t="shared" si="13"/>
        <v>0.8125</v>
      </c>
      <c r="Q107" s="93">
        <f t="shared" si="14"/>
        <v>0.1875</v>
      </c>
      <c r="R107" s="93">
        <f t="shared" si="15"/>
        <v>0</v>
      </c>
      <c r="S107" s="93">
        <f t="shared" si="16"/>
        <v>0.92723492723492729</v>
      </c>
      <c r="T107" s="93">
        <f t="shared" si="17"/>
        <v>2.7027027027027029E-2</v>
      </c>
      <c r="U107" s="93">
        <f t="shared" si="18"/>
        <v>4.5738045738045741E-2</v>
      </c>
      <c r="V107" s="93">
        <f t="shared" si="19"/>
        <v>0.89662921348314606</v>
      </c>
      <c r="W107" s="93">
        <f t="shared" si="20"/>
        <v>8.3146067415730343E-2</v>
      </c>
      <c r="X107" s="93">
        <f t="shared" si="21"/>
        <v>2.0224719101123594E-2</v>
      </c>
    </row>
    <row r="108" spans="1:24" x14ac:dyDescent="0.2">
      <c r="A108" s="326">
        <v>650</v>
      </c>
      <c r="B108" s="93" t="s">
        <v>683</v>
      </c>
      <c r="C108" s="93">
        <v>258</v>
      </c>
      <c r="D108" s="93">
        <v>165</v>
      </c>
      <c r="E108" s="93">
        <v>86</v>
      </c>
      <c r="F108" s="93">
        <f t="shared" si="22"/>
        <v>7</v>
      </c>
      <c r="G108" s="93">
        <v>4089</v>
      </c>
      <c r="H108" s="93">
        <v>2678</v>
      </c>
      <c r="I108" s="93">
        <v>1155</v>
      </c>
      <c r="J108" s="93">
        <f t="shared" si="23"/>
        <v>256</v>
      </c>
      <c r="K108" s="93">
        <v>2117</v>
      </c>
      <c r="L108" s="93">
        <v>1225</v>
      </c>
      <c r="M108" s="93">
        <v>724</v>
      </c>
      <c r="N108" s="93">
        <f t="shared" si="24"/>
        <v>168</v>
      </c>
      <c r="P108" s="93">
        <f t="shared" si="13"/>
        <v>0.63953488372093026</v>
      </c>
      <c r="Q108" s="93">
        <f t="shared" si="14"/>
        <v>0.33333333333333331</v>
      </c>
      <c r="R108" s="93">
        <f t="shared" si="15"/>
        <v>2.7131782945736434E-2</v>
      </c>
      <c r="S108" s="93">
        <f t="shared" si="16"/>
        <v>0.65492785522132546</v>
      </c>
      <c r="T108" s="93">
        <f t="shared" si="17"/>
        <v>0.28246515040352166</v>
      </c>
      <c r="U108" s="93">
        <f t="shared" si="18"/>
        <v>6.2606994375152852E-2</v>
      </c>
      <c r="V108" s="93">
        <f t="shared" si="19"/>
        <v>0.5786490316485593</v>
      </c>
      <c r="W108" s="93">
        <f t="shared" si="20"/>
        <v>0.34199338686820974</v>
      </c>
      <c r="X108" s="93">
        <f t="shared" si="21"/>
        <v>7.9357581483230993E-2</v>
      </c>
    </row>
    <row r="109" spans="1:24" x14ac:dyDescent="0.2">
      <c r="A109" s="326">
        <v>670</v>
      </c>
      <c r="B109" s="93" t="s">
        <v>676</v>
      </c>
      <c r="C109" s="93">
        <v>50</v>
      </c>
      <c r="D109" s="93">
        <v>42</v>
      </c>
      <c r="E109" s="93">
        <v>6</v>
      </c>
      <c r="F109" s="93">
        <f t="shared" si="22"/>
        <v>2</v>
      </c>
      <c r="G109" s="93">
        <v>974</v>
      </c>
      <c r="H109" s="93">
        <v>711</v>
      </c>
      <c r="I109" s="93">
        <v>215</v>
      </c>
      <c r="J109" s="93">
        <f t="shared" si="23"/>
        <v>48</v>
      </c>
      <c r="K109" s="93">
        <v>494</v>
      </c>
      <c r="L109" s="93">
        <v>350</v>
      </c>
      <c r="M109" s="93">
        <v>130</v>
      </c>
      <c r="N109" s="93">
        <f t="shared" si="24"/>
        <v>14</v>
      </c>
      <c r="P109" s="93">
        <f t="shared" si="13"/>
        <v>0.84</v>
      </c>
      <c r="Q109" s="93">
        <f t="shared" si="14"/>
        <v>0.12</v>
      </c>
      <c r="R109" s="93">
        <f t="shared" si="15"/>
        <v>0.04</v>
      </c>
      <c r="S109" s="93">
        <f t="shared" si="16"/>
        <v>0.72997946611909648</v>
      </c>
      <c r="T109" s="93">
        <f t="shared" si="17"/>
        <v>0.22073921971252566</v>
      </c>
      <c r="U109" s="93">
        <f t="shared" si="18"/>
        <v>4.9281314168377825E-2</v>
      </c>
      <c r="V109" s="93">
        <f t="shared" si="19"/>
        <v>0.708502024291498</v>
      </c>
      <c r="W109" s="93">
        <f t="shared" si="20"/>
        <v>0.26315789473684209</v>
      </c>
      <c r="X109" s="93">
        <f t="shared" si="21"/>
        <v>2.8340080971659919E-2</v>
      </c>
    </row>
    <row r="110" spans="1:24" x14ac:dyDescent="0.2">
      <c r="A110" s="326">
        <v>680</v>
      </c>
      <c r="B110" s="93" t="s">
        <v>673</v>
      </c>
      <c r="C110" s="93">
        <v>78</v>
      </c>
      <c r="D110" s="93">
        <v>67</v>
      </c>
      <c r="E110" s="93">
        <v>11</v>
      </c>
      <c r="F110" s="93">
        <f t="shared" si="22"/>
        <v>0</v>
      </c>
      <c r="G110" s="93">
        <v>1695</v>
      </c>
      <c r="H110" s="93">
        <v>1374</v>
      </c>
      <c r="I110" s="93">
        <v>219</v>
      </c>
      <c r="J110" s="93">
        <f t="shared" si="23"/>
        <v>102</v>
      </c>
      <c r="K110" s="93">
        <v>649</v>
      </c>
      <c r="L110" s="93">
        <v>508</v>
      </c>
      <c r="M110" s="93">
        <v>96</v>
      </c>
      <c r="N110" s="93">
        <f t="shared" si="24"/>
        <v>45</v>
      </c>
      <c r="P110" s="93">
        <f t="shared" si="13"/>
        <v>0.85897435897435892</v>
      </c>
      <c r="Q110" s="93">
        <f t="shared" si="14"/>
        <v>0.14102564102564102</v>
      </c>
      <c r="R110" s="93">
        <f t="shared" si="15"/>
        <v>0</v>
      </c>
      <c r="S110" s="93">
        <f t="shared" si="16"/>
        <v>0.81061946902654869</v>
      </c>
      <c r="T110" s="93">
        <f t="shared" si="17"/>
        <v>0.12920353982300886</v>
      </c>
      <c r="U110" s="93">
        <f t="shared" si="18"/>
        <v>6.0176991150442477E-2</v>
      </c>
      <c r="V110" s="93">
        <f t="shared" si="19"/>
        <v>0.78274268104776579</v>
      </c>
      <c r="W110" s="93">
        <f t="shared" si="20"/>
        <v>0.14791987673343607</v>
      </c>
      <c r="X110" s="93">
        <f t="shared" si="21"/>
        <v>6.9337442218798145E-2</v>
      </c>
    </row>
    <row r="111" spans="1:24" x14ac:dyDescent="0.2">
      <c r="A111" s="326">
        <v>683</v>
      </c>
      <c r="B111" s="93" t="s">
        <v>273</v>
      </c>
      <c r="C111" s="93">
        <v>178</v>
      </c>
      <c r="D111" s="93">
        <v>162</v>
      </c>
      <c r="E111" s="93">
        <v>11</v>
      </c>
      <c r="F111" s="93">
        <f t="shared" si="22"/>
        <v>5</v>
      </c>
      <c r="G111" s="93">
        <v>7551</v>
      </c>
      <c r="H111" s="93">
        <v>6855</v>
      </c>
      <c r="I111" s="93">
        <v>405</v>
      </c>
      <c r="J111" s="93">
        <f t="shared" si="23"/>
        <v>291</v>
      </c>
      <c r="K111" s="93">
        <v>4648</v>
      </c>
      <c r="L111" s="93">
        <v>4150</v>
      </c>
      <c r="M111" s="93">
        <v>305</v>
      </c>
      <c r="N111" s="93">
        <f t="shared" si="24"/>
        <v>193</v>
      </c>
      <c r="P111" s="93">
        <f t="shared" si="13"/>
        <v>0.9101123595505618</v>
      </c>
      <c r="Q111" s="93">
        <f t="shared" si="14"/>
        <v>6.1797752808988762E-2</v>
      </c>
      <c r="R111" s="93">
        <f t="shared" si="15"/>
        <v>2.8089887640449437E-2</v>
      </c>
      <c r="S111" s="93">
        <f t="shared" si="16"/>
        <v>0.9078267779102106</v>
      </c>
      <c r="T111" s="93">
        <f t="shared" si="17"/>
        <v>5.3635280095351609E-2</v>
      </c>
      <c r="U111" s="93">
        <f t="shared" si="18"/>
        <v>3.8537941994437823E-2</v>
      </c>
      <c r="V111" s="93">
        <f t="shared" si="19"/>
        <v>0.8928571428571429</v>
      </c>
      <c r="W111" s="93">
        <f t="shared" si="20"/>
        <v>6.561962134251291E-2</v>
      </c>
      <c r="X111" s="93">
        <f t="shared" si="21"/>
        <v>4.1523235800344234E-2</v>
      </c>
    </row>
    <row r="112" spans="1:24" x14ac:dyDescent="0.2">
      <c r="A112" s="326">
        <v>685</v>
      </c>
      <c r="B112" s="93" t="s">
        <v>671</v>
      </c>
      <c r="C112" s="93">
        <v>99</v>
      </c>
      <c r="D112" s="93">
        <v>93</v>
      </c>
      <c r="E112" s="93">
        <v>2</v>
      </c>
      <c r="F112" s="93">
        <f t="shared" si="22"/>
        <v>4</v>
      </c>
      <c r="G112" s="93">
        <v>3242</v>
      </c>
      <c r="H112" s="93">
        <v>2913</v>
      </c>
      <c r="I112" s="93">
        <v>169</v>
      </c>
      <c r="J112" s="93">
        <f t="shared" si="23"/>
        <v>160</v>
      </c>
      <c r="K112" s="93">
        <v>1789</v>
      </c>
      <c r="L112" s="93">
        <v>1579</v>
      </c>
      <c r="M112" s="93">
        <v>126</v>
      </c>
      <c r="N112" s="93">
        <f t="shared" si="24"/>
        <v>84</v>
      </c>
      <c r="P112" s="93">
        <f t="shared" si="13"/>
        <v>0.93939393939393945</v>
      </c>
      <c r="Q112" s="93">
        <f t="shared" si="14"/>
        <v>2.0202020202020204E-2</v>
      </c>
      <c r="R112" s="93">
        <f t="shared" si="15"/>
        <v>4.0404040404040407E-2</v>
      </c>
      <c r="S112" s="93">
        <f t="shared" si="16"/>
        <v>0.89851943244910548</v>
      </c>
      <c r="T112" s="93">
        <f t="shared" si="17"/>
        <v>5.2128315854410856E-2</v>
      </c>
      <c r="U112" s="93">
        <f t="shared" si="18"/>
        <v>4.9352251696483655E-2</v>
      </c>
      <c r="V112" s="93">
        <f t="shared" si="19"/>
        <v>0.88261598658468421</v>
      </c>
      <c r="W112" s="93">
        <f t="shared" si="20"/>
        <v>7.0430408049189486E-2</v>
      </c>
      <c r="X112" s="93">
        <f t="shared" si="21"/>
        <v>4.6953605366126326E-2</v>
      </c>
    </row>
    <row r="113" spans="1:24" x14ac:dyDescent="0.2">
      <c r="A113" s="326">
        <v>690</v>
      </c>
      <c r="B113" s="93" t="s">
        <v>792</v>
      </c>
      <c r="C113" s="93">
        <v>13</v>
      </c>
      <c r="D113" s="93">
        <v>10</v>
      </c>
      <c r="E113" s="93">
        <v>3</v>
      </c>
      <c r="F113" s="93">
        <f t="shared" si="22"/>
        <v>0</v>
      </c>
      <c r="G113" s="93">
        <v>287</v>
      </c>
      <c r="H113" s="93">
        <v>241</v>
      </c>
      <c r="I113" s="93">
        <v>30</v>
      </c>
      <c r="J113" s="93">
        <f t="shared" si="23"/>
        <v>16</v>
      </c>
      <c r="K113" s="93">
        <v>230</v>
      </c>
      <c r="L113" s="93">
        <v>189</v>
      </c>
      <c r="M113" s="93">
        <v>29</v>
      </c>
      <c r="N113" s="93">
        <f t="shared" si="24"/>
        <v>12</v>
      </c>
      <c r="P113" s="93">
        <f t="shared" si="13"/>
        <v>0.76923076923076927</v>
      </c>
      <c r="Q113" s="93">
        <f t="shared" si="14"/>
        <v>0.23076923076923078</v>
      </c>
      <c r="R113" s="93">
        <f t="shared" si="15"/>
        <v>0</v>
      </c>
      <c r="S113" s="93">
        <f t="shared" si="16"/>
        <v>0.83972125435540068</v>
      </c>
      <c r="T113" s="93">
        <f t="shared" si="17"/>
        <v>0.10452961672473868</v>
      </c>
      <c r="U113" s="93">
        <f t="shared" si="18"/>
        <v>5.5749128919860627E-2</v>
      </c>
      <c r="V113" s="93">
        <f t="shared" si="19"/>
        <v>0.82173913043478264</v>
      </c>
      <c r="W113" s="93">
        <f t="shared" si="20"/>
        <v>0.12608695652173912</v>
      </c>
      <c r="X113" s="93">
        <f t="shared" si="21"/>
        <v>5.2173913043478258E-2</v>
      </c>
    </row>
    <row r="114" spans="1:24" x14ac:dyDescent="0.2">
      <c r="A114" s="326">
        <v>700</v>
      </c>
      <c r="B114" s="93" t="s">
        <v>684</v>
      </c>
      <c r="C114" s="93">
        <v>422</v>
      </c>
      <c r="D114" s="93">
        <v>327</v>
      </c>
      <c r="E114" s="93">
        <v>87</v>
      </c>
      <c r="F114" s="93">
        <f t="shared" si="22"/>
        <v>8</v>
      </c>
      <c r="G114" s="93">
        <v>8740</v>
      </c>
      <c r="H114" s="93">
        <v>6397</v>
      </c>
      <c r="I114" s="93">
        <v>1812</v>
      </c>
      <c r="J114" s="93">
        <f t="shared" si="23"/>
        <v>531</v>
      </c>
      <c r="K114" s="93">
        <v>4571</v>
      </c>
      <c r="L114" s="93">
        <v>2995</v>
      </c>
      <c r="M114" s="93">
        <v>1269</v>
      </c>
      <c r="N114" s="93">
        <f t="shared" si="24"/>
        <v>307</v>
      </c>
      <c r="P114" s="93">
        <f t="shared" si="13"/>
        <v>0.77488151658767768</v>
      </c>
      <c r="Q114" s="93">
        <f t="shared" si="14"/>
        <v>0.20616113744075829</v>
      </c>
      <c r="R114" s="93">
        <f t="shared" si="15"/>
        <v>1.8957345971563982E-2</v>
      </c>
      <c r="S114" s="93">
        <f t="shared" si="16"/>
        <v>0.73192219679633863</v>
      </c>
      <c r="T114" s="93">
        <f t="shared" si="17"/>
        <v>0.20732265446224257</v>
      </c>
      <c r="U114" s="93">
        <f t="shared" si="18"/>
        <v>6.0755148741418762E-2</v>
      </c>
      <c r="V114" s="93">
        <f t="shared" si="19"/>
        <v>0.65521767665718667</v>
      </c>
      <c r="W114" s="93">
        <f t="shared" si="20"/>
        <v>0.27761977685408007</v>
      </c>
      <c r="X114" s="93">
        <f t="shared" si="21"/>
        <v>6.7162546488733321E-2</v>
      </c>
    </row>
    <row r="115" spans="1:24" x14ac:dyDescent="0.2">
      <c r="A115" s="326">
        <v>710</v>
      </c>
      <c r="B115" s="93" t="s">
        <v>679</v>
      </c>
      <c r="C115" s="93">
        <v>397</v>
      </c>
      <c r="D115" s="93">
        <v>289</v>
      </c>
      <c r="E115" s="93">
        <v>86</v>
      </c>
      <c r="F115" s="93">
        <f t="shared" si="22"/>
        <v>22</v>
      </c>
      <c r="G115" s="93">
        <v>11906</v>
      </c>
      <c r="H115" s="93">
        <v>8602</v>
      </c>
      <c r="I115" s="93">
        <v>2487</v>
      </c>
      <c r="J115" s="93">
        <f t="shared" si="23"/>
        <v>817</v>
      </c>
      <c r="K115" s="93">
        <v>4411</v>
      </c>
      <c r="L115" s="93">
        <v>2909</v>
      </c>
      <c r="M115" s="93">
        <v>1197</v>
      </c>
      <c r="N115" s="93">
        <f t="shared" si="24"/>
        <v>305</v>
      </c>
      <c r="P115" s="93">
        <f t="shared" si="13"/>
        <v>0.72795969773299751</v>
      </c>
      <c r="Q115" s="93">
        <f t="shared" si="14"/>
        <v>0.21662468513853905</v>
      </c>
      <c r="R115" s="93">
        <f t="shared" si="15"/>
        <v>5.5415617128463476E-2</v>
      </c>
      <c r="S115" s="93">
        <f t="shared" si="16"/>
        <v>0.72249286074248276</v>
      </c>
      <c r="T115" s="93">
        <f t="shared" si="17"/>
        <v>0.20888627582731395</v>
      </c>
      <c r="U115" s="93">
        <f t="shared" si="18"/>
        <v>6.8620863430203252E-2</v>
      </c>
      <c r="V115" s="93">
        <f t="shared" si="19"/>
        <v>0.65948764452505104</v>
      </c>
      <c r="W115" s="93">
        <f t="shared" si="20"/>
        <v>0.27136703695307185</v>
      </c>
      <c r="X115" s="93">
        <f t="shared" si="21"/>
        <v>6.9145318521877122E-2</v>
      </c>
    </row>
    <row r="116" spans="1:24" x14ac:dyDescent="0.2">
      <c r="A116" s="326">
        <v>720</v>
      </c>
      <c r="B116" s="93" t="s">
        <v>665</v>
      </c>
      <c r="C116" s="93">
        <v>2</v>
      </c>
      <c r="D116" s="93">
        <v>2</v>
      </c>
      <c r="E116" s="93">
        <v>0</v>
      </c>
      <c r="F116" s="93">
        <f t="shared" si="22"/>
        <v>0</v>
      </c>
      <c r="G116" s="93">
        <v>62</v>
      </c>
      <c r="H116" s="93">
        <v>59</v>
      </c>
      <c r="I116" s="93">
        <v>0</v>
      </c>
      <c r="J116" s="93">
        <f t="shared" si="23"/>
        <v>3</v>
      </c>
      <c r="K116" s="93">
        <v>26</v>
      </c>
      <c r="L116" s="93">
        <v>24</v>
      </c>
      <c r="M116" s="93">
        <v>1</v>
      </c>
      <c r="N116" s="93">
        <f t="shared" si="24"/>
        <v>1</v>
      </c>
      <c r="P116" s="93">
        <f t="shared" si="13"/>
        <v>1</v>
      </c>
      <c r="Q116" s="93">
        <f t="shared" si="14"/>
        <v>0</v>
      </c>
      <c r="R116" s="93">
        <f t="shared" si="15"/>
        <v>0</v>
      </c>
      <c r="S116" s="93">
        <f t="shared" si="16"/>
        <v>0.95161290322580649</v>
      </c>
      <c r="T116" s="93">
        <f t="shared" si="17"/>
        <v>0</v>
      </c>
      <c r="U116" s="93">
        <f t="shared" si="18"/>
        <v>4.8387096774193547E-2</v>
      </c>
      <c r="V116" s="93">
        <f t="shared" si="19"/>
        <v>0.92307692307692313</v>
      </c>
      <c r="W116" s="93">
        <f t="shared" si="20"/>
        <v>3.8461538461538464E-2</v>
      </c>
      <c r="X116" s="93">
        <f t="shared" si="21"/>
        <v>3.8461538461538464E-2</v>
      </c>
    </row>
    <row r="117" spans="1:24" x14ac:dyDescent="0.2">
      <c r="A117" s="326">
        <v>730</v>
      </c>
      <c r="B117" s="93" t="s">
        <v>677</v>
      </c>
      <c r="C117" s="93">
        <v>48</v>
      </c>
      <c r="D117" s="93">
        <v>24</v>
      </c>
      <c r="E117" s="93">
        <v>24</v>
      </c>
      <c r="F117" s="93">
        <f t="shared" si="22"/>
        <v>0</v>
      </c>
      <c r="G117" s="93">
        <v>844</v>
      </c>
      <c r="H117" s="93">
        <v>552</v>
      </c>
      <c r="I117" s="93">
        <v>254</v>
      </c>
      <c r="J117" s="93">
        <f t="shared" si="23"/>
        <v>38</v>
      </c>
      <c r="K117" s="93">
        <v>426</v>
      </c>
      <c r="L117" s="93">
        <v>265</v>
      </c>
      <c r="M117" s="93">
        <v>136</v>
      </c>
      <c r="N117" s="93">
        <f t="shared" si="24"/>
        <v>25</v>
      </c>
      <c r="P117" s="93">
        <f t="shared" si="13"/>
        <v>0.5</v>
      </c>
      <c r="Q117" s="93">
        <f t="shared" si="14"/>
        <v>0.5</v>
      </c>
      <c r="R117" s="93">
        <f t="shared" si="15"/>
        <v>0</v>
      </c>
      <c r="S117" s="93">
        <f t="shared" si="16"/>
        <v>0.65402843601895733</v>
      </c>
      <c r="T117" s="93">
        <f t="shared" si="17"/>
        <v>0.3009478672985782</v>
      </c>
      <c r="U117" s="93">
        <f t="shared" si="18"/>
        <v>4.5023696682464455E-2</v>
      </c>
      <c r="V117" s="93">
        <f t="shared" si="19"/>
        <v>0.6220657276995305</v>
      </c>
      <c r="W117" s="93">
        <f t="shared" si="20"/>
        <v>0.31924882629107981</v>
      </c>
      <c r="X117" s="93">
        <f t="shared" si="21"/>
        <v>5.8685446009389672E-2</v>
      </c>
    </row>
    <row r="118" spans="1:24" x14ac:dyDescent="0.2">
      <c r="A118" s="326">
        <v>740</v>
      </c>
      <c r="B118" s="93" t="s">
        <v>680</v>
      </c>
      <c r="C118" s="93">
        <v>94</v>
      </c>
      <c r="D118" s="93">
        <v>49</v>
      </c>
      <c r="E118" s="93">
        <v>36</v>
      </c>
      <c r="F118" s="93">
        <f t="shared" si="22"/>
        <v>9</v>
      </c>
      <c r="G118" s="93">
        <v>2014</v>
      </c>
      <c r="H118" s="93">
        <v>1383</v>
      </c>
      <c r="I118" s="93">
        <v>499</v>
      </c>
      <c r="J118" s="93">
        <f t="shared" si="23"/>
        <v>132</v>
      </c>
      <c r="K118" s="93">
        <v>1004</v>
      </c>
      <c r="L118" s="93">
        <v>611</v>
      </c>
      <c r="M118" s="93">
        <v>313</v>
      </c>
      <c r="N118" s="93">
        <f t="shared" si="24"/>
        <v>80</v>
      </c>
      <c r="P118" s="93">
        <f t="shared" si="13"/>
        <v>0.52127659574468088</v>
      </c>
      <c r="Q118" s="93">
        <f t="shared" si="14"/>
        <v>0.38297872340425532</v>
      </c>
      <c r="R118" s="93">
        <f t="shared" si="15"/>
        <v>9.5744680851063829E-2</v>
      </c>
      <c r="S118" s="93">
        <f t="shared" si="16"/>
        <v>0.68669314796425029</v>
      </c>
      <c r="T118" s="93">
        <f t="shared" si="17"/>
        <v>0.2477656405163853</v>
      </c>
      <c r="U118" s="93">
        <f t="shared" si="18"/>
        <v>6.5541211519364442E-2</v>
      </c>
      <c r="V118" s="93">
        <f t="shared" si="19"/>
        <v>0.60856573705179284</v>
      </c>
      <c r="W118" s="93">
        <f t="shared" si="20"/>
        <v>0.31175298804780877</v>
      </c>
      <c r="X118" s="93">
        <f t="shared" si="21"/>
        <v>7.9681274900398405E-2</v>
      </c>
    </row>
    <row r="119" spans="1:24" x14ac:dyDescent="0.2">
      <c r="A119" s="326">
        <v>750</v>
      </c>
      <c r="B119" s="93" t="s">
        <v>668</v>
      </c>
      <c r="C119" s="93">
        <v>8</v>
      </c>
      <c r="D119" s="93">
        <v>6</v>
      </c>
      <c r="E119" s="93">
        <v>0</v>
      </c>
      <c r="F119" s="93">
        <f t="shared" si="22"/>
        <v>2</v>
      </c>
      <c r="G119" s="93">
        <v>328</v>
      </c>
      <c r="H119" s="93">
        <v>281</v>
      </c>
      <c r="I119" s="93">
        <v>12</v>
      </c>
      <c r="J119" s="93">
        <f t="shared" si="23"/>
        <v>35</v>
      </c>
      <c r="K119" s="93">
        <v>60</v>
      </c>
      <c r="L119" s="93">
        <v>42</v>
      </c>
      <c r="M119" s="93">
        <v>13</v>
      </c>
      <c r="N119" s="93">
        <f t="shared" si="24"/>
        <v>5</v>
      </c>
      <c r="P119" s="93">
        <f t="shared" si="13"/>
        <v>0.75</v>
      </c>
      <c r="Q119" s="93">
        <f t="shared" si="14"/>
        <v>0</v>
      </c>
      <c r="R119" s="93">
        <f t="shared" si="15"/>
        <v>0.25</v>
      </c>
      <c r="S119" s="93">
        <f t="shared" si="16"/>
        <v>0.85670731707317072</v>
      </c>
      <c r="T119" s="93">
        <f t="shared" si="17"/>
        <v>3.6585365853658534E-2</v>
      </c>
      <c r="U119" s="93">
        <f t="shared" si="18"/>
        <v>0.10670731707317073</v>
      </c>
      <c r="V119" s="93">
        <f t="shared" si="19"/>
        <v>0.7</v>
      </c>
      <c r="W119" s="93">
        <f t="shared" si="20"/>
        <v>0.21666666666666667</v>
      </c>
      <c r="X119" s="93">
        <f t="shared" si="21"/>
        <v>8.3333333333333329E-2</v>
      </c>
    </row>
    <row r="120" spans="1:24" x14ac:dyDescent="0.2">
      <c r="A120" s="326">
        <v>760</v>
      </c>
      <c r="B120" s="93" t="s">
        <v>197</v>
      </c>
      <c r="C120" s="93">
        <v>287</v>
      </c>
      <c r="D120" s="93">
        <v>198</v>
      </c>
      <c r="E120" s="93">
        <v>67</v>
      </c>
      <c r="F120" s="93">
        <f t="shared" si="22"/>
        <v>22</v>
      </c>
      <c r="G120" s="93">
        <v>8984</v>
      </c>
      <c r="H120" s="93">
        <v>6482</v>
      </c>
      <c r="I120" s="93">
        <v>1537</v>
      </c>
      <c r="J120" s="93">
        <f t="shared" si="23"/>
        <v>965</v>
      </c>
      <c r="K120" s="93">
        <v>3767</v>
      </c>
      <c r="L120" s="93">
        <v>2448</v>
      </c>
      <c r="M120" s="93">
        <v>866</v>
      </c>
      <c r="N120" s="93">
        <f t="shared" si="24"/>
        <v>453</v>
      </c>
      <c r="P120" s="93">
        <f t="shared" si="13"/>
        <v>0.68989547038327526</v>
      </c>
      <c r="Q120" s="93">
        <f t="shared" si="14"/>
        <v>0.23344947735191637</v>
      </c>
      <c r="R120" s="93">
        <f t="shared" si="15"/>
        <v>7.6655052264808357E-2</v>
      </c>
      <c r="S120" s="93">
        <f t="shared" si="16"/>
        <v>0.72150489759572578</v>
      </c>
      <c r="T120" s="93">
        <f t="shared" si="17"/>
        <v>0.17108192341941228</v>
      </c>
      <c r="U120" s="93">
        <f t="shared" si="18"/>
        <v>0.10741317898486198</v>
      </c>
      <c r="V120" s="93">
        <f t="shared" si="19"/>
        <v>0.64985399522166176</v>
      </c>
      <c r="W120" s="93">
        <f t="shared" si="20"/>
        <v>0.22989116007432969</v>
      </c>
      <c r="X120" s="93">
        <f t="shared" si="21"/>
        <v>0.12025484470400849</v>
      </c>
    </row>
    <row r="121" spans="1:24" x14ac:dyDescent="0.2">
      <c r="A121" s="326">
        <v>770</v>
      </c>
      <c r="B121" s="93" t="s">
        <v>201</v>
      </c>
      <c r="C121" s="93">
        <v>153</v>
      </c>
      <c r="D121" s="93">
        <v>127</v>
      </c>
      <c r="E121" s="93">
        <v>20</v>
      </c>
      <c r="F121" s="93">
        <f t="shared" si="22"/>
        <v>6</v>
      </c>
      <c r="G121" s="93">
        <v>3374</v>
      </c>
      <c r="H121" s="93">
        <v>2778</v>
      </c>
      <c r="I121" s="93">
        <v>409</v>
      </c>
      <c r="J121" s="93">
        <f t="shared" si="23"/>
        <v>187</v>
      </c>
      <c r="K121" s="93">
        <v>1894</v>
      </c>
      <c r="L121" s="93">
        <v>1494</v>
      </c>
      <c r="M121" s="93">
        <v>306</v>
      </c>
      <c r="N121" s="93">
        <f t="shared" si="24"/>
        <v>94</v>
      </c>
      <c r="P121" s="93">
        <f t="shared" si="13"/>
        <v>0.83006535947712423</v>
      </c>
      <c r="Q121" s="93">
        <f t="shared" si="14"/>
        <v>0.13071895424836602</v>
      </c>
      <c r="R121" s="93">
        <f t="shared" si="15"/>
        <v>3.9215686274509803E-2</v>
      </c>
      <c r="S121" s="93">
        <f t="shared" si="16"/>
        <v>0.82335506816834614</v>
      </c>
      <c r="T121" s="93">
        <f t="shared" si="17"/>
        <v>0.12122110254890338</v>
      </c>
      <c r="U121" s="93">
        <f t="shared" si="18"/>
        <v>5.5423829282750442E-2</v>
      </c>
      <c r="V121" s="93">
        <f t="shared" si="19"/>
        <v>0.78880675818373813</v>
      </c>
      <c r="W121" s="93">
        <f t="shared" si="20"/>
        <v>0.16156282998944033</v>
      </c>
      <c r="X121" s="93">
        <f t="shared" si="21"/>
        <v>4.9630411826821541E-2</v>
      </c>
    </row>
    <row r="122" spans="1:24" x14ac:dyDescent="0.2">
      <c r="A122" s="326">
        <v>800</v>
      </c>
      <c r="B122" s="93" t="s">
        <v>681</v>
      </c>
      <c r="C122" s="93">
        <v>86</v>
      </c>
      <c r="D122" s="93">
        <v>61</v>
      </c>
      <c r="E122" s="93">
        <v>17</v>
      </c>
      <c r="F122" s="93">
        <f>C122-D122-E122</f>
        <v>8</v>
      </c>
      <c r="G122" s="93">
        <v>1594</v>
      </c>
      <c r="H122" s="93">
        <v>1210</v>
      </c>
      <c r="I122" s="93">
        <v>298</v>
      </c>
      <c r="J122" s="93">
        <f>G122-H122-I122</f>
        <v>86</v>
      </c>
      <c r="K122" s="93">
        <v>1012</v>
      </c>
      <c r="L122" s="93">
        <v>660</v>
      </c>
      <c r="M122" s="93">
        <v>293</v>
      </c>
      <c r="N122" s="93">
        <f>K122-L122-M122</f>
        <v>59</v>
      </c>
      <c r="P122" s="93">
        <f>D122/C122</f>
        <v>0.70930232558139539</v>
      </c>
      <c r="Q122" s="93">
        <f>E122/C122</f>
        <v>0.19767441860465115</v>
      </c>
      <c r="R122" s="93">
        <f>F122/C122</f>
        <v>9.3023255813953487E-2</v>
      </c>
      <c r="S122" s="93">
        <f>H122/G122</f>
        <v>0.75909661229611036</v>
      </c>
      <c r="T122" s="93">
        <f>I122/G122</f>
        <v>0.18695106649937265</v>
      </c>
      <c r="U122" s="93">
        <f>J122/G122</f>
        <v>5.3952321204516936E-2</v>
      </c>
      <c r="V122" s="93">
        <f>L122/K122</f>
        <v>0.65217391304347827</v>
      </c>
      <c r="W122" s="93">
        <f>M122/K122</f>
        <v>0.28952569169960474</v>
      </c>
      <c r="X122" s="93">
        <f>N122/K122</f>
        <v>5.8300395256916999E-2</v>
      </c>
    </row>
    <row r="123" spans="1:24" x14ac:dyDescent="0.2">
      <c r="A123" s="326">
        <v>810</v>
      </c>
      <c r="B123" s="93" t="s">
        <v>682</v>
      </c>
      <c r="C123" s="93">
        <v>1121</v>
      </c>
      <c r="D123" s="93">
        <v>954</v>
      </c>
      <c r="E123" s="93">
        <v>107</v>
      </c>
      <c r="F123" s="93">
        <f>C123-D123-E123</f>
        <v>60</v>
      </c>
      <c r="G123" s="93">
        <v>19305</v>
      </c>
      <c r="H123" s="93">
        <v>15155</v>
      </c>
      <c r="I123" s="93">
        <v>2957</v>
      </c>
      <c r="J123" s="93">
        <f>G123-H123-I123</f>
        <v>1193</v>
      </c>
      <c r="K123" s="93">
        <v>10512</v>
      </c>
      <c r="L123" s="93">
        <v>7732</v>
      </c>
      <c r="M123" s="93">
        <v>2027</v>
      </c>
      <c r="N123" s="93">
        <f>K123-L123-M123</f>
        <v>753</v>
      </c>
      <c r="P123" s="93">
        <f>D123/C123</f>
        <v>0.85102586975914363</v>
      </c>
      <c r="Q123" s="93">
        <f>E123/C123</f>
        <v>9.5450490633363069E-2</v>
      </c>
      <c r="R123" s="93">
        <f>F123/C123</f>
        <v>5.352363960749331E-2</v>
      </c>
      <c r="S123" s="93">
        <f>H123/G123</f>
        <v>0.78502978502978504</v>
      </c>
      <c r="T123" s="93">
        <f>I123/G123</f>
        <v>0.15317275317275317</v>
      </c>
      <c r="U123" s="93">
        <f>J123/G123</f>
        <v>6.1797461797461796E-2</v>
      </c>
      <c r="V123" s="93">
        <f>L123/K123</f>
        <v>0.73554033485540338</v>
      </c>
      <c r="W123" s="93">
        <f>M123/K123</f>
        <v>0.19282724505327245</v>
      </c>
      <c r="X123" s="93">
        <f>N123/K123</f>
        <v>7.16324200913242E-2</v>
      </c>
    </row>
    <row r="124" spans="1:24" x14ac:dyDescent="0.2">
      <c r="A124" s="326">
        <v>830</v>
      </c>
      <c r="B124" s="93" t="s">
        <v>685</v>
      </c>
      <c r="C124" s="93">
        <v>18</v>
      </c>
      <c r="D124" s="93">
        <v>16</v>
      </c>
      <c r="E124" s="93">
        <v>2</v>
      </c>
      <c r="F124" s="93">
        <f>C124-D124-E124</f>
        <v>0</v>
      </c>
      <c r="G124" s="93">
        <v>797</v>
      </c>
      <c r="H124" s="93">
        <v>698</v>
      </c>
      <c r="I124" s="93">
        <v>59</v>
      </c>
      <c r="J124" s="93">
        <f>G124-H124-I124</f>
        <v>40</v>
      </c>
      <c r="K124" s="93">
        <v>181</v>
      </c>
      <c r="L124" s="93">
        <v>143</v>
      </c>
      <c r="M124" s="93">
        <v>31</v>
      </c>
      <c r="N124" s="93">
        <f>K124-L124-M124</f>
        <v>7</v>
      </c>
      <c r="P124" s="93">
        <f>D124/C124</f>
        <v>0.88888888888888884</v>
      </c>
      <c r="Q124" s="93">
        <f>E124/C124</f>
        <v>0.1111111111111111</v>
      </c>
      <c r="R124" s="93">
        <f>F124/C124</f>
        <v>0</v>
      </c>
      <c r="S124" s="93">
        <f>H124/G124</f>
        <v>0.87578419071518199</v>
      </c>
      <c r="T124" s="93">
        <f>I124/G124</f>
        <v>7.4027603513174403E-2</v>
      </c>
      <c r="U124" s="93">
        <f>J124/G124</f>
        <v>5.0188205771643665E-2</v>
      </c>
      <c r="V124" s="93">
        <f>L124/K124</f>
        <v>0.79005524861878451</v>
      </c>
      <c r="W124" s="93">
        <f>M124/K124</f>
        <v>0.17127071823204421</v>
      </c>
      <c r="X124" s="93">
        <f>N124/K124</f>
        <v>3.8674033149171269E-2</v>
      </c>
    </row>
    <row r="125" spans="1:24" x14ac:dyDescent="0.2">
      <c r="A125" s="326">
        <v>840</v>
      </c>
      <c r="B125" s="93" t="s">
        <v>669</v>
      </c>
      <c r="C125" s="93">
        <v>70</v>
      </c>
      <c r="D125" s="93">
        <v>67</v>
      </c>
      <c r="E125" s="93">
        <v>2</v>
      </c>
      <c r="F125" s="93">
        <f>C125-D125-E125</f>
        <v>1</v>
      </c>
      <c r="G125" s="93">
        <v>2490</v>
      </c>
      <c r="H125" s="93">
        <v>2175</v>
      </c>
      <c r="I125" s="93">
        <v>137</v>
      </c>
      <c r="J125" s="93">
        <f>G125-H125-I125</f>
        <v>178</v>
      </c>
      <c r="K125" s="93">
        <v>1639</v>
      </c>
      <c r="L125" s="93">
        <v>1414</v>
      </c>
      <c r="M125" s="93">
        <v>115</v>
      </c>
      <c r="N125" s="93">
        <f>K125-L125-M125</f>
        <v>110</v>
      </c>
      <c r="P125" s="93">
        <f>D125/C125</f>
        <v>0.95714285714285718</v>
      </c>
      <c r="Q125" s="93">
        <f>E125/C125</f>
        <v>2.8571428571428571E-2</v>
      </c>
      <c r="R125" s="93">
        <f>F125/C125</f>
        <v>1.4285714285714285E-2</v>
      </c>
      <c r="S125" s="93">
        <f>H125/G125</f>
        <v>0.87349397590361444</v>
      </c>
      <c r="T125" s="93">
        <f>I125/G125</f>
        <v>5.5020080321285143E-2</v>
      </c>
      <c r="U125" s="93">
        <f>J125/G125</f>
        <v>7.1485943775100397E-2</v>
      </c>
      <c r="V125" s="93">
        <f>L125/K125</f>
        <v>0.86272117144600369</v>
      </c>
      <c r="W125" s="93">
        <f>M125/K125</f>
        <v>7.0164734594264797E-2</v>
      </c>
      <c r="X125" s="93">
        <f>N125/K125</f>
        <v>6.7114093959731544E-2</v>
      </c>
    </row>
  </sheetData>
  <mergeCells count="6">
    <mergeCell ref="V2:X2"/>
    <mergeCell ref="C2:F2"/>
    <mergeCell ref="G2:J2"/>
    <mergeCell ref="K2:N2"/>
    <mergeCell ref="P2:R2"/>
    <mergeCell ref="S2:U2"/>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31"/>
  <sheetViews>
    <sheetView workbookViewId="0">
      <pane xSplit="3" ySplit="5" topLeftCell="G109" activePane="bottomRight" state="frozen"/>
      <selection pane="topRight" activeCell="D1" sqref="D1"/>
      <selection pane="bottomLeft" activeCell="A6" sqref="A6"/>
      <selection pane="bottomRight"/>
    </sheetView>
  </sheetViews>
  <sheetFormatPr defaultColWidth="14.375" defaultRowHeight="15.75" x14ac:dyDescent="0.25"/>
  <cols>
    <col min="1" max="1" width="14.375" style="503"/>
    <col min="2" max="2" width="32.25" style="503" customWidth="1"/>
    <col min="3" max="3" width="14.5" style="503" customWidth="1"/>
    <col min="4" max="4" width="11.875" style="503" customWidth="1"/>
    <col min="5" max="5" width="11.125" style="503" customWidth="1"/>
    <col min="6" max="6" width="14.5" style="503" customWidth="1"/>
    <col min="7" max="8" width="9.75" style="503" customWidth="1"/>
    <col min="9" max="12" width="11.125" style="503" customWidth="1"/>
    <col min="13" max="13" width="12.375" style="503" customWidth="1"/>
    <col min="14" max="16384" width="14.375" style="503"/>
  </cols>
  <sheetData>
    <row r="1" spans="1:13" x14ac:dyDescent="0.25">
      <c r="A1" s="257" t="s">
        <v>1172</v>
      </c>
    </row>
    <row r="2" spans="1:13" x14ac:dyDescent="0.25">
      <c r="B2" s="504"/>
      <c r="C2" s="504"/>
      <c r="D2" s="504"/>
      <c r="E2" s="504"/>
      <c r="F2" s="504"/>
      <c r="G2" s="504"/>
      <c r="H2" s="504"/>
    </row>
    <row r="3" spans="1:13" x14ac:dyDescent="0.25">
      <c r="A3" s="505"/>
      <c r="B3" s="506"/>
      <c r="C3" s="605"/>
      <c r="D3" s="2114" t="s">
        <v>892</v>
      </c>
      <c r="E3" s="2114"/>
      <c r="F3" s="2114"/>
      <c r="G3" s="2114" t="s">
        <v>887</v>
      </c>
      <c r="H3" s="2114"/>
      <c r="I3" s="2114" t="s">
        <v>778</v>
      </c>
      <c r="J3" s="2114"/>
      <c r="K3" s="2114"/>
      <c r="L3" s="2114"/>
      <c r="M3" s="507" t="s">
        <v>846</v>
      </c>
    </row>
    <row r="4" spans="1:13" ht="47.25" x14ac:dyDescent="0.25">
      <c r="A4" s="507" t="s">
        <v>4</v>
      </c>
      <c r="B4" s="506" t="s">
        <v>5</v>
      </c>
      <c r="C4" s="605" t="s">
        <v>251</v>
      </c>
      <c r="D4" s="1201" t="s">
        <v>618</v>
      </c>
      <c r="E4" s="1201" t="s">
        <v>720</v>
      </c>
      <c r="F4" s="1201" t="s">
        <v>793</v>
      </c>
      <c r="G4" s="1201" t="s">
        <v>549</v>
      </c>
      <c r="H4" s="1201" t="s">
        <v>548</v>
      </c>
      <c r="I4" s="605" t="s">
        <v>2</v>
      </c>
      <c r="J4" s="605" t="s">
        <v>445</v>
      </c>
      <c r="K4" s="605" t="s">
        <v>847</v>
      </c>
      <c r="L4" s="1596" t="s">
        <v>1171</v>
      </c>
      <c r="M4" s="507" t="s">
        <v>551</v>
      </c>
    </row>
    <row r="5" spans="1:13" x14ac:dyDescent="0.25">
      <c r="A5" s="1223" t="s">
        <v>8</v>
      </c>
      <c r="B5" s="1224" t="s">
        <v>9</v>
      </c>
      <c r="C5" s="1225"/>
      <c r="D5" s="1226">
        <f>SUM(D6:D125)</f>
        <v>854624</v>
      </c>
      <c r="E5" s="1226">
        <f t="shared" ref="E5:M5" si="0">SUM(E6:E125)</f>
        <v>829495</v>
      </c>
      <c r="F5" s="1226">
        <f t="shared" si="0"/>
        <v>131230</v>
      </c>
      <c r="G5" s="1226">
        <f t="shared" si="0"/>
        <v>1017878</v>
      </c>
      <c r="H5" s="1226">
        <f t="shared" si="0"/>
        <v>797469</v>
      </c>
      <c r="I5" s="1227">
        <f t="shared" si="0"/>
        <v>843507</v>
      </c>
      <c r="J5" s="1227">
        <f t="shared" si="0"/>
        <v>664676</v>
      </c>
      <c r="K5" s="1227">
        <f t="shared" si="0"/>
        <v>159942</v>
      </c>
      <c r="L5" s="1227">
        <f t="shared" si="0"/>
        <v>93288</v>
      </c>
      <c r="M5" s="1227">
        <f t="shared" si="0"/>
        <v>0</v>
      </c>
    </row>
    <row r="6" spans="1:13" s="604" customFormat="1" x14ac:dyDescent="0.25">
      <c r="A6" s="606" t="s">
        <v>10</v>
      </c>
      <c r="B6" s="602" t="s">
        <v>11</v>
      </c>
      <c r="C6" s="601" t="s">
        <v>264</v>
      </c>
      <c r="D6" s="962">
        <v>5648</v>
      </c>
      <c r="E6" s="962">
        <v>5346</v>
      </c>
      <c r="F6" s="962">
        <v>1072</v>
      </c>
      <c r="G6" s="962">
        <v>6682</v>
      </c>
      <c r="H6" s="962">
        <v>5384</v>
      </c>
      <c r="I6" s="603">
        <v>5648</v>
      </c>
      <c r="J6" s="603">
        <v>5608</v>
      </c>
      <c r="K6" s="603">
        <v>550</v>
      </c>
      <c r="L6" s="603">
        <v>499</v>
      </c>
      <c r="M6" s="603"/>
    </row>
    <row r="7" spans="1:13" s="604" customFormat="1" x14ac:dyDescent="0.25">
      <c r="A7" s="606" t="s">
        <v>12</v>
      </c>
      <c r="B7" s="602" t="s">
        <v>13</v>
      </c>
      <c r="C7" s="601" t="s">
        <v>265</v>
      </c>
      <c r="D7" s="962">
        <v>7109</v>
      </c>
      <c r="E7" s="962">
        <v>6292</v>
      </c>
      <c r="F7" s="962">
        <v>1052</v>
      </c>
      <c r="G7" s="962">
        <v>7954</v>
      </c>
      <c r="H7" s="962">
        <v>6499</v>
      </c>
      <c r="I7" s="603">
        <v>7809</v>
      </c>
      <c r="J7" s="603">
        <v>3500</v>
      </c>
      <c r="K7" s="603">
        <v>1485</v>
      </c>
      <c r="L7" s="603">
        <v>842</v>
      </c>
      <c r="M7" s="603"/>
    </row>
    <row r="8" spans="1:13" s="604" customFormat="1" x14ac:dyDescent="0.25">
      <c r="A8" s="606" t="s">
        <v>16</v>
      </c>
      <c r="B8" s="602" t="s">
        <v>297</v>
      </c>
      <c r="C8" s="601" t="s">
        <v>265</v>
      </c>
      <c r="D8" s="962">
        <v>2928</v>
      </c>
      <c r="E8" s="962">
        <v>3623</v>
      </c>
      <c r="F8" s="962">
        <v>673</v>
      </c>
      <c r="G8" s="962">
        <v>4022</v>
      </c>
      <c r="H8" s="962">
        <v>3202</v>
      </c>
      <c r="I8" s="603">
        <v>5725</v>
      </c>
      <c r="J8" s="603">
        <v>690</v>
      </c>
      <c r="K8" s="603">
        <v>357</v>
      </c>
      <c r="L8" s="603">
        <v>333</v>
      </c>
      <c r="M8" s="603"/>
    </row>
    <row r="9" spans="1:13" s="604" customFormat="1" x14ac:dyDescent="0.25">
      <c r="A9" s="606" t="s">
        <v>18</v>
      </c>
      <c r="B9" s="602" t="s">
        <v>19</v>
      </c>
      <c r="C9" s="601" t="s">
        <v>266</v>
      </c>
      <c r="D9" s="962">
        <v>1480</v>
      </c>
      <c r="E9" s="962">
        <v>1710</v>
      </c>
      <c r="F9" s="962">
        <v>340</v>
      </c>
      <c r="G9" s="962">
        <v>1945</v>
      </c>
      <c r="H9" s="962">
        <v>1585</v>
      </c>
      <c r="I9" s="603">
        <v>2127</v>
      </c>
      <c r="J9" s="603">
        <v>1210</v>
      </c>
      <c r="K9" s="603">
        <v>155</v>
      </c>
      <c r="L9" s="603">
        <v>92</v>
      </c>
      <c r="M9" s="603"/>
    </row>
    <row r="10" spans="1:13" s="604" customFormat="1" x14ac:dyDescent="0.25">
      <c r="A10" s="606" t="s">
        <v>20</v>
      </c>
      <c r="B10" s="602" t="s">
        <v>21</v>
      </c>
      <c r="C10" s="601" t="s">
        <v>265</v>
      </c>
      <c r="D10" s="962">
        <v>3531</v>
      </c>
      <c r="E10" s="962">
        <v>3670</v>
      </c>
      <c r="F10" s="962">
        <v>705</v>
      </c>
      <c r="G10" s="962">
        <v>4435</v>
      </c>
      <c r="H10" s="962">
        <v>3471</v>
      </c>
      <c r="I10" s="603">
        <v>4985</v>
      </c>
      <c r="J10" s="603">
        <v>1999</v>
      </c>
      <c r="K10" s="603">
        <v>413</v>
      </c>
      <c r="L10" s="603">
        <v>295</v>
      </c>
      <c r="M10" s="603"/>
    </row>
    <row r="11" spans="1:13" s="604" customFormat="1" x14ac:dyDescent="0.25">
      <c r="A11" s="606" t="s">
        <v>22</v>
      </c>
      <c r="B11" s="602" t="s">
        <v>23</v>
      </c>
      <c r="C11" s="601" t="s">
        <v>265</v>
      </c>
      <c r="D11" s="962">
        <v>1980</v>
      </c>
      <c r="E11" s="962">
        <v>2377</v>
      </c>
      <c r="F11" s="962">
        <v>464</v>
      </c>
      <c r="G11" s="962">
        <v>2710</v>
      </c>
      <c r="H11" s="962">
        <v>2111</v>
      </c>
      <c r="I11" s="603">
        <v>2904</v>
      </c>
      <c r="J11" s="603">
        <v>1639</v>
      </c>
      <c r="K11" s="603">
        <v>139</v>
      </c>
      <c r="L11" s="603">
        <v>114</v>
      </c>
      <c r="M11" s="603"/>
    </row>
    <row r="12" spans="1:13" s="604" customFormat="1" x14ac:dyDescent="0.25">
      <c r="A12" s="606" t="s">
        <v>24</v>
      </c>
      <c r="B12" s="602" t="s">
        <v>25</v>
      </c>
      <c r="C12" s="601" t="s">
        <v>267</v>
      </c>
      <c r="D12" s="962">
        <v>10911</v>
      </c>
      <c r="E12" s="962">
        <v>6638</v>
      </c>
      <c r="F12" s="962">
        <v>2432</v>
      </c>
      <c r="G12" s="962">
        <v>10843</v>
      </c>
      <c r="H12" s="962">
        <v>9138</v>
      </c>
      <c r="I12" s="603">
        <v>8729</v>
      </c>
      <c r="J12" s="603">
        <v>5277</v>
      </c>
      <c r="K12" s="603">
        <v>4096</v>
      </c>
      <c r="L12" s="603">
        <v>2280</v>
      </c>
      <c r="M12" s="603"/>
    </row>
    <row r="13" spans="1:13" s="604" customFormat="1" x14ac:dyDescent="0.25">
      <c r="A13" s="606" t="s">
        <v>26</v>
      </c>
      <c r="B13" s="602" t="s">
        <v>686</v>
      </c>
      <c r="C13" s="601" t="s">
        <v>265</v>
      </c>
      <c r="D13" s="962">
        <v>13875</v>
      </c>
      <c r="E13" s="962">
        <v>14767</v>
      </c>
      <c r="F13" s="962">
        <v>2180</v>
      </c>
      <c r="G13" s="962">
        <v>17290</v>
      </c>
      <c r="H13" s="962">
        <v>13532</v>
      </c>
      <c r="I13" s="603">
        <v>23865</v>
      </c>
      <c r="J13" s="603">
        <v>3889</v>
      </c>
      <c r="K13" s="603">
        <v>1300</v>
      </c>
      <c r="L13" s="603">
        <v>897</v>
      </c>
      <c r="M13" s="603"/>
    </row>
    <row r="14" spans="1:13" s="604" customFormat="1" x14ac:dyDescent="0.25">
      <c r="A14" s="606" t="s">
        <v>27</v>
      </c>
      <c r="B14" s="602" t="s">
        <v>28</v>
      </c>
      <c r="C14" s="601" t="s">
        <v>265</v>
      </c>
      <c r="D14" s="962">
        <v>445</v>
      </c>
      <c r="E14" s="962">
        <v>466</v>
      </c>
      <c r="F14" s="962">
        <v>128</v>
      </c>
      <c r="G14" s="962">
        <v>590</v>
      </c>
      <c r="H14" s="962">
        <v>449</v>
      </c>
      <c r="I14" s="603">
        <v>931</v>
      </c>
      <c r="J14" s="603">
        <v>47</v>
      </c>
      <c r="K14" s="603">
        <v>47</v>
      </c>
      <c r="L14" s="603">
        <v>40</v>
      </c>
      <c r="M14" s="603"/>
    </row>
    <row r="15" spans="1:13" s="604" customFormat="1" x14ac:dyDescent="0.25">
      <c r="A15" s="606" t="s">
        <v>29</v>
      </c>
      <c r="B15" s="602" t="s">
        <v>941</v>
      </c>
      <c r="C15" s="601" t="s">
        <v>265</v>
      </c>
      <c r="D15" s="962">
        <v>6553</v>
      </c>
      <c r="E15" s="962">
        <v>6927</v>
      </c>
      <c r="F15" s="962">
        <v>1027</v>
      </c>
      <c r="G15" s="962">
        <v>7955</v>
      </c>
      <c r="H15" s="962">
        <v>6552</v>
      </c>
      <c r="I15" s="603">
        <v>11135</v>
      </c>
      <c r="J15" s="603">
        <v>1955</v>
      </c>
      <c r="K15" s="603">
        <v>548</v>
      </c>
      <c r="L15" s="603">
        <v>420</v>
      </c>
      <c r="M15" s="603"/>
    </row>
    <row r="16" spans="1:13" s="604" customFormat="1" x14ac:dyDescent="0.25">
      <c r="A16" s="606" t="s">
        <v>30</v>
      </c>
      <c r="B16" s="602" t="s">
        <v>31</v>
      </c>
      <c r="C16" s="601" t="s">
        <v>268</v>
      </c>
      <c r="D16" s="962">
        <v>540</v>
      </c>
      <c r="E16" s="962">
        <v>697</v>
      </c>
      <c r="F16" s="962">
        <v>156</v>
      </c>
      <c r="G16" s="962">
        <v>780</v>
      </c>
      <c r="H16" s="962">
        <v>613</v>
      </c>
      <c r="I16" s="603">
        <v>1239</v>
      </c>
      <c r="J16" s="603">
        <v>36</v>
      </c>
      <c r="K16" s="603">
        <v>25</v>
      </c>
      <c r="L16" s="603">
        <v>18</v>
      </c>
      <c r="M16" s="603"/>
    </row>
    <row r="17" spans="1:13" s="604" customFormat="1" x14ac:dyDescent="0.25">
      <c r="A17" s="606" t="s">
        <v>32</v>
      </c>
      <c r="B17" s="602" t="s">
        <v>33</v>
      </c>
      <c r="C17" s="601" t="s">
        <v>265</v>
      </c>
      <c r="D17" s="962">
        <v>2025</v>
      </c>
      <c r="E17" s="962">
        <v>2065</v>
      </c>
      <c r="F17" s="962">
        <v>393</v>
      </c>
      <c r="G17" s="962">
        <v>2485</v>
      </c>
      <c r="H17" s="962">
        <v>1998</v>
      </c>
      <c r="I17" s="603">
        <v>3922</v>
      </c>
      <c r="J17" s="603">
        <v>196</v>
      </c>
      <c r="K17" s="603">
        <v>238</v>
      </c>
      <c r="L17" s="603">
        <v>164</v>
      </c>
      <c r="M17" s="603"/>
    </row>
    <row r="18" spans="1:13" s="604" customFormat="1" x14ac:dyDescent="0.25">
      <c r="A18" s="606" t="s">
        <v>36</v>
      </c>
      <c r="B18" s="602" t="s">
        <v>37</v>
      </c>
      <c r="C18" s="601" t="s">
        <v>264</v>
      </c>
      <c r="D18" s="962">
        <v>2401</v>
      </c>
      <c r="E18" s="962">
        <v>3121</v>
      </c>
      <c r="F18" s="962">
        <v>855</v>
      </c>
      <c r="G18" s="962">
        <v>3529</v>
      </c>
      <c r="H18" s="962">
        <v>2848</v>
      </c>
      <c r="I18" s="603">
        <v>1625</v>
      </c>
      <c r="J18" s="603">
        <v>4468</v>
      </c>
      <c r="K18" s="603">
        <v>167</v>
      </c>
      <c r="L18" s="603">
        <v>113</v>
      </c>
      <c r="M18" s="603"/>
    </row>
    <row r="19" spans="1:13" s="604" customFormat="1" x14ac:dyDescent="0.25">
      <c r="A19" s="606" t="s">
        <v>38</v>
      </c>
      <c r="B19" s="602" t="s">
        <v>39</v>
      </c>
      <c r="C19" s="601" t="s">
        <v>268</v>
      </c>
      <c r="D19" s="962">
        <v>3060</v>
      </c>
      <c r="E19" s="962">
        <v>5018</v>
      </c>
      <c r="F19" s="962">
        <v>694</v>
      </c>
      <c r="G19" s="962">
        <v>4722</v>
      </c>
      <c r="H19" s="962">
        <v>4050</v>
      </c>
      <c r="I19" s="603">
        <v>8472</v>
      </c>
      <c r="J19" s="603">
        <v>30</v>
      </c>
      <c r="K19" s="603">
        <v>77</v>
      </c>
      <c r="L19" s="603">
        <v>68</v>
      </c>
      <c r="M19" s="603"/>
    </row>
    <row r="20" spans="1:13" s="604" customFormat="1" x14ac:dyDescent="0.25">
      <c r="A20" s="606" t="s">
        <v>40</v>
      </c>
      <c r="B20" s="602" t="s">
        <v>41</v>
      </c>
      <c r="C20" s="601" t="s">
        <v>266</v>
      </c>
      <c r="D20" s="962">
        <v>2264</v>
      </c>
      <c r="E20" s="962">
        <v>2849</v>
      </c>
      <c r="F20" s="962">
        <v>567</v>
      </c>
      <c r="G20" s="962">
        <v>3124</v>
      </c>
      <c r="H20" s="962">
        <v>2556</v>
      </c>
      <c r="I20" s="603">
        <v>2801</v>
      </c>
      <c r="J20" s="603">
        <v>2421</v>
      </c>
      <c r="K20" s="603">
        <v>224</v>
      </c>
      <c r="L20" s="603">
        <v>180</v>
      </c>
      <c r="M20" s="603"/>
    </row>
    <row r="21" spans="1:13" s="604" customFormat="1" x14ac:dyDescent="0.25">
      <c r="A21" s="606" t="s">
        <v>42</v>
      </c>
      <c r="B21" s="602" t="s">
        <v>43</v>
      </c>
      <c r="C21" s="601" t="s">
        <v>265</v>
      </c>
      <c r="D21" s="962">
        <v>6550</v>
      </c>
      <c r="E21" s="962">
        <v>7552</v>
      </c>
      <c r="F21" s="962">
        <v>1238</v>
      </c>
      <c r="G21" s="962">
        <v>8691</v>
      </c>
      <c r="H21" s="962">
        <v>6649</v>
      </c>
      <c r="I21" s="603">
        <v>10239</v>
      </c>
      <c r="J21" s="603">
        <v>3546</v>
      </c>
      <c r="K21" s="603">
        <v>576</v>
      </c>
      <c r="L21" s="603">
        <v>437</v>
      </c>
      <c r="M21" s="603"/>
    </row>
    <row r="22" spans="1:13" s="604" customFormat="1" x14ac:dyDescent="0.25">
      <c r="A22" s="606" t="s">
        <v>44</v>
      </c>
      <c r="B22" s="602" t="s">
        <v>45</v>
      </c>
      <c r="C22" s="601" t="s">
        <v>266</v>
      </c>
      <c r="D22" s="962">
        <v>4204</v>
      </c>
      <c r="E22" s="962">
        <v>4279</v>
      </c>
      <c r="F22" s="962">
        <v>553</v>
      </c>
      <c r="G22" s="962">
        <v>5011</v>
      </c>
      <c r="H22" s="962">
        <v>4025</v>
      </c>
      <c r="I22" s="603">
        <v>4592</v>
      </c>
      <c r="J22" s="603">
        <v>3076</v>
      </c>
      <c r="K22" s="603">
        <v>415</v>
      </c>
      <c r="L22" s="603">
        <v>262</v>
      </c>
      <c r="M22" s="603"/>
    </row>
    <row r="23" spans="1:13" s="604" customFormat="1" x14ac:dyDescent="0.25">
      <c r="A23" s="606" t="s">
        <v>46</v>
      </c>
      <c r="B23" s="602" t="s">
        <v>47</v>
      </c>
      <c r="C23" s="601" t="s">
        <v>268</v>
      </c>
      <c r="D23" s="962">
        <v>3870</v>
      </c>
      <c r="E23" s="962">
        <v>4856</v>
      </c>
      <c r="F23" s="962">
        <v>1191</v>
      </c>
      <c r="G23" s="962">
        <v>5409</v>
      </c>
      <c r="H23" s="962">
        <v>4508</v>
      </c>
      <c r="I23" s="603">
        <v>8789</v>
      </c>
      <c r="J23" s="603">
        <v>138</v>
      </c>
      <c r="K23" s="603">
        <v>275</v>
      </c>
      <c r="L23" s="603">
        <v>143</v>
      </c>
      <c r="M23" s="603"/>
    </row>
    <row r="24" spans="1:13" s="604" customFormat="1" x14ac:dyDescent="0.25">
      <c r="A24" s="606" t="s">
        <v>48</v>
      </c>
      <c r="B24" s="602" t="s">
        <v>269</v>
      </c>
      <c r="C24" s="601" t="s">
        <v>266</v>
      </c>
      <c r="D24" s="962">
        <v>753</v>
      </c>
      <c r="E24" s="962">
        <v>985</v>
      </c>
      <c r="F24" s="962">
        <v>198</v>
      </c>
      <c r="G24" s="962">
        <v>1075</v>
      </c>
      <c r="H24" s="962">
        <v>861</v>
      </c>
      <c r="I24" s="603">
        <v>584</v>
      </c>
      <c r="J24" s="603">
        <v>1070</v>
      </c>
      <c r="K24" s="603">
        <v>109</v>
      </c>
      <c r="L24" s="603">
        <v>45</v>
      </c>
      <c r="M24" s="603"/>
    </row>
    <row r="25" spans="1:13" s="604" customFormat="1" x14ac:dyDescent="0.25">
      <c r="A25" s="606" t="s">
        <v>50</v>
      </c>
      <c r="B25" s="602" t="s">
        <v>51</v>
      </c>
      <c r="C25" s="601" t="s">
        <v>265</v>
      </c>
      <c r="D25" s="962">
        <v>1756</v>
      </c>
      <c r="E25" s="962">
        <v>2108</v>
      </c>
      <c r="F25" s="962">
        <v>509</v>
      </c>
      <c r="G25" s="962">
        <v>2407</v>
      </c>
      <c r="H25" s="962">
        <v>1966</v>
      </c>
      <c r="I25" s="603">
        <v>2139</v>
      </c>
      <c r="J25" s="603">
        <v>2003</v>
      </c>
      <c r="K25" s="603">
        <v>141</v>
      </c>
      <c r="L25" s="603">
        <v>110</v>
      </c>
      <c r="M25" s="603"/>
    </row>
    <row r="26" spans="1:13" s="604" customFormat="1" x14ac:dyDescent="0.25">
      <c r="A26" s="606" t="s">
        <v>56</v>
      </c>
      <c r="B26" s="602" t="s">
        <v>295</v>
      </c>
      <c r="C26" s="601" t="s">
        <v>266</v>
      </c>
      <c r="D26" s="962">
        <v>35697</v>
      </c>
      <c r="E26" s="962">
        <v>30320</v>
      </c>
      <c r="F26" s="962">
        <v>3072</v>
      </c>
      <c r="G26" s="962">
        <v>39218</v>
      </c>
      <c r="H26" s="962">
        <v>29871</v>
      </c>
      <c r="I26" s="603">
        <v>30520</v>
      </c>
      <c r="J26" s="603">
        <v>23489</v>
      </c>
      <c r="K26" s="603">
        <v>7992</v>
      </c>
      <c r="L26" s="603">
        <v>5096</v>
      </c>
      <c r="M26" s="603"/>
    </row>
    <row r="27" spans="1:13" s="604" customFormat="1" x14ac:dyDescent="0.25">
      <c r="A27" s="606" t="s">
        <v>58</v>
      </c>
      <c r="B27" s="602" t="s">
        <v>59</v>
      </c>
      <c r="C27" s="601" t="s">
        <v>267</v>
      </c>
      <c r="D27" s="962">
        <v>785</v>
      </c>
      <c r="E27" s="962">
        <v>752</v>
      </c>
      <c r="F27" s="962">
        <v>193</v>
      </c>
      <c r="G27" s="962">
        <v>947</v>
      </c>
      <c r="H27" s="962">
        <v>783</v>
      </c>
      <c r="I27" s="603">
        <v>1369</v>
      </c>
      <c r="J27" s="603">
        <v>201</v>
      </c>
      <c r="K27" s="603">
        <v>74</v>
      </c>
      <c r="L27" s="603">
        <v>59</v>
      </c>
      <c r="M27" s="603"/>
    </row>
    <row r="28" spans="1:13" s="604" customFormat="1" x14ac:dyDescent="0.25">
      <c r="A28" s="606" t="s">
        <v>60</v>
      </c>
      <c r="B28" s="602" t="s">
        <v>61</v>
      </c>
      <c r="C28" s="601" t="s">
        <v>265</v>
      </c>
      <c r="D28" s="962">
        <v>566</v>
      </c>
      <c r="E28" s="962">
        <v>629</v>
      </c>
      <c r="F28" s="962">
        <v>136</v>
      </c>
      <c r="G28" s="962">
        <v>739</v>
      </c>
      <c r="H28" s="962">
        <v>592</v>
      </c>
      <c r="I28" s="603">
        <v>1254</v>
      </c>
      <c r="J28" s="603">
        <v>6</v>
      </c>
      <c r="K28" s="603">
        <v>28</v>
      </c>
      <c r="L28" s="603">
        <v>28</v>
      </c>
      <c r="M28" s="603"/>
    </row>
    <row r="29" spans="1:13" s="604" customFormat="1" x14ac:dyDescent="0.25">
      <c r="A29" s="606" t="s">
        <v>62</v>
      </c>
      <c r="B29" s="602" t="s">
        <v>63</v>
      </c>
      <c r="C29" s="601" t="s">
        <v>267</v>
      </c>
      <c r="D29" s="962">
        <v>6070</v>
      </c>
      <c r="E29" s="962">
        <v>5116</v>
      </c>
      <c r="F29" s="962">
        <v>758</v>
      </c>
      <c r="G29" s="962">
        <v>6676</v>
      </c>
      <c r="H29" s="962">
        <v>5268</v>
      </c>
      <c r="I29" s="603">
        <v>6442</v>
      </c>
      <c r="J29" s="603">
        <v>3119</v>
      </c>
      <c r="K29" s="603">
        <v>1217</v>
      </c>
      <c r="L29" s="603">
        <v>701</v>
      </c>
      <c r="M29" s="603"/>
    </row>
    <row r="30" spans="1:13" s="604" customFormat="1" x14ac:dyDescent="0.25">
      <c r="A30" s="606" t="s">
        <v>64</v>
      </c>
      <c r="B30" s="602" t="s">
        <v>65</v>
      </c>
      <c r="C30" s="601" t="s">
        <v>266</v>
      </c>
      <c r="D30" s="962">
        <v>1603</v>
      </c>
      <c r="E30" s="962">
        <v>1900</v>
      </c>
      <c r="F30" s="962">
        <v>381</v>
      </c>
      <c r="G30" s="962">
        <v>2127</v>
      </c>
      <c r="H30" s="962">
        <v>1757</v>
      </c>
      <c r="I30" s="603">
        <v>1879</v>
      </c>
      <c r="J30" s="603">
        <v>1758</v>
      </c>
      <c r="K30" s="603">
        <v>159</v>
      </c>
      <c r="L30" s="603">
        <v>123</v>
      </c>
      <c r="M30" s="603"/>
    </row>
    <row r="31" spans="1:13" s="604" customFormat="1" x14ac:dyDescent="0.25">
      <c r="A31" s="606" t="s">
        <v>68</v>
      </c>
      <c r="B31" s="602" t="s">
        <v>69</v>
      </c>
      <c r="C31" s="601" t="s">
        <v>268</v>
      </c>
      <c r="D31" s="962">
        <v>2402</v>
      </c>
      <c r="E31" s="962">
        <v>3490</v>
      </c>
      <c r="F31" s="962">
        <v>562</v>
      </c>
      <c r="G31" s="962">
        <v>3513</v>
      </c>
      <c r="H31" s="962">
        <v>2941</v>
      </c>
      <c r="I31" s="603">
        <v>6189</v>
      </c>
      <c r="J31" s="603">
        <v>57</v>
      </c>
      <c r="K31" s="603">
        <v>42</v>
      </c>
      <c r="L31" s="603">
        <v>36</v>
      </c>
      <c r="M31" s="603"/>
    </row>
    <row r="32" spans="1:13" s="604" customFormat="1" x14ac:dyDescent="0.25">
      <c r="A32" s="606" t="s">
        <v>70</v>
      </c>
      <c r="B32" s="602" t="s">
        <v>71</v>
      </c>
      <c r="C32" s="601" t="s">
        <v>264</v>
      </c>
      <c r="D32" s="962">
        <v>3759</v>
      </c>
      <c r="E32" s="962">
        <v>4200</v>
      </c>
      <c r="F32" s="962">
        <v>615</v>
      </c>
      <c r="G32" s="962">
        <v>4856</v>
      </c>
      <c r="H32" s="962">
        <v>3718</v>
      </c>
      <c r="I32" s="603">
        <v>4240</v>
      </c>
      <c r="J32" s="603">
        <v>3233</v>
      </c>
      <c r="K32" s="603">
        <v>349</v>
      </c>
      <c r="L32" s="603">
        <v>250</v>
      </c>
      <c r="M32" s="603"/>
    </row>
    <row r="33" spans="1:13" s="604" customFormat="1" x14ac:dyDescent="0.25">
      <c r="A33" s="606" t="s">
        <v>72</v>
      </c>
      <c r="B33" s="602" t="s">
        <v>73</v>
      </c>
      <c r="C33" s="601" t="s">
        <v>266</v>
      </c>
      <c r="D33" s="962">
        <v>1833</v>
      </c>
      <c r="E33" s="962">
        <v>2051</v>
      </c>
      <c r="F33" s="962">
        <v>294</v>
      </c>
      <c r="G33" s="962">
        <v>2381</v>
      </c>
      <c r="H33" s="962">
        <v>1797</v>
      </c>
      <c r="I33" s="603">
        <v>1140</v>
      </c>
      <c r="J33" s="603">
        <v>2147</v>
      </c>
      <c r="K33" s="603">
        <v>219</v>
      </c>
      <c r="L33" s="603">
        <v>181</v>
      </c>
      <c r="M33" s="603"/>
    </row>
    <row r="34" spans="1:13" s="604" customFormat="1" x14ac:dyDescent="0.25">
      <c r="A34" s="606" t="s">
        <v>74</v>
      </c>
      <c r="B34" s="602" t="s">
        <v>296</v>
      </c>
      <c r="C34" s="601" t="s">
        <v>267</v>
      </c>
      <c r="D34" s="962">
        <v>75011</v>
      </c>
      <c r="E34" s="962">
        <v>40851</v>
      </c>
      <c r="F34" s="962">
        <v>13569</v>
      </c>
      <c r="G34" s="962">
        <v>70639</v>
      </c>
      <c r="H34" s="962">
        <v>58792</v>
      </c>
      <c r="I34" s="603">
        <v>55309</v>
      </c>
      <c r="J34" s="603">
        <v>23591</v>
      </c>
      <c r="K34" s="603">
        <v>37157</v>
      </c>
      <c r="L34" s="603">
        <v>18046</v>
      </c>
      <c r="M34" s="603"/>
    </row>
    <row r="35" spans="1:13" s="604" customFormat="1" x14ac:dyDescent="0.25">
      <c r="A35" s="606" t="s">
        <v>76</v>
      </c>
      <c r="B35" s="602" t="s">
        <v>77</v>
      </c>
      <c r="C35" s="601" t="s">
        <v>267</v>
      </c>
      <c r="D35" s="962">
        <v>5119</v>
      </c>
      <c r="E35" s="962">
        <v>4075</v>
      </c>
      <c r="F35" s="962">
        <v>633</v>
      </c>
      <c r="G35" s="962">
        <v>5461</v>
      </c>
      <c r="H35" s="962">
        <v>4366</v>
      </c>
      <c r="I35" s="603">
        <v>6181</v>
      </c>
      <c r="J35" s="603">
        <v>1925</v>
      </c>
      <c r="K35" s="603">
        <v>1058</v>
      </c>
      <c r="L35" s="603">
        <v>827</v>
      </c>
      <c r="M35" s="603"/>
    </row>
    <row r="36" spans="1:13" s="604" customFormat="1" x14ac:dyDescent="0.25">
      <c r="A36" s="606" t="s">
        <v>78</v>
      </c>
      <c r="B36" s="602" t="s">
        <v>79</v>
      </c>
      <c r="C36" s="601" t="s">
        <v>268</v>
      </c>
      <c r="D36" s="962">
        <v>1767</v>
      </c>
      <c r="E36" s="962">
        <v>1816</v>
      </c>
      <c r="F36" s="962">
        <v>354</v>
      </c>
      <c r="G36" s="962">
        <v>2123</v>
      </c>
      <c r="H36" s="962">
        <v>1814</v>
      </c>
      <c r="I36" s="603">
        <v>3504</v>
      </c>
      <c r="J36" s="603">
        <v>141</v>
      </c>
      <c r="K36" s="603">
        <v>158</v>
      </c>
      <c r="L36" s="603">
        <v>70</v>
      </c>
      <c r="M36" s="603"/>
    </row>
    <row r="37" spans="1:13" s="604" customFormat="1" x14ac:dyDescent="0.25">
      <c r="A37" s="606" t="s">
        <v>80</v>
      </c>
      <c r="B37" s="602" t="s">
        <v>81</v>
      </c>
      <c r="C37" s="601" t="s">
        <v>266</v>
      </c>
      <c r="D37" s="962">
        <v>2012</v>
      </c>
      <c r="E37" s="962">
        <v>1836</v>
      </c>
      <c r="F37" s="962">
        <v>334</v>
      </c>
      <c r="G37" s="962">
        <v>2334</v>
      </c>
      <c r="H37" s="962">
        <v>1848</v>
      </c>
      <c r="I37" s="603">
        <v>2571</v>
      </c>
      <c r="J37" s="603">
        <v>1144</v>
      </c>
      <c r="K37" s="603">
        <v>263</v>
      </c>
      <c r="L37" s="603">
        <v>221</v>
      </c>
      <c r="M37" s="603"/>
    </row>
    <row r="38" spans="1:13" s="604" customFormat="1" x14ac:dyDescent="0.25">
      <c r="A38" s="606" t="s">
        <v>84</v>
      </c>
      <c r="B38" s="602" t="s">
        <v>85</v>
      </c>
      <c r="C38" s="601" t="s">
        <v>265</v>
      </c>
      <c r="D38" s="962">
        <v>6306</v>
      </c>
      <c r="E38" s="962">
        <v>7172</v>
      </c>
      <c r="F38" s="962">
        <v>1109</v>
      </c>
      <c r="G38" s="962">
        <v>8050</v>
      </c>
      <c r="H38" s="962">
        <v>6537</v>
      </c>
      <c r="I38" s="603">
        <v>10973</v>
      </c>
      <c r="J38" s="603">
        <v>1933</v>
      </c>
      <c r="K38" s="603">
        <v>638</v>
      </c>
      <c r="L38" s="603">
        <v>417</v>
      </c>
      <c r="M38" s="603"/>
    </row>
    <row r="39" spans="1:13" s="604" customFormat="1" x14ac:dyDescent="0.25">
      <c r="A39" s="606" t="s">
        <v>86</v>
      </c>
      <c r="B39" s="602" t="s">
        <v>87</v>
      </c>
      <c r="C39" s="601" t="s">
        <v>267</v>
      </c>
      <c r="D39" s="962">
        <v>7657</v>
      </c>
      <c r="E39" s="962">
        <v>6327</v>
      </c>
      <c r="F39" s="962">
        <v>954</v>
      </c>
      <c r="G39" s="962">
        <v>8279</v>
      </c>
      <c r="H39" s="962">
        <v>6659</v>
      </c>
      <c r="I39" s="603">
        <v>11624</v>
      </c>
      <c r="J39" s="603">
        <v>1048</v>
      </c>
      <c r="K39" s="603">
        <v>1217</v>
      </c>
      <c r="L39" s="603">
        <v>994</v>
      </c>
      <c r="M39" s="603"/>
    </row>
    <row r="40" spans="1:13" s="604" customFormat="1" x14ac:dyDescent="0.25">
      <c r="A40" s="606" t="s">
        <v>92</v>
      </c>
      <c r="B40" s="602" t="s">
        <v>93</v>
      </c>
      <c r="C40" s="601" t="s">
        <v>268</v>
      </c>
      <c r="D40" s="962">
        <v>1973</v>
      </c>
      <c r="E40" s="962">
        <v>2419</v>
      </c>
      <c r="F40" s="962">
        <v>476</v>
      </c>
      <c r="G40" s="962">
        <v>2667</v>
      </c>
      <c r="H40" s="962">
        <v>2201</v>
      </c>
      <c r="I40" s="603">
        <v>4515</v>
      </c>
      <c r="J40" s="603">
        <v>99</v>
      </c>
      <c r="K40" s="603">
        <v>105</v>
      </c>
      <c r="L40" s="603">
        <v>84</v>
      </c>
      <c r="M40" s="603"/>
    </row>
    <row r="41" spans="1:13" s="604" customFormat="1" x14ac:dyDescent="0.25">
      <c r="A41" s="606" t="s">
        <v>94</v>
      </c>
      <c r="B41" s="602" t="s">
        <v>95</v>
      </c>
      <c r="C41" s="601" t="s">
        <v>264</v>
      </c>
      <c r="D41" s="962">
        <v>3601</v>
      </c>
      <c r="E41" s="962">
        <v>4116</v>
      </c>
      <c r="F41" s="962">
        <v>547</v>
      </c>
      <c r="G41" s="962">
        <v>4569</v>
      </c>
      <c r="H41" s="962">
        <v>3695</v>
      </c>
      <c r="I41" s="603">
        <v>6290</v>
      </c>
      <c r="J41" s="603">
        <v>1218</v>
      </c>
      <c r="K41" s="603">
        <v>347</v>
      </c>
      <c r="L41" s="603">
        <v>273</v>
      </c>
      <c r="M41" s="603"/>
    </row>
    <row r="42" spans="1:13" s="604" customFormat="1" x14ac:dyDescent="0.25">
      <c r="A42" s="606" t="s">
        <v>96</v>
      </c>
      <c r="B42" s="602" t="s">
        <v>97</v>
      </c>
      <c r="C42" s="601" t="s">
        <v>266</v>
      </c>
      <c r="D42" s="962">
        <v>1259</v>
      </c>
      <c r="E42" s="962">
        <v>1336</v>
      </c>
      <c r="F42" s="962">
        <v>252</v>
      </c>
      <c r="G42" s="962">
        <v>1605</v>
      </c>
      <c r="H42" s="962">
        <v>1242</v>
      </c>
      <c r="I42" s="603">
        <v>1481</v>
      </c>
      <c r="J42" s="603">
        <v>1071</v>
      </c>
      <c r="K42" s="603">
        <v>153</v>
      </c>
      <c r="L42" s="603">
        <v>106</v>
      </c>
      <c r="M42" s="603"/>
    </row>
    <row r="43" spans="1:13" s="604" customFormat="1" x14ac:dyDescent="0.25">
      <c r="A43" s="606" t="s">
        <v>98</v>
      </c>
      <c r="B43" s="602" t="s">
        <v>99</v>
      </c>
      <c r="C43" s="601" t="s">
        <v>268</v>
      </c>
      <c r="D43" s="962">
        <v>2127</v>
      </c>
      <c r="E43" s="962">
        <v>2554</v>
      </c>
      <c r="F43" s="962">
        <v>730</v>
      </c>
      <c r="G43" s="962">
        <v>3025</v>
      </c>
      <c r="H43" s="962">
        <v>2386</v>
      </c>
      <c r="I43" s="603">
        <v>4876</v>
      </c>
      <c r="J43" s="603">
        <v>205</v>
      </c>
      <c r="K43" s="603">
        <v>126</v>
      </c>
      <c r="L43" s="603">
        <v>73</v>
      </c>
      <c r="M43" s="603"/>
    </row>
    <row r="44" spans="1:13" s="604" customFormat="1" x14ac:dyDescent="0.25">
      <c r="A44" s="606" t="s">
        <v>100</v>
      </c>
      <c r="B44" s="602" t="s">
        <v>101</v>
      </c>
      <c r="C44" s="601" t="s">
        <v>267</v>
      </c>
      <c r="D44" s="962">
        <v>2200</v>
      </c>
      <c r="E44" s="962">
        <v>1968</v>
      </c>
      <c r="F44" s="962">
        <v>280</v>
      </c>
      <c r="G44" s="962">
        <v>2421</v>
      </c>
      <c r="H44" s="962">
        <v>2027</v>
      </c>
      <c r="I44" s="603">
        <v>3291</v>
      </c>
      <c r="J44" s="603">
        <v>611</v>
      </c>
      <c r="K44" s="603">
        <v>307</v>
      </c>
      <c r="L44" s="603">
        <v>214</v>
      </c>
      <c r="M44" s="603"/>
    </row>
    <row r="45" spans="1:13" s="604" customFormat="1" x14ac:dyDescent="0.25">
      <c r="A45" s="606" t="s">
        <v>102</v>
      </c>
      <c r="B45" s="602" t="s">
        <v>282</v>
      </c>
      <c r="C45" s="601" t="s">
        <v>264</v>
      </c>
      <c r="D45" s="962">
        <v>3350</v>
      </c>
      <c r="E45" s="962">
        <v>3734</v>
      </c>
      <c r="F45" s="962">
        <v>722</v>
      </c>
      <c r="G45" s="962">
        <v>4408</v>
      </c>
      <c r="H45" s="962">
        <v>3398</v>
      </c>
      <c r="I45" s="603">
        <v>1158</v>
      </c>
      <c r="J45" s="603">
        <v>6066</v>
      </c>
      <c r="K45" s="603">
        <v>231</v>
      </c>
      <c r="L45" s="603">
        <v>134</v>
      </c>
      <c r="M45" s="603"/>
    </row>
    <row r="46" spans="1:13" s="604" customFormat="1" x14ac:dyDescent="0.25">
      <c r="A46" s="606" t="s">
        <v>104</v>
      </c>
      <c r="B46" s="602" t="s">
        <v>105</v>
      </c>
      <c r="C46" s="601" t="s">
        <v>265</v>
      </c>
      <c r="D46" s="962">
        <v>4983</v>
      </c>
      <c r="E46" s="962">
        <v>6098</v>
      </c>
      <c r="F46" s="962">
        <v>1571</v>
      </c>
      <c r="G46" s="962">
        <v>7175</v>
      </c>
      <c r="H46" s="962">
        <v>5477</v>
      </c>
      <c r="I46" s="603">
        <v>4819</v>
      </c>
      <c r="J46" s="603">
        <v>6634</v>
      </c>
      <c r="K46" s="603">
        <v>409</v>
      </c>
      <c r="L46" s="603">
        <v>282</v>
      </c>
      <c r="M46" s="603"/>
    </row>
    <row r="47" spans="1:13" s="604" customFormat="1" x14ac:dyDescent="0.25">
      <c r="A47" s="606" t="s">
        <v>108</v>
      </c>
      <c r="B47" s="602" t="s">
        <v>109</v>
      </c>
      <c r="C47" s="601" t="s">
        <v>266</v>
      </c>
      <c r="D47" s="962">
        <v>5951</v>
      </c>
      <c r="E47" s="962">
        <v>5830</v>
      </c>
      <c r="F47" s="962">
        <v>855</v>
      </c>
      <c r="G47" s="962">
        <v>7095</v>
      </c>
      <c r="H47" s="962">
        <v>5541</v>
      </c>
      <c r="I47" s="603">
        <v>7879</v>
      </c>
      <c r="J47" s="603">
        <v>2672</v>
      </c>
      <c r="K47" s="603">
        <v>937</v>
      </c>
      <c r="L47" s="603">
        <v>677</v>
      </c>
      <c r="M47" s="603"/>
    </row>
    <row r="48" spans="1:13" s="604" customFormat="1" x14ac:dyDescent="0.25">
      <c r="A48" s="606" t="s">
        <v>110</v>
      </c>
      <c r="B48" s="602" t="s">
        <v>111</v>
      </c>
      <c r="C48" s="601" t="s">
        <v>266</v>
      </c>
      <c r="D48" s="962">
        <v>33027</v>
      </c>
      <c r="E48" s="962">
        <v>30547</v>
      </c>
      <c r="F48" s="962">
        <v>3814</v>
      </c>
      <c r="G48" s="962">
        <v>38440</v>
      </c>
      <c r="H48" s="962">
        <v>28948</v>
      </c>
      <c r="I48" s="603">
        <v>18749</v>
      </c>
      <c r="J48" s="603">
        <v>33847</v>
      </c>
      <c r="K48" s="603">
        <v>6524</v>
      </c>
      <c r="L48" s="603">
        <v>3635</v>
      </c>
      <c r="M48" s="603"/>
    </row>
    <row r="49" spans="1:13" s="604" customFormat="1" x14ac:dyDescent="0.25">
      <c r="A49" s="606" t="s">
        <v>112</v>
      </c>
      <c r="B49" s="602" t="s">
        <v>300</v>
      </c>
      <c r="C49" s="601" t="s">
        <v>265</v>
      </c>
      <c r="D49" s="962">
        <v>11762</v>
      </c>
      <c r="E49" s="962">
        <v>14586</v>
      </c>
      <c r="F49" s="962">
        <v>2636</v>
      </c>
      <c r="G49" s="962">
        <v>16193</v>
      </c>
      <c r="H49" s="962">
        <v>12791</v>
      </c>
      <c r="I49" s="603">
        <v>15445</v>
      </c>
      <c r="J49" s="603">
        <v>10149</v>
      </c>
      <c r="K49" s="603">
        <v>808</v>
      </c>
      <c r="L49" s="603">
        <v>622</v>
      </c>
      <c r="M49" s="603"/>
    </row>
    <row r="50" spans="1:13" s="604" customFormat="1" x14ac:dyDescent="0.25">
      <c r="A50" s="606" t="s">
        <v>114</v>
      </c>
      <c r="B50" s="602" t="s">
        <v>115</v>
      </c>
      <c r="C50" s="601" t="s">
        <v>265</v>
      </c>
      <c r="D50" s="962">
        <v>227</v>
      </c>
      <c r="E50" s="962">
        <v>253</v>
      </c>
      <c r="F50" s="962">
        <v>50</v>
      </c>
      <c r="G50" s="962">
        <v>300</v>
      </c>
      <c r="H50" s="962">
        <v>230</v>
      </c>
      <c r="I50" s="603">
        <v>415</v>
      </c>
      <c r="J50" s="603">
        <v>32</v>
      </c>
      <c r="K50" s="603">
        <v>33</v>
      </c>
      <c r="L50" s="603">
        <v>26</v>
      </c>
      <c r="M50" s="603"/>
    </row>
    <row r="51" spans="1:13" s="604" customFormat="1" x14ac:dyDescent="0.25">
      <c r="A51" s="606" t="s">
        <v>118</v>
      </c>
      <c r="B51" s="602" t="s">
        <v>270</v>
      </c>
      <c r="C51" s="601" t="s">
        <v>264</v>
      </c>
      <c r="D51" s="962">
        <v>3318</v>
      </c>
      <c r="E51" s="962">
        <v>3715</v>
      </c>
      <c r="F51" s="962">
        <v>654</v>
      </c>
      <c r="G51" s="962">
        <v>4357</v>
      </c>
      <c r="H51" s="962">
        <v>3330</v>
      </c>
      <c r="I51" s="603">
        <v>3276</v>
      </c>
      <c r="J51" s="603">
        <v>3491</v>
      </c>
      <c r="K51" s="603">
        <v>300</v>
      </c>
      <c r="L51" s="603">
        <v>221</v>
      </c>
      <c r="M51" s="603"/>
    </row>
    <row r="52" spans="1:13" s="604" customFormat="1" x14ac:dyDescent="0.25">
      <c r="A52" s="606" t="s">
        <v>120</v>
      </c>
      <c r="B52" s="602" t="s">
        <v>121</v>
      </c>
      <c r="C52" s="601" t="s">
        <v>264</v>
      </c>
      <c r="D52" s="962">
        <v>5124</v>
      </c>
      <c r="E52" s="962">
        <v>4492</v>
      </c>
      <c r="F52" s="962">
        <v>521</v>
      </c>
      <c r="G52" s="962">
        <v>5794</v>
      </c>
      <c r="H52" s="962">
        <v>4343</v>
      </c>
      <c r="I52" s="603">
        <v>4970</v>
      </c>
      <c r="J52" s="603">
        <v>3692</v>
      </c>
      <c r="K52" s="603">
        <v>729</v>
      </c>
      <c r="L52" s="603">
        <v>495</v>
      </c>
      <c r="M52" s="603"/>
    </row>
    <row r="53" spans="1:13" s="604" customFormat="1" x14ac:dyDescent="0.25">
      <c r="A53" s="606" t="s">
        <v>122</v>
      </c>
      <c r="B53" s="602" t="s">
        <v>287</v>
      </c>
      <c r="C53" s="601" t="s">
        <v>266</v>
      </c>
      <c r="D53" s="962">
        <v>982</v>
      </c>
      <c r="E53" s="962">
        <v>1153</v>
      </c>
      <c r="F53" s="962">
        <v>200</v>
      </c>
      <c r="G53" s="962">
        <v>1337</v>
      </c>
      <c r="H53" s="962">
        <v>998</v>
      </c>
      <c r="I53" s="603">
        <v>1143</v>
      </c>
      <c r="J53" s="603">
        <v>936</v>
      </c>
      <c r="K53" s="603">
        <v>121</v>
      </c>
      <c r="L53" s="603">
        <v>91</v>
      </c>
      <c r="M53" s="603"/>
    </row>
    <row r="54" spans="1:13" s="604" customFormat="1" x14ac:dyDescent="0.25">
      <c r="A54" s="606" t="s">
        <v>124</v>
      </c>
      <c r="B54" s="602" t="s">
        <v>125</v>
      </c>
      <c r="C54" s="601" t="s">
        <v>267</v>
      </c>
      <c r="D54" s="962">
        <v>2646</v>
      </c>
      <c r="E54" s="962">
        <v>2554</v>
      </c>
      <c r="F54" s="962">
        <v>301</v>
      </c>
      <c r="G54" s="962">
        <v>3071</v>
      </c>
      <c r="H54" s="962">
        <v>2430</v>
      </c>
      <c r="I54" s="603">
        <v>2948</v>
      </c>
      <c r="J54" s="603">
        <v>1860</v>
      </c>
      <c r="K54" s="603">
        <v>295</v>
      </c>
      <c r="L54" s="603">
        <v>220</v>
      </c>
      <c r="M54" s="603"/>
    </row>
    <row r="55" spans="1:13" s="604" customFormat="1" x14ac:dyDescent="0.25">
      <c r="A55" s="606" t="s">
        <v>126</v>
      </c>
      <c r="B55" s="602" t="s">
        <v>127</v>
      </c>
      <c r="C55" s="601" t="s">
        <v>266</v>
      </c>
      <c r="D55" s="962">
        <v>1707</v>
      </c>
      <c r="E55" s="962">
        <v>1616</v>
      </c>
      <c r="F55" s="962">
        <v>275</v>
      </c>
      <c r="G55" s="962">
        <v>2042</v>
      </c>
      <c r="H55" s="962">
        <v>1556</v>
      </c>
      <c r="I55" s="603">
        <v>1883</v>
      </c>
      <c r="J55" s="603">
        <v>1246</v>
      </c>
      <c r="K55" s="603">
        <v>232</v>
      </c>
      <c r="L55" s="603">
        <v>143</v>
      </c>
      <c r="M55" s="603"/>
    </row>
    <row r="56" spans="1:13" s="604" customFormat="1" x14ac:dyDescent="0.25">
      <c r="A56" s="606" t="s">
        <v>128</v>
      </c>
      <c r="B56" s="602" t="s">
        <v>129</v>
      </c>
      <c r="C56" s="601" t="s">
        <v>266</v>
      </c>
      <c r="D56" s="962">
        <v>1311</v>
      </c>
      <c r="E56" s="962">
        <v>1432</v>
      </c>
      <c r="F56" s="962">
        <v>370</v>
      </c>
      <c r="G56" s="962">
        <v>1815</v>
      </c>
      <c r="H56" s="962">
        <v>1298</v>
      </c>
      <c r="I56" s="603">
        <v>1020</v>
      </c>
      <c r="J56" s="603">
        <v>1939</v>
      </c>
      <c r="K56" s="603">
        <v>128</v>
      </c>
      <c r="L56" s="603">
        <v>107</v>
      </c>
      <c r="M56" s="603"/>
    </row>
    <row r="57" spans="1:13" s="604" customFormat="1" x14ac:dyDescent="0.25">
      <c r="A57" s="606" t="s">
        <v>130</v>
      </c>
      <c r="B57" s="602" t="s">
        <v>131</v>
      </c>
      <c r="C57" s="601" t="s">
        <v>268</v>
      </c>
      <c r="D57" s="962">
        <v>3733</v>
      </c>
      <c r="E57" s="962">
        <v>5662</v>
      </c>
      <c r="F57" s="962">
        <v>1217</v>
      </c>
      <c r="G57" s="962">
        <v>5668</v>
      </c>
      <c r="H57" s="962">
        <v>4944</v>
      </c>
      <c r="I57" s="603">
        <v>10122</v>
      </c>
      <c r="J57" s="603">
        <v>58</v>
      </c>
      <c r="K57" s="603">
        <v>135</v>
      </c>
      <c r="L57" s="603">
        <v>108</v>
      </c>
      <c r="M57" s="603"/>
    </row>
    <row r="58" spans="1:13" s="604" customFormat="1" x14ac:dyDescent="0.25">
      <c r="A58" s="606" t="s">
        <v>132</v>
      </c>
      <c r="B58" s="602" t="s">
        <v>133</v>
      </c>
      <c r="C58" s="601" t="s">
        <v>267</v>
      </c>
      <c r="D58" s="962">
        <v>17185</v>
      </c>
      <c r="E58" s="962">
        <v>9158</v>
      </c>
      <c r="F58" s="962">
        <v>2642</v>
      </c>
      <c r="G58" s="962">
        <v>15949</v>
      </c>
      <c r="H58" s="962">
        <v>13036</v>
      </c>
      <c r="I58" s="603">
        <v>13450</v>
      </c>
      <c r="J58" s="603">
        <v>3925</v>
      </c>
      <c r="K58" s="603">
        <v>8266</v>
      </c>
      <c r="L58" s="603">
        <v>4895</v>
      </c>
      <c r="M58" s="603"/>
    </row>
    <row r="59" spans="1:13" s="604" customFormat="1" x14ac:dyDescent="0.25">
      <c r="A59" s="606" t="s">
        <v>134</v>
      </c>
      <c r="B59" s="602" t="s">
        <v>135</v>
      </c>
      <c r="C59" s="601" t="s">
        <v>267</v>
      </c>
      <c r="D59" s="962">
        <v>3991</v>
      </c>
      <c r="E59" s="962">
        <v>4377</v>
      </c>
      <c r="F59" s="962">
        <v>732</v>
      </c>
      <c r="G59" s="962">
        <v>5054</v>
      </c>
      <c r="H59" s="962">
        <v>4046</v>
      </c>
      <c r="I59" s="603">
        <v>5522</v>
      </c>
      <c r="J59" s="603">
        <v>2348</v>
      </c>
      <c r="K59" s="603">
        <v>421</v>
      </c>
      <c r="L59" s="603">
        <v>334</v>
      </c>
      <c r="M59" s="603"/>
    </row>
    <row r="60" spans="1:13" s="604" customFormat="1" x14ac:dyDescent="0.25">
      <c r="A60" s="606" t="s">
        <v>136</v>
      </c>
      <c r="B60" s="602" t="s">
        <v>137</v>
      </c>
      <c r="C60" s="601" t="s">
        <v>266</v>
      </c>
      <c r="D60" s="962">
        <v>1876</v>
      </c>
      <c r="E60" s="962">
        <v>2100</v>
      </c>
      <c r="F60" s="962">
        <v>549</v>
      </c>
      <c r="G60" s="962">
        <v>2510</v>
      </c>
      <c r="H60" s="962">
        <v>2015</v>
      </c>
      <c r="I60" s="603">
        <v>1994</v>
      </c>
      <c r="J60" s="603">
        <v>2157</v>
      </c>
      <c r="K60" s="603">
        <v>251</v>
      </c>
      <c r="L60" s="603">
        <v>103</v>
      </c>
      <c r="M60" s="603"/>
    </row>
    <row r="61" spans="1:13" s="604" customFormat="1" x14ac:dyDescent="0.25">
      <c r="A61" s="606" t="s">
        <v>140</v>
      </c>
      <c r="B61" s="602" t="s">
        <v>141</v>
      </c>
      <c r="C61" s="601" t="s">
        <v>267</v>
      </c>
      <c r="D61" s="962">
        <v>1546</v>
      </c>
      <c r="E61" s="962">
        <v>1540</v>
      </c>
      <c r="F61" s="962">
        <v>317</v>
      </c>
      <c r="G61" s="962">
        <v>1905</v>
      </c>
      <c r="H61" s="962">
        <v>1498</v>
      </c>
      <c r="I61" s="603">
        <v>2504</v>
      </c>
      <c r="J61" s="603">
        <v>546</v>
      </c>
      <c r="K61" s="603">
        <v>119</v>
      </c>
      <c r="L61" s="603">
        <v>78</v>
      </c>
      <c r="M61" s="603"/>
    </row>
    <row r="62" spans="1:13" s="604" customFormat="1" x14ac:dyDescent="0.25">
      <c r="A62" s="606" t="s">
        <v>146</v>
      </c>
      <c r="B62" s="602" t="s">
        <v>147</v>
      </c>
      <c r="C62" s="601" t="s">
        <v>264</v>
      </c>
      <c r="D62" s="962">
        <v>778</v>
      </c>
      <c r="E62" s="962">
        <v>963</v>
      </c>
      <c r="F62" s="962">
        <v>199</v>
      </c>
      <c r="G62" s="962">
        <v>1090</v>
      </c>
      <c r="H62" s="962">
        <v>850</v>
      </c>
      <c r="I62" s="603">
        <v>1392</v>
      </c>
      <c r="J62" s="603">
        <v>377</v>
      </c>
      <c r="K62" s="603">
        <v>71</v>
      </c>
      <c r="L62" s="603">
        <v>62</v>
      </c>
      <c r="M62" s="603"/>
    </row>
    <row r="63" spans="1:13" s="604" customFormat="1" x14ac:dyDescent="0.25">
      <c r="A63" s="606" t="s">
        <v>148</v>
      </c>
      <c r="B63" s="602" t="s">
        <v>149</v>
      </c>
      <c r="C63" s="601" t="s">
        <v>265</v>
      </c>
      <c r="D63" s="962">
        <v>4224</v>
      </c>
      <c r="E63" s="962">
        <v>4899</v>
      </c>
      <c r="F63" s="962">
        <v>1192</v>
      </c>
      <c r="G63" s="962">
        <v>5868</v>
      </c>
      <c r="H63" s="962">
        <v>4447</v>
      </c>
      <c r="I63" s="603">
        <v>3998</v>
      </c>
      <c r="J63" s="603">
        <v>5747</v>
      </c>
      <c r="K63" s="603">
        <v>256</v>
      </c>
      <c r="L63" s="603">
        <v>188</v>
      </c>
      <c r="M63" s="603"/>
    </row>
    <row r="64" spans="1:13" s="604" customFormat="1" x14ac:dyDescent="0.25">
      <c r="A64" s="606" t="s">
        <v>150</v>
      </c>
      <c r="B64" s="602" t="s">
        <v>151</v>
      </c>
      <c r="C64" s="601" t="s">
        <v>266</v>
      </c>
      <c r="D64" s="962">
        <v>1242</v>
      </c>
      <c r="E64" s="962">
        <v>1526</v>
      </c>
      <c r="F64" s="962">
        <v>290</v>
      </c>
      <c r="G64" s="962">
        <v>1686</v>
      </c>
      <c r="H64" s="962">
        <v>1372</v>
      </c>
      <c r="I64" s="603">
        <v>1864</v>
      </c>
      <c r="J64" s="603">
        <v>922</v>
      </c>
      <c r="K64" s="603">
        <v>126</v>
      </c>
      <c r="L64" s="603">
        <v>108</v>
      </c>
      <c r="M64" s="603"/>
    </row>
    <row r="65" spans="1:13" s="604" customFormat="1" x14ac:dyDescent="0.25">
      <c r="A65" s="606" t="s">
        <v>152</v>
      </c>
      <c r="B65" s="602" t="s">
        <v>153</v>
      </c>
      <c r="C65" s="601" t="s">
        <v>268</v>
      </c>
      <c r="D65" s="962">
        <v>6498</v>
      </c>
      <c r="E65" s="962">
        <v>7264</v>
      </c>
      <c r="F65" s="962">
        <v>974</v>
      </c>
      <c r="G65" s="962">
        <v>8195</v>
      </c>
      <c r="H65" s="962">
        <v>6541</v>
      </c>
      <c r="I65" s="603">
        <v>11687</v>
      </c>
      <c r="J65" s="603">
        <v>1130</v>
      </c>
      <c r="K65" s="603">
        <v>679</v>
      </c>
      <c r="L65" s="603">
        <v>482</v>
      </c>
      <c r="M65" s="603"/>
    </row>
    <row r="66" spans="1:13" s="604" customFormat="1" x14ac:dyDescent="0.25">
      <c r="A66" s="606" t="s">
        <v>154</v>
      </c>
      <c r="B66" s="602" t="s">
        <v>155</v>
      </c>
      <c r="C66" s="601" t="s">
        <v>265</v>
      </c>
      <c r="D66" s="962">
        <v>1838</v>
      </c>
      <c r="E66" s="962">
        <v>2042</v>
      </c>
      <c r="F66" s="962">
        <v>503</v>
      </c>
      <c r="G66" s="962">
        <v>2410</v>
      </c>
      <c r="H66" s="962">
        <v>1973</v>
      </c>
      <c r="I66" s="603">
        <v>2826</v>
      </c>
      <c r="J66" s="603">
        <v>809</v>
      </c>
      <c r="K66" s="603">
        <v>198</v>
      </c>
      <c r="L66" s="603">
        <v>133</v>
      </c>
      <c r="M66" s="603"/>
    </row>
    <row r="67" spans="1:13" s="604" customFormat="1" x14ac:dyDescent="0.25">
      <c r="A67" s="606" t="s">
        <v>156</v>
      </c>
      <c r="B67" s="602" t="s">
        <v>157</v>
      </c>
      <c r="C67" s="601" t="s">
        <v>266</v>
      </c>
      <c r="D67" s="962">
        <v>1360</v>
      </c>
      <c r="E67" s="962">
        <v>1383</v>
      </c>
      <c r="F67" s="962">
        <v>159</v>
      </c>
      <c r="G67" s="962">
        <v>1617</v>
      </c>
      <c r="H67" s="962">
        <v>1285</v>
      </c>
      <c r="I67" s="603">
        <v>1957</v>
      </c>
      <c r="J67" s="603">
        <v>557</v>
      </c>
      <c r="K67" s="603">
        <v>149</v>
      </c>
      <c r="L67" s="603">
        <v>88</v>
      </c>
      <c r="M67" s="603"/>
    </row>
    <row r="68" spans="1:13" s="604" customFormat="1" x14ac:dyDescent="0.25">
      <c r="A68" s="606" t="s">
        <v>162</v>
      </c>
      <c r="B68" s="602" t="s">
        <v>163</v>
      </c>
      <c r="C68" s="601" t="s">
        <v>264</v>
      </c>
      <c r="D68" s="962">
        <v>2118</v>
      </c>
      <c r="E68" s="962">
        <v>2293</v>
      </c>
      <c r="F68" s="962">
        <v>709</v>
      </c>
      <c r="G68" s="962">
        <v>2889</v>
      </c>
      <c r="H68" s="962">
        <v>2231</v>
      </c>
      <c r="I68" s="603">
        <v>1699</v>
      </c>
      <c r="J68" s="603">
        <v>3025</v>
      </c>
      <c r="K68" s="603">
        <v>175</v>
      </c>
      <c r="L68" s="603">
        <v>136</v>
      </c>
      <c r="M68" s="603"/>
    </row>
    <row r="69" spans="1:13" s="604" customFormat="1" x14ac:dyDescent="0.25">
      <c r="A69" s="606" t="s">
        <v>164</v>
      </c>
      <c r="B69" s="602" t="s">
        <v>165</v>
      </c>
      <c r="C69" s="601" t="s">
        <v>266</v>
      </c>
      <c r="D69" s="962">
        <v>1406</v>
      </c>
      <c r="E69" s="962">
        <v>1570</v>
      </c>
      <c r="F69" s="962">
        <v>351</v>
      </c>
      <c r="G69" s="962">
        <v>1844</v>
      </c>
      <c r="H69" s="962">
        <v>1483</v>
      </c>
      <c r="I69" s="603">
        <v>1362</v>
      </c>
      <c r="J69" s="603">
        <v>1678</v>
      </c>
      <c r="K69" s="603">
        <v>146</v>
      </c>
      <c r="L69" s="603">
        <v>85</v>
      </c>
      <c r="M69" s="603"/>
    </row>
    <row r="70" spans="1:13" s="604" customFormat="1" x14ac:dyDescent="0.25">
      <c r="A70" s="606" t="s">
        <v>168</v>
      </c>
      <c r="B70" s="602" t="s">
        <v>169</v>
      </c>
      <c r="C70" s="601" t="s">
        <v>266</v>
      </c>
      <c r="D70" s="962">
        <v>2587</v>
      </c>
      <c r="E70" s="962">
        <v>2811</v>
      </c>
      <c r="F70" s="962">
        <v>570</v>
      </c>
      <c r="G70" s="962">
        <v>3336</v>
      </c>
      <c r="H70" s="962">
        <v>2632</v>
      </c>
      <c r="I70" s="603">
        <v>2477</v>
      </c>
      <c r="J70" s="603">
        <v>3061</v>
      </c>
      <c r="K70" s="603">
        <v>183</v>
      </c>
      <c r="L70" s="603">
        <v>76</v>
      </c>
      <c r="M70" s="603"/>
    </row>
    <row r="71" spans="1:13" s="604" customFormat="1" x14ac:dyDescent="0.25">
      <c r="A71" s="606" t="s">
        <v>170</v>
      </c>
      <c r="B71" s="602" t="s">
        <v>171</v>
      </c>
      <c r="C71" s="601" t="s">
        <v>267</v>
      </c>
      <c r="D71" s="962">
        <v>3679</v>
      </c>
      <c r="E71" s="962">
        <v>3508</v>
      </c>
      <c r="F71" s="962">
        <v>606</v>
      </c>
      <c r="G71" s="962">
        <v>4427</v>
      </c>
      <c r="H71" s="962">
        <v>3366</v>
      </c>
      <c r="I71" s="603">
        <v>4791</v>
      </c>
      <c r="J71" s="603">
        <v>1878</v>
      </c>
      <c r="K71" s="603">
        <v>493</v>
      </c>
      <c r="L71" s="603">
        <v>386</v>
      </c>
      <c r="M71" s="603"/>
    </row>
    <row r="72" spans="1:13" s="604" customFormat="1" x14ac:dyDescent="0.25">
      <c r="A72" s="606" t="s">
        <v>172</v>
      </c>
      <c r="B72" s="602" t="s">
        <v>173</v>
      </c>
      <c r="C72" s="601" t="s">
        <v>267</v>
      </c>
      <c r="D72" s="962">
        <v>3021</v>
      </c>
      <c r="E72" s="962">
        <v>3609</v>
      </c>
      <c r="F72" s="962">
        <v>718</v>
      </c>
      <c r="G72" s="962">
        <v>4042</v>
      </c>
      <c r="H72" s="962">
        <v>3306</v>
      </c>
      <c r="I72" s="603">
        <v>6673</v>
      </c>
      <c r="J72" s="603">
        <v>205</v>
      </c>
      <c r="K72" s="603">
        <v>112</v>
      </c>
      <c r="L72" s="603">
        <v>78</v>
      </c>
      <c r="M72" s="603"/>
    </row>
    <row r="73" spans="1:13" s="604" customFormat="1" x14ac:dyDescent="0.25">
      <c r="A73" s="606" t="s">
        <v>174</v>
      </c>
      <c r="B73" s="602" t="s">
        <v>175</v>
      </c>
      <c r="C73" s="601" t="s">
        <v>268</v>
      </c>
      <c r="D73" s="962">
        <v>2308</v>
      </c>
      <c r="E73" s="962">
        <v>3044</v>
      </c>
      <c r="F73" s="962">
        <v>692</v>
      </c>
      <c r="G73" s="962">
        <v>3304</v>
      </c>
      <c r="H73" s="962">
        <v>2740</v>
      </c>
      <c r="I73" s="603">
        <v>5167</v>
      </c>
      <c r="J73" s="603">
        <v>474</v>
      </c>
      <c r="K73" s="603">
        <v>225</v>
      </c>
      <c r="L73" s="603">
        <v>139</v>
      </c>
      <c r="M73" s="603"/>
    </row>
    <row r="74" spans="1:13" s="604" customFormat="1" x14ac:dyDescent="0.25">
      <c r="A74" s="606" t="s">
        <v>178</v>
      </c>
      <c r="B74" s="602" t="s">
        <v>179</v>
      </c>
      <c r="C74" s="601" t="s">
        <v>265</v>
      </c>
      <c r="D74" s="962">
        <v>7812</v>
      </c>
      <c r="E74" s="962">
        <v>9406</v>
      </c>
      <c r="F74" s="962">
        <v>2165</v>
      </c>
      <c r="G74" s="962">
        <v>10940</v>
      </c>
      <c r="H74" s="962">
        <v>8443</v>
      </c>
      <c r="I74" s="603">
        <v>11077</v>
      </c>
      <c r="J74" s="603">
        <v>6018</v>
      </c>
      <c r="K74" s="603">
        <v>760</v>
      </c>
      <c r="L74" s="603">
        <v>490</v>
      </c>
      <c r="M74" s="603"/>
    </row>
    <row r="75" spans="1:13" s="604" customFormat="1" x14ac:dyDescent="0.25">
      <c r="A75" s="606" t="s">
        <v>182</v>
      </c>
      <c r="B75" s="602" t="s">
        <v>183</v>
      </c>
      <c r="C75" s="601" t="s">
        <v>266</v>
      </c>
      <c r="D75" s="962">
        <v>1532</v>
      </c>
      <c r="E75" s="962">
        <v>1512</v>
      </c>
      <c r="F75" s="962">
        <v>228</v>
      </c>
      <c r="G75" s="962">
        <v>1831</v>
      </c>
      <c r="H75" s="962">
        <v>1441</v>
      </c>
      <c r="I75" s="603">
        <v>2234</v>
      </c>
      <c r="J75" s="603">
        <v>540</v>
      </c>
      <c r="K75" s="603">
        <v>164</v>
      </c>
      <c r="L75" s="603">
        <v>123</v>
      </c>
      <c r="M75" s="603"/>
    </row>
    <row r="76" spans="1:13" s="604" customFormat="1" x14ac:dyDescent="0.25">
      <c r="A76" s="606" t="s">
        <v>184</v>
      </c>
      <c r="B76" s="602" t="s">
        <v>185</v>
      </c>
      <c r="C76" s="601" t="s">
        <v>266</v>
      </c>
      <c r="D76" s="962">
        <v>2744</v>
      </c>
      <c r="E76" s="962">
        <v>3316</v>
      </c>
      <c r="F76" s="962">
        <v>612</v>
      </c>
      <c r="G76" s="962">
        <v>3730</v>
      </c>
      <c r="H76" s="962">
        <v>2942</v>
      </c>
      <c r="I76" s="603">
        <v>2397</v>
      </c>
      <c r="J76" s="603">
        <v>3808</v>
      </c>
      <c r="K76" s="603">
        <v>225</v>
      </c>
      <c r="L76" s="603">
        <v>169</v>
      </c>
      <c r="M76" s="603"/>
    </row>
    <row r="77" spans="1:13" s="604" customFormat="1" x14ac:dyDescent="0.25">
      <c r="A77" s="606" t="s">
        <v>186</v>
      </c>
      <c r="B77" s="602" t="s">
        <v>187</v>
      </c>
      <c r="C77" s="601" t="s">
        <v>264</v>
      </c>
      <c r="D77" s="962">
        <v>3238</v>
      </c>
      <c r="E77" s="962">
        <v>3144</v>
      </c>
      <c r="F77" s="962">
        <v>305</v>
      </c>
      <c r="G77" s="962">
        <v>3835</v>
      </c>
      <c r="H77" s="962">
        <v>2852</v>
      </c>
      <c r="I77" s="603">
        <v>3217</v>
      </c>
      <c r="J77" s="603">
        <v>2683</v>
      </c>
      <c r="K77" s="603">
        <v>387</v>
      </c>
      <c r="L77" s="603">
        <v>265</v>
      </c>
      <c r="M77" s="603"/>
    </row>
    <row r="78" spans="1:13" s="604" customFormat="1" x14ac:dyDescent="0.25">
      <c r="A78" s="606" t="s">
        <v>188</v>
      </c>
      <c r="B78" s="602" t="s">
        <v>189</v>
      </c>
      <c r="C78" s="601" t="s">
        <v>267</v>
      </c>
      <c r="D78" s="962">
        <v>45108</v>
      </c>
      <c r="E78" s="962">
        <v>26166</v>
      </c>
      <c r="F78" s="962">
        <v>3664</v>
      </c>
      <c r="G78" s="962">
        <v>41742</v>
      </c>
      <c r="H78" s="962">
        <v>33196</v>
      </c>
      <c r="I78" s="603">
        <v>32907</v>
      </c>
      <c r="J78" s="603">
        <v>20844</v>
      </c>
      <c r="K78" s="603">
        <v>14975</v>
      </c>
      <c r="L78" s="603">
        <v>9245</v>
      </c>
      <c r="M78" s="603"/>
    </row>
    <row r="79" spans="1:13" s="604" customFormat="1" x14ac:dyDescent="0.25">
      <c r="A79" s="606" t="s">
        <v>190</v>
      </c>
      <c r="B79" s="602" t="s">
        <v>191</v>
      </c>
      <c r="C79" s="601" t="s">
        <v>268</v>
      </c>
      <c r="D79" s="962">
        <v>4089</v>
      </c>
      <c r="E79" s="962">
        <v>5543</v>
      </c>
      <c r="F79" s="962">
        <v>988</v>
      </c>
      <c r="G79" s="962">
        <v>5842</v>
      </c>
      <c r="H79" s="962">
        <v>4778</v>
      </c>
      <c r="I79" s="603">
        <v>9061</v>
      </c>
      <c r="J79" s="603">
        <v>948</v>
      </c>
      <c r="K79" s="603">
        <v>342</v>
      </c>
      <c r="L79" s="603">
        <v>239</v>
      </c>
      <c r="M79" s="603"/>
    </row>
    <row r="80" spans="1:13" s="604" customFormat="1" x14ac:dyDescent="0.25">
      <c r="A80" s="606" t="s">
        <v>194</v>
      </c>
      <c r="B80" s="602" t="s">
        <v>195</v>
      </c>
      <c r="C80" s="601" t="s">
        <v>267</v>
      </c>
      <c r="D80" s="962">
        <v>566</v>
      </c>
      <c r="E80" s="962">
        <v>511</v>
      </c>
      <c r="F80" s="962">
        <v>132</v>
      </c>
      <c r="G80" s="962">
        <v>665</v>
      </c>
      <c r="H80" s="962">
        <v>544</v>
      </c>
      <c r="I80" s="603">
        <v>1023</v>
      </c>
      <c r="J80" s="603">
        <v>118</v>
      </c>
      <c r="K80" s="603">
        <v>38</v>
      </c>
      <c r="L80" s="603">
        <v>28</v>
      </c>
      <c r="M80" s="603"/>
    </row>
    <row r="81" spans="1:13" s="604" customFormat="1" x14ac:dyDescent="0.25">
      <c r="A81" s="606" t="s">
        <v>198</v>
      </c>
      <c r="B81" s="602" t="s">
        <v>272</v>
      </c>
      <c r="C81" s="601" t="s">
        <v>266</v>
      </c>
      <c r="D81" s="962">
        <v>1249</v>
      </c>
      <c r="E81" s="962">
        <v>1384</v>
      </c>
      <c r="F81" s="962">
        <v>255</v>
      </c>
      <c r="G81" s="962">
        <v>1616</v>
      </c>
      <c r="H81" s="962">
        <v>1272</v>
      </c>
      <c r="I81" s="603">
        <v>1245</v>
      </c>
      <c r="J81" s="603">
        <v>1265</v>
      </c>
      <c r="K81" s="603">
        <v>228</v>
      </c>
      <c r="L81" s="603">
        <v>140</v>
      </c>
      <c r="M81" s="603"/>
    </row>
    <row r="82" spans="1:13" s="604" customFormat="1" x14ac:dyDescent="0.25">
      <c r="A82" s="606" t="s">
        <v>202</v>
      </c>
      <c r="B82" s="602" t="s">
        <v>301</v>
      </c>
      <c r="C82" s="601" t="s">
        <v>265</v>
      </c>
      <c r="D82" s="962">
        <v>9419</v>
      </c>
      <c r="E82" s="962">
        <v>8726</v>
      </c>
      <c r="F82" s="962">
        <v>1563</v>
      </c>
      <c r="G82" s="962">
        <v>11063</v>
      </c>
      <c r="H82" s="962">
        <v>8646</v>
      </c>
      <c r="I82" s="603">
        <v>14091</v>
      </c>
      <c r="J82" s="603">
        <v>2720</v>
      </c>
      <c r="K82" s="603">
        <v>1425</v>
      </c>
      <c r="L82" s="603">
        <v>1018</v>
      </c>
      <c r="M82" s="603"/>
    </row>
    <row r="83" spans="1:13" s="604" customFormat="1" x14ac:dyDescent="0.25">
      <c r="A83" s="606" t="s">
        <v>204</v>
      </c>
      <c r="B83" s="602" t="s">
        <v>293</v>
      </c>
      <c r="C83" s="601" t="s">
        <v>265</v>
      </c>
      <c r="D83" s="962">
        <v>3699</v>
      </c>
      <c r="E83" s="962">
        <v>4070</v>
      </c>
      <c r="F83" s="962">
        <v>915</v>
      </c>
      <c r="G83" s="962">
        <v>4921</v>
      </c>
      <c r="H83" s="962">
        <v>3763</v>
      </c>
      <c r="I83" s="603">
        <v>7294</v>
      </c>
      <c r="J83" s="603">
        <v>629</v>
      </c>
      <c r="K83" s="603">
        <v>307</v>
      </c>
      <c r="L83" s="603">
        <v>245</v>
      </c>
      <c r="M83" s="603"/>
    </row>
    <row r="84" spans="1:13" s="604" customFormat="1" x14ac:dyDescent="0.25">
      <c r="A84" s="606" t="s">
        <v>206</v>
      </c>
      <c r="B84" s="602" t="s">
        <v>294</v>
      </c>
      <c r="C84" s="601" t="s">
        <v>267</v>
      </c>
      <c r="D84" s="962">
        <v>13685</v>
      </c>
      <c r="E84" s="962">
        <v>10925</v>
      </c>
      <c r="F84" s="962">
        <v>1758</v>
      </c>
      <c r="G84" s="962">
        <v>14521</v>
      </c>
      <c r="H84" s="962">
        <v>11847</v>
      </c>
      <c r="I84" s="603">
        <v>18616</v>
      </c>
      <c r="J84" s="603">
        <v>1992</v>
      </c>
      <c r="K84" s="603">
        <v>2747</v>
      </c>
      <c r="L84" s="603">
        <v>1570</v>
      </c>
      <c r="M84" s="603"/>
    </row>
    <row r="85" spans="1:13" s="604" customFormat="1" x14ac:dyDescent="0.25">
      <c r="A85" s="606" t="s">
        <v>208</v>
      </c>
      <c r="B85" s="602" t="s">
        <v>209</v>
      </c>
      <c r="C85" s="601" t="s">
        <v>268</v>
      </c>
      <c r="D85" s="962">
        <v>4065</v>
      </c>
      <c r="E85" s="962">
        <v>5725</v>
      </c>
      <c r="F85" s="962">
        <v>909</v>
      </c>
      <c r="G85" s="962">
        <v>5844</v>
      </c>
      <c r="H85" s="962">
        <v>4855</v>
      </c>
      <c r="I85" s="603">
        <v>9538</v>
      </c>
      <c r="J85" s="603">
        <v>102</v>
      </c>
      <c r="K85" s="603">
        <v>125</v>
      </c>
      <c r="L85" s="603">
        <v>113</v>
      </c>
      <c r="M85" s="603"/>
    </row>
    <row r="86" spans="1:13" s="604" customFormat="1" x14ac:dyDescent="0.25">
      <c r="A86" s="606" t="s">
        <v>210</v>
      </c>
      <c r="B86" s="602" t="s">
        <v>211</v>
      </c>
      <c r="C86" s="601" t="s">
        <v>268</v>
      </c>
      <c r="D86" s="962">
        <v>2774</v>
      </c>
      <c r="E86" s="962">
        <v>3863</v>
      </c>
      <c r="F86" s="962">
        <v>971</v>
      </c>
      <c r="G86" s="962">
        <v>4097</v>
      </c>
      <c r="H86" s="962">
        <v>3511</v>
      </c>
      <c r="I86" s="603">
        <v>7089</v>
      </c>
      <c r="J86" s="603">
        <v>120</v>
      </c>
      <c r="K86" s="603">
        <v>114</v>
      </c>
      <c r="L86" s="603">
        <v>72</v>
      </c>
      <c r="M86" s="603"/>
    </row>
    <row r="87" spans="1:13" s="604" customFormat="1" x14ac:dyDescent="0.25">
      <c r="A87" s="606" t="s">
        <v>212</v>
      </c>
      <c r="B87" s="602" t="s">
        <v>213</v>
      </c>
      <c r="C87" s="601" t="s">
        <v>267</v>
      </c>
      <c r="D87" s="962">
        <v>4971</v>
      </c>
      <c r="E87" s="962">
        <v>4882</v>
      </c>
      <c r="F87" s="962">
        <v>818</v>
      </c>
      <c r="G87" s="962">
        <v>5937</v>
      </c>
      <c r="H87" s="962">
        <v>4734</v>
      </c>
      <c r="I87" s="603">
        <v>8859</v>
      </c>
      <c r="J87" s="603">
        <v>446</v>
      </c>
      <c r="K87" s="603">
        <v>800</v>
      </c>
      <c r="L87" s="603">
        <v>340</v>
      </c>
      <c r="M87" s="603"/>
    </row>
    <row r="88" spans="1:13" s="604" customFormat="1" x14ac:dyDescent="0.25">
      <c r="A88" s="606" t="s">
        <v>214</v>
      </c>
      <c r="B88" s="602" t="s">
        <v>215</v>
      </c>
      <c r="C88" s="601" t="s">
        <v>268</v>
      </c>
      <c r="D88" s="962">
        <v>4356</v>
      </c>
      <c r="E88" s="962">
        <v>6015</v>
      </c>
      <c r="F88" s="962">
        <v>1086</v>
      </c>
      <c r="G88" s="962">
        <v>6255</v>
      </c>
      <c r="H88" s="962">
        <v>5202</v>
      </c>
      <c r="I88" s="603">
        <v>10384</v>
      </c>
      <c r="J88" s="603">
        <v>259</v>
      </c>
      <c r="K88" s="603">
        <v>224</v>
      </c>
      <c r="L88" s="603">
        <v>170</v>
      </c>
      <c r="M88" s="603"/>
    </row>
    <row r="89" spans="1:13" s="604" customFormat="1" x14ac:dyDescent="0.25">
      <c r="A89" s="606" t="s">
        <v>216</v>
      </c>
      <c r="B89" s="602" t="s">
        <v>217</v>
      </c>
      <c r="C89" s="601" t="s">
        <v>264</v>
      </c>
      <c r="D89" s="962">
        <v>2321</v>
      </c>
      <c r="E89" s="962">
        <v>2647</v>
      </c>
      <c r="F89" s="962">
        <v>546</v>
      </c>
      <c r="G89" s="962">
        <v>3172</v>
      </c>
      <c r="H89" s="962">
        <v>2342</v>
      </c>
      <c r="I89" s="603">
        <v>1849</v>
      </c>
      <c r="J89" s="603">
        <v>2930</v>
      </c>
      <c r="K89" s="603">
        <v>160</v>
      </c>
      <c r="L89" s="603">
        <v>117</v>
      </c>
      <c r="M89" s="603"/>
    </row>
    <row r="90" spans="1:13" s="604" customFormat="1" x14ac:dyDescent="0.25">
      <c r="A90" s="606" t="s">
        <v>218</v>
      </c>
      <c r="B90" s="602" t="s">
        <v>219</v>
      </c>
      <c r="C90" s="601" t="s">
        <v>267</v>
      </c>
      <c r="D90" s="962">
        <v>13575</v>
      </c>
      <c r="E90" s="962">
        <v>11440</v>
      </c>
      <c r="F90" s="962">
        <v>1208</v>
      </c>
      <c r="G90" s="962">
        <v>14627</v>
      </c>
      <c r="H90" s="962">
        <v>11596</v>
      </c>
      <c r="I90" s="603">
        <v>14982</v>
      </c>
      <c r="J90" s="603">
        <v>6519</v>
      </c>
      <c r="K90" s="603">
        <v>2641</v>
      </c>
      <c r="L90" s="603">
        <v>1633</v>
      </c>
      <c r="M90" s="603"/>
    </row>
    <row r="91" spans="1:13" s="604" customFormat="1" x14ac:dyDescent="0.25">
      <c r="A91" s="606" t="s">
        <v>220</v>
      </c>
      <c r="B91" s="602" t="s">
        <v>221</v>
      </c>
      <c r="C91" s="601" t="s">
        <v>267</v>
      </c>
      <c r="D91" s="962">
        <v>11823</v>
      </c>
      <c r="E91" s="962">
        <v>9259</v>
      </c>
      <c r="F91" s="962">
        <v>894</v>
      </c>
      <c r="G91" s="962">
        <v>12580</v>
      </c>
      <c r="H91" s="962">
        <v>9396</v>
      </c>
      <c r="I91" s="603">
        <v>10449</v>
      </c>
      <c r="J91" s="603">
        <v>5994</v>
      </c>
      <c r="K91" s="603">
        <v>3043</v>
      </c>
      <c r="L91" s="603">
        <v>1866</v>
      </c>
      <c r="M91" s="603"/>
    </row>
    <row r="92" spans="1:13" s="604" customFormat="1" x14ac:dyDescent="0.25">
      <c r="A92" s="606" t="s">
        <v>224</v>
      </c>
      <c r="B92" s="602" t="s">
        <v>225</v>
      </c>
      <c r="C92" s="601" t="s">
        <v>264</v>
      </c>
      <c r="D92" s="962">
        <v>793</v>
      </c>
      <c r="E92" s="962">
        <v>976</v>
      </c>
      <c r="F92" s="962">
        <v>171</v>
      </c>
      <c r="G92" s="962">
        <v>1079</v>
      </c>
      <c r="H92" s="962">
        <v>861</v>
      </c>
      <c r="I92" s="603">
        <v>684</v>
      </c>
      <c r="J92" s="603">
        <v>1186</v>
      </c>
      <c r="K92" s="603">
        <v>46</v>
      </c>
      <c r="L92" s="603">
        <v>34</v>
      </c>
      <c r="M92" s="603"/>
    </row>
    <row r="93" spans="1:13" s="604" customFormat="1" x14ac:dyDescent="0.25">
      <c r="A93" s="606" t="s">
        <v>226</v>
      </c>
      <c r="B93" s="602" t="s">
        <v>227</v>
      </c>
      <c r="C93" s="601" t="s">
        <v>264</v>
      </c>
      <c r="D93" s="962">
        <v>1539</v>
      </c>
      <c r="E93" s="962">
        <v>1778</v>
      </c>
      <c r="F93" s="962">
        <v>376</v>
      </c>
      <c r="G93" s="962">
        <v>2101</v>
      </c>
      <c r="H93" s="962">
        <v>1592</v>
      </c>
      <c r="I93" s="603">
        <v>864</v>
      </c>
      <c r="J93" s="603">
        <v>2354</v>
      </c>
      <c r="K93" s="603">
        <v>70</v>
      </c>
      <c r="L93" s="603">
        <v>62</v>
      </c>
      <c r="M93" s="603"/>
    </row>
    <row r="94" spans="1:13" s="604" customFormat="1" x14ac:dyDescent="0.25">
      <c r="A94" s="606" t="s">
        <v>228</v>
      </c>
      <c r="B94" s="602" t="s">
        <v>229</v>
      </c>
      <c r="C94" s="601" t="s">
        <v>268</v>
      </c>
      <c r="D94" s="962">
        <v>5953</v>
      </c>
      <c r="E94" s="962">
        <v>8179</v>
      </c>
      <c r="F94" s="962">
        <v>1254</v>
      </c>
      <c r="G94" s="962">
        <v>8520</v>
      </c>
      <c r="H94" s="962">
        <v>6866</v>
      </c>
      <c r="I94" s="603">
        <v>13917</v>
      </c>
      <c r="J94" s="603">
        <v>598</v>
      </c>
      <c r="K94" s="603">
        <v>248</v>
      </c>
      <c r="L94" s="603">
        <v>197</v>
      </c>
      <c r="M94" s="603"/>
    </row>
    <row r="95" spans="1:13" s="604" customFormat="1" x14ac:dyDescent="0.25">
      <c r="A95" s="606" t="s">
        <v>232</v>
      </c>
      <c r="B95" s="602" t="s">
        <v>233</v>
      </c>
      <c r="C95" s="601" t="s">
        <v>267</v>
      </c>
      <c r="D95" s="962">
        <v>4461</v>
      </c>
      <c r="E95" s="962">
        <v>4737</v>
      </c>
      <c r="F95" s="962">
        <v>582</v>
      </c>
      <c r="G95" s="962">
        <v>5452</v>
      </c>
      <c r="H95" s="962">
        <v>4328</v>
      </c>
      <c r="I95" s="603">
        <v>7413</v>
      </c>
      <c r="J95" s="603">
        <v>935</v>
      </c>
      <c r="K95" s="603">
        <v>609</v>
      </c>
      <c r="L95" s="603">
        <v>471</v>
      </c>
      <c r="M95" s="603"/>
    </row>
    <row r="96" spans="1:13" s="604" customFormat="1" x14ac:dyDescent="0.25">
      <c r="A96" s="606" t="s">
        <v>234</v>
      </c>
      <c r="B96" s="602" t="s">
        <v>235</v>
      </c>
      <c r="C96" s="601" t="s">
        <v>268</v>
      </c>
      <c r="D96" s="962">
        <v>5875</v>
      </c>
      <c r="E96" s="962">
        <v>7654</v>
      </c>
      <c r="F96" s="962">
        <v>1431</v>
      </c>
      <c r="G96" s="962">
        <v>8350</v>
      </c>
      <c r="H96" s="962">
        <v>6610</v>
      </c>
      <c r="I96" s="603">
        <v>13653</v>
      </c>
      <c r="J96" s="603">
        <v>334</v>
      </c>
      <c r="K96" s="603">
        <v>360</v>
      </c>
      <c r="L96" s="603">
        <v>253</v>
      </c>
      <c r="M96" s="603"/>
    </row>
    <row r="97" spans="1:13" s="604" customFormat="1" x14ac:dyDescent="0.25">
      <c r="A97" s="606" t="s">
        <v>236</v>
      </c>
      <c r="B97" s="602" t="s">
        <v>237</v>
      </c>
      <c r="C97" s="601" t="s">
        <v>266</v>
      </c>
      <c r="D97" s="962">
        <v>2599</v>
      </c>
      <c r="E97" s="962">
        <v>2851</v>
      </c>
      <c r="F97" s="962">
        <v>635</v>
      </c>
      <c r="G97" s="962">
        <v>3410</v>
      </c>
      <c r="H97" s="962">
        <v>2675</v>
      </c>
      <c r="I97" s="603">
        <v>2762</v>
      </c>
      <c r="J97" s="603">
        <v>2380</v>
      </c>
      <c r="K97" s="603">
        <v>359</v>
      </c>
      <c r="L97" s="603">
        <v>238</v>
      </c>
      <c r="M97" s="603"/>
    </row>
    <row r="98" spans="1:13" s="604" customFormat="1" x14ac:dyDescent="0.25">
      <c r="A98" s="606" t="s">
        <v>242</v>
      </c>
      <c r="B98" s="602" t="s">
        <v>243</v>
      </c>
      <c r="C98" s="601" t="s">
        <v>268</v>
      </c>
      <c r="D98" s="962">
        <v>6095</v>
      </c>
      <c r="E98" s="962">
        <v>8488</v>
      </c>
      <c r="F98" s="962">
        <v>1170</v>
      </c>
      <c r="G98" s="962">
        <v>8691</v>
      </c>
      <c r="H98" s="962">
        <v>7062</v>
      </c>
      <c r="I98" s="603">
        <v>14107</v>
      </c>
      <c r="J98" s="603">
        <v>381</v>
      </c>
      <c r="K98" s="603">
        <v>285</v>
      </c>
      <c r="L98" s="603">
        <v>249</v>
      </c>
      <c r="M98" s="603"/>
    </row>
    <row r="99" spans="1:13" s="604" customFormat="1" x14ac:dyDescent="0.25">
      <c r="A99" s="606" t="s">
        <v>244</v>
      </c>
      <c r="B99" s="602" t="s">
        <v>245</v>
      </c>
      <c r="C99" s="601" t="s">
        <v>268</v>
      </c>
      <c r="D99" s="962">
        <v>3542</v>
      </c>
      <c r="E99" s="962">
        <v>4349</v>
      </c>
      <c r="F99" s="962">
        <v>843</v>
      </c>
      <c r="G99" s="962">
        <v>4882</v>
      </c>
      <c r="H99" s="962">
        <v>3852</v>
      </c>
      <c r="I99" s="603">
        <v>7609</v>
      </c>
      <c r="J99" s="603">
        <v>468</v>
      </c>
      <c r="K99" s="603">
        <v>216</v>
      </c>
      <c r="L99" s="603">
        <v>157</v>
      </c>
      <c r="M99" s="603"/>
    </row>
    <row r="100" spans="1:13" s="604" customFormat="1" x14ac:dyDescent="0.25">
      <c r="A100" s="606" t="s">
        <v>246</v>
      </c>
      <c r="B100" s="602" t="s">
        <v>247</v>
      </c>
      <c r="C100" s="601" t="s">
        <v>264</v>
      </c>
      <c r="D100" s="962">
        <v>3964</v>
      </c>
      <c r="E100" s="962">
        <v>3631</v>
      </c>
      <c r="F100" s="962">
        <v>460</v>
      </c>
      <c r="G100" s="962">
        <v>4670</v>
      </c>
      <c r="H100" s="962">
        <v>3384</v>
      </c>
      <c r="I100" s="603">
        <v>4549</v>
      </c>
      <c r="J100" s="603">
        <v>2371</v>
      </c>
      <c r="K100" s="603">
        <v>750</v>
      </c>
      <c r="L100" s="603">
        <v>422</v>
      </c>
      <c r="M100" s="603"/>
    </row>
    <row r="101" spans="1:13" s="604" customFormat="1" x14ac:dyDescent="0.25">
      <c r="A101" s="606" t="s">
        <v>14</v>
      </c>
      <c r="B101" s="602" t="s">
        <v>15</v>
      </c>
      <c r="C101" s="601" t="s">
        <v>267</v>
      </c>
      <c r="D101" s="962">
        <v>12590</v>
      </c>
      <c r="E101" s="962">
        <v>7973</v>
      </c>
      <c r="F101" s="962">
        <v>1798</v>
      </c>
      <c r="G101" s="962">
        <v>12381</v>
      </c>
      <c r="H101" s="962">
        <v>9980</v>
      </c>
      <c r="I101" s="603">
        <v>7441</v>
      </c>
      <c r="J101" s="603">
        <v>9090</v>
      </c>
      <c r="K101" s="603">
        <v>3255</v>
      </c>
      <c r="L101" s="603">
        <v>2221</v>
      </c>
      <c r="M101" s="603"/>
    </row>
    <row r="102" spans="1:13" s="604" customFormat="1" x14ac:dyDescent="0.25">
      <c r="A102" s="606" t="s">
        <v>34</v>
      </c>
      <c r="B102" s="602" t="s">
        <v>35</v>
      </c>
      <c r="C102" s="601" t="s">
        <v>268</v>
      </c>
      <c r="D102" s="962">
        <v>3149</v>
      </c>
      <c r="E102" s="962">
        <v>4260</v>
      </c>
      <c r="F102" s="962">
        <v>600</v>
      </c>
      <c r="G102" s="962">
        <v>4441</v>
      </c>
      <c r="H102" s="962">
        <v>3568</v>
      </c>
      <c r="I102" s="603">
        <v>6544</v>
      </c>
      <c r="J102" s="603">
        <v>787</v>
      </c>
      <c r="K102" s="603">
        <v>255</v>
      </c>
      <c r="L102" s="603">
        <v>199</v>
      </c>
      <c r="M102" s="603"/>
    </row>
    <row r="103" spans="1:13" s="604" customFormat="1" x14ac:dyDescent="0.25">
      <c r="A103" s="606" t="s">
        <v>52</v>
      </c>
      <c r="B103" s="602" t="s">
        <v>53</v>
      </c>
      <c r="C103" s="601" t="s">
        <v>265</v>
      </c>
      <c r="D103" s="962">
        <v>4378</v>
      </c>
      <c r="E103" s="962">
        <v>5222</v>
      </c>
      <c r="F103" s="962">
        <v>691</v>
      </c>
      <c r="G103" s="962">
        <v>5478</v>
      </c>
      <c r="H103" s="962">
        <v>4813</v>
      </c>
      <c r="I103" s="603">
        <v>3439</v>
      </c>
      <c r="J103" s="603">
        <v>5317</v>
      </c>
      <c r="K103" s="603">
        <v>1020</v>
      </c>
      <c r="L103" s="603">
        <v>489</v>
      </c>
      <c r="M103" s="603"/>
    </row>
    <row r="104" spans="1:13" s="604" customFormat="1" x14ac:dyDescent="0.25">
      <c r="A104" s="606" t="s">
        <v>54</v>
      </c>
      <c r="B104" s="602" t="s">
        <v>55</v>
      </c>
      <c r="C104" s="601" t="s">
        <v>264</v>
      </c>
      <c r="D104" s="962">
        <v>22710</v>
      </c>
      <c r="E104" s="962">
        <v>22069</v>
      </c>
      <c r="F104" s="962">
        <v>2485</v>
      </c>
      <c r="G104" s="962">
        <v>27523</v>
      </c>
      <c r="H104" s="962">
        <v>19741</v>
      </c>
      <c r="I104" s="603">
        <v>15973</v>
      </c>
      <c r="J104" s="603">
        <v>25198</v>
      </c>
      <c r="K104" s="603">
        <v>2594</v>
      </c>
      <c r="L104" s="603">
        <v>1440</v>
      </c>
      <c r="M104" s="603"/>
    </row>
    <row r="105" spans="1:13" s="604" customFormat="1" x14ac:dyDescent="0.25">
      <c r="A105" s="606" t="s">
        <v>66</v>
      </c>
      <c r="B105" s="602" t="s">
        <v>67</v>
      </c>
      <c r="C105" s="601" t="s">
        <v>265</v>
      </c>
      <c r="D105" s="962">
        <v>8875</v>
      </c>
      <c r="E105" s="962">
        <v>11454</v>
      </c>
      <c r="F105" s="962">
        <v>1982</v>
      </c>
      <c r="G105" s="962">
        <v>12641</v>
      </c>
      <c r="H105" s="962">
        <v>9670</v>
      </c>
      <c r="I105" s="603">
        <v>5975</v>
      </c>
      <c r="J105" s="603">
        <v>14028</v>
      </c>
      <c r="K105" s="603">
        <v>704</v>
      </c>
      <c r="L105" s="603">
        <v>426</v>
      </c>
      <c r="M105" s="603"/>
    </row>
    <row r="106" spans="1:13" s="604" customFormat="1" x14ac:dyDescent="0.25">
      <c r="A106" s="606" t="s">
        <v>82</v>
      </c>
      <c r="B106" s="602" t="s">
        <v>83</v>
      </c>
      <c r="C106" s="601" t="s">
        <v>264</v>
      </c>
      <c r="D106" s="962">
        <v>1851</v>
      </c>
      <c r="E106" s="962">
        <v>2264</v>
      </c>
      <c r="F106" s="962">
        <v>326</v>
      </c>
      <c r="G106" s="962">
        <v>2576</v>
      </c>
      <c r="H106" s="962">
        <v>1865</v>
      </c>
      <c r="I106" s="603">
        <v>508</v>
      </c>
      <c r="J106" s="603">
        <v>3500</v>
      </c>
      <c r="K106" s="603">
        <v>115</v>
      </c>
      <c r="L106" s="603">
        <v>88</v>
      </c>
      <c r="M106" s="603"/>
    </row>
    <row r="107" spans="1:13" s="604" customFormat="1" x14ac:dyDescent="0.25">
      <c r="A107" s="606" t="s">
        <v>88</v>
      </c>
      <c r="B107" s="602" t="s">
        <v>89</v>
      </c>
      <c r="C107" s="601" t="s">
        <v>267</v>
      </c>
      <c r="D107" s="962">
        <v>4324</v>
      </c>
      <c r="E107" s="962">
        <v>4356</v>
      </c>
      <c r="F107" s="962">
        <v>485</v>
      </c>
      <c r="G107" s="962">
        <v>5135</v>
      </c>
      <c r="H107" s="962">
        <v>4030</v>
      </c>
      <c r="I107" s="603">
        <v>3589</v>
      </c>
      <c r="J107" s="603">
        <v>3629</v>
      </c>
      <c r="K107" s="603">
        <v>968</v>
      </c>
      <c r="L107" s="603">
        <v>526</v>
      </c>
      <c r="M107" s="603"/>
    </row>
    <row r="108" spans="1:13" s="604" customFormat="1" x14ac:dyDescent="0.25">
      <c r="A108" s="606" t="s">
        <v>90</v>
      </c>
      <c r="B108" s="602" t="s">
        <v>91</v>
      </c>
      <c r="C108" s="601" t="s">
        <v>268</v>
      </c>
      <c r="D108" s="962">
        <v>1463</v>
      </c>
      <c r="E108" s="962">
        <v>1610</v>
      </c>
      <c r="F108" s="962">
        <v>359</v>
      </c>
      <c r="G108" s="962">
        <v>1928</v>
      </c>
      <c r="H108" s="962">
        <v>1504</v>
      </c>
      <c r="I108" s="603">
        <v>2676</v>
      </c>
      <c r="J108" s="603">
        <v>366</v>
      </c>
      <c r="K108" s="603">
        <v>154</v>
      </c>
      <c r="L108" s="603">
        <v>118</v>
      </c>
      <c r="M108" s="603"/>
    </row>
    <row r="109" spans="1:13" s="604" customFormat="1" x14ac:dyDescent="0.25">
      <c r="A109" s="606" t="s">
        <v>106</v>
      </c>
      <c r="B109" s="602" t="s">
        <v>107</v>
      </c>
      <c r="C109" s="601" t="s">
        <v>264</v>
      </c>
      <c r="D109" s="962">
        <v>19329</v>
      </c>
      <c r="E109" s="962">
        <v>20797</v>
      </c>
      <c r="F109" s="962">
        <v>2074</v>
      </c>
      <c r="G109" s="962">
        <v>24341</v>
      </c>
      <c r="H109" s="962">
        <v>17859</v>
      </c>
      <c r="I109" s="603">
        <v>9014</v>
      </c>
      <c r="J109" s="603">
        <v>26730</v>
      </c>
      <c r="K109" s="603">
        <v>2048</v>
      </c>
      <c r="L109" s="603">
        <v>1245</v>
      </c>
      <c r="M109" s="603"/>
    </row>
    <row r="110" spans="1:13" s="604" customFormat="1" x14ac:dyDescent="0.25">
      <c r="A110" s="606" t="s">
        <v>116</v>
      </c>
      <c r="B110" s="602" t="s">
        <v>117</v>
      </c>
      <c r="C110" s="601" t="s">
        <v>266</v>
      </c>
      <c r="D110" s="962">
        <v>5757</v>
      </c>
      <c r="E110" s="962">
        <v>6059</v>
      </c>
      <c r="F110" s="962">
        <v>508</v>
      </c>
      <c r="G110" s="962">
        <v>6998</v>
      </c>
      <c r="H110" s="962">
        <v>5326</v>
      </c>
      <c r="I110" s="603">
        <v>4313</v>
      </c>
      <c r="J110" s="603">
        <v>6239</v>
      </c>
      <c r="K110" s="603">
        <v>501</v>
      </c>
      <c r="L110" s="603">
        <v>330</v>
      </c>
      <c r="M110" s="603"/>
    </row>
    <row r="111" spans="1:13" s="604" customFormat="1" x14ac:dyDescent="0.25">
      <c r="A111" s="606" t="s">
        <v>138</v>
      </c>
      <c r="B111" s="602" t="s">
        <v>139</v>
      </c>
      <c r="C111" s="601" t="s">
        <v>265</v>
      </c>
      <c r="D111" s="962">
        <v>10440</v>
      </c>
      <c r="E111" s="962">
        <v>12145</v>
      </c>
      <c r="F111" s="962">
        <v>1668</v>
      </c>
      <c r="G111" s="962">
        <v>13717</v>
      </c>
      <c r="H111" s="962">
        <v>10536</v>
      </c>
      <c r="I111" s="603">
        <v>7995</v>
      </c>
      <c r="J111" s="603">
        <v>13064</v>
      </c>
      <c r="K111" s="603">
        <v>915</v>
      </c>
      <c r="L111" s="603">
        <v>677</v>
      </c>
      <c r="M111" s="603"/>
    </row>
    <row r="112" spans="1:13" s="604" customFormat="1" x14ac:dyDescent="0.25">
      <c r="A112" s="606" t="s">
        <v>142</v>
      </c>
      <c r="B112" s="602" t="s">
        <v>143</v>
      </c>
      <c r="C112" s="601" t="s">
        <v>267</v>
      </c>
      <c r="D112" s="962">
        <v>7213</v>
      </c>
      <c r="E112" s="962">
        <v>3288</v>
      </c>
      <c r="F112" s="962">
        <v>331</v>
      </c>
      <c r="G112" s="962">
        <v>5851</v>
      </c>
      <c r="H112" s="962">
        <v>4982</v>
      </c>
      <c r="I112" s="603">
        <v>5230</v>
      </c>
      <c r="J112" s="603">
        <v>2016</v>
      </c>
      <c r="K112" s="603">
        <v>2115</v>
      </c>
      <c r="L112" s="603">
        <v>1329</v>
      </c>
      <c r="M112" s="603"/>
    </row>
    <row r="113" spans="1:13" s="604" customFormat="1" x14ac:dyDescent="0.25">
      <c r="A113" s="606" t="s">
        <v>144</v>
      </c>
      <c r="B113" s="602" t="s">
        <v>145</v>
      </c>
      <c r="C113" s="601" t="s">
        <v>267</v>
      </c>
      <c r="D113" s="962">
        <v>2594</v>
      </c>
      <c r="E113" s="962">
        <v>1031</v>
      </c>
      <c r="F113" s="962">
        <v>162</v>
      </c>
      <c r="G113" s="962">
        <v>2012</v>
      </c>
      <c r="H113" s="962">
        <v>1775</v>
      </c>
      <c r="I113" s="603">
        <v>1890</v>
      </c>
      <c r="J113" s="603">
        <v>435</v>
      </c>
      <c r="K113" s="603">
        <v>1098</v>
      </c>
      <c r="L113" s="603">
        <v>568</v>
      </c>
      <c r="M113" s="603"/>
    </row>
    <row r="114" spans="1:13" s="604" customFormat="1" x14ac:dyDescent="0.25">
      <c r="A114" s="606" t="s">
        <v>158</v>
      </c>
      <c r="B114" s="602" t="s">
        <v>159</v>
      </c>
      <c r="C114" s="601" t="s">
        <v>264</v>
      </c>
      <c r="D114" s="962">
        <v>29250</v>
      </c>
      <c r="E114" s="962">
        <v>31194</v>
      </c>
      <c r="F114" s="962">
        <v>2986</v>
      </c>
      <c r="G114" s="962">
        <v>36691</v>
      </c>
      <c r="H114" s="962">
        <v>26738</v>
      </c>
      <c r="I114" s="603">
        <v>13108</v>
      </c>
      <c r="J114" s="603">
        <v>40472</v>
      </c>
      <c r="K114" s="603">
        <v>4241</v>
      </c>
      <c r="L114" s="603">
        <v>2104</v>
      </c>
      <c r="M114" s="603"/>
    </row>
    <row r="115" spans="1:13" s="604" customFormat="1" x14ac:dyDescent="0.25">
      <c r="A115" s="606" t="s">
        <v>160</v>
      </c>
      <c r="B115" s="602" t="s">
        <v>161</v>
      </c>
      <c r="C115" s="601" t="s">
        <v>264</v>
      </c>
      <c r="D115" s="962">
        <v>36513</v>
      </c>
      <c r="E115" s="962">
        <v>41471</v>
      </c>
      <c r="F115" s="962">
        <v>4654</v>
      </c>
      <c r="G115" s="962">
        <v>47489</v>
      </c>
      <c r="H115" s="962">
        <v>35148</v>
      </c>
      <c r="I115" s="603">
        <v>14947</v>
      </c>
      <c r="J115" s="603">
        <v>57376</v>
      </c>
      <c r="K115" s="603">
        <v>3804</v>
      </c>
      <c r="L115" s="603">
        <v>1977</v>
      </c>
      <c r="M115" s="603"/>
    </row>
    <row r="116" spans="1:13" s="604" customFormat="1" x14ac:dyDescent="0.25">
      <c r="A116" s="606" t="s">
        <v>166</v>
      </c>
      <c r="B116" s="602" t="s">
        <v>167</v>
      </c>
      <c r="C116" s="601" t="s">
        <v>268</v>
      </c>
      <c r="D116" s="962">
        <v>704</v>
      </c>
      <c r="E116" s="962">
        <v>1011</v>
      </c>
      <c r="F116" s="962">
        <v>165</v>
      </c>
      <c r="G116" s="962">
        <v>1108</v>
      </c>
      <c r="H116" s="962">
        <v>772</v>
      </c>
      <c r="I116" s="603">
        <v>1549</v>
      </c>
      <c r="J116" s="603">
        <v>153</v>
      </c>
      <c r="K116" s="603">
        <v>83</v>
      </c>
      <c r="L116" s="603">
        <v>69</v>
      </c>
      <c r="M116" s="603"/>
    </row>
    <row r="117" spans="1:13" s="604" customFormat="1" x14ac:dyDescent="0.25">
      <c r="A117" s="606" t="s">
        <v>176</v>
      </c>
      <c r="B117" s="602" t="s">
        <v>177</v>
      </c>
      <c r="C117" s="601" t="s">
        <v>266</v>
      </c>
      <c r="D117" s="962">
        <v>7478</v>
      </c>
      <c r="E117" s="962">
        <v>9953</v>
      </c>
      <c r="F117" s="962">
        <v>1219</v>
      </c>
      <c r="G117" s="962">
        <v>10372</v>
      </c>
      <c r="H117" s="962">
        <v>8278</v>
      </c>
      <c r="I117" s="603">
        <v>1548</v>
      </c>
      <c r="J117" s="603">
        <v>15089</v>
      </c>
      <c r="K117" s="603">
        <v>726</v>
      </c>
      <c r="L117" s="603">
        <v>485</v>
      </c>
      <c r="M117" s="603"/>
    </row>
    <row r="118" spans="1:13" s="604" customFormat="1" x14ac:dyDescent="0.25">
      <c r="A118" s="606" t="s">
        <v>180</v>
      </c>
      <c r="B118" s="602" t="s">
        <v>181</v>
      </c>
      <c r="C118" s="601" t="s">
        <v>264</v>
      </c>
      <c r="D118" s="962">
        <v>18398</v>
      </c>
      <c r="E118" s="962">
        <v>20161</v>
      </c>
      <c r="F118" s="962">
        <v>2213</v>
      </c>
      <c r="G118" s="962">
        <v>23526</v>
      </c>
      <c r="H118" s="962">
        <v>17246</v>
      </c>
      <c r="I118" s="603">
        <v>7120</v>
      </c>
      <c r="J118" s="603">
        <v>29524</v>
      </c>
      <c r="K118" s="603">
        <v>1126</v>
      </c>
      <c r="L118" s="603">
        <v>777</v>
      </c>
      <c r="M118" s="603"/>
    </row>
    <row r="119" spans="1:13" s="604" customFormat="1" x14ac:dyDescent="0.25">
      <c r="A119" s="606" t="s">
        <v>192</v>
      </c>
      <c r="B119" s="602" t="s">
        <v>193</v>
      </c>
      <c r="C119" s="601" t="s">
        <v>268</v>
      </c>
      <c r="D119" s="962">
        <v>1502</v>
      </c>
      <c r="E119" s="962">
        <v>1827</v>
      </c>
      <c r="F119" s="962">
        <v>155</v>
      </c>
      <c r="G119" s="962">
        <v>1961</v>
      </c>
      <c r="H119" s="962">
        <v>1523</v>
      </c>
      <c r="I119" s="603">
        <v>2479</v>
      </c>
      <c r="J119" s="603">
        <v>597</v>
      </c>
      <c r="K119" s="603">
        <v>127</v>
      </c>
      <c r="L119" s="603">
        <v>97</v>
      </c>
      <c r="M119" s="603"/>
    </row>
    <row r="120" spans="1:13" s="604" customFormat="1" x14ac:dyDescent="0.25">
      <c r="A120" s="606" t="s">
        <v>196</v>
      </c>
      <c r="B120" s="602" t="s">
        <v>197</v>
      </c>
      <c r="C120" s="601" t="s">
        <v>266</v>
      </c>
      <c r="D120" s="962">
        <v>35397</v>
      </c>
      <c r="E120" s="962">
        <v>44666</v>
      </c>
      <c r="F120" s="962">
        <v>5368</v>
      </c>
      <c r="G120" s="962">
        <v>47156</v>
      </c>
      <c r="H120" s="962">
        <v>38275</v>
      </c>
      <c r="I120" s="603">
        <v>9698</v>
      </c>
      <c r="J120" s="603">
        <v>64241</v>
      </c>
      <c r="K120" s="603">
        <v>4678</v>
      </c>
      <c r="L120" s="603">
        <v>2484</v>
      </c>
      <c r="M120" s="603"/>
    </row>
    <row r="121" spans="1:13" s="604" customFormat="1" x14ac:dyDescent="0.25">
      <c r="A121" s="606" t="s">
        <v>200</v>
      </c>
      <c r="B121" s="602" t="s">
        <v>201</v>
      </c>
      <c r="C121" s="601" t="s">
        <v>265</v>
      </c>
      <c r="D121" s="962">
        <v>18543</v>
      </c>
      <c r="E121" s="962">
        <v>21597</v>
      </c>
      <c r="F121" s="962">
        <v>2728</v>
      </c>
      <c r="G121" s="962">
        <v>23704</v>
      </c>
      <c r="H121" s="962">
        <v>19163</v>
      </c>
      <c r="I121" s="603">
        <v>19571</v>
      </c>
      <c r="J121" s="603">
        <v>18008</v>
      </c>
      <c r="K121" s="603">
        <v>2823</v>
      </c>
      <c r="L121" s="603">
        <v>1238</v>
      </c>
      <c r="M121" s="603"/>
    </row>
    <row r="122" spans="1:13" s="604" customFormat="1" x14ac:dyDescent="0.25">
      <c r="A122" s="606" t="s">
        <v>222</v>
      </c>
      <c r="B122" s="602" t="s">
        <v>223</v>
      </c>
      <c r="C122" s="601" t="s">
        <v>264</v>
      </c>
      <c r="D122" s="962">
        <v>10119</v>
      </c>
      <c r="E122" s="962">
        <v>11180</v>
      </c>
      <c r="F122" s="962">
        <v>1634</v>
      </c>
      <c r="G122" s="962">
        <v>13240</v>
      </c>
      <c r="H122" s="962">
        <v>9693</v>
      </c>
      <c r="I122" s="603">
        <v>4997</v>
      </c>
      <c r="J122" s="603">
        <v>15714</v>
      </c>
      <c r="K122" s="603">
        <v>752</v>
      </c>
      <c r="L122" s="603">
        <v>504</v>
      </c>
      <c r="M122" s="603"/>
    </row>
    <row r="123" spans="1:13" s="604" customFormat="1" x14ac:dyDescent="0.25">
      <c r="A123" s="606" t="s">
        <v>230</v>
      </c>
      <c r="B123" s="602" t="s">
        <v>231</v>
      </c>
      <c r="C123" s="601" t="s">
        <v>264</v>
      </c>
      <c r="D123" s="962">
        <v>36853</v>
      </c>
      <c r="E123" s="962">
        <v>35686</v>
      </c>
      <c r="F123" s="962">
        <v>4032</v>
      </c>
      <c r="G123" s="962">
        <v>43983</v>
      </c>
      <c r="H123" s="962">
        <v>32588</v>
      </c>
      <c r="I123" s="603">
        <v>30016</v>
      </c>
      <c r="J123" s="603">
        <v>30108</v>
      </c>
      <c r="K123" s="603">
        <v>7498</v>
      </c>
      <c r="L123" s="603">
        <v>3988</v>
      </c>
      <c r="M123" s="603"/>
    </row>
    <row r="124" spans="1:13" s="604" customFormat="1" x14ac:dyDescent="0.25">
      <c r="A124" s="606" t="s">
        <v>238</v>
      </c>
      <c r="B124" s="602" t="s">
        <v>239</v>
      </c>
      <c r="C124" s="601" t="s">
        <v>264</v>
      </c>
      <c r="D124" s="962">
        <v>1213</v>
      </c>
      <c r="E124" s="962">
        <v>1245</v>
      </c>
      <c r="F124" s="962">
        <v>96</v>
      </c>
      <c r="G124" s="962">
        <v>1390</v>
      </c>
      <c r="H124" s="962">
        <v>1164</v>
      </c>
      <c r="I124" s="603">
        <v>1025</v>
      </c>
      <c r="J124" s="603">
        <v>1188</v>
      </c>
      <c r="K124" s="603">
        <v>244</v>
      </c>
      <c r="L124" s="603">
        <v>114</v>
      </c>
      <c r="M124" s="603"/>
    </row>
    <row r="125" spans="1:13" s="604" customFormat="1" x14ac:dyDescent="0.25">
      <c r="A125" s="606" t="s">
        <v>240</v>
      </c>
      <c r="B125" s="602" t="s">
        <v>241</v>
      </c>
      <c r="C125" s="601" t="s">
        <v>267</v>
      </c>
      <c r="D125" s="962">
        <v>4726</v>
      </c>
      <c r="E125" s="962">
        <v>3766</v>
      </c>
      <c r="F125" s="962">
        <v>507</v>
      </c>
      <c r="G125" s="962">
        <v>4753</v>
      </c>
      <c r="H125" s="962">
        <v>4246</v>
      </c>
      <c r="I125" s="603">
        <v>5894</v>
      </c>
      <c r="J125" s="603">
        <v>1610</v>
      </c>
      <c r="K125" s="603">
        <v>752</v>
      </c>
      <c r="L125" s="603">
        <v>586</v>
      </c>
      <c r="M125" s="603"/>
    </row>
    <row r="126" spans="1:13" x14ac:dyDescent="0.25">
      <c r="B126" s="508"/>
      <c r="C126" s="508"/>
      <c r="D126" s="508"/>
      <c r="E126" s="508"/>
      <c r="F126" s="508"/>
      <c r="G126" s="508"/>
      <c r="H126" s="508"/>
    </row>
    <row r="128" spans="1:13" x14ac:dyDescent="0.25">
      <c r="A128" s="1229" t="s">
        <v>1173</v>
      </c>
      <c r="B128" s="1228"/>
      <c r="C128" s="1228"/>
      <c r="D128" s="1228"/>
      <c r="E128" s="1228"/>
      <c r="F128" s="1228"/>
      <c r="G128" s="1202"/>
      <c r="H128" s="1202"/>
    </row>
    <row r="130" spans="1:8" s="414" customFormat="1" x14ac:dyDescent="0.25">
      <c r="A130" s="414" t="s">
        <v>248</v>
      </c>
    </row>
    <row r="131" spans="1:8" s="414" customFormat="1" x14ac:dyDescent="0.25">
      <c r="A131" s="415" t="s">
        <v>249</v>
      </c>
      <c r="B131" s="416" t="s">
        <v>250</v>
      </c>
      <c r="C131" s="416"/>
      <c r="D131" s="416"/>
      <c r="E131" s="416"/>
      <c r="F131" s="416"/>
      <c r="G131" s="416"/>
      <c r="H131" s="416"/>
    </row>
  </sheetData>
  <sortState ref="A6:M125">
    <sortCondition ref="A6:A125"/>
  </sortState>
  <mergeCells count="3">
    <mergeCell ref="D3:F3"/>
    <mergeCell ref="G3:H3"/>
    <mergeCell ref="I3:L3"/>
  </mergeCells>
  <hyperlinks>
    <hyperlink ref="B131"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W130"/>
  <sheetViews>
    <sheetView zoomScaleNormal="100" workbookViewId="0">
      <pane xSplit="2" ySplit="5" topLeftCell="C114" activePane="bottomRight" state="frozen"/>
      <selection pane="topRight" activeCell="C1" sqref="C1"/>
      <selection pane="bottomLeft" activeCell="A6" sqref="A6"/>
      <selection pane="bottomRight" activeCell="A125" sqref="A6:XFD125"/>
    </sheetView>
  </sheetViews>
  <sheetFormatPr defaultRowHeight="15.75" x14ac:dyDescent="0.25"/>
  <cols>
    <col min="1" max="1" width="6.875" style="564" bestFit="1" customWidth="1"/>
    <col min="2" max="2" width="30.875" style="568" customWidth="1"/>
    <col min="3" max="3" width="12.875" style="568" customWidth="1"/>
    <col min="4" max="4" width="7.75" style="564" bestFit="1" customWidth="1"/>
    <col min="5" max="5" width="8.875" style="564" bestFit="1" customWidth="1"/>
    <col min="6" max="6" width="9" style="564" customWidth="1"/>
    <col min="7" max="7" width="9.5" style="564" customWidth="1"/>
    <col min="8" max="8" width="11.625" style="564" customWidth="1"/>
    <col min="9" max="10" width="9" style="564" customWidth="1"/>
    <col min="11" max="11" width="10.75" style="564" customWidth="1"/>
    <col min="12" max="12" width="9" style="564" customWidth="1"/>
    <col min="13" max="13" width="1.5" style="564" customWidth="1"/>
    <col min="14" max="14" width="9.25" style="564" customWidth="1"/>
    <col min="15" max="15" width="2.75" style="564" customWidth="1"/>
    <col min="16" max="16" width="7.125" style="564" bestFit="1" customWidth="1"/>
    <col min="17" max="17" width="9" style="564"/>
    <col min="18" max="18" width="3.625" style="564" customWidth="1"/>
    <col min="19" max="22" width="10.875" style="564" customWidth="1"/>
    <col min="23" max="16384" width="9" style="564"/>
  </cols>
  <sheetData>
    <row r="1" spans="1:23" ht="15.75" customHeight="1" x14ac:dyDescent="0.25">
      <c r="A1" s="1149" t="s">
        <v>1240</v>
      </c>
      <c r="B1" s="563"/>
      <c r="C1" s="563"/>
      <c r="D1" s="563"/>
      <c r="E1" s="563"/>
      <c r="F1" s="563"/>
      <c r="G1" s="563"/>
      <c r="H1" s="563"/>
      <c r="I1" s="563"/>
      <c r="J1" s="563"/>
      <c r="K1" s="563"/>
      <c r="L1" s="563"/>
      <c r="M1" s="563"/>
      <c r="N1" s="563"/>
      <c r="O1" s="563"/>
      <c r="P1" s="563"/>
      <c r="Q1" s="563"/>
    </row>
    <row r="2" spans="1:23" x14ac:dyDescent="0.25">
      <c r="A2" s="565"/>
      <c r="B2" s="565"/>
      <c r="C2" s="565"/>
      <c r="D2" s="566"/>
      <c r="E2" s="567"/>
      <c r="F2" s="567"/>
      <c r="G2" s="1146"/>
      <c r="H2" s="1844"/>
      <c r="I2" s="1146"/>
      <c r="J2" s="1146"/>
      <c r="K2" s="1146"/>
      <c r="L2" s="567"/>
      <c r="M2" s="563"/>
      <c r="N2" s="563"/>
      <c r="O2" s="563"/>
      <c r="P2" s="567"/>
      <c r="Q2" s="567"/>
    </row>
    <row r="3" spans="1:23" ht="15.75" customHeight="1" x14ac:dyDescent="0.25">
      <c r="D3" s="2121" t="s">
        <v>769</v>
      </c>
      <c r="E3" s="2121"/>
      <c r="F3" s="2121"/>
      <c r="G3" s="2121"/>
      <c r="H3" s="2122"/>
      <c r="I3" s="2121"/>
      <c r="J3" s="2121"/>
      <c r="K3" s="2121"/>
      <c r="L3" s="2121"/>
      <c r="M3" s="569"/>
      <c r="N3" s="569"/>
      <c r="O3" s="569"/>
      <c r="P3" s="2118" t="s">
        <v>280</v>
      </c>
      <c r="Q3" s="2118"/>
    </row>
    <row r="4" spans="1:23" ht="63" x14ac:dyDescent="0.25">
      <c r="A4" s="570" t="s">
        <v>4</v>
      </c>
      <c r="B4" s="571" t="s">
        <v>5</v>
      </c>
      <c r="C4" s="566" t="s">
        <v>251</v>
      </c>
      <c r="D4" s="572" t="s">
        <v>281</v>
      </c>
      <c r="E4" s="572" t="s">
        <v>2</v>
      </c>
      <c r="F4" s="1421" t="s">
        <v>445</v>
      </c>
      <c r="G4" s="1838" t="s">
        <v>542</v>
      </c>
      <c r="H4" s="1845" t="s">
        <v>1241</v>
      </c>
      <c r="I4" s="1785" t="s">
        <v>1229</v>
      </c>
      <c r="J4" s="1147" t="s">
        <v>551</v>
      </c>
      <c r="K4" s="1147" t="s">
        <v>873</v>
      </c>
      <c r="L4" s="573" t="s">
        <v>773</v>
      </c>
      <c r="M4" s="572"/>
      <c r="N4" s="1147" t="s">
        <v>446</v>
      </c>
      <c r="O4" s="1147"/>
      <c r="P4" s="572" t="s">
        <v>2</v>
      </c>
      <c r="Q4" s="572" t="s">
        <v>3</v>
      </c>
      <c r="S4" s="1497" t="s">
        <v>1113</v>
      </c>
      <c r="T4" s="1497" t="s">
        <v>1114</v>
      </c>
      <c r="U4" s="1497" t="s">
        <v>1115</v>
      </c>
      <c r="V4" s="1497" t="s">
        <v>1116</v>
      </c>
      <c r="W4" s="1497" t="s">
        <v>1118</v>
      </c>
    </row>
    <row r="5" spans="1:23" x14ac:dyDescent="0.25">
      <c r="A5" s="574" t="s">
        <v>8</v>
      </c>
      <c r="B5" s="575" t="s">
        <v>9</v>
      </c>
      <c r="C5" s="575"/>
      <c r="D5" s="576">
        <f t="shared" ref="D5:L5" si="0">SUM(D6:D125)</f>
        <v>4698</v>
      </c>
      <c r="E5" s="576">
        <f t="shared" si="0"/>
        <v>2190</v>
      </c>
      <c r="F5" s="576">
        <f t="shared" si="0"/>
        <v>1520</v>
      </c>
      <c r="G5" s="576">
        <f t="shared" si="0"/>
        <v>19</v>
      </c>
      <c r="H5" s="576">
        <f t="shared" si="0"/>
        <v>4</v>
      </c>
      <c r="I5" s="576">
        <f t="shared" si="0"/>
        <v>4</v>
      </c>
      <c r="J5" s="576">
        <f>SUM(J6:J125)</f>
        <v>459</v>
      </c>
      <c r="K5" s="576">
        <f>SUM(K6:K125)</f>
        <v>448</v>
      </c>
      <c r="L5" s="576">
        <f t="shared" si="0"/>
        <v>54</v>
      </c>
      <c r="M5" s="577"/>
      <c r="N5" s="577">
        <f>SUM(N6:N125)</f>
        <v>934</v>
      </c>
      <c r="O5" s="577"/>
      <c r="P5" s="578">
        <f>+E5/D5</f>
        <v>0.4661558109833972</v>
      </c>
      <c r="Q5" s="578">
        <f>+F5/D5</f>
        <v>0.32354193273733506</v>
      </c>
      <c r="S5" s="577">
        <f t="shared" ref="S5:W5" si="1">SUM(S6:S125)</f>
        <v>1451</v>
      </c>
      <c r="T5" s="577">
        <f t="shared" si="1"/>
        <v>1009</v>
      </c>
      <c r="U5" s="577">
        <f t="shared" si="1"/>
        <v>1209</v>
      </c>
      <c r="V5" s="577">
        <f t="shared" si="1"/>
        <v>1029</v>
      </c>
      <c r="W5" s="577">
        <f t="shared" si="1"/>
        <v>0</v>
      </c>
    </row>
    <row r="6" spans="1:23" x14ac:dyDescent="0.25">
      <c r="A6" s="579" t="s">
        <v>10</v>
      </c>
      <c r="B6" s="580" t="s">
        <v>11</v>
      </c>
      <c r="C6" s="581" t="s">
        <v>264</v>
      </c>
      <c r="D6" s="582">
        <f t="shared" ref="D6:D37" si="2">SUM(E6:L6)</f>
        <v>10</v>
      </c>
      <c r="E6" s="582">
        <v>7</v>
      </c>
      <c r="F6" s="582">
        <v>1</v>
      </c>
      <c r="G6" s="582">
        <v>0</v>
      </c>
      <c r="H6" s="582">
        <v>0</v>
      </c>
      <c r="I6" s="582">
        <v>0</v>
      </c>
      <c r="J6" s="582">
        <v>0</v>
      </c>
      <c r="K6" s="582">
        <v>2</v>
      </c>
      <c r="L6" s="582">
        <v>0</v>
      </c>
      <c r="M6" s="583"/>
      <c r="N6" s="583">
        <f t="shared" ref="N6:N37" si="3">SUM(G6:K6)</f>
        <v>2</v>
      </c>
      <c r="O6" s="583"/>
      <c r="P6" s="584">
        <f t="shared" ref="P6:P37" si="4">IF(D6=0,"N/A",+E6/D6)</f>
        <v>0.7</v>
      </c>
      <c r="Q6" s="584">
        <f t="shared" ref="Q6:Q37" si="5">IF(D6=0,"N/A",+F6/D6)</f>
        <v>0.1</v>
      </c>
      <c r="S6" s="564">
        <v>4</v>
      </c>
      <c r="T6" s="564">
        <v>1</v>
      </c>
      <c r="U6" s="564">
        <v>2</v>
      </c>
      <c r="V6" s="564">
        <v>3</v>
      </c>
      <c r="W6" s="564">
        <v>0</v>
      </c>
    </row>
    <row r="7" spans="1:23" x14ac:dyDescent="0.25">
      <c r="A7" s="579" t="s">
        <v>12</v>
      </c>
      <c r="B7" s="580" t="s">
        <v>13</v>
      </c>
      <c r="C7" s="581" t="s">
        <v>265</v>
      </c>
      <c r="D7" s="582">
        <f t="shared" si="2"/>
        <v>93</v>
      </c>
      <c r="E7" s="582">
        <v>37</v>
      </c>
      <c r="F7" s="582">
        <v>21</v>
      </c>
      <c r="G7" s="582">
        <v>0</v>
      </c>
      <c r="H7" s="582">
        <v>0</v>
      </c>
      <c r="I7" s="582">
        <v>0</v>
      </c>
      <c r="J7" s="582">
        <v>23</v>
      </c>
      <c r="K7" s="582">
        <v>11</v>
      </c>
      <c r="L7" s="582">
        <v>1</v>
      </c>
      <c r="M7" s="583"/>
      <c r="N7" s="583">
        <f t="shared" si="3"/>
        <v>34</v>
      </c>
      <c r="O7" s="583"/>
      <c r="P7" s="584">
        <f t="shared" si="4"/>
        <v>0.39784946236559138</v>
      </c>
      <c r="Q7" s="584">
        <f t="shared" si="5"/>
        <v>0.22580645161290322</v>
      </c>
      <c r="S7" s="564">
        <v>17</v>
      </c>
      <c r="T7" s="564">
        <v>23</v>
      </c>
      <c r="U7" s="564">
        <v>29</v>
      </c>
      <c r="V7" s="564">
        <v>24</v>
      </c>
      <c r="W7" s="564">
        <v>0</v>
      </c>
    </row>
    <row r="8" spans="1:23" x14ac:dyDescent="0.25">
      <c r="A8" s="579" t="s">
        <v>16</v>
      </c>
      <c r="B8" s="580" t="s">
        <v>17</v>
      </c>
      <c r="C8" s="581" t="s">
        <v>265</v>
      </c>
      <c r="D8" s="582">
        <f t="shared" si="2"/>
        <v>8</v>
      </c>
      <c r="E8" s="582">
        <v>5</v>
      </c>
      <c r="F8" s="582">
        <v>1</v>
      </c>
      <c r="G8" s="582">
        <v>0</v>
      </c>
      <c r="H8" s="582">
        <v>0</v>
      </c>
      <c r="I8" s="582">
        <v>0</v>
      </c>
      <c r="J8" s="582">
        <v>2</v>
      </c>
      <c r="K8" s="582">
        <v>0</v>
      </c>
      <c r="L8" s="582">
        <v>0</v>
      </c>
      <c r="M8" s="583"/>
      <c r="N8" s="583">
        <f t="shared" si="3"/>
        <v>2</v>
      </c>
      <c r="O8" s="583"/>
      <c r="P8" s="584">
        <f t="shared" si="4"/>
        <v>0.625</v>
      </c>
      <c r="Q8" s="584">
        <f t="shared" si="5"/>
        <v>0.125</v>
      </c>
      <c r="S8" s="564">
        <v>0</v>
      </c>
      <c r="T8" s="564">
        <v>1</v>
      </c>
      <c r="U8" s="564">
        <v>2</v>
      </c>
      <c r="V8" s="564">
        <v>5</v>
      </c>
      <c r="W8" s="564">
        <v>0</v>
      </c>
    </row>
    <row r="9" spans="1:23" x14ac:dyDescent="0.25">
      <c r="A9" s="579" t="s">
        <v>18</v>
      </c>
      <c r="B9" s="580" t="s">
        <v>19</v>
      </c>
      <c r="C9" s="581" t="s">
        <v>266</v>
      </c>
      <c r="D9" s="582">
        <f t="shared" si="2"/>
        <v>1</v>
      </c>
      <c r="E9" s="582">
        <v>0</v>
      </c>
      <c r="F9" s="582">
        <v>0</v>
      </c>
      <c r="G9" s="582">
        <v>0</v>
      </c>
      <c r="H9" s="582">
        <v>0</v>
      </c>
      <c r="I9" s="582">
        <v>0</v>
      </c>
      <c r="J9" s="582">
        <v>1</v>
      </c>
      <c r="K9" s="582">
        <v>0</v>
      </c>
      <c r="L9" s="582">
        <v>0</v>
      </c>
      <c r="M9" s="583"/>
      <c r="N9" s="583">
        <f t="shared" si="3"/>
        <v>1</v>
      </c>
      <c r="O9" s="583"/>
      <c r="P9" s="584">
        <f t="shared" si="4"/>
        <v>0</v>
      </c>
      <c r="Q9" s="584">
        <f t="shared" si="5"/>
        <v>0</v>
      </c>
      <c r="S9" s="564">
        <v>0</v>
      </c>
      <c r="T9" s="564">
        <v>0</v>
      </c>
      <c r="U9" s="564">
        <v>1</v>
      </c>
      <c r="V9" s="564">
        <v>0</v>
      </c>
      <c r="W9" s="564">
        <v>0</v>
      </c>
    </row>
    <row r="10" spans="1:23" x14ac:dyDescent="0.25">
      <c r="A10" s="579" t="s">
        <v>20</v>
      </c>
      <c r="B10" s="580" t="s">
        <v>21</v>
      </c>
      <c r="C10" s="581" t="s">
        <v>265</v>
      </c>
      <c r="D10" s="582">
        <f t="shared" si="2"/>
        <v>18</v>
      </c>
      <c r="E10" s="582">
        <v>12</v>
      </c>
      <c r="F10" s="582">
        <v>6</v>
      </c>
      <c r="G10" s="582">
        <v>0</v>
      </c>
      <c r="H10" s="582">
        <v>0</v>
      </c>
      <c r="I10" s="582">
        <v>0</v>
      </c>
      <c r="J10" s="582">
        <v>0</v>
      </c>
      <c r="K10" s="582">
        <v>0</v>
      </c>
      <c r="L10" s="582">
        <v>0</v>
      </c>
      <c r="M10" s="583"/>
      <c r="N10" s="583">
        <f t="shared" si="3"/>
        <v>0</v>
      </c>
      <c r="O10" s="583"/>
      <c r="P10" s="584">
        <f t="shared" si="4"/>
        <v>0.66666666666666663</v>
      </c>
      <c r="Q10" s="584">
        <f t="shared" si="5"/>
        <v>0.33333333333333331</v>
      </c>
      <c r="S10" s="564">
        <v>10</v>
      </c>
      <c r="T10" s="564">
        <v>3</v>
      </c>
      <c r="U10" s="564">
        <v>3</v>
      </c>
      <c r="V10" s="564">
        <v>2</v>
      </c>
      <c r="W10" s="564">
        <v>0</v>
      </c>
    </row>
    <row r="11" spans="1:23" x14ac:dyDescent="0.25">
      <c r="A11" s="579" t="s">
        <v>22</v>
      </c>
      <c r="B11" s="580" t="s">
        <v>23</v>
      </c>
      <c r="C11" s="581" t="s">
        <v>265</v>
      </c>
      <c r="D11" s="582">
        <f t="shared" si="2"/>
        <v>18</v>
      </c>
      <c r="E11" s="582">
        <v>10</v>
      </c>
      <c r="F11" s="582">
        <v>2</v>
      </c>
      <c r="G11" s="582">
        <v>0</v>
      </c>
      <c r="H11" s="582">
        <v>0</v>
      </c>
      <c r="I11" s="582">
        <v>0</v>
      </c>
      <c r="J11" s="582">
        <v>0</v>
      </c>
      <c r="K11" s="582">
        <v>6</v>
      </c>
      <c r="L11" s="582">
        <v>0</v>
      </c>
      <c r="M11" s="583"/>
      <c r="N11" s="583">
        <f t="shared" si="3"/>
        <v>6</v>
      </c>
      <c r="O11" s="583"/>
      <c r="P11" s="584">
        <f t="shared" si="4"/>
        <v>0.55555555555555558</v>
      </c>
      <c r="Q11" s="584">
        <f t="shared" si="5"/>
        <v>0.1111111111111111</v>
      </c>
      <c r="S11" s="564">
        <v>4</v>
      </c>
      <c r="T11" s="564">
        <v>6</v>
      </c>
      <c r="U11" s="564">
        <v>4</v>
      </c>
      <c r="V11" s="564">
        <v>4</v>
      </c>
      <c r="W11" s="564">
        <v>0</v>
      </c>
    </row>
    <row r="12" spans="1:23" x14ac:dyDescent="0.25">
      <c r="A12" s="579" t="s">
        <v>24</v>
      </c>
      <c r="B12" s="580" t="s">
        <v>25</v>
      </c>
      <c r="C12" s="581" t="s">
        <v>267</v>
      </c>
      <c r="D12" s="582">
        <f t="shared" si="2"/>
        <v>83</v>
      </c>
      <c r="E12" s="582">
        <v>5</v>
      </c>
      <c r="F12" s="582">
        <v>38</v>
      </c>
      <c r="G12" s="582">
        <v>4</v>
      </c>
      <c r="H12" s="582">
        <v>0</v>
      </c>
      <c r="I12" s="582">
        <v>0</v>
      </c>
      <c r="J12" s="582">
        <v>27</v>
      </c>
      <c r="K12" s="582">
        <v>9</v>
      </c>
      <c r="L12" s="582">
        <v>0</v>
      </c>
      <c r="M12" s="583"/>
      <c r="N12" s="583">
        <f t="shared" si="3"/>
        <v>40</v>
      </c>
      <c r="O12" s="583"/>
      <c r="P12" s="584">
        <f t="shared" si="4"/>
        <v>6.0240963855421686E-2</v>
      </c>
      <c r="Q12" s="584">
        <f t="shared" si="5"/>
        <v>0.45783132530120479</v>
      </c>
      <c r="S12" s="564">
        <v>29</v>
      </c>
      <c r="T12" s="564">
        <v>17</v>
      </c>
      <c r="U12" s="564">
        <v>24</v>
      </c>
      <c r="V12" s="564">
        <v>13</v>
      </c>
      <c r="W12" s="564">
        <v>0</v>
      </c>
    </row>
    <row r="13" spans="1:23" x14ac:dyDescent="0.25">
      <c r="A13" s="579" t="s">
        <v>26</v>
      </c>
      <c r="B13" s="580" t="s">
        <v>686</v>
      </c>
      <c r="C13" s="581" t="s">
        <v>265</v>
      </c>
      <c r="D13" s="582">
        <f t="shared" si="2"/>
        <v>168</v>
      </c>
      <c r="E13" s="582">
        <v>110</v>
      </c>
      <c r="F13" s="582">
        <v>12</v>
      </c>
      <c r="G13" s="582">
        <v>0</v>
      </c>
      <c r="H13" s="582">
        <v>0</v>
      </c>
      <c r="I13" s="582">
        <v>0</v>
      </c>
      <c r="J13" s="582">
        <v>18</v>
      </c>
      <c r="K13" s="582">
        <v>28</v>
      </c>
      <c r="L13" s="582">
        <v>0</v>
      </c>
      <c r="M13" s="583"/>
      <c r="N13" s="583">
        <f t="shared" si="3"/>
        <v>46</v>
      </c>
      <c r="O13" s="583"/>
      <c r="P13" s="584">
        <f t="shared" si="4"/>
        <v>0.65476190476190477</v>
      </c>
      <c r="Q13" s="584">
        <f t="shared" si="5"/>
        <v>7.1428571428571425E-2</v>
      </c>
      <c r="S13" s="564">
        <v>56</v>
      </c>
      <c r="T13" s="564">
        <v>42</v>
      </c>
      <c r="U13" s="564">
        <v>37</v>
      </c>
      <c r="V13" s="564">
        <v>33</v>
      </c>
      <c r="W13" s="564">
        <v>0</v>
      </c>
    </row>
    <row r="14" spans="1:23" x14ac:dyDescent="0.25">
      <c r="A14" s="585" t="s">
        <v>27</v>
      </c>
      <c r="B14" s="580" t="s">
        <v>28</v>
      </c>
      <c r="C14" s="586" t="s">
        <v>265</v>
      </c>
      <c r="D14" s="582">
        <f t="shared" si="2"/>
        <v>5</v>
      </c>
      <c r="E14" s="582">
        <v>3</v>
      </c>
      <c r="F14" s="582">
        <v>0</v>
      </c>
      <c r="G14" s="582">
        <v>0</v>
      </c>
      <c r="H14" s="582">
        <v>0</v>
      </c>
      <c r="I14" s="582">
        <v>0</v>
      </c>
      <c r="J14" s="582">
        <v>2</v>
      </c>
      <c r="K14" s="582">
        <v>0</v>
      </c>
      <c r="L14" s="582">
        <v>0</v>
      </c>
      <c r="M14" s="583"/>
      <c r="N14" s="583">
        <f t="shared" si="3"/>
        <v>2</v>
      </c>
      <c r="O14" s="583"/>
      <c r="P14" s="584">
        <f t="shared" si="4"/>
        <v>0.6</v>
      </c>
      <c r="Q14" s="584">
        <f t="shared" si="5"/>
        <v>0</v>
      </c>
      <c r="S14" s="564">
        <v>2</v>
      </c>
      <c r="T14" s="564">
        <v>3</v>
      </c>
      <c r="U14" s="564">
        <v>0</v>
      </c>
      <c r="V14" s="564">
        <v>0</v>
      </c>
      <c r="W14" s="564">
        <v>0</v>
      </c>
    </row>
    <row r="15" spans="1:23" x14ac:dyDescent="0.25">
      <c r="A15" s="579" t="s">
        <v>29</v>
      </c>
      <c r="B15" s="580" t="s">
        <v>941</v>
      </c>
      <c r="C15" s="586" t="s">
        <v>265</v>
      </c>
      <c r="D15" s="582">
        <f t="shared" si="2"/>
        <v>49</v>
      </c>
      <c r="E15" s="582">
        <v>32</v>
      </c>
      <c r="F15" s="582">
        <v>15</v>
      </c>
      <c r="G15" s="582">
        <v>0</v>
      </c>
      <c r="H15" s="582">
        <v>0</v>
      </c>
      <c r="I15" s="582">
        <v>0</v>
      </c>
      <c r="J15" s="582">
        <v>0</v>
      </c>
      <c r="K15" s="582">
        <v>2</v>
      </c>
      <c r="L15" s="582">
        <v>0</v>
      </c>
      <c r="M15" s="583"/>
      <c r="N15" s="583">
        <f t="shared" si="3"/>
        <v>2</v>
      </c>
      <c r="O15" s="583"/>
      <c r="P15" s="584">
        <f t="shared" si="4"/>
        <v>0.65306122448979587</v>
      </c>
      <c r="Q15" s="584">
        <f t="shared" si="5"/>
        <v>0.30612244897959184</v>
      </c>
      <c r="S15" s="564">
        <v>6</v>
      </c>
      <c r="T15" s="564">
        <v>12</v>
      </c>
      <c r="U15" s="564">
        <v>19</v>
      </c>
      <c r="V15" s="564">
        <v>12</v>
      </c>
      <c r="W15" s="564">
        <v>0</v>
      </c>
    </row>
    <row r="16" spans="1:23" x14ac:dyDescent="0.25">
      <c r="A16" s="579" t="s">
        <v>30</v>
      </c>
      <c r="B16" s="580" t="s">
        <v>31</v>
      </c>
      <c r="C16" s="586" t="s">
        <v>268</v>
      </c>
      <c r="D16" s="582">
        <f t="shared" si="2"/>
        <v>11</v>
      </c>
      <c r="E16" s="582">
        <v>11</v>
      </c>
      <c r="F16" s="582">
        <v>0</v>
      </c>
      <c r="G16" s="582">
        <v>0</v>
      </c>
      <c r="H16" s="582">
        <v>0</v>
      </c>
      <c r="I16" s="582">
        <v>0</v>
      </c>
      <c r="J16" s="582">
        <v>0</v>
      </c>
      <c r="K16" s="582">
        <v>0</v>
      </c>
      <c r="L16" s="582">
        <v>0</v>
      </c>
      <c r="M16" s="583"/>
      <c r="N16" s="583">
        <f t="shared" si="3"/>
        <v>0</v>
      </c>
      <c r="O16" s="583"/>
      <c r="P16" s="584">
        <f t="shared" si="4"/>
        <v>1</v>
      </c>
      <c r="Q16" s="584">
        <f t="shared" si="5"/>
        <v>0</v>
      </c>
      <c r="S16" s="564">
        <v>4</v>
      </c>
      <c r="T16" s="564">
        <v>3</v>
      </c>
      <c r="U16" s="564">
        <v>2</v>
      </c>
      <c r="V16" s="564">
        <v>2</v>
      </c>
      <c r="W16" s="564">
        <v>0</v>
      </c>
    </row>
    <row r="17" spans="1:23" x14ac:dyDescent="0.25">
      <c r="A17" s="579" t="s">
        <v>32</v>
      </c>
      <c r="B17" s="580" t="s">
        <v>33</v>
      </c>
      <c r="C17" s="586" t="s">
        <v>265</v>
      </c>
      <c r="D17" s="582">
        <f t="shared" si="2"/>
        <v>1</v>
      </c>
      <c r="E17" s="582">
        <v>1</v>
      </c>
      <c r="F17" s="582">
        <v>0</v>
      </c>
      <c r="G17" s="582">
        <v>0</v>
      </c>
      <c r="H17" s="582">
        <v>0</v>
      </c>
      <c r="I17" s="582">
        <v>0</v>
      </c>
      <c r="J17" s="582">
        <v>0</v>
      </c>
      <c r="K17" s="582">
        <v>0</v>
      </c>
      <c r="L17" s="582">
        <v>0</v>
      </c>
      <c r="M17" s="583"/>
      <c r="N17" s="583">
        <f t="shared" si="3"/>
        <v>0</v>
      </c>
      <c r="O17" s="583"/>
      <c r="P17" s="584">
        <f t="shared" si="4"/>
        <v>1</v>
      </c>
      <c r="Q17" s="584">
        <f t="shared" si="5"/>
        <v>0</v>
      </c>
      <c r="S17" s="564">
        <v>0</v>
      </c>
      <c r="T17" s="564">
        <v>0</v>
      </c>
      <c r="U17" s="564">
        <v>0</v>
      </c>
      <c r="V17" s="564">
        <v>1</v>
      </c>
      <c r="W17" s="564">
        <v>0</v>
      </c>
    </row>
    <row r="18" spans="1:23" x14ac:dyDescent="0.25">
      <c r="A18" s="579" t="s">
        <v>36</v>
      </c>
      <c r="B18" s="580" t="s">
        <v>37</v>
      </c>
      <c r="C18" s="586" t="s">
        <v>264</v>
      </c>
      <c r="D18" s="582">
        <f t="shared" si="2"/>
        <v>2</v>
      </c>
      <c r="E18" s="582">
        <v>0</v>
      </c>
      <c r="F18" s="582">
        <v>2</v>
      </c>
      <c r="G18" s="582">
        <v>0</v>
      </c>
      <c r="H18" s="582">
        <v>0</v>
      </c>
      <c r="I18" s="582">
        <v>0</v>
      </c>
      <c r="J18" s="582">
        <v>0</v>
      </c>
      <c r="K18" s="582">
        <v>0</v>
      </c>
      <c r="L18" s="582">
        <v>0</v>
      </c>
      <c r="M18" s="583"/>
      <c r="N18" s="583">
        <f t="shared" si="3"/>
        <v>0</v>
      </c>
      <c r="O18" s="583"/>
      <c r="P18" s="584">
        <f t="shared" si="4"/>
        <v>0</v>
      </c>
      <c r="Q18" s="584">
        <f t="shared" si="5"/>
        <v>1</v>
      </c>
      <c r="S18" s="564">
        <v>0</v>
      </c>
      <c r="T18" s="564">
        <v>1</v>
      </c>
      <c r="U18" s="564">
        <v>1</v>
      </c>
      <c r="V18" s="564">
        <v>0</v>
      </c>
      <c r="W18" s="564">
        <v>0</v>
      </c>
    </row>
    <row r="19" spans="1:23" x14ac:dyDescent="0.25">
      <c r="A19" s="579" t="s">
        <v>38</v>
      </c>
      <c r="B19" s="580" t="s">
        <v>39</v>
      </c>
      <c r="C19" s="586" t="s">
        <v>268</v>
      </c>
      <c r="D19" s="582">
        <f t="shared" si="2"/>
        <v>63</v>
      </c>
      <c r="E19" s="582">
        <v>60</v>
      </c>
      <c r="F19" s="582">
        <v>1</v>
      </c>
      <c r="G19" s="582">
        <v>0</v>
      </c>
      <c r="H19" s="582">
        <v>0</v>
      </c>
      <c r="I19" s="582">
        <v>0</v>
      </c>
      <c r="J19" s="582">
        <v>0</v>
      </c>
      <c r="K19" s="582">
        <v>2</v>
      </c>
      <c r="L19" s="582">
        <v>0</v>
      </c>
      <c r="M19" s="583"/>
      <c r="N19" s="583">
        <f t="shared" si="3"/>
        <v>2</v>
      </c>
      <c r="O19" s="583"/>
      <c r="P19" s="584">
        <f t="shared" si="4"/>
        <v>0.95238095238095233</v>
      </c>
      <c r="Q19" s="584">
        <f t="shared" si="5"/>
        <v>1.5873015873015872E-2</v>
      </c>
      <c r="S19" s="564">
        <v>27</v>
      </c>
      <c r="T19" s="564">
        <v>13</v>
      </c>
      <c r="U19" s="564">
        <v>15</v>
      </c>
      <c r="V19" s="564">
        <v>8</v>
      </c>
      <c r="W19" s="564">
        <v>0</v>
      </c>
    </row>
    <row r="20" spans="1:23" x14ac:dyDescent="0.25">
      <c r="A20" s="579" t="s">
        <v>40</v>
      </c>
      <c r="B20" s="580" t="s">
        <v>41</v>
      </c>
      <c r="C20" s="586" t="s">
        <v>266</v>
      </c>
      <c r="D20" s="582">
        <f t="shared" si="2"/>
        <v>9</v>
      </c>
      <c r="E20" s="582">
        <v>7</v>
      </c>
      <c r="F20" s="582">
        <v>1</v>
      </c>
      <c r="G20" s="582">
        <v>0</v>
      </c>
      <c r="H20" s="582">
        <v>0</v>
      </c>
      <c r="I20" s="582">
        <v>0</v>
      </c>
      <c r="J20" s="582">
        <v>0</v>
      </c>
      <c r="K20" s="582">
        <v>1</v>
      </c>
      <c r="L20" s="582">
        <v>0</v>
      </c>
      <c r="M20" s="583"/>
      <c r="N20" s="583">
        <f t="shared" si="3"/>
        <v>1</v>
      </c>
      <c r="O20" s="583"/>
      <c r="P20" s="584">
        <f t="shared" si="4"/>
        <v>0.77777777777777779</v>
      </c>
      <c r="Q20" s="584">
        <f t="shared" si="5"/>
        <v>0.1111111111111111</v>
      </c>
      <c r="S20" s="564">
        <v>3</v>
      </c>
      <c r="T20" s="564">
        <v>0</v>
      </c>
      <c r="U20" s="564">
        <v>3</v>
      </c>
      <c r="V20" s="564">
        <v>3</v>
      </c>
      <c r="W20" s="564">
        <v>0</v>
      </c>
    </row>
    <row r="21" spans="1:23" x14ac:dyDescent="0.25">
      <c r="A21" s="579" t="s">
        <v>42</v>
      </c>
      <c r="B21" s="580" t="s">
        <v>43</v>
      </c>
      <c r="C21" s="586" t="s">
        <v>265</v>
      </c>
      <c r="D21" s="582">
        <f t="shared" si="2"/>
        <v>32</v>
      </c>
      <c r="E21" s="582">
        <v>24</v>
      </c>
      <c r="F21" s="582">
        <v>4</v>
      </c>
      <c r="G21" s="582">
        <v>0</v>
      </c>
      <c r="H21" s="582">
        <v>0</v>
      </c>
      <c r="I21" s="582">
        <v>0</v>
      </c>
      <c r="J21" s="582">
        <v>0</v>
      </c>
      <c r="K21" s="582">
        <v>4</v>
      </c>
      <c r="L21" s="582">
        <v>0</v>
      </c>
      <c r="M21" s="583"/>
      <c r="N21" s="583">
        <f t="shared" si="3"/>
        <v>4</v>
      </c>
      <c r="O21" s="583"/>
      <c r="P21" s="584">
        <f t="shared" si="4"/>
        <v>0.75</v>
      </c>
      <c r="Q21" s="584">
        <f t="shared" si="5"/>
        <v>0.125</v>
      </c>
      <c r="S21" s="564">
        <v>14</v>
      </c>
      <c r="T21" s="564">
        <v>7</v>
      </c>
      <c r="U21" s="564">
        <v>2</v>
      </c>
      <c r="V21" s="564">
        <v>9</v>
      </c>
      <c r="W21" s="564">
        <v>0</v>
      </c>
    </row>
    <row r="22" spans="1:23" x14ac:dyDescent="0.25">
      <c r="A22" s="579" t="s">
        <v>44</v>
      </c>
      <c r="B22" s="580" t="s">
        <v>45</v>
      </c>
      <c r="C22" s="586" t="s">
        <v>266</v>
      </c>
      <c r="D22" s="582">
        <f t="shared" si="2"/>
        <v>19</v>
      </c>
      <c r="E22" s="582">
        <v>5</v>
      </c>
      <c r="F22" s="582">
        <v>6</v>
      </c>
      <c r="G22" s="582">
        <v>0</v>
      </c>
      <c r="H22" s="582">
        <v>0</v>
      </c>
      <c r="I22" s="582">
        <v>0</v>
      </c>
      <c r="J22" s="582">
        <v>2</v>
      </c>
      <c r="K22" s="582">
        <v>6</v>
      </c>
      <c r="L22" s="582">
        <v>0</v>
      </c>
      <c r="M22" s="583"/>
      <c r="N22" s="583">
        <f t="shared" si="3"/>
        <v>8</v>
      </c>
      <c r="O22" s="583"/>
      <c r="P22" s="584">
        <f t="shared" si="4"/>
        <v>0.26315789473684209</v>
      </c>
      <c r="Q22" s="584">
        <f t="shared" si="5"/>
        <v>0.31578947368421051</v>
      </c>
      <c r="S22" s="564">
        <v>5</v>
      </c>
      <c r="T22" s="564">
        <v>6</v>
      </c>
      <c r="U22" s="564">
        <v>5</v>
      </c>
      <c r="V22" s="564">
        <v>3</v>
      </c>
      <c r="W22" s="564">
        <v>0</v>
      </c>
    </row>
    <row r="23" spans="1:23" x14ac:dyDescent="0.25">
      <c r="A23" s="579" t="s">
        <v>46</v>
      </c>
      <c r="B23" s="580" t="s">
        <v>47</v>
      </c>
      <c r="C23" s="586" t="s">
        <v>268</v>
      </c>
      <c r="D23" s="582">
        <f t="shared" si="2"/>
        <v>24</v>
      </c>
      <c r="E23" s="582">
        <v>22</v>
      </c>
      <c r="F23" s="582">
        <v>0</v>
      </c>
      <c r="G23" s="582">
        <v>0</v>
      </c>
      <c r="H23" s="582">
        <v>0</v>
      </c>
      <c r="I23" s="582">
        <v>0</v>
      </c>
      <c r="J23" s="582">
        <v>2</v>
      </c>
      <c r="K23" s="582">
        <v>0</v>
      </c>
      <c r="L23" s="582">
        <v>0</v>
      </c>
      <c r="M23" s="583"/>
      <c r="N23" s="583">
        <f t="shared" si="3"/>
        <v>2</v>
      </c>
      <c r="O23" s="583"/>
      <c r="P23" s="584">
        <f t="shared" si="4"/>
        <v>0.91666666666666663</v>
      </c>
      <c r="Q23" s="584">
        <f t="shared" si="5"/>
        <v>0</v>
      </c>
      <c r="S23" s="564">
        <v>8</v>
      </c>
      <c r="T23" s="564">
        <v>8</v>
      </c>
      <c r="U23" s="564">
        <v>7</v>
      </c>
      <c r="V23" s="564">
        <v>1</v>
      </c>
      <c r="W23" s="564">
        <v>0</v>
      </c>
    </row>
    <row r="24" spans="1:23" x14ac:dyDescent="0.25">
      <c r="A24" s="585" t="s">
        <v>48</v>
      </c>
      <c r="B24" s="580" t="s">
        <v>49</v>
      </c>
      <c r="C24" s="586" t="s">
        <v>266</v>
      </c>
      <c r="D24" s="582">
        <f t="shared" si="2"/>
        <v>0</v>
      </c>
      <c r="E24" s="582">
        <v>0</v>
      </c>
      <c r="F24" s="582">
        <v>0</v>
      </c>
      <c r="G24" s="582">
        <v>0</v>
      </c>
      <c r="H24" s="582">
        <v>0</v>
      </c>
      <c r="I24" s="582">
        <v>0</v>
      </c>
      <c r="J24" s="582">
        <v>0</v>
      </c>
      <c r="K24" s="582">
        <v>0</v>
      </c>
      <c r="L24" s="582">
        <v>0</v>
      </c>
      <c r="M24" s="583"/>
      <c r="N24" s="583">
        <f t="shared" si="3"/>
        <v>0</v>
      </c>
      <c r="O24" s="583"/>
      <c r="P24" s="584" t="str">
        <f t="shared" si="4"/>
        <v>N/A</v>
      </c>
      <c r="Q24" s="584" t="str">
        <f t="shared" si="5"/>
        <v>N/A</v>
      </c>
      <c r="S24" s="564">
        <v>0</v>
      </c>
      <c r="T24" s="564">
        <v>0</v>
      </c>
      <c r="U24" s="564">
        <v>0</v>
      </c>
      <c r="V24" s="564">
        <v>0</v>
      </c>
      <c r="W24" s="564">
        <v>0</v>
      </c>
    </row>
    <row r="25" spans="1:23" x14ac:dyDescent="0.25">
      <c r="A25" s="579" t="s">
        <v>50</v>
      </c>
      <c r="B25" s="580" t="s">
        <v>51</v>
      </c>
      <c r="C25" s="586" t="s">
        <v>265</v>
      </c>
      <c r="D25" s="582">
        <f t="shared" si="2"/>
        <v>22</v>
      </c>
      <c r="E25" s="582">
        <v>8</v>
      </c>
      <c r="F25" s="582">
        <v>7</v>
      </c>
      <c r="G25" s="582">
        <v>0</v>
      </c>
      <c r="H25" s="582">
        <v>0</v>
      </c>
      <c r="I25" s="582">
        <v>0</v>
      </c>
      <c r="J25" s="582">
        <v>0</v>
      </c>
      <c r="K25" s="582">
        <v>7</v>
      </c>
      <c r="L25" s="582">
        <v>0</v>
      </c>
      <c r="M25" s="583"/>
      <c r="N25" s="583">
        <f t="shared" si="3"/>
        <v>7</v>
      </c>
      <c r="O25" s="583"/>
      <c r="P25" s="584">
        <f t="shared" si="4"/>
        <v>0.36363636363636365</v>
      </c>
      <c r="Q25" s="584">
        <f t="shared" si="5"/>
        <v>0.31818181818181818</v>
      </c>
      <c r="S25" s="564">
        <v>7</v>
      </c>
      <c r="T25" s="564">
        <v>4</v>
      </c>
      <c r="U25" s="564">
        <v>4</v>
      </c>
      <c r="V25" s="564">
        <v>7</v>
      </c>
      <c r="W25" s="564">
        <v>0</v>
      </c>
    </row>
    <row r="26" spans="1:23" x14ac:dyDescent="0.25">
      <c r="A26" s="579" t="s">
        <v>56</v>
      </c>
      <c r="B26" s="580" t="s">
        <v>57</v>
      </c>
      <c r="C26" s="586" t="s">
        <v>266</v>
      </c>
      <c r="D26" s="582">
        <f t="shared" si="2"/>
        <v>83</v>
      </c>
      <c r="E26" s="582">
        <v>48</v>
      </c>
      <c r="F26" s="582">
        <v>21</v>
      </c>
      <c r="G26" s="582">
        <v>0</v>
      </c>
      <c r="H26" s="582">
        <v>0</v>
      </c>
      <c r="I26" s="582">
        <v>0</v>
      </c>
      <c r="J26" s="582">
        <v>8</v>
      </c>
      <c r="K26" s="582">
        <v>5</v>
      </c>
      <c r="L26" s="582">
        <v>1</v>
      </c>
      <c r="M26" s="583"/>
      <c r="N26" s="583">
        <f t="shared" si="3"/>
        <v>13</v>
      </c>
      <c r="O26" s="583"/>
      <c r="P26" s="584">
        <f t="shared" si="4"/>
        <v>0.57831325301204817</v>
      </c>
      <c r="Q26" s="584">
        <f t="shared" si="5"/>
        <v>0.25301204819277107</v>
      </c>
      <c r="S26" s="564">
        <v>14</v>
      </c>
      <c r="T26" s="564">
        <v>15</v>
      </c>
      <c r="U26" s="564">
        <v>30</v>
      </c>
      <c r="V26" s="564">
        <v>24</v>
      </c>
      <c r="W26" s="564">
        <v>0</v>
      </c>
    </row>
    <row r="27" spans="1:23" x14ac:dyDescent="0.25">
      <c r="A27" s="579" t="s">
        <v>58</v>
      </c>
      <c r="B27" s="580" t="s">
        <v>59</v>
      </c>
      <c r="C27" s="586" t="s">
        <v>267</v>
      </c>
      <c r="D27" s="582">
        <f t="shared" si="2"/>
        <v>9</v>
      </c>
      <c r="E27" s="582">
        <v>9</v>
      </c>
      <c r="F27" s="582">
        <v>0</v>
      </c>
      <c r="G27" s="582">
        <v>0</v>
      </c>
      <c r="H27" s="582">
        <v>0</v>
      </c>
      <c r="I27" s="582">
        <v>0</v>
      </c>
      <c r="J27" s="582">
        <v>0</v>
      </c>
      <c r="K27" s="582">
        <v>0</v>
      </c>
      <c r="L27" s="582">
        <v>0</v>
      </c>
      <c r="M27" s="583"/>
      <c r="N27" s="583">
        <f t="shared" si="3"/>
        <v>0</v>
      </c>
      <c r="O27" s="583"/>
      <c r="P27" s="584">
        <f t="shared" si="4"/>
        <v>1</v>
      </c>
      <c r="Q27" s="584">
        <f t="shared" si="5"/>
        <v>0</v>
      </c>
      <c r="S27" s="564">
        <v>3</v>
      </c>
      <c r="T27" s="564">
        <v>3</v>
      </c>
      <c r="U27" s="564">
        <v>2</v>
      </c>
      <c r="V27" s="564">
        <v>1</v>
      </c>
      <c r="W27" s="564">
        <v>0</v>
      </c>
    </row>
    <row r="28" spans="1:23" x14ac:dyDescent="0.25">
      <c r="A28" s="585" t="s">
        <v>60</v>
      </c>
      <c r="B28" s="580" t="s">
        <v>61</v>
      </c>
      <c r="C28" s="586" t="s">
        <v>265</v>
      </c>
      <c r="D28" s="582">
        <f t="shared" si="2"/>
        <v>8</v>
      </c>
      <c r="E28" s="582">
        <v>7</v>
      </c>
      <c r="F28" s="582">
        <v>0</v>
      </c>
      <c r="G28" s="582">
        <v>0</v>
      </c>
      <c r="H28" s="582">
        <v>0</v>
      </c>
      <c r="I28" s="582">
        <v>0</v>
      </c>
      <c r="J28" s="582">
        <v>1</v>
      </c>
      <c r="K28" s="582">
        <v>0</v>
      </c>
      <c r="L28" s="582">
        <v>0</v>
      </c>
      <c r="M28" s="583"/>
      <c r="N28" s="583">
        <f t="shared" si="3"/>
        <v>1</v>
      </c>
      <c r="O28" s="583"/>
      <c r="P28" s="584">
        <f t="shared" si="4"/>
        <v>0.875</v>
      </c>
      <c r="Q28" s="584">
        <f t="shared" si="5"/>
        <v>0</v>
      </c>
      <c r="S28" s="564">
        <v>2</v>
      </c>
      <c r="T28" s="564">
        <v>3</v>
      </c>
      <c r="U28" s="564">
        <v>2</v>
      </c>
      <c r="V28" s="564">
        <v>1</v>
      </c>
      <c r="W28" s="564">
        <v>0</v>
      </c>
    </row>
    <row r="29" spans="1:23" x14ac:dyDescent="0.25">
      <c r="A29" s="579" t="s">
        <v>62</v>
      </c>
      <c r="B29" s="580" t="s">
        <v>63</v>
      </c>
      <c r="C29" s="586" t="s">
        <v>267</v>
      </c>
      <c r="D29" s="582">
        <f t="shared" si="2"/>
        <v>61</v>
      </c>
      <c r="E29" s="582">
        <v>24</v>
      </c>
      <c r="F29" s="582">
        <v>18</v>
      </c>
      <c r="G29" s="582">
        <v>0</v>
      </c>
      <c r="H29" s="582">
        <v>0</v>
      </c>
      <c r="I29" s="582">
        <v>0</v>
      </c>
      <c r="J29" s="582">
        <v>10</v>
      </c>
      <c r="K29" s="582">
        <v>9</v>
      </c>
      <c r="L29" s="582">
        <v>0</v>
      </c>
      <c r="M29" s="583"/>
      <c r="N29" s="583">
        <f t="shared" si="3"/>
        <v>19</v>
      </c>
      <c r="O29" s="583"/>
      <c r="P29" s="584">
        <f t="shared" si="4"/>
        <v>0.39344262295081966</v>
      </c>
      <c r="Q29" s="584">
        <f t="shared" si="5"/>
        <v>0.29508196721311475</v>
      </c>
      <c r="S29" s="564">
        <v>14</v>
      </c>
      <c r="T29" s="564">
        <v>18</v>
      </c>
      <c r="U29" s="564">
        <v>14</v>
      </c>
      <c r="V29" s="564">
        <v>15</v>
      </c>
      <c r="W29" s="564">
        <v>0</v>
      </c>
    </row>
    <row r="30" spans="1:23" x14ac:dyDescent="0.25">
      <c r="A30" s="579" t="s">
        <v>64</v>
      </c>
      <c r="B30" s="580" t="s">
        <v>65</v>
      </c>
      <c r="C30" s="586" t="s">
        <v>266</v>
      </c>
      <c r="D30" s="582">
        <f t="shared" si="2"/>
        <v>3</v>
      </c>
      <c r="E30" s="582">
        <v>2</v>
      </c>
      <c r="F30" s="582">
        <v>0</v>
      </c>
      <c r="G30" s="582">
        <v>0</v>
      </c>
      <c r="H30" s="582">
        <v>0</v>
      </c>
      <c r="I30" s="582">
        <v>0</v>
      </c>
      <c r="J30" s="582">
        <v>0</v>
      </c>
      <c r="K30" s="582">
        <v>0</v>
      </c>
      <c r="L30" s="582">
        <v>1</v>
      </c>
      <c r="M30" s="583"/>
      <c r="N30" s="583">
        <f t="shared" si="3"/>
        <v>0</v>
      </c>
      <c r="O30" s="583"/>
      <c r="P30" s="584">
        <f t="shared" si="4"/>
        <v>0.66666666666666663</v>
      </c>
      <c r="Q30" s="584">
        <f t="shared" si="5"/>
        <v>0</v>
      </c>
      <c r="S30" s="564">
        <v>0</v>
      </c>
      <c r="T30" s="564">
        <v>2</v>
      </c>
      <c r="U30" s="564">
        <v>1</v>
      </c>
      <c r="V30" s="564">
        <v>0</v>
      </c>
      <c r="W30" s="564">
        <v>0</v>
      </c>
    </row>
    <row r="31" spans="1:23" x14ac:dyDescent="0.25">
      <c r="A31" s="579" t="s">
        <v>68</v>
      </c>
      <c r="B31" s="580" t="s">
        <v>69</v>
      </c>
      <c r="C31" s="586" t="s">
        <v>268</v>
      </c>
      <c r="D31" s="582">
        <f t="shared" si="2"/>
        <v>54</v>
      </c>
      <c r="E31" s="582">
        <v>54</v>
      </c>
      <c r="F31" s="582">
        <v>0</v>
      </c>
      <c r="G31" s="582">
        <v>0</v>
      </c>
      <c r="H31" s="582">
        <v>0</v>
      </c>
      <c r="I31" s="582">
        <v>0</v>
      </c>
      <c r="J31" s="582">
        <v>0</v>
      </c>
      <c r="K31" s="582">
        <v>0</v>
      </c>
      <c r="L31" s="582">
        <v>0</v>
      </c>
      <c r="M31" s="583"/>
      <c r="N31" s="583">
        <f t="shared" si="3"/>
        <v>0</v>
      </c>
      <c r="O31" s="583"/>
      <c r="P31" s="584">
        <f t="shared" si="4"/>
        <v>1</v>
      </c>
      <c r="Q31" s="584">
        <f t="shared" si="5"/>
        <v>0</v>
      </c>
      <c r="S31" s="564">
        <v>16</v>
      </c>
      <c r="T31" s="564">
        <v>20</v>
      </c>
      <c r="U31" s="564">
        <v>9</v>
      </c>
      <c r="V31" s="564">
        <v>9</v>
      </c>
      <c r="W31" s="564">
        <v>0</v>
      </c>
    </row>
    <row r="32" spans="1:23" x14ac:dyDescent="0.25">
      <c r="A32" s="579" t="s">
        <v>70</v>
      </c>
      <c r="B32" s="580" t="s">
        <v>71</v>
      </c>
      <c r="C32" s="586" t="s">
        <v>264</v>
      </c>
      <c r="D32" s="582">
        <f t="shared" si="2"/>
        <v>23</v>
      </c>
      <c r="E32" s="582">
        <v>5</v>
      </c>
      <c r="F32" s="582">
        <v>15</v>
      </c>
      <c r="G32" s="582">
        <v>0</v>
      </c>
      <c r="H32" s="582">
        <v>0</v>
      </c>
      <c r="I32" s="582">
        <v>0</v>
      </c>
      <c r="J32" s="582">
        <v>0</v>
      </c>
      <c r="K32" s="582">
        <v>3</v>
      </c>
      <c r="L32" s="582">
        <v>0</v>
      </c>
      <c r="M32" s="583"/>
      <c r="N32" s="583">
        <f t="shared" si="3"/>
        <v>3</v>
      </c>
      <c r="O32" s="583"/>
      <c r="P32" s="584">
        <f t="shared" si="4"/>
        <v>0.21739130434782608</v>
      </c>
      <c r="Q32" s="584">
        <f t="shared" si="5"/>
        <v>0.65217391304347827</v>
      </c>
      <c r="S32" s="564">
        <v>9</v>
      </c>
      <c r="T32" s="564">
        <v>7</v>
      </c>
      <c r="U32" s="564">
        <v>4</v>
      </c>
      <c r="V32" s="564">
        <v>3</v>
      </c>
      <c r="W32" s="564">
        <v>0</v>
      </c>
    </row>
    <row r="33" spans="1:23" x14ac:dyDescent="0.25">
      <c r="A33" s="579" t="s">
        <v>72</v>
      </c>
      <c r="B33" s="580" t="s">
        <v>73</v>
      </c>
      <c r="C33" s="586" t="s">
        <v>266</v>
      </c>
      <c r="D33" s="582">
        <f t="shared" si="2"/>
        <v>6</v>
      </c>
      <c r="E33" s="582">
        <v>3</v>
      </c>
      <c r="F33" s="582">
        <v>1</v>
      </c>
      <c r="G33" s="582">
        <v>0</v>
      </c>
      <c r="H33" s="582">
        <v>0</v>
      </c>
      <c r="I33" s="582">
        <v>0</v>
      </c>
      <c r="J33" s="582">
        <v>0</v>
      </c>
      <c r="K33" s="582">
        <v>2</v>
      </c>
      <c r="L33" s="582">
        <v>0</v>
      </c>
      <c r="M33" s="583"/>
      <c r="N33" s="583">
        <f t="shared" si="3"/>
        <v>2</v>
      </c>
      <c r="O33" s="583"/>
      <c r="P33" s="584">
        <f t="shared" si="4"/>
        <v>0.5</v>
      </c>
      <c r="Q33" s="584">
        <f t="shared" si="5"/>
        <v>0.16666666666666666</v>
      </c>
      <c r="S33" s="564">
        <v>2</v>
      </c>
      <c r="T33" s="564">
        <v>1</v>
      </c>
      <c r="U33" s="564">
        <v>1</v>
      </c>
      <c r="V33" s="564">
        <v>2</v>
      </c>
      <c r="W33" s="564">
        <v>0</v>
      </c>
    </row>
    <row r="34" spans="1:23" x14ac:dyDescent="0.25">
      <c r="A34" s="579" t="s">
        <v>74</v>
      </c>
      <c r="B34" s="580" t="s">
        <v>75</v>
      </c>
      <c r="C34" s="586" t="s">
        <v>267</v>
      </c>
      <c r="D34" s="582">
        <f t="shared" si="2"/>
        <v>212</v>
      </c>
      <c r="E34" s="582">
        <v>38</v>
      </c>
      <c r="F34" s="582">
        <v>56</v>
      </c>
      <c r="G34" s="582">
        <v>4</v>
      </c>
      <c r="H34" s="582">
        <v>0</v>
      </c>
      <c r="I34" s="582">
        <v>0</v>
      </c>
      <c r="J34" s="582">
        <v>96</v>
      </c>
      <c r="K34" s="582">
        <v>15</v>
      </c>
      <c r="L34" s="582">
        <v>3</v>
      </c>
      <c r="M34" s="583"/>
      <c r="N34" s="583">
        <f t="shared" si="3"/>
        <v>115</v>
      </c>
      <c r="O34" s="583"/>
      <c r="P34" s="584">
        <f t="shared" si="4"/>
        <v>0.17924528301886791</v>
      </c>
      <c r="Q34" s="584">
        <f t="shared" si="5"/>
        <v>0.26415094339622641</v>
      </c>
      <c r="S34" s="564">
        <v>59</v>
      </c>
      <c r="T34" s="564">
        <v>56</v>
      </c>
      <c r="U34" s="564">
        <v>50</v>
      </c>
      <c r="V34" s="564">
        <v>47</v>
      </c>
      <c r="W34" s="564">
        <v>0</v>
      </c>
    </row>
    <row r="35" spans="1:23" x14ac:dyDescent="0.25">
      <c r="A35" s="579" t="s">
        <v>76</v>
      </c>
      <c r="B35" s="580" t="s">
        <v>77</v>
      </c>
      <c r="C35" s="586" t="s">
        <v>267</v>
      </c>
      <c r="D35" s="582">
        <f t="shared" si="2"/>
        <v>52</v>
      </c>
      <c r="E35" s="582">
        <v>21</v>
      </c>
      <c r="F35" s="582">
        <v>12</v>
      </c>
      <c r="G35" s="582">
        <v>0</v>
      </c>
      <c r="H35" s="582">
        <v>0</v>
      </c>
      <c r="I35" s="582">
        <v>0</v>
      </c>
      <c r="J35" s="582">
        <v>5</v>
      </c>
      <c r="K35" s="582">
        <v>14</v>
      </c>
      <c r="L35" s="582">
        <v>0</v>
      </c>
      <c r="M35" s="583"/>
      <c r="N35" s="583">
        <f t="shared" si="3"/>
        <v>19</v>
      </c>
      <c r="O35" s="583"/>
      <c r="P35" s="584">
        <f t="shared" si="4"/>
        <v>0.40384615384615385</v>
      </c>
      <c r="Q35" s="584">
        <f t="shared" si="5"/>
        <v>0.23076923076923078</v>
      </c>
      <c r="S35" s="564">
        <v>23</v>
      </c>
      <c r="T35" s="564">
        <v>10</v>
      </c>
      <c r="U35" s="564">
        <v>13</v>
      </c>
      <c r="V35" s="564">
        <v>6</v>
      </c>
      <c r="W35" s="564">
        <v>0</v>
      </c>
    </row>
    <row r="36" spans="1:23" x14ac:dyDescent="0.25">
      <c r="A36" s="579" t="s">
        <v>78</v>
      </c>
      <c r="B36" s="580" t="s">
        <v>79</v>
      </c>
      <c r="C36" s="586" t="s">
        <v>268</v>
      </c>
      <c r="D36" s="582">
        <f t="shared" si="2"/>
        <v>11</v>
      </c>
      <c r="E36" s="582">
        <v>11</v>
      </c>
      <c r="F36" s="582">
        <v>0</v>
      </c>
      <c r="G36" s="582">
        <v>0</v>
      </c>
      <c r="H36" s="582">
        <v>0</v>
      </c>
      <c r="I36" s="582">
        <v>0</v>
      </c>
      <c r="J36" s="582">
        <v>0</v>
      </c>
      <c r="K36" s="582">
        <v>0</v>
      </c>
      <c r="L36" s="582">
        <v>0</v>
      </c>
      <c r="M36" s="583"/>
      <c r="N36" s="583">
        <f t="shared" si="3"/>
        <v>0</v>
      </c>
      <c r="O36" s="583"/>
      <c r="P36" s="584">
        <f t="shared" si="4"/>
        <v>1</v>
      </c>
      <c r="Q36" s="584">
        <f t="shared" si="5"/>
        <v>0</v>
      </c>
      <c r="S36" s="564">
        <v>3</v>
      </c>
      <c r="T36" s="564">
        <v>1</v>
      </c>
      <c r="U36" s="564">
        <v>2</v>
      </c>
      <c r="V36" s="564">
        <v>5</v>
      </c>
      <c r="W36" s="564">
        <v>0</v>
      </c>
    </row>
    <row r="37" spans="1:23" x14ac:dyDescent="0.25">
      <c r="A37" s="579" t="s">
        <v>80</v>
      </c>
      <c r="B37" s="580" t="s">
        <v>81</v>
      </c>
      <c r="C37" s="586" t="s">
        <v>266</v>
      </c>
      <c r="D37" s="582">
        <f t="shared" si="2"/>
        <v>9</v>
      </c>
      <c r="E37" s="582">
        <v>7</v>
      </c>
      <c r="F37" s="582">
        <v>1</v>
      </c>
      <c r="G37" s="582">
        <v>0</v>
      </c>
      <c r="H37" s="582">
        <v>0</v>
      </c>
      <c r="I37" s="582">
        <v>0</v>
      </c>
      <c r="J37" s="582">
        <v>0</v>
      </c>
      <c r="K37" s="582">
        <v>1</v>
      </c>
      <c r="L37" s="582">
        <v>0</v>
      </c>
      <c r="M37" s="583"/>
      <c r="N37" s="583">
        <f t="shared" si="3"/>
        <v>1</v>
      </c>
      <c r="O37" s="583"/>
      <c r="P37" s="584">
        <f t="shared" si="4"/>
        <v>0.77777777777777779</v>
      </c>
      <c r="Q37" s="584">
        <f t="shared" si="5"/>
        <v>0.1111111111111111</v>
      </c>
      <c r="S37" s="564">
        <v>4</v>
      </c>
      <c r="T37" s="564">
        <v>0</v>
      </c>
      <c r="U37" s="564">
        <v>2</v>
      </c>
      <c r="V37" s="564">
        <v>3</v>
      </c>
      <c r="W37" s="564">
        <v>0</v>
      </c>
    </row>
    <row r="38" spans="1:23" x14ac:dyDescent="0.25">
      <c r="A38" s="579" t="s">
        <v>84</v>
      </c>
      <c r="B38" s="580" t="s">
        <v>85</v>
      </c>
      <c r="C38" s="586" t="s">
        <v>265</v>
      </c>
      <c r="D38" s="582">
        <f t="shared" ref="D38:D69" si="6">SUM(E38:L38)</f>
        <v>61</v>
      </c>
      <c r="E38" s="582">
        <v>37</v>
      </c>
      <c r="F38" s="582">
        <v>3</v>
      </c>
      <c r="G38" s="582">
        <v>0</v>
      </c>
      <c r="H38" s="582">
        <v>0</v>
      </c>
      <c r="I38" s="582">
        <v>1</v>
      </c>
      <c r="J38" s="582">
        <v>8</v>
      </c>
      <c r="K38" s="582">
        <v>4</v>
      </c>
      <c r="L38" s="582">
        <v>8</v>
      </c>
      <c r="M38" s="583"/>
      <c r="N38" s="583">
        <f t="shared" ref="N38:N69" si="7">SUM(G38:K38)</f>
        <v>13</v>
      </c>
      <c r="O38" s="583"/>
      <c r="P38" s="584">
        <f t="shared" ref="P38:P69" si="8">IF(D38=0,"N/A",+E38/D38)</f>
        <v>0.60655737704918034</v>
      </c>
      <c r="Q38" s="584">
        <f t="shared" ref="Q38:Q69" si="9">IF(D38=0,"N/A",+F38/D38)</f>
        <v>4.9180327868852458E-2</v>
      </c>
      <c r="S38" s="564">
        <v>16</v>
      </c>
      <c r="T38" s="564">
        <v>11</v>
      </c>
      <c r="U38" s="564">
        <v>16</v>
      </c>
      <c r="V38" s="564">
        <v>18</v>
      </c>
      <c r="W38" s="564">
        <v>0</v>
      </c>
    </row>
    <row r="39" spans="1:23" x14ac:dyDescent="0.25">
      <c r="A39" s="579" t="s">
        <v>86</v>
      </c>
      <c r="B39" s="580" t="s">
        <v>87</v>
      </c>
      <c r="C39" s="586" t="s">
        <v>267</v>
      </c>
      <c r="D39" s="582">
        <f t="shared" si="6"/>
        <v>50</v>
      </c>
      <c r="E39" s="582">
        <v>29</v>
      </c>
      <c r="F39" s="582">
        <v>1</v>
      </c>
      <c r="G39" s="582">
        <v>0</v>
      </c>
      <c r="H39" s="582">
        <v>0</v>
      </c>
      <c r="I39" s="582">
        <v>0</v>
      </c>
      <c r="J39" s="582">
        <v>7</v>
      </c>
      <c r="K39" s="582">
        <v>10</v>
      </c>
      <c r="L39" s="582">
        <v>3</v>
      </c>
      <c r="M39" s="583"/>
      <c r="N39" s="583">
        <f t="shared" si="7"/>
        <v>17</v>
      </c>
      <c r="O39" s="583"/>
      <c r="P39" s="584">
        <f t="shared" si="8"/>
        <v>0.57999999999999996</v>
      </c>
      <c r="Q39" s="584">
        <f t="shared" si="9"/>
        <v>0.02</v>
      </c>
      <c r="S39" s="564">
        <v>21</v>
      </c>
      <c r="T39" s="564">
        <v>10</v>
      </c>
      <c r="U39" s="564">
        <v>17</v>
      </c>
      <c r="V39" s="564">
        <v>2</v>
      </c>
      <c r="W39" s="564">
        <v>0</v>
      </c>
    </row>
    <row r="40" spans="1:23" x14ac:dyDescent="0.25">
      <c r="A40" s="585" t="s">
        <v>92</v>
      </c>
      <c r="B40" s="580" t="s">
        <v>93</v>
      </c>
      <c r="C40" s="586" t="s">
        <v>268</v>
      </c>
      <c r="D40" s="582">
        <f t="shared" si="6"/>
        <v>28</v>
      </c>
      <c r="E40" s="582">
        <v>24</v>
      </c>
      <c r="F40" s="582">
        <v>3</v>
      </c>
      <c r="G40" s="582">
        <v>0</v>
      </c>
      <c r="H40" s="582">
        <v>0</v>
      </c>
      <c r="I40" s="582">
        <v>0</v>
      </c>
      <c r="J40" s="582">
        <v>0</v>
      </c>
      <c r="K40" s="582">
        <v>0</v>
      </c>
      <c r="L40" s="582">
        <v>1</v>
      </c>
      <c r="M40" s="583"/>
      <c r="N40" s="583">
        <f t="shared" si="7"/>
        <v>0</v>
      </c>
      <c r="O40" s="583"/>
      <c r="P40" s="584">
        <f t="shared" si="8"/>
        <v>0.8571428571428571</v>
      </c>
      <c r="Q40" s="584">
        <f t="shared" si="9"/>
        <v>0.10714285714285714</v>
      </c>
      <c r="S40" s="564">
        <v>8</v>
      </c>
      <c r="T40" s="564">
        <v>13</v>
      </c>
      <c r="U40" s="564">
        <v>3</v>
      </c>
      <c r="V40" s="564">
        <v>4</v>
      </c>
      <c r="W40" s="564">
        <v>0</v>
      </c>
    </row>
    <row r="41" spans="1:23" x14ac:dyDescent="0.25">
      <c r="A41" s="579" t="s">
        <v>94</v>
      </c>
      <c r="B41" s="580" t="s">
        <v>95</v>
      </c>
      <c r="C41" s="586" t="s">
        <v>264</v>
      </c>
      <c r="D41" s="582">
        <f t="shared" si="6"/>
        <v>18</v>
      </c>
      <c r="E41" s="582">
        <v>11</v>
      </c>
      <c r="F41" s="582">
        <v>2</v>
      </c>
      <c r="G41" s="582">
        <v>0</v>
      </c>
      <c r="H41" s="582">
        <v>0</v>
      </c>
      <c r="I41" s="582">
        <v>0</v>
      </c>
      <c r="J41" s="582">
        <v>3</v>
      </c>
      <c r="K41" s="582">
        <v>2</v>
      </c>
      <c r="L41" s="582">
        <v>0</v>
      </c>
      <c r="M41" s="583"/>
      <c r="N41" s="583">
        <f t="shared" si="7"/>
        <v>5</v>
      </c>
      <c r="O41" s="583"/>
      <c r="P41" s="584">
        <f t="shared" si="8"/>
        <v>0.61111111111111116</v>
      </c>
      <c r="Q41" s="584">
        <f t="shared" si="9"/>
        <v>0.1111111111111111</v>
      </c>
      <c r="S41" s="564">
        <v>5</v>
      </c>
      <c r="T41" s="564">
        <v>1</v>
      </c>
      <c r="U41" s="564">
        <v>7</v>
      </c>
      <c r="V41" s="564">
        <v>5</v>
      </c>
      <c r="W41" s="564">
        <v>0</v>
      </c>
    </row>
    <row r="42" spans="1:23" x14ac:dyDescent="0.25">
      <c r="A42" s="579" t="s">
        <v>96</v>
      </c>
      <c r="B42" s="580" t="s">
        <v>97</v>
      </c>
      <c r="C42" s="586" t="s">
        <v>266</v>
      </c>
      <c r="D42" s="582">
        <f t="shared" si="6"/>
        <v>17</v>
      </c>
      <c r="E42" s="582">
        <v>10</v>
      </c>
      <c r="F42" s="582">
        <v>1</v>
      </c>
      <c r="G42" s="582">
        <v>0</v>
      </c>
      <c r="H42" s="582">
        <v>0</v>
      </c>
      <c r="I42" s="582">
        <v>0</v>
      </c>
      <c r="J42" s="582">
        <v>0</v>
      </c>
      <c r="K42" s="582">
        <v>6</v>
      </c>
      <c r="L42" s="582">
        <v>0</v>
      </c>
      <c r="M42" s="583"/>
      <c r="N42" s="583">
        <f t="shared" si="7"/>
        <v>6</v>
      </c>
      <c r="O42" s="583"/>
      <c r="P42" s="584">
        <f t="shared" si="8"/>
        <v>0.58823529411764708</v>
      </c>
      <c r="Q42" s="584">
        <f t="shared" si="9"/>
        <v>5.8823529411764705E-2</v>
      </c>
      <c r="S42" s="564">
        <v>1</v>
      </c>
      <c r="T42" s="564">
        <v>3</v>
      </c>
      <c r="U42" s="564">
        <v>6</v>
      </c>
      <c r="V42" s="564">
        <v>7</v>
      </c>
      <c r="W42" s="564">
        <v>0</v>
      </c>
    </row>
    <row r="43" spans="1:23" x14ac:dyDescent="0.25">
      <c r="A43" s="579" t="s">
        <v>98</v>
      </c>
      <c r="B43" s="580" t="s">
        <v>99</v>
      </c>
      <c r="C43" s="586" t="s">
        <v>268</v>
      </c>
      <c r="D43" s="582">
        <f t="shared" si="6"/>
        <v>16</v>
      </c>
      <c r="E43" s="582">
        <v>13</v>
      </c>
      <c r="F43" s="582">
        <v>0</v>
      </c>
      <c r="G43" s="582">
        <v>0</v>
      </c>
      <c r="H43" s="582">
        <v>0</v>
      </c>
      <c r="I43" s="582">
        <v>0</v>
      </c>
      <c r="J43" s="582">
        <v>1</v>
      </c>
      <c r="K43" s="582">
        <v>2</v>
      </c>
      <c r="L43" s="582">
        <v>0</v>
      </c>
      <c r="M43" s="583"/>
      <c r="N43" s="583">
        <f t="shared" si="7"/>
        <v>3</v>
      </c>
      <c r="O43" s="583"/>
      <c r="P43" s="584">
        <f t="shared" si="8"/>
        <v>0.8125</v>
      </c>
      <c r="Q43" s="584">
        <f t="shared" si="9"/>
        <v>0</v>
      </c>
      <c r="S43" s="564">
        <v>0</v>
      </c>
      <c r="T43" s="564">
        <v>3</v>
      </c>
      <c r="U43" s="564">
        <v>7</v>
      </c>
      <c r="V43" s="564">
        <v>6</v>
      </c>
      <c r="W43" s="564">
        <v>0</v>
      </c>
    </row>
    <row r="44" spans="1:23" x14ac:dyDescent="0.25">
      <c r="A44" s="579" t="s">
        <v>100</v>
      </c>
      <c r="B44" s="580" t="s">
        <v>101</v>
      </c>
      <c r="C44" s="586" t="s">
        <v>267</v>
      </c>
      <c r="D44" s="582">
        <f t="shared" si="6"/>
        <v>10</v>
      </c>
      <c r="E44" s="582">
        <v>8</v>
      </c>
      <c r="F44" s="582">
        <v>0</v>
      </c>
      <c r="G44" s="582">
        <v>0</v>
      </c>
      <c r="H44" s="582">
        <v>0</v>
      </c>
      <c r="I44" s="582">
        <v>0</v>
      </c>
      <c r="J44" s="582">
        <v>1</v>
      </c>
      <c r="K44" s="582">
        <v>1</v>
      </c>
      <c r="L44" s="582">
        <v>0</v>
      </c>
      <c r="M44" s="583"/>
      <c r="N44" s="583">
        <f t="shared" si="7"/>
        <v>2</v>
      </c>
      <c r="O44" s="583"/>
      <c r="P44" s="584">
        <f t="shared" si="8"/>
        <v>0.8</v>
      </c>
      <c r="Q44" s="584">
        <f t="shared" si="9"/>
        <v>0</v>
      </c>
      <c r="S44" s="564">
        <v>5</v>
      </c>
      <c r="T44" s="564">
        <v>2</v>
      </c>
      <c r="U44" s="564">
        <v>0</v>
      </c>
      <c r="V44" s="564">
        <v>3</v>
      </c>
      <c r="W44" s="564">
        <v>0</v>
      </c>
    </row>
    <row r="45" spans="1:23" x14ac:dyDescent="0.25">
      <c r="A45" s="579" t="s">
        <v>102</v>
      </c>
      <c r="B45" s="580" t="s">
        <v>282</v>
      </c>
      <c r="C45" s="586" t="s">
        <v>264</v>
      </c>
      <c r="D45" s="582">
        <f t="shared" si="6"/>
        <v>7</v>
      </c>
      <c r="E45" s="582">
        <v>0</v>
      </c>
      <c r="F45" s="582">
        <v>7</v>
      </c>
      <c r="G45" s="582">
        <v>0</v>
      </c>
      <c r="H45" s="582">
        <v>0</v>
      </c>
      <c r="I45" s="582">
        <v>0</v>
      </c>
      <c r="J45" s="582">
        <v>0</v>
      </c>
      <c r="K45" s="582">
        <v>0</v>
      </c>
      <c r="L45" s="582">
        <v>0</v>
      </c>
      <c r="M45" s="583"/>
      <c r="N45" s="583">
        <f t="shared" si="7"/>
        <v>0</v>
      </c>
      <c r="O45" s="583"/>
      <c r="P45" s="584">
        <f t="shared" si="8"/>
        <v>0</v>
      </c>
      <c r="Q45" s="584">
        <f t="shared" si="9"/>
        <v>1</v>
      </c>
      <c r="S45" s="564">
        <v>3</v>
      </c>
      <c r="T45" s="564">
        <v>2</v>
      </c>
      <c r="U45" s="564">
        <v>1</v>
      </c>
      <c r="V45" s="564">
        <v>1</v>
      </c>
      <c r="W45" s="564">
        <v>0</v>
      </c>
    </row>
    <row r="46" spans="1:23" x14ac:dyDescent="0.25">
      <c r="A46" s="579" t="s">
        <v>104</v>
      </c>
      <c r="B46" s="580" t="s">
        <v>105</v>
      </c>
      <c r="C46" s="586" t="s">
        <v>265</v>
      </c>
      <c r="D46" s="582">
        <f t="shared" si="6"/>
        <v>26</v>
      </c>
      <c r="E46" s="582">
        <v>14</v>
      </c>
      <c r="F46" s="582">
        <v>10</v>
      </c>
      <c r="G46" s="582">
        <v>0</v>
      </c>
      <c r="H46" s="582">
        <v>0</v>
      </c>
      <c r="I46" s="582">
        <v>0</v>
      </c>
      <c r="J46" s="582">
        <v>1</v>
      </c>
      <c r="K46" s="582">
        <v>1</v>
      </c>
      <c r="L46" s="582">
        <v>0</v>
      </c>
      <c r="M46" s="583"/>
      <c r="N46" s="583">
        <f t="shared" si="7"/>
        <v>2</v>
      </c>
      <c r="O46" s="583"/>
      <c r="P46" s="584">
        <f t="shared" si="8"/>
        <v>0.53846153846153844</v>
      </c>
      <c r="Q46" s="584">
        <f t="shared" si="9"/>
        <v>0.38461538461538464</v>
      </c>
      <c r="S46" s="564">
        <v>7</v>
      </c>
      <c r="T46" s="564">
        <v>3</v>
      </c>
      <c r="U46" s="564">
        <v>10</v>
      </c>
      <c r="V46" s="564">
        <v>6</v>
      </c>
      <c r="W46" s="564">
        <v>0</v>
      </c>
    </row>
    <row r="47" spans="1:23" x14ac:dyDescent="0.25">
      <c r="A47" s="579" t="s">
        <v>108</v>
      </c>
      <c r="B47" s="580" t="s">
        <v>109</v>
      </c>
      <c r="C47" s="586" t="s">
        <v>266</v>
      </c>
      <c r="D47" s="582">
        <f t="shared" si="6"/>
        <v>28</v>
      </c>
      <c r="E47" s="582">
        <v>24</v>
      </c>
      <c r="F47" s="582">
        <v>2</v>
      </c>
      <c r="G47" s="582">
        <v>0</v>
      </c>
      <c r="H47" s="582">
        <v>0</v>
      </c>
      <c r="I47" s="582">
        <v>0</v>
      </c>
      <c r="J47" s="582">
        <v>0</v>
      </c>
      <c r="K47" s="582">
        <v>2</v>
      </c>
      <c r="L47" s="582">
        <v>0</v>
      </c>
      <c r="M47" s="583"/>
      <c r="N47" s="583">
        <f t="shared" si="7"/>
        <v>2</v>
      </c>
      <c r="O47" s="583"/>
      <c r="P47" s="584">
        <f t="shared" si="8"/>
        <v>0.8571428571428571</v>
      </c>
      <c r="Q47" s="584">
        <f t="shared" si="9"/>
        <v>7.1428571428571425E-2</v>
      </c>
      <c r="S47" s="564">
        <v>7</v>
      </c>
      <c r="T47" s="564">
        <v>4</v>
      </c>
      <c r="U47" s="564">
        <v>9</v>
      </c>
      <c r="V47" s="564">
        <v>8</v>
      </c>
      <c r="W47" s="564">
        <v>0</v>
      </c>
    </row>
    <row r="48" spans="1:23" x14ac:dyDescent="0.25">
      <c r="A48" s="579" t="s">
        <v>110</v>
      </c>
      <c r="B48" s="580" t="s">
        <v>111</v>
      </c>
      <c r="C48" s="586" t="s">
        <v>266</v>
      </c>
      <c r="D48" s="582">
        <f t="shared" si="6"/>
        <v>108</v>
      </c>
      <c r="E48" s="582">
        <v>40</v>
      </c>
      <c r="F48" s="582">
        <v>37</v>
      </c>
      <c r="G48" s="582">
        <v>3</v>
      </c>
      <c r="H48" s="582">
        <v>0</v>
      </c>
      <c r="I48" s="582">
        <v>3</v>
      </c>
      <c r="J48" s="582">
        <v>11</v>
      </c>
      <c r="K48" s="582">
        <v>13</v>
      </c>
      <c r="L48" s="582">
        <v>1</v>
      </c>
      <c r="M48" s="583"/>
      <c r="N48" s="583">
        <f t="shared" si="7"/>
        <v>30</v>
      </c>
      <c r="O48" s="583"/>
      <c r="P48" s="584">
        <f t="shared" si="8"/>
        <v>0.37037037037037035</v>
      </c>
      <c r="Q48" s="584">
        <f t="shared" si="9"/>
        <v>0.34259259259259262</v>
      </c>
      <c r="S48" s="564">
        <v>34</v>
      </c>
      <c r="T48" s="564">
        <v>21</v>
      </c>
      <c r="U48" s="564">
        <v>31</v>
      </c>
      <c r="V48" s="564">
        <v>22</v>
      </c>
      <c r="W48" s="564">
        <v>0</v>
      </c>
    </row>
    <row r="49" spans="1:23" x14ac:dyDescent="0.25">
      <c r="A49" s="579" t="s">
        <v>112</v>
      </c>
      <c r="B49" s="580" t="s">
        <v>113</v>
      </c>
      <c r="C49" s="586" t="s">
        <v>265</v>
      </c>
      <c r="D49" s="582">
        <f t="shared" si="6"/>
        <v>37</v>
      </c>
      <c r="E49" s="582">
        <v>22</v>
      </c>
      <c r="F49" s="582">
        <v>6</v>
      </c>
      <c r="G49" s="582">
        <v>0</v>
      </c>
      <c r="H49" s="582">
        <v>0</v>
      </c>
      <c r="I49" s="582">
        <v>0</v>
      </c>
      <c r="J49" s="582">
        <v>3</v>
      </c>
      <c r="K49" s="582">
        <v>4</v>
      </c>
      <c r="L49" s="582">
        <v>2</v>
      </c>
      <c r="M49" s="583"/>
      <c r="N49" s="583">
        <f t="shared" si="7"/>
        <v>7</v>
      </c>
      <c r="O49" s="583"/>
      <c r="P49" s="584">
        <f t="shared" si="8"/>
        <v>0.59459459459459463</v>
      </c>
      <c r="Q49" s="584">
        <f t="shared" si="9"/>
        <v>0.16216216216216217</v>
      </c>
      <c r="S49" s="564">
        <v>14</v>
      </c>
      <c r="T49" s="564">
        <v>3</v>
      </c>
      <c r="U49" s="564">
        <v>13</v>
      </c>
      <c r="V49" s="564">
        <v>7</v>
      </c>
      <c r="W49" s="564">
        <v>0</v>
      </c>
    </row>
    <row r="50" spans="1:23" x14ac:dyDescent="0.25">
      <c r="A50" s="585" t="s">
        <v>114</v>
      </c>
      <c r="B50" s="580" t="s">
        <v>115</v>
      </c>
      <c r="C50" s="586" t="s">
        <v>265</v>
      </c>
      <c r="D50" s="582">
        <f t="shared" si="6"/>
        <v>0</v>
      </c>
      <c r="E50" s="582">
        <v>0</v>
      </c>
      <c r="F50" s="582">
        <v>0</v>
      </c>
      <c r="G50" s="582">
        <v>0</v>
      </c>
      <c r="H50" s="582">
        <v>0</v>
      </c>
      <c r="I50" s="582">
        <v>0</v>
      </c>
      <c r="J50" s="582">
        <v>0</v>
      </c>
      <c r="K50" s="582">
        <v>0</v>
      </c>
      <c r="L50" s="582">
        <v>0</v>
      </c>
      <c r="M50" s="583"/>
      <c r="N50" s="583">
        <f t="shared" si="7"/>
        <v>0</v>
      </c>
      <c r="O50" s="583"/>
      <c r="P50" s="584" t="str">
        <f t="shared" si="8"/>
        <v>N/A</v>
      </c>
      <c r="Q50" s="584" t="str">
        <f t="shared" si="9"/>
        <v>N/A</v>
      </c>
      <c r="S50" s="564">
        <v>0</v>
      </c>
      <c r="T50" s="564">
        <v>0</v>
      </c>
      <c r="U50" s="564">
        <v>0</v>
      </c>
      <c r="V50" s="564">
        <v>0</v>
      </c>
      <c r="W50" s="564">
        <v>0</v>
      </c>
    </row>
    <row r="51" spans="1:23" x14ac:dyDescent="0.25">
      <c r="A51" s="579" t="s">
        <v>118</v>
      </c>
      <c r="B51" s="580" t="s">
        <v>119</v>
      </c>
      <c r="C51" s="586" t="s">
        <v>264</v>
      </c>
      <c r="D51" s="582">
        <f t="shared" si="6"/>
        <v>6</v>
      </c>
      <c r="E51" s="582">
        <v>5</v>
      </c>
      <c r="F51" s="582">
        <v>0</v>
      </c>
      <c r="G51" s="582">
        <v>0</v>
      </c>
      <c r="H51" s="582">
        <v>0</v>
      </c>
      <c r="I51" s="582">
        <v>0</v>
      </c>
      <c r="J51" s="582">
        <v>0</v>
      </c>
      <c r="K51" s="582">
        <v>1</v>
      </c>
      <c r="L51" s="582">
        <v>0</v>
      </c>
      <c r="M51" s="583"/>
      <c r="N51" s="583">
        <f t="shared" si="7"/>
        <v>1</v>
      </c>
      <c r="O51" s="583"/>
      <c r="P51" s="584">
        <f t="shared" si="8"/>
        <v>0.83333333333333337</v>
      </c>
      <c r="Q51" s="584">
        <f t="shared" si="9"/>
        <v>0</v>
      </c>
      <c r="S51" s="564">
        <v>4</v>
      </c>
      <c r="T51" s="564">
        <v>1</v>
      </c>
      <c r="U51" s="564">
        <v>1</v>
      </c>
      <c r="V51" s="564">
        <v>0</v>
      </c>
      <c r="W51" s="564">
        <v>0</v>
      </c>
    </row>
    <row r="52" spans="1:23" x14ac:dyDescent="0.25">
      <c r="A52" s="579" t="s">
        <v>120</v>
      </c>
      <c r="B52" s="580" t="s">
        <v>121</v>
      </c>
      <c r="C52" s="586" t="s">
        <v>264</v>
      </c>
      <c r="D52" s="582">
        <f t="shared" si="6"/>
        <v>10</v>
      </c>
      <c r="E52" s="582">
        <v>3</v>
      </c>
      <c r="F52" s="582">
        <v>5</v>
      </c>
      <c r="G52" s="582">
        <v>0</v>
      </c>
      <c r="H52" s="582">
        <v>0</v>
      </c>
      <c r="I52" s="582">
        <v>0</v>
      </c>
      <c r="J52" s="582">
        <v>0</v>
      </c>
      <c r="K52" s="582">
        <v>2</v>
      </c>
      <c r="L52" s="582">
        <v>0</v>
      </c>
      <c r="M52" s="583"/>
      <c r="N52" s="583">
        <f t="shared" si="7"/>
        <v>2</v>
      </c>
      <c r="O52" s="583"/>
      <c r="P52" s="584">
        <f t="shared" si="8"/>
        <v>0.3</v>
      </c>
      <c r="Q52" s="584">
        <f t="shared" si="9"/>
        <v>0.5</v>
      </c>
      <c r="S52" s="564">
        <v>4</v>
      </c>
      <c r="T52" s="564">
        <v>2</v>
      </c>
      <c r="U52" s="564">
        <v>3</v>
      </c>
      <c r="V52" s="564">
        <v>1</v>
      </c>
      <c r="W52" s="564">
        <v>0</v>
      </c>
    </row>
    <row r="53" spans="1:23" x14ac:dyDescent="0.25">
      <c r="A53" s="579" t="s">
        <v>122</v>
      </c>
      <c r="B53" s="580" t="s">
        <v>123</v>
      </c>
      <c r="C53" s="586" t="s">
        <v>266</v>
      </c>
      <c r="D53" s="582">
        <f t="shared" si="6"/>
        <v>5</v>
      </c>
      <c r="E53" s="582">
        <v>3</v>
      </c>
      <c r="F53" s="582">
        <v>1</v>
      </c>
      <c r="G53" s="582">
        <v>0</v>
      </c>
      <c r="H53" s="582">
        <v>0</v>
      </c>
      <c r="I53" s="582">
        <v>0</v>
      </c>
      <c r="J53" s="582">
        <v>1</v>
      </c>
      <c r="K53" s="582">
        <v>0</v>
      </c>
      <c r="L53" s="582">
        <v>0</v>
      </c>
      <c r="M53" s="583"/>
      <c r="N53" s="583">
        <f t="shared" si="7"/>
        <v>1</v>
      </c>
      <c r="O53" s="583"/>
      <c r="P53" s="584">
        <f t="shared" si="8"/>
        <v>0.6</v>
      </c>
      <c r="Q53" s="584">
        <f t="shared" si="9"/>
        <v>0.2</v>
      </c>
      <c r="S53" s="564">
        <v>0</v>
      </c>
      <c r="T53" s="564">
        <v>0</v>
      </c>
      <c r="U53" s="564">
        <v>2</v>
      </c>
      <c r="V53" s="564">
        <v>3</v>
      </c>
      <c r="W53" s="564">
        <v>0</v>
      </c>
    </row>
    <row r="54" spans="1:23" x14ac:dyDescent="0.25">
      <c r="A54" s="579" t="s">
        <v>124</v>
      </c>
      <c r="B54" s="580" t="s">
        <v>125</v>
      </c>
      <c r="C54" s="586" t="s">
        <v>267</v>
      </c>
      <c r="D54" s="582">
        <f t="shared" si="6"/>
        <v>9</v>
      </c>
      <c r="E54" s="582">
        <v>6</v>
      </c>
      <c r="F54" s="582">
        <v>3</v>
      </c>
      <c r="G54" s="582">
        <v>0</v>
      </c>
      <c r="H54" s="582">
        <v>0</v>
      </c>
      <c r="I54" s="582">
        <v>0</v>
      </c>
      <c r="J54" s="582">
        <v>0</v>
      </c>
      <c r="K54" s="582">
        <v>0</v>
      </c>
      <c r="L54" s="582">
        <v>0</v>
      </c>
      <c r="M54" s="583"/>
      <c r="N54" s="583">
        <f t="shared" si="7"/>
        <v>0</v>
      </c>
      <c r="O54" s="583"/>
      <c r="P54" s="584">
        <f t="shared" si="8"/>
        <v>0.66666666666666663</v>
      </c>
      <c r="Q54" s="584">
        <f t="shared" si="9"/>
        <v>0.33333333333333331</v>
      </c>
      <c r="S54" s="564">
        <v>2</v>
      </c>
      <c r="T54" s="564">
        <v>0</v>
      </c>
      <c r="U54" s="564">
        <v>4</v>
      </c>
      <c r="V54" s="564">
        <v>3</v>
      </c>
      <c r="W54" s="564">
        <v>0</v>
      </c>
    </row>
    <row r="55" spans="1:23" x14ac:dyDescent="0.25">
      <c r="A55" s="579" t="s">
        <v>126</v>
      </c>
      <c r="B55" s="580" t="s">
        <v>127</v>
      </c>
      <c r="C55" s="586" t="s">
        <v>266</v>
      </c>
      <c r="D55" s="582">
        <f t="shared" si="6"/>
        <v>4</v>
      </c>
      <c r="E55" s="582">
        <v>3</v>
      </c>
      <c r="F55" s="582">
        <v>0</v>
      </c>
      <c r="G55" s="582">
        <v>0</v>
      </c>
      <c r="H55" s="582">
        <v>0</v>
      </c>
      <c r="I55" s="582">
        <v>0</v>
      </c>
      <c r="J55" s="582">
        <v>0</v>
      </c>
      <c r="K55" s="582">
        <v>1</v>
      </c>
      <c r="L55" s="582">
        <v>0</v>
      </c>
      <c r="M55" s="583"/>
      <c r="N55" s="583">
        <f t="shared" si="7"/>
        <v>1</v>
      </c>
      <c r="O55" s="583"/>
      <c r="P55" s="584">
        <f t="shared" si="8"/>
        <v>0.75</v>
      </c>
      <c r="Q55" s="584">
        <f t="shared" si="9"/>
        <v>0</v>
      </c>
      <c r="S55" s="564">
        <v>0</v>
      </c>
      <c r="T55" s="564">
        <v>0</v>
      </c>
      <c r="U55" s="564">
        <v>4</v>
      </c>
      <c r="V55" s="564">
        <v>0</v>
      </c>
      <c r="W55" s="564">
        <v>0</v>
      </c>
    </row>
    <row r="56" spans="1:23" x14ac:dyDescent="0.25">
      <c r="A56" s="579" t="s">
        <v>128</v>
      </c>
      <c r="B56" s="580" t="s">
        <v>129</v>
      </c>
      <c r="C56" s="586" t="s">
        <v>266</v>
      </c>
      <c r="D56" s="582">
        <f t="shared" si="6"/>
        <v>4</v>
      </c>
      <c r="E56" s="582">
        <v>3</v>
      </c>
      <c r="F56" s="582">
        <v>1</v>
      </c>
      <c r="G56" s="582">
        <v>0</v>
      </c>
      <c r="H56" s="582">
        <v>0</v>
      </c>
      <c r="I56" s="582">
        <v>0</v>
      </c>
      <c r="J56" s="582">
        <v>0</v>
      </c>
      <c r="K56" s="582">
        <v>0</v>
      </c>
      <c r="L56" s="582">
        <v>0</v>
      </c>
      <c r="M56" s="583"/>
      <c r="N56" s="583">
        <f t="shared" si="7"/>
        <v>0</v>
      </c>
      <c r="O56" s="583"/>
      <c r="P56" s="584">
        <f t="shared" si="8"/>
        <v>0.75</v>
      </c>
      <c r="Q56" s="584">
        <f t="shared" si="9"/>
        <v>0.25</v>
      </c>
      <c r="S56" s="564">
        <v>0</v>
      </c>
      <c r="T56" s="564">
        <v>1</v>
      </c>
      <c r="U56" s="564">
        <v>1</v>
      </c>
      <c r="V56" s="564">
        <v>2</v>
      </c>
      <c r="W56" s="564">
        <v>0</v>
      </c>
    </row>
    <row r="57" spans="1:23" x14ac:dyDescent="0.25">
      <c r="A57" s="585" t="s">
        <v>130</v>
      </c>
      <c r="B57" s="580" t="s">
        <v>131</v>
      </c>
      <c r="C57" s="586" t="s">
        <v>268</v>
      </c>
      <c r="D57" s="582">
        <f t="shared" si="6"/>
        <v>54</v>
      </c>
      <c r="E57" s="582">
        <v>54</v>
      </c>
      <c r="F57" s="582">
        <v>0</v>
      </c>
      <c r="G57" s="582">
        <v>0</v>
      </c>
      <c r="H57" s="582">
        <v>0</v>
      </c>
      <c r="I57" s="582">
        <v>0</v>
      </c>
      <c r="J57" s="582">
        <v>0</v>
      </c>
      <c r="K57" s="582">
        <v>0</v>
      </c>
      <c r="L57" s="582">
        <v>0</v>
      </c>
      <c r="M57" s="583"/>
      <c r="N57" s="583">
        <f t="shared" si="7"/>
        <v>0</v>
      </c>
      <c r="O57" s="583"/>
      <c r="P57" s="584">
        <f t="shared" si="8"/>
        <v>1</v>
      </c>
      <c r="Q57" s="584">
        <f t="shared" si="9"/>
        <v>0</v>
      </c>
      <c r="S57" s="564">
        <v>15</v>
      </c>
      <c r="T57" s="564">
        <v>17</v>
      </c>
      <c r="U57" s="564">
        <v>9</v>
      </c>
      <c r="V57" s="564">
        <v>13</v>
      </c>
      <c r="W57" s="564">
        <v>0</v>
      </c>
    </row>
    <row r="58" spans="1:23" x14ac:dyDescent="0.25">
      <c r="A58" s="579" t="s">
        <v>132</v>
      </c>
      <c r="B58" s="580" t="s">
        <v>133</v>
      </c>
      <c r="C58" s="586" t="s">
        <v>267</v>
      </c>
      <c r="D58" s="582">
        <f t="shared" si="6"/>
        <v>41</v>
      </c>
      <c r="E58" s="582">
        <v>10</v>
      </c>
      <c r="F58" s="582">
        <v>5</v>
      </c>
      <c r="G58" s="582">
        <v>0</v>
      </c>
      <c r="H58" s="582">
        <v>1</v>
      </c>
      <c r="I58" s="582">
        <v>0</v>
      </c>
      <c r="J58" s="582">
        <v>13</v>
      </c>
      <c r="K58" s="582">
        <v>10</v>
      </c>
      <c r="L58" s="582">
        <v>2</v>
      </c>
      <c r="M58" s="583"/>
      <c r="N58" s="583">
        <f t="shared" si="7"/>
        <v>24</v>
      </c>
      <c r="O58" s="583"/>
      <c r="P58" s="584">
        <f t="shared" si="8"/>
        <v>0.24390243902439024</v>
      </c>
      <c r="Q58" s="584">
        <f t="shared" si="9"/>
        <v>0.12195121951219512</v>
      </c>
      <c r="S58" s="564">
        <v>13</v>
      </c>
      <c r="T58" s="564">
        <v>7</v>
      </c>
      <c r="U58" s="564">
        <v>10</v>
      </c>
      <c r="V58" s="564">
        <v>11</v>
      </c>
      <c r="W58" s="564">
        <v>0</v>
      </c>
    </row>
    <row r="59" spans="1:23" x14ac:dyDescent="0.25">
      <c r="A59" s="579" t="s">
        <v>134</v>
      </c>
      <c r="B59" s="580" t="s">
        <v>135</v>
      </c>
      <c r="C59" s="586" t="s">
        <v>267</v>
      </c>
      <c r="D59" s="582">
        <f t="shared" si="6"/>
        <v>21</v>
      </c>
      <c r="E59" s="582">
        <v>13</v>
      </c>
      <c r="F59" s="582">
        <v>5</v>
      </c>
      <c r="G59" s="582">
        <v>0</v>
      </c>
      <c r="H59" s="582">
        <v>0</v>
      </c>
      <c r="I59" s="582">
        <v>0</v>
      </c>
      <c r="J59" s="582">
        <v>1</v>
      </c>
      <c r="K59" s="582">
        <v>2</v>
      </c>
      <c r="L59" s="582">
        <v>0</v>
      </c>
      <c r="M59" s="583"/>
      <c r="N59" s="583">
        <f t="shared" si="7"/>
        <v>3</v>
      </c>
      <c r="O59" s="583"/>
      <c r="P59" s="584">
        <f t="shared" si="8"/>
        <v>0.61904761904761907</v>
      </c>
      <c r="Q59" s="584">
        <f t="shared" si="9"/>
        <v>0.23809523809523808</v>
      </c>
      <c r="S59" s="564">
        <v>4</v>
      </c>
      <c r="T59" s="564">
        <v>6</v>
      </c>
      <c r="U59" s="564">
        <v>7</v>
      </c>
      <c r="V59" s="564">
        <v>4</v>
      </c>
      <c r="W59" s="564">
        <v>0</v>
      </c>
    </row>
    <row r="60" spans="1:23" x14ac:dyDescent="0.25">
      <c r="A60" s="579" t="s">
        <v>136</v>
      </c>
      <c r="B60" s="580" t="s">
        <v>137</v>
      </c>
      <c r="C60" s="586" t="s">
        <v>266</v>
      </c>
      <c r="D60" s="582">
        <f t="shared" si="6"/>
        <v>8</v>
      </c>
      <c r="E60" s="582">
        <v>1</v>
      </c>
      <c r="F60" s="582">
        <v>7</v>
      </c>
      <c r="G60" s="582">
        <v>0</v>
      </c>
      <c r="H60" s="582">
        <v>0</v>
      </c>
      <c r="I60" s="582">
        <v>0</v>
      </c>
      <c r="J60" s="582">
        <v>0</v>
      </c>
      <c r="K60" s="582">
        <v>0</v>
      </c>
      <c r="L60" s="582">
        <v>0</v>
      </c>
      <c r="M60" s="583"/>
      <c r="N60" s="583">
        <f t="shared" si="7"/>
        <v>0</v>
      </c>
      <c r="O60" s="583"/>
      <c r="P60" s="584">
        <f t="shared" si="8"/>
        <v>0.125</v>
      </c>
      <c r="Q60" s="584">
        <f t="shared" si="9"/>
        <v>0.875</v>
      </c>
      <c r="S60" s="564">
        <v>3</v>
      </c>
      <c r="T60" s="564">
        <v>3</v>
      </c>
      <c r="U60" s="564">
        <v>0</v>
      </c>
      <c r="V60" s="564">
        <v>2</v>
      </c>
      <c r="W60" s="564">
        <v>0</v>
      </c>
    </row>
    <row r="61" spans="1:23" x14ac:dyDescent="0.25">
      <c r="A61" s="579" t="s">
        <v>140</v>
      </c>
      <c r="B61" s="580" t="s">
        <v>141</v>
      </c>
      <c r="C61" s="586" t="s">
        <v>267</v>
      </c>
      <c r="D61" s="582">
        <f t="shared" si="6"/>
        <v>33</v>
      </c>
      <c r="E61" s="582">
        <v>24</v>
      </c>
      <c r="F61" s="582">
        <v>6</v>
      </c>
      <c r="G61" s="582">
        <v>1</v>
      </c>
      <c r="H61" s="582">
        <v>0</v>
      </c>
      <c r="I61" s="582">
        <v>0</v>
      </c>
      <c r="J61" s="582">
        <v>0</v>
      </c>
      <c r="K61" s="582">
        <v>1</v>
      </c>
      <c r="L61" s="582">
        <v>1</v>
      </c>
      <c r="M61" s="583"/>
      <c r="N61" s="583">
        <f t="shared" si="7"/>
        <v>2</v>
      </c>
      <c r="O61" s="583"/>
      <c r="P61" s="584">
        <f t="shared" si="8"/>
        <v>0.72727272727272729</v>
      </c>
      <c r="Q61" s="584">
        <f t="shared" si="9"/>
        <v>0.18181818181818182</v>
      </c>
      <c r="S61" s="564">
        <v>8</v>
      </c>
      <c r="T61" s="564">
        <v>6</v>
      </c>
      <c r="U61" s="564">
        <v>11</v>
      </c>
      <c r="V61" s="564">
        <v>8</v>
      </c>
      <c r="W61" s="564">
        <v>0</v>
      </c>
    </row>
    <row r="62" spans="1:23" x14ac:dyDescent="0.25">
      <c r="A62" s="579" t="s">
        <v>146</v>
      </c>
      <c r="B62" s="580" t="s">
        <v>147</v>
      </c>
      <c r="C62" s="586" t="s">
        <v>264</v>
      </c>
      <c r="D62" s="582">
        <f t="shared" si="6"/>
        <v>5</v>
      </c>
      <c r="E62" s="582">
        <v>4</v>
      </c>
      <c r="F62" s="582">
        <v>1</v>
      </c>
      <c r="G62" s="582">
        <v>0</v>
      </c>
      <c r="H62" s="582">
        <v>0</v>
      </c>
      <c r="I62" s="582">
        <v>0</v>
      </c>
      <c r="J62" s="582">
        <v>0</v>
      </c>
      <c r="K62" s="582">
        <v>0</v>
      </c>
      <c r="L62" s="582">
        <v>0</v>
      </c>
      <c r="M62" s="583"/>
      <c r="N62" s="583">
        <f t="shared" si="7"/>
        <v>0</v>
      </c>
      <c r="O62" s="583"/>
      <c r="P62" s="584">
        <f t="shared" si="8"/>
        <v>0.8</v>
      </c>
      <c r="Q62" s="584">
        <f t="shared" si="9"/>
        <v>0.2</v>
      </c>
      <c r="S62" s="564">
        <v>3</v>
      </c>
      <c r="T62" s="564">
        <v>1</v>
      </c>
      <c r="U62" s="564">
        <v>0</v>
      </c>
      <c r="V62" s="564">
        <v>1</v>
      </c>
      <c r="W62" s="564">
        <v>0</v>
      </c>
    </row>
    <row r="63" spans="1:23" x14ac:dyDescent="0.25">
      <c r="A63" s="579" t="s">
        <v>148</v>
      </c>
      <c r="B63" s="580" t="s">
        <v>149</v>
      </c>
      <c r="C63" s="586" t="s">
        <v>265</v>
      </c>
      <c r="D63" s="582">
        <f t="shared" si="6"/>
        <v>18</v>
      </c>
      <c r="E63" s="582">
        <v>10</v>
      </c>
      <c r="F63" s="582">
        <v>5</v>
      </c>
      <c r="G63" s="582">
        <v>0</v>
      </c>
      <c r="H63" s="582">
        <v>0</v>
      </c>
      <c r="I63" s="582">
        <v>0</v>
      </c>
      <c r="J63" s="582">
        <v>0</v>
      </c>
      <c r="K63" s="582">
        <v>2</v>
      </c>
      <c r="L63" s="582">
        <v>1</v>
      </c>
      <c r="M63" s="583"/>
      <c r="N63" s="583">
        <f t="shared" si="7"/>
        <v>2</v>
      </c>
      <c r="O63" s="583"/>
      <c r="P63" s="584">
        <f t="shared" si="8"/>
        <v>0.55555555555555558</v>
      </c>
      <c r="Q63" s="584">
        <f t="shared" si="9"/>
        <v>0.27777777777777779</v>
      </c>
      <c r="S63" s="564">
        <v>7</v>
      </c>
      <c r="T63" s="564">
        <v>1</v>
      </c>
      <c r="U63" s="564">
        <v>3</v>
      </c>
      <c r="V63" s="564">
        <v>7</v>
      </c>
      <c r="W63" s="564">
        <v>0</v>
      </c>
    </row>
    <row r="64" spans="1:23" x14ac:dyDescent="0.25">
      <c r="A64" s="579" t="s">
        <v>150</v>
      </c>
      <c r="B64" s="580" t="s">
        <v>151</v>
      </c>
      <c r="C64" s="586" t="s">
        <v>266</v>
      </c>
      <c r="D64" s="582">
        <f t="shared" si="6"/>
        <v>4</v>
      </c>
      <c r="E64" s="582">
        <v>4</v>
      </c>
      <c r="F64" s="582">
        <v>0</v>
      </c>
      <c r="G64" s="582">
        <v>0</v>
      </c>
      <c r="H64" s="582">
        <v>0</v>
      </c>
      <c r="I64" s="582">
        <v>0</v>
      </c>
      <c r="J64" s="582">
        <v>0</v>
      </c>
      <c r="K64" s="582">
        <v>0</v>
      </c>
      <c r="L64" s="582">
        <v>0</v>
      </c>
      <c r="M64" s="583"/>
      <c r="N64" s="583">
        <f t="shared" si="7"/>
        <v>0</v>
      </c>
      <c r="O64" s="583"/>
      <c r="P64" s="584">
        <f t="shared" si="8"/>
        <v>1</v>
      </c>
      <c r="Q64" s="584">
        <f t="shared" si="9"/>
        <v>0</v>
      </c>
      <c r="S64" s="564">
        <v>3</v>
      </c>
      <c r="T64" s="564">
        <v>1</v>
      </c>
      <c r="U64" s="564">
        <v>0</v>
      </c>
      <c r="V64" s="564">
        <v>0</v>
      </c>
      <c r="W64" s="564">
        <v>0</v>
      </c>
    </row>
    <row r="65" spans="1:23" x14ac:dyDescent="0.25">
      <c r="A65" s="579" t="s">
        <v>152</v>
      </c>
      <c r="B65" s="580" t="s">
        <v>153</v>
      </c>
      <c r="C65" s="586" t="s">
        <v>268</v>
      </c>
      <c r="D65" s="582">
        <f t="shared" si="6"/>
        <v>21</v>
      </c>
      <c r="E65" s="582">
        <v>18</v>
      </c>
      <c r="F65" s="582">
        <v>3</v>
      </c>
      <c r="G65" s="582">
        <v>0</v>
      </c>
      <c r="H65" s="582">
        <v>0</v>
      </c>
      <c r="I65" s="582">
        <v>0</v>
      </c>
      <c r="J65" s="582">
        <v>0</v>
      </c>
      <c r="K65" s="582">
        <v>0</v>
      </c>
      <c r="L65" s="582">
        <v>0</v>
      </c>
      <c r="M65" s="583"/>
      <c r="N65" s="583">
        <f t="shared" si="7"/>
        <v>0</v>
      </c>
      <c r="O65" s="583"/>
      <c r="P65" s="584">
        <f t="shared" si="8"/>
        <v>0.8571428571428571</v>
      </c>
      <c r="Q65" s="584">
        <f t="shared" si="9"/>
        <v>0.14285714285714285</v>
      </c>
      <c r="S65" s="564">
        <v>10</v>
      </c>
      <c r="T65" s="564">
        <v>6</v>
      </c>
      <c r="U65" s="564">
        <v>2</v>
      </c>
      <c r="V65" s="564">
        <v>3</v>
      </c>
      <c r="W65" s="564">
        <v>0</v>
      </c>
    </row>
    <row r="66" spans="1:23" x14ac:dyDescent="0.25">
      <c r="A66" s="579" t="s">
        <v>154</v>
      </c>
      <c r="B66" s="580" t="s">
        <v>155</v>
      </c>
      <c r="C66" s="586" t="s">
        <v>265</v>
      </c>
      <c r="D66" s="582">
        <f t="shared" si="6"/>
        <v>6</v>
      </c>
      <c r="E66" s="582">
        <v>6</v>
      </c>
      <c r="F66" s="582">
        <v>0</v>
      </c>
      <c r="G66" s="582">
        <v>0</v>
      </c>
      <c r="H66" s="582">
        <v>0</v>
      </c>
      <c r="I66" s="582">
        <v>0</v>
      </c>
      <c r="J66" s="582">
        <v>0</v>
      </c>
      <c r="K66" s="582">
        <v>0</v>
      </c>
      <c r="L66" s="582">
        <v>0</v>
      </c>
      <c r="M66" s="583"/>
      <c r="N66" s="583">
        <f t="shared" si="7"/>
        <v>0</v>
      </c>
      <c r="O66" s="583"/>
      <c r="P66" s="584">
        <f t="shared" si="8"/>
        <v>1</v>
      </c>
      <c r="Q66" s="584">
        <f t="shared" si="9"/>
        <v>0</v>
      </c>
      <c r="S66" s="564">
        <v>2</v>
      </c>
      <c r="T66" s="564">
        <v>0</v>
      </c>
      <c r="U66" s="564">
        <v>0</v>
      </c>
      <c r="V66" s="564">
        <v>4</v>
      </c>
      <c r="W66" s="564">
        <v>0</v>
      </c>
    </row>
    <row r="67" spans="1:23" x14ac:dyDescent="0.25">
      <c r="A67" s="585" t="s">
        <v>156</v>
      </c>
      <c r="B67" s="580" t="s">
        <v>157</v>
      </c>
      <c r="C67" s="586" t="s">
        <v>266</v>
      </c>
      <c r="D67" s="582">
        <f t="shared" si="6"/>
        <v>3</v>
      </c>
      <c r="E67" s="582">
        <v>3</v>
      </c>
      <c r="F67" s="582">
        <v>0</v>
      </c>
      <c r="G67" s="582">
        <v>0</v>
      </c>
      <c r="H67" s="582">
        <v>0</v>
      </c>
      <c r="I67" s="582">
        <v>0</v>
      </c>
      <c r="J67" s="582">
        <v>0</v>
      </c>
      <c r="K67" s="582">
        <v>0</v>
      </c>
      <c r="L67" s="582">
        <v>0</v>
      </c>
      <c r="M67" s="583"/>
      <c r="N67" s="583">
        <f t="shared" si="7"/>
        <v>0</v>
      </c>
      <c r="O67" s="583"/>
      <c r="P67" s="584">
        <f t="shared" si="8"/>
        <v>1</v>
      </c>
      <c r="Q67" s="584">
        <f t="shared" si="9"/>
        <v>0</v>
      </c>
      <c r="S67" s="564">
        <v>0</v>
      </c>
      <c r="T67" s="564">
        <v>2</v>
      </c>
      <c r="U67" s="564">
        <v>1</v>
      </c>
      <c r="V67" s="564">
        <v>0</v>
      </c>
      <c r="W67" s="564">
        <v>0</v>
      </c>
    </row>
    <row r="68" spans="1:23" x14ac:dyDescent="0.25">
      <c r="A68" s="579" t="s">
        <v>162</v>
      </c>
      <c r="B68" s="580" t="s">
        <v>163</v>
      </c>
      <c r="C68" s="586" t="s">
        <v>264</v>
      </c>
      <c r="D68" s="582">
        <f t="shared" si="6"/>
        <v>3</v>
      </c>
      <c r="E68" s="582">
        <v>1</v>
      </c>
      <c r="F68" s="582">
        <v>2</v>
      </c>
      <c r="G68" s="582">
        <v>0</v>
      </c>
      <c r="H68" s="582">
        <v>0</v>
      </c>
      <c r="I68" s="582">
        <v>0</v>
      </c>
      <c r="J68" s="582">
        <v>0</v>
      </c>
      <c r="K68" s="582">
        <v>0</v>
      </c>
      <c r="L68" s="582">
        <v>0</v>
      </c>
      <c r="M68" s="583"/>
      <c r="N68" s="583">
        <f t="shared" si="7"/>
        <v>0</v>
      </c>
      <c r="O68" s="583"/>
      <c r="P68" s="584">
        <f t="shared" si="8"/>
        <v>0.33333333333333331</v>
      </c>
      <c r="Q68" s="584">
        <f t="shared" si="9"/>
        <v>0.66666666666666663</v>
      </c>
      <c r="S68" s="564">
        <v>0</v>
      </c>
      <c r="T68" s="564">
        <v>0</v>
      </c>
      <c r="U68" s="564">
        <v>1</v>
      </c>
      <c r="V68" s="564">
        <v>2</v>
      </c>
      <c r="W68" s="564">
        <v>0</v>
      </c>
    </row>
    <row r="69" spans="1:23" x14ac:dyDescent="0.25">
      <c r="A69" s="579" t="s">
        <v>164</v>
      </c>
      <c r="B69" s="580" t="s">
        <v>165</v>
      </c>
      <c r="C69" s="586" t="s">
        <v>266</v>
      </c>
      <c r="D69" s="582">
        <f t="shared" si="6"/>
        <v>8</v>
      </c>
      <c r="E69" s="582">
        <v>5</v>
      </c>
      <c r="F69" s="582">
        <v>0</v>
      </c>
      <c r="G69" s="582">
        <v>0</v>
      </c>
      <c r="H69" s="582">
        <v>0</v>
      </c>
      <c r="I69" s="582">
        <v>0</v>
      </c>
      <c r="J69" s="582">
        <v>3</v>
      </c>
      <c r="K69" s="582">
        <v>0</v>
      </c>
      <c r="L69" s="582">
        <v>0</v>
      </c>
      <c r="M69" s="583"/>
      <c r="N69" s="583">
        <f t="shared" si="7"/>
        <v>3</v>
      </c>
      <c r="O69" s="583"/>
      <c r="P69" s="584">
        <f t="shared" si="8"/>
        <v>0.625</v>
      </c>
      <c r="Q69" s="584">
        <f t="shared" si="9"/>
        <v>0</v>
      </c>
      <c r="S69" s="564">
        <v>4</v>
      </c>
      <c r="T69" s="564">
        <v>3</v>
      </c>
      <c r="U69" s="564">
        <v>1</v>
      </c>
      <c r="V69" s="564">
        <v>0</v>
      </c>
      <c r="W69" s="564">
        <v>0</v>
      </c>
    </row>
    <row r="70" spans="1:23" x14ac:dyDescent="0.25">
      <c r="A70" s="579" t="s">
        <v>168</v>
      </c>
      <c r="B70" s="580" t="s">
        <v>169</v>
      </c>
      <c r="C70" s="586" t="s">
        <v>266</v>
      </c>
      <c r="D70" s="582">
        <f t="shared" ref="D70:D101" si="10">SUM(E70:L70)</f>
        <v>0</v>
      </c>
      <c r="E70" s="582">
        <v>0</v>
      </c>
      <c r="F70" s="582">
        <v>0</v>
      </c>
      <c r="G70" s="582">
        <v>0</v>
      </c>
      <c r="H70" s="582">
        <v>0</v>
      </c>
      <c r="I70" s="582">
        <v>0</v>
      </c>
      <c r="J70" s="582">
        <v>0</v>
      </c>
      <c r="K70" s="582">
        <v>0</v>
      </c>
      <c r="L70" s="582">
        <v>0</v>
      </c>
      <c r="M70" s="583"/>
      <c r="N70" s="583">
        <f t="shared" ref="N70:N101" si="11">SUM(G70:K70)</f>
        <v>0</v>
      </c>
      <c r="O70" s="583"/>
      <c r="P70" s="584" t="str">
        <f t="shared" ref="P70:P101" si="12">IF(D70=0,"N/A",+E70/D70)</f>
        <v>N/A</v>
      </c>
      <c r="Q70" s="584" t="str">
        <f t="shared" ref="Q70:Q101" si="13">IF(D70=0,"N/A",+F70/D70)</f>
        <v>N/A</v>
      </c>
      <c r="S70" s="564">
        <v>0</v>
      </c>
      <c r="T70" s="564">
        <v>0</v>
      </c>
      <c r="U70" s="564">
        <v>0</v>
      </c>
      <c r="V70" s="564">
        <v>0</v>
      </c>
      <c r="W70" s="564">
        <v>0</v>
      </c>
    </row>
    <row r="71" spans="1:23" x14ac:dyDescent="0.25">
      <c r="A71" s="579" t="s">
        <v>170</v>
      </c>
      <c r="B71" s="580" t="s">
        <v>171</v>
      </c>
      <c r="C71" s="586" t="s">
        <v>267</v>
      </c>
      <c r="D71" s="582">
        <f t="shared" si="10"/>
        <v>16</v>
      </c>
      <c r="E71" s="582">
        <v>11</v>
      </c>
      <c r="F71" s="582">
        <v>4</v>
      </c>
      <c r="G71" s="582">
        <v>0</v>
      </c>
      <c r="H71" s="582">
        <v>0</v>
      </c>
      <c r="I71" s="582">
        <v>0</v>
      </c>
      <c r="J71" s="582">
        <v>0</v>
      </c>
      <c r="K71" s="582">
        <v>1</v>
      </c>
      <c r="L71" s="582">
        <v>0</v>
      </c>
      <c r="M71" s="583"/>
      <c r="N71" s="583">
        <f t="shared" si="11"/>
        <v>1</v>
      </c>
      <c r="O71" s="583"/>
      <c r="P71" s="584">
        <f t="shared" si="12"/>
        <v>0.6875</v>
      </c>
      <c r="Q71" s="584">
        <f t="shared" si="13"/>
        <v>0.25</v>
      </c>
      <c r="S71" s="564">
        <v>3</v>
      </c>
      <c r="T71" s="564">
        <v>5</v>
      </c>
      <c r="U71" s="564">
        <v>4</v>
      </c>
      <c r="V71" s="564">
        <v>4</v>
      </c>
      <c r="W71" s="564">
        <v>0</v>
      </c>
    </row>
    <row r="72" spans="1:23" x14ac:dyDescent="0.25">
      <c r="A72" s="585" t="s">
        <v>172</v>
      </c>
      <c r="B72" s="580" t="s">
        <v>173</v>
      </c>
      <c r="C72" s="586" t="s">
        <v>267</v>
      </c>
      <c r="D72" s="582">
        <f t="shared" si="10"/>
        <v>12</v>
      </c>
      <c r="E72" s="582">
        <v>12</v>
      </c>
      <c r="F72" s="582">
        <v>0</v>
      </c>
      <c r="G72" s="582">
        <v>0</v>
      </c>
      <c r="H72" s="582">
        <v>0</v>
      </c>
      <c r="I72" s="582">
        <v>0</v>
      </c>
      <c r="J72" s="582">
        <v>0</v>
      </c>
      <c r="K72" s="582">
        <v>0</v>
      </c>
      <c r="L72" s="582">
        <v>0</v>
      </c>
      <c r="M72" s="583"/>
      <c r="N72" s="583">
        <f t="shared" si="11"/>
        <v>0</v>
      </c>
      <c r="O72" s="583"/>
      <c r="P72" s="584">
        <f t="shared" si="12"/>
        <v>1</v>
      </c>
      <c r="Q72" s="584">
        <f t="shared" si="13"/>
        <v>0</v>
      </c>
      <c r="S72" s="564">
        <v>2</v>
      </c>
      <c r="T72" s="564">
        <v>2</v>
      </c>
      <c r="U72" s="564">
        <v>4</v>
      </c>
      <c r="V72" s="564">
        <v>4</v>
      </c>
      <c r="W72" s="564">
        <v>0</v>
      </c>
    </row>
    <row r="73" spans="1:23" x14ac:dyDescent="0.25">
      <c r="A73" s="585" t="s">
        <v>174</v>
      </c>
      <c r="B73" s="580" t="s">
        <v>175</v>
      </c>
      <c r="C73" s="586" t="s">
        <v>268</v>
      </c>
      <c r="D73" s="582">
        <f t="shared" si="10"/>
        <v>12</v>
      </c>
      <c r="E73" s="582">
        <v>12</v>
      </c>
      <c r="F73" s="582">
        <v>0</v>
      </c>
      <c r="G73" s="582">
        <v>0</v>
      </c>
      <c r="H73" s="582">
        <v>0</v>
      </c>
      <c r="I73" s="582">
        <v>0</v>
      </c>
      <c r="J73" s="582">
        <v>0</v>
      </c>
      <c r="K73" s="582">
        <v>0</v>
      </c>
      <c r="L73" s="582">
        <v>0</v>
      </c>
      <c r="M73" s="583"/>
      <c r="N73" s="583">
        <f t="shared" si="11"/>
        <v>0</v>
      </c>
      <c r="O73" s="583"/>
      <c r="P73" s="584">
        <f t="shared" si="12"/>
        <v>1</v>
      </c>
      <c r="Q73" s="584">
        <f t="shared" si="13"/>
        <v>0</v>
      </c>
      <c r="S73" s="564">
        <v>8</v>
      </c>
      <c r="T73" s="564">
        <v>2</v>
      </c>
      <c r="U73" s="564">
        <v>1</v>
      </c>
      <c r="V73" s="564">
        <v>1</v>
      </c>
      <c r="W73" s="564">
        <v>0</v>
      </c>
    </row>
    <row r="74" spans="1:23" x14ac:dyDescent="0.25">
      <c r="A74" s="579" t="s">
        <v>178</v>
      </c>
      <c r="B74" s="580" t="s">
        <v>179</v>
      </c>
      <c r="C74" s="586" t="s">
        <v>265</v>
      </c>
      <c r="D74" s="582">
        <f t="shared" si="10"/>
        <v>12</v>
      </c>
      <c r="E74" s="582">
        <v>9</v>
      </c>
      <c r="F74" s="582">
        <v>1</v>
      </c>
      <c r="G74" s="582">
        <v>0</v>
      </c>
      <c r="H74" s="582">
        <v>0</v>
      </c>
      <c r="I74" s="582">
        <v>0</v>
      </c>
      <c r="J74" s="582">
        <v>0</v>
      </c>
      <c r="K74" s="582">
        <v>2</v>
      </c>
      <c r="L74" s="582">
        <v>0</v>
      </c>
      <c r="M74" s="583"/>
      <c r="N74" s="583">
        <f t="shared" si="11"/>
        <v>2</v>
      </c>
      <c r="O74" s="583"/>
      <c r="P74" s="584">
        <f t="shared" si="12"/>
        <v>0.75</v>
      </c>
      <c r="Q74" s="584">
        <f t="shared" si="13"/>
        <v>8.3333333333333329E-2</v>
      </c>
      <c r="S74" s="564">
        <v>4</v>
      </c>
      <c r="T74" s="564">
        <v>2</v>
      </c>
      <c r="U74" s="564">
        <v>2</v>
      </c>
      <c r="V74" s="564">
        <v>4</v>
      </c>
      <c r="W74" s="564">
        <v>0</v>
      </c>
    </row>
    <row r="75" spans="1:23" x14ac:dyDescent="0.25">
      <c r="A75" s="579" t="s">
        <v>182</v>
      </c>
      <c r="B75" s="580" t="s">
        <v>183</v>
      </c>
      <c r="C75" s="586" t="s">
        <v>266</v>
      </c>
      <c r="D75" s="582">
        <f t="shared" si="10"/>
        <v>11</v>
      </c>
      <c r="E75" s="582">
        <v>9</v>
      </c>
      <c r="F75" s="582">
        <v>2</v>
      </c>
      <c r="G75" s="582">
        <v>0</v>
      </c>
      <c r="H75" s="582">
        <v>0</v>
      </c>
      <c r="I75" s="582">
        <v>0</v>
      </c>
      <c r="J75" s="582">
        <v>0</v>
      </c>
      <c r="K75" s="582">
        <v>0</v>
      </c>
      <c r="L75" s="582">
        <v>0</v>
      </c>
      <c r="M75" s="583"/>
      <c r="N75" s="583">
        <f t="shared" si="11"/>
        <v>0</v>
      </c>
      <c r="O75" s="583"/>
      <c r="P75" s="584">
        <f t="shared" si="12"/>
        <v>0.81818181818181823</v>
      </c>
      <c r="Q75" s="584">
        <f t="shared" si="13"/>
        <v>0.18181818181818182</v>
      </c>
      <c r="S75" s="564">
        <v>0</v>
      </c>
      <c r="T75" s="564">
        <v>2</v>
      </c>
      <c r="U75" s="564">
        <v>5</v>
      </c>
      <c r="V75" s="564">
        <v>4</v>
      </c>
      <c r="W75" s="564">
        <v>0</v>
      </c>
    </row>
    <row r="76" spans="1:23" x14ac:dyDescent="0.25">
      <c r="A76" s="579" t="s">
        <v>184</v>
      </c>
      <c r="B76" s="580" t="s">
        <v>185</v>
      </c>
      <c r="C76" s="586" t="s">
        <v>266</v>
      </c>
      <c r="D76" s="582">
        <f t="shared" si="10"/>
        <v>18</v>
      </c>
      <c r="E76" s="582">
        <v>11</v>
      </c>
      <c r="F76" s="582">
        <v>3</v>
      </c>
      <c r="G76" s="582">
        <v>0</v>
      </c>
      <c r="H76" s="582">
        <v>0</v>
      </c>
      <c r="I76" s="582">
        <v>0</v>
      </c>
      <c r="J76" s="582">
        <v>4</v>
      </c>
      <c r="K76" s="582">
        <v>0</v>
      </c>
      <c r="L76" s="582">
        <v>0</v>
      </c>
      <c r="M76" s="583"/>
      <c r="N76" s="583">
        <f t="shared" si="11"/>
        <v>4</v>
      </c>
      <c r="O76" s="583"/>
      <c r="P76" s="584">
        <f t="shared" si="12"/>
        <v>0.61111111111111116</v>
      </c>
      <c r="Q76" s="584">
        <f t="shared" si="13"/>
        <v>0.16666666666666666</v>
      </c>
      <c r="S76" s="564">
        <v>3</v>
      </c>
      <c r="T76" s="564">
        <v>8</v>
      </c>
      <c r="U76" s="564">
        <v>5</v>
      </c>
      <c r="V76" s="564">
        <v>2</v>
      </c>
      <c r="W76" s="564">
        <v>0</v>
      </c>
    </row>
    <row r="77" spans="1:23" x14ac:dyDescent="0.25">
      <c r="A77" s="579" t="s">
        <v>186</v>
      </c>
      <c r="B77" s="580" t="s">
        <v>187</v>
      </c>
      <c r="C77" s="586" t="s">
        <v>264</v>
      </c>
      <c r="D77" s="582">
        <f t="shared" si="10"/>
        <v>13</v>
      </c>
      <c r="E77" s="582">
        <v>9</v>
      </c>
      <c r="F77" s="582">
        <v>3</v>
      </c>
      <c r="G77" s="582">
        <v>0</v>
      </c>
      <c r="H77" s="582">
        <v>0</v>
      </c>
      <c r="I77" s="582">
        <v>0</v>
      </c>
      <c r="J77" s="582">
        <v>0</v>
      </c>
      <c r="K77" s="582">
        <v>1</v>
      </c>
      <c r="L77" s="582">
        <v>0</v>
      </c>
      <c r="M77" s="583"/>
      <c r="N77" s="583">
        <f t="shared" si="11"/>
        <v>1</v>
      </c>
      <c r="O77" s="583"/>
      <c r="P77" s="584">
        <f t="shared" si="12"/>
        <v>0.69230769230769229</v>
      </c>
      <c r="Q77" s="584">
        <f t="shared" si="13"/>
        <v>0.23076923076923078</v>
      </c>
      <c r="S77" s="564">
        <v>4</v>
      </c>
      <c r="T77" s="564">
        <v>3</v>
      </c>
      <c r="U77" s="564">
        <v>4</v>
      </c>
      <c r="V77" s="564">
        <v>2</v>
      </c>
      <c r="W77" s="564">
        <v>0</v>
      </c>
    </row>
    <row r="78" spans="1:23" x14ac:dyDescent="0.25">
      <c r="A78" s="579" t="s">
        <v>188</v>
      </c>
      <c r="B78" s="580" t="s">
        <v>189</v>
      </c>
      <c r="C78" s="586" t="s">
        <v>267</v>
      </c>
      <c r="D78" s="582">
        <f t="shared" si="10"/>
        <v>90</v>
      </c>
      <c r="E78" s="582">
        <v>22</v>
      </c>
      <c r="F78" s="582">
        <v>44</v>
      </c>
      <c r="G78" s="582">
        <v>1</v>
      </c>
      <c r="H78" s="582">
        <v>0</v>
      </c>
      <c r="I78" s="582">
        <v>0</v>
      </c>
      <c r="J78" s="582">
        <v>21</v>
      </c>
      <c r="K78" s="582">
        <v>2</v>
      </c>
      <c r="L78" s="582">
        <v>0</v>
      </c>
      <c r="M78" s="583"/>
      <c r="N78" s="583">
        <f t="shared" si="11"/>
        <v>24</v>
      </c>
      <c r="O78" s="583"/>
      <c r="P78" s="584">
        <f t="shared" si="12"/>
        <v>0.24444444444444444</v>
      </c>
      <c r="Q78" s="584">
        <f t="shared" si="13"/>
        <v>0.48888888888888887</v>
      </c>
      <c r="S78" s="564">
        <v>22</v>
      </c>
      <c r="T78" s="564">
        <v>15</v>
      </c>
      <c r="U78" s="564">
        <v>25</v>
      </c>
      <c r="V78" s="564">
        <v>28</v>
      </c>
      <c r="W78" s="564">
        <v>0</v>
      </c>
    </row>
    <row r="79" spans="1:23" x14ac:dyDescent="0.25">
      <c r="A79" s="579" t="s">
        <v>190</v>
      </c>
      <c r="B79" s="580" t="s">
        <v>191</v>
      </c>
      <c r="C79" s="586" t="s">
        <v>268</v>
      </c>
      <c r="D79" s="582">
        <f t="shared" si="10"/>
        <v>42</v>
      </c>
      <c r="E79" s="582">
        <v>32</v>
      </c>
      <c r="F79" s="582">
        <v>6</v>
      </c>
      <c r="G79" s="582">
        <v>0</v>
      </c>
      <c r="H79" s="582">
        <v>0</v>
      </c>
      <c r="I79" s="582">
        <v>0</v>
      </c>
      <c r="J79" s="582">
        <v>2</v>
      </c>
      <c r="K79" s="582">
        <v>2</v>
      </c>
      <c r="L79" s="582">
        <v>0</v>
      </c>
      <c r="M79" s="583"/>
      <c r="N79" s="583">
        <f t="shared" si="11"/>
        <v>4</v>
      </c>
      <c r="O79" s="583"/>
      <c r="P79" s="584">
        <f t="shared" si="12"/>
        <v>0.76190476190476186</v>
      </c>
      <c r="Q79" s="584">
        <f t="shared" si="13"/>
        <v>0.14285714285714285</v>
      </c>
      <c r="S79" s="564">
        <v>12</v>
      </c>
      <c r="T79" s="564">
        <v>5</v>
      </c>
      <c r="U79" s="564">
        <v>11</v>
      </c>
      <c r="V79" s="564">
        <v>14</v>
      </c>
      <c r="W79" s="564">
        <v>0</v>
      </c>
    </row>
    <row r="80" spans="1:23" x14ac:dyDescent="0.25">
      <c r="A80" s="579" t="s">
        <v>194</v>
      </c>
      <c r="B80" s="580" t="s">
        <v>195</v>
      </c>
      <c r="C80" s="586" t="s">
        <v>267</v>
      </c>
      <c r="D80" s="582">
        <f t="shared" si="10"/>
        <v>20</v>
      </c>
      <c r="E80" s="582">
        <v>13</v>
      </c>
      <c r="F80" s="582">
        <v>1</v>
      </c>
      <c r="G80" s="582">
        <v>0</v>
      </c>
      <c r="H80" s="582">
        <v>0</v>
      </c>
      <c r="I80" s="582">
        <v>0</v>
      </c>
      <c r="J80" s="582">
        <v>0</v>
      </c>
      <c r="K80" s="582">
        <v>6</v>
      </c>
      <c r="L80" s="582">
        <v>0</v>
      </c>
      <c r="M80" s="583"/>
      <c r="N80" s="583">
        <f t="shared" si="11"/>
        <v>6</v>
      </c>
      <c r="O80" s="583"/>
      <c r="P80" s="584">
        <f t="shared" si="12"/>
        <v>0.65</v>
      </c>
      <c r="Q80" s="584">
        <f t="shared" si="13"/>
        <v>0.05</v>
      </c>
      <c r="S80" s="564">
        <v>3</v>
      </c>
      <c r="T80" s="564">
        <v>3</v>
      </c>
      <c r="U80" s="564">
        <v>9</v>
      </c>
      <c r="V80" s="564">
        <v>5</v>
      </c>
      <c r="W80" s="564">
        <v>0</v>
      </c>
    </row>
    <row r="81" spans="1:23" x14ac:dyDescent="0.25">
      <c r="A81" s="579" t="s">
        <v>198</v>
      </c>
      <c r="B81" s="580" t="s">
        <v>272</v>
      </c>
      <c r="C81" s="586" t="s">
        <v>266</v>
      </c>
      <c r="D81" s="582">
        <f t="shared" si="10"/>
        <v>3</v>
      </c>
      <c r="E81" s="582">
        <v>0</v>
      </c>
      <c r="F81" s="582">
        <v>3</v>
      </c>
      <c r="G81" s="582">
        <v>0</v>
      </c>
      <c r="H81" s="582">
        <v>0</v>
      </c>
      <c r="I81" s="582">
        <v>0</v>
      </c>
      <c r="J81" s="582">
        <v>0</v>
      </c>
      <c r="K81" s="582">
        <v>0</v>
      </c>
      <c r="L81" s="582">
        <v>0</v>
      </c>
      <c r="M81" s="583"/>
      <c r="N81" s="583">
        <f t="shared" si="11"/>
        <v>0</v>
      </c>
      <c r="O81" s="583"/>
      <c r="P81" s="584">
        <f t="shared" si="12"/>
        <v>0</v>
      </c>
      <c r="Q81" s="584">
        <f t="shared" si="13"/>
        <v>1</v>
      </c>
      <c r="S81" s="564">
        <v>0</v>
      </c>
      <c r="T81" s="564">
        <v>0</v>
      </c>
      <c r="U81" s="564">
        <v>2</v>
      </c>
      <c r="V81" s="564">
        <v>1</v>
      </c>
      <c r="W81" s="564">
        <v>0</v>
      </c>
    </row>
    <row r="82" spans="1:23" x14ac:dyDescent="0.25">
      <c r="A82" s="579" t="s">
        <v>202</v>
      </c>
      <c r="B82" s="580" t="s">
        <v>283</v>
      </c>
      <c r="C82" s="586" t="s">
        <v>265</v>
      </c>
      <c r="D82" s="582">
        <f t="shared" si="10"/>
        <v>96</v>
      </c>
      <c r="E82" s="582">
        <v>69</v>
      </c>
      <c r="F82" s="582">
        <v>16</v>
      </c>
      <c r="G82" s="582">
        <v>0</v>
      </c>
      <c r="H82" s="582">
        <v>1</v>
      </c>
      <c r="I82" s="582">
        <v>0</v>
      </c>
      <c r="J82" s="582">
        <v>3</v>
      </c>
      <c r="K82" s="582">
        <v>6</v>
      </c>
      <c r="L82" s="582">
        <v>1</v>
      </c>
      <c r="M82" s="583"/>
      <c r="N82" s="583">
        <f t="shared" si="11"/>
        <v>10</v>
      </c>
      <c r="O82" s="583"/>
      <c r="P82" s="584">
        <f t="shared" si="12"/>
        <v>0.71875</v>
      </c>
      <c r="Q82" s="584">
        <f t="shared" si="13"/>
        <v>0.16666666666666666</v>
      </c>
      <c r="S82" s="564">
        <v>31</v>
      </c>
      <c r="T82" s="564">
        <v>24</v>
      </c>
      <c r="U82" s="564">
        <v>23</v>
      </c>
      <c r="V82" s="564">
        <v>18</v>
      </c>
      <c r="W82" s="564">
        <v>0</v>
      </c>
    </row>
    <row r="83" spans="1:23" x14ac:dyDescent="0.25">
      <c r="A83" s="579" t="s">
        <v>204</v>
      </c>
      <c r="B83" s="580" t="s">
        <v>284</v>
      </c>
      <c r="C83" s="586" t="s">
        <v>265</v>
      </c>
      <c r="D83" s="582">
        <f t="shared" si="10"/>
        <v>18</v>
      </c>
      <c r="E83" s="582">
        <v>15</v>
      </c>
      <c r="F83" s="582">
        <v>0</v>
      </c>
      <c r="G83" s="582">
        <v>0</v>
      </c>
      <c r="H83" s="582">
        <v>0</v>
      </c>
      <c r="I83" s="582">
        <v>0</v>
      </c>
      <c r="J83" s="582">
        <v>1</v>
      </c>
      <c r="K83" s="582">
        <v>2</v>
      </c>
      <c r="L83" s="582">
        <v>0</v>
      </c>
      <c r="M83" s="583"/>
      <c r="N83" s="583">
        <f t="shared" si="11"/>
        <v>3</v>
      </c>
      <c r="O83" s="583"/>
      <c r="P83" s="584">
        <f t="shared" si="12"/>
        <v>0.83333333333333337</v>
      </c>
      <c r="Q83" s="584">
        <f t="shared" si="13"/>
        <v>0</v>
      </c>
      <c r="S83" s="564">
        <v>9</v>
      </c>
      <c r="T83" s="564">
        <v>3</v>
      </c>
      <c r="U83" s="564">
        <v>6</v>
      </c>
      <c r="V83" s="564">
        <v>0</v>
      </c>
      <c r="W83" s="564">
        <v>0</v>
      </c>
    </row>
    <row r="84" spans="1:23" x14ac:dyDescent="0.25">
      <c r="A84" s="579" t="s">
        <v>206</v>
      </c>
      <c r="B84" s="580" t="s">
        <v>207</v>
      </c>
      <c r="C84" s="586" t="s">
        <v>267</v>
      </c>
      <c r="D84" s="582">
        <f t="shared" si="10"/>
        <v>149</v>
      </c>
      <c r="E84" s="582">
        <v>103</v>
      </c>
      <c r="F84" s="582">
        <v>15</v>
      </c>
      <c r="G84" s="582">
        <v>0</v>
      </c>
      <c r="H84" s="582">
        <v>0</v>
      </c>
      <c r="I84" s="582">
        <v>0</v>
      </c>
      <c r="J84" s="582">
        <v>22</v>
      </c>
      <c r="K84" s="582">
        <v>9</v>
      </c>
      <c r="L84" s="582">
        <v>0</v>
      </c>
      <c r="M84" s="583"/>
      <c r="N84" s="583">
        <f t="shared" si="11"/>
        <v>31</v>
      </c>
      <c r="O84" s="583"/>
      <c r="P84" s="584">
        <f t="shared" si="12"/>
        <v>0.6912751677852349</v>
      </c>
      <c r="Q84" s="584">
        <f t="shared" si="13"/>
        <v>0.10067114093959731</v>
      </c>
      <c r="S84" s="564">
        <v>40</v>
      </c>
      <c r="T84" s="564">
        <v>34</v>
      </c>
      <c r="U84" s="564">
        <v>34</v>
      </c>
      <c r="V84" s="564">
        <v>41</v>
      </c>
      <c r="W84" s="564">
        <v>0</v>
      </c>
    </row>
    <row r="85" spans="1:23" x14ac:dyDescent="0.25">
      <c r="A85" s="579" t="s">
        <v>208</v>
      </c>
      <c r="B85" s="580" t="s">
        <v>209</v>
      </c>
      <c r="C85" s="586" t="s">
        <v>268</v>
      </c>
      <c r="D85" s="582">
        <f t="shared" si="10"/>
        <v>66</v>
      </c>
      <c r="E85" s="582">
        <v>65</v>
      </c>
      <c r="F85" s="582">
        <v>0</v>
      </c>
      <c r="G85" s="582">
        <v>0</v>
      </c>
      <c r="H85" s="582">
        <v>0</v>
      </c>
      <c r="I85" s="582">
        <v>0</v>
      </c>
      <c r="J85" s="582">
        <v>1</v>
      </c>
      <c r="K85" s="582">
        <v>0</v>
      </c>
      <c r="L85" s="582">
        <v>0</v>
      </c>
      <c r="M85" s="583"/>
      <c r="N85" s="583">
        <f t="shared" si="11"/>
        <v>1</v>
      </c>
      <c r="O85" s="583"/>
      <c r="P85" s="584">
        <f t="shared" si="12"/>
        <v>0.98484848484848486</v>
      </c>
      <c r="Q85" s="584">
        <f t="shared" si="13"/>
        <v>0</v>
      </c>
      <c r="S85" s="564">
        <v>14</v>
      </c>
      <c r="T85" s="564">
        <v>13</v>
      </c>
      <c r="U85" s="564">
        <v>22</v>
      </c>
      <c r="V85" s="564">
        <v>17</v>
      </c>
      <c r="W85" s="564">
        <v>0</v>
      </c>
    </row>
    <row r="86" spans="1:23" x14ac:dyDescent="0.25">
      <c r="A86" s="585" t="s">
        <v>210</v>
      </c>
      <c r="B86" s="580" t="s">
        <v>211</v>
      </c>
      <c r="C86" s="586" t="s">
        <v>268</v>
      </c>
      <c r="D86" s="582">
        <f t="shared" si="10"/>
        <v>36</v>
      </c>
      <c r="E86" s="582">
        <v>30</v>
      </c>
      <c r="F86" s="582">
        <v>2</v>
      </c>
      <c r="G86" s="582">
        <v>0</v>
      </c>
      <c r="H86" s="582">
        <v>0</v>
      </c>
      <c r="I86" s="582">
        <v>0</v>
      </c>
      <c r="J86" s="582">
        <v>3</v>
      </c>
      <c r="K86" s="582">
        <v>1</v>
      </c>
      <c r="L86" s="582">
        <v>0</v>
      </c>
      <c r="M86" s="583"/>
      <c r="N86" s="583">
        <f t="shared" si="11"/>
        <v>4</v>
      </c>
      <c r="O86" s="583"/>
      <c r="P86" s="584">
        <f t="shared" si="12"/>
        <v>0.83333333333333337</v>
      </c>
      <c r="Q86" s="584">
        <f t="shared" si="13"/>
        <v>5.5555555555555552E-2</v>
      </c>
      <c r="S86" s="564">
        <v>6</v>
      </c>
      <c r="T86" s="564">
        <v>10</v>
      </c>
      <c r="U86" s="564">
        <v>13</v>
      </c>
      <c r="V86" s="564">
        <v>7</v>
      </c>
      <c r="W86" s="564">
        <v>0</v>
      </c>
    </row>
    <row r="87" spans="1:23" x14ac:dyDescent="0.25">
      <c r="A87" s="579" t="s">
        <v>212</v>
      </c>
      <c r="B87" s="580" t="s">
        <v>213</v>
      </c>
      <c r="C87" s="586" t="s">
        <v>267</v>
      </c>
      <c r="D87" s="582">
        <f t="shared" si="10"/>
        <v>18</v>
      </c>
      <c r="E87" s="582">
        <v>16</v>
      </c>
      <c r="F87" s="582">
        <v>0</v>
      </c>
      <c r="G87" s="582">
        <v>0</v>
      </c>
      <c r="H87" s="582">
        <v>0</v>
      </c>
      <c r="I87" s="582">
        <v>0</v>
      </c>
      <c r="J87" s="582">
        <v>1</v>
      </c>
      <c r="K87" s="582">
        <v>1</v>
      </c>
      <c r="L87" s="582">
        <v>0</v>
      </c>
      <c r="M87" s="583"/>
      <c r="N87" s="583">
        <f t="shared" si="11"/>
        <v>2</v>
      </c>
      <c r="O87" s="583"/>
      <c r="P87" s="584">
        <f t="shared" si="12"/>
        <v>0.88888888888888884</v>
      </c>
      <c r="Q87" s="584">
        <f t="shared" si="13"/>
        <v>0</v>
      </c>
      <c r="S87" s="564">
        <v>5</v>
      </c>
      <c r="T87" s="564">
        <v>5</v>
      </c>
      <c r="U87" s="564">
        <v>4</v>
      </c>
      <c r="V87" s="564">
        <v>4</v>
      </c>
      <c r="W87" s="564">
        <v>0</v>
      </c>
    </row>
    <row r="88" spans="1:23" x14ac:dyDescent="0.25">
      <c r="A88" s="579" t="s">
        <v>214</v>
      </c>
      <c r="B88" s="580" t="s">
        <v>215</v>
      </c>
      <c r="C88" s="586" t="s">
        <v>268</v>
      </c>
      <c r="D88" s="582">
        <f t="shared" si="10"/>
        <v>27</v>
      </c>
      <c r="E88" s="582">
        <v>21</v>
      </c>
      <c r="F88" s="582">
        <v>0</v>
      </c>
      <c r="G88" s="582">
        <v>0</v>
      </c>
      <c r="H88" s="582">
        <v>0</v>
      </c>
      <c r="I88" s="582">
        <v>0</v>
      </c>
      <c r="J88" s="582">
        <v>2</v>
      </c>
      <c r="K88" s="582">
        <v>4</v>
      </c>
      <c r="L88" s="582">
        <v>0</v>
      </c>
      <c r="M88" s="583"/>
      <c r="N88" s="583">
        <f t="shared" si="11"/>
        <v>6</v>
      </c>
      <c r="O88" s="583"/>
      <c r="P88" s="584">
        <f t="shared" si="12"/>
        <v>0.77777777777777779</v>
      </c>
      <c r="Q88" s="584">
        <f t="shared" si="13"/>
        <v>0</v>
      </c>
      <c r="S88" s="564">
        <v>12</v>
      </c>
      <c r="T88" s="564">
        <v>6</v>
      </c>
      <c r="U88" s="564">
        <v>8</v>
      </c>
      <c r="V88" s="564">
        <v>1</v>
      </c>
      <c r="W88" s="564">
        <v>0</v>
      </c>
    </row>
    <row r="89" spans="1:23" x14ac:dyDescent="0.25">
      <c r="A89" s="579" t="s">
        <v>216</v>
      </c>
      <c r="B89" s="580" t="s">
        <v>217</v>
      </c>
      <c r="C89" s="586" t="s">
        <v>264</v>
      </c>
      <c r="D89" s="582">
        <f t="shared" si="10"/>
        <v>4</v>
      </c>
      <c r="E89" s="582">
        <v>3</v>
      </c>
      <c r="F89" s="582">
        <v>1</v>
      </c>
      <c r="G89" s="582">
        <v>0</v>
      </c>
      <c r="H89" s="582">
        <v>0</v>
      </c>
      <c r="I89" s="582">
        <v>0</v>
      </c>
      <c r="J89" s="582">
        <v>0</v>
      </c>
      <c r="K89" s="582">
        <v>0</v>
      </c>
      <c r="L89" s="582">
        <v>0</v>
      </c>
      <c r="M89" s="583"/>
      <c r="N89" s="583">
        <f t="shared" si="11"/>
        <v>0</v>
      </c>
      <c r="O89" s="583"/>
      <c r="P89" s="584">
        <f t="shared" si="12"/>
        <v>0.75</v>
      </c>
      <c r="Q89" s="584">
        <f t="shared" si="13"/>
        <v>0.25</v>
      </c>
      <c r="S89" s="564">
        <v>0</v>
      </c>
      <c r="T89" s="564">
        <v>0</v>
      </c>
      <c r="U89" s="564">
        <v>1</v>
      </c>
      <c r="V89" s="564">
        <v>3</v>
      </c>
      <c r="W89" s="564">
        <v>0</v>
      </c>
    </row>
    <row r="90" spans="1:23" x14ac:dyDescent="0.25">
      <c r="A90" s="579" t="s">
        <v>218</v>
      </c>
      <c r="B90" s="580" t="s">
        <v>219</v>
      </c>
      <c r="C90" s="586" t="s">
        <v>267</v>
      </c>
      <c r="D90" s="582">
        <f t="shared" si="10"/>
        <v>74</v>
      </c>
      <c r="E90" s="582">
        <v>37</v>
      </c>
      <c r="F90" s="582">
        <v>19</v>
      </c>
      <c r="G90" s="582">
        <v>0</v>
      </c>
      <c r="H90" s="582">
        <v>0</v>
      </c>
      <c r="I90" s="582">
        <v>0</v>
      </c>
      <c r="J90" s="582">
        <v>3</v>
      </c>
      <c r="K90" s="582">
        <v>14</v>
      </c>
      <c r="L90" s="582">
        <v>1</v>
      </c>
      <c r="M90" s="583"/>
      <c r="N90" s="583">
        <f t="shared" si="11"/>
        <v>17</v>
      </c>
      <c r="O90" s="583"/>
      <c r="P90" s="584">
        <f t="shared" si="12"/>
        <v>0.5</v>
      </c>
      <c r="Q90" s="584">
        <f t="shared" si="13"/>
        <v>0.25675675675675674</v>
      </c>
      <c r="S90" s="564">
        <v>23</v>
      </c>
      <c r="T90" s="564">
        <v>17</v>
      </c>
      <c r="U90" s="564">
        <v>18</v>
      </c>
      <c r="V90" s="564">
        <v>16</v>
      </c>
      <c r="W90" s="564">
        <v>0</v>
      </c>
    </row>
    <row r="91" spans="1:23" x14ac:dyDescent="0.25">
      <c r="A91" s="579" t="s">
        <v>220</v>
      </c>
      <c r="B91" s="580" t="s">
        <v>221</v>
      </c>
      <c r="C91" s="586" t="s">
        <v>267</v>
      </c>
      <c r="D91" s="582">
        <f t="shared" si="10"/>
        <v>25</v>
      </c>
      <c r="E91" s="582">
        <v>13</v>
      </c>
      <c r="F91" s="582">
        <v>6</v>
      </c>
      <c r="G91" s="582">
        <v>0</v>
      </c>
      <c r="H91" s="582">
        <v>0</v>
      </c>
      <c r="I91" s="582">
        <v>0</v>
      </c>
      <c r="J91" s="582">
        <v>1</v>
      </c>
      <c r="K91" s="582">
        <v>3</v>
      </c>
      <c r="L91" s="582">
        <v>2</v>
      </c>
      <c r="M91" s="583"/>
      <c r="N91" s="583">
        <f t="shared" si="11"/>
        <v>4</v>
      </c>
      <c r="O91" s="583"/>
      <c r="P91" s="584">
        <f t="shared" si="12"/>
        <v>0.52</v>
      </c>
      <c r="Q91" s="584">
        <f t="shared" si="13"/>
        <v>0.24</v>
      </c>
      <c r="S91" s="564">
        <v>14</v>
      </c>
      <c r="T91" s="564">
        <v>3</v>
      </c>
      <c r="U91" s="564">
        <v>6</v>
      </c>
      <c r="V91" s="564">
        <v>2</v>
      </c>
      <c r="W91" s="564">
        <v>0</v>
      </c>
    </row>
    <row r="92" spans="1:23" x14ac:dyDescent="0.25">
      <c r="A92" s="585" t="s">
        <v>224</v>
      </c>
      <c r="B92" s="580" t="s">
        <v>225</v>
      </c>
      <c r="C92" s="586" t="s">
        <v>264</v>
      </c>
      <c r="D92" s="582">
        <f t="shared" si="10"/>
        <v>0</v>
      </c>
      <c r="E92" s="582">
        <v>0</v>
      </c>
      <c r="F92" s="582">
        <v>0</v>
      </c>
      <c r="G92" s="582">
        <v>0</v>
      </c>
      <c r="H92" s="582">
        <v>0</v>
      </c>
      <c r="I92" s="582">
        <v>0</v>
      </c>
      <c r="J92" s="582">
        <v>0</v>
      </c>
      <c r="K92" s="582">
        <v>0</v>
      </c>
      <c r="L92" s="582">
        <v>0</v>
      </c>
      <c r="M92" s="583"/>
      <c r="N92" s="583">
        <f t="shared" si="11"/>
        <v>0</v>
      </c>
      <c r="O92" s="583"/>
      <c r="P92" s="584" t="str">
        <f t="shared" si="12"/>
        <v>N/A</v>
      </c>
      <c r="Q92" s="584" t="str">
        <f t="shared" si="13"/>
        <v>N/A</v>
      </c>
      <c r="S92" s="564">
        <v>0</v>
      </c>
      <c r="T92" s="564">
        <v>0</v>
      </c>
      <c r="U92" s="564">
        <v>0</v>
      </c>
      <c r="V92" s="564">
        <v>0</v>
      </c>
      <c r="W92" s="564">
        <v>0</v>
      </c>
    </row>
    <row r="93" spans="1:23" x14ac:dyDescent="0.25">
      <c r="A93" s="579" t="s">
        <v>226</v>
      </c>
      <c r="B93" s="580" t="s">
        <v>227</v>
      </c>
      <c r="C93" s="586" t="s">
        <v>264</v>
      </c>
      <c r="D93" s="582">
        <f t="shared" si="10"/>
        <v>5</v>
      </c>
      <c r="E93" s="582">
        <v>1</v>
      </c>
      <c r="F93" s="582">
        <v>1</v>
      </c>
      <c r="G93" s="582">
        <v>0</v>
      </c>
      <c r="H93" s="582">
        <v>0</v>
      </c>
      <c r="I93" s="582">
        <v>0</v>
      </c>
      <c r="J93" s="582">
        <v>0</v>
      </c>
      <c r="K93" s="582">
        <v>3</v>
      </c>
      <c r="L93" s="582">
        <v>0</v>
      </c>
      <c r="M93" s="583"/>
      <c r="N93" s="583">
        <f t="shared" si="11"/>
        <v>3</v>
      </c>
      <c r="O93" s="583"/>
      <c r="P93" s="584">
        <f t="shared" si="12"/>
        <v>0.2</v>
      </c>
      <c r="Q93" s="584">
        <f t="shared" si="13"/>
        <v>0.2</v>
      </c>
      <c r="S93" s="564">
        <v>3</v>
      </c>
      <c r="T93" s="564">
        <v>1</v>
      </c>
      <c r="U93" s="564">
        <v>0</v>
      </c>
      <c r="V93" s="564">
        <v>1</v>
      </c>
      <c r="W93" s="564">
        <v>0</v>
      </c>
    </row>
    <row r="94" spans="1:23" x14ac:dyDescent="0.25">
      <c r="A94" s="579" t="s">
        <v>228</v>
      </c>
      <c r="B94" s="580" t="s">
        <v>229</v>
      </c>
      <c r="C94" s="586" t="s">
        <v>268</v>
      </c>
      <c r="D94" s="582">
        <f t="shared" si="10"/>
        <v>45</v>
      </c>
      <c r="E94" s="582">
        <v>43</v>
      </c>
      <c r="F94" s="582">
        <v>0</v>
      </c>
      <c r="G94" s="582">
        <v>0</v>
      </c>
      <c r="H94" s="582">
        <v>0</v>
      </c>
      <c r="I94" s="582">
        <v>0</v>
      </c>
      <c r="J94" s="582">
        <v>1</v>
      </c>
      <c r="K94" s="582">
        <v>1</v>
      </c>
      <c r="L94" s="582">
        <v>0</v>
      </c>
      <c r="M94" s="583"/>
      <c r="N94" s="583">
        <f t="shared" si="11"/>
        <v>2</v>
      </c>
      <c r="O94" s="583"/>
      <c r="P94" s="584">
        <f t="shared" si="12"/>
        <v>0.9555555555555556</v>
      </c>
      <c r="Q94" s="584">
        <f t="shared" si="13"/>
        <v>0</v>
      </c>
      <c r="S94" s="564">
        <v>16</v>
      </c>
      <c r="T94" s="564">
        <v>5</v>
      </c>
      <c r="U94" s="564">
        <v>12</v>
      </c>
      <c r="V94" s="564">
        <v>12</v>
      </c>
      <c r="W94" s="564">
        <v>0</v>
      </c>
    </row>
    <row r="95" spans="1:23" x14ac:dyDescent="0.25">
      <c r="A95" s="579" t="s">
        <v>232</v>
      </c>
      <c r="B95" s="580" t="s">
        <v>233</v>
      </c>
      <c r="C95" s="586" t="s">
        <v>267</v>
      </c>
      <c r="D95" s="582">
        <f t="shared" si="10"/>
        <v>15</v>
      </c>
      <c r="E95" s="582">
        <v>9</v>
      </c>
      <c r="F95" s="582">
        <v>3</v>
      </c>
      <c r="G95" s="582">
        <v>0</v>
      </c>
      <c r="H95" s="582">
        <v>0</v>
      </c>
      <c r="I95" s="582">
        <v>0</v>
      </c>
      <c r="J95" s="582">
        <v>0</v>
      </c>
      <c r="K95" s="582">
        <v>3</v>
      </c>
      <c r="L95" s="582">
        <v>0</v>
      </c>
      <c r="M95" s="583"/>
      <c r="N95" s="583">
        <f t="shared" si="11"/>
        <v>3</v>
      </c>
      <c r="O95" s="583"/>
      <c r="P95" s="584">
        <f t="shared" si="12"/>
        <v>0.6</v>
      </c>
      <c r="Q95" s="584">
        <f t="shared" si="13"/>
        <v>0.2</v>
      </c>
      <c r="S95" s="564">
        <v>4</v>
      </c>
      <c r="T95" s="564">
        <v>1</v>
      </c>
      <c r="U95" s="564">
        <v>3</v>
      </c>
      <c r="V95" s="564">
        <v>7</v>
      </c>
      <c r="W95" s="564">
        <v>0</v>
      </c>
    </row>
    <row r="96" spans="1:23" x14ac:dyDescent="0.25">
      <c r="A96" s="579" t="s">
        <v>234</v>
      </c>
      <c r="B96" s="580" t="s">
        <v>235</v>
      </c>
      <c r="C96" s="586" t="s">
        <v>268</v>
      </c>
      <c r="D96" s="582">
        <f t="shared" si="10"/>
        <v>38</v>
      </c>
      <c r="E96" s="582">
        <v>31</v>
      </c>
      <c r="F96" s="582">
        <v>1</v>
      </c>
      <c r="G96" s="582">
        <v>0</v>
      </c>
      <c r="H96" s="582">
        <v>0</v>
      </c>
      <c r="I96" s="582">
        <v>0</v>
      </c>
      <c r="J96" s="582">
        <v>5</v>
      </c>
      <c r="K96" s="582">
        <v>0</v>
      </c>
      <c r="L96" s="582">
        <v>1</v>
      </c>
      <c r="M96" s="583"/>
      <c r="N96" s="583">
        <f t="shared" si="11"/>
        <v>5</v>
      </c>
      <c r="O96" s="583"/>
      <c r="P96" s="584">
        <f t="shared" si="12"/>
        <v>0.81578947368421051</v>
      </c>
      <c r="Q96" s="584">
        <f t="shared" si="13"/>
        <v>2.6315789473684209E-2</v>
      </c>
      <c r="S96" s="564">
        <v>12</v>
      </c>
      <c r="T96" s="564">
        <v>7</v>
      </c>
      <c r="U96" s="564">
        <v>14</v>
      </c>
      <c r="V96" s="564">
        <v>5</v>
      </c>
      <c r="W96" s="564">
        <v>0</v>
      </c>
    </row>
    <row r="97" spans="1:23" x14ac:dyDescent="0.25">
      <c r="A97" s="579" t="s">
        <v>236</v>
      </c>
      <c r="B97" s="580" t="s">
        <v>237</v>
      </c>
      <c r="C97" s="586" t="s">
        <v>266</v>
      </c>
      <c r="D97" s="582">
        <f t="shared" si="10"/>
        <v>3</v>
      </c>
      <c r="E97" s="582">
        <v>2</v>
      </c>
      <c r="F97" s="582">
        <v>1</v>
      </c>
      <c r="G97" s="582">
        <v>0</v>
      </c>
      <c r="H97" s="582">
        <v>0</v>
      </c>
      <c r="I97" s="582">
        <v>0</v>
      </c>
      <c r="J97" s="582">
        <v>0</v>
      </c>
      <c r="K97" s="582">
        <v>0</v>
      </c>
      <c r="L97" s="582">
        <v>0</v>
      </c>
      <c r="M97" s="583"/>
      <c r="N97" s="583">
        <f t="shared" si="11"/>
        <v>0</v>
      </c>
      <c r="O97" s="583"/>
      <c r="P97" s="584">
        <f t="shared" si="12"/>
        <v>0.66666666666666663</v>
      </c>
      <c r="Q97" s="584">
        <f t="shared" si="13"/>
        <v>0.33333333333333331</v>
      </c>
      <c r="S97" s="564">
        <v>0</v>
      </c>
      <c r="T97" s="564">
        <v>0</v>
      </c>
      <c r="U97" s="564">
        <v>0</v>
      </c>
      <c r="V97" s="564">
        <v>3</v>
      </c>
      <c r="W97" s="564">
        <v>0</v>
      </c>
    </row>
    <row r="98" spans="1:23" x14ac:dyDescent="0.25">
      <c r="A98" s="579" t="s">
        <v>242</v>
      </c>
      <c r="B98" s="580" t="s">
        <v>243</v>
      </c>
      <c r="C98" s="586" t="s">
        <v>268</v>
      </c>
      <c r="D98" s="582">
        <f t="shared" si="10"/>
        <v>97</v>
      </c>
      <c r="E98" s="582">
        <v>83</v>
      </c>
      <c r="F98" s="582">
        <v>2</v>
      </c>
      <c r="G98" s="582">
        <v>0</v>
      </c>
      <c r="H98" s="582">
        <v>0</v>
      </c>
      <c r="I98" s="582">
        <v>0</v>
      </c>
      <c r="J98" s="582">
        <v>2</v>
      </c>
      <c r="K98" s="582">
        <v>10</v>
      </c>
      <c r="L98" s="582">
        <v>0</v>
      </c>
      <c r="M98" s="583"/>
      <c r="N98" s="583">
        <f t="shared" si="11"/>
        <v>12</v>
      </c>
      <c r="O98" s="583"/>
      <c r="P98" s="584">
        <f t="shared" si="12"/>
        <v>0.85567010309278346</v>
      </c>
      <c r="Q98" s="584">
        <f t="shared" si="13"/>
        <v>2.0618556701030927E-2</v>
      </c>
      <c r="S98" s="564">
        <v>40</v>
      </c>
      <c r="T98" s="564">
        <v>23</v>
      </c>
      <c r="U98" s="564">
        <v>21</v>
      </c>
      <c r="V98" s="564">
        <v>13</v>
      </c>
      <c r="W98" s="564">
        <v>0</v>
      </c>
    </row>
    <row r="99" spans="1:23" x14ac:dyDescent="0.25">
      <c r="A99" s="579" t="s">
        <v>244</v>
      </c>
      <c r="B99" s="580" t="s">
        <v>245</v>
      </c>
      <c r="C99" s="586" t="s">
        <v>268</v>
      </c>
      <c r="D99" s="582">
        <f t="shared" si="10"/>
        <v>30</v>
      </c>
      <c r="E99" s="582">
        <v>24</v>
      </c>
      <c r="F99" s="582">
        <v>1</v>
      </c>
      <c r="G99" s="582">
        <v>0</v>
      </c>
      <c r="H99" s="582">
        <v>0</v>
      </c>
      <c r="I99" s="582">
        <v>0</v>
      </c>
      <c r="J99" s="582">
        <v>2</v>
      </c>
      <c r="K99" s="582">
        <v>2</v>
      </c>
      <c r="L99" s="582">
        <v>1</v>
      </c>
      <c r="M99" s="583"/>
      <c r="N99" s="583">
        <f t="shared" si="11"/>
        <v>4</v>
      </c>
      <c r="O99" s="583"/>
      <c r="P99" s="584">
        <f t="shared" si="12"/>
        <v>0.8</v>
      </c>
      <c r="Q99" s="584">
        <f t="shared" si="13"/>
        <v>3.3333333333333333E-2</v>
      </c>
      <c r="S99" s="564">
        <v>9</v>
      </c>
      <c r="T99" s="564">
        <v>8</v>
      </c>
      <c r="U99" s="564">
        <v>6</v>
      </c>
      <c r="V99" s="564">
        <v>7</v>
      </c>
      <c r="W99" s="564">
        <v>0</v>
      </c>
    </row>
    <row r="100" spans="1:23" x14ac:dyDescent="0.25">
      <c r="A100" s="1142" t="s">
        <v>246</v>
      </c>
      <c r="B100" s="1143" t="s">
        <v>247</v>
      </c>
      <c r="C100" s="586" t="s">
        <v>264</v>
      </c>
      <c r="D100" s="1144">
        <f t="shared" si="10"/>
        <v>9</v>
      </c>
      <c r="E100" s="1144">
        <v>7</v>
      </c>
      <c r="F100" s="1144">
        <v>1</v>
      </c>
      <c r="G100" s="1144">
        <v>0</v>
      </c>
      <c r="H100" s="1144">
        <v>0</v>
      </c>
      <c r="I100" s="1144">
        <v>0</v>
      </c>
      <c r="J100" s="1144">
        <v>1</v>
      </c>
      <c r="K100" s="1144">
        <v>0</v>
      </c>
      <c r="L100" s="1144">
        <v>0</v>
      </c>
      <c r="M100" s="1145"/>
      <c r="N100" s="583">
        <f t="shared" si="11"/>
        <v>1</v>
      </c>
      <c r="O100" s="1145"/>
      <c r="P100" s="584">
        <f t="shared" si="12"/>
        <v>0.77777777777777779</v>
      </c>
      <c r="Q100" s="584">
        <f t="shared" si="13"/>
        <v>0.1111111111111111</v>
      </c>
      <c r="S100" s="564">
        <v>0</v>
      </c>
      <c r="T100" s="564">
        <v>0</v>
      </c>
      <c r="U100" s="564">
        <v>6</v>
      </c>
      <c r="V100" s="564">
        <v>3</v>
      </c>
      <c r="W100" s="564">
        <v>0</v>
      </c>
    </row>
    <row r="101" spans="1:23" x14ac:dyDescent="0.25">
      <c r="A101" s="579" t="s">
        <v>14</v>
      </c>
      <c r="B101" s="580" t="s">
        <v>15</v>
      </c>
      <c r="C101" s="586" t="s">
        <v>267</v>
      </c>
      <c r="D101" s="582">
        <f t="shared" si="10"/>
        <v>92</v>
      </c>
      <c r="E101" s="582">
        <v>5</v>
      </c>
      <c r="F101" s="582">
        <v>57</v>
      </c>
      <c r="G101" s="582">
        <v>0</v>
      </c>
      <c r="H101" s="582">
        <v>1</v>
      </c>
      <c r="I101" s="582">
        <v>0</v>
      </c>
      <c r="J101" s="582">
        <v>21</v>
      </c>
      <c r="K101" s="582">
        <v>8</v>
      </c>
      <c r="L101" s="582">
        <v>0</v>
      </c>
      <c r="M101" s="583"/>
      <c r="N101" s="583">
        <f t="shared" si="11"/>
        <v>30</v>
      </c>
      <c r="O101" s="583"/>
      <c r="P101" s="584">
        <f t="shared" si="12"/>
        <v>5.434782608695652E-2</v>
      </c>
      <c r="Q101" s="584">
        <f t="shared" si="13"/>
        <v>0.61956521739130432</v>
      </c>
      <c r="S101" s="564">
        <v>40</v>
      </c>
      <c r="T101" s="564">
        <v>17</v>
      </c>
      <c r="U101" s="564">
        <v>18</v>
      </c>
      <c r="V101" s="564">
        <v>17</v>
      </c>
      <c r="W101" s="564">
        <v>0</v>
      </c>
    </row>
    <row r="102" spans="1:23" x14ac:dyDescent="0.25">
      <c r="A102" s="579" t="s">
        <v>34</v>
      </c>
      <c r="B102" s="580" t="s">
        <v>35</v>
      </c>
      <c r="C102" s="586" t="s">
        <v>268</v>
      </c>
      <c r="D102" s="582">
        <f t="shared" ref="D102:D125" si="14">SUM(E102:L102)</f>
        <v>53</v>
      </c>
      <c r="E102" s="582">
        <v>40</v>
      </c>
      <c r="F102" s="582">
        <v>6</v>
      </c>
      <c r="G102" s="582">
        <v>0</v>
      </c>
      <c r="H102" s="582">
        <v>0</v>
      </c>
      <c r="I102" s="582">
        <v>0</v>
      </c>
      <c r="J102" s="582">
        <v>1</v>
      </c>
      <c r="K102" s="582">
        <v>5</v>
      </c>
      <c r="L102" s="582">
        <v>1</v>
      </c>
      <c r="M102" s="583"/>
      <c r="N102" s="583">
        <f t="shared" ref="N102:N125" si="15">SUM(G102:K102)</f>
        <v>6</v>
      </c>
      <c r="O102" s="583"/>
      <c r="P102" s="584">
        <f t="shared" ref="P102:P125" si="16">IF(D102=0,"N/A",+E102/D102)</f>
        <v>0.75471698113207553</v>
      </c>
      <c r="Q102" s="584">
        <f t="shared" ref="Q102:Q125" si="17">IF(D102=0,"N/A",+F102/D102)</f>
        <v>0.11320754716981132</v>
      </c>
      <c r="S102" s="564">
        <v>9</v>
      </c>
      <c r="T102" s="564">
        <v>12</v>
      </c>
      <c r="U102" s="564">
        <v>13</v>
      </c>
      <c r="V102" s="564">
        <v>19</v>
      </c>
      <c r="W102" s="564">
        <v>0</v>
      </c>
    </row>
    <row r="103" spans="1:23" x14ac:dyDescent="0.25">
      <c r="A103" s="579" t="s">
        <v>52</v>
      </c>
      <c r="B103" s="580" t="s">
        <v>53</v>
      </c>
      <c r="C103" s="586" t="s">
        <v>265</v>
      </c>
      <c r="D103" s="582">
        <f t="shared" si="14"/>
        <v>93</v>
      </c>
      <c r="E103" s="582">
        <v>14</v>
      </c>
      <c r="F103" s="582">
        <v>53</v>
      </c>
      <c r="G103" s="582">
        <v>1</v>
      </c>
      <c r="H103" s="582">
        <v>0</v>
      </c>
      <c r="I103" s="582">
        <v>0</v>
      </c>
      <c r="J103" s="582">
        <v>7</v>
      </c>
      <c r="K103" s="582">
        <v>17</v>
      </c>
      <c r="L103" s="582">
        <v>1</v>
      </c>
      <c r="M103" s="583"/>
      <c r="N103" s="583">
        <f t="shared" si="15"/>
        <v>25</v>
      </c>
      <c r="O103" s="583"/>
      <c r="P103" s="584">
        <f t="shared" si="16"/>
        <v>0.15053763440860216</v>
      </c>
      <c r="Q103" s="584">
        <f t="shared" si="17"/>
        <v>0.56989247311827962</v>
      </c>
      <c r="S103" s="564">
        <v>27</v>
      </c>
      <c r="T103" s="564">
        <v>21</v>
      </c>
      <c r="U103" s="564">
        <v>25</v>
      </c>
      <c r="V103" s="564">
        <v>20</v>
      </c>
      <c r="W103" s="564">
        <v>0</v>
      </c>
    </row>
    <row r="104" spans="1:23" x14ac:dyDescent="0.25">
      <c r="A104" s="579" t="s">
        <v>54</v>
      </c>
      <c r="B104" s="580" t="s">
        <v>55</v>
      </c>
      <c r="C104" s="586" t="s">
        <v>264</v>
      </c>
      <c r="D104" s="582">
        <f t="shared" si="14"/>
        <v>67</v>
      </c>
      <c r="E104" s="582">
        <v>34</v>
      </c>
      <c r="F104" s="582">
        <v>26</v>
      </c>
      <c r="G104" s="582">
        <v>0</v>
      </c>
      <c r="H104" s="582">
        <v>0</v>
      </c>
      <c r="I104" s="582">
        <v>0</v>
      </c>
      <c r="J104" s="582">
        <v>2</v>
      </c>
      <c r="K104" s="582">
        <v>5</v>
      </c>
      <c r="L104" s="582">
        <v>0</v>
      </c>
      <c r="M104" s="583"/>
      <c r="N104" s="583">
        <f t="shared" si="15"/>
        <v>7</v>
      </c>
      <c r="O104" s="583"/>
      <c r="P104" s="584">
        <f t="shared" si="16"/>
        <v>0.5074626865671642</v>
      </c>
      <c r="Q104" s="584">
        <f t="shared" si="17"/>
        <v>0.38805970149253732</v>
      </c>
      <c r="S104" s="564">
        <v>13</v>
      </c>
      <c r="T104" s="564">
        <v>23</v>
      </c>
      <c r="U104" s="564">
        <v>19</v>
      </c>
      <c r="V104" s="564">
        <v>12</v>
      </c>
      <c r="W104" s="564">
        <v>0</v>
      </c>
    </row>
    <row r="105" spans="1:23" x14ac:dyDescent="0.25">
      <c r="A105" s="579" t="s">
        <v>66</v>
      </c>
      <c r="B105" s="580" t="s">
        <v>67</v>
      </c>
      <c r="C105" s="586" t="s">
        <v>265</v>
      </c>
      <c r="D105" s="582">
        <f t="shared" si="14"/>
        <v>46</v>
      </c>
      <c r="E105" s="582">
        <v>6</v>
      </c>
      <c r="F105" s="582">
        <v>27</v>
      </c>
      <c r="G105" s="582">
        <v>0</v>
      </c>
      <c r="H105" s="582">
        <v>0</v>
      </c>
      <c r="I105" s="582">
        <v>0</v>
      </c>
      <c r="J105" s="582">
        <v>2</v>
      </c>
      <c r="K105" s="582">
        <v>11</v>
      </c>
      <c r="L105" s="582">
        <v>0</v>
      </c>
      <c r="M105" s="583"/>
      <c r="N105" s="583">
        <f t="shared" si="15"/>
        <v>13</v>
      </c>
      <c r="O105" s="583"/>
      <c r="P105" s="584">
        <f t="shared" si="16"/>
        <v>0.13043478260869565</v>
      </c>
      <c r="Q105" s="584">
        <f t="shared" si="17"/>
        <v>0.58695652173913049</v>
      </c>
      <c r="S105" s="564">
        <v>9</v>
      </c>
      <c r="T105" s="564">
        <v>8</v>
      </c>
      <c r="U105" s="564">
        <v>15</v>
      </c>
      <c r="V105" s="564">
        <v>14</v>
      </c>
      <c r="W105" s="564">
        <v>0</v>
      </c>
    </row>
    <row r="106" spans="1:23" x14ac:dyDescent="0.25">
      <c r="A106" s="579" t="s">
        <v>82</v>
      </c>
      <c r="B106" s="580" t="s">
        <v>83</v>
      </c>
      <c r="C106" s="586" t="s">
        <v>264</v>
      </c>
      <c r="D106" s="582">
        <f t="shared" si="14"/>
        <v>4</v>
      </c>
      <c r="E106" s="582">
        <v>2</v>
      </c>
      <c r="F106" s="582">
        <v>1</v>
      </c>
      <c r="G106" s="582">
        <v>0</v>
      </c>
      <c r="H106" s="582">
        <v>0</v>
      </c>
      <c r="I106" s="582">
        <v>0</v>
      </c>
      <c r="J106" s="582">
        <v>0</v>
      </c>
      <c r="K106" s="582">
        <v>1</v>
      </c>
      <c r="L106" s="582">
        <v>0</v>
      </c>
      <c r="M106" s="583"/>
      <c r="N106" s="583">
        <f t="shared" si="15"/>
        <v>1</v>
      </c>
      <c r="O106" s="583"/>
      <c r="P106" s="584">
        <f t="shared" si="16"/>
        <v>0.5</v>
      </c>
      <c r="Q106" s="584">
        <f t="shared" si="17"/>
        <v>0.25</v>
      </c>
      <c r="S106" s="564">
        <v>0</v>
      </c>
      <c r="T106" s="564">
        <v>1</v>
      </c>
      <c r="U106" s="564">
        <v>3</v>
      </c>
      <c r="V106" s="564">
        <v>0</v>
      </c>
      <c r="W106" s="564">
        <v>0</v>
      </c>
    </row>
    <row r="107" spans="1:23" x14ac:dyDescent="0.25">
      <c r="A107" s="579" t="s">
        <v>88</v>
      </c>
      <c r="B107" s="580" t="s">
        <v>89</v>
      </c>
      <c r="C107" s="586" t="s">
        <v>267</v>
      </c>
      <c r="D107" s="582">
        <f t="shared" si="14"/>
        <v>19</v>
      </c>
      <c r="E107" s="582">
        <v>9</v>
      </c>
      <c r="F107" s="582">
        <v>8</v>
      </c>
      <c r="G107" s="582">
        <v>0</v>
      </c>
      <c r="H107" s="582">
        <v>0</v>
      </c>
      <c r="I107" s="582">
        <v>0</v>
      </c>
      <c r="J107" s="582">
        <v>0</v>
      </c>
      <c r="K107" s="582">
        <v>2</v>
      </c>
      <c r="L107" s="582">
        <v>0</v>
      </c>
      <c r="M107" s="583"/>
      <c r="N107" s="583">
        <f t="shared" si="15"/>
        <v>2</v>
      </c>
      <c r="O107" s="583"/>
      <c r="P107" s="584">
        <f t="shared" si="16"/>
        <v>0.47368421052631576</v>
      </c>
      <c r="Q107" s="584">
        <f t="shared" si="17"/>
        <v>0.42105263157894735</v>
      </c>
      <c r="S107" s="564">
        <v>14</v>
      </c>
      <c r="T107" s="564">
        <v>1</v>
      </c>
      <c r="U107" s="564">
        <v>2</v>
      </c>
      <c r="V107" s="564">
        <v>2</v>
      </c>
      <c r="W107" s="564">
        <v>0</v>
      </c>
    </row>
    <row r="108" spans="1:23" x14ac:dyDescent="0.25">
      <c r="A108" s="585" t="s">
        <v>90</v>
      </c>
      <c r="B108" s="580" t="s">
        <v>91</v>
      </c>
      <c r="C108" s="586" t="s">
        <v>268</v>
      </c>
      <c r="D108" s="582">
        <f t="shared" si="14"/>
        <v>0</v>
      </c>
      <c r="E108" s="582">
        <v>0</v>
      </c>
      <c r="F108" s="582">
        <v>0</v>
      </c>
      <c r="G108" s="582">
        <v>0</v>
      </c>
      <c r="H108" s="582">
        <v>0</v>
      </c>
      <c r="I108" s="582">
        <v>0</v>
      </c>
      <c r="J108" s="582">
        <v>0</v>
      </c>
      <c r="K108" s="582">
        <v>0</v>
      </c>
      <c r="L108" s="582">
        <v>0</v>
      </c>
      <c r="M108" s="583"/>
      <c r="N108" s="583">
        <f t="shared" si="15"/>
        <v>0</v>
      </c>
      <c r="O108" s="583"/>
      <c r="P108" s="584" t="str">
        <f t="shared" si="16"/>
        <v>N/A</v>
      </c>
      <c r="Q108" s="584" t="str">
        <f t="shared" si="17"/>
        <v>N/A</v>
      </c>
      <c r="S108" s="564">
        <v>0</v>
      </c>
      <c r="T108" s="564">
        <v>0</v>
      </c>
      <c r="U108" s="564">
        <v>0</v>
      </c>
      <c r="V108" s="564">
        <v>0</v>
      </c>
      <c r="W108" s="564">
        <v>0</v>
      </c>
    </row>
    <row r="109" spans="1:23" x14ac:dyDescent="0.25">
      <c r="A109" s="579" t="s">
        <v>106</v>
      </c>
      <c r="B109" s="580" t="s">
        <v>107</v>
      </c>
      <c r="C109" s="586" t="s">
        <v>264</v>
      </c>
      <c r="D109" s="582">
        <f t="shared" si="14"/>
        <v>55</v>
      </c>
      <c r="E109" s="582">
        <v>12</v>
      </c>
      <c r="F109" s="582">
        <v>37</v>
      </c>
      <c r="G109" s="582">
        <v>0</v>
      </c>
      <c r="H109" s="582">
        <v>0</v>
      </c>
      <c r="I109" s="582">
        <v>0</v>
      </c>
      <c r="J109" s="582">
        <v>0</v>
      </c>
      <c r="K109" s="582">
        <v>6</v>
      </c>
      <c r="L109" s="582">
        <v>0</v>
      </c>
      <c r="M109" s="583"/>
      <c r="N109" s="583">
        <f t="shared" si="15"/>
        <v>6</v>
      </c>
      <c r="O109" s="583"/>
      <c r="P109" s="584">
        <f t="shared" si="16"/>
        <v>0.21818181818181817</v>
      </c>
      <c r="Q109" s="584">
        <f t="shared" si="17"/>
        <v>0.67272727272727273</v>
      </c>
      <c r="S109" s="564">
        <v>18</v>
      </c>
      <c r="T109" s="564">
        <v>2</v>
      </c>
      <c r="U109" s="564">
        <v>11</v>
      </c>
      <c r="V109" s="564">
        <v>24</v>
      </c>
      <c r="W109" s="564">
        <v>0</v>
      </c>
    </row>
    <row r="110" spans="1:23" x14ac:dyDescent="0.25">
      <c r="A110" s="579" t="s">
        <v>116</v>
      </c>
      <c r="B110" s="580" t="s">
        <v>117</v>
      </c>
      <c r="C110" s="586" t="s">
        <v>266</v>
      </c>
      <c r="D110" s="582">
        <f t="shared" si="14"/>
        <v>19</v>
      </c>
      <c r="E110" s="582">
        <v>6</v>
      </c>
      <c r="F110" s="582">
        <v>12</v>
      </c>
      <c r="G110" s="582">
        <v>0</v>
      </c>
      <c r="H110" s="582">
        <v>0</v>
      </c>
      <c r="I110" s="582">
        <v>0</v>
      </c>
      <c r="J110" s="582">
        <v>0</v>
      </c>
      <c r="K110" s="582">
        <v>1</v>
      </c>
      <c r="L110" s="582">
        <v>0</v>
      </c>
      <c r="M110" s="583"/>
      <c r="N110" s="583">
        <f t="shared" si="15"/>
        <v>1</v>
      </c>
      <c r="O110" s="583"/>
      <c r="P110" s="584">
        <f t="shared" si="16"/>
        <v>0.31578947368421051</v>
      </c>
      <c r="Q110" s="584">
        <f t="shared" si="17"/>
        <v>0.63157894736842102</v>
      </c>
      <c r="S110" s="564">
        <v>8</v>
      </c>
      <c r="T110" s="564">
        <v>4</v>
      </c>
      <c r="U110" s="564">
        <v>4</v>
      </c>
      <c r="V110" s="564">
        <v>3</v>
      </c>
      <c r="W110" s="564">
        <v>0</v>
      </c>
    </row>
    <row r="111" spans="1:23" x14ac:dyDescent="0.25">
      <c r="A111" s="579" t="s">
        <v>138</v>
      </c>
      <c r="B111" s="580" t="s">
        <v>139</v>
      </c>
      <c r="C111" s="586" t="s">
        <v>265</v>
      </c>
      <c r="D111" s="582">
        <f t="shared" si="14"/>
        <v>149</v>
      </c>
      <c r="E111" s="582">
        <v>39</v>
      </c>
      <c r="F111" s="582">
        <v>81</v>
      </c>
      <c r="G111" s="582">
        <v>0</v>
      </c>
      <c r="H111" s="582">
        <v>0</v>
      </c>
      <c r="I111" s="582">
        <v>0</v>
      </c>
      <c r="J111" s="582">
        <v>9</v>
      </c>
      <c r="K111" s="582">
        <v>20</v>
      </c>
      <c r="L111" s="582">
        <v>0</v>
      </c>
      <c r="M111" s="583"/>
      <c r="N111" s="583">
        <f t="shared" si="15"/>
        <v>29</v>
      </c>
      <c r="O111" s="583"/>
      <c r="P111" s="584">
        <f t="shared" si="16"/>
        <v>0.26174496644295303</v>
      </c>
      <c r="Q111" s="584">
        <f t="shared" si="17"/>
        <v>0.5436241610738255</v>
      </c>
      <c r="S111" s="564">
        <v>52</v>
      </c>
      <c r="T111" s="564">
        <v>38</v>
      </c>
      <c r="U111" s="564">
        <v>38</v>
      </c>
      <c r="V111" s="564">
        <v>21</v>
      </c>
      <c r="W111" s="564">
        <v>0</v>
      </c>
    </row>
    <row r="112" spans="1:23" x14ac:dyDescent="0.25">
      <c r="A112" s="579" t="s">
        <v>142</v>
      </c>
      <c r="B112" s="580" t="s">
        <v>143</v>
      </c>
      <c r="C112" s="586" t="s">
        <v>267</v>
      </c>
      <c r="D112" s="582">
        <f t="shared" si="14"/>
        <v>19</v>
      </c>
      <c r="E112" s="582">
        <v>1</v>
      </c>
      <c r="F112" s="582">
        <v>8</v>
      </c>
      <c r="G112" s="582">
        <v>0</v>
      </c>
      <c r="H112" s="582">
        <v>0</v>
      </c>
      <c r="I112" s="582">
        <v>0</v>
      </c>
      <c r="J112" s="582">
        <v>5</v>
      </c>
      <c r="K112" s="582">
        <v>5</v>
      </c>
      <c r="L112" s="582">
        <v>0</v>
      </c>
      <c r="M112" s="583"/>
      <c r="N112" s="583">
        <f t="shared" si="15"/>
        <v>10</v>
      </c>
      <c r="O112" s="583"/>
      <c r="P112" s="584">
        <f t="shared" si="16"/>
        <v>5.2631578947368418E-2</v>
      </c>
      <c r="Q112" s="584">
        <f t="shared" si="17"/>
        <v>0.42105263157894735</v>
      </c>
      <c r="S112" s="564">
        <v>6</v>
      </c>
      <c r="T112" s="564">
        <v>5</v>
      </c>
      <c r="U112" s="564">
        <v>4</v>
      </c>
      <c r="V112" s="564">
        <v>4</v>
      </c>
      <c r="W112" s="564">
        <v>0</v>
      </c>
    </row>
    <row r="113" spans="1:23" x14ac:dyDescent="0.25">
      <c r="A113" s="585" t="s">
        <v>144</v>
      </c>
      <c r="B113" s="580" t="s">
        <v>145</v>
      </c>
      <c r="C113" s="586" t="s">
        <v>267</v>
      </c>
      <c r="D113" s="582">
        <f t="shared" si="14"/>
        <v>2</v>
      </c>
      <c r="E113" s="582">
        <v>0</v>
      </c>
      <c r="F113" s="582">
        <v>0</v>
      </c>
      <c r="G113" s="582">
        <v>0</v>
      </c>
      <c r="H113" s="582">
        <v>0</v>
      </c>
      <c r="I113" s="582">
        <v>0</v>
      </c>
      <c r="J113" s="582">
        <v>0</v>
      </c>
      <c r="K113" s="582">
        <v>2</v>
      </c>
      <c r="L113" s="582">
        <v>0</v>
      </c>
      <c r="M113" s="583"/>
      <c r="N113" s="583">
        <f t="shared" si="15"/>
        <v>2</v>
      </c>
      <c r="O113" s="583"/>
      <c r="P113" s="584">
        <f t="shared" si="16"/>
        <v>0</v>
      </c>
      <c r="Q113" s="584">
        <f t="shared" si="17"/>
        <v>0</v>
      </c>
      <c r="S113" s="564">
        <v>2</v>
      </c>
      <c r="T113" s="564">
        <v>0</v>
      </c>
      <c r="U113" s="564">
        <v>0</v>
      </c>
      <c r="V113" s="564">
        <v>0</v>
      </c>
      <c r="W113" s="564">
        <v>0</v>
      </c>
    </row>
    <row r="114" spans="1:23" x14ac:dyDescent="0.25">
      <c r="A114" s="579" t="s">
        <v>158</v>
      </c>
      <c r="B114" s="580" t="s">
        <v>159</v>
      </c>
      <c r="C114" s="586" t="s">
        <v>264</v>
      </c>
      <c r="D114" s="582">
        <f t="shared" si="14"/>
        <v>102</v>
      </c>
      <c r="E114" s="582">
        <v>17</v>
      </c>
      <c r="F114" s="582">
        <v>63</v>
      </c>
      <c r="G114" s="582">
        <v>2</v>
      </c>
      <c r="H114" s="582">
        <v>0</v>
      </c>
      <c r="I114" s="582">
        <v>0</v>
      </c>
      <c r="J114" s="582">
        <v>16</v>
      </c>
      <c r="K114" s="582">
        <v>4</v>
      </c>
      <c r="L114" s="582">
        <v>0</v>
      </c>
      <c r="M114" s="583"/>
      <c r="N114" s="583">
        <f t="shared" si="15"/>
        <v>22</v>
      </c>
      <c r="O114" s="583"/>
      <c r="P114" s="584">
        <f t="shared" si="16"/>
        <v>0.16666666666666666</v>
      </c>
      <c r="Q114" s="584">
        <f t="shared" si="17"/>
        <v>0.61764705882352944</v>
      </c>
      <c r="S114" s="564">
        <v>20</v>
      </c>
      <c r="T114" s="564">
        <v>18</v>
      </c>
      <c r="U114" s="564">
        <v>28</v>
      </c>
      <c r="V114" s="564">
        <v>36</v>
      </c>
      <c r="W114" s="564">
        <v>0</v>
      </c>
    </row>
    <row r="115" spans="1:23" x14ac:dyDescent="0.25">
      <c r="A115" s="579" t="s">
        <v>160</v>
      </c>
      <c r="B115" s="580" t="s">
        <v>161</v>
      </c>
      <c r="C115" s="586" t="s">
        <v>264</v>
      </c>
      <c r="D115" s="582">
        <f t="shared" si="14"/>
        <v>231</v>
      </c>
      <c r="E115" s="582">
        <v>45</v>
      </c>
      <c r="F115" s="582">
        <v>158</v>
      </c>
      <c r="G115" s="582">
        <v>0</v>
      </c>
      <c r="H115" s="582">
        <v>0</v>
      </c>
      <c r="I115" s="582">
        <v>0</v>
      </c>
      <c r="J115" s="582">
        <v>13</v>
      </c>
      <c r="K115" s="582">
        <v>11</v>
      </c>
      <c r="L115" s="582">
        <v>4</v>
      </c>
      <c r="M115" s="583"/>
      <c r="N115" s="583">
        <f t="shared" si="15"/>
        <v>24</v>
      </c>
      <c r="O115" s="583"/>
      <c r="P115" s="584">
        <f t="shared" si="16"/>
        <v>0.19480519480519481</v>
      </c>
      <c r="Q115" s="584">
        <f t="shared" si="17"/>
        <v>0.68398268398268403</v>
      </c>
      <c r="S115" s="564">
        <v>80</v>
      </c>
      <c r="T115" s="564">
        <v>63</v>
      </c>
      <c r="U115" s="564">
        <v>64</v>
      </c>
      <c r="V115" s="564">
        <v>24</v>
      </c>
      <c r="W115" s="564">
        <v>0</v>
      </c>
    </row>
    <row r="116" spans="1:23" x14ac:dyDescent="0.25">
      <c r="A116" s="579" t="s">
        <v>166</v>
      </c>
      <c r="B116" s="580" t="s">
        <v>167</v>
      </c>
      <c r="C116" s="586" t="s">
        <v>268</v>
      </c>
      <c r="D116" s="582">
        <f t="shared" si="14"/>
        <v>5</v>
      </c>
      <c r="E116" s="582">
        <v>5</v>
      </c>
      <c r="F116" s="582">
        <v>0</v>
      </c>
      <c r="G116" s="582">
        <v>0</v>
      </c>
      <c r="H116" s="582">
        <v>0</v>
      </c>
      <c r="I116" s="582">
        <v>0</v>
      </c>
      <c r="J116" s="582">
        <v>0</v>
      </c>
      <c r="K116" s="582">
        <v>0</v>
      </c>
      <c r="L116" s="582">
        <v>0</v>
      </c>
      <c r="M116" s="583"/>
      <c r="N116" s="583">
        <f t="shared" si="15"/>
        <v>0</v>
      </c>
      <c r="O116" s="583"/>
      <c r="P116" s="584">
        <f t="shared" si="16"/>
        <v>1</v>
      </c>
      <c r="Q116" s="584">
        <f t="shared" si="17"/>
        <v>0</v>
      </c>
      <c r="S116" s="564">
        <v>2</v>
      </c>
      <c r="T116" s="564">
        <v>0</v>
      </c>
      <c r="U116" s="564">
        <v>2</v>
      </c>
      <c r="V116" s="564">
        <v>1</v>
      </c>
      <c r="W116" s="564">
        <v>0</v>
      </c>
    </row>
    <row r="117" spans="1:23" x14ac:dyDescent="0.25">
      <c r="A117" s="579" t="s">
        <v>176</v>
      </c>
      <c r="B117" s="580" t="s">
        <v>177</v>
      </c>
      <c r="C117" s="586" t="s">
        <v>266</v>
      </c>
      <c r="D117" s="582">
        <f t="shared" si="14"/>
        <v>54</v>
      </c>
      <c r="E117" s="582">
        <v>6</v>
      </c>
      <c r="F117" s="582">
        <v>41</v>
      </c>
      <c r="G117" s="582">
        <v>0</v>
      </c>
      <c r="H117" s="582">
        <v>0</v>
      </c>
      <c r="I117" s="582">
        <v>0</v>
      </c>
      <c r="J117" s="582">
        <v>2</v>
      </c>
      <c r="K117" s="582">
        <v>4</v>
      </c>
      <c r="L117" s="582">
        <v>1</v>
      </c>
      <c r="M117" s="583"/>
      <c r="N117" s="583">
        <f t="shared" si="15"/>
        <v>6</v>
      </c>
      <c r="O117" s="583"/>
      <c r="P117" s="584">
        <f t="shared" si="16"/>
        <v>0.1111111111111111</v>
      </c>
      <c r="Q117" s="584">
        <f t="shared" si="17"/>
        <v>0.7592592592592593</v>
      </c>
      <c r="S117" s="564">
        <v>30</v>
      </c>
      <c r="T117" s="564">
        <v>7</v>
      </c>
      <c r="U117" s="564">
        <v>11</v>
      </c>
      <c r="V117" s="564">
        <v>6</v>
      </c>
      <c r="W117" s="564">
        <v>0</v>
      </c>
    </row>
    <row r="118" spans="1:23" x14ac:dyDescent="0.25">
      <c r="A118" s="579" t="s">
        <v>180</v>
      </c>
      <c r="B118" s="580" t="s">
        <v>181</v>
      </c>
      <c r="C118" s="586" t="s">
        <v>264</v>
      </c>
      <c r="D118" s="582">
        <f t="shared" si="14"/>
        <v>115</v>
      </c>
      <c r="E118" s="582">
        <v>9</v>
      </c>
      <c r="F118" s="582">
        <v>97</v>
      </c>
      <c r="G118" s="582">
        <v>0</v>
      </c>
      <c r="H118" s="582">
        <v>0</v>
      </c>
      <c r="I118" s="582">
        <v>0</v>
      </c>
      <c r="J118" s="582">
        <v>6</v>
      </c>
      <c r="K118" s="582">
        <v>3</v>
      </c>
      <c r="L118" s="582">
        <v>0</v>
      </c>
      <c r="M118" s="583"/>
      <c r="N118" s="583">
        <f t="shared" si="15"/>
        <v>9</v>
      </c>
      <c r="O118" s="583"/>
      <c r="P118" s="584">
        <f t="shared" si="16"/>
        <v>7.8260869565217397E-2</v>
      </c>
      <c r="Q118" s="584">
        <f t="shared" si="17"/>
        <v>0.84347826086956523</v>
      </c>
      <c r="S118" s="564">
        <v>37</v>
      </c>
      <c r="T118" s="564">
        <v>29</v>
      </c>
      <c r="U118" s="564">
        <v>29</v>
      </c>
      <c r="V118" s="564">
        <v>20</v>
      </c>
      <c r="W118" s="564">
        <v>0</v>
      </c>
    </row>
    <row r="119" spans="1:23" x14ac:dyDescent="0.25">
      <c r="A119" s="579" t="s">
        <v>192</v>
      </c>
      <c r="B119" s="580" t="s">
        <v>193</v>
      </c>
      <c r="C119" s="586" t="s">
        <v>268</v>
      </c>
      <c r="D119" s="582">
        <f t="shared" si="14"/>
        <v>17</v>
      </c>
      <c r="E119" s="582">
        <v>11</v>
      </c>
      <c r="F119" s="582">
        <v>4</v>
      </c>
      <c r="G119" s="582">
        <v>0</v>
      </c>
      <c r="H119" s="582">
        <v>0</v>
      </c>
      <c r="I119" s="582">
        <v>0</v>
      </c>
      <c r="J119" s="582">
        <v>0</v>
      </c>
      <c r="K119" s="582">
        <v>1</v>
      </c>
      <c r="L119" s="582">
        <v>1</v>
      </c>
      <c r="M119" s="583"/>
      <c r="N119" s="583">
        <f t="shared" si="15"/>
        <v>1</v>
      </c>
      <c r="O119" s="583"/>
      <c r="P119" s="584">
        <f t="shared" si="16"/>
        <v>0.6470588235294118</v>
      </c>
      <c r="Q119" s="584">
        <f t="shared" si="17"/>
        <v>0.23529411764705882</v>
      </c>
      <c r="S119" s="564">
        <v>3</v>
      </c>
      <c r="T119" s="564">
        <v>5</v>
      </c>
      <c r="U119" s="564">
        <v>3</v>
      </c>
      <c r="V119" s="564">
        <v>6</v>
      </c>
      <c r="W119" s="564">
        <v>0</v>
      </c>
    </row>
    <row r="120" spans="1:23" x14ac:dyDescent="0.25">
      <c r="A120" s="579" t="s">
        <v>196</v>
      </c>
      <c r="B120" s="580" t="s">
        <v>197</v>
      </c>
      <c r="C120" s="586" t="s">
        <v>266</v>
      </c>
      <c r="D120" s="582">
        <f t="shared" si="14"/>
        <v>272</v>
      </c>
      <c r="E120" s="582">
        <v>14</v>
      </c>
      <c r="F120" s="582">
        <v>229</v>
      </c>
      <c r="G120" s="582">
        <v>0</v>
      </c>
      <c r="H120" s="582">
        <v>0</v>
      </c>
      <c r="I120" s="582">
        <v>0</v>
      </c>
      <c r="J120" s="582">
        <v>16</v>
      </c>
      <c r="K120" s="582">
        <v>11</v>
      </c>
      <c r="L120" s="582">
        <v>2</v>
      </c>
      <c r="M120" s="583"/>
      <c r="N120" s="583">
        <f t="shared" si="15"/>
        <v>27</v>
      </c>
      <c r="O120" s="583"/>
      <c r="P120" s="584">
        <f t="shared" si="16"/>
        <v>5.1470588235294115E-2</v>
      </c>
      <c r="Q120" s="584">
        <f t="shared" si="17"/>
        <v>0.84191176470588236</v>
      </c>
      <c r="S120" s="564">
        <v>81</v>
      </c>
      <c r="T120" s="564">
        <v>41</v>
      </c>
      <c r="U120" s="564">
        <v>78</v>
      </c>
      <c r="V120" s="564">
        <v>72</v>
      </c>
      <c r="W120" s="564">
        <v>0</v>
      </c>
    </row>
    <row r="121" spans="1:23" x14ac:dyDescent="0.25">
      <c r="A121" s="579" t="s">
        <v>200</v>
      </c>
      <c r="B121" s="580" t="s">
        <v>201</v>
      </c>
      <c r="C121" s="586" t="s">
        <v>265</v>
      </c>
      <c r="D121" s="582">
        <f t="shared" si="14"/>
        <v>183</v>
      </c>
      <c r="E121" s="582">
        <v>87</v>
      </c>
      <c r="F121" s="582">
        <v>47</v>
      </c>
      <c r="G121" s="582">
        <v>0</v>
      </c>
      <c r="H121" s="582">
        <v>0</v>
      </c>
      <c r="I121" s="582">
        <v>0</v>
      </c>
      <c r="J121" s="582">
        <v>8</v>
      </c>
      <c r="K121" s="582">
        <v>31</v>
      </c>
      <c r="L121" s="582">
        <v>10</v>
      </c>
      <c r="M121" s="583"/>
      <c r="N121" s="583">
        <f t="shared" si="15"/>
        <v>39</v>
      </c>
      <c r="O121" s="583"/>
      <c r="P121" s="584">
        <f t="shared" si="16"/>
        <v>0.47540983606557374</v>
      </c>
      <c r="Q121" s="584">
        <f t="shared" si="17"/>
        <v>0.25683060109289618</v>
      </c>
      <c r="S121" s="564">
        <v>74</v>
      </c>
      <c r="T121" s="564">
        <v>29</v>
      </c>
      <c r="U121" s="564">
        <v>38</v>
      </c>
      <c r="V121" s="564">
        <v>42</v>
      </c>
      <c r="W121" s="564">
        <v>0</v>
      </c>
    </row>
    <row r="122" spans="1:23" x14ac:dyDescent="0.25">
      <c r="A122" s="579" t="s">
        <v>222</v>
      </c>
      <c r="B122" s="580" t="s">
        <v>223</v>
      </c>
      <c r="C122" s="586" t="s">
        <v>264</v>
      </c>
      <c r="D122" s="582">
        <f t="shared" si="14"/>
        <v>14</v>
      </c>
      <c r="E122" s="582">
        <v>5</v>
      </c>
      <c r="F122" s="582">
        <v>8</v>
      </c>
      <c r="G122" s="582">
        <v>0</v>
      </c>
      <c r="H122" s="582">
        <v>0</v>
      </c>
      <c r="I122" s="582">
        <v>0</v>
      </c>
      <c r="J122" s="582">
        <v>1</v>
      </c>
      <c r="K122" s="582">
        <v>0</v>
      </c>
      <c r="L122" s="582">
        <v>0</v>
      </c>
      <c r="M122" s="583"/>
      <c r="N122" s="583">
        <f t="shared" si="15"/>
        <v>1</v>
      </c>
      <c r="O122" s="583"/>
      <c r="P122" s="584">
        <f t="shared" si="16"/>
        <v>0.35714285714285715</v>
      </c>
      <c r="Q122" s="584">
        <f t="shared" si="17"/>
        <v>0.5714285714285714</v>
      </c>
      <c r="S122" s="564">
        <v>1</v>
      </c>
      <c r="T122" s="564">
        <v>1</v>
      </c>
      <c r="U122" s="564">
        <v>3</v>
      </c>
      <c r="V122" s="564">
        <v>9</v>
      </c>
      <c r="W122" s="564">
        <v>0</v>
      </c>
    </row>
    <row r="123" spans="1:23" x14ac:dyDescent="0.25">
      <c r="A123" s="579" t="s">
        <v>230</v>
      </c>
      <c r="B123" s="580" t="s">
        <v>231</v>
      </c>
      <c r="C123" s="586" t="s">
        <v>264</v>
      </c>
      <c r="D123" s="582">
        <f t="shared" si="14"/>
        <v>209</v>
      </c>
      <c r="E123" s="582">
        <v>92</v>
      </c>
      <c r="F123" s="582">
        <v>60</v>
      </c>
      <c r="G123" s="582">
        <v>3</v>
      </c>
      <c r="H123" s="582">
        <v>1</v>
      </c>
      <c r="I123" s="582">
        <v>0</v>
      </c>
      <c r="J123" s="582">
        <v>23</v>
      </c>
      <c r="K123" s="582">
        <v>27</v>
      </c>
      <c r="L123" s="582">
        <v>3</v>
      </c>
      <c r="M123" s="583"/>
      <c r="N123" s="583">
        <f t="shared" si="15"/>
        <v>54</v>
      </c>
      <c r="O123" s="583"/>
      <c r="P123" s="584">
        <f t="shared" si="16"/>
        <v>0.44019138755980863</v>
      </c>
      <c r="Q123" s="584">
        <f t="shared" si="17"/>
        <v>0.28708133971291866</v>
      </c>
      <c r="S123" s="564">
        <v>61</v>
      </c>
      <c r="T123" s="564">
        <v>48</v>
      </c>
      <c r="U123" s="564">
        <v>54</v>
      </c>
      <c r="V123" s="564">
        <v>46</v>
      </c>
      <c r="W123" s="564">
        <v>0</v>
      </c>
    </row>
    <row r="124" spans="1:23" x14ac:dyDescent="0.25">
      <c r="A124" s="579" t="s">
        <v>238</v>
      </c>
      <c r="B124" s="580" t="s">
        <v>239</v>
      </c>
      <c r="C124" s="586" t="s">
        <v>264</v>
      </c>
      <c r="D124" s="582">
        <f t="shared" si="14"/>
        <v>4</v>
      </c>
      <c r="E124" s="582">
        <v>3</v>
      </c>
      <c r="F124" s="582">
        <v>1</v>
      </c>
      <c r="G124" s="582">
        <v>0</v>
      </c>
      <c r="H124" s="582">
        <v>0</v>
      </c>
      <c r="I124" s="582">
        <v>0</v>
      </c>
      <c r="J124" s="582">
        <v>0</v>
      </c>
      <c r="K124" s="582">
        <v>0</v>
      </c>
      <c r="L124" s="582">
        <v>0</v>
      </c>
      <c r="M124" s="583"/>
      <c r="N124" s="583">
        <f t="shared" si="15"/>
        <v>0</v>
      </c>
      <c r="O124" s="583"/>
      <c r="P124" s="584">
        <f t="shared" si="16"/>
        <v>0.75</v>
      </c>
      <c r="Q124" s="584">
        <f t="shared" si="17"/>
        <v>0.25</v>
      </c>
      <c r="S124" s="564">
        <v>0</v>
      </c>
      <c r="T124" s="564">
        <v>1</v>
      </c>
      <c r="U124" s="564">
        <v>1</v>
      </c>
      <c r="V124" s="564">
        <v>2</v>
      </c>
      <c r="W124" s="564">
        <v>0</v>
      </c>
    </row>
    <row r="125" spans="1:23" x14ac:dyDescent="0.25">
      <c r="A125" s="587" t="s">
        <v>240</v>
      </c>
      <c r="B125" s="588" t="s">
        <v>241</v>
      </c>
      <c r="C125" s="594" t="s">
        <v>267</v>
      </c>
      <c r="D125" s="1148">
        <f t="shared" si="14"/>
        <v>34</v>
      </c>
      <c r="E125" s="1148">
        <v>20</v>
      </c>
      <c r="F125" s="1148">
        <v>3</v>
      </c>
      <c r="G125" s="1148">
        <v>0</v>
      </c>
      <c r="H125" s="1846">
        <v>0</v>
      </c>
      <c r="I125" s="1148">
        <v>0</v>
      </c>
      <c r="J125" s="1148">
        <v>2</v>
      </c>
      <c r="K125" s="1148">
        <v>9</v>
      </c>
      <c r="L125" s="1148">
        <v>0</v>
      </c>
      <c r="M125" s="589"/>
      <c r="N125" s="583">
        <f t="shared" si="15"/>
        <v>11</v>
      </c>
      <c r="O125" s="1145"/>
      <c r="P125" s="584">
        <f t="shared" si="16"/>
        <v>0.58823529411764708</v>
      </c>
      <c r="Q125" s="584">
        <f t="shared" si="17"/>
        <v>8.8235294117647065E-2</v>
      </c>
      <c r="S125" s="564">
        <v>17</v>
      </c>
      <c r="T125" s="564">
        <v>9</v>
      </c>
      <c r="U125" s="564">
        <v>7</v>
      </c>
      <c r="V125" s="564">
        <v>1</v>
      </c>
      <c r="W125" s="564">
        <v>0</v>
      </c>
    </row>
    <row r="127" spans="1:23" ht="31.5" customHeight="1" x14ac:dyDescent="0.25">
      <c r="A127" s="2119" t="s">
        <v>1242</v>
      </c>
      <c r="B127" s="2119"/>
      <c r="C127" s="2119"/>
      <c r="D127" s="2119"/>
      <c r="E127" s="2119"/>
      <c r="F127" s="2119"/>
      <c r="G127" s="2119"/>
      <c r="H127" s="2119"/>
      <c r="I127" s="2119"/>
      <c r="J127" s="2119"/>
      <c r="K127" s="2119"/>
      <c r="L127" s="2119"/>
      <c r="M127" s="2119"/>
      <c r="N127" s="2119"/>
      <c r="O127" s="2119"/>
      <c r="P127" s="2119"/>
      <c r="Q127" s="2119"/>
    </row>
    <row r="128" spans="1:23" ht="15" customHeight="1" x14ac:dyDescent="0.25">
      <c r="A128" s="593"/>
      <c r="B128" s="593"/>
      <c r="C128" s="593"/>
      <c r="D128" s="593"/>
      <c r="E128" s="593"/>
      <c r="F128" s="593"/>
      <c r="G128" s="1139"/>
      <c r="H128" s="1839"/>
      <c r="I128" s="1139"/>
      <c r="J128" s="1140"/>
      <c r="K128" s="1140"/>
      <c r="L128" s="593"/>
      <c r="M128" s="593"/>
      <c r="N128" s="1139"/>
      <c r="O128" s="1139"/>
      <c r="P128" s="593"/>
      <c r="Q128" s="593"/>
    </row>
    <row r="129" spans="1:17" ht="15" customHeight="1" x14ac:dyDescent="0.25">
      <c r="A129" s="2120" t="s">
        <v>248</v>
      </c>
      <c r="B129" s="2120"/>
      <c r="C129" s="2120"/>
      <c r="D129" s="2120"/>
      <c r="E129" s="2120"/>
      <c r="F129" s="2120"/>
      <c r="G129" s="2120"/>
      <c r="H129" s="2120"/>
      <c r="I129" s="2120"/>
      <c r="J129" s="2120"/>
      <c r="K129" s="2120"/>
      <c r="L129" s="2120"/>
      <c r="M129" s="2120"/>
      <c r="N129" s="2120"/>
      <c r="O129" s="2120"/>
      <c r="P129" s="2120"/>
      <c r="Q129" s="2120"/>
    </row>
    <row r="130" spans="1:17" ht="15" customHeight="1" x14ac:dyDescent="0.25">
      <c r="A130" s="590" t="s">
        <v>249</v>
      </c>
      <c r="B130" s="591" t="s">
        <v>250</v>
      </c>
      <c r="C130" s="591"/>
      <c r="D130" s="592"/>
      <c r="E130" s="592"/>
      <c r="F130" s="592"/>
      <c r="G130" s="592"/>
      <c r="H130" s="592"/>
      <c r="I130" s="592"/>
      <c r="J130" s="592"/>
      <c r="K130" s="592"/>
      <c r="L130" s="592"/>
      <c r="M130" s="592"/>
      <c r="N130" s="592"/>
      <c r="O130" s="592"/>
      <c r="P130" s="592"/>
      <c r="Q130" s="592"/>
    </row>
  </sheetData>
  <autoFilter ref="A4:C4"/>
  <sortState ref="A6:W125">
    <sortCondition ref="A6:A125"/>
  </sortState>
  <mergeCells count="4">
    <mergeCell ref="P3:Q3"/>
    <mergeCell ref="A127:Q127"/>
    <mergeCell ref="A129:Q129"/>
    <mergeCell ref="D3:L3"/>
  </mergeCells>
  <hyperlinks>
    <hyperlink ref="B130" r:id="rId1"/>
  </hyperlinks>
  <pageMargins left="1" right="0" top="0.4" bottom="0.45" header="0.3" footer="0.3"/>
  <pageSetup orientation="portrait" r:id="rId2"/>
  <headerFooter>
    <oddFooter>&amp;C&amp;"Courier New,Regular"&amp;10&amp;P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
  <sheetViews>
    <sheetView workbookViewId="0">
      <pane ySplit="4" topLeftCell="A5" activePane="bottomLeft" state="frozen"/>
      <selection pane="bottomLeft" sqref="A1:IV65536"/>
    </sheetView>
  </sheetViews>
  <sheetFormatPr defaultRowHeight="15.75" x14ac:dyDescent="0.25"/>
  <cols>
    <col min="1" max="1" width="11" style="394" customWidth="1"/>
    <col min="2" max="2" width="25.625" style="394" bestFit="1" customWidth="1"/>
    <col min="3" max="3" width="14.25" style="394" customWidth="1"/>
    <col min="4" max="7" width="7.5" style="394" customWidth="1"/>
    <col min="8" max="11" width="12.25" style="394" customWidth="1"/>
    <col min="12" max="16384" width="9" style="394"/>
  </cols>
  <sheetData>
    <row r="1" spans="1:12" x14ac:dyDescent="0.25">
      <c r="A1" s="193" t="s">
        <v>775</v>
      </c>
    </row>
    <row r="3" spans="1:12" ht="32.25" customHeight="1" x14ac:dyDescent="0.25">
      <c r="A3" s="650" t="s">
        <v>4</v>
      </c>
      <c r="B3" s="651" t="s">
        <v>5</v>
      </c>
      <c r="C3" s="652" t="s">
        <v>251</v>
      </c>
      <c r="D3" s="653" t="s">
        <v>281</v>
      </c>
      <c r="E3" s="654" t="s">
        <v>2</v>
      </c>
      <c r="F3" s="655" t="s">
        <v>445</v>
      </c>
      <c r="G3" s="655" t="s">
        <v>446</v>
      </c>
      <c r="H3" s="656"/>
      <c r="I3" s="656"/>
      <c r="J3" s="656"/>
      <c r="K3" s="656"/>
    </row>
    <row r="4" spans="1:12" x14ac:dyDescent="0.25">
      <c r="A4" s="657">
        <v>999</v>
      </c>
      <c r="B4" s="658" t="s">
        <v>9</v>
      </c>
      <c r="C4" s="658"/>
      <c r="D4" s="659">
        <f>SUM(D5:D124)</f>
        <v>639</v>
      </c>
      <c r="E4" s="659">
        <f>SUM(E5:E124)</f>
        <v>314</v>
      </c>
      <c r="F4" s="659">
        <f>SUM(F5:F124)</f>
        <v>201</v>
      </c>
      <c r="G4" s="659">
        <f>SUM(G5:G124)</f>
        <v>124</v>
      </c>
      <c r="H4" s="656"/>
      <c r="I4" s="656"/>
      <c r="J4" s="656"/>
      <c r="K4" s="656"/>
    </row>
    <row r="5" spans="1:12" ht="16.5" customHeight="1" x14ac:dyDescent="0.25">
      <c r="A5" s="660" t="s">
        <v>10</v>
      </c>
      <c r="B5" s="661" t="s">
        <v>11</v>
      </c>
      <c r="C5" s="581" t="s">
        <v>264</v>
      </c>
      <c r="D5" s="662">
        <v>1</v>
      </c>
      <c r="E5" s="663">
        <v>0</v>
      </c>
      <c r="F5" s="664">
        <v>1</v>
      </c>
      <c r="G5" s="664">
        <v>0</v>
      </c>
      <c r="H5" s="665"/>
      <c r="I5" s="666"/>
      <c r="J5" s="665"/>
      <c r="K5" s="665"/>
      <c r="L5" s="665"/>
    </row>
    <row r="6" spans="1:12" ht="16.5" customHeight="1" x14ac:dyDescent="0.25">
      <c r="A6" s="660" t="s">
        <v>12</v>
      </c>
      <c r="B6" s="661" t="s">
        <v>13</v>
      </c>
      <c r="C6" s="581" t="s">
        <v>265</v>
      </c>
      <c r="D6" s="662">
        <v>2</v>
      </c>
      <c r="E6" s="663">
        <v>0</v>
      </c>
      <c r="F6" s="664">
        <v>2</v>
      </c>
      <c r="G6" s="664">
        <v>0</v>
      </c>
      <c r="H6" s="665"/>
      <c r="I6" s="667"/>
      <c r="J6" s="665"/>
      <c r="K6" s="665"/>
      <c r="L6" s="665"/>
    </row>
    <row r="7" spans="1:12" ht="16.5" customHeight="1" x14ac:dyDescent="0.25">
      <c r="A7" s="660" t="s">
        <v>16</v>
      </c>
      <c r="B7" s="661" t="s">
        <v>297</v>
      </c>
      <c r="C7" s="581" t="s">
        <v>265</v>
      </c>
      <c r="D7" s="662">
        <v>5</v>
      </c>
      <c r="E7" s="663">
        <v>1</v>
      </c>
      <c r="F7" s="664">
        <v>3</v>
      </c>
      <c r="G7" s="664">
        <v>1</v>
      </c>
      <c r="H7" s="665"/>
      <c r="I7" s="667"/>
      <c r="J7" s="665"/>
      <c r="K7" s="668"/>
      <c r="L7" s="665"/>
    </row>
    <row r="8" spans="1:12" ht="16.5" customHeight="1" x14ac:dyDescent="0.25">
      <c r="A8" s="660" t="s">
        <v>18</v>
      </c>
      <c r="B8" s="661" t="s">
        <v>19</v>
      </c>
      <c r="C8" s="581" t="s">
        <v>266</v>
      </c>
      <c r="D8" s="662">
        <v>0</v>
      </c>
      <c r="E8" s="663">
        <v>0</v>
      </c>
      <c r="F8" s="664">
        <v>0</v>
      </c>
      <c r="G8" s="664">
        <v>0</v>
      </c>
      <c r="H8" s="665"/>
      <c r="I8" s="668"/>
      <c r="J8" s="665"/>
      <c r="K8" s="665"/>
      <c r="L8" s="665"/>
    </row>
    <row r="9" spans="1:12" ht="16.5" customHeight="1" x14ac:dyDescent="0.25">
      <c r="A9" s="660" t="s">
        <v>20</v>
      </c>
      <c r="B9" s="661" t="s">
        <v>21</v>
      </c>
      <c r="C9" s="581" t="s">
        <v>265</v>
      </c>
      <c r="D9" s="662">
        <v>0</v>
      </c>
      <c r="E9" s="663">
        <v>0</v>
      </c>
      <c r="F9" s="664">
        <v>0</v>
      </c>
      <c r="G9" s="664">
        <v>0</v>
      </c>
      <c r="H9" s="665"/>
      <c r="I9" s="669"/>
      <c r="J9" s="665"/>
      <c r="K9" s="665"/>
      <c r="L9" s="665"/>
    </row>
    <row r="10" spans="1:12" ht="16.5" customHeight="1" x14ac:dyDescent="0.25">
      <c r="A10" s="660" t="s">
        <v>22</v>
      </c>
      <c r="B10" s="661" t="s">
        <v>23</v>
      </c>
      <c r="C10" s="581" t="s">
        <v>265</v>
      </c>
      <c r="D10" s="662">
        <v>0</v>
      </c>
      <c r="E10" s="663">
        <v>0</v>
      </c>
      <c r="F10" s="664">
        <v>0</v>
      </c>
      <c r="G10" s="670">
        <v>0</v>
      </c>
      <c r="H10" s="665"/>
      <c r="I10" s="668"/>
      <c r="J10" s="665"/>
      <c r="K10" s="665"/>
      <c r="L10" s="665"/>
    </row>
    <row r="11" spans="1:12" ht="16.5" customHeight="1" x14ac:dyDescent="0.25">
      <c r="A11" s="660" t="s">
        <v>24</v>
      </c>
      <c r="B11" s="661" t="s">
        <v>25</v>
      </c>
      <c r="C11" s="581" t="s">
        <v>267</v>
      </c>
      <c r="D11" s="662">
        <v>12</v>
      </c>
      <c r="E11" s="663">
        <v>0</v>
      </c>
      <c r="F11" s="664">
        <v>6</v>
      </c>
      <c r="G11" s="664">
        <v>6</v>
      </c>
      <c r="H11" s="665"/>
      <c r="I11" s="669"/>
      <c r="J11" s="665"/>
      <c r="K11" s="669"/>
      <c r="L11" s="665"/>
    </row>
    <row r="12" spans="1:12" ht="16.5" customHeight="1" x14ac:dyDescent="0.25">
      <c r="A12" s="660" t="s">
        <v>26</v>
      </c>
      <c r="B12" s="661" t="s">
        <v>686</v>
      </c>
      <c r="C12" s="581" t="s">
        <v>265</v>
      </c>
      <c r="D12" s="662">
        <v>18</v>
      </c>
      <c r="E12" s="663">
        <v>14</v>
      </c>
      <c r="F12" s="664">
        <v>2</v>
      </c>
      <c r="G12" s="664">
        <v>2</v>
      </c>
      <c r="H12" s="665"/>
      <c r="I12" s="667"/>
      <c r="J12" s="665"/>
      <c r="K12" s="668"/>
      <c r="L12" s="665"/>
    </row>
    <row r="13" spans="1:12" ht="16.5" customHeight="1" x14ac:dyDescent="0.25">
      <c r="A13" s="660" t="s">
        <v>27</v>
      </c>
      <c r="B13" s="661" t="s">
        <v>28</v>
      </c>
      <c r="C13" s="586" t="s">
        <v>265</v>
      </c>
      <c r="D13" s="662">
        <v>0</v>
      </c>
      <c r="E13" s="671">
        <v>0</v>
      </c>
      <c r="F13" s="670">
        <v>0</v>
      </c>
      <c r="G13" s="670">
        <v>0</v>
      </c>
      <c r="H13" s="665"/>
      <c r="I13" s="667"/>
      <c r="J13" s="665"/>
      <c r="K13" s="665"/>
      <c r="L13" s="665"/>
    </row>
    <row r="14" spans="1:12" ht="16.5" customHeight="1" x14ac:dyDescent="0.25">
      <c r="A14" s="660" t="s">
        <v>29</v>
      </c>
      <c r="B14" s="661" t="s">
        <v>307</v>
      </c>
      <c r="C14" s="586" t="s">
        <v>265</v>
      </c>
      <c r="D14" s="662">
        <v>4</v>
      </c>
      <c r="E14" s="663">
        <v>3</v>
      </c>
      <c r="F14" s="664">
        <v>1</v>
      </c>
      <c r="G14" s="664">
        <v>0</v>
      </c>
      <c r="H14" s="672"/>
      <c r="I14" s="667"/>
      <c r="J14" s="665"/>
      <c r="K14" s="665"/>
      <c r="L14" s="665"/>
    </row>
    <row r="15" spans="1:12" ht="16.5" customHeight="1" x14ac:dyDescent="0.25">
      <c r="A15" s="660" t="s">
        <v>30</v>
      </c>
      <c r="B15" s="661" t="s">
        <v>31</v>
      </c>
      <c r="C15" s="586" t="s">
        <v>268</v>
      </c>
      <c r="D15" s="662">
        <v>4</v>
      </c>
      <c r="E15" s="663">
        <v>4</v>
      </c>
      <c r="F15" s="664">
        <v>0</v>
      </c>
      <c r="G15" s="670">
        <v>0</v>
      </c>
      <c r="H15" s="668"/>
      <c r="I15" s="667"/>
      <c r="J15" s="665"/>
      <c r="K15" s="665"/>
      <c r="L15" s="665"/>
    </row>
    <row r="16" spans="1:12" ht="16.5" customHeight="1" x14ac:dyDescent="0.25">
      <c r="A16" s="660" t="s">
        <v>32</v>
      </c>
      <c r="B16" s="661" t="s">
        <v>33</v>
      </c>
      <c r="C16" s="586" t="s">
        <v>265</v>
      </c>
      <c r="D16" s="662">
        <v>0</v>
      </c>
      <c r="E16" s="663">
        <v>0</v>
      </c>
      <c r="F16" s="664">
        <v>0</v>
      </c>
      <c r="G16" s="664">
        <v>0</v>
      </c>
      <c r="H16" s="665"/>
      <c r="I16" s="668"/>
      <c r="J16" s="665"/>
      <c r="K16" s="665"/>
      <c r="L16" s="665"/>
    </row>
    <row r="17" spans="1:12" ht="16.5" customHeight="1" x14ac:dyDescent="0.25">
      <c r="A17" s="660" t="s">
        <v>36</v>
      </c>
      <c r="B17" s="661" t="s">
        <v>37</v>
      </c>
      <c r="C17" s="586" t="s">
        <v>264</v>
      </c>
      <c r="D17" s="662">
        <v>0</v>
      </c>
      <c r="E17" s="663">
        <v>0</v>
      </c>
      <c r="F17" s="664">
        <v>0</v>
      </c>
      <c r="G17" s="670">
        <v>0</v>
      </c>
      <c r="H17" s="665"/>
      <c r="I17" s="665"/>
      <c r="J17" s="665"/>
      <c r="K17" s="665"/>
      <c r="L17" s="665"/>
    </row>
    <row r="18" spans="1:12" ht="16.5" customHeight="1" x14ac:dyDescent="0.25">
      <c r="A18" s="660" t="s">
        <v>38</v>
      </c>
      <c r="B18" s="661" t="s">
        <v>39</v>
      </c>
      <c r="C18" s="586" t="s">
        <v>268</v>
      </c>
      <c r="D18" s="662">
        <v>9</v>
      </c>
      <c r="E18" s="663">
        <v>8</v>
      </c>
      <c r="F18" s="664">
        <v>0</v>
      </c>
      <c r="G18" s="664">
        <v>1</v>
      </c>
      <c r="H18" s="665"/>
      <c r="I18" s="667"/>
      <c r="J18" s="665"/>
      <c r="K18" s="665"/>
      <c r="L18" s="665"/>
    </row>
    <row r="19" spans="1:12" ht="16.5" customHeight="1" x14ac:dyDescent="0.25">
      <c r="A19" s="660" t="s">
        <v>40</v>
      </c>
      <c r="B19" s="661" t="s">
        <v>41</v>
      </c>
      <c r="C19" s="586" t="s">
        <v>266</v>
      </c>
      <c r="D19" s="662">
        <v>1</v>
      </c>
      <c r="E19" s="663">
        <v>0</v>
      </c>
      <c r="F19" s="664">
        <v>1</v>
      </c>
      <c r="G19" s="664">
        <v>0</v>
      </c>
      <c r="H19" s="665"/>
      <c r="I19" s="665"/>
      <c r="J19" s="665"/>
      <c r="K19" s="665"/>
      <c r="L19" s="665"/>
    </row>
    <row r="20" spans="1:12" ht="16.5" customHeight="1" x14ac:dyDescent="0.25">
      <c r="A20" s="660" t="s">
        <v>42</v>
      </c>
      <c r="B20" s="661" t="s">
        <v>43</v>
      </c>
      <c r="C20" s="586" t="s">
        <v>265</v>
      </c>
      <c r="D20" s="662">
        <v>5</v>
      </c>
      <c r="E20" s="663">
        <v>5</v>
      </c>
      <c r="F20" s="664">
        <v>0</v>
      </c>
      <c r="G20" s="664">
        <v>0</v>
      </c>
      <c r="H20" s="672"/>
      <c r="I20" s="667"/>
      <c r="J20" s="665"/>
      <c r="K20" s="665"/>
      <c r="L20" s="665"/>
    </row>
    <row r="21" spans="1:12" ht="16.5" customHeight="1" x14ac:dyDescent="0.25">
      <c r="A21" s="660" t="s">
        <v>44</v>
      </c>
      <c r="B21" s="661" t="s">
        <v>45</v>
      </c>
      <c r="C21" s="586" t="s">
        <v>266</v>
      </c>
      <c r="D21" s="662">
        <v>0</v>
      </c>
      <c r="E21" s="663">
        <v>0</v>
      </c>
      <c r="F21" s="664">
        <v>0</v>
      </c>
      <c r="G21" s="664">
        <v>0</v>
      </c>
      <c r="H21" s="665"/>
      <c r="I21" s="669"/>
      <c r="J21" s="665"/>
      <c r="K21" s="665"/>
      <c r="L21" s="665"/>
    </row>
    <row r="22" spans="1:12" ht="16.5" customHeight="1" x14ac:dyDescent="0.25">
      <c r="A22" s="660" t="s">
        <v>46</v>
      </c>
      <c r="B22" s="661" t="s">
        <v>47</v>
      </c>
      <c r="C22" s="586" t="s">
        <v>268</v>
      </c>
      <c r="D22" s="662">
        <v>5</v>
      </c>
      <c r="E22" s="663">
        <v>5</v>
      </c>
      <c r="F22" s="664">
        <v>0</v>
      </c>
      <c r="G22" s="670">
        <v>0</v>
      </c>
      <c r="H22" s="668"/>
      <c r="I22" s="667"/>
      <c r="J22" s="665"/>
      <c r="K22" s="665"/>
      <c r="L22" s="665"/>
    </row>
    <row r="23" spans="1:12" ht="16.5" customHeight="1" x14ac:dyDescent="0.25">
      <c r="A23" s="660" t="s">
        <v>48</v>
      </c>
      <c r="B23" s="661" t="s">
        <v>269</v>
      </c>
      <c r="C23" s="586" t="s">
        <v>266</v>
      </c>
      <c r="D23" s="662">
        <v>0</v>
      </c>
      <c r="E23" s="671">
        <v>0</v>
      </c>
      <c r="F23" s="670">
        <v>0</v>
      </c>
      <c r="G23" s="664">
        <v>0</v>
      </c>
      <c r="H23" s="665"/>
      <c r="I23" s="668"/>
      <c r="J23" s="665"/>
      <c r="K23" s="665"/>
      <c r="L23" s="665"/>
    </row>
    <row r="24" spans="1:12" ht="16.5" customHeight="1" x14ac:dyDescent="0.25">
      <c r="A24" s="660" t="s">
        <v>50</v>
      </c>
      <c r="B24" s="661" t="s">
        <v>51</v>
      </c>
      <c r="C24" s="586" t="s">
        <v>265</v>
      </c>
      <c r="D24" s="662">
        <v>2</v>
      </c>
      <c r="E24" s="663">
        <v>1</v>
      </c>
      <c r="F24" s="664">
        <v>0</v>
      </c>
      <c r="G24" s="664">
        <v>1</v>
      </c>
      <c r="H24" s="665"/>
      <c r="I24" s="667"/>
      <c r="J24" s="665"/>
      <c r="K24" s="665"/>
      <c r="L24" s="665"/>
    </row>
    <row r="25" spans="1:12" ht="16.5" customHeight="1" x14ac:dyDescent="0.25">
      <c r="A25" s="660" t="s">
        <v>56</v>
      </c>
      <c r="B25" s="661" t="s">
        <v>295</v>
      </c>
      <c r="C25" s="586" t="s">
        <v>266</v>
      </c>
      <c r="D25" s="662">
        <v>6</v>
      </c>
      <c r="E25" s="663">
        <v>2</v>
      </c>
      <c r="F25" s="664">
        <v>3</v>
      </c>
      <c r="G25" s="664">
        <v>1</v>
      </c>
      <c r="H25" s="665"/>
      <c r="I25" s="669"/>
      <c r="J25" s="665"/>
      <c r="K25" s="669"/>
      <c r="L25" s="665"/>
    </row>
    <row r="26" spans="1:12" ht="16.5" customHeight="1" x14ac:dyDescent="0.25">
      <c r="A26" s="660" t="s">
        <v>58</v>
      </c>
      <c r="B26" s="661" t="s">
        <v>59</v>
      </c>
      <c r="C26" s="586" t="s">
        <v>267</v>
      </c>
      <c r="D26" s="673">
        <v>3</v>
      </c>
      <c r="E26" s="674">
        <v>1</v>
      </c>
      <c r="F26" s="670">
        <v>0</v>
      </c>
      <c r="G26" s="670">
        <v>2</v>
      </c>
      <c r="H26" s="665"/>
      <c r="I26" s="668"/>
      <c r="J26" s="665"/>
      <c r="K26" s="665"/>
      <c r="L26" s="665"/>
    </row>
    <row r="27" spans="1:12" ht="16.5" customHeight="1" x14ac:dyDescent="0.25">
      <c r="A27" s="660" t="s">
        <v>60</v>
      </c>
      <c r="B27" s="661" t="s">
        <v>61</v>
      </c>
      <c r="C27" s="586" t="s">
        <v>265</v>
      </c>
      <c r="D27" s="673">
        <v>2</v>
      </c>
      <c r="E27" s="674">
        <v>2</v>
      </c>
      <c r="F27" s="670">
        <v>0</v>
      </c>
      <c r="G27" s="670">
        <v>0</v>
      </c>
      <c r="H27" s="665"/>
      <c r="I27" s="668"/>
      <c r="J27" s="665"/>
      <c r="K27" s="665"/>
      <c r="L27" s="665"/>
    </row>
    <row r="28" spans="1:12" ht="16.5" customHeight="1" x14ac:dyDescent="0.25">
      <c r="A28" s="660" t="s">
        <v>62</v>
      </c>
      <c r="B28" s="661" t="s">
        <v>63</v>
      </c>
      <c r="C28" s="586" t="s">
        <v>267</v>
      </c>
      <c r="D28" s="662">
        <v>5</v>
      </c>
      <c r="E28" s="663">
        <v>0</v>
      </c>
      <c r="F28" s="664">
        <v>0</v>
      </c>
      <c r="G28" s="664">
        <v>5</v>
      </c>
      <c r="H28" s="665"/>
      <c r="I28" s="667"/>
      <c r="J28" s="665"/>
      <c r="K28" s="665"/>
      <c r="L28" s="665"/>
    </row>
    <row r="29" spans="1:12" ht="16.5" customHeight="1" x14ac:dyDescent="0.25">
      <c r="A29" s="660" t="s">
        <v>64</v>
      </c>
      <c r="B29" s="661" t="s">
        <v>65</v>
      </c>
      <c r="C29" s="586" t="s">
        <v>266</v>
      </c>
      <c r="D29" s="662">
        <v>0</v>
      </c>
      <c r="E29" s="663">
        <v>0</v>
      </c>
      <c r="F29" s="664">
        <v>0</v>
      </c>
      <c r="G29" s="664">
        <v>0</v>
      </c>
      <c r="H29" s="665"/>
      <c r="I29" s="668"/>
      <c r="J29" s="665"/>
      <c r="K29" s="668"/>
      <c r="L29" s="665"/>
    </row>
    <row r="30" spans="1:12" ht="16.5" customHeight="1" x14ac:dyDescent="0.25">
      <c r="A30" s="660" t="s">
        <v>68</v>
      </c>
      <c r="B30" s="661" t="s">
        <v>69</v>
      </c>
      <c r="C30" s="586" t="s">
        <v>268</v>
      </c>
      <c r="D30" s="662">
        <v>12</v>
      </c>
      <c r="E30" s="663">
        <v>12</v>
      </c>
      <c r="F30" s="664">
        <v>0</v>
      </c>
      <c r="G30" s="664">
        <v>0</v>
      </c>
      <c r="H30" s="665"/>
      <c r="I30" s="665"/>
      <c r="J30" s="665"/>
      <c r="K30" s="665"/>
      <c r="L30" s="665"/>
    </row>
    <row r="31" spans="1:12" ht="16.5" customHeight="1" x14ac:dyDescent="0.25">
      <c r="A31" s="660" t="s">
        <v>70</v>
      </c>
      <c r="B31" s="661" t="s">
        <v>71</v>
      </c>
      <c r="C31" s="586" t="s">
        <v>264</v>
      </c>
      <c r="D31" s="662">
        <v>1</v>
      </c>
      <c r="E31" s="663">
        <v>0</v>
      </c>
      <c r="F31" s="664">
        <v>1</v>
      </c>
      <c r="G31" s="664">
        <v>0</v>
      </c>
      <c r="H31" s="665"/>
      <c r="I31" s="669"/>
      <c r="J31" s="665"/>
      <c r="K31" s="665"/>
      <c r="L31" s="665"/>
    </row>
    <row r="32" spans="1:12" ht="16.5" customHeight="1" x14ac:dyDescent="0.25">
      <c r="A32" s="660" t="s">
        <v>72</v>
      </c>
      <c r="B32" s="661" t="s">
        <v>73</v>
      </c>
      <c r="C32" s="586" t="s">
        <v>266</v>
      </c>
      <c r="D32" s="662">
        <v>0</v>
      </c>
      <c r="E32" s="671">
        <v>0</v>
      </c>
      <c r="F32" s="670">
        <v>0</v>
      </c>
      <c r="G32" s="664">
        <v>0</v>
      </c>
      <c r="H32" s="665"/>
      <c r="I32" s="668"/>
      <c r="J32" s="665"/>
      <c r="K32" s="669"/>
      <c r="L32" s="665"/>
    </row>
    <row r="33" spans="1:12" ht="16.5" customHeight="1" x14ac:dyDescent="0.25">
      <c r="A33" s="660" t="s">
        <v>74</v>
      </c>
      <c r="B33" s="661" t="s">
        <v>302</v>
      </c>
      <c r="C33" s="586" t="s">
        <v>267</v>
      </c>
      <c r="D33" s="662">
        <v>14</v>
      </c>
      <c r="E33" s="663">
        <v>5</v>
      </c>
      <c r="F33" s="664">
        <v>4</v>
      </c>
      <c r="G33" s="664">
        <v>5</v>
      </c>
      <c r="H33" s="672"/>
      <c r="I33" s="669"/>
      <c r="J33" s="669"/>
      <c r="K33" s="669"/>
      <c r="L33" s="665"/>
    </row>
    <row r="34" spans="1:12" ht="16.5" customHeight="1" x14ac:dyDescent="0.25">
      <c r="A34" s="660" t="s">
        <v>76</v>
      </c>
      <c r="B34" s="661" t="s">
        <v>77</v>
      </c>
      <c r="C34" s="586" t="s">
        <v>267</v>
      </c>
      <c r="D34" s="662">
        <v>2</v>
      </c>
      <c r="E34" s="663">
        <v>2</v>
      </c>
      <c r="F34" s="664">
        <v>0</v>
      </c>
      <c r="G34" s="664">
        <v>0</v>
      </c>
      <c r="H34" s="665"/>
      <c r="I34" s="667"/>
      <c r="J34" s="665"/>
      <c r="K34" s="665"/>
      <c r="L34" s="665"/>
    </row>
    <row r="35" spans="1:12" ht="16.5" customHeight="1" x14ac:dyDescent="0.25">
      <c r="A35" s="660" t="s">
        <v>78</v>
      </c>
      <c r="B35" s="661" t="s">
        <v>79</v>
      </c>
      <c r="C35" s="586" t="s">
        <v>268</v>
      </c>
      <c r="D35" s="662">
        <v>1</v>
      </c>
      <c r="E35" s="663">
        <v>1</v>
      </c>
      <c r="F35" s="664">
        <v>0</v>
      </c>
      <c r="G35" s="670">
        <v>0</v>
      </c>
      <c r="H35" s="665"/>
      <c r="I35" s="665"/>
      <c r="J35" s="665"/>
      <c r="K35" s="665"/>
      <c r="L35" s="665"/>
    </row>
    <row r="36" spans="1:12" ht="16.5" customHeight="1" x14ac:dyDescent="0.25">
      <c r="A36" s="660" t="s">
        <v>80</v>
      </c>
      <c r="B36" s="661" t="s">
        <v>81</v>
      </c>
      <c r="C36" s="586" t="s">
        <v>266</v>
      </c>
      <c r="D36" s="662">
        <v>0</v>
      </c>
      <c r="E36" s="663">
        <v>0</v>
      </c>
      <c r="F36" s="664">
        <v>0</v>
      </c>
      <c r="G36" s="664">
        <v>0</v>
      </c>
      <c r="H36" s="665"/>
      <c r="I36" s="668"/>
      <c r="J36" s="665"/>
      <c r="K36" s="665"/>
      <c r="L36" s="665"/>
    </row>
    <row r="37" spans="1:12" ht="16.5" customHeight="1" x14ac:dyDescent="0.25">
      <c r="A37" s="660" t="s">
        <v>84</v>
      </c>
      <c r="B37" s="661" t="s">
        <v>308</v>
      </c>
      <c r="C37" s="586" t="s">
        <v>265</v>
      </c>
      <c r="D37" s="662">
        <v>12</v>
      </c>
      <c r="E37" s="663">
        <v>8</v>
      </c>
      <c r="F37" s="664">
        <v>1</v>
      </c>
      <c r="G37" s="664">
        <v>3</v>
      </c>
      <c r="H37" s="665"/>
      <c r="I37" s="669"/>
      <c r="J37" s="665"/>
      <c r="K37" s="668"/>
      <c r="L37" s="665"/>
    </row>
    <row r="38" spans="1:12" ht="16.5" customHeight="1" x14ac:dyDescent="0.25">
      <c r="A38" s="660" t="s">
        <v>86</v>
      </c>
      <c r="B38" s="661" t="s">
        <v>87</v>
      </c>
      <c r="C38" s="586" t="s">
        <v>267</v>
      </c>
      <c r="D38" s="662">
        <v>8</v>
      </c>
      <c r="E38" s="663">
        <v>7</v>
      </c>
      <c r="F38" s="664">
        <v>0</v>
      </c>
      <c r="G38" s="664">
        <v>1</v>
      </c>
      <c r="H38" s="668"/>
      <c r="I38" s="667"/>
      <c r="J38" s="668"/>
      <c r="K38" s="667"/>
      <c r="L38" s="665"/>
    </row>
    <row r="39" spans="1:12" ht="16.5" customHeight="1" x14ac:dyDescent="0.25">
      <c r="A39" s="660" t="s">
        <v>92</v>
      </c>
      <c r="B39" s="661" t="s">
        <v>93</v>
      </c>
      <c r="C39" s="586" t="s">
        <v>268</v>
      </c>
      <c r="D39" s="662">
        <v>3</v>
      </c>
      <c r="E39" s="663">
        <v>3</v>
      </c>
      <c r="F39" s="664">
        <v>0</v>
      </c>
      <c r="G39" s="670">
        <v>0</v>
      </c>
      <c r="H39" s="665"/>
      <c r="I39" s="668"/>
      <c r="J39" s="665"/>
      <c r="K39" s="665"/>
      <c r="L39" s="665"/>
    </row>
    <row r="40" spans="1:12" ht="16.5" customHeight="1" x14ac:dyDescent="0.25">
      <c r="A40" s="660" t="s">
        <v>94</v>
      </c>
      <c r="B40" s="661" t="s">
        <v>95</v>
      </c>
      <c r="C40" s="586" t="s">
        <v>264</v>
      </c>
      <c r="D40" s="662">
        <v>1</v>
      </c>
      <c r="E40" s="663">
        <v>1</v>
      </c>
      <c r="F40" s="664">
        <v>0</v>
      </c>
      <c r="G40" s="664">
        <v>0</v>
      </c>
      <c r="H40" s="665"/>
      <c r="I40" s="669"/>
      <c r="J40" s="665"/>
      <c r="K40" s="665"/>
      <c r="L40" s="665"/>
    </row>
    <row r="41" spans="1:12" ht="16.5" customHeight="1" x14ac:dyDescent="0.25">
      <c r="A41" s="660" t="s">
        <v>96</v>
      </c>
      <c r="B41" s="661" t="s">
        <v>97</v>
      </c>
      <c r="C41" s="586" t="s">
        <v>266</v>
      </c>
      <c r="D41" s="662">
        <v>3</v>
      </c>
      <c r="E41" s="663">
        <v>1</v>
      </c>
      <c r="F41" s="664">
        <v>0</v>
      </c>
      <c r="G41" s="664">
        <v>2</v>
      </c>
      <c r="H41" s="665"/>
      <c r="I41" s="665"/>
      <c r="J41" s="665"/>
      <c r="K41" s="665"/>
      <c r="L41" s="665"/>
    </row>
    <row r="42" spans="1:12" ht="16.5" customHeight="1" x14ac:dyDescent="0.25">
      <c r="A42" s="660" t="s">
        <v>98</v>
      </c>
      <c r="B42" s="661" t="s">
        <v>99</v>
      </c>
      <c r="C42" s="586" t="s">
        <v>268</v>
      </c>
      <c r="D42" s="662">
        <v>0</v>
      </c>
      <c r="E42" s="663">
        <v>0</v>
      </c>
      <c r="F42" s="664">
        <v>0</v>
      </c>
      <c r="G42" s="670">
        <v>0</v>
      </c>
      <c r="H42" s="665"/>
      <c r="I42" s="669"/>
      <c r="J42" s="665"/>
      <c r="K42" s="669"/>
      <c r="L42" s="665"/>
    </row>
    <row r="43" spans="1:12" ht="16.5" customHeight="1" x14ac:dyDescent="0.25">
      <c r="A43" s="660" t="s">
        <v>100</v>
      </c>
      <c r="B43" s="661" t="s">
        <v>101</v>
      </c>
      <c r="C43" s="586" t="s">
        <v>267</v>
      </c>
      <c r="D43" s="662">
        <v>0</v>
      </c>
      <c r="E43" s="663">
        <v>0</v>
      </c>
      <c r="F43" s="664">
        <v>0</v>
      </c>
      <c r="G43" s="664">
        <v>0</v>
      </c>
      <c r="H43" s="665"/>
      <c r="I43" s="667"/>
      <c r="J43" s="665"/>
      <c r="K43" s="665"/>
      <c r="L43" s="665"/>
    </row>
    <row r="44" spans="1:12" ht="16.5" customHeight="1" x14ac:dyDescent="0.25">
      <c r="A44" s="660" t="s">
        <v>102</v>
      </c>
      <c r="B44" s="661" t="s">
        <v>103</v>
      </c>
      <c r="C44" s="586" t="s">
        <v>264</v>
      </c>
      <c r="D44" s="662">
        <v>0</v>
      </c>
      <c r="E44" s="671">
        <v>0</v>
      </c>
      <c r="F44" s="670">
        <v>0</v>
      </c>
      <c r="G44" s="664">
        <v>0</v>
      </c>
      <c r="H44" s="665"/>
      <c r="I44" s="668"/>
      <c r="J44" s="665"/>
      <c r="K44" s="668"/>
      <c r="L44" s="665"/>
    </row>
    <row r="45" spans="1:12" ht="16.5" customHeight="1" x14ac:dyDescent="0.25">
      <c r="A45" s="660" t="s">
        <v>104</v>
      </c>
      <c r="B45" s="661" t="s">
        <v>309</v>
      </c>
      <c r="C45" s="586" t="s">
        <v>265</v>
      </c>
      <c r="D45" s="662">
        <v>5</v>
      </c>
      <c r="E45" s="663">
        <v>0</v>
      </c>
      <c r="F45" s="664">
        <v>5</v>
      </c>
      <c r="G45" s="664">
        <v>0</v>
      </c>
      <c r="H45" s="665"/>
      <c r="I45" s="667"/>
      <c r="J45" s="665"/>
      <c r="K45" s="668"/>
      <c r="L45" s="665"/>
    </row>
    <row r="46" spans="1:12" ht="16.5" customHeight="1" x14ac:dyDescent="0.25">
      <c r="A46" s="660" t="s">
        <v>108</v>
      </c>
      <c r="B46" s="661" t="s">
        <v>109</v>
      </c>
      <c r="C46" s="586" t="s">
        <v>266</v>
      </c>
      <c r="D46" s="662">
        <v>3</v>
      </c>
      <c r="E46" s="663">
        <v>2</v>
      </c>
      <c r="F46" s="664">
        <v>0</v>
      </c>
      <c r="G46" s="664">
        <v>1</v>
      </c>
      <c r="H46" s="665"/>
      <c r="I46" s="669"/>
      <c r="J46" s="665"/>
      <c r="K46" s="665"/>
      <c r="L46" s="665"/>
    </row>
    <row r="47" spans="1:12" ht="16.5" customHeight="1" x14ac:dyDescent="0.25">
      <c r="A47" s="660" t="s">
        <v>110</v>
      </c>
      <c r="B47" s="661" t="s">
        <v>111</v>
      </c>
      <c r="C47" s="586" t="s">
        <v>266</v>
      </c>
      <c r="D47" s="662">
        <v>7</v>
      </c>
      <c r="E47" s="663">
        <v>1</v>
      </c>
      <c r="F47" s="664">
        <v>2</v>
      </c>
      <c r="G47" s="664">
        <v>4</v>
      </c>
      <c r="H47" s="665"/>
      <c r="I47" s="669"/>
      <c r="J47" s="665"/>
      <c r="K47" s="665"/>
      <c r="L47" s="665"/>
    </row>
    <row r="48" spans="1:12" ht="16.5" customHeight="1" x14ac:dyDescent="0.25">
      <c r="A48" s="660" t="s">
        <v>112</v>
      </c>
      <c r="B48" s="661" t="s">
        <v>300</v>
      </c>
      <c r="C48" s="586" t="s">
        <v>265</v>
      </c>
      <c r="D48" s="662">
        <v>3</v>
      </c>
      <c r="E48" s="663">
        <v>1</v>
      </c>
      <c r="F48" s="664">
        <v>2</v>
      </c>
      <c r="G48" s="664">
        <v>0</v>
      </c>
      <c r="H48" s="665"/>
      <c r="I48" s="667"/>
      <c r="J48" s="665"/>
      <c r="K48" s="665"/>
      <c r="L48" s="665"/>
    </row>
    <row r="49" spans="1:12" ht="16.5" customHeight="1" x14ac:dyDescent="0.25">
      <c r="A49" s="660" t="s">
        <v>114</v>
      </c>
      <c r="B49" s="661" t="s">
        <v>115</v>
      </c>
      <c r="C49" s="586" t="s">
        <v>265</v>
      </c>
      <c r="D49" s="673">
        <v>0</v>
      </c>
      <c r="E49" s="674">
        <v>0</v>
      </c>
      <c r="F49" s="670">
        <v>0</v>
      </c>
      <c r="G49" s="670">
        <v>0</v>
      </c>
      <c r="H49" s="665"/>
      <c r="I49" s="665"/>
      <c r="J49" s="665"/>
      <c r="K49" s="665"/>
      <c r="L49" s="665"/>
    </row>
    <row r="50" spans="1:12" ht="16.5" customHeight="1" x14ac:dyDescent="0.25">
      <c r="A50" s="660" t="s">
        <v>118</v>
      </c>
      <c r="B50" s="661" t="s">
        <v>119</v>
      </c>
      <c r="C50" s="586" t="s">
        <v>264</v>
      </c>
      <c r="D50" s="662">
        <v>0</v>
      </c>
      <c r="E50" s="663">
        <v>0</v>
      </c>
      <c r="F50" s="664">
        <v>0</v>
      </c>
      <c r="G50" s="664">
        <v>0</v>
      </c>
      <c r="H50" s="665"/>
      <c r="I50" s="668"/>
      <c r="J50" s="665"/>
      <c r="K50" s="668"/>
      <c r="L50" s="665"/>
    </row>
    <row r="51" spans="1:12" ht="16.5" customHeight="1" x14ac:dyDescent="0.25">
      <c r="A51" s="660" t="s">
        <v>120</v>
      </c>
      <c r="B51" s="661" t="s">
        <v>121</v>
      </c>
      <c r="C51" s="586" t="s">
        <v>264</v>
      </c>
      <c r="D51" s="662">
        <v>3</v>
      </c>
      <c r="E51" s="663">
        <v>3</v>
      </c>
      <c r="F51" s="664">
        <v>0</v>
      </c>
      <c r="G51" s="664">
        <v>0</v>
      </c>
      <c r="H51" s="665"/>
      <c r="I51" s="667"/>
      <c r="J51" s="665"/>
      <c r="K51" s="665"/>
      <c r="L51" s="665"/>
    </row>
    <row r="52" spans="1:12" ht="16.5" customHeight="1" x14ac:dyDescent="0.25">
      <c r="A52" s="660" t="s">
        <v>122</v>
      </c>
      <c r="B52" s="661" t="s">
        <v>271</v>
      </c>
      <c r="C52" s="586" t="s">
        <v>266</v>
      </c>
      <c r="D52" s="662">
        <v>2</v>
      </c>
      <c r="E52" s="663">
        <v>2</v>
      </c>
      <c r="F52" s="664">
        <v>0</v>
      </c>
      <c r="G52" s="664">
        <v>0</v>
      </c>
      <c r="H52" s="665"/>
      <c r="I52" s="665"/>
      <c r="J52" s="665"/>
      <c r="K52" s="665"/>
      <c r="L52" s="665"/>
    </row>
    <row r="53" spans="1:12" ht="16.5" customHeight="1" x14ac:dyDescent="0.25">
      <c r="A53" s="660" t="s">
        <v>124</v>
      </c>
      <c r="B53" s="661" t="s">
        <v>125</v>
      </c>
      <c r="C53" s="586" t="s">
        <v>267</v>
      </c>
      <c r="D53" s="662">
        <v>0</v>
      </c>
      <c r="E53" s="663">
        <v>0</v>
      </c>
      <c r="F53" s="664">
        <v>0</v>
      </c>
      <c r="G53" s="664">
        <v>0</v>
      </c>
      <c r="H53" s="665"/>
      <c r="I53" s="668"/>
      <c r="J53" s="665"/>
      <c r="K53" s="665"/>
      <c r="L53" s="665"/>
    </row>
    <row r="54" spans="1:12" ht="16.5" customHeight="1" x14ac:dyDescent="0.25">
      <c r="A54" s="660" t="s">
        <v>126</v>
      </c>
      <c r="B54" s="661" t="s">
        <v>127</v>
      </c>
      <c r="C54" s="586" t="s">
        <v>266</v>
      </c>
      <c r="D54" s="662">
        <v>0</v>
      </c>
      <c r="E54" s="663">
        <v>0</v>
      </c>
      <c r="F54" s="664">
        <v>0</v>
      </c>
      <c r="G54" s="664">
        <v>0</v>
      </c>
      <c r="H54" s="665"/>
      <c r="I54" s="668"/>
      <c r="J54" s="665"/>
      <c r="K54" s="665"/>
      <c r="L54" s="665"/>
    </row>
    <row r="55" spans="1:12" ht="16.5" customHeight="1" x14ac:dyDescent="0.25">
      <c r="A55" s="660" t="s">
        <v>128</v>
      </c>
      <c r="B55" s="661" t="s">
        <v>129</v>
      </c>
      <c r="C55" s="586" t="s">
        <v>266</v>
      </c>
      <c r="D55" s="662">
        <v>1</v>
      </c>
      <c r="E55" s="663">
        <v>1</v>
      </c>
      <c r="F55" s="664">
        <v>0</v>
      </c>
      <c r="G55" s="664">
        <v>0</v>
      </c>
      <c r="H55" s="665"/>
      <c r="I55" s="668"/>
      <c r="J55" s="665"/>
      <c r="K55" s="665"/>
      <c r="L55" s="665"/>
    </row>
    <row r="56" spans="1:12" ht="16.5" customHeight="1" x14ac:dyDescent="0.25">
      <c r="A56" s="660" t="s">
        <v>130</v>
      </c>
      <c r="B56" s="661" t="s">
        <v>131</v>
      </c>
      <c r="C56" s="586" t="s">
        <v>268</v>
      </c>
      <c r="D56" s="662">
        <v>8</v>
      </c>
      <c r="E56" s="663">
        <v>7</v>
      </c>
      <c r="F56" s="664">
        <v>0</v>
      </c>
      <c r="G56" s="664">
        <v>1</v>
      </c>
      <c r="H56" s="665"/>
      <c r="I56" s="667"/>
      <c r="J56" s="665"/>
      <c r="K56" s="665"/>
      <c r="L56" s="665"/>
    </row>
    <row r="57" spans="1:12" ht="16.5" customHeight="1" x14ac:dyDescent="0.25">
      <c r="A57" s="660" t="s">
        <v>132</v>
      </c>
      <c r="B57" s="661" t="s">
        <v>133</v>
      </c>
      <c r="C57" s="586" t="s">
        <v>267</v>
      </c>
      <c r="D57" s="662">
        <v>10</v>
      </c>
      <c r="E57" s="663">
        <v>2</v>
      </c>
      <c r="F57" s="664">
        <v>1</v>
      </c>
      <c r="G57" s="664">
        <v>7</v>
      </c>
      <c r="H57" s="672"/>
      <c r="I57" s="667"/>
      <c r="J57" s="665"/>
      <c r="K57" s="665"/>
      <c r="L57" s="665"/>
    </row>
    <row r="58" spans="1:12" ht="16.5" customHeight="1" x14ac:dyDescent="0.25">
      <c r="A58" s="660" t="s">
        <v>134</v>
      </c>
      <c r="B58" s="661" t="s">
        <v>135</v>
      </c>
      <c r="C58" s="586" t="s">
        <v>267</v>
      </c>
      <c r="D58" s="662">
        <v>14</v>
      </c>
      <c r="E58" s="663">
        <v>8</v>
      </c>
      <c r="F58" s="664">
        <v>3</v>
      </c>
      <c r="G58" s="664">
        <v>3</v>
      </c>
      <c r="H58" s="665"/>
      <c r="I58" s="669"/>
      <c r="J58" s="665"/>
      <c r="K58" s="665"/>
      <c r="L58" s="665"/>
    </row>
    <row r="59" spans="1:12" ht="16.5" customHeight="1" x14ac:dyDescent="0.25">
      <c r="A59" s="660" t="s">
        <v>136</v>
      </c>
      <c r="B59" s="661" t="s">
        <v>137</v>
      </c>
      <c r="C59" s="586" t="s">
        <v>266</v>
      </c>
      <c r="D59" s="662">
        <v>5</v>
      </c>
      <c r="E59" s="671">
        <v>0</v>
      </c>
      <c r="F59" s="670">
        <v>4</v>
      </c>
      <c r="G59" s="664">
        <v>1</v>
      </c>
      <c r="H59" s="665"/>
      <c r="I59" s="669"/>
      <c r="J59" s="665"/>
      <c r="K59" s="665"/>
      <c r="L59" s="665"/>
    </row>
    <row r="60" spans="1:12" ht="16.5" customHeight="1" x14ac:dyDescent="0.25">
      <c r="A60" s="660" t="s">
        <v>140</v>
      </c>
      <c r="B60" s="661" t="s">
        <v>141</v>
      </c>
      <c r="C60" s="586" t="s">
        <v>267</v>
      </c>
      <c r="D60" s="662">
        <v>0</v>
      </c>
      <c r="E60" s="663">
        <v>0</v>
      </c>
      <c r="F60" s="664">
        <v>0</v>
      </c>
      <c r="G60" s="664">
        <v>0</v>
      </c>
      <c r="H60" s="665"/>
      <c r="I60" s="665"/>
      <c r="J60" s="665"/>
      <c r="K60" s="665"/>
      <c r="L60" s="665"/>
    </row>
    <row r="61" spans="1:12" ht="16.5" customHeight="1" x14ac:dyDescent="0.25">
      <c r="A61" s="660" t="s">
        <v>146</v>
      </c>
      <c r="B61" s="661" t="s">
        <v>147</v>
      </c>
      <c r="C61" s="586" t="s">
        <v>264</v>
      </c>
      <c r="D61" s="662">
        <v>0</v>
      </c>
      <c r="E61" s="663">
        <v>0</v>
      </c>
      <c r="F61" s="664">
        <v>0</v>
      </c>
      <c r="G61" s="664">
        <v>0</v>
      </c>
      <c r="H61" s="665"/>
      <c r="I61" s="668"/>
      <c r="J61" s="665"/>
      <c r="K61" s="665"/>
      <c r="L61" s="665"/>
    </row>
    <row r="62" spans="1:12" ht="16.5" customHeight="1" x14ac:dyDescent="0.25">
      <c r="A62" s="660" t="s">
        <v>148</v>
      </c>
      <c r="B62" s="661" t="s">
        <v>149</v>
      </c>
      <c r="C62" s="586" t="s">
        <v>265</v>
      </c>
      <c r="D62" s="662">
        <v>3</v>
      </c>
      <c r="E62" s="663">
        <v>0</v>
      </c>
      <c r="F62" s="664">
        <v>3</v>
      </c>
      <c r="G62" s="664">
        <v>0</v>
      </c>
      <c r="H62" s="665"/>
      <c r="I62" s="669"/>
      <c r="J62" s="665"/>
      <c r="K62" s="665"/>
      <c r="L62" s="665"/>
    </row>
    <row r="63" spans="1:12" ht="16.5" customHeight="1" x14ac:dyDescent="0.25">
      <c r="A63" s="660" t="s">
        <v>150</v>
      </c>
      <c r="B63" s="661" t="s">
        <v>151</v>
      </c>
      <c r="C63" s="586" t="s">
        <v>266</v>
      </c>
      <c r="D63" s="662">
        <v>3</v>
      </c>
      <c r="E63" s="671">
        <v>1</v>
      </c>
      <c r="F63" s="670">
        <v>2</v>
      </c>
      <c r="G63" s="664">
        <v>0</v>
      </c>
      <c r="H63" s="665"/>
      <c r="I63" s="669"/>
      <c r="J63" s="665"/>
      <c r="K63" s="665"/>
      <c r="L63" s="665"/>
    </row>
    <row r="64" spans="1:12" ht="16.5" customHeight="1" x14ac:dyDescent="0.25">
      <c r="A64" s="660" t="s">
        <v>152</v>
      </c>
      <c r="B64" s="661" t="s">
        <v>153</v>
      </c>
      <c r="C64" s="586" t="s">
        <v>268</v>
      </c>
      <c r="D64" s="662">
        <v>15</v>
      </c>
      <c r="E64" s="663">
        <v>7</v>
      </c>
      <c r="F64" s="664">
        <v>3</v>
      </c>
      <c r="G64" s="664">
        <v>5</v>
      </c>
      <c r="H64" s="665"/>
      <c r="I64" s="665"/>
      <c r="J64" s="665"/>
      <c r="K64" s="669"/>
      <c r="L64" s="665"/>
    </row>
    <row r="65" spans="1:12" ht="16.5" customHeight="1" x14ac:dyDescent="0.25">
      <c r="A65" s="660" t="s">
        <v>154</v>
      </c>
      <c r="B65" s="661" t="s">
        <v>155</v>
      </c>
      <c r="C65" s="586" t="s">
        <v>265</v>
      </c>
      <c r="D65" s="673">
        <v>0</v>
      </c>
      <c r="E65" s="674">
        <v>0</v>
      </c>
      <c r="F65" s="670">
        <v>0</v>
      </c>
      <c r="G65" s="670">
        <v>0</v>
      </c>
      <c r="H65" s="665"/>
      <c r="I65" s="665"/>
      <c r="J65" s="665"/>
      <c r="K65" s="665"/>
      <c r="L65" s="665"/>
    </row>
    <row r="66" spans="1:12" ht="16.5" customHeight="1" x14ac:dyDescent="0.25">
      <c r="A66" s="660" t="s">
        <v>156</v>
      </c>
      <c r="B66" s="661" t="s">
        <v>157</v>
      </c>
      <c r="C66" s="586" t="s">
        <v>266</v>
      </c>
      <c r="D66" s="662">
        <v>1</v>
      </c>
      <c r="E66" s="663">
        <v>1</v>
      </c>
      <c r="F66" s="664">
        <v>0</v>
      </c>
      <c r="G66" s="670">
        <v>0</v>
      </c>
      <c r="H66" s="665"/>
      <c r="I66" s="668"/>
      <c r="J66" s="665"/>
      <c r="K66" s="665"/>
      <c r="L66" s="665"/>
    </row>
    <row r="67" spans="1:12" ht="16.5" customHeight="1" x14ac:dyDescent="0.25">
      <c r="A67" s="660" t="s">
        <v>162</v>
      </c>
      <c r="B67" s="661" t="s">
        <v>163</v>
      </c>
      <c r="C67" s="586" t="s">
        <v>264</v>
      </c>
      <c r="D67" s="662">
        <v>0</v>
      </c>
      <c r="E67" s="663">
        <v>0</v>
      </c>
      <c r="F67" s="664">
        <v>0</v>
      </c>
      <c r="G67" s="664">
        <v>0</v>
      </c>
      <c r="H67" s="668"/>
      <c r="I67" s="668"/>
      <c r="J67" s="665"/>
      <c r="K67" s="665"/>
      <c r="L67" s="665"/>
    </row>
    <row r="68" spans="1:12" ht="16.5" customHeight="1" x14ac:dyDescent="0.25">
      <c r="A68" s="660" t="s">
        <v>164</v>
      </c>
      <c r="B68" s="661" t="s">
        <v>165</v>
      </c>
      <c r="C68" s="586" t="s">
        <v>266</v>
      </c>
      <c r="D68" s="662">
        <v>0</v>
      </c>
      <c r="E68" s="663">
        <v>0</v>
      </c>
      <c r="F68" s="664">
        <v>0</v>
      </c>
      <c r="G68" s="664">
        <v>0</v>
      </c>
      <c r="H68" s="665"/>
      <c r="I68" s="668"/>
      <c r="J68" s="665"/>
      <c r="K68" s="665"/>
      <c r="L68" s="665"/>
    </row>
    <row r="69" spans="1:12" ht="16.5" customHeight="1" x14ac:dyDescent="0.25">
      <c r="A69" s="660" t="s">
        <v>168</v>
      </c>
      <c r="B69" s="661" t="s">
        <v>169</v>
      </c>
      <c r="C69" s="586" t="s">
        <v>266</v>
      </c>
      <c r="D69" s="662">
        <v>1</v>
      </c>
      <c r="E69" s="663">
        <v>0</v>
      </c>
      <c r="F69" s="664">
        <v>1</v>
      </c>
      <c r="G69" s="664">
        <v>0</v>
      </c>
      <c r="H69" s="665"/>
      <c r="I69" s="667"/>
      <c r="J69" s="665"/>
      <c r="K69" s="665"/>
      <c r="L69" s="665"/>
    </row>
    <row r="70" spans="1:12" ht="16.5" customHeight="1" x14ac:dyDescent="0.25">
      <c r="A70" s="660" t="s">
        <v>170</v>
      </c>
      <c r="B70" s="661" t="s">
        <v>171</v>
      </c>
      <c r="C70" s="586" t="s">
        <v>267</v>
      </c>
      <c r="D70" s="662">
        <v>3</v>
      </c>
      <c r="E70" s="663">
        <v>3</v>
      </c>
      <c r="F70" s="664">
        <v>0</v>
      </c>
      <c r="G70" s="664">
        <v>0</v>
      </c>
      <c r="H70" s="665"/>
      <c r="I70" s="667"/>
      <c r="J70" s="665"/>
      <c r="K70" s="668"/>
      <c r="L70" s="665"/>
    </row>
    <row r="71" spans="1:12" ht="16.5" customHeight="1" x14ac:dyDescent="0.25">
      <c r="A71" s="660" t="s">
        <v>172</v>
      </c>
      <c r="B71" s="661" t="s">
        <v>173</v>
      </c>
      <c r="C71" s="586" t="s">
        <v>267</v>
      </c>
      <c r="D71" s="662">
        <v>2</v>
      </c>
      <c r="E71" s="663">
        <v>2</v>
      </c>
      <c r="F71" s="664">
        <v>0</v>
      </c>
      <c r="G71" s="670">
        <v>0</v>
      </c>
      <c r="H71" s="665"/>
      <c r="I71" s="665"/>
      <c r="J71" s="665"/>
      <c r="K71" s="665"/>
      <c r="L71" s="665"/>
    </row>
    <row r="72" spans="1:12" ht="16.5" customHeight="1" x14ac:dyDescent="0.25">
      <c r="A72" s="660" t="s">
        <v>174</v>
      </c>
      <c r="B72" s="661" t="s">
        <v>175</v>
      </c>
      <c r="C72" s="586" t="s">
        <v>268</v>
      </c>
      <c r="D72" s="662">
        <v>0</v>
      </c>
      <c r="E72" s="663">
        <v>0</v>
      </c>
      <c r="F72" s="664">
        <v>0</v>
      </c>
      <c r="G72" s="670">
        <v>0</v>
      </c>
      <c r="H72" s="665"/>
      <c r="I72" s="665"/>
      <c r="J72" s="665"/>
      <c r="K72" s="665"/>
      <c r="L72" s="665"/>
    </row>
    <row r="73" spans="1:12" ht="16.5" customHeight="1" x14ac:dyDescent="0.25">
      <c r="A73" s="660" t="s">
        <v>178</v>
      </c>
      <c r="B73" s="661" t="s">
        <v>179</v>
      </c>
      <c r="C73" s="586" t="s">
        <v>265</v>
      </c>
      <c r="D73" s="662">
        <v>0</v>
      </c>
      <c r="E73" s="663">
        <v>0</v>
      </c>
      <c r="F73" s="664">
        <v>0</v>
      </c>
      <c r="G73" s="664">
        <v>0</v>
      </c>
      <c r="H73" s="665"/>
      <c r="I73" s="669"/>
      <c r="J73" s="665"/>
      <c r="K73" s="669"/>
      <c r="L73" s="665"/>
    </row>
    <row r="74" spans="1:12" ht="16.5" customHeight="1" x14ac:dyDescent="0.25">
      <c r="A74" s="660" t="s">
        <v>182</v>
      </c>
      <c r="B74" s="661" t="s">
        <v>183</v>
      </c>
      <c r="C74" s="586" t="s">
        <v>266</v>
      </c>
      <c r="D74" s="662">
        <v>0</v>
      </c>
      <c r="E74" s="663">
        <v>0</v>
      </c>
      <c r="F74" s="664">
        <v>0</v>
      </c>
      <c r="G74" s="670">
        <v>0</v>
      </c>
      <c r="H74" s="665"/>
      <c r="I74" s="669"/>
      <c r="J74" s="665"/>
      <c r="K74" s="665"/>
      <c r="L74" s="665"/>
    </row>
    <row r="75" spans="1:12" ht="16.5" customHeight="1" x14ac:dyDescent="0.25">
      <c r="A75" s="660" t="s">
        <v>184</v>
      </c>
      <c r="B75" s="661" t="s">
        <v>185</v>
      </c>
      <c r="C75" s="586" t="s">
        <v>266</v>
      </c>
      <c r="D75" s="662">
        <v>7</v>
      </c>
      <c r="E75" s="663">
        <v>3</v>
      </c>
      <c r="F75" s="664">
        <v>3</v>
      </c>
      <c r="G75" s="664">
        <v>1</v>
      </c>
      <c r="H75" s="665"/>
      <c r="I75" s="667"/>
      <c r="J75" s="665"/>
      <c r="K75" s="665"/>
      <c r="L75" s="665"/>
    </row>
    <row r="76" spans="1:12" ht="16.5" customHeight="1" x14ac:dyDescent="0.25">
      <c r="A76" s="660" t="s">
        <v>186</v>
      </c>
      <c r="B76" s="661" t="s">
        <v>187</v>
      </c>
      <c r="C76" s="586" t="s">
        <v>264</v>
      </c>
      <c r="D76" s="662">
        <v>2</v>
      </c>
      <c r="E76" s="663">
        <v>2</v>
      </c>
      <c r="F76" s="664">
        <v>0</v>
      </c>
      <c r="G76" s="664">
        <v>0</v>
      </c>
      <c r="H76" s="665"/>
      <c r="I76" s="668"/>
      <c r="J76" s="665"/>
      <c r="K76" s="665"/>
      <c r="L76" s="665"/>
    </row>
    <row r="77" spans="1:12" ht="16.5" customHeight="1" x14ac:dyDescent="0.25">
      <c r="A77" s="660" t="s">
        <v>188</v>
      </c>
      <c r="B77" s="661" t="s">
        <v>189</v>
      </c>
      <c r="C77" s="586" t="s">
        <v>267</v>
      </c>
      <c r="D77" s="662">
        <v>7</v>
      </c>
      <c r="E77" s="663">
        <v>1</v>
      </c>
      <c r="F77" s="664">
        <v>6</v>
      </c>
      <c r="G77" s="664">
        <v>0</v>
      </c>
      <c r="H77" s="665"/>
      <c r="I77" s="669"/>
      <c r="J77" s="665"/>
      <c r="K77" s="667"/>
      <c r="L77" s="665"/>
    </row>
    <row r="78" spans="1:12" ht="16.5" customHeight="1" x14ac:dyDescent="0.25">
      <c r="A78" s="660" t="s">
        <v>190</v>
      </c>
      <c r="B78" s="661" t="s">
        <v>191</v>
      </c>
      <c r="C78" s="586" t="s">
        <v>268</v>
      </c>
      <c r="D78" s="662">
        <v>12</v>
      </c>
      <c r="E78" s="663">
        <v>8</v>
      </c>
      <c r="F78" s="664">
        <v>0</v>
      </c>
      <c r="G78" s="664">
        <v>4</v>
      </c>
      <c r="H78" s="665"/>
      <c r="I78" s="669"/>
      <c r="J78" s="665"/>
      <c r="K78" s="665"/>
      <c r="L78" s="665"/>
    </row>
    <row r="79" spans="1:12" ht="16.5" customHeight="1" x14ac:dyDescent="0.25">
      <c r="A79" s="660" t="s">
        <v>194</v>
      </c>
      <c r="B79" s="661" t="s">
        <v>195</v>
      </c>
      <c r="C79" s="586" t="s">
        <v>267</v>
      </c>
      <c r="D79" s="662">
        <v>0</v>
      </c>
      <c r="E79" s="663">
        <v>0</v>
      </c>
      <c r="F79" s="664">
        <v>0</v>
      </c>
      <c r="G79" s="670">
        <v>0</v>
      </c>
      <c r="H79" s="665"/>
      <c r="I79" s="665"/>
      <c r="J79" s="665"/>
      <c r="K79" s="665"/>
      <c r="L79" s="665"/>
    </row>
    <row r="80" spans="1:12" ht="16.5" customHeight="1" x14ac:dyDescent="0.25">
      <c r="A80" s="660" t="s">
        <v>198</v>
      </c>
      <c r="B80" s="661" t="s">
        <v>199</v>
      </c>
      <c r="C80" s="586" t="s">
        <v>266</v>
      </c>
      <c r="D80" s="662">
        <v>0</v>
      </c>
      <c r="E80" s="663">
        <v>0</v>
      </c>
      <c r="F80" s="664">
        <v>0</v>
      </c>
      <c r="G80" s="664">
        <v>0</v>
      </c>
      <c r="H80" s="665"/>
      <c r="I80" s="668"/>
      <c r="J80" s="665"/>
      <c r="K80" s="665"/>
      <c r="L80" s="665"/>
    </row>
    <row r="81" spans="1:12" ht="16.5" customHeight="1" x14ac:dyDescent="0.25">
      <c r="A81" s="660" t="s">
        <v>202</v>
      </c>
      <c r="B81" s="661" t="s">
        <v>203</v>
      </c>
      <c r="C81" s="586" t="s">
        <v>265</v>
      </c>
      <c r="D81" s="662">
        <v>8</v>
      </c>
      <c r="E81" s="663">
        <v>8</v>
      </c>
      <c r="F81" s="664">
        <v>0</v>
      </c>
      <c r="G81" s="664">
        <v>0</v>
      </c>
      <c r="H81" s="665"/>
      <c r="I81" s="667"/>
      <c r="J81" s="668"/>
      <c r="K81" s="665"/>
      <c r="L81" s="665"/>
    </row>
    <row r="82" spans="1:12" ht="16.5" customHeight="1" x14ac:dyDescent="0.25">
      <c r="A82" s="660" t="s">
        <v>204</v>
      </c>
      <c r="B82" s="661" t="s">
        <v>205</v>
      </c>
      <c r="C82" s="586" t="s">
        <v>265</v>
      </c>
      <c r="D82" s="662">
        <v>1</v>
      </c>
      <c r="E82" s="663">
        <v>1</v>
      </c>
      <c r="F82" s="664">
        <v>0</v>
      </c>
      <c r="G82" s="670">
        <v>0</v>
      </c>
      <c r="H82" s="665"/>
      <c r="I82" s="669"/>
      <c r="J82" s="665"/>
      <c r="K82" s="665"/>
      <c r="L82" s="665"/>
    </row>
    <row r="83" spans="1:12" ht="16.5" customHeight="1" x14ac:dyDescent="0.25">
      <c r="A83" s="660" t="s">
        <v>206</v>
      </c>
      <c r="B83" s="661" t="s">
        <v>207</v>
      </c>
      <c r="C83" s="586" t="s">
        <v>267</v>
      </c>
      <c r="D83" s="662">
        <v>36</v>
      </c>
      <c r="E83" s="663">
        <v>18</v>
      </c>
      <c r="F83" s="664">
        <v>1</v>
      </c>
      <c r="G83" s="664">
        <v>17</v>
      </c>
      <c r="H83" s="665"/>
      <c r="I83" s="669"/>
      <c r="J83" s="665"/>
      <c r="K83" s="669"/>
      <c r="L83" s="665"/>
    </row>
    <row r="84" spans="1:12" ht="16.5" customHeight="1" x14ac:dyDescent="0.25">
      <c r="A84" s="660" t="s">
        <v>208</v>
      </c>
      <c r="B84" s="661" t="s">
        <v>209</v>
      </c>
      <c r="C84" s="586" t="s">
        <v>268</v>
      </c>
      <c r="D84" s="662">
        <v>14</v>
      </c>
      <c r="E84" s="663">
        <v>14</v>
      </c>
      <c r="F84" s="664">
        <v>0</v>
      </c>
      <c r="G84" s="670">
        <v>0</v>
      </c>
      <c r="H84" s="665"/>
      <c r="I84" s="668"/>
      <c r="J84" s="665"/>
      <c r="K84" s="665"/>
      <c r="L84" s="665"/>
    </row>
    <row r="85" spans="1:12" ht="16.5" customHeight="1" x14ac:dyDescent="0.25">
      <c r="A85" s="660" t="s">
        <v>210</v>
      </c>
      <c r="B85" s="661" t="s">
        <v>211</v>
      </c>
      <c r="C85" s="586" t="s">
        <v>268</v>
      </c>
      <c r="D85" s="662">
        <v>2</v>
      </c>
      <c r="E85" s="663">
        <v>2</v>
      </c>
      <c r="F85" s="664">
        <v>0</v>
      </c>
      <c r="G85" s="670">
        <v>0</v>
      </c>
      <c r="H85" s="665"/>
      <c r="I85" s="668"/>
      <c r="J85" s="665"/>
      <c r="K85" s="665"/>
      <c r="L85" s="665"/>
    </row>
    <row r="86" spans="1:12" ht="16.5" customHeight="1" x14ac:dyDescent="0.25">
      <c r="A86" s="660" t="s">
        <v>212</v>
      </c>
      <c r="B86" s="661" t="s">
        <v>213</v>
      </c>
      <c r="C86" s="586" t="s">
        <v>267</v>
      </c>
      <c r="D86" s="662">
        <v>5</v>
      </c>
      <c r="E86" s="663">
        <v>5</v>
      </c>
      <c r="F86" s="664">
        <v>0</v>
      </c>
      <c r="G86" s="664">
        <v>0</v>
      </c>
      <c r="H86" s="665"/>
      <c r="I86" s="667"/>
      <c r="J86" s="665"/>
      <c r="K86" s="665"/>
      <c r="L86" s="665"/>
    </row>
    <row r="87" spans="1:12" ht="16.5" customHeight="1" x14ac:dyDescent="0.25">
      <c r="A87" s="660" t="s">
        <v>214</v>
      </c>
      <c r="B87" s="661" t="s">
        <v>215</v>
      </c>
      <c r="C87" s="586" t="s">
        <v>268</v>
      </c>
      <c r="D87" s="662">
        <v>0</v>
      </c>
      <c r="E87" s="663">
        <v>0</v>
      </c>
      <c r="F87" s="664">
        <v>0</v>
      </c>
      <c r="G87" s="670">
        <v>0</v>
      </c>
      <c r="H87" s="665"/>
      <c r="I87" s="669"/>
      <c r="J87" s="665"/>
      <c r="K87" s="665"/>
      <c r="L87" s="665"/>
    </row>
    <row r="88" spans="1:12" ht="16.5" customHeight="1" x14ac:dyDescent="0.25">
      <c r="A88" s="660" t="s">
        <v>216</v>
      </c>
      <c r="B88" s="661" t="s">
        <v>217</v>
      </c>
      <c r="C88" s="586" t="s">
        <v>264</v>
      </c>
      <c r="D88" s="662">
        <v>0</v>
      </c>
      <c r="E88" s="663">
        <v>0</v>
      </c>
      <c r="F88" s="664">
        <v>0</v>
      </c>
      <c r="G88" s="664">
        <v>0</v>
      </c>
      <c r="H88" s="665"/>
      <c r="I88" s="665"/>
      <c r="J88" s="665"/>
      <c r="K88" s="669"/>
      <c r="L88" s="665"/>
    </row>
    <row r="89" spans="1:12" ht="16.5" customHeight="1" x14ac:dyDescent="0.25">
      <c r="A89" s="660" t="s">
        <v>218</v>
      </c>
      <c r="B89" s="661" t="s">
        <v>219</v>
      </c>
      <c r="C89" s="586" t="s">
        <v>267</v>
      </c>
      <c r="D89" s="662">
        <v>8</v>
      </c>
      <c r="E89" s="663">
        <v>6</v>
      </c>
      <c r="F89" s="664">
        <v>2</v>
      </c>
      <c r="G89" s="664">
        <v>0</v>
      </c>
      <c r="H89" s="665"/>
      <c r="I89" s="668"/>
      <c r="J89" s="665"/>
      <c r="K89" s="668"/>
      <c r="L89" s="665"/>
    </row>
    <row r="90" spans="1:12" ht="16.5" customHeight="1" x14ac:dyDescent="0.25">
      <c r="A90" s="660" t="s">
        <v>220</v>
      </c>
      <c r="B90" s="661" t="s">
        <v>221</v>
      </c>
      <c r="C90" s="586" t="s">
        <v>267</v>
      </c>
      <c r="D90" s="662">
        <v>12</v>
      </c>
      <c r="E90" s="663">
        <v>3</v>
      </c>
      <c r="F90" s="664">
        <v>3</v>
      </c>
      <c r="G90" s="664">
        <v>6</v>
      </c>
      <c r="H90" s="665"/>
      <c r="I90" s="667"/>
      <c r="J90" s="665"/>
      <c r="K90" s="667"/>
      <c r="L90" s="665"/>
    </row>
    <row r="91" spans="1:12" ht="16.5" customHeight="1" x14ac:dyDescent="0.25">
      <c r="A91" s="660" t="s">
        <v>224</v>
      </c>
      <c r="B91" s="661" t="s">
        <v>225</v>
      </c>
      <c r="C91" s="586" t="s">
        <v>264</v>
      </c>
      <c r="D91" s="662">
        <v>0</v>
      </c>
      <c r="E91" s="671">
        <v>0</v>
      </c>
      <c r="F91" s="670">
        <v>0</v>
      </c>
      <c r="G91" s="664">
        <v>0</v>
      </c>
      <c r="H91" s="665"/>
      <c r="I91" s="668"/>
      <c r="J91" s="665"/>
      <c r="K91" s="665"/>
      <c r="L91" s="665"/>
    </row>
    <row r="92" spans="1:12" ht="16.5" customHeight="1" x14ac:dyDescent="0.25">
      <c r="A92" s="660" t="s">
        <v>226</v>
      </c>
      <c r="B92" s="661" t="s">
        <v>227</v>
      </c>
      <c r="C92" s="586" t="s">
        <v>264</v>
      </c>
      <c r="D92" s="662">
        <v>2</v>
      </c>
      <c r="E92" s="663">
        <v>0</v>
      </c>
      <c r="F92" s="664">
        <v>2</v>
      </c>
      <c r="G92" s="664">
        <v>0</v>
      </c>
      <c r="H92" s="665"/>
      <c r="I92" s="668"/>
      <c r="J92" s="665"/>
      <c r="K92" s="665"/>
      <c r="L92" s="665"/>
    </row>
    <row r="93" spans="1:12" ht="16.5" customHeight="1" x14ac:dyDescent="0.25">
      <c r="A93" s="660" t="s">
        <v>228</v>
      </c>
      <c r="B93" s="661" t="s">
        <v>229</v>
      </c>
      <c r="C93" s="586" t="s">
        <v>268</v>
      </c>
      <c r="D93" s="662">
        <v>22</v>
      </c>
      <c r="E93" s="663">
        <v>22</v>
      </c>
      <c r="F93" s="664">
        <v>0</v>
      </c>
      <c r="G93" s="664">
        <v>0</v>
      </c>
      <c r="H93" s="665"/>
      <c r="I93" s="668"/>
      <c r="J93" s="665"/>
      <c r="K93" s="665"/>
      <c r="L93" s="665"/>
    </row>
    <row r="94" spans="1:12" ht="16.5" customHeight="1" x14ac:dyDescent="0.25">
      <c r="A94" s="660" t="s">
        <v>232</v>
      </c>
      <c r="B94" s="661" t="s">
        <v>233</v>
      </c>
      <c r="C94" s="586" t="s">
        <v>267</v>
      </c>
      <c r="D94" s="662">
        <v>3</v>
      </c>
      <c r="E94" s="663">
        <v>3</v>
      </c>
      <c r="F94" s="664">
        <v>0</v>
      </c>
      <c r="G94" s="664">
        <v>0</v>
      </c>
      <c r="H94" s="665"/>
      <c r="I94" s="669"/>
      <c r="J94" s="665"/>
      <c r="K94" s="665"/>
      <c r="L94" s="665"/>
    </row>
    <row r="95" spans="1:12" ht="16.5" customHeight="1" x14ac:dyDescent="0.25">
      <c r="A95" s="660" t="s">
        <v>234</v>
      </c>
      <c r="B95" s="661" t="s">
        <v>235</v>
      </c>
      <c r="C95" s="586" t="s">
        <v>268</v>
      </c>
      <c r="D95" s="662">
        <v>13</v>
      </c>
      <c r="E95" s="663">
        <v>13</v>
      </c>
      <c r="F95" s="664">
        <v>0</v>
      </c>
      <c r="G95" s="670">
        <v>0</v>
      </c>
      <c r="H95" s="665"/>
      <c r="I95" s="667"/>
      <c r="J95" s="665"/>
      <c r="K95" s="668"/>
      <c r="L95" s="665"/>
    </row>
    <row r="96" spans="1:12" ht="16.5" customHeight="1" x14ac:dyDescent="0.25">
      <c r="A96" s="660" t="s">
        <v>236</v>
      </c>
      <c r="B96" s="661" t="s">
        <v>237</v>
      </c>
      <c r="C96" s="586" t="s">
        <v>266</v>
      </c>
      <c r="D96" s="662">
        <v>0</v>
      </c>
      <c r="E96" s="663">
        <v>0</v>
      </c>
      <c r="F96" s="664">
        <v>0</v>
      </c>
      <c r="G96" s="664">
        <v>0</v>
      </c>
      <c r="H96" s="665"/>
      <c r="I96" s="667"/>
      <c r="J96" s="665"/>
      <c r="K96" s="665"/>
      <c r="L96" s="665"/>
    </row>
    <row r="97" spans="1:12" ht="16.5" customHeight="1" x14ac:dyDescent="0.25">
      <c r="A97" s="660" t="s">
        <v>242</v>
      </c>
      <c r="B97" s="661" t="s">
        <v>243</v>
      </c>
      <c r="C97" s="586" t="s">
        <v>268</v>
      </c>
      <c r="D97" s="662">
        <v>9</v>
      </c>
      <c r="E97" s="663">
        <v>9</v>
      </c>
      <c r="F97" s="664">
        <v>0</v>
      </c>
      <c r="G97" s="664">
        <v>0</v>
      </c>
      <c r="H97" s="665"/>
      <c r="I97" s="665"/>
      <c r="J97" s="665"/>
      <c r="K97" s="665"/>
      <c r="L97" s="665"/>
    </row>
    <row r="98" spans="1:12" ht="16.5" customHeight="1" x14ac:dyDescent="0.25">
      <c r="A98" s="660" t="s">
        <v>244</v>
      </c>
      <c r="B98" s="661" t="s">
        <v>245</v>
      </c>
      <c r="C98" s="586" t="s">
        <v>268</v>
      </c>
      <c r="D98" s="662">
        <v>3</v>
      </c>
      <c r="E98" s="663">
        <v>3</v>
      </c>
      <c r="F98" s="664">
        <v>0</v>
      </c>
      <c r="G98" s="670">
        <v>0</v>
      </c>
      <c r="H98" s="665"/>
      <c r="I98" s="665"/>
      <c r="J98" s="665"/>
      <c r="K98" s="665"/>
      <c r="L98" s="665"/>
    </row>
    <row r="99" spans="1:12" ht="16.5" customHeight="1" x14ac:dyDescent="0.25">
      <c r="A99" s="660" t="s">
        <v>246</v>
      </c>
      <c r="B99" s="661" t="s">
        <v>310</v>
      </c>
      <c r="C99" s="586" t="s">
        <v>264</v>
      </c>
      <c r="D99" s="662">
        <v>2</v>
      </c>
      <c r="E99" s="663">
        <v>1</v>
      </c>
      <c r="F99" s="664">
        <v>0</v>
      </c>
      <c r="G99" s="664">
        <v>1</v>
      </c>
      <c r="H99" s="665"/>
      <c r="I99" s="667"/>
      <c r="J99" s="665"/>
      <c r="K99" s="668"/>
      <c r="L99" s="665"/>
    </row>
    <row r="100" spans="1:12" ht="16.5" customHeight="1" x14ac:dyDescent="0.25">
      <c r="A100" s="660" t="s">
        <v>14</v>
      </c>
      <c r="B100" s="661" t="s">
        <v>15</v>
      </c>
      <c r="C100" s="586" t="s">
        <v>267</v>
      </c>
      <c r="D100" s="662">
        <v>10</v>
      </c>
      <c r="E100" s="663">
        <v>0</v>
      </c>
      <c r="F100" s="664">
        <v>9</v>
      </c>
      <c r="G100" s="664">
        <v>1</v>
      </c>
      <c r="H100" s="665"/>
      <c r="I100" s="669"/>
      <c r="J100" s="665"/>
      <c r="K100" s="669"/>
      <c r="L100" s="665"/>
    </row>
    <row r="101" spans="1:12" ht="16.5" customHeight="1" x14ac:dyDescent="0.25">
      <c r="A101" s="660" t="s">
        <v>34</v>
      </c>
      <c r="B101" s="661" t="s">
        <v>35</v>
      </c>
      <c r="C101" s="586" t="s">
        <v>268</v>
      </c>
      <c r="D101" s="662">
        <v>4</v>
      </c>
      <c r="E101" s="663">
        <v>4</v>
      </c>
      <c r="F101" s="664">
        <v>0</v>
      </c>
      <c r="G101" s="670">
        <v>0</v>
      </c>
      <c r="H101" s="665"/>
      <c r="I101" s="667"/>
      <c r="J101" s="665"/>
      <c r="K101" s="668"/>
      <c r="L101" s="665"/>
    </row>
    <row r="102" spans="1:12" ht="16.5" customHeight="1" x14ac:dyDescent="0.25">
      <c r="A102" s="660" t="s">
        <v>52</v>
      </c>
      <c r="B102" s="661" t="s">
        <v>53</v>
      </c>
      <c r="C102" s="586" t="s">
        <v>265</v>
      </c>
      <c r="D102" s="662">
        <v>11</v>
      </c>
      <c r="E102" s="663">
        <v>2</v>
      </c>
      <c r="F102" s="664">
        <v>1</v>
      </c>
      <c r="G102" s="664">
        <v>8</v>
      </c>
      <c r="H102" s="665"/>
      <c r="I102" s="667"/>
      <c r="J102" s="665"/>
      <c r="K102" s="665"/>
      <c r="L102" s="665"/>
    </row>
    <row r="103" spans="1:12" ht="16.5" customHeight="1" x14ac:dyDescent="0.25">
      <c r="A103" s="660" t="s">
        <v>54</v>
      </c>
      <c r="B103" s="661" t="s">
        <v>55</v>
      </c>
      <c r="C103" s="586" t="s">
        <v>264</v>
      </c>
      <c r="D103" s="662">
        <v>5</v>
      </c>
      <c r="E103" s="663">
        <v>2</v>
      </c>
      <c r="F103" s="664">
        <v>3</v>
      </c>
      <c r="G103" s="664">
        <v>0</v>
      </c>
      <c r="H103" s="665"/>
      <c r="I103" s="667"/>
      <c r="J103" s="665"/>
      <c r="K103" s="665"/>
      <c r="L103" s="665"/>
    </row>
    <row r="104" spans="1:12" ht="16.5" customHeight="1" x14ac:dyDescent="0.25">
      <c r="A104" s="660" t="s">
        <v>66</v>
      </c>
      <c r="B104" s="661" t="s">
        <v>67</v>
      </c>
      <c r="C104" s="586" t="s">
        <v>265</v>
      </c>
      <c r="D104" s="662">
        <v>3</v>
      </c>
      <c r="E104" s="663">
        <v>1</v>
      </c>
      <c r="F104" s="664">
        <v>2</v>
      </c>
      <c r="G104" s="664">
        <v>0</v>
      </c>
      <c r="H104" s="665"/>
      <c r="I104" s="667"/>
      <c r="J104" s="665"/>
      <c r="K104" s="668"/>
      <c r="L104" s="665"/>
    </row>
    <row r="105" spans="1:12" ht="16.5" customHeight="1" x14ac:dyDescent="0.25">
      <c r="A105" s="660" t="s">
        <v>82</v>
      </c>
      <c r="B105" s="661" t="s">
        <v>311</v>
      </c>
      <c r="C105" s="586" t="s">
        <v>264</v>
      </c>
      <c r="D105" s="662">
        <v>0</v>
      </c>
      <c r="E105" s="663">
        <v>0</v>
      </c>
      <c r="F105" s="664">
        <v>0</v>
      </c>
      <c r="G105" s="664">
        <v>0</v>
      </c>
      <c r="H105" s="665"/>
      <c r="I105" s="665"/>
      <c r="J105" s="665"/>
      <c r="K105" s="665"/>
      <c r="L105" s="665"/>
    </row>
    <row r="106" spans="1:12" ht="16.5" customHeight="1" x14ac:dyDescent="0.25">
      <c r="A106" s="660" t="s">
        <v>88</v>
      </c>
      <c r="B106" s="661" t="s">
        <v>89</v>
      </c>
      <c r="C106" s="586" t="s">
        <v>267</v>
      </c>
      <c r="D106" s="662">
        <v>6</v>
      </c>
      <c r="E106" s="663">
        <v>1</v>
      </c>
      <c r="F106" s="664">
        <v>3</v>
      </c>
      <c r="G106" s="664">
        <v>2</v>
      </c>
      <c r="H106" s="665"/>
      <c r="I106" s="669"/>
      <c r="J106" s="665"/>
      <c r="K106" s="669"/>
      <c r="L106" s="665"/>
    </row>
    <row r="107" spans="1:12" ht="16.5" customHeight="1" x14ac:dyDescent="0.25">
      <c r="A107" s="660" t="s">
        <v>90</v>
      </c>
      <c r="B107" s="661" t="s">
        <v>91</v>
      </c>
      <c r="C107" s="586" t="s">
        <v>268</v>
      </c>
      <c r="D107" s="662">
        <v>0</v>
      </c>
      <c r="E107" s="663">
        <v>0</v>
      </c>
      <c r="F107" s="664">
        <v>0</v>
      </c>
      <c r="G107" s="664">
        <v>0</v>
      </c>
      <c r="H107" s="665"/>
      <c r="I107" s="668"/>
      <c r="J107" s="665"/>
      <c r="K107" s="665"/>
      <c r="L107" s="665"/>
    </row>
    <row r="108" spans="1:12" ht="16.5" customHeight="1" x14ac:dyDescent="0.25">
      <c r="A108" s="660" t="s">
        <v>106</v>
      </c>
      <c r="B108" s="661" t="s">
        <v>107</v>
      </c>
      <c r="C108" s="586" t="s">
        <v>264</v>
      </c>
      <c r="D108" s="662">
        <v>0</v>
      </c>
      <c r="E108" s="663">
        <v>0</v>
      </c>
      <c r="F108" s="664">
        <v>0</v>
      </c>
      <c r="G108" s="664">
        <v>0</v>
      </c>
      <c r="H108" s="665"/>
      <c r="I108" s="667"/>
      <c r="J108" s="665"/>
      <c r="K108" s="665"/>
      <c r="L108" s="665"/>
    </row>
    <row r="109" spans="1:12" ht="16.5" customHeight="1" x14ac:dyDescent="0.25">
      <c r="A109" s="660" t="s">
        <v>116</v>
      </c>
      <c r="B109" s="661" t="s">
        <v>117</v>
      </c>
      <c r="C109" s="586" t="s">
        <v>266</v>
      </c>
      <c r="D109" s="662">
        <v>4</v>
      </c>
      <c r="E109" s="663">
        <v>1</v>
      </c>
      <c r="F109" s="664">
        <v>3</v>
      </c>
      <c r="G109" s="664">
        <v>0</v>
      </c>
      <c r="H109" s="665"/>
      <c r="I109" s="665"/>
      <c r="J109" s="665"/>
      <c r="K109" s="668"/>
      <c r="L109" s="665"/>
    </row>
    <row r="110" spans="1:12" ht="16.5" customHeight="1" x14ac:dyDescent="0.25">
      <c r="A110" s="660" t="s">
        <v>138</v>
      </c>
      <c r="B110" s="661" t="s">
        <v>139</v>
      </c>
      <c r="C110" s="586" t="s">
        <v>265</v>
      </c>
      <c r="D110" s="662">
        <v>24</v>
      </c>
      <c r="E110" s="663">
        <v>8</v>
      </c>
      <c r="F110" s="664">
        <v>15</v>
      </c>
      <c r="G110" s="664">
        <v>1</v>
      </c>
      <c r="H110" s="665"/>
      <c r="I110" s="669"/>
      <c r="J110" s="665"/>
      <c r="K110" s="669"/>
      <c r="L110" s="665"/>
    </row>
    <row r="111" spans="1:12" ht="16.5" customHeight="1" x14ac:dyDescent="0.25">
      <c r="A111" s="660" t="s">
        <v>142</v>
      </c>
      <c r="B111" s="661" t="s">
        <v>143</v>
      </c>
      <c r="C111" s="586" t="s">
        <v>267</v>
      </c>
      <c r="D111" s="662">
        <v>0</v>
      </c>
      <c r="E111" s="663">
        <v>0</v>
      </c>
      <c r="F111" s="664">
        <v>0</v>
      </c>
      <c r="G111" s="664">
        <v>0</v>
      </c>
      <c r="H111" s="665"/>
      <c r="I111" s="668"/>
      <c r="J111" s="665"/>
      <c r="K111" s="668"/>
      <c r="L111" s="665"/>
    </row>
    <row r="112" spans="1:12" ht="16.5" customHeight="1" x14ac:dyDescent="0.25">
      <c r="A112" s="660" t="s">
        <v>144</v>
      </c>
      <c r="B112" s="661" t="s">
        <v>145</v>
      </c>
      <c r="C112" s="586" t="s">
        <v>267</v>
      </c>
      <c r="D112" s="662">
        <v>0</v>
      </c>
      <c r="E112" s="663">
        <v>0</v>
      </c>
      <c r="F112" s="664">
        <v>0</v>
      </c>
      <c r="G112" s="670">
        <v>0</v>
      </c>
      <c r="H112" s="665"/>
      <c r="I112" s="665"/>
      <c r="J112" s="665"/>
      <c r="K112" s="665"/>
      <c r="L112" s="665"/>
    </row>
    <row r="113" spans="1:14" ht="16.5" customHeight="1" x14ac:dyDescent="0.25">
      <c r="A113" s="660" t="s">
        <v>158</v>
      </c>
      <c r="B113" s="661" t="s">
        <v>159</v>
      </c>
      <c r="C113" s="586" t="s">
        <v>264</v>
      </c>
      <c r="D113" s="662">
        <v>18</v>
      </c>
      <c r="E113" s="663">
        <v>3</v>
      </c>
      <c r="F113" s="664">
        <v>12</v>
      </c>
      <c r="G113" s="664">
        <v>3</v>
      </c>
      <c r="H113" s="665"/>
      <c r="I113" s="669"/>
      <c r="J113" s="665"/>
      <c r="K113" s="665"/>
      <c r="L113" s="665"/>
    </row>
    <row r="114" spans="1:14" ht="16.5" customHeight="1" x14ac:dyDescent="0.25">
      <c r="A114" s="660" t="s">
        <v>160</v>
      </c>
      <c r="B114" s="661" t="s">
        <v>161</v>
      </c>
      <c r="C114" s="586" t="s">
        <v>264</v>
      </c>
      <c r="D114" s="662">
        <v>34</v>
      </c>
      <c r="E114" s="663">
        <v>7</v>
      </c>
      <c r="F114" s="664">
        <v>27</v>
      </c>
      <c r="G114" s="664">
        <v>0</v>
      </c>
      <c r="H114" s="665"/>
      <c r="I114" s="669"/>
      <c r="J114" s="669"/>
      <c r="K114" s="665"/>
      <c r="L114" s="665"/>
    </row>
    <row r="115" spans="1:14" ht="16.5" customHeight="1" x14ac:dyDescent="0.25">
      <c r="A115" s="660" t="s">
        <v>166</v>
      </c>
      <c r="B115" s="661" t="s">
        <v>167</v>
      </c>
      <c r="C115" s="586" t="s">
        <v>268</v>
      </c>
      <c r="D115" s="662">
        <v>0</v>
      </c>
      <c r="E115" s="663">
        <v>0</v>
      </c>
      <c r="F115" s="664">
        <v>0</v>
      </c>
      <c r="G115" s="670">
        <v>0</v>
      </c>
      <c r="H115" s="665"/>
      <c r="I115" s="669"/>
      <c r="J115" s="665"/>
      <c r="K115" s="665"/>
      <c r="L115" s="665"/>
    </row>
    <row r="116" spans="1:14" ht="16.5" customHeight="1" x14ac:dyDescent="0.25">
      <c r="A116" s="660" t="s">
        <v>176</v>
      </c>
      <c r="B116" s="661" t="s">
        <v>177</v>
      </c>
      <c r="C116" s="586" t="s">
        <v>266</v>
      </c>
      <c r="D116" s="662">
        <v>16</v>
      </c>
      <c r="E116" s="663">
        <v>5</v>
      </c>
      <c r="F116" s="664">
        <v>3</v>
      </c>
      <c r="G116" s="664">
        <v>8</v>
      </c>
      <c r="H116" s="665"/>
      <c r="I116" s="667"/>
      <c r="J116" s="665"/>
      <c r="K116" s="667"/>
      <c r="L116" s="665"/>
    </row>
    <row r="117" spans="1:14" ht="16.5" customHeight="1" x14ac:dyDescent="0.25">
      <c r="A117" s="660" t="s">
        <v>180</v>
      </c>
      <c r="B117" s="661" t="s">
        <v>181</v>
      </c>
      <c r="C117" s="586" t="s">
        <v>264</v>
      </c>
      <c r="D117" s="662">
        <v>12</v>
      </c>
      <c r="E117" s="663">
        <v>1</v>
      </c>
      <c r="F117" s="664">
        <v>11</v>
      </c>
      <c r="G117" s="664">
        <v>0</v>
      </c>
      <c r="H117" s="665"/>
      <c r="I117" s="667"/>
      <c r="J117" s="665"/>
      <c r="K117" s="665"/>
      <c r="L117" s="665"/>
    </row>
    <row r="118" spans="1:14" ht="16.5" customHeight="1" x14ac:dyDescent="0.25">
      <c r="A118" s="660" t="s">
        <v>192</v>
      </c>
      <c r="B118" s="661" t="s">
        <v>193</v>
      </c>
      <c r="C118" s="586" t="s">
        <v>268</v>
      </c>
      <c r="D118" s="662">
        <v>1</v>
      </c>
      <c r="E118" s="663">
        <v>1</v>
      </c>
      <c r="F118" s="664">
        <v>0</v>
      </c>
      <c r="G118" s="664">
        <v>0</v>
      </c>
      <c r="H118" s="665"/>
      <c r="I118" s="668"/>
      <c r="J118" s="665"/>
      <c r="K118" s="665"/>
      <c r="L118" s="665"/>
    </row>
    <row r="119" spans="1:14" ht="16.5" customHeight="1" x14ac:dyDescent="0.25">
      <c r="A119" s="660" t="s">
        <v>196</v>
      </c>
      <c r="B119" s="661" t="s">
        <v>312</v>
      </c>
      <c r="C119" s="586" t="s">
        <v>266</v>
      </c>
      <c r="D119" s="662">
        <v>27</v>
      </c>
      <c r="E119" s="663">
        <v>1</v>
      </c>
      <c r="F119" s="664">
        <v>24</v>
      </c>
      <c r="G119" s="664">
        <v>2</v>
      </c>
      <c r="H119" s="665"/>
      <c r="I119" s="667"/>
      <c r="J119" s="665"/>
      <c r="K119" s="669"/>
      <c r="L119" s="665"/>
    </row>
    <row r="120" spans="1:14" ht="16.5" customHeight="1" x14ac:dyDescent="0.25">
      <c r="A120" s="660" t="s">
        <v>200</v>
      </c>
      <c r="B120" s="661" t="s">
        <v>313</v>
      </c>
      <c r="C120" s="586" t="s">
        <v>265</v>
      </c>
      <c r="D120" s="662">
        <v>34</v>
      </c>
      <c r="E120" s="663">
        <v>14</v>
      </c>
      <c r="F120" s="664">
        <v>11</v>
      </c>
      <c r="G120" s="664">
        <v>9</v>
      </c>
      <c r="H120" s="665"/>
      <c r="I120" s="669"/>
      <c r="J120" s="665"/>
      <c r="K120" s="669"/>
      <c r="L120" s="665"/>
    </row>
    <row r="121" spans="1:14" ht="16.5" customHeight="1" x14ac:dyDescent="0.25">
      <c r="A121" s="660" t="s">
        <v>222</v>
      </c>
      <c r="B121" s="661" t="s">
        <v>223</v>
      </c>
      <c r="C121" s="586" t="s">
        <v>264</v>
      </c>
      <c r="D121" s="662">
        <v>5</v>
      </c>
      <c r="E121" s="663">
        <v>3</v>
      </c>
      <c r="F121" s="664">
        <v>1</v>
      </c>
      <c r="G121" s="664">
        <v>1</v>
      </c>
      <c r="H121" s="665"/>
      <c r="I121" s="668"/>
      <c r="J121" s="665"/>
      <c r="K121" s="665"/>
      <c r="L121" s="665"/>
    </row>
    <row r="122" spans="1:14" ht="16.5" customHeight="1" x14ac:dyDescent="0.25">
      <c r="A122" s="660" t="s">
        <v>230</v>
      </c>
      <c r="B122" s="661" t="s">
        <v>231</v>
      </c>
      <c r="C122" s="586" t="s">
        <v>264</v>
      </c>
      <c r="D122" s="662">
        <v>16</v>
      </c>
      <c r="E122" s="663">
        <v>6</v>
      </c>
      <c r="F122" s="664">
        <v>4</v>
      </c>
      <c r="G122" s="664">
        <v>6</v>
      </c>
      <c r="H122" s="665"/>
      <c r="I122" s="669"/>
      <c r="J122" s="665"/>
      <c r="K122" s="669"/>
      <c r="L122" s="665"/>
    </row>
    <row r="123" spans="1:14" ht="16.5" customHeight="1" x14ac:dyDescent="0.25">
      <c r="A123" s="660" t="s">
        <v>238</v>
      </c>
      <c r="B123" s="661" t="s">
        <v>239</v>
      </c>
      <c r="C123" s="586" t="s">
        <v>264</v>
      </c>
      <c r="D123" s="662">
        <v>5</v>
      </c>
      <c r="E123" s="663">
        <v>1</v>
      </c>
      <c r="F123" s="664">
        <v>4</v>
      </c>
      <c r="G123" s="664">
        <v>0</v>
      </c>
      <c r="H123" s="665"/>
      <c r="I123" s="665"/>
      <c r="J123" s="665"/>
      <c r="K123" s="665"/>
      <c r="L123" s="665"/>
    </row>
    <row r="124" spans="1:14" ht="16.5" customHeight="1" x14ac:dyDescent="0.25">
      <c r="A124" s="660" t="s">
        <v>240</v>
      </c>
      <c r="B124" s="661" t="s">
        <v>241</v>
      </c>
      <c r="C124" s="586" t="s">
        <v>267</v>
      </c>
      <c r="D124" s="662">
        <v>6</v>
      </c>
      <c r="E124" s="663">
        <v>4</v>
      </c>
      <c r="F124" s="664">
        <v>0</v>
      </c>
      <c r="G124" s="664">
        <v>2</v>
      </c>
      <c r="H124" s="665"/>
      <c r="I124" s="667"/>
      <c r="J124" s="665"/>
      <c r="K124" s="665"/>
      <c r="L124" s="665"/>
    </row>
    <row r="125" spans="1:14" x14ac:dyDescent="0.25">
      <c r="D125" s="665"/>
      <c r="E125" s="665"/>
      <c r="F125" s="665"/>
      <c r="G125" s="675"/>
      <c r="H125" s="665"/>
      <c r="I125" s="665"/>
      <c r="J125" s="665"/>
      <c r="K125" s="665"/>
      <c r="L125" s="665"/>
    </row>
    <row r="126" spans="1:14" ht="32.25" customHeight="1" x14ac:dyDescent="0.25">
      <c r="A126" s="2123" t="s">
        <v>800</v>
      </c>
      <c r="B126" s="2123"/>
      <c r="C126" s="2123"/>
      <c r="D126" s="2123"/>
      <c r="E126" s="2123"/>
      <c r="F126" s="2123"/>
      <c r="G126" s="2123"/>
      <c r="H126" s="2123"/>
      <c r="I126" s="2123"/>
      <c r="J126" s="676"/>
      <c r="K126" s="676"/>
      <c r="L126" s="676"/>
      <c r="M126" s="676"/>
      <c r="N126" s="676"/>
    </row>
    <row r="127" spans="1:14" x14ac:dyDescent="0.25">
      <c r="A127" s="394" t="s">
        <v>776</v>
      </c>
    </row>
    <row r="129" spans="1:3" s="414" customFormat="1" x14ac:dyDescent="0.25">
      <c r="A129" s="414" t="s">
        <v>248</v>
      </c>
    </row>
    <row r="130" spans="1:3" s="414" customFormat="1" x14ac:dyDescent="0.25">
      <c r="A130" s="415" t="s">
        <v>249</v>
      </c>
      <c r="B130" s="416" t="s">
        <v>250</v>
      </c>
      <c r="C130" s="416"/>
    </row>
  </sheetData>
  <autoFilter ref="A3:C3"/>
  <mergeCells count="1">
    <mergeCell ref="A126:I126"/>
  </mergeCells>
  <hyperlinks>
    <hyperlink ref="B130" r:id="rId1"/>
  </hyperlinks>
  <pageMargins left="0.75" right="0.75" top="1" bottom="1" header="0.5" footer="0.5"/>
  <pageSetup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S130"/>
  <sheetViews>
    <sheetView topLeftCell="A103" workbookViewId="0">
      <selection activeCell="M3" sqref="M3"/>
    </sheetView>
  </sheetViews>
  <sheetFormatPr defaultRowHeight="15.75" x14ac:dyDescent="0.25"/>
  <cols>
    <col min="1" max="1" width="11" style="394" customWidth="1"/>
    <col min="2" max="2" width="32" style="394" customWidth="1"/>
    <col min="3" max="3" width="14.25" style="394" customWidth="1"/>
    <col min="4" max="9" width="7.5" style="394" customWidth="1"/>
    <col min="10" max="12" width="10.125" style="394" customWidth="1"/>
    <col min="13" max="13" width="12.25" style="394" customWidth="1"/>
    <col min="14" max="14" width="4.875" style="394" customWidth="1"/>
    <col min="15" max="16" width="12.25" style="394" customWidth="1"/>
    <col min="17" max="17" width="11.5" style="394" customWidth="1"/>
    <col min="18" max="18" width="11.125" style="394" customWidth="1"/>
    <col min="19" max="19" width="11.5" style="394" customWidth="1"/>
    <col min="20" max="16384" width="9" style="394"/>
  </cols>
  <sheetData>
    <row r="1" spans="1:19" x14ac:dyDescent="0.25">
      <c r="A1" s="193" t="s">
        <v>1235</v>
      </c>
    </row>
    <row r="3" spans="1:19" ht="32.25" customHeight="1" x14ac:dyDescent="0.25">
      <c r="A3" s="650" t="s">
        <v>4</v>
      </c>
      <c r="B3" s="651" t="s">
        <v>5</v>
      </c>
      <c r="C3" s="652" t="s">
        <v>251</v>
      </c>
      <c r="D3" s="653" t="s">
        <v>281</v>
      </c>
      <c r="E3" s="654" t="s">
        <v>2</v>
      </c>
      <c r="F3" s="1154" t="s">
        <v>445</v>
      </c>
      <c r="G3" s="1154" t="s">
        <v>542</v>
      </c>
      <c r="H3" s="1154" t="s">
        <v>772</v>
      </c>
      <c r="I3" s="1154" t="s">
        <v>724</v>
      </c>
      <c r="J3" s="1154" t="s">
        <v>873</v>
      </c>
      <c r="K3" s="1513" t="s">
        <v>551</v>
      </c>
      <c r="L3" s="1154" t="s">
        <v>773</v>
      </c>
      <c r="M3" s="1511" t="s">
        <v>1236</v>
      </c>
      <c r="N3" s="656"/>
      <c r="O3" s="1511" t="s">
        <v>1113</v>
      </c>
      <c r="P3" s="1511" t="s">
        <v>1114</v>
      </c>
      <c r="Q3" s="1512" t="s">
        <v>1115</v>
      </c>
      <c r="R3" s="1512" t="s">
        <v>1116</v>
      </c>
      <c r="S3" s="1512" t="s">
        <v>1118</v>
      </c>
    </row>
    <row r="4" spans="1:19" x14ac:dyDescent="0.25">
      <c r="A4" s="657">
        <v>999</v>
      </c>
      <c r="B4" s="658" t="s">
        <v>9</v>
      </c>
      <c r="C4" s="658"/>
      <c r="D4" s="659">
        <f t="shared" ref="D4:M4" si="0">SUM(D5:D124)</f>
        <v>561</v>
      </c>
      <c r="E4" s="659">
        <f t="shared" si="0"/>
        <v>326</v>
      </c>
      <c r="F4" s="659">
        <f t="shared" si="0"/>
        <v>136</v>
      </c>
      <c r="G4" s="659">
        <f t="shared" si="0"/>
        <v>0</v>
      </c>
      <c r="H4" s="659">
        <f t="shared" si="0"/>
        <v>0</v>
      </c>
      <c r="I4" s="659">
        <f t="shared" si="0"/>
        <v>1</v>
      </c>
      <c r="J4" s="659">
        <f t="shared" si="0"/>
        <v>63</v>
      </c>
      <c r="K4" s="659">
        <f t="shared" si="0"/>
        <v>34</v>
      </c>
      <c r="L4" s="659">
        <f t="shared" si="0"/>
        <v>1</v>
      </c>
      <c r="M4" s="659">
        <f t="shared" si="0"/>
        <v>98</v>
      </c>
      <c r="N4" s="656"/>
      <c r="O4" s="659">
        <f t="shared" ref="O4:S4" si="1">SUM(O5:O124)</f>
        <v>273</v>
      </c>
      <c r="P4" s="659">
        <f t="shared" si="1"/>
        <v>145</v>
      </c>
      <c r="Q4" s="659">
        <f t="shared" si="1"/>
        <v>103</v>
      </c>
      <c r="R4" s="659">
        <f t="shared" si="1"/>
        <v>40</v>
      </c>
      <c r="S4" s="659">
        <f t="shared" si="1"/>
        <v>0</v>
      </c>
    </row>
    <row r="5" spans="1:19" ht="16.5" customHeight="1" x14ac:dyDescent="0.25">
      <c r="A5" s="660" t="s">
        <v>10</v>
      </c>
      <c r="B5" s="661" t="s">
        <v>11</v>
      </c>
      <c r="C5" s="581" t="s">
        <v>264</v>
      </c>
      <c r="D5" s="662">
        <f t="shared" ref="D5:D36" si="2">SUM(E5:L5)</f>
        <v>0</v>
      </c>
      <c r="E5" s="663">
        <v>0</v>
      </c>
      <c r="F5" s="664">
        <v>0</v>
      </c>
      <c r="G5" s="664">
        <v>0</v>
      </c>
      <c r="H5" s="664">
        <v>0</v>
      </c>
      <c r="I5" s="664">
        <v>0</v>
      </c>
      <c r="J5" s="664">
        <v>0</v>
      </c>
      <c r="K5" s="664">
        <v>0</v>
      </c>
      <c r="L5" s="664">
        <v>0</v>
      </c>
      <c r="M5" s="665">
        <f t="shared" ref="M5:M36" si="3">G5+H5+I5+J5+K5</f>
        <v>0</v>
      </c>
      <c r="N5" s="1840"/>
      <c r="O5" s="1153">
        <v>0</v>
      </c>
      <c r="P5" s="1153">
        <v>0</v>
      </c>
      <c r="Q5" s="1153">
        <v>0</v>
      </c>
      <c r="R5" s="1843">
        <v>0</v>
      </c>
      <c r="S5" s="1843">
        <v>0</v>
      </c>
    </row>
    <row r="6" spans="1:19" ht="16.5" customHeight="1" x14ac:dyDescent="0.25">
      <c r="A6" s="660" t="s">
        <v>12</v>
      </c>
      <c r="B6" s="661" t="s">
        <v>13</v>
      </c>
      <c r="C6" s="581" t="s">
        <v>265</v>
      </c>
      <c r="D6" s="662">
        <f t="shared" si="2"/>
        <v>8</v>
      </c>
      <c r="E6" s="663">
        <v>6</v>
      </c>
      <c r="F6" s="664">
        <v>1</v>
      </c>
      <c r="G6" s="664">
        <v>0</v>
      </c>
      <c r="H6" s="664">
        <v>0</v>
      </c>
      <c r="I6" s="664">
        <v>0</v>
      </c>
      <c r="J6" s="664">
        <v>1</v>
      </c>
      <c r="K6" s="664">
        <v>0</v>
      </c>
      <c r="L6" s="664">
        <v>0</v>
      </c>
      <c r="M6" s="665">
        <f t="shared" si="3"/>
        <v>1</v>
      </c>
      <c r="N6" s="1841"/>
      <c r="O6" s="1153">
        <v>5</v>
      </c>
      <c r="P6" s="1153">
        <v>0</v>
      </c>
      <c r="Q6" s="1153">
        <v>2</v>
      </c>
      <c r="R6" s="1843">
        <v>1</v>
      </c>
      <c r="S6" s="1843">
        <v>0</v>
      </c>
    </row>
    <row r="7" spans="1:19" ht="16.5" customHeight="1" x14ac:dyDescent="0.25">
      <c r="A7" s="660" t="s">
        <v>16</v>
      </c>
      <c r="B7" s="661" t="s">
        <v>297</v>
      </c>
      <c r="C7" s="581" t="s">
        <v>265</v>
      </c>
      <c r="D7" s="662">
        <f t="shared" si="2"/>
        <v>0</v>
      </c>
      <c r="E7" s="663">
        <v>0</v>
      </c>
      <c r="F7" s="664">
        <v>0</v>
      </c>
      <c r="G7" s="664">
        <v>0</v>
      </c>
      <c r="H7" s="664">
        <v>0</v>
      </c>
      <c r="I7" s="664">
        <v>0</v>
      </c>
      <c r="J7" s="664">
        <v>0</v>
      </c>
      <c r="K7" s="664">
        <v>0</v>
      </c>
      <c r="L7" s="664">
        <v>0</v>
      </c>
      <c r="M7" s="665">
        <f t="shared" si="3"/>
        <v>0</v>
      </c>
      <c r="N7" s="1841"/>
      <c r="O7" s="1153">
        <v>0</v>
      </c>
      <c r="P7" s="675">
        <v>0</v>
      </c>
      <c r="Q7" s="1153">
        <v>0</v>
      </c>
      <c r="R7" s="1843">
        <v>0</v>
      </c>
      <c r="S7" s="1843">
        <v>0</v>
      </c>
    </row>
    <row r="8" spans="1:19" ht="16.5" customHeight="1" x14ac:dyDescent="0.25">
      <c r="A8" s="660" t="s">
        <v>18</v>
      </c>
      <c r="B8" s="661" t="s">
        <v>19</v>
      </c>
      <c r="C8" s="581" t="s">
        <v>266</v>
      </c>
      <c r="D8" s="662">
        <f t="shared" si="2"/>
        <v>0</v>
      </c>
      <c r="E8" s="663">
        <v>0</v>
      </c>
      <c r="F8" s="664">
        <v>0</v>
      </c>
      <c r="G8" s="664">
        <v>0</v>
      </c>
      <c r="H8" s="664">
        <v>0</v>
      </c>
      <c r="I8" s="664">
        <v>0</v>
      </c>
      <c r="J8" s="664">
        <v>0</v>
      </c>
      <c r="K8" s="664">
        <v>0</v>
      </c>
      <c r="L8" s="664">
        <v>0</v>
      </c>
      <c r="M8" s="665">
        <f t="shared" si="3"/>
        <v>0</v>
      </c>
      <c r="N8" s="675"/>
      <c r="O8" s="1153">
        <v>0</v>
      </c>
      <c r="P8" s="1153">
        <v>0</v>
      </c>
      <c r="Q8" s="1153">
        <v>0</v>
      </c>
      <c r="R8" s="1843">
        <v>0</v>
      </c>
      <c r="S8" s="1843">
        <v>0</v>
      </c>
    </row>
    <row r="9" spans="1:19" ht="16.5" customHeight="1" x14ac:dyDescent="0.25">
      <c r="A9" s="660" t="s">
        <v>20</v>
      </c>
      <c r="B9" s="661" t="s">
        <v>21</v>
      </c>
      <c r="C9" s="581" t="s">
        <v>265</v>
      </c>
      <c r="D9" s="662">
        <f t="shared" si="2"/>
        <v>0</v>
      </c>
      <c r="E9" s="663">
        <v>0</v>
      </c>
      <c r="F9" s="664">
        <v>0</v>
      </c>
      <c r="G9" s="664">
        <v>0</v>
      </c>
      <c r="H9" s="664">
        <v>0</v>
      </c>
      <c r="I9" s="664">
        <v>0</v>
      </c>
      <c r="J9" s="664">
        <v>0</v>
      </c>
      <c r="K9" s="664">
        <v>0</v>
      </c>
      <c r="L9" s="664">
        <v>0</v>
      </c>
      <c r="M9" s="665">
        <f t="shared" si="3"/>
        <v>0</v>
      </c>
      <c r="N9" s="1842"/>
      <c r="O9" s="1153">
        <v>0</v>
      </c>
      <c r="P9" s="1153">
        <v>0</v>
      </c>
      <c r="Q9" s="1153">
        <v>0</v>
      </c>
      <c r="R9" s="1843">
        <v>0</v>
      </c>
      <c r="S9" s="1843">
        <v>0</v>
      </c>
    </row>
    <row r="10" spans="1:19" ht="16.5" customHeight="1" x14ac:dyDescent="0.25">
      <c r="A10" s="660" t="s">
        <v>22</v>
      </c>
      <c r="B10" s="661" t="s">
        <v>23</v>
      </c>
      <c r="C10" s="581" t="s">
        <v>265</v>
      </c>
      <c r="D10" s="662">
        <f t="shared" si="2"/>
        <v>1</v>
      </c>
      <c r="E10" s="663">
        <v>1</v>
      </c>
      <c r="F10" s="664">
        <v>0</v>
      </c>
      <c r="G10" s="1152">
        <v>0</v>
      </c>
      <c r="H10" s="1152">
        <v>0</v>
      </c>
      <c r="I10" s="1152">
        <v>0</v>
      </c>
      <c r="J10" s="1152">
        <v>0</v>
      </c>
      <c r="K10" s="1514">
        <v>0</v>
      </c>
      <c r="L10" s="1152">
        <v>0</v>
      </c>
      <c r="M10" s="665">
        <f t="shared" si="3"/>
        <v>0</v>
      </c>
      <c r="N10" s="675"/>
      <c r="O10" s="1153">
        <v>1</v>
      </c>
      <c r="P10" s="1153">
        <v>0</v>
      </c>
      <c r="Q10" s="1153">
        <v>0</v>
      </c>
      <c r="R10" s="1843">
        <v>0</v>
      </c>
      <c r="S10" s="1843">
        <v>0</v>
      </c>
    </row>
    <row r="11" spans="1:19" ht="16.5" customHeight="1" x14ac:dyDescent="0.25">
      <c r="A11" s="660" t="s">
        <v>24</v>
      </c>
      <c r="B11" s="661" t="s">
        <v>25</v>
      </c>
      <c r="C11" s="581" t="s">
        <v>267</v>
      </c>
      <c r="D11" s="662">
        <f t="shared" si="2"/>
        <v>6</v>
      </c>
      <c r="E11" s="663">
        <v>1</v>
      </c>
      <c r="F11" s="664">
        <v>5</v>
      </c>
      <c r="G11" s="664">
        <v>0</v>
      </c>
      <c r="H11" s="664">
        <v>0</v>
      </c>
      <c r="I11" s="664">
        <v>0</v>
      </c>
      <c r="J11" s="664">
        <v>0</v>
      </c>
      <c r="K11" s="664">
        <v>0</v>
      </c>
      <c r="L11" s="664">
        <v>0</v>
      </c>
      <c r="M11" s="665">
        <f t="shared" si="3"/>
        <v>0</v>
      </c>
      <c r="N11" s="1842"/>
      <c r="O11" s="1153">
        <v>5</v>
      </c>
      <c r="P11" s="1153">
        <v>1</v>
      </c>
      <c r="Q11" s="1153">
        <v>0</v>
      </c>
      <c r="R11" s="1843">
        <v>0</v>
      </c>
      <c r="S11" s="1843">
        <v>0</v>
      </c>
    </row>
    <row r="12" spans="1:19" ht="16.5" customHeight="1" x14ac:dyDescent="0.25">
      <c r="A12" s="660" t="s">
        <v>26</v>
      </c>
      <c r="B12" s="661" t="s">
        <v>686</v>
      </c>
      <c r="C12" s="581" t="s">
        <v>265</v>
      </c>
      <c r="D12" s="662">
        <f t="shared" si="2"/>
        <v>18</v>
      </c>
      <c r="E12" s="663">
        <v>11</v>
      </c>
      <c r="F12" s="664">
        <v>0</v>
      </c>
      <c r="G12" s="664">
        <v>0</v>
      </c>
      <c r="H12" s="664">
        <v>0</v>
      </c>
      <c r="I12" s="664">
        <v>1</v>
      </c>
      <c r="J12" s="664">
        <v>5</v>
      </c>
      <c r="K12" s="664">
        <v>1</v>
      </c>
      <c r="L12" s="664">
        <v>0</v>
      </c>
      <c r="M12" s="665">
        <f t="shared" si="3"/>
        <v>7</v>
      </c>
      <c r="N12" s="1841"/>
      <c r="O12" s="1153">
        <v>13</v>
      </c>
      <c r="P12" s="675">
        <v>0</v>
      </c>
      <c r="Q12" s="1153">
        <v>3</v>
      </c>
      <c r="R12" s="1843">
        <v>2</v>
      </c>
      <c r="S12" s="1843">
        <v>0</v>
      </c>
    </row>
    <row r="13" spans="1:19" ht="16.5" customHeight="1" x14ac:dyDescent="0.25">
      <c r="A13" s="660" t="s">
        <v>27</v>
      </c>
      <c r="B13" s="661" t="s">
        <v>28</v>
      </c>
      <c r="C13" s="586" t="s">
        <v>265</v>
      </c>
      <c r="D13" s="662">
        <f t="shared" si="2"/>
        <v>0</v>
      </c>
      <c r="E13" s="671">
        <v>0</v>
      </c>
      <c r="F13" s="670">
        <v>0</v>
      </c>
      <c r="G13" s="670">
        <v>0</v>
      </c>
      <c r="H13" s="670">
        <v>0</v>
      </c>
      <c r="I13" s="670">
        <v>0</v>
      </c>
      <c r="J13" s="1158">
        <v>0</v>
      </c>
      <c r="K13" s="1520">
        <v>0</v>
      </c>
      <c r="L13" s="670">
        <v>0</v>
      </c>
      <c r="M13" s="1153">
        <f t="shared" si="3"/>
        <v>0</v>
      </c>
      <c r="N13" s="1841"/>
      <c r="O13" s="1153">
        <v>0</v>
      </c>
      <c r="P13" s="1153">
        <v>0</v>
      </c>
      <c r="Q13" s="1153">
        <v>0</v>
      </c>
      <c r="R13" s="1843">
        <v>0</v>
      </c>
      <c r="S13" s="1843">
        <v>0</v>
      </c>
    </row>
    <row r="14" spans="1:19" ht="16.5" customHeight="1" x14ac:dyDescent="0.25">
      <c r="A14" s="660" t="s">
        <v>29</v>
      </c>
      <c r="B14" s="661" t="s">
        <v>941</v>
      </c>
      <c r="C14" s="586" t="s">
        <v>265</v>
      </c>
      <c r="D14" s="662">
        <f t="shared" si="2"/>
        <v>1</v>
      </c>
      <c r="E14" s="663">
        <v>1</v>
      </c>
      <c r="F14" s="664">
        <v>0</v>
      </c>
      <c r="G14" s="664">
        <v>0</v>
      </c>
      <c r="H14" s="664">
        <v>0</v>
      </c>
      <c r="I14" s="664">
        <v>0</v>
      </c>
      <c r="J14" s="664">
        <v>0</v>
      </c>
      <c r="K14" s="664">
        <v>0</v>
      </c>
      <c r="L14" s="664">
        <v>0</v>
      </c>
      <c r="M14" s="672">
        <f t="shared" si="3"/>
        <v>0</v>
      </c>
      <c r="N14" s="1841"/>
      <c r="O14" s="1153">
        <v>1</v>
      </c>
      <c r="P14" s="1153">
        <v>0</v>
      </c>
      <c r="Q14" s="1153">
        <v>0</v>
      </c>
      <c r="R14" s="1843">
        <v>0</v>
      </c>
      <c r="S14" s="1843">
        <v>0</v>
      </c>
    </row>
    <row r="15" spans="1:19" ht="16.5" customHeight="1" x14ac:dyDescent="0.25">
      <c r="A15" s="660" t="s">
        <v>30</v>
      </c>
      <c r="B15" s="661" t="s">
        <v>31</v>
      </c>
      <c r="C15" s="586" t="s">
        <v>268</v>
      </c>
      <c r="D15" s="662">
        <f t="shared" si="2"/>
        <v>0</v>
      </c>
      <c r="E15" s="663">
        <v>0</v>
      </c>
      <c r="F15" s="664">
        <v>0</v>
      </c>
      <c r="G15" s="1152">
        <v>0</v>
      </c>
      <c r="H15" s="1152">
        <v>0</v>
      </c>
      <c r="I15" s="1152">
        <v>0</v>
      </c>
      <c r="J15" s="1152">
        <v>0</v>
      </c>
      <c r="K15" s="1514">
        <v>0</v>
      </c>
      <c r="L15" s="1152">
        <v>0</v>
      </c>
      <c r="M15" s="668">
        <f t="shared" si="3"/>
        <v>0</v>
      </c>
      <c r="N15" s="1841"/>
      <c r="O15" s="1153">
        <v>0</v>
      </c>
      <c r="P15" s="1153">
        <v>0</v>
      </c>
      <c r="Q15" s="1153">
        <v>0</v>
      </c>
      <c r="R15" s="1843">
        <v>0</v>
      </c>
      <c r="S15" s="1843">
        <v>0</v>
      </c>
    </row>
    <row r="16" spans="1:19" ht="16.5" customHeight="1" x14ac:dyDescent="0.25">
      <c r="A16" s="660" t="s">
        <v>32</v>
      </c>
      <c r="B16" s="661" t="s">
        <v>33</v>
      </c>
      <c r="C16" s="586" t="s">
        <v>265</v>
      </c>
      <c r="D16" s="662">
        <f t="shared" si="2"/>
        <v>0</v>
      </c>
      <c r="E16" s="663">
        <v>0</v>
      </c>
      <c r="F16" s="664">
        <v>0</v>
      </c>
      <c r="G16" s="664">
        <v>0</v>
      </c>
      <c r="H16" s="664">
        <v>0</v>
      </c>
      <c r="I16" s="664">
        <v>0</v>
      </c>
      <c r="J16" s="664">
        <v>0</v>
      </c>
      <c r="K16" s="664">
        <v>0</v>
      </c>
      <c r="L16" s="664">
        <v>0</v>
      </c>
      <c r="M16" s="665">
        <f t="shared" si="3"/>
        <v>0</v>
      </c>
      <c r="N16" s="668"/>
      <c r="O16" s="1153">
        <v>0</v>
      </c>
      <c r="P16" s="1153">
        <v>0</v>
      </c>
      <c r="Q16" s="1153">
        <v>0</v>
      </c>
      <c r="R16" s="1843">
        <v>0</v>
      </c>
      <c r="S16" s="1843">
        <v>0</v>
      </c>
    </row>
    <row r="17" spans="1:19" ht="16.5" customHeight="1" x14ac:dyDescent="0.25">
      <c r="A17" s="660" t="s">
        <v>36</v>
      </c>
      <c r="B17" s="661" t="s">
        <v>37</v>
      </c>
      <c r="C17" s="586" t="s">
        <v>264</v>
      </c>
      <c r="D17" s="662">
        <f t="shared" si="2"/>
        <v>3</v>
      </c>
      <c r="E17" s="663">
        <v>0</v>
      </c>
      <c r="F17" s="664">
        <v>1</v>
      </c>
      <c r="G17" s="1152">
        <v>0</v>
      </c>
      <c r="H17" s="1152">
        <v>0</v>
      </c>
      <c r="I17" s="1152">
        <v>0</v>
      </c>
      <c r="J17" s="1152">
        <v>2</v>
      </c>
      <c r="K17" s="1514">
        <v>0</v>
      </c>
      <c r="L17" s="1152">
        <v>0</v>
      </c>
      <c r="M17" s="665">
        <f t="shared" si="3"/>
        <v>2</v>
      </c>
      <c r="N17" s="665"/>
      <c r="O17" s="1153">
        <v>0</v>
      </c>
      <c r="P17" s="1153">
        <v>3</v>
      </c>
      <c r="Q17" s="1153">
        <v>0</v>
      </c>
      <c r="R17" s="1843">
        <v>0</v>
      </c>
      <c r="S17" s="1843">
        <v>0</v>
      </c>
    </row>
    <row r="18" spans="1:19" ht="16.5" customHeight="1" x14ac:dyDescent="0.25">
      <c r="A18" s="660" t="s">
        <v>38</v>
      </c>
      <c r="B18" s="661" t="s">
        <v>39</v>
      </c>
      <c r="C18" s="586" t="s">
        <v>268</v>
      </c>
      <c r="D18" s="662">
        <f t="shared" si="2"/>
        <v>3</v>
      </c>
      <c r="E18" s="663">
        <v>3</v>
      </c>
      <c r="F18" s="664">
        <v>0</v>
      </c>
      <c r="G18" s="664">
        <v>0</v>
      </c>
      <c r="H18" s="664">
        <v>0</v>
      </c>
      <c r="I18" s="664">
        <v>0</v>
      </c>
      <c r="J18" s="664">
        <v>0</v>
      </c>
      <c r="K18" s="664">
        <v>0</v>
      </c>
      <c r="L18" s="664">
        <v>0</v>
      </c>
      <c r="M18" s="1153">
        <f t="shared" si="3"/>
        <v>0</v>
      </c>
      <c r="N18" s="1841"/>
      <c r="O18" s="1153">
        <v>0</v>
      </c>
      <c r="P18" s="1153">
        <v>2</v>
      </c>
      <c r="Q18" s="1153">
        <v>1</v>
      </c>
      <c r="R18" s="1843">
        <v>0</v>
      </c>
      <c r="S18" s="1843">
        <v>0</v>
      </c>
    </row>
    <row r="19" spans="1:19" ht="16.5" customHeight="1" x14ac:dyDescent="0.25">
      <c r="A19" s="660" t="s">
        <v>40</v>
      </c>
      <c r="B19" s="661" t="s">
        <v>41</v>
      </c>
      <c r="C19" s="586" t="s">
        <v>266</v>
      </c>
      <c r="D19" s="662">
        <f t="shared" si="2"/>
        <v>1</v>
      </c>
      <c r="E19" s="663">
        <v>0</v>
      </c>
      <c r="F19" s="664">
        <v>0</v>
      </c>
      <c r="G19" s="664">
        <v>0</v>
      </c>
      <c r="H19" s="664">
        <v>0</v>
      </c>
      <c r="I19" s="664">
        <v>0</v>
      </c>
      <c r="J19" s="664">
        <v>1</v>
      </c>
      <c r="K19" s="664">
        <v>0</v>
      </c>
      <c r="L19" s="664">
        <v>0</v>
      </c>
      <c r="M19" s="665">
        <f t="shared" si="3"/>
        <v>1</v>
      </c>
      <c r="N19" s="1153"/>
      <c r="O19" s="1153">
        <v>0</v>
      </c>
      <c r="P19" s="1153">
        <v>0</v>
      </c>
      <c r="Q19" s="1153">
        <v>1</v>
      </c>
      <c r="R19" s="1843">
        <v>0</v>
      </c>
      <c r="S19" s="1843">
        <v>0</v>
      </c>
    </row>
    <row r="20" spans="1:19" ht="16.5" customHeight="1" x14ac:dyDescent="0.25">
      <c r="A20" s="660" t="s">
        <v>42</v>
      </c>
      <c r="B20" s="661" t="s">
        <v>43</v>
      </c>
      <c r="C20" s="586" t="s">
        <v>265</v>
      </c>
      <c r="D20" s="662">
        <f t="shared" si="2"/>
        <v>13</v>
      </c>
      <c r="E20" s="663">
        <v>12</v>
      </c>
      <c r="F20" s="664">
        <v>0</v>
      </c>
      <c r="G20" s="664">
        <v>0</v>
      </c>
      <c r="H20" s="664">
        <v>0</v>
      </c>
      <c r="I20" s="664">
        <v>0</v>
      </c>
      <c r="J20" s="664">
        <v>1</v>
      </c>
      <c r="K20" s="664">
        <v>0</v>
      </c>
      <c r="L20" s="664">
        <v>0</v>
      </c>
      <c r="M20" s="672">
        <f t="shared" si="3"/>
        <v>1</v>
      </c>
      <c r="N20" s="1841"/>
      <c r="O20" s="1153">
        <v>6</v>
      </c>
      <c r="P20" s="1153">
        <v>2</v>
      </c>
      <c r="Q20" s="1153">
        <v>2</v>
      </c>
      <c r="R20" s="1843">
        <v>3</v>
      </c>
      <c r="S20" s="1843">
        <v>0</v>
      </c>
    </row>
    <row r="21" spans="1:19" ht="16.5" customHeight="1" x14ac:dyDescent="0.25">
      <c r="A21" s="660" t="s">
        <v>44</v>
      </c>
      <c r="B21" s="661" t="s">
        <v>45</v>
      </c>
      <c r="C21" s="586" t="s">
        <v>266</v>
      </c>
      <c r="D21" s="662">
        <f t="shared" si="2"/>
        <v>1</v>
      </c>
      <c r="E21" s="663">
        <v>1</v>
      </c>
      <c r="F21" s="664">
        <v>0</v>
      </c>
      <c r="G21" s="664">
        <v>0</v>
      </c>
      <c r="H21" s="664">
        <v>0</v>
      </c>
      <c r="I21" s="664">
        <v>0</v>
      </c>
      <c r="J21" s="664">
        <v>0</v>
      </c>
      <c r="K21" s="664">
        <v>0</v>
      </c>
      <c r="L21" s="664">
        <v>0</v>
      </c>
      <c r="M21" s="665">
        <f t="shared" si="3"/>
        <v>0</v>
      </c>
      <c r="N21" s="1842"/>
      <c r="O21" s="1153">
        <v>1</v>
      </c>
      <c r="P21" s="1153">
        <v>0</v>
      </c>
      <c r="Q21" s="1153">
        <v>0</v>
      </c>
      <c r="R21" s="1843">
        <v>0</v>
      </c>
      <c r="S21" s="1843">
        <v>0</v>
      </c>
    </row>
    <row r="22" spans="1:19" ht="16.5" customHeight="1" x14ac:dyDescent="0.25">
      <c r="A22" s="660" t="s">
        <v>46</v>
      </c>
      <c r="B22" s="661" t="s">
        <v>47</v>
      </c>
      <c r="C22" s="586" t="s">
        <v>268</v>
      </c>
      <c r="D22" s="662">
        <f t="shared" si="2"/>
        <v>2</v>
      </c>
      <c r="E22" s="663">
        <v>2</v>
      </c>
      <c r="F22" s="664">
        <v>0</v>
      </c>
      <c r="G22" s="1152">
        <v>0</v>
      </c>
      <c r="H22" s="1152">
        <v>0</v>
      </c>
      <c r="I22" s="1152">
        <v>0</v>
      </c>
      <c r="J22" s="1152">
        <v>0</v>
      </c>
      <c r="K22" s="1514">
        <v>0</v>
      </c>
      <c r="L22" s="1152">
        <v>0</v>
      </c>
      <c r="M22" s="668">
        <f t="shared" si="3"/>
        <v>0</v>
      </c>
      <c r="N22" s="1841"/>
      <c r="O22" s="1153">
        <v>0</v>
      </c>
      <c r="P22" s="1153">
        <v>0</v>
      </c>
      <c r="Q22" s="1153">
        <v>2</v>
      </c>
      <c r="R22" s="1843">
        <v>0</v>
      </c>
      <c r="S22" s="1843">
        <v>0</v>
      </c>
    </row>
    <row r="23" spans="1:19" ht="16.5" customHeight="1" x14ac:dyDescent="0.25">
      <c r="A23" s="660" t="s">
        <v>48</v>
      </c>
      <c r="B23" s="661" t="s">
        <v>269</v>
      </c>
      <c r="C23" s="586" t="s">
        <v>266</v>
      </c>
      <c r="D23" s="662">
        <f t="shared" si="2"/>
        <v>0</v>
      </c>
      <c r="E23" s="671">
        <v>0</v>
      </c>
      <c r="F23" s="670">
        <v>0</v>
      </c>
      <c r="G23" s="670">
        <v>0</v>
      </c>
      <c r="H23" s="670">
        <v>0</v>
      </c>
      <c r="I23" s="670">
        <v>0</v>
      </c>
      <c r="J23" s="1158">
        <v>0</v>
      </c>
      <c r="K23" s="1520">
        <v>0</v>
      </c>
      <c r="L23" s="670">
        <v>0</v>
      </c>
      <c r="M23" s="665">
        <f t="shared" si="3"/>
        <v>0</v>
      </c>
      <c r="N23" s="675"/>
      <c r="O23" s="1153">
        <v>0</v>
      </c>
      <c r="P23" s="1153">
        <v>0</v>
      </c>
      <c r="Q23" s="1153">
        <v>0</v>
      </c>
      <c r="R23" s="1843">
        <v>0</v>
      </c>
      <c r="S23" s="1843">
        <v>0</v>
      </c>
    </row>
    <row r="24" spans="1:19" ht="16.5" customHeight="1" x14ac:dyDescent="0.25">
      <c r="A24" s="660" t="s">
        <v>50</v>
      </c>
      <c r="B24" s="661" t="s">
        <v>51</v>
      </c>
      <c r="C24" s="586" t="s">
        <v>265</v>
      </c>
      <c r="D24" s="662">
        <f t="shared" si="2"/>
        <v>0</v>
      </c>
      <c r="E24" s="663">
        <v>0</v>
      </c>
      <c r="F24" s="664">
        <v>0</v>
      </c>
      <c r="G24" s="664">
        <v>0</v>
      </c>
      <c r="H24" s="664">
        <v>0</v>
      </c>
      <c r="I24" s="664">
        <v>0</v>
      </c>
      <c r="J24" s="664">
        <v>0</v>
      </c>
      <c r="K24" s="664">
        <v>0</v>
      </c>
      <c r="L24" s="664">
        <v>0</v>
      </c>
      <c r="M24" s="665">
        <f t="shared" si="3"/>
        <v>0</v>
      </c>
      <c r="N24" s="1841"/>
      <c r="O24" s="1153">
        <v>0</v>
      </c>
      <c r="P24" s="1153">
        <v>0</v>
      </c>
      <c r="Q24" s="1153">
        <v>0</v>
      </c>
      <c r="R24" s="1843">
        <v>0</v>
      </c>
      <c r="S24" s="1843">
        <v>0</v>
      </c>
    </row>
    <row r="25" spans="1:19" ht="16.5" customHeight="1" x14ac:dyDescent="0.25">
      <c r="A25" s="660" t="s">
        <v>56</v>
      </c>
      <c r="B25" s="661" t="s">
        <v>295</v>
      </c>
      <c r="C25" s="586" t="s">
        <v>266</v>
      </c>
      <c r="D25" s="662">
        <f t="shared" si="2"/>
        <v>10</v>
      </c>
      <c r="E25" s="663">
        <v>6</v>
      </c>
      <c r="F25" s="664">
        <v>1</v>
      </c>
      <c r="G25" s="664">
        <v>0</v>
      </c>
      <c r="H25" s="664">
        <v>0</v>
      </c>
      <c r="I25" s="664">
        <v>0</v>
      </c>
      <c r="J25" s="664">
        <v>1</v>
      </c>
      <c r="K25" s="664">
        <v>2</v>
      </c>
      <c r="L25" s="664">
        <v>0</v>
      </c>
      <c r="M25" s="665">
        <f t="shared" si="3"/>
        <v>3</v>
      </c>
      <c r="N25" s="1842"/>
      <c r="O25" s="1153">
        <v>4</v>
      </c>
      <c r="P25" s="1153">
        <v>4</v>
      </c>
      <c r="Q25" s="1153">
        <v>2</v>
      </c>
      <c r="R25" s="1843">
        <v>0</v>
      </c>
      <c r="S25" s="1843">
        <v>0</v>
      </c>
    </row>
    <row r="26" spans="1:19" ht="16.5" customHeight="1" x14ac:dyDescent="0.25">
      <c r="A26" s="660" t="s">
        <v>58</v>
      </c>
      <c r="B26" s="661" t="s">
        <v>59</v>
      </c>
      <c r="C26" s="586" t="s">
        <v>267</v>
      </c>
      <c r="D26" s="673">
        <f t="shared" si="2"/>
        <v>0</v>
      </c>
      <c r="E26" s="674">
        <v>0</v>
      </c>
      <c r="F26" s="670">
        <v>0</v>
      </c>
      <c r="G26" s="670">
        <v>0</v>
      </c>
      <c r="H26" s="670">
        <v>0</v>
      </c>
      <c r="I26" s="670">
        <v>0</v>
      </c>
      <c r="J26" s="1158">
        <v>0</v>
      </c>
      <c r="K26" s="1520">
        <v>0</v>
      </c>
      <c r="L26" s="670">
        <v>0</v>
      </c>
      <c r="M26" s="665">
        <f t="shared" si="3"/>
        <v>0</v>
      </c>
      <c r="N26" s="668"/>
      <c r="O26" s="1153">
        <v>0</v>
      </c>
      <c r="P26" s="1153">
        <v>0</v>
      </c>
      <c r="Q26" s="1153">
        <v>0</v>
      </c>
      <c r="R26" s="1843">
        <v>0</v>
      </c>
      <c r="S26" s="1843">
        <v>0</v>
      </c>
    </row>
    <row r="27" spans="1:19" ht="16.5" customHeight="1" x14ac:dyDescent="0.25">
      <c r="A27" s="660" t="s">
        <v>60</v>
      </c>
      <c r="B27" s="661" t="s">
        <v>61</v>
      </c>
      <c r="C27" s="586" t="s">
        <v>265</v>
      </c>
      <c r="D27" s="673">
        <f t="shared" si="2"/>
        <v>1</v>
      </c>
      <c r="E27" s="674">
        <v>1</v>
      </c>
      <c r="F27" s="670">
        <v>0</v>
      </c>
      <c r="G27" s="670">
        <v>0</v>
      </c>
      <c r="H27" s="670">
        <v>0</v>
      </c>
      <c r="I27" s="670">
        <v>0</v>
      </c>
      <c r="J27" s="1158">
        <v>0</v>
      </c>
      <c r="K27" s="1520">
        <v>0</v>
      </c>
      <c r="L27" s="670">
        <v>0</v>
      </c>
      <c r="M27" s="665">
        <f t="shared" si="3"/>
        <v>0</v>
      </c>
      <c r="N27" s="675"/>
      <c r="O27" s="1153">
        <v>0</v>
      </c>
      <c r="P27" s="1153">
        <v>0</v>
      </c>
      <c r="Q27" s="1153">
        <v>0</v>
      </c>
      <c r="R27" s="1843">
        <v>1</v>
      </c>
      <c r="S27" s="1843">
        <v>0</v>
      </c>
    </row>
    <row r="28" spans="1:19" ht="16.5" customHeight="1" x14ac:dyDescent="0.25">
      <c r="A28" s="660" t="s">
        <v>62</v>
      </c>
      <c r="B28" s="661" t="s">
        <v>63</v>
      </c>
      <c r="C28" s="586" t="s">
        <v>267</v>
      </c>
      <c r="D28" s="662">
        <f t="shared" si="2"/>
        <v>8</v>
      </c>
      <c r="E28" s="663">
        <v>2</v>
      </c>
      <c r="F28" s="664">
        <v>2</v>
      </c>
      <c r="G28" s="664">
        <v>0</v>
      </c>
      <c r="H28" s="664">
        <v>0</v>
      </c>
      <c r="I28" s="664">
        <v>0</v>
      </c>
      <c r="J28" s="664">
        <v>2</v>
      </c>
      <c r="K28" s="664">
        <v>2</v>
      </c>
      <c r="L28" s="664">
        <v>0</v>
      </c>
      <c r="M28" s="665">
        <f t="shared" si="3"/>
        <v>4</v>
      </c>
      <c r="N28" s="1841"/>
      <c r="O28" s="1153">
        <v>3</v>
      </c>
      <c r="P28" s="1153">
        <v>2</v>
      </c>
      <c r="Q28" s="1153">
        <v>2</v>
      </c>
      <c r="R28" s="1843">
        <v>1</v>
      </c>
      <c r="S28" s="1843">
        <v>0</v>
      </c>
    </row>
    <row r="29" spans="1:19" ht="16.5" customHeight="1" x14ac:dyDescent="0.25">
      <c r="A29" s="660" t="s">
        <v>64</v>
      </c>
      <c r="B29" s="661" t="s">
        <v>65</v>
      </c>
      <c r="C29" s="586" t="s">
        <v>266</v>
      </c>
      <c r="D29" s="662">
        <f t="shared" si="2"/>
        <v>1</v>
      </c>
      <c r="E29" s="663">
        <v>0</v>
      </c>
      <c r="F29" s="664">
        <v>1</v>
      </c>
      <c r="G29" s="664">
        <v>0</v>
      </c>
      <c r="H29" s="664">
        <v>0</v>
      </c>
      <c r="I29" s="664">
        <v>0</v>
      </c>
      <c r="J29" s="664">
        <v>0</v>
      </c>
      <c r="K29" s="664">
        <v>0</v>
      </c>
      <c r="L29" s="664">
        <v>0</v>
      </c>
      <c r="M29" s="1153">
        <f t="shared" si="3"/>
        <v>0</v>
      </c>
      <c r="N29" s="675"/>
      <c r="O29" s="1153">
        <v>1</v>
      </c>
      <c r="P29" s="675">
        <v>0</v>
      </c>
      <c r="Q29" s="1153">
        <v>0</v>
      </c>
      <c r="R29" s="1843">
        <v>0</v>
      </c>
      <c r="S29" s="1843">
        <v>0</v>
      </c>
    </row>
    <row r="30" spans="1:19" ht="16.5" customHeight="1" x14ac:dyDescent="0.25">
      <c r="A30" s="660" t="s">
        <v>68</v>
      </c>
      <c r="B30" s="661" t="s">
        <v>69</v>
      </c>
      <c r="C30" s="586" t="s">
        <v>268</v>
      </c>
      <c r="D30" s="662">
        <f t="shared" si="2"/>
        <v>22</v>
      </c>
      <c r="E30" s="663">
        <v>22</v>
      </c>
      <c r="F30" s="664">
        <v>0</v>
      </c>
      <c r="G30" s="664">
        <v>0</v>
      </c>
      <c r="H30" s="664">
        <v>0</v>
      </c>
      <c r="I30" s="664">
        <v>0</v>
      </c>
      <c r="J30" s="664">
        <v>0</v>
      </c>
      <c r="K30" s="664">
        <v>0</v>
      </c>
      <c r="L30" s="664">
        <v>0</v>
      </c>
      <c r="M30" s="665">
        <f t="shared" si="3"/>
        <v>0</v>
      </c>
      <c r="N30" s="665"/>
      <c r="O30" s="1153">
        <v>15</v>
      </c>
      <c r="P30" s="1153">
        <v>5</v>
      </c>
      <c r="Q30" s="1153">
        <v>2</v>
      </c>
      <c r="R30" s="1843">
        <v>0</v>
      </c>
      <c r="S30" s="1843">
        <v>0</v>
      </c>
    </row>
    <row r="31" spans="1:19" ht="16.5" customHeight="1" x14ac:dyDescent="0.25">
      <c r="A31" s="660" t="s">
        <v>70</v>
      </c>
      <c r="B31" s="661" t="s">
        <v>71</v>
      </c>
      <c r="C31" s="586" t="s">
        <v>264</v>
      </c>
      <c r="D31" s="662">
        <f t="shared" si="2"/>
        <v>2</v>
      </c>
      <c r="E31" s="663">
        <v>2</v>
      </c>
      <c r="F31" s="664">
        <v>0</v>
      </c>
      <c r="G31" s="664">
        <v>0</v>
      </c>
      <c r="H31" s="664">
        <v>0</v>
      </c>
      <c r="I31" s="664">
        <v>0</v>
      </c>
      <c r="J31" s="664">
        <v>0</v>
      </c>
      <c r="K31" s="664">
        <v>0</v>
      </c>
      <c r="L31" s="664">
        <v>0</v>
      </c>
      <c r="M31" s="665">
        <f t="shared" si="3"/>
        <v>0</v>
      </c>
      <c r="N31" s="1842"/>
      <c r="O31" s="1153">
        <v>2</v>
      </c>
      <c r="P31" s="1153">
        <v>0</v>
      </c>
      <c r="Q31" s="1153">
        <v>0</v>
      </c>
      <c r="R31" s="1843">
        <v>0</v>
      </c>
      <c r="S31" s="1843">
        <v>0</v>
      </c>
    </row>
    <row r="32" spans="1:19" ht="16.5" customHeight="1" x14ac:dyDescent="0.25">
      <c r="A32" s="660" t="s">
        <v>72</v>
      </c>
      <c r="B32" s="661" t="s">
        <v>73</v>
      </c>
      <c r="C32" s="586" t="s">
        <v>266</v>
      </c>
      <c r="D32" s="662">
        <f t="shared" si="2"/>
        <v>1</v>
      </c>
      <c r="E32" s="671">
        <v>1</v>
      </c>
      <c r="F32" s="670">
        <v>0</v>
      </c>
      <c r="G32" s="670">
        <v>0</v>
      </c>
      <c r="H32" s="670">
        <v>0</v>
      </c>
      <c r="I32" s="670">
        <v>0</v>
      </c>
      <c r="J32" s="1158">
        <v>0</v>
      </c>
      <c r="K32" s="1520">
        <v>0</v>
      </c>
      <c r="L32" s="670">
        <v>0</v>
      </c>
      <c r="M32" s="665">
        <f t="shared" si="3"/>
        <v>0</v>
      </c>
      <c r="N32" s="675"/>
      <c r="O32" s="1153">
        <v>0</v>
      </c>
      <c r="P32" s="1153">
        <v>0</v>
      </c>
      <c r="Q32" s="1153">
        <v>1</v>
      </c>
      <c r="R32" s="1843">
        <v>0</v>
      </c>
      <c r="S32" s="1843">
        <v>0</v>
      </c>
    </row>
    <row r="33" spans="1:19" ht="16.5" customHeight="1" x14ac:dyDescent="0.25">
      <c r="A33" s="660" t="s">
        <v>74</v>
      </c>
      <c r="B33" s="661" t="s">
        <v>302</v>
      </c>
      <c r="C33" s="586" t="s">
        <v>267</v>
      </c>
      <c r="D33" s="662">
        <f t="shared" si="2"/>
        <v>31</v>
      </c>
      <c r="E33" s="663">
        <v>9</v>
      </c>
      <c r="F33" s="664">
        <v>13</v>
      </c>
      <c r="G33" s="664">
        <v>0</v>
      </c>
      <c r="H33" s="664">
        <v>0</v>
      </c>
      <c r="I33" s="664">
        <v>0</v>
      </c>
      <c r="J33" s="664">
        <v>2</v>
      </c>
      <c r="K33" s="664">
        <v>6</v>
      </c>
      <c r="L33" s="664">
        <v>1</v>
      </c>
      <c r="M33" s="672">
        <f t="shared" si="3"/>
        <v>8</v>
      </c>
      <c r="N33" s="1842"/>
      <c r="O33" s="1153">
        <v>19</v>
      </c>
      <c r="P33" s="1153">
        <v>4</v>
      </c>
      <c r="Q33" s="1153">
        <v>3</v>
      </c>
      <c r="R33" s="1843">
        <v>5</v>
      </c>
      <c r="S33" s="1843">
        <v>0</v>
      </c>
    </row>
    <row r="34" spans="1:19" ht="16.5" customHeight="1" x14ac:dyDescent="0.25">
      <c r="A34" s="660" t="s">
        <v>76</v>
      </c>
      <c r="B34" s="661" t="s">
        <v>77</v>
      </c>
      <c r="C34" s="586" t="s">
        <v>267</v>
      </c>
      <c r="D34" s="662">
        <f t="shared" si="2"/>
        <v>17</v>
      </c>
      <c r="E34" s="663">
        <v>6</v>
      </c>
      <c r="F34" s="664">
        <v>8</v>
      </c>
      <c r="G34" s="664">
        <v>0</v>
      </c>
      <c r="H34" s="664">
        <v>0</v>
      </c>
      <c r="I34" s="664">
        <v>0</v>
      </c>
      <c r="J34" s="664">
        <v>2</v>
      </c>
      <c r="K34" s="664">
        <v>1</v>
      </c>
      <c r="L34" s="664">
        <v>0</v>
      </c>
      <c r="M34" s="665">
        <f t="shared" si="3"/>
        <v>3</v>
      </c>
      <c r="N34" s="1841"/>
      <c r="O34" s="1153">
        <v>7</v>
      </c>
      <c r="P34" s="1153">
        <v>5</v>
      </c>
      <c r="Q34" s="1153">
        <v>4</v>
      </c>
      <c r="R34" s="1843">
        <v>1</v>
      </c>
      <c r="S34" s="1843">
        <v>0</v>
      </c>
    </row>
    <row r="35" spans="1:19" ht="16.5" customHeight="1" x14ac:dyDescent="0.25">
      <c r="A35" s="660" t="s">
        <v>78</v>
      </c>
      <c r="B35" s="661" t="s">
        <v>79</v>
      </c>
      <c r="C35" s="586" t="s">
        <v>268</v>
      </c>
      <c r="D35" s="662">
        <f t="shared" si="2"/>
        <v>2</v>
      </c>
      <c r="E35" s="663">
        <v>2</v>
      </c>
      <c r="F35" s="664">
        <v>0</v>
      </c>
      <c r="G35" s="1152">
        <v>0</v>
      </c>
      <c r="H35" s="1152">
        <v>0</v>
      </c>
      <c r="I35" s="1152">
        <v>0</v>
      </c>
      <c r="J35" s="1152">
        <v>0</v>
      </c>
      <c r="K35" s="1514">
        <v>0</v>
      </c>
      <c r="L35" s="1152">
        <v>0</v>
      </c>
      <c r="M35" s="665">
        <f t="shared" si="3"/>
        <v>0</v>
      </c>
      <c r="N35" s="1153"/>
      <c r="O35" s="1153">
        <v>2</v>
      </c>
      <c r="P35" s="1153">
        <v>0</v>
      </c>
      <c r="Q35" s="1153">
        <v>0</v>
      </c>
      <c r="R35" s="1843">
        <v>0</v>
      </c>
      <c r="S35" s="1843">
        <v>0</v>
      </c>
    </row>
    <row r="36" spans="1:19" ht="16.5" customHeight="1" x14ac:dyDescent="0.25">
      <c r="A36" s="660" t="s">
        <v>80</v>
      </c>
      <c r="B36" s="661" t="s">
        <v>81</v>
      </c>
      <c r="C36" s="586" t="s">
        <v>266</v>
      </c>
      <c r="D36" s="662">
        <f t="shared" si="2"/>
        <v>0</v>
      </c>
      <c r="E36" s="663">
        <v>0</v>
      </c>
      <c r="F36" s="664">
        <v>0</v>
      </c>
      <c r="G36" s="664">
        <v>0</v>
      </c>
      <c r="H36" s="664">
        <v>0</v>
      </c>
      <c r="I36" s="664">
        <v>0</v>
      </c>
      <c r="J36" s="664">
        <v>0</v>
      </c>
      <c r="K36" s="664">
        <v>0</v>
      </c>
      <c r="L36" s="664">
        <v>0</v>
      </c>
      <c r="M36" s="665">
        <f t="shared" si="3"/>
        <v>0</v>
      </c>
      <c r="N36" s="668"/>
      <c r="O36" s="1153">
        <v>0</v>
      </c>
      <c r="P36" s="1153">
        <v>0</v>
      </c>
      <c r="Q36" s="1153">
        <v>0</v>
      </c>
      <c r="R36" s="1843">
        <v>0</v>
      </c>
      <c r="S36" s="1843">
        <v>0</v>
      </c>
    </row>
    <row r="37" spans="1:19" ht="16.5" customHeight="1" x14ac:dyDescent="0.25">
      <c r="A37" s="660" t="s">
        <v>84</v>
      </c>
      <c r="B37" s="661" t="s">
        <v>308</v>
      </c>
      <c r="C37" s="586" t="s">
        <v>265</v>
      </c>
      <c r="D37" s="662">
        <f t="shared" ref="D37:D68" si="4">SUM(E37:L37)</f>
        <v>6</v>
      </c>
      <c r="E37" s="663">
        <v>6</v>
      </c>
      <c r="F37" s="664">
        <v>0</v>
      </c>
      <c r="G37" s="664">
        <v>0</v>
      </c>
      <c r="H37" s="664">
        <v>0</v>
      </c>
      <c r="I37" s="664">
        <v>0</v>
      </c>
      <c r="J37" s="664">
        <v>0</v>
      </c>
      <c r="K37" s="664">
        <v>0</v>
      </c>
      <c r="L37" s="664">
        <v>0</v>
      </c>
      <c r="M37" s="665">
        <f t="shared" ref="M37:M68" si="5">G37+H37+I37+J37+K37</f>
        <v>0</v>
      </c>
      <c r="N37" s="1842"/>
      <c r="O37" s="1153">
        <v>4</v>
      </c>
      <c r="P37" s="675">
        <v>1</v>
      </c>
      <c r="Q37" s="1153">
        <v>1</v>
      </c>
      <c r="R37" s="1843">
        <v>0</v>
      </c>
      <c r="S37" s="1843">
        <v>0</v>
      </c>
    </row>
    <row r="38" spans="1:19" ht="16.5" customHeight="1" x14ac:dyDescent="0.25">
      <c r="A38" s="660" t="s">
        <v>86</v>
      </c>
      <c r="B38" s="661" t="s">
        <v>87</v>
      </c>
      <c r="C38" s="586" t="s">
        <v>267</v>
      </c>
      <c r="D38" s="662">
        <f t="shared" si="4"/>
        <v>6</v>
      </c>
      <c r="E38" s="663">
        <v>4</v>
      </c>
      <c r="F38" s="664">
        <v>0</v>
      </c>
      <c r="G38" s="664">
        <v>0</v>
      </c>
      <c r="H38" s="664">
        <v>0</v>
      </c>
      <c r="I38" s="664">
        <v>0</v>
      </c>
      <c r="J38" s="664">
        <v>1</v>
      </c>
      <c r="K38" s="664">
        <v>1</v>
      </c>
      <c r="L38" s="664">
        <v>0</v>
      </c>
      <c r="M38" s="668">
        <f t="shared" si="5"/>
        <v>2</v>
      </c>
      <c r="N38" s="1841"/>
      <c r="O38" s="675">
        <v>6</v>
      </c>
      <c r="P38" s="675">
        <v>0</v>
      </c>
      <c r="Q38" s="1153">
        <v>0</v>
      </c>
      <c r="R38" s="1843">
        <v>0</v>
      </c>
      <c r="S38" s="1843">
        <v>0</v>
      </c>
    </row>
    <row r="39" spans="1:19" ht="16.5" customHeight="1" x14ac:dyDescent="0.25">
      <c r="A39" s="660" t="s">
        <v>92</v>
      </c>
      <c r="B39" s="661" t="s">
        <v>93</v>
      </c>
      <c r="C39" s="586" t="s">
        <v>268</v>
      </c>
      <c r="D39" s="662">
        <f t="shared" si="4"/>
        <v>15</v>
      </c>
      <c r="E39" s="663">
        <v>15</v>
      </c>
      <c r="F39" s="664">
        <v>0</v>
      </c>
      <c r="G39" s="1152">
        <v>0</v>
      </c>
      <c r="H39" s="1152">
        <v>0</v>
      </c>
      <c r="I39" s="1152">
        <v>0</v>
      </c>
      <c r="J39" s="1152">
        <v>0</v>
      </c>
      <c r="K39" s="1514">
        <v>0</v>
      </c>
      <c r="L39" s="1152">
        <v>0</v>
      </c>
      <c r="M39" s="665">
        <f t="shared" si="5"/>
        <v>0</v>
      </c>
      <c r="N39" s="675"/>
      <c r="O39" s="1153">
        <v>6</v>
      </c>
      <c r="P39" s="1153">
        <v>6</v>
      </c>
      <c r="Q39" s="1153">
        <v>3</v>
      </c>
      <c r="R39" s="1843">
        <v>0</v>
      </c>
      <c r="S39" s="1843">
        <v>0</v>
      </c>
    </row>
    <row r="40" spans="1:19" ht="16.5" customHeight="1" x14ac:dyDescent="0.25">
      <c r="A40" s="660" t="s">
        <v>94</v>
      </c>
      <c r="B40" s="661" t="s">
        <v>95</v>
      </c>
      <c r="C40" s="586" t="s">
        <v>264</v>
      </c>
      <c r="D40" s="662">
        <f t="shared" si="4"/>
        <v>10</v>
      </c>
      <c r="E40" s="663">
        <v>9</v>
      </c>
      <c r="F40" s="664">
        <v>1</v>
      </c>
      <c r="G40" s="664">
        <v>0</v>
      </c>
      <c r="H40" s="664">
        <v>0</v>
      </c>
      <c r="I40" s="664">
        <v>0</v>
      </c>
      <c r="J40" s="664">
        <v>0</v>
      </c>
      <c r="K40" s="664">
        <v>0</v>
      </c>
      <c r="L40" s="664">
        <v>0</v>
      </c>
      <c r="M40" s="665">
        <f t="shared" si="5"/>
        <v>0</v>
      </c>
      <c r="N40" s="1842"/>
      <c r="O40" s="1153">
        <v>8</v>
      </c>
      <c r="P40" s="1153">
        <v>2</v>
      </c>
      <c r="Q40" s="1153">
        <v>0</v>
      </c>
      <c r="R40" s="1843">
        <v>0</v>
      </c>
      <c r="S40" s="1843">
        <v>0</v>
      </c>
    </row>
    <row r="41" spans="1:19" ht="16.5" customHeight="1" x14ac:dyDescent="0.25">
      <c r="A41" s="660" t="s">
        <v>96</v>
      </c>
      <c r="B41" s="661" t="s">
        <v>97</v>
      </c>
      <c r="C41" s="586" t="s">
        <v>266</v>
      </c>
      <c r="D41" s="662">
        <f t="shared" si="4"/>
        <v>1</v>
      </c>
      <c r="E41" s="663">
        <v>0</v>
      </c>
      <c r="F41" s="664">
        <v>0</v>
      </c>
      <c r="G41" s="664">
        <v>0</v>
      </c>
      <c r="H41" s="664">
        <v>0</v>
      </c>
      <c r="I41" s="664">
        <v>0</v>
      </c>
      <c r="J41" s="664">
        <v>0</v>
      </c>
      <c r="K41" s="664">
        <v>1</v>
      </c>
      <c r="L41" s="664">
        <v>0</v>
      </c>
      <c r="M41" s="665">
        <f t="shared" si="5"/>
        <v>1</v>
      </c>
      <c r="N41" s="665"/>
      <c r="O41" s="1153">
        <v>1</v>
      </c>
      <c r="P41" s="1153">
        <v>0</v>
      </c>
      <c r="Q41" s="1153">
        <v>0</v>
      </c>
      <c r="R41" s="1843">
        <v>0</v>
      </c>
      <c r="S41" s="1843">
        <v>0</v>
      </c>
    </row>
    <row r="42" spans="1:19" ht="16.5" customHeight="1" x14ac:dyDescent="0.25">
      <c r="A42" s="660" t="s">
        <v>98</v>
      </c>
      <c r="B42" s="661" t="s">
        <v>99</v>
      </c>
      <c r="C42" s="586" t="s">
        <v>268</v>
      </c>
      <c r="D42" s="662">
        <f t="shared" si="4"/>
        <v>1</v>
      </c>
      <c r="E42" s="663">
        <v>1</v>
      </c>
      <c r="F42" s="664">
        <v>0</v>
      </c>
      <c r="G42" s="1152">
        <v>0</v>
      </c>
      <c r="H42" s="1152">
        <v>0</v>
      </c>
      <c r="I42" s="1152">
        <v>0</v>
      </c>
      <c r="J42" s="1152">
        <v>0</v>
      </c>
      <c r="K42" s="1514">
        <v>0</v>
      </c>
      <c r="L42" s="1152">
        <v>0</v>
      </c>
      <c r="M42" s="665">
        <f t="shared" si="5"/>
        <v>0</v>
      </c>
      <c r="N42" s="1842"/>
      <c r="O42" s="1153">
        <v>1</v>
      </c>
      <c r="P42" s="1153">
        <v>0</v>
      </c>
      <c r="Q42" s="1153">
        <v>0</v>
      </c>
      <c r="R42" s="1843">
        <v>0</v>
      </c>
      <c r="S42" s="1843">
        <v>0</v>
      </c>
    </row>
    <row r="43" spans="1:19" ht="16.5" customHeight="1" x14ac:dyDescent="0.25">
      <c r="A43" s="660" t="s">
        <v>100</v>
      </c>
      <c r="B43" s="661" t="s">
        <v>101</v>
      </c>
      <c r="C43" s="586" t="s">
        <v>267</v>
      </c>
      <c r="D43" s="662">
        <f t="shared" si="4"/>
        <v>0</v>
      </c>
      <c r="E43" s="663">
        <v>0</v>
      </c>
      <c r="F43" s="664">
        <v>0</v>
      </c>
      <c r="G43" s="664">
        <v>0</v>
      </c>
      <c r="H43" s="664">
        <v>0</v>
      </c>
      <c r="I43" s="664">
        <v>0</v>
      </c>
      <c r="J43" s="664">
        <v>0</v>
      </c>
      <c r="K43" s="664">
        <v>0</v>
      </c>
      <c r="L43" s="664">
        <v>0</v>
      </c>
      <c r="M43" s="665">
        <f t="shared" si="5"/>
        <v>0</v>
      </c>
      <c r="N43" s="1841"/>
      <c r="O43" s="1153">
        <v>0</v>
      </c>
      <c r="P43" s="1153">
        <v>0</v>
      </c>
      <c r="Q43" s="1153">
        <v>0</v>
      </c>
      <c r="R43" s="1843">
        <v>0</v>
      </c>
      <c r="S43" s="1843">
        <v>0</v>
      </c>
    </row>
    <row r="44" spans="1:19" ht="16.5" customHeight="1" x14ac:dyDescent="0.25">
      <c r="A44" s="660" t="s">
        <v>102</v>
      </c>
      <c r="B44" s="661" t="s">
        <v>103</v>
      </c>
      <c r="C44" s="586" t="s">
        <v>264</v>
      </c>
      <c r="D44" s="662">
        <f t="shared" si="4"/>
        <v>1</v>
      </c>
      <c r="E44" s="671">
        <v>0</v>
      </c>
      <c r="F44" s="670">
        <v>1</v>
      </c>
      <c r="G44" s="670">
        <v>0</v>
      </c>
      <c r="H44" s="670">
        <v>0</v>
      </c>
      <c r="I44" s="670">
        <v>0</v>
      </c>
      <c r="J44" s="1158">
        <v>0</v>
      </c>
      <c r="K44" s="1520">
        <v>0</v>
      </c>
      <c r="L44" s="670">
        <v>0</v>
      </c>
      <c r="M44" s="665">
        <f t="shared" si="5"/>
        <v>0</v>
      </c>
      <c r="N44" s="668"/>
      <c r="O44" s="1153">
        <v>0</v>
      </c>
      <c r="P44" s="675">
        <v>0</v>
      </c>
      <c r="Q44" s="1153">
        <v>1</v>
      </c>
      <c r="R44" s="1843">
        <v>0</v>
      </c>
      <c r="S44" s="1843">
        <v>0</v>
      </c>
    </row>
    <row r="45" spans="1:19" ht="16.5" customHeight="1" x14ac:dyDescent="0.25">
      <c r="A45" s="660" t="s">
        <v>104</v>
      </c>
      <c r="B45" s="661" t="s">
        <v>309</v>
      </c>
      <c r="C45" s="586" t="s">
        <v>265</v>
      </c>
      <c r="D45" s="662">
        <f t="shared" si="4"/>
        <v>0</v>
      </c>
      <c r="E45" s="663">
        <v>0</v>
      </c>
      <c r="F45" s="664">
        <v>0</v>
      </c>
      <c r="G45" s="664">
        <v>0</v>
      </c>
      <c r="H45" s="664">
        <v>0</v>
      </c>
      <c r="I45" s="664">
        <v>0</v>
      </c>
      <c r="J45" s="664">
        <v>0</v>
      </c>
      <c r="K45" s="664">
        <v>0</v>
      </c>
      <c r="L45" s="664">
        <v>0</v>
      </c>
      <c r="M45" s="665">
        <f t="shared" si="5"/>
        <v>0</v>
      </c>
      <c r="N45" s="1841"/>
      <c r="O45" s="1153">
        <v>0</v>
      </c>
      <c r="P45" s="675">
        <v>0</v>
      </c>
      <c r="Q45" s="1153">
        <v>0</v>
      </c>
      <c r="R45" s="1843">
        <v>0</v>
      </c>
      <c r="S45" s="1843">
        <v>0</v>
      </c>
    </row>
    <row r="46" spans="1:19" ht="16.5" customHeight="1" x14ac:dyDescent="0.25">
      <c r="A46" s="660" t="s">
        <v>108</v>
      </c>
      <c r="B46" s="661" t="s">
        <v>109</v>
      </c>
      <c r="C46" s="586" t="s">
        <v>266</v>
      </c>
      <c r="D46" s="662">
        <f t="shared" si="4"/>
        <v>1</v>
      </c>
      <c r="E46" s="663">
        <v>1</v>
      </c>
      <c r="F46" s="664">
        <v>0</v>
      </c>
      <c r="G46" s="664">
        <v>0</v>
      </c>
      <c r="H46" s="664">
        <v>0</v>
      </c>
      <c r="I46" s="664">
        <v>0</v>
      </c>
      <c r="J46" s="664">
        <v>0</v>
      </c>
      <c r="K46" s="664">
        <v>0</v>
      </c>
      <c r="L46" s="664">
        <v>0</v>
      </c>
      <c r="M46" s="665">
        <f t="shared" si="5"/>
        <v>0</v>
      </c>
      <c r="N46" s="1842"/>
      <c r="O46" s="1153">
        <v>1</v>
      </c>
      <c r="P46" s="1153">
        <v>0</v>
      </c>
      <c r="Q46" s="1153">
        <v>0</v>
      </c>
      <c r="R46" s="1843">
        <v>0</v>
      </c>
      <c r="S46" s="1843">
        <v>0</v>
      </c>
    </row>
    <row r="47" spans="1:19" ht="16.5" customHeight="1" x14ac:dyDescent="0.25">
      <c r="A47" s="660" t="s">
        <v>110</v>
      </c>
      <c r="B47" s="661" t="s">
        <v>111</v>
      </c>
      <c r="C47" s="586" t="s">
        <v>266</v>
      </c>
      <c r="D47" s="662">
        <f t="shared" si="4"/>
        <v>6</v>
      </c>
      <c r="E47" s="663">
        <v>3</v>
      </c>
      <c r="F47" s="664">
        <v>1</v>
      </c>
      <c r="G47" s="664">
        <v>0</v>
      </c>
      <c r="H47" s="664">
        <v>0</v>
      </c>
      <c r="I47" s="664">
        <v>0</v>
      </c>
      <c r="J47" s="664">
        <v>1</v>
      </c>
      <c r="K47" s="664">
        <v>1</v>
      </c>
      <c r="L47" s="664">
        <v>0</v>
      </c>
      <c r="M47" s="665">
        <f t="shared" si="5"/>
        <v>2</v>
      </c>
      <c r="N47" s="1842"/>
      <c r="O47" s="1153">
        <v>2</v>
      </c>
      <c r="P47" s="1153">
        <v>0</v>
      </c>
      <c r="Q47" s="1153">
        <v>1</v>
      </c>
      <c r="R47" s="1843">
        <v>3</v>
      </c>
      <c r="S47" s="1843">
        <v>0</v>
      </c>
    </row>
    <row r="48" spans="1:19" ht="16.5" customHeight="1" x14ac:dyDescent="0.25">
      <c r="A48" s="660" t="s">
        <v>112</v>
      </c>
      <c r="B48" s="661" t="s">
        <v>300</v>
      </c>
      <c r="C48" s="586" t="s">
        <v>265</v>
      </c>
      <c r="D48" s="662">
        <f t="shared" si="4"/>
        <v>1</v>
      </c>
      <c r="E48" s="663">
        <v>1</v>
      </c>
      <c r="F48" s="664">
        <v>0</v>
      </c>
      <c r="G48" s="664">
        <v>0</v>
      </c>
      <c r="H48" s="664">
        <v>0</v>
      </c>
      <c r="I48" s="664">
        <v>0</v>
      </c>
      <c r="J48" s="664">
        <v>0</v>
      </c>
      <c r="K48" s="664">
        <v>0</v>
      </c>
      <c r="L48" s="664">
        <v>0</v>
      </c>
      <c r="M48" s="1153">
        <f t="shared" si="5"/>
        <v>0</v>
      </c>
      <c r="N48" s="1841"/>
      <c r="O48" s="1153">
        <v>1</v>
      </c>
      <c r="P48" s="1153">
        <v>0</v>
      </c>
      <c r="Q48" s="1153">
        <v>0</v>
      </c>
      <c r="R48" s="1843">
        <v>0</v>
      </c>
      <c r="S48" s="1843">
        <v>0</v>
      </c>
    </row>
    <row r="49" spans="1:19" ht="16.5" customHeight="1" x14ac:dyDescent="0.25">
      <c r="A49" s="660" t="s">
        <v>114</v>
      </c>
      <c r="B49" s="661" t="s">
        <v>115</v>
      </c>
      <c r="C49" s="586" t="s">
        <v>265</v>
      </c>
      <c r="D49" s="673">
        <f t="shared" si="4"/>
        <v>0</v>
      </c>
      <c r="E49" s="674">
        <v>0</v>
      </c>
      <c r="F49" s="670">
        <v>0</v>
      </c>
      <c r="G49" s="670">
        <v>0</v>
      </c>
      <c r="H49" s="670">
        <v>0</v>
      </c>
      <c r="I49" s="670">
        <v>0</v>
      </c>
      <c r="J49" s="1158">
        <v>0</v>
      </c>
      <c r="K49" s="1520">
        <v>0</v>
      </c>
      <c r="L49" s="670">
        <v>0</v>
      </c>
      <c r="M49" s="665">
        <f t="shared" si="5"/>
        <v>0</v>
      </c>
      <c r="N49" s="1153"/>
      <c r="O49" s="1153">
        <v>0</v>
      </c>
      <c r="P49" s="1153">
        <v>0</v>
      </c>
      <c r="Q49" s="1153">
        <v>0</v>
      </c>
      <c r="R49" s="1843">
        <v>0</v>
      </c>
      <c r="S49" s="1843">
        <v>0</v>
      </c>
    </row>
    <row r="50" spans="1:19" ht="16.5" customHeight="1" x14ac:dyDescent="0.25">
      <c r="A50" s="660" t="s">
        <v>118</v>
      </c>
      <c r="B50" s="661" t="s">
        <v>119</v>
      </c>
      <c r="C50" s="586" t="s">
        <v>264</v>
      </c>
      <c r="D50" s="662">
        <f t="shared" si="4"/>
        <v>3</v>
      </c>
      <c r="E50" s="663">
        <v>2</v>
      </c>
      <c r="F50" s="664">
        <v>1</v>
      </c>
      <c r="G50" s="664">
        <v>0</v>
      </c>
      <c r="H50" s="664">
        <v>0</v>
      </c>
      <c r="I50" s="664">
        <v>0</v>
      </c>
      <c r="J50" s="664">
        <v>0</v>
      </c>
      <c r="K50" s="664">
        <v>0</v>
      </c>
      <c r="L50" s="664">
        <v>0</v>
      </c>
      <c r="M50" s="665">
        <f t="shared" si="5"/>
        <v>0</v>
      </c>
      <c r="N50" s="668"/>
      <c r="O50" s="1153">
        <v>1</v>
      </c>
      <c r="P50" s="675">
        <v>0</v>
      </c>
      <c r="Q50" s="1153">
        <v>1</v>
      </c>
      <c r="R50" s="1843">
        <v>1</v>
      </c>
      <c r="S50" s="1843">
        <v>0</v>
      </c>
    </row>
    <row r="51" spans="1:19" ht="16.5" customHeight="1" x14ac:dyDescent="0.25">
      <c r="A51" s="660" t="s">
        <v>120</v>
      </c>
      <c r="B51" s="661" t="s">
        <v>121</v>
      </c>
      <c r="C51" s="586" t="s">
        <v>264</v>
      </c>
      <c r="D51" s="662">
        <f t="shared" si="4"/>
        <v>1</v>
      </c>
      <c r="E51" s="663">
        <v>1</v>
      </c>
      <c r="F51" s="664">
        <v>0</v>
      </c>
      <c r="G51" s="664">
        <v>0</v>
      </c>
      <c r="H51" s="664">
        <v>0</v>
      </c>
      <c r="I51" s="664">
        <v>0</v>
      </c>
      <c r="J51" s="664">
        <v>0</v>
      </c>
      <c r="K51" s="664">
        <v>0</v>
      </c>
      <c r="L51" s="664">
        <v>0</v>
      </c>
      <c r="M51" s="665">
        <f t="shared" si="5"/>
        <v>0</v>
      </c>
      <c r="N51" s="1841"/>
      <c r="O51" s="1153">
        <v>1</v>
      </c>
      <c r="P51" s="1153">
        <v>0</v>
      </c>
      <c r="Q51" s="1153">
        <v>0</v>
      </c>
      <c r="R51" s="1843">
        <v>0</v>
      </c>
      <c r="S51" s="1843">
        <v>0</v>
      </c>
    </row>
    <row r="52" spans="1:19" ht="16.5" customHeight="1" x14ac:dyDescent="0.25">
      <c r="A52" s="660" t="s">
        <v>122</v>
      </c>
      <c r="B52" s="661" t="s">
        <v>271</v>
      </c>
      <c r="C52" s="586" t="s">
        <v>266</v>
      </c>
      <c r="D52" s="662">
        <f t="shared" si="4"/>
        <v>0</v>
      </c>
      <c r="E52" s="663">
        <v>0</v>
      </c>
      <c r="F52" s="664">
        <v>0</v>
      </c>
      <c r="G52" s="664">
        <v>0</v>
      </c>
      <c r="H52" s="664">
        <v>0</v>
      </c>
      <c r="I52" s="664">
        <v>0</v>
      </c>
      <c r="J52" s="664">
        <v>0</v>
      </c>
      <c r="K52" s="664">
        <v>0</v>
      </c>
      <c r="L52" s="664">
        <v>0</v>
      </c>
      <c r="M52" s="665">
        <f t="shared" si="5"/>
        <v>0</v>
      </c>
      <c r="N52" s="1153"/>
      <c r="O52" s="1153">
        <v>0</v>
      </c>
      <c r="P52" s="1153">
        <v>0</v>
      </c>
      <c r="Q52" s="1153">
        <v>0</v>
      </c>
      <c r="R52" s="1843">
        <v>0</v>
      </c>
      <c r="S52" s="1843">
        <v>0</v>
      </c>
    </row>
    <row r="53" spans="1:19" ht="16.5" customHeight="1" x14ac:dyDescent="0.25">
      <c r="A53" s="660" t="s">
        <v>124</v>
      </c>
      <c r="B53" s="661" t="s">
        <v>125</v>
      </c>
      <c r="C53" s="586" t="s">
        <v>267</v>
      </c>
      <c r="D53" s="662">
        <f t="shared" si="4"/>
        <v>1</v>
      </c>
      <c r="E53" s="663">
        <v>1</v>
      </c>
      <c r="F53" s="664">
        <v>0</v>
      </c>
      <c r="G53" s="664">
        <v>0</v>
      </c>
      <c r="H53" s="664">
        <v>0</v>
      </c>
      <c r="I53" s="664">
        <v>0</v>
      </c>
      <c r="J53" s="664">
        <v>0</v>
      </c>
      <c r="K53" s="664">
        <v>0</v>
      </c>
      <c r="L53" s="664">
        <v>0</v>
      </c>
      <c r="M53" s="665">
        <f t="shared" si="5"/>
        <v>0</v>
      </c>
      <c r="N53" s="675"/>
      <c r="O53" s="1153">
        <v>0</v>
      </c>
      <c r="P53" s="1153">
        <v>1</v>
      </c>
      <c r="Q53" s="1153">
        <v>0</v>
      </c>
      <c r="R53" s="1843">
        <v>0</v>
      </c>
      <c r="S53" s="1843">
        <v>0</v>
      </c>
    </row>
    <row r="54" spans="1:19" ht="16.5" customHeight="1" x14ac:dyDescent="0.25">
      <c r="A54" s="660" t="s">
        <v>126</v>
      </c>
      <c r="B54" s="661" t="s">
        <v>127</v>
      </c>
      <c r="C54" s="586" t="s">
        <v>266</v>
      </c>
      <c r="D54" s="662">
        <f t="shared" si="4"/>
        <v>2</v>
      </c>
      <c r="E54" s="663">
        <v>2</v>
      </c>
      <c r="F54" s="664">
        <v>0</v>
      </c>
      <c r="G54" s="664">
        <v>0</v>
      </c>
      <c r="H54" s="664">
        <v>0</v>
      </c>
      <c r="I54" s="664">
        <v>0</v>
      </c>
      <c r="J54" s="664">
        <v>0</v>
      </c>
      <c r="K54" s="664">
        <v>0</v>
      </c>
      <c r="L54" s="664">
        <v>0</v>
      </c>
      <c r="M54" s="665">
        <f t="shared" si="5"/>
        <v>0</v>
      </c>
      <c r="N54" s="668"/>
      <c r="O54" s="1153">
        <v>0</v>
      </c>
      <c r="P54" s="1153">
        <v>0</v>
      </c>
      <c r="Q54" s="1153">
        <v>1</v>
      </c>
      <c r="R54" s="1843">
        <v>1</v>
      </c>
      <c r="S54" s="1843">
        <v>0</v>
      </c>
    </row>
    <row r="55" spans="1:19" ht="16.5" customHeight="1" x14ac:dyDescent="0.25">
      <c r="A55" s="660" t="s">
        <v>128</v>
      </c>
      <c r="B55" s="661" t="s">
        <v>129</v>
      </c>
      <c r="C55" s="586" t="s">
        <v>266</v>
      </c>
      <c r="D55" s="662">
        <f t="shared" si="4"/>
        <v>0</v>
      </c>
      <c r="E55" s="663">
        <v>0</v>
      </c>
      <c r="F55" s="664">
        <v>0</v>
      </c>
      <c r="G55" s="664">
        <v>0</v>
      </c>
      <c r="H55" s="664">
        <v>0</v>
      </c>
      <c r="I55" s="664">
        <v>0</v>
      </c>
      <c r="J55" s="664">
        <v>0</v>
      </c>
      <c r="K55" s="664">
        <v>0</v>
      </c>
      <c r="L55" s="664">
        <v>0</v>
      </c>
      <c r="M55" s="665">
        <f t="shared" si="5"/>
        <v>0</v>
      </c>
      <c r="N55" s="668"/>
      <c r="O55" s="1153">
        <v>0</v>
      </c>
      <c r="P55" s="1153">
        <v>0</v>
      </c>
      <c r="Q55" s="1153">
        <v>0</v>
      </c>
      <c r="R55" s="1843">
        <v>0</v>
      </c>
      <c r="S55" s="1843">
        <v>0</v>
      </c>
    </row>
    <row r="56" spans="1:19" ht="16.5" customHeight="1" x14ac:dyDescent="0.25">
      <c r="A56" s="660" t="s">
        <v>130</v>
      </c>
      <c r="B56" s="661" t="s">
        <v>131</v>
      </c>
      <c r="C56" s="586" t="s">
        <v>268</v>
      </c>
      <c r="D56" s="662">
        <f t="shared" si="4"/>
        <v>1</v>
      </c>
      <c r="E56" s="663">
        <v>1</v>
      </c>
      <c r="F56" s="664">
        <v>0</v>
      </c>
      <c r="G56" s="664">
        <v>0</v>
      </c>
      <c r="H56" s="664">
        <v>0</v>
      </c>
      <c r="I56" s="664">
        <v>0</v>
      </c>
      <c r="J56" s="664">
        <v>0</v>
      </c>
      <c r="K56" s="664">
        <v>0</v>
      </c>
      <c r="L56" s="664">
        <v>0</v>
      </c>
      <c r="M56" s="665">
        <f t="shared" si="5"/>
        <v>0</v>
      </c>
      <c r="N56" s="1841"/>
      <c r="O56" s="1153">
        <v>0</v>
      </c>
      <c r="P56" s="1153">
        <v>0</v>
      </c>
      <c r="Q56" s="1153">
        <v>0</v>
      </c>
      <c r="R56" s="1843">
        <v>1</v>
      </c>
      <c r="S56" s="1843">
        <v>0</v>
      </c>
    </row>
    <row r="57" spans="1:19" ht="16.5" customHeight="1" x14ac:dyDescent="0.25">
      <c r="A57" s="660" t="s">
        <v>132</v>
      </c>
      <c r="B57" s="661" t="s">
        <v>133</v>
      </c>
      <c r="C57" s="586" t="s">
        <v>267</v>
      </c>
      <c r="D57" s="662">
        <f t="shared" si="4"/>
        <v>11</v>
      </c>
      <c r="E57" s="663">
        <v>1</v>
      </c>
      <c r="F57" s="664">
        <v>5</v>
      </c>
      <c r="G57" s="664">
        <v>0</v>
      </c>
      <c r="H57" s="664">
        <v>0</v>
      </c>
      <c r="I57" s="664">
        <v>0</v>
      </c>
      <c r="J57" s="664">
        <v>0</v>
      </c>
      <c r="K57" s="664">
        <v>5</v>
      </c>
      <c r="L57" s="664">
        <v>0</v>
      </c>
      <c r="M57" s="672">
        <f t="shared" si="5"/>
        <v>5</v>
      </c>
      <c r="N57" s="1841"/>
      <c r="O57" s="1153">
        <v>4</v>
      </c>
      <c r="P57" s="1153">
        <v>3</v>
      </c>
      <c r="Q57" s="1153">
        <v>3</v>
      </c>
      <c r="R57" s="1843">
        <v>1</v>
      </c>
      <c r="S57" s="1843">
        <v>0</v>
      </c>
    </row>
    <row r="58" spans="1:19" ht="16.5" customHeight="1" x14ac:dyDescent="0.25">
      <c r="A58" s="660" t="s">
        <v>134</v>
      </c>
      <c r="B58" s="661" t="s">
        <v>135</v>
      </c>
      <c r="C58" s="586" t="s">
        <v>267</v>
      </c>
      <c r="D58" s="662">
        <f t="shared" si="4"/>
        <v>0</v>
      </c>
      <c r="E58" s="663">
        <v>0</v>
      </c>
      <c r="F58" s="664">
        <v>0</v>
      </c>
      <c r="G58" s="664">
        <v>0</v>
      </c>
      <c r="H58" s="664">
        <v>0</v>
      </c>
      <c r="I58" s="664">
        <v>0</v>
      </c>
      <c r="J58" s="664">
        <v>0</v>
      </c>
      <c r="K58" s="664">
        <v>0</v>
      </c>
      <c r="L58" s="664">
        <v>0</v>
      </c>
      <c r="M58" s="665">
        <f t="shared" si="5"/>
        <v>0</v>
      </c>
      <c r="N58" s="1842"/>
      <c r="O58" s="1153">
        <v>0</v>
      </c>
      <c r="P58" s="1153">
        <v>0</v>
      </c>
      <c r="Q58" s="1153">
        <v>0</v>
      </c>
      <c r="R58" s="1843">
        <v>0</v>
      </c>
      <c r="S58" s="1843">
        <v>0</v>
      </c>
    </row>
    <row r="59" spans="1:19" ht="16.5" customHeight="1" x14ac:dyDescent="0.25">
      <c r="A59" s="660" t="s">
        <v>136</v>
      </c>
      <c r="B59" s="661" t="s">
        <v>137</v>
      </c>
      <c r="C59" s="586" t="s">
        <v>266</v>
      </c>
      <c r="D59" s="662">
        <f t="shared" si="4"/>
        <v>3</v>
      </c>
      <c r="E59" s="671">
        <v>0</v>
      </c>
      <c r="F59" s="670">
        <v>3</v>
      </c>
      <c r="G59" s="670">
        <v>0</v>
      </c>
      <c r="H59" s="670">
        <v>0</v>
      </c>
      <c r="I59" s="670">
        <v>0</v>
      </c>
      <c r="J59" s="1158">
        <v>0</v>
      </c>
      <c r="K59" s="1520">
        <v>0</v>
      </c>
      <c r="L59" s="670">
        <v>0</v>
      </c>
      <c r="M59" s="665">
        <f t="shared" si="5"/>
        <v>0</v>
      </c>
      <c r="N59" s="1842"/>
      <c r="O59" s="1153">
        <v>2</v>
      </c>
      <c r="P59" s="1153">
        <v>1</v>
      </c>
      <c r="Q59" s="1153">
        <v>0</v>
      </c>
      <c r="R59" s="1843">
        <v>0</v>
      </c>
      <c r="S59" s="1843">
        <v>0</v>
      </c>
    </row>
    <row r="60" spans="1:19" ht="16.5" customHeight="1" x14ac:dyDescent="0.25">
      <c r="A60" s="660" t="s">
        <v>140</v>
      </c>
      <c r="B60" s="661" t="s">
        <v>141</v>
      </c>
      <c r="C60" s="586" t="s">
        <v>267</v>
      </c>
      <c r="D60" s="662">
        <f t="shared" si="4"/>
        <v>3</v>
      </c>
      <c r="E60" s="663">
        <v>3</v>
      </c>
      <c r="F60" s="664">
        <v>0</v>
      </c>
      <c r="G60" s="664">
        <v>0</v>
      </c>
      <c r="H60" s="664">
        <v>0</v>
      </c>
      <c r="I60" s="664">
        <v>0</v>
      </c>
      <c r="J60" s="664">
        <v>0</v>
      </c>
      <c r="K60" s="664">
        <v>0</v>
      </c>
      <c r="L60" s="664">
        <v>0</v>
      </c>
      <c r="M60" s="665">
        <f t="shared" si="5"/>
        <v>0</v>
      </c>
      <c r="N60" s="665"/>
      <c r="O60" s="1153">
        <v>3</v>
      </c>
      <c r="P60" s="1153">
        <v>0</v>
      </c>
      <c r="Q60" s="1153">
        <v>0</v>
      </c>
      <c r="R60" s="1843">
        <v>0</v>
      </c>
      <c r="S60" s="1843">
        <v>0</v>
      </c>
    </row>
    <row r="61" spans="1:19" ht="16.5" customHeight="1" x14ac:dyDescent="0.25">
      <c r="A61" s="660" t="s">
        <v>146</v>
      </c>
      <c r="B61" s="661" t="s">
        <v>147</v>
      </c>
      <c r="C61" s="586" t="s">
        <v>264</v>
      </c>
      <c r="D61" s="662">
        <f t="shared" si="4"/>
        <v>4</v>
      </c>
      <c r="E61" s="663">
        <v>4</v>
      </c>
      <c r="F61" s="664">
        <v>0</v>
      </c>
      <c r="G61" s="664">
        <v>0</v>
      </c>
      <c r="H61" s="664">
        <v>0</v>
      </c>
      <c r="I61" s="664">
        <v>0</v>
      </c>
      <c r="J61" s="664">
        <v>0</v>
      </c>
      <c r="K61" s="664">
        <v>0</v>
      </c>
      <c r="L61" s="664">
        <v>0</v>
      </c>
      <c r="M61" s="665">
        <f t="shared" si="5"/>
        <v>0</v>
      </c>
      <c r="N61" s="675"/>
      <c r="O61" s="1153">
        <v>1</v>
      </c>
      <c r="P61" s="1153">
        <v>2</v>
      </c>
      <c r="Q61" s="1153">
        <v>1</v>
      </c>
      <c r="R61" s="1843">
        <v>0</v>
      </c>
      <c r="S61" s="1843">
        <v>0</v>
      </c>
    </row>
    <row r="62" spans="1:19" ht="16.5" customHeight="1" x14ac:dyDescent="0.25">
      <c r="A62" s="660" t="s">
        <v>148</v>
      </c>
      <c r="B62" s="661" t="s">
        <v>149</v>
      </c>
      <c r="C62" s="586" t="s">
        <v>265</v>
      </c>
      <c r="D62" s="662">
        <f t="shared" si="4"/>
        <v>1</v>
      </c>
      <c r="E62" s="663">
        <v>0</v>
      </c>
      <c r="F62" s="664">
        <v>1</v>
      </c>
      <c r="G62" s="664">
        <v>0</v>
      </c>
      <c r="H62" s="664">
        <v>0</v>
      </c>
      <c r="I62" s="664">
        <v>0</v>
      </c>
      <c r="J62" s="664">
        <v>0</v>
      </c>
      <c r="K62" s="664">
        <v>0</v>
      </c>
      <c r="L62" s="664">
        <v>0</v>
      </c>
      <c r="M62" s="665">
        <f t="shared" si="5"/>
        <v>0</v>
      </c>
      <c r="N62" s="1842"/>
      <c r="O62" s="1153">
        <v>1</v>
      </c>
      <c r="P62" s="1153">
        <v>0</v>
      </c>
      <c r="Q62" s="1153">
        <v>0</v>
      </c>
      <c r="R62" s="1843">
        <v>0</v>
      </c>
      <c r="S62" s="1843">
        <v>0</v>
      </c>
    </row>
    <row r="63" spans="1:19" ht="16.5" customHeight="1" x14ac:dyDescent="0.25">
      <c r="A63" s="660" t="s">
        <v>150</v>
      </c>
      <c r="B63" s="661" t="s">
        <v>151</v>
      </c>
      <c r="C63" s="586" t="s">
        <v>266</v>
      </c>
      <c r="D63" s="662">
        <f t="shared" si="4"/>
        <v>1</v>
      </c>
      <c r="E63" s="671">
        <v>1</v>
      </c>
      <c r="F63" s="670">
        <v>0</v>
      </c>
      <c r="G63" s="670">
        <v>0</v>
      </c>
      <c r="H63" s="670">
        <v>0</v>
      </c>
      <c r="I63" s="670">
        <v>0</v>
      </c>
      <c r="J63" s="1158">
        <v>0</v>
      </c>
      <c r="K63" s="1520">
        <v>0</v>
      </c>
      <c r="L63" s="670">
        <v>0</v>
      </c>
      <c r="M63" s="665">
        <f t="shared" si="5"/>
        <v>0</v>
      </c>
      <c r="N63" s="1842"/>
      <c r="O63" s="1153">
        <v>0</v>
      </c>
      <c r="P63" s="1153">
        <v>0</v>
      </c>
      <c r="Q63" s="1153">
        <v>0</v>
      </c>
      <c r="R63" s="1843">
        <v>1</v>
      </c>
      <c r="S63" s="1843">
        <v>0</v>
      </c>
    </row>
    <row r="64" spans="1:19" ht="16.5" customHeight="1" x14ac:dyDescent="0.25">
      <c r="A64" s="660" t="s">
        <v>152</v>
      </c>
      <c r="B64" s="661" t="s">
        <v>153</v>
      </c>
      <c r="C64" s="586" t="s">
        <v>268</v>
      </c>
      <c r="D64" s="662">
        <f t="shared" si="4"/>
        <v>3</v>
      </c>
      <c r="E64" s="663">
        <v>0</v>
      </c>
      <c r="F64" s="664">
        <v>2</v>
      </c>
      <c r="G64" s="664">
        <v>0</v>
      </c>
      <c r="H64" s="664">
        <v>0</v>
      </c>
      <c r="I64" s="664">
        <v>0</v>
      </c>
      <c r="J64" s="664">
        <v>1</v>
      </c>
      <c r="K64" s="664">
        <v>0</v>
      </c>
      <c r="L64" s="664">
        <v>0</v>
      </c>
      <c r="M64" s="665">
        <f t="shared" si="5"/>
        <v>1</v>
      </c>
      <c r="N64" s="1153"/>
      <c r="O64" s="1153">
        <v>0</v>
      </c>
      <c r="P64" s="1153">
        <v>2</v>
      </c>
      <c r="Q64" s="1153">
        <v>1</v>
      </c>
      <c r="R64" s="1843">
        <v>0</v>
      </c>
      <c r="S64" s="1843">
        <v>0</v>
      </c>
    </row>
    <row r="65" spans="1:19" ht="16.5" customHeight="1" x14ac:dyDescent="0.25">
      <c r="A65" s="660" t="s">
        <v>154</v>
      </c>
      <c r="B65" s="661" t="s">
        <v>155</v>
      </c>
      <c r="C65" s="586" t="s">
        <v>265</v>
      </c>
      <c r="D65" s="673">
        <f t="shared" si="4"/>
        <v>1</v>
      </c>
      <c r="E65" s="674">
        <v>1</v>
      </c>
      <c r="F65" s="670">
        <v>0</v>
      </c>
      <c r="G65" s="670">
        <v>0</v>
      </c>
      <c r="H65" s="670">
        <v>0</v>
      </c>
      <c r="I65" s="670">
        <v>0</v>
      </c>
      <c r="J65" s="1158">
        <v>0</v>
      </c>
      <c r="K65" s="1520">
        <v>0</v>
      </c>
      <c r="L65" s="670">
        <v>0</v>
      </c>
      <c r="M65" s="665">
        <f t="shared" si="5"/>
        <v>0</v>
      </c>
      <c r="N65" s="1153"/>
      <c r="O65" s="1153">
        <v>1</v>
      </c>
      <c r="P65" s="1153">
        <v>0</v>
      </c>
      <c r="Q65" s="1153">
        <v>0</v>
      </c>
      <c r="R65" s="1843">
        <v>0</v>
      </c>
      <c r="S65" s="1843">
        <v>0</v>
      </c>
    </row>
    <row r="66" spans="1:19" ht="16.5" customHeight="1" x14ac:dyDescent="0.25">
      <c r="A66" s="660" t="s">
        <v>156</v>
      </c>
      <c r="B66" s="661" t="s">
        <v>157</v>
      </c>
      <c r="C66" s="586" t="s">
        <v>266</v>
      </c>
      <c r="D66" s="662">
        <f t="shared" si="4"/>
        <v>0</v>
      </c>
      <c r="E66" s="663">
        <v>0</v>
      </c>
      <c r="F66" s="664">
        <v>0</v>
      </c>
      <c r="G66" s="1152">
        <v>0</v>
      </c>
      <c r="H66" s="1152">
        <v>0</v>
      </c>
      <c r="I66" s="1152">
        <v>0</v>
      </c>
      <c r="J66" s="1152">
        <v>0</v>
      </c>
      <c r="K66" s="1514">
        <v>0</v>
      </c>
      <c r="L66" s="1152">
        <v>0</v>
      </c>
      <c r="M66" s="665">
        <f t="shared" si="5"/>
        <v>0</v>
      </c>
      <c r="N66" s="668"/>
      <c r="O66" s="1153">
        <v>0</v>
      </c>
      <c r="P66" s="1153">
        <v>0</v>
      </c>
      <c r="Q66" s="1153">
        <v>0</v>
      </c>
      <c r="R66" s="1843">
        <v>0</v>
      </c>
      <c r="S66" s="1843">
        <v>0</v>
      </c>
    </row>
    <row r="67" spans="1:19" ht="16.5" customHeight="1" x14ac:dyDescent="0.25">
      <c r="A67" s="660" t="s">
        <v>162</v>
      </c>
      <c r="B67" s="661" t="s">
        <v>163</v>
      </c>
      <c r="C67" s="586" t="s">
        <v>264</v>
      </c>
      <c r="D67" s="662">
        <f t="shared" si="4"/>
        <v>0</v>
      </c>
      <c r="E67" s="663">
        <v>0</v>
      </c>
      <c r="F67" s="664">
        <v>0</v>
      </c>
      <c r="G67" s="664">
        <v>0</v>
      </c>
      <c r="H67" s="664">
        <v>0</v>
      </c>
      <c r="I67" s="664">
        <v>0</v>
      </c>
      <c r="J67" s="664">
        <v>0</v>
      </c>
      <c r="K67" s="664">
        <v>0</v>
      </c>
      <c r="L67" s="664">
        <v>0</v>
      </c>
      <c r="M67" s="668">
        <f t="shared" si="5"/>
        <v>0</v>
      </c>
      <c r="N67" s="675"/>
      <c r="O67" s="1153">
        <v>0</v>
      </c>
      <c r="P67" s="1153">
        <v>0</v>
      </c>
      <c r="Q67" s="1153">
        <v>0</v>
      </c>
      <c r="R67" s="1843">
        <v>0</v>
      </c>
      <c r="S67" s="1843">
        <v>0</v>
      </c>
    </row>
    <row r="68" spans="1:19" ht="16.5" customHeight="1" x14ac:dyDescent="0.25">
      <c r="A68" s="660" t="s">
        <v>164</v>
      </c>
      <c r="B68" s="661" t="s">
        <v>165</v>
      </c>
      <c r="C68" s="586" t="s">
        <v>266</v>
      </c>
      <c r="D68" s="662">
        <f t="shared" si="4"/>
        <v>1</v>
      </c>
      <c r="E68" s="663">
        <v>0</v>
      </c>
      <c r="F68" s="664">
        <v>1</v>
      </c>
      <c r="G68" s="664">
        <v>0</v>
      </c>
      <c r="H68" s="664">
        <v>0</v>
      </c>
      <c r="I68" s="664">
        <v>0</v>
      </c>
      <c r="J68" s="664">
        <v>0</v>
      </c>
      <c r="K68" s="664">
        <v>0</v>
      </c>
      <c r="L68" s="664">
        <v>0</v>
      </c>
      <c r="M68" s="665">
        <f t="shared" si="5"/>
        <v>0</v>
      </c>
      <c r="N68" s="675"/>
      <c r="O68" s="1153">
        <v>0</v>
      </c>
      <c r="P68" s="1153">
        <v>0</v>
      </c>
      <c r="Q68" s="1153">
        <v>1</v>
      </c>
      <c r="R68" s="1843">
        <v>0</v>
      </c>
      <c r="S68" s="1843">
        <v>0</v>
      </c>
    </row>
    <row r="69" spans="1:19" ht="16.5" customHeight="1" x14ac:dyDescent="0.25">
      <c r="A69" s="660" t="s">
        <v>168</v>
      </c>
      <c r="B69" s="661" t="s">
        <v>169</v>
      </c>
      <c r="C69" s="586" t="s">
        <v>266</v>
      </c>
      <c r="D69" s="662">
        <f t="shared" ref="D69:D100" si="6">SUM(E69:L69)</f>
        <v>0</v>
      </c>
      <c r="E69" s="663">
        <v>0</v>
      </c>
      <c r="F69" s="664">
        <v>0</v>
      </c>
      <c r="G69" s="664">
        <v>0</v>
      </c>
      <c r="H69" s="664">
        <v>0</v>
      </c>
      <c r="I69" s="664">
        <v>0</v>
      </c>
      <c r="J69" s="664">
        <v>0</v>
      </c>
      <c r="K69" s="664">
        <v>0</v>
      </c>
      <c r="L69" s="664">
        <v>0</v>
      </c>
      <c r="M69" s="665">
        <f t="shared" ref="M69:M100" si="7">G69+H69+I69+J69+K69</f>
        <v>0</v>
      </c>
      <c r="N69" s="1841"/>
      <c r="O69" s="1153">
        <v>0</v>
      </c>
      <c r="P69" s="1153">
        <v>0</v>
      </c>
      <c r="Q69" s="1153">
        <v>0</v>
      </c>
      <c r="R69" s="1843">
        <v>0</v>
      </c>
      <c r="S69" s="1843">
        <v>0</v>
      </c>
    </row>
    <row r="70" spans="1:19" ht="16.5" customHeight="1" x14ac:dyDescent="0.25">
      <c r="A70" s="660" t="s">
        <v>170</v>
      </c>
      <c r="B70" s="661" t="s">
        <v>171</v>
      </c>
      <c r="C70" s="586" t="s">
        <v>267</v>
      </c>
      <c r="D70" s="662">
        <f t="shared" si="6"/>
        <v>0</v>
      </c>
      <c r="E70" s="663">
        <v>0</v>
      </c>
      <c r="F70" s="664">
        <v>0</v>
      </c>
      <c r="G70" s="664">
        <v>0</v>
      </c>
      <c r="H70" s="664">
        <v>0</v>
      </c>
      <c r="I70" s="664">
        <v>0</v>
      </c>
      <c r="J70" s="664">
        <v>0</v>
      </c>
      <c r="K70" s="664">
        <v>0</v>
      </c>
      <c r="L70" s="664">
        <v>0</v>
      </c>
      <c r="M70" s="665">
        <f t="shared" si="7"/>
        <v>0</v>
      </c>
      <c r="N70" s="1841"/>
      <c r="O70" s="1153">
        <v>0</v>
      </c>
      <c r="P70" s="675">
        <v>0</v>
      </c>
      <c r="Q70" s="1153">
        <v>0</v>
      </c>
      <c r="R70" s="1843">
        <v>0</v>
      </c>
      <c r="S70" s="1843">
        <v>0</v>
      </c>
    </row>
    <row r="71" spans="1:19" ht="16.5" customHeight="1" x14ac:dyDescent="0.25">
      <c r="A71" s="660" t="s">
        <v>172</v>
      </c>
      <c r="B71" s="661" t="s">
        <v>173</v>
      </c>
      <c r="C71" s="586" t="s">
        <v>267</v>
      </c>
      <c r="D71" s="662">
        <f t="shared" si="6"/>
        <v>0</v>
      </c>
      <c r="E71" s="663">
        <v>0</v>
      </c>
      <c r="F71" s="664">
        <v>0</v>
      </c>
      <c r="G71" s="1152">
        <v>0</v>
      </c>
      <c r="H71" s="1152">
        <v>0</v>
      </c>
      <c r="I71" s="1152">
        <v>0</v>
      </c>
      <c r="J71" s="1152">
        <v>0</v>
      </c>
      <c r="K71" s="1514">
        <v>0</v>
      </c>
      <c r="L71" s="1152">
        <v>0</v>
      </c>
      <c r="M71" s="665">
        <f t="shared" si="7"/>
        <v>0</v>
      </c>
      <c r="N71" s="1153"/>
      <c r="O71" s="1153">
        <v>0</v>
      </c>
      <c r="P71" s="1153">
        <v>0</v>
      </c>
      <c r="Q71" s="1153">
        <v>0</v>
      </c>
      <c r="R71" s="1843">
        <v>0</v>
      </c>
      <c r="S71" s="1843">
        <v>0</v>
      </c>
    </row>
    <row r="72" spans="1:19" ht="16.5" customHeight="1" x14ac:dyDescent="0.25">
      <c r="A72" s="660" t="s">
        <v>174</v>
      </c>
      <c r="B72" s="661" t="s">
        <v>175</v>
      </c>
      <c r="C72" s="586" t="s">
        <v>268</v>
      </c>
      <c r="D72" s="662">
        <f t="shared" si="6"/>
        <v>0</v>
      </c>
      <c r="E72" s="663">
        <v>0</v>
      </c>
      <c r="F72" s="664">
        <v>0</v>
      </c>
      <c r="G72" s="1152">
        <v>0</v>
      </c>
      <c r="H72" s="1152">
        <v>0</v>
      </c>
      <c r="I72" s="1152">
        <v>0</v>
      </c>
      <c r="J72" s="1152">
        <v>0</v>
      </c>
      <c r="K72" s="1514">
        <v>0</v>
      </c>
      <c r="L72" s="1152">
        <v>0</v>
      </c>
      <c r="M72" s="665">
        <f t="shared" si="7"/>
        <v>0</v>
      </c>
      <c r="N72" s="665"/>
      <c r="O72" s="1153">
        <v>0</v>
      </c>
      <c r="P72" s="1153">
        <v>0</v>
      </c>
      <c r="Q72" s="1153">
        <v>0</v>
      </c>
      <c r="R72" s="1843">
        <v>0</v>
      </c>
      <c r="S72" s="1843">
        <v>0</v>
      </c>
    </row>
    <row r="73" spans="1:19" ht="16.5" customHeight="1" x14ac:dyDescent="0.25">
      <c r="A73" s="660" t="s">
        <v>178</v>
      </c>
      <c r="B73" s="661" t="s">
        <v>179</v>
      </c>
      <c r="C73" s="586" t="s">
        <v>265</v>
      </c>
      <c r="D73" s="662">
        <f t="shared" si="6"/>
        <v>0</v>
      </c>
      <c r="E73" s="663">
        <v>0</v>
      </c>
      <c r="F73" s="664">
        <v>0</v>
      </c>
      <c r="G73" s="664">
        <v>0</v>
      </c>
      <c r="H73" s="664">
        <v>0</v>
      </c>
      <c r="I73" s="664">
        <v>0</v>
      </c>
      <c r="J73" s="664">
        <v>0</v>
      </c>
      <c r="K73" s="664">
        <v>0</v>
      </c>
      <c r="L73" s="664">
        <v>0</v>
      </c>
      <c r="M73" s="665">
        <f t="shared" si="7"/>
        <v>0</v>
      </c>
      <c r="N73" s="1842"/>
      <c r="O73" s="1153">
        <v>0</v>
      </c>
      <c r="P73" s="1153">
        <v>0</v>
      </c>
      <c r="Q73" s="1153">
        <v>0</v>
      </c>
      <c r="R73" s="1843">
        <v>0</v>
      </c>
      <c r="S73" s="1843">
        <v>0</v>
      </c>
    </row>
    <row r="74" spans="1:19" ht="16.5" customHeight="1" x14ac:dyDescent="0.25">
      <c r="A74" s="660" t="s">
        <v>182</v>
      </c>
      <c r="B74" s="661" t="s">
        <v>183</v>
      </c>
      <c r="C74" s="586" t="s">
        <v>266</v>
      </c>
      <c r="D74" s="662">
        <f t="shared" si="6"/>
        <v>3</v>
      </c>
      <c r="E74" s="663">
        <v>3</v>
      </c>
      <c r="F74" s="664">
        <v>0</v>
      </c>
      <c r="G74" s="1152">
        <v>0</v>
      </c>
      <c r="H74" s="1152">
        <v>0</v>
      </c>
      <c r="I74" s="1152">
        <v>0</v>
      </c>
      <c r="J74" s="1152">
        <v>0</v>
      </c>
      <c r="K74" s="1514">
        <v>0</v>
      </c>
      <c r="L74" s="1152">
        <v>0</v>
      </c>
      <c r="M74" s="665">
        <f t="shared" si="7"/>
        <v>0</v>
      </c>
      <c r="N74" s="1842"/>
      <c r="O74" s="1153">
        <v>0</v>
      </c>
      <c r="P74" s="1153">
        <v>2</v>
      </c>
      <c r="Q74" s="1153">
        <v>1</v>
      </c>
      <c r="R74" s="1843">
        <v>0</v>
      </c>
      <c r="S74" s="1843">
        <v>0</v>
      </c>
    </row>
    <row r="75" spans="1:19" ht="16.5" customHeight="1" x14ac:dyDescent="0.25">
      <c r="A75" s="660" t="s">
        <v>184</v>
      </c>
      <c r="B75" s="661" t="s">
        <v>185</v>
      </c>
      <c r="C75" s="586" t="s">
        <v>266</v>
      </c>
      <c r="D75" s="662">
        <f t="shared" si="6"/>
        <v>1</v>
      </c>
      <c r="E75" s="663">
        <v>0</v>
      </c>
      <c r="F75" s="664">
        <v>0</v>
      </c>
      <c r="G75" s="664">
        <v>0</v>
      </c>
      <c r="H75" s="664">
        <v>0</v>
      </c>
      <c r="I75" s="664">
        <v>0</v>
      </c>
      <c r="J75" s="664">
        <v>1</v>
      </c>
      <c r="K75" s="664">
        <v>0</v>
      </c>
      <c r="L75" s="664">
        <v>0</v>
      </c>
      <c r="M75" s="665">
        <f t="shared" si="7"/>
        <v>1</v>
      </c>
      <c r="N75" s="1841"/>
      <c r="O75" s="1153">
        <v>1</v>
      </c>
      <c r="P75" s="1153">
        <v>0</v>
      </c>
      <c r="Q75" s="1153">
        <v>0</v>
      </c>
      <c r="R75" s="1843">
        <v>0</v>
      </c>
      <c r="S75" s="1843">
        <v>0</v>
      </c>
    </row>
    <row r="76" spans="1:19" ht="16.5" customHeight="1" x14ac:dyDescent="0.25">
      <c r="A76" s="660" t="s">
        <v>186</v>
      </c>
      <c r="B76" s="661" t="s">
        <v>187</v>
      </c>
      <c r="C76" s="586" t="s">
        <v>264</v>
      </c>
      <c r="D76" s="662">
        <f t="shared" si="6"/>
        <v>3</v>
      </c>
      <c r="E76" s="663">
        <v>3</v>
      </c>
      <c r="F76" s="664">
        <v>0</v>
      </c>
      <c r="G76" s="664">
        <v>0</v>
      </c>
      <c r="H76" s="664">
        <v>0</v>
      </c>
      <c r="I76" s="664">
        <v>0</v>
      </c>
      <c r="J76" s="664">
        <v>0</v>
      </c>
      <c r="K76" s="664">
        <v>0</v>
      </c>
      <c r="L76" s="664">
        <v>0</v>
      </c>
      <c r="M76" s="665">
        <f t="shared" si="7"/>
        <v>0</v>
      </c>
      <c r="N76" s="675"/>
      <c r="O76" s="1153">
        <v>0</v>
      </c>
      <c r="P76" s="1153">
        <v>2</v>
      </c>
      <c r="Q76" s="1153">
        <v>1</v>
      </c>
      <c r="R76" s="1843">
        <v>0</v>
      </c>
      <c r="S76" s="1843">
        <v>0</v>
      </c>
    </row>
    <row r="77" spans="1:19" ht="16.5" customHeight="1" x14ac:dyDescent="0.25">
      <c r="A77" s="660" t="s">
        <v>188</v>
      </c>
      <c r="B77" s="661" t="s">
        <v>189</v>
      </c>
      <c r="C77" s="586" t="s">
        <v>267</v>
      </c>
      <c r="D77" s="662">
        <f t="shared" si="6"/>
        <v>4</v>
      </c>
      <c r="E77" s="663">
        <v>2</v>
      </c>
      <c r="F77" s="664">
        <v>2</v>
      </c>
      <c r="G77" s="664">
        <v>0</v>
      </c>
      <c r="H77" s="664">
        <v>0</v>
      </c>
      <c r="I77" s="664">
        <v>0</v>
      </c>
      <c r="J77" s="664">
        <v>0</v>
      </c>
      <c r="K77" s="664">
        <v>0</v>
      </c>
      <c r="L77" s="664">
        <v>0</v>
      </c>
      <c r="M77" s="665">
        <f t="shared" si="7"/>
        <v>0</v>
      </c>
      <c r="N77" s="1842"/>
      <c r="O77" s="1153">
        <v>0</v>
      </c>
      <c r="P77" s="675">
        <v>1</v>
      </c>
      <c r="Q77" s="1153">
        <v>2</v>
      </c>
      <c r="R77" s="1843">
        <v>1</v>
      </c>
      <c r="S77" s="1843">
        <v>0</v>
      </c>
    </row>
    <row r="78" spans="1:19" ht="16.5" customHeight="1" x14ac:dyDescent="0.25">
      <c r="A78" s="660" t="s">
        <v>190</v>
      </c>
      <c r="B78" s="661" t="s">
        <v>191</v>
      </c>
      <c r="C78" s="586" t="s">
        <v>268</v>
      </c>
      <c r="D78" s="662">
        <f t="shared" si="6"/>
        <v>5</v>
      </c>
      <c r="E78" s="663">
        <v>3</v>
      </c>
      <c r="F78" s="664">
        <v>2</v>
      </c>
      <c r="G78" s="664">
        <v>0</v>
      </c>
      <c r="H78" s="664">
        <v>0</v>
      </c>
      <c r="I78" s="664">
        <v>0</v>
      </c>
      <c r="J78" s="664">
        <v>0</v>
      </c>
      <c r="K78" s="664">
        <v>0</v>
      </c>
      <c r="L78" s="664">
        <v>0</v>
      </c>
      <c r="M78" s="665">
        <f t="shared" si="7"/>
        <v>0</v>
      </c>
      <c r="N78" s="1842"/>
      <c r="O78" s="1153">
        <v>1</v>
      </c>
      <c r="P78" s="1153">
        <v>2</v>
      </c>
      <c r="Q78" s="1153">
        <v>1</v>
      </c>
      <c r="R78" s="1843">
        <v>1</v>
      </c>
      <c r="S78" s="1843">
        <v>0</v>
      </c>
    </row>
    <row r="79" spans="1:19" ht="16.5" customHeight="1" x14ac:dyDescent="0.25">
      <c r="A79" s="660" t="s">
        <v>194</v>
      </c>
      <c r="B79" s="661" t="s">
        <v>195</v>
      </c>
      <c r="C79" s="586" t="s">
        <v>267</v>
      </c>
      <c r="D79" s="662">
        <f t="shared" si="6"/>
        <v>5</v>
      </c>
      <c r="E79" s="663">
        <v>5</v>
      </c>
      <c r="F79" s="664">
        <v>0</v>
      </c>
      <c r="G79" s="1152">
        <v>0</v>
      </c>
      <c r="H79" s="1152">
        <v>0</v>
      </c>
      <c r="I79" s="1152">
        <v>0</v>
      </c>
      <c r="J79" s="1152">
        <v>0</v>
      </c>
      <c r="K79" s="1514">
        <v>0</v>
      </c>
      <c r="L79" s="1152">
        <v>0</v>
      </c>
      <c r="M79" s="665">
        <f t="shared" si="7"/>
        <v>0</v>
      </c>
      <c r="N79" s="665"/>
      <c r="O79" s="1153">
        <v>2</v>
      </c>
      <c r="P79" s="1153">
        <v>1</v>
      </c>
      <c r="Q79" s="1153">
        <v>1</v>
      </c>
      <c r="R79" s="1843">
        <v>1</v>
      </c>
      <c r="S79" s="1843">
        <v>0</v>
      </c>
    </row>
    <row r="80" spans="1:19" ht="16.5" customHeight="1" x14ac:dyDescent="0.25">
      <c r="A80" s="660" t="s">
        <v>198</v>
      </c>
      <c r="B80" s="661" t="s">
        <v>199</v>
      </c>
      <c r="C80" s="586" t="s">
        <v>266</v>
      </c>
      <c r="D80" s="662">
        <f t="shared" si="6"/>
        <v>2</v>
      </c>
      <c r="E80" s="663">
        <v>1</v>
      </c>
      <c r="F80" s="664">
        <v>0</v>
      </c>
      <c r="G80" s="664">
        <v>0</v>
      </c>
      <c r="H80" s="664">
        <v>0</v>
      </c>
      <c r="I80" s="664">
        <v>0</v>
      </c>
      <c r="J80" s="664">
        <v>1</v>
      </c>
      <c r="K80" s="664">
        <v>0</v>
      </c>
      <c r="L80" s="664">
        <v>0</v>
      </c>
      <c r="M80" s="665">
        <f t="shared" si="7"/>
        <v>1</v>
      </c>
      <c r="N80" s="675"/>
      <c r="O80" s="1153">
        <v>2</v>
      </c>
      <c r="P80" s="1153">
        <v>0</v>
      </c>
      <c r="Q80" s="1153">
        <v>0</v>
      </c>
      <c r="R80" s="1843">
        <v>0</v>
      </c>
      <c r="S80" s="1843">
        <v>0</v>
      </c>
    </row>
    <row r="81" spans="1:19" ht="16.5" customHeight="1" x14ac:dyDescent="0.25">
      <c r="A81" s="660" t="s">
        <v>202</v>
      </c>
      <c r="B81" s="661" t="s">
        <v>203</v>
      </c>
      <c r="C81" s="586" t="s">
        <v>265</v>
      </c>
      <c r="D81" s="662">
        <f t="shared" si="6"/>
        <v>27</v>
      </c>
      <c r="E81" s="663">
        <v>20</v>
      </c>
      <c r="F81" s="664">
        <v>6</v>
      </c>
      <c r="G81" s="664">
        <v>0</v>
      </c>
      <c r="H81" s="664">
        <v>0</v>
      </c>
      <c r="I81" s="664">
        <v>0</v>
      </c>
      <c r="J81" s="664">
        <v>1</v>
      </c>
      <c r="K81" s="664">
        <v>0</v>
      </c>
      <c r="L81" s="664">
        <v>0</v>
      </c>
      <c r="M81" s="665">
        <f t="shared" si="7"/>
        <v>1</v>
      </c>
      <c r="N81" s="1841"/>
      <c r="O81" s="675">
        <v>12</v>
      </c>
      <c r="P81" s="1153">
        <v>8</v>
      </c>
      <c r="Q81" s="1153">
        <v>3</v>
      </c>
      <c r="R81" s="1843">
        <v>4</v>
      </c>
      <c r="S81" s="1843">
        <v>0</v>
      </c>
    </row>
    <row r="82" spans="1:19" ht="16.5" customHeight="1" x14ac:dyDescent="0.25">
      <c r="A82" s="660" t="s">
        <v>204</v>
      </c>
      <c r="B82" s="661" t="s">
        <v>205</v>
      </c>
      <c r="C82" s="586" t="s">
        <v>265</v>
      </c>
      <c r="D82" s="662">
        <f t="shared" si="6"/>
        <v>3</v>
      </c>
      <c r="E82" s="663">
        <v>2</v>
      </c>
      <c r="F82" s="664">
        <v>0</v>
      </c>
      <c r="G82" s="1152">
        <v>0</v>
      </c>
      <c r="H82" s="1152">
        <v>0</v>
      </c>
      <c r="I82" s="1152">
        <v>0</v>
      </c>
      <c r="J82" s="1152">
        <v>0</v>
      </c>
      <c r="K82" s="1514">
        <v>1</v>
      </c>
      <c r="L82" s="1152">
        <v>0</v>
      </c>
      <c r="M82" s="665">
        <f t="shared" si="7"/>
        <v>1</v>
      </c>
      <c r="N82" s="1842"/>
      <c r="O82" s="1153">
        <v>1</v>
      </c>
      <c r="P82" s="1153">
        <v>1</v>
      </c>
      <c r="Q82" s="1153">
        <v>1</v>
      </c>
      <c r="R82" s="1843">
        <v>0</v>
      </c>
      <c r="S82" s="1843">
        <v>0</v>
      </c>
    </row>
    <row r="83" spans="1:19" ht="16.5" customHeight="1" x14ac:dyDescent="0.25">
      <c r="A83" s="660" t="s">
        <v>206</v>
      </c>
      <c r="B83" s="661" t="s">
        <v>207</v>
      </c>
      <c r="C83" s="586" t="s">
        <v>267</v>
      </c>
      <c r="D83" s="662">
        <f t="shared" si="6"/>
        <v>26</v>
      </c>
      <c r="E83" s="663">
        <v>19</v>
      </c>
      <c r="F83" s="664">
        <v>1</v>
      </c>
      <c r="G83" s="664">
        <v>0</v>
      </c>
      <c r="H83" s="664">
        <v>0</v>
      </c>
      <c r="I83" s="664">
        <v>0</v>
      </c>
      <c r="J83" s="664">
        <v>4</v>
      </c>
      <c r="K83" s="664">
        <v>2</v>
      </c>
      <c r="L83" s="664">
        <v>0</v>
      </c>
      <c r="M83" s="665">
        <f t="shared" si="7"/>
        <v>6</v>
      </c>
      <c r="N83" s="1842"/>
      <c r="O83" s="1153">
        <v>15</v>
      </c>
      <c r="P83" s="1153">
        <v>7</v>
      </c>
      <c r="Q83" s="1153">
        <v>3</v>
      </c>
      <c r="R83" s="1843">
        <v>1</v>
      </c>
      <c r="S83" s="1843">
        <v>0</v>
      </c>
    </row>
    <row r="84" spans="1:19" ht="16.5" customHeight="1" x14ac:dyDescent="0.25">
      <c r="A84" s="660" t="s">
        <v>208</v>
      </c>
      <c r="B84" s="661" t="s">
        <v>209</v>
      </c>
      <c r="C84" s="586" t="s">
        <v>268</v>
      </c>
      <c r="D84" s="662">
        <f t="shared" si="6"/>
        <v>6</v>
      </c>
      <c r="E84" s="663">
        <v>6</v>
      </c>
      <c r="F84" s="664">
        <v>0</v>
      </c>
      <c r="G84" s="1152">
        <v>0</v>
      </c>
      <c r="H84" s="1152">
        <v>0</v>
      </c>
      <c r="I84" s="1152">
        <v>0</v>
      </c>
      <c r="J84" s="1152">
        <v>0</v>
      </c>
      <c r="K84" s="1514">
        <v>0</v>
      </c>
      <c r="L84" s="1152">
        <v>0</v>
      </c>
      <c r="M84" s="665">
        <f t="shared" si="7"/>
        <v>0</v>
      </c>
      <c r="N84" s="668"/>
      <c r="O84" s="1153">
        <v>6</v>
      </c>
      <c r="P84" s="1153">
        <v>0</v>
      </c>
      <c r="Q84" s="1153">
        <v>0</v>
      </c>
      <c r="R84" s="1843">
        <v>0</v>
      </c>
      <c r="S84" s="1843">
        <v>0</v>
      </c>
    </row>
    <row r="85" spans="1:19" ht="16.5" customHeight="1" x14ac:dyDescent="0.25">
      <c r="A85" s="660" t="s">
        <v>210</v>
      </c>
      <c r="B85" s="661" t="s">
        <v>211</v>
      </c>
      <c r="C85" s="586" t="s">
        <v>268</v>
      </c>
      <c r="D85" s="662">
        <f t="shared" si="6"/>
        <v>5</v>
      </c>
      <c r="E85" s="663">
        <v>5</v>
      </c>
      <c r="F85" s="664">
        <v>0</v>
      </c>
      <c r="G85" s="1152">
        <v>0</v>
      </c>
      <c r="H85" s="1152">
        <v>0</v>
      </c>
      <c r="I85" s="1152">
        <v>0</v>
      </c>
      <c r="J85" s="1152">
        <v>0</v>
      </c>
      <c r="K85" s="1514">
        <v>0</v>
      </c>
      <c r="L85" s="1152">
        <v>0</v>
      </c>
      <c r="M85" s="665">
        <f t="shared" si="7"/>
        <v>0</v>
      </c>
      <c r="N85" s="675"/>
      <c r="O85" s="1153">
        <v>5</v>
      </c>
      <c r="P85" s="1153">
        <v>0</v>
      </c>
      <c r="Q85" s="1153">
        <v>0</v>
      </c>
      <c r="R85" s="1843">
        <v>0</v>
      </c>
      <c r="S85" s="1843">
        <v>0</v>
      </c>
    </row>
    <row r="86" spans="1:19" ht="16.5" customHeight="1" x14ac:dyDescent="0.25">
      <c r="A86" s="660" t="s">
        <v>212</v>
      </c>
      <c r="B86" s="661" t="s">
        <v>213</v>
      </c>
      <c r="C86" s="586" t="s">
        <v>267</v>
      </c>
      <c r="D86" s="662">
        <f t="shared" si="6"/>
        <v>1</v>
      </c>
      <c r="E86" s="663">
        <v>0</v>
      </c>
      <c r="F86" s="664">
        <v>0</v>
      </c>
      <c r="G86" s="664">
        <v>0</v>
      </c>
      <c r="H86" s="664">
        <v>0</v>
      </c>
      <c r="I86" s="664">
        <v>0</v>
      </c>
      <c r="J86" s="664">
        <v>0</v>
      </c>
      <c r="K86" s="664">
        <v>1</v>
      </c>
      <c r="L86" s="664">
        <v>0</v>
      </c>
      <c r="M86" s="665">
        <f t="shared" si="7"/>
        <v>1</v>
      </c>
      <c r="N86" s="1841"/>
      <c r="O86" s="1153">
        <v>1</v>
      </c>
      <c r="P86" s="1153">
        <v>0</v>
      </c>
      <c r="Q86" s="1153">
        <v>0</v>
      </c>
      <c r="R86" s="1843">
        <v>0</v>
      </c>
      <c r="S86" s="1843">
        <v>0</v>
      </c>
    </row>
    <row r="87" spans="1:19" ht="16.5" customHeight="1" x14ac:dyDescent="0.25">
      <c r="A87" s="660" t="s">
        <v>214</v>
      </c>
      <c r="B87" s="661" t="s">
        <v>215</v>
      </c>
      <c r="C87" s="586" t="s">
        <v>268</v>
      </c>
      <c r="D87" s="662">
        <f t="shared" si="6"/>
        <v>2</v>
      </c>
      <c r="E87" s="663">
        <v>2</v>
      </c>
      <c r="F87" s="664">
        <v>0</v>
      </c>
      <c r="G87" s="1152">
        <v>0</v>
      </c>
      <c r="H87" s="1152">
        <v>0</v>
      </c>
      <c r="I87" s="1152">
        <v>0</v>
      </c>
      <c r="J87" s="1152">
        <v>0</v>
      </c>
      <c r="K87" s="1514">
        <v>0</v>
      </c>
      <c r="L87" s="1152">
        <v>0</v>
      </c>
      <c r="M87" s="665">
        <f t="shared" si="7"/>
        <v>0</v>
      </c>
      <c r="N87" s="1842"/>
      <c r="O87" s="1153">
        <v>1</v>
      </c>
      <c r="P87" s="1153">
        <v>1</v>
      </c>
      <c r="Q87" s="1153">
        <v>0</v>
      </c>
      <c r="R87" s="1843">
        <v>0</v>
      </c>
      <c r="S87" s="1843">
        <v>0</v>
      </c>
    </row>
    <row r="88" spans="1:19" ht="16.5" customHeight="1" x14ac:dyDescent="0.25">
      <c r="A88" s="660" t="s">
        <v>216</v>
      </c>
      <c r="B88" s="661" t="s">
        <v>217</v>
      </c>
      <c r="C88" s="586" t="s">
        <v>264</v>
      </c>
      <c r="D88" s="662">
        <f t="shared" si="6"/>
        <v>3</v>
      </c>
      <c r="E88" s="663">
        <v>0</v>
      </c>
      <c r="F88" s="664">
        <v>3</v>
      </c>
      <c r="G88" s="664">
        <v>0</v>
      </c>
      <c r="H88" s="664">
        <v>0</v>
      </c>
      <c r="I88" s="664">
        <v>0</v>
      </c>
      <c r="J88" s="664">
        <v>0</v>
      </c>
      <c r="K88" s="664">
        <v>0</v>
      </c>
      <c r="L88" s="664">
        <v>0</v>
      </c>
      <c r="M88" s="665">
        <f t="shared" si="7"/>
        <v>0</v>
      </c>
      <c r="N88" s="665"/>
      <c r="O88" s="1153">
        <v>1</v>
      </c>
      <c r="P88" s="1153">
        <v>1</v>
      </c>
      <c r="Q88" s="1153">
        <v>1</v>
      </c>
      <c r="R88" s="1843">
        <v>0</v>
      </c>
      <c r="S88" s="1843">
        <v>0</v>
      </c>
    </row>
    <row r="89" spans="1:19" ht="16.5" customHeight="1" x14ac:dyDescent="0.25">
      <c r="A89" s="660" t="s">
        <v>218</v>
      </c>
      <c r="B89" s="661" t="s">
        <v>219</v>
      </c>
      <c r="C89" s="586" t="s">
        <v>267</v>
      </c>
      <c r="D89" s="662">
        <f t="shared" si="6"/>
        <v>12</v>
      </c>
      <c r="E89" s="663">
        <v>6</v>
      </c>
      <c r="F89" s="664">
        <v>2</v>
      </c>
      <c r="G89" s="664">
        <v>0</v>
      </c>
      <c r="H89" s="664">
        <v>0</v>
      </c>
      <c r="I89" s="664">
        <v>0</v>
      </c>
      <c r="J89" s="664">
        <v>3</v>
      </c>
      <c r="K89" s="664">
        <v>1</v>
      </c>
      <c r="L89" s="664">
        <v>0</v>
      </c>
      <c r="M89" s="665">
        <f t="shared" si="7"/>
        <v>4</v>
      </c>
      <c r="N89" s="675"/>
      <c r="O89" s="1153">
        <v>3</v>
      </c>
      <c r="P89" s="675">
        <v>4</v>
      </c>
      <c r="Q89" s="1153">
        <v>5</v>
      </c>
      <c r="R89" s="1843">
        <v>0</v>
      </c>
      <c r="S89" s="1843">
        <v>0</v>
      </c>
    </row>
    <row r="90" spans="1:19" ht="16.5" customHeight="1" x14ac:dyDescent="0.25">
      <c r="A90" s="660" t="s">
        <v>220</v>
      </c>
      <c r="B90" s="661" t="s">
        <v>221</v>
      </c>
      <c r="C90" s="586" t="s">
        <v>267</v>
      </c>
      <c r="D90" s="662">
        <f t="shared" si="6"/>
        <v>8</v>
      </c>
      <c r="E90" s="663">
        <v>3</v>
      </c>
      <c r="F90" s="664">
        <v>5</v>
      </c>
      <c r="G90" s="664">
        <v>0</v>
      </c>
      <c r="H90" s="664">
        <v>0</v>
      </c>
      <c r="I90" s="664">
        <v>0</v>
      </c>
      <c r="J90" s="664">
        <v>0</v>
      </c>
      <c r="K90" s="664">
        <v>0</v>
      </c>
      <c r="L90" s="664">
        <v>0</v>
      </c>
      <c r="M90" s="665">
        <f t="shared" si="7"/>
        <v>0</v>
      </c>
      <c r="N90" s="1841"/>
      <c r="O90" s="1153">
        <v>1</v>
      </c>
      <c r="P90" s="675">
        <v>4</v>
      </c>
      <c r="Q90" s="1153">
        <v>2</v>
      </c>
      <c r="R90" s="1843">
        <v>1</v>
      </c>
      <c r="S90" s="1843">
        <v>0</v>
      </c>
    </row>
    <row r="91" spans="1:19" ht="16.5" customHeight="1" x14ac:dyDescent="0.25">
      <c r="A91" s="660" t="s">
        <v>224</v>
      </c>
      <c r="B91" s="661" t="s">
        <v>225</v>
      </c>
      <c r="C91" s="586" t="s">
        <v>264</v>
      </c>
      <c r="D91" s="662">
        <f t="shared" si="6"/>
        <v>0</v>
      </c>
      <c r="E91" s="671">
        <v>0</v>
      </c>
      <c r="F91" s="670">
        <v>0</v>
      </c>
      <c r="G91" s="670">
        <v>0</v>
      </c>
      <c r="H91" s="670">
        <v>0</v>
      </c>
      <c r="I91" s="670">
        <v>0</v>
      </c>
      <c r="J91" s="1158">
        <v>0</v>
      </c>
      <c r="K91" s="1520">
        <v>0</v>
      </c>
      <c r="L91" s="670">
        <v>0</v>
      </c>
      <c r="M91" s="665">
        <f t="shared" si="7"/>
        <v>0</v>
      </c>
      <c r="N91" s="675"/>
      <c r="O91" s="1153">
        <v>0</v>
      </c>
      <c r="P91" s="1153">
        <v>0</v>
      </c>
      <c r="Q91" s="1153">
        <v>0</v>
      </c>
      <c r="R91" s="1843">
        <v>0</v>
      </c>
      <c r="S91" s="1843">
        <v>0</v>
      </c>
    </row>
    <row r="92" spans="1:19" ht="16.5" customHeight="1" x14ac:dyDescent="0.25">
      <c r="A92" s="660" t="s">
        <v>226</v>
      </c>
      <c r="B92" s="661" t="s">
        <v>227</v>
      </c>
      <c r="C92" s="586" t="s">
        <v>264</v>
      </c>
      <c r="D92" s="662">
        <f t="shared" si="6"/>
        <v>0</v>
      </c>
      <c r="E92" s="663">
        <v>0</v>
      </c>
      <c r="F92" s="664">
        <v>0</v>
      </c>
      <c r="G92" s="664">
        <v>0</v>
      </c>
      <c r="H92" s="664">
        <v>0</v>
      </c>
      <c r="I92" s="664">
        <v>0</v>
      </c>
      <c r="J92" s="664">
        <v>0</v>
      </c>
      <c r="K92" s="664">
        <v>0</v>
      </c>
      <c r="L92" s="664">
        <v>0</v>
      </c>
      <c r="M92" s="665">
        <f t="shared" si="7"/>
        <v>0</v>
      </c>
      <c r="N92" s="675"/>
      <c r="O92" s="1153">
        <v>0</v>
      </c>
      <c r="P92" s="1153">
        <v>0</v>
      </c>
      <c r="Q92" s="1153">
        <v>0</v>
      </c>
      <c r="R92" s="1843">
        <v>0</v>
      </c>
      <c r="S92" s="1843">
        <v>0</v>
      </c>
    </row>
    <row r="93" spans="1:19" ht="16.5" customHeight="1" x14ac:dyDescent="0.25">
      <c r="A93" s="660" t="s">
        <v>228</v>
      </c>
      <c r="B93" s="661" t="s">
        <v>229</v>
      </c>
      <c r="C93" s="586" t="s">
        <v>268</v>
      </c>
      <c r="D93" s="662">
        <f t="shared" si="6"/>
        <v>10</v>
      </c>
      <c r="E93" s="663">
        <v>10</v>
      </c>
      <c r="F93" s="664">
        <v>0</v>
      </c>
      <c r="G93" s="664">
        <v>0</v>
      </c>
      <c r="H93" s="664">
        <v>0</v>
      </c>
      <c r="I93" s="664">
        <v>0</v>
      </c>
      <c r="J93" s="664">
        <v>0</v>
      </c>
      <c r="K93" s="664">
        <v>0</v>
      </c>
      <c r="L93" s="664">
        <v>0</v>
      </c>
      <c r="M93" s="665">
        <f t="shared" si="7"/>
        <v>0</v>
      </c>
      <c r="N93" s="675"/>
      <c r="O93" s="1153">
        <v>4</v>
      </c>
      <c r="P93" s="1153">
        <v>4</v>
      </c>
      <c r="Q93" s="1153">
        <v>2</v>
      </c>
      <c r="R93" s="1843">
        <v>0</v>
      </c>
      <c r="S93" s="1843">
        <v>0</v>
      </c>
    </row>
    <row r="94" spans="1:19" ht="16.5" customHeight="1" x14ac:dyDescent="0.25">
      <c r="A94" s="660" t="s">
        <v>232</v>
      </c>
      <c r="B94" s="661" t="s">
        <v>233</v>
      </c>
      <c r="C94" s="586" t="s">
        <v>267</v>
      </c>
      <c r="D94" s="662">
        <f t="shared" si="6"/>
        <v>6</v>
      </c>
      <c r="E94" s="663">
        <v>4</v>
      </c>
      <c r="F94" s="664">
        <v>0</v>
      </c>
      <c r="G94" s="664">
        <v>0</v>
      </c>
      <c r="H94" s="664">
        <v>0</v>
      </c>
      <c r="I94" s="664">
        <v>0</v>
      </c>
      <c r="J94" s="664">
        <v>2</v>
      </c>
      <c r="K94" s="664">
        <v>0</v>
      </c>
      <c r="L94" s="664">
        <v>0</v>
      </c>
      <c r="M94" s="665">
        <f t="shared" si="7"/>
        <v>2</v>
      </c>
      <c r="N94" s="1842"/>
      <c r="O94" s="1153">
        <v>1</v>
      </c>
      <c r="P94" s="1153">
        <v>4</v>
      </c>
      <c r="Q94" s="1153">
        <v>1</v>
      </c>
      <c r="R94" s="1843">
        <v>0</v>
      </c>
      <c r="S94" s="1843">
        <v>0</v>
      </c>
    </row>
    <row r="95" spans="1:19" ht="16.5" customHeight="1" x14ac:dyDescent="0.25">
      <c r="A95" s="660" t="s">
        <v>234</v>
      </c>
      <c r="B95" s="661" t="s">
        <v>235</v>
      </c>
      <c r="C95" s="586" t="s">
        <v>268</v>
      </c>
      <c r="D95" s="662">
        <f t="shared" si="6"/>
        <v>6</v>
      </c>
      <c r="E95" s="663">
        <v>6</v>
      </c>
      <c r="F95" s="664">
        <v>0</v>
      </c>
      <c r="G95" s="1152">
        <v>0</v>
      </c>
      <c r="H95" s="1152">
        <v>0</v>
      </c>
      <c r="I95" s="1152">
        <v>0</v>
      </c>
      <c r="J95" s="1152">
        <v>0</v>
      </c>
      <c r="K95" s="1514">
        <v>0</v>
      </c>
      <c r="L95" s="1152">
        <v>0</v>
      </c>
      <c r="M95" s="665">
        <f t="shared" si="7"/>
        <v>0</v>
      </c>
      <c r="N95" s="1841"/>
      <c r="O95" s="1153">
        <v>3</v>
      </c>
      <c r="P95" s="675">
        <v>2</v>
      </c>
      <c r="Q95" s="1153">
        <v>1</v>
      </c>
      <c r="R95" s="1843">
        <v>0</v>
      </c>
      <c r="S95" s="1843">
        <v>0</v>
      </c>
    </row>
    <row r="96" spans="1:19" ht="16.5" customHeight="1" x14ac:dyDescent="0.25">
      <c r="A96" s="660" t="s">
        <v>236</v>
      </c>
      <c r="B96" s="661" t="s">
        <v>237</v>
      </c>
      <c r="C96" s="586" t="s">
        <v>266</v>
      </c>
      <c r="D96" s="662">
        <f t="shared" si="6"/>
        <v>0</v>
      </c>
      <c r="E96" s="663">
        <v>0</v>
      </c>
      <c r="F96" s="664">
        <v>0</v>
      </c>
      <c r="G96" s="664">
        <v>0</v>
      </c>
      <c r="H96" s="664">
        <v>0</v>
      </c>
      <c r="I96" s="664">
        <v>0</v>
      </c>
      <c r="J96" s="664">
        <v>0</v>
      </c>
      <c r="K96" s="664">
        <v>0</v>
      </c>
      <c r="L96" s="664">
        <v>0</v>
      </c>
      <c r="M96" s="665">
        <f t="shared" si="7"/>
        <v>0</v>
      </c>
      <c r="N96" s="1841"/>
      <c r="O96" s="1153">
        <v>0</v>
      </c>
      <c r="P96" s="1153">
        <v>0</v>
      </c>
      <c r="Q96" s="1153">
        <v>0</v>
      </c>
      <c r="R96" s="1843">
        <v>0</v>
      </c>
      <c r="S96" s="1843">
        <v>0</v>
      </c>
    </row>
    <row r="97" spans="1:19" ht="16.5" customHeight="1" x14ac:dyDescent="0.25">
      <c r="A97" s="660" t="s">
        <v>242</v>
      </c>
      <c r="B97" s="661" t="s">
        <v>243</v>
      </c>
      <c r="C97" s="586" t="s">
        <v>268</v>
      </c>
      <c r="D97" s="662">
        <f t="shared" si="6"/>
        <v>6</v>
      </c>
      <c r="E97" s="663">
        <v>6</v>
      </c>
      <c r="F97" s="664">
        <v>0</v>
      </c>
      <c r="G97" s="664">
        <v>0</v>
      </c>
      <c r="H97" s="664">
        <v>0</v>
      </c>
      <c r="I97" s="664">
        <v>0</v>
      </c>
      <c r="J97" s="664">
        <v>0</v>
      </c>
      <c r="K97" s="664">
        <v>0</v>
      </c>
      <c r="L97" s="664">
        <v>0</v>
      </c>
      <c r="M97" s="665">
        <f t="shared" si="7"/>
        <v>0</v>
      </c>
      <c r="N97" s="1153"/>
      <c r="O97" s="1153">
        <v>1</v>
      </c>
      <c r="P97" s="1153">
        <v>0</v>
      </c>
      <c r="Q97" s="1153">
        <v>3</v>
      </c>
      <c r="R97" s="1843">
        <v>2</v>
      </c>
      <c r="S97" s="1843">
        <v>0</v>
      </c>
    </row>
    <row r="98" spans="1:19" ht="16.5" customHeight="1" x14ac:dyDescent="0.25">
      <c r="A98" s="660" t="s">
        <v>244</v>
      </c>
      <c r="B98" s="661" t="s">
        <v>245</v>
      </c>
      <c r="C98" s="586" t="s">
        <v>268</v>
      </c>
      <c r="D98" s="662">
        <f t="shared" si="6"/>
        <v>5</v>
      </c>
      <c r="E98" s="663">
        <v>5</v>
      </c>
      <c r="F98" s="664">
        <v>0</v>
      </c>
      <c r="G98" s="1152">
        <v>0</v>
      </c>
      <c r="H98" s="1152">
        <v>0</v>
      </c>
      <c r="I98" s="1152">
        <v>0</v>
      </c>
      <c r="J98" s="1152">
        <v>0</v>
      </c>
      <c r="K98" s="1514">
        <v>0</v>
      </c>
      <c r="L98" s="1152">
        <v>0</v>
      </c>
      <c r="M98" s="665">
        <f t="shared" si="7"/>
        <v>0</v>
      </c>
      <c r="N98" s="665"/>
      <c r="O98" s="1153">
        <v>3</v>
      </c>
      <c r="P98" s="1153">
        <v>1</v>
      </c>
      <c r="Q98" s="1153">
        <v>1</v>
      </c>
      <c r="R98" s="1843">
        <v>0</v>
      </c>
      <c r="S98" s="1843">
        <v>0</v>
      </c>
    </row>
    <row r="99" spans="1:19" ht="16.5" customHeight="1" x14ac:dyDescent="0.25">
      <c r="A99" s="660" t="s">
        <v>246</v>
      </c>
      <c r="B99" s="661" t="s">
        <v>310</v>
      </c>
      <c r="C99" s="586" t="s">
        <v>264</v>
      </c>
      <c r="D99" s="662">
        <f t="shared" si="6"/>
        <v>2</v>
      </c>
      <c r="E99" s="663">
        <v>1</v>
      </c>
      <c r="F99" s="664">
        <v>0</v>
      </c>
      <c r="G99" s="664">
        <v>0</v>
      </c>
      <c r="H99" s="664">
        <v>0</v>
      </c>
      <c r="I99" s="664">
        <v>0</v>
      </c>
      <c r="J99" s="664">
        <v>1</v>
      </c>
      <c r="K99" s="664">
        <v>0</v>
      </c>
      <c r="L99" s="664">
        <v>0</v>
      </c>
      <c r="M99" s="665">
        <f t="shared" si="7"/>
        <v>1</v>
      </c>
      <c r="N99" s="1841"/>
      <c r="O99" s="1153">
        <v>0</v>
      </c>
      <c r="P99" s="675">
        <v>2</v>
      </c>
      <c r="Q99" s="1153">
        <v>0</v>
      </c>
      <c r="R99" s="1843">
        <v>0</v>
      </c>
      <c r="S99" s="1843">
        <v>0</v>
      </c>
    </row>
    <row r="100" spans="1:19" ht="16.5" customHeight="1" x14ac:dyDescent="0.25">
      <c r="A100" s="660" t="s">
        <v>14</v>
      </c>
      <c r="B100" s="661" t="s">
        <v>15</v>
      </c>
      <c r="C100" s="586" t="s">
        <v>267</v>
      </c>
      <c r="D100" s="662">
        <f t="shared" si="6"/>
        <v>5</v>
      </c>
      <c r="E100" s="663">
        <v>1</v>
      </c>
      <c r="F100" s="664">
        <v>4</v>
      </c>
      <c r="G100" s="664">
        <v>0</v>
      </c>
      <c r="H100" s="664">
        <v>0</v>
      </c>
      <c r="I100" s="664">
        <v>0</v>
      </c>
      <c r="J100" s="664">
        <v>0</v>
      </c>
      <c r="K100" s="664">
        <v>0</v>
      </c>
      <c r="L100" s="664">
        <v>0</v>
      </c>
      <c r="M100" s="665">
        <f t="shared" si="7"/>
        <v>0</v>
      </c>
      <c r="N100" s="1842"/>
      <c r="O100" s="1153">
        <v>4</v>
      </c>
      <c r="P100" s="1153">
        <v>0</v>
      </c>
      <c r="Q100" s="1153">
        <v>1</v>
      </c>
      <c r="R100" s="1843">
        <v>0</v>
      </c>
      <c r="S100" s="1843">
        <v>0</v>
      </c>
    </row>
    <row r="101" spans="1:19" ht="16.5" customHeight="1" x14ac:dyDescent="0.25">
      <c r="A101" s="660" t="s">
        <v>34</v>
      </c>
      <c r="B101" s="661" t="s">
        <v>35</v>
      </c>
      <c r="C101" s="586" t="s">
        <v>268</v>
      </c>
      <c r="D101" s="662">
        <f t="shared" ref="D101:D124" si="8">SUM(E101:L101)</f>
        <v>7</v>
      </c>
      <c r="E101" s="663">
        <v>7</v>
      </c>
      <c r="F101" s="664">
        <v>0</v>
      </c>
      <c r="G101" s="1152">
        <v>0</v>
      </c>
      <c r="H101" s="1152">
        <v>0</v>
      </c>
      <c r="I101" s="1152">
        <v>0</v>
      </c>
      <c r="J101" s="1152">
        <v>0</v>
      </c>
      <c r="K101" s="1514">
        <v>0</v>
      </c>
      <c r="L101" s="1152">
        <v>0</v>
      </c>
      <c r="M101" s="665">
        <f t="shared" ref="M101:M124" si="9">G101+H101+I101+J101+K101</f>
        <v>0</v>
      </c>
      <c r="N101" s="1841"/>
      <c r="O101" s="1153">
        <v>5</v>
      </c>
      <c r="P101" s="675">
        <v>0</v>
      </c>
      <c r="Q101" s="1153">
        <v>2</v>
      </c>
      <c r="R101" s="1843">
        <v>0</v>
      </c>
      <c r="S101" s="1843">
        <v>0</v>
      </c>
    </row>
    <row r="102" spans="1:19" ht="16.5" customHeight="1" x14ac:dyDescent="0.25">
      <c r="A102" s="660" t="s">
        <v>52</v>
      </c>
      <c r="B102" s="661" t="s">
        <v>53</v>
      </c>
      <c r="C102" s="586" t="s">
        <v>265</v>
      </c>
      <c r="D102" s="662">
        <f t="shared" si="8"/>
        <v>8</v>
      </c>
      <c r="E102" s="663">
        <v>2</v>
      </c>
      <c r="F102" s="664">
        <v>3</v>
      </c>
      <c r="G102" s="664">
        <v>0</v>
      </c>
      <c r="H102" s="664">
        <v>0</v>
      </c>
      <c r="I102" s="664">
        <v>0</v>
      </c>
      <c r="J102" s="664">
        <v>0</v>
      </c>
      <c r="K102" s="664">
        <v>3</v>
      </c>
      <c r="L102" s="664">
        <v>0</v>
      </c>
      <c r="M102" s="665">
        <f t="shared" si="9"/>
        <v>3</v>
      </c>
      <c r="N102" s="1841"/>
      <c r="O102" s="1153">
        <v>3</v>
      </c>
      <c r="P102" s="1153">
        <v>3</v>
      </c>
      <c r="Q102" s="1153">
        <v>2</v>
      </c>
      <c r="R102" s="1843">
        <v>0</v>
      </c>
      <c r="S102" s="1843">
        <v>0</v>
      </c>
    </row>
    <row r="103" spans="1:19" ht="16.5" customHeight="1" x14ac:dyDescent="0.25">
      <c r="A103" s="660" t="s">
        <v>54</v>
      </c>
      <c r="B103" s="661" t="s">
        <v>55</v>
      </c>
      <c r="C103" s="586" t="s">
        <v>264</v>
      </c>
      <c r="D103" s="662">
        <f t="shared" si="8"/>
        <v>8</v>
      </c>
      <c r="E103" s="663">
        <v>4</v>
      </c>
      <c r="F103" s="664">
        <v>2</v>
      </c>
      <c r="G103" s="664">
        <v>0</v>
      </c>
      <c r="H103" s="664">
        <v>0</v>
      </c>
      <c r="I103" s="664">
        <v>0</v>
      </c>
      <c r="J103" s="664">
        <v>2</v>
      </c>
      <c r="K103" s="664">
        <v>0</v>
      </c>
      <c r="L103" s="664">
        <v>0</v>
      </c>
      <c r="M103" s="665">
        <f t="shared" si="9"/>
        <v>2</v>
      </c>
      <c r="N103" s="1841"/>
      <c r="O103" s="1153">
        <v>4</v>
      </c>
      <c r="P103" s="1153">
        <v>4</v>
      </c>
      <c r="Q103" s="1153">
        <v>0</v>
      </c>
      <c r="R103" s="1843">
        <v>0</v>
      </c>
      <c r="S103" s="1843">
        <v>0</v>
      </c>
    </row>
    <row r="104" spans="1:19" ht="16.5" customHeight="1" x14ac:dyDescent="0.25">
      <c r="A104" s="660" t="s">
        <v>66</v>
      </c>
      <c r="B104" s="661" t="s">
        <v>67</v>
      </c>
      <c r="C104" s="586" t="s">
        <v>265</v>
      </c>
      <c r="D104" s="662">
        <f t="shared" si="8"/>
        <v>3</v>
      </c>
      <c r="E104" s="663">
        <v>1</v>
      </c>
      <c r="F104" s="664">
        <v>1</v>
      </c>
      <c r="G104" s="664">
        <v>0</v>
      </c>
      <c r="H104" s="664">
        <v>0</v>
      </c>
      <c r="I104" s="664">
        <v>0</v>
      </c>
      <c r="J104" s="664">
        <v>1</v>
      </c>
      <c r="K104" s="664">
        <v>0</v>
      </c>
      <c r="L104" s="664">
        <v>0</v>
      </c>
      <c r="M104" s="665">
        <f t="shared" si="9"/>
        <v>1</v>
      </c>
      <c r="N104" s="1841"/>
      <c r="O104" s="1153">
        <v>1</v>
      </c>
      <c r="P104" s="675">
        <v>0</v>
      </c>
      <c r="Q104" s="1153">
        <v>1</v>
      </c>
      <c r="R104" s="1843">
        <v>1</v>
      </c>
      <c r="S104" s="1843">
        <v>0</v>
      </c>
    </row>
    <row r="105" spans="1:19" ht="16.5" customHeight="1" x14ac:dyDescent="0.25">
      <c r="A105" s="660" t="s">
        <v>82</v>
      </c>
      <c r="B105" s="661" t="s">
        <v>311</v>
      </c>
      <c r="C105" s="586" t="s">
        <v>264</v>
      </c>
      <c r="D105" s="662">
        <f t="shared" si="8"/>
        <v>0</v>
      </c>
      <c r="E105" s="663">
        <v>0</v>
      </c>
      <c r="F105" s="664">
        <v>0</v>
      </c>
      <c r="G105" s="664">
        <v>0</v>
      </c>
      <c r="H105" s="664">
        <v>0</v>
      </c>
      <c r="I105" s="664">
        <v>0</v>
      </c>
      <c r="J105" s="664">
        <v>0</v>
      </c>
      <c r="K105" s="664">
        <v>0</v>
      </c>
      <c r="L105" s="664">
        <v>0</v>
      </c>
      <c r="M105" s="665">
        <f t="shared" si="9"/>
        <v>0</v>
      </c>
      <c r="N105" s="1153"/>
      <c r="O105" s="1153">
        <v>0</v>
      </c>
      <c r="P105" s="1153">
        <v>0</v>
      </c>
      <c r="Q105" s="1153">
        <v>0</v>
      </c>
      <c r="R105" s="1843">
        <v>0</v>
      </c>
      <c r="S105" s="1843">
        <v>0</v>
      </c>
    </row>
    <row r="106" spans="1:19" ht="16.5" customHeight="1" x14ac:dyDescent="0.25">
      <c r="A106" s="660" t="s">
        <v>88</v>
      </c>
      <c r="B106" s="661" t="s">
        <v>89</v>
      </c>
      <c r="C106" s="586" t="s">
        <v>267</v>
      </c>
      <c r="D106" s="662">
        <f t="shared" si="8"/>
        <v>6</v>
      </c>
      <c r="E106" s="663">
        <v>5</v>
      </c>
      <c r="F106" s="664">
        <v>1</v>
      </c>
      <c r="G106" s="664">
        <v>0</v>
      </c>
      <c r="H106" s="664">
        <v>0</v>
      </c>
      <c r="I106" s="664">
        <v>0</v>
      </c>
      <c r="J106" s="664">
        <v>0</v>
      </c>
      <c r="K106" s="664">
        <v>0</v>
      </c>
      <c r="L106" s="664">
        <v>0</v>
      </c>
      <c r="M106" s="665">
        <f t="shared" si="9"/>
        <v>0</v>
      </c>
      <c r="N106" s="1842"/>
      <c r="O106" s="1153">
        <v>3</v>
      </c>
      <c r="P106" s="1153">
        <v>3</v>
      </c>
      <c r="Q106" s="1153">
        <v>0</v>
      </c>
      <c r="R106" s="1843">
        <v>0</v>
      </c>
      <c r="S106" s="1843">
        <v>0</v>
      </c>
    </row>
    <row r="107" spans="1:19" ht="16.5" customHeight="1" x14ac:dyDescent="0.25">
      <c r="A107" s="660" t="s">
        <v>90</v>
      </c>
      <c r="B107" s="661" t="s">
        <v>91</v>
      </c>
      <c r="C107" s="586" t="s">
        <v>268</v>
      </c>
      <c r="D107" s="662">
        <f t="shared" si="8"/>
        <v>1</v>
      </c>
      <c r="E107" s="663">
        <v>1</v>
      </c>
      <c r="F107" s="664">
        <v>0</v>
      </c>
      <c r="G107" s="664">
        <v>0</v>
      </c>
      <c r="H107" s="664">
        <v>0</v>
      </c>
      <c r="I107" s="664">
        <v>0</v>
      </c>
      <c r="J107" s="664">
        <v>0</v>
      </c>
      <c r="K107" s="664">
        <v>0</v>
      </c>
      <c r="L107" s="664">
        <v>0</v>
      </c>
      <c r="M107" s="665">
        <f t="shared" si="9"/>
        <v>0</v>
      </c>
      <c r="N107" s="675"/>
      <c r="O107" s="1153">
        <v>1</v>
      </c>
      <c r="P107" s="1153">
        <v>0</v>
      </c>
      <c r="Q107" s="1153">
        <v>0</v>
      </c>
      <c r="R107" s="1843">
        <v>0</v>
      </c>
      <c r="S107" s="1843">
        <v>0</v>
      </c>
    </row>
    <row r="108" spans="1:19" ht="16.5" customHeight="1" x14ac:dyDescent="0.25">
      <c r="A108" s="660" t="s">
        <v>106</v>
      </c>
      <c r="B108" s="661" t="s">
        <v>107</v>
      </c>
      <c r="C108" s="586" t="s">
        <v>264</v>
      </c>
      <c r="D108" s="662">
        <f t="shared" si="8"/>
        <v>0</v>
      </c>
      <c r="E108" s="663">
        <v>0</v>
      </c>
      <c r="F108" s="664">
        <v>0</v>
      </c>
      <c r="G108" s="664">
        <v>0</v>
      </c>
      <c r="H108" s="664">
        <v>0</v>
      </c>
      <c r="I108" s="664">
        <v>0</v>
      </c>
      <c r="J108" s="664">
        <v>0</v>
      </c>
      <c r="K108" s="664">
        <v>0</v>
      </c>
      <c r="L108" s="664">
        <v>0</v>
      </c>
      <c r="M108" s="665">
        <f t="shared" si="9"/>
        <v>0</v>
      </c>
      <c r="N108" s="1841"/>
      <c r="O108" s="1153">
        <v>0</v>
      </c>
      <c r="P108" s="1153">
        <v>0</v>
      </c>
      <c r="Q108" s="1153">
        <v>0</v>
      </c>
      <c r="R108" s="1843">
        <v>0</v>
      </c>
      <c r="S108" s="1843">
        <v>0</v>
      </c>
    </row>
    <row r="109" spans="1:19" ht="16.5" customHeight="1" x14ac:dyDescent="0.25">
      <c r="A109" s="660" t="s">
        <v>116</v>
      </c>
      <c r="B109" s="661" t="s">
        <v>117</v>
      </c>
      <c r="C109" s="586" t="s">
        <v>266</v>
      </c>
      <c r="D109" s="662">
        <f t="shared" si="8"/>
        <v>3</v>
      </c>
      <c r="E109" s="663">
        <v>0</v>
      </c>
      <c r="F109" s="664">
        <v>3</v>
      </c>
      <c r="G109" s="664">
        <v>0</v>
      </c>
      <c r="H109" s="664">
        <v>0</v>
      </c>
      <c r="I109" s="664">
        <v>0</v>
      </c>
      <c r="J109" s="664">
        <v>0</v>
      </c>
      <c r="K109" s="664">
        <v>0</v>
      </c>
      <c r="L109" s="664">
        <v>0</v>
      </c>
      <c r="M109" s="665">
        <f t="shared" si="9"/>
        <v>0</v>
      </c>
      <c r="N109" s="1153"/>
      <c r="O109" s="1153">
        <v>0</v>
      </c>
      <c r="P109" s="675">
        <v>2</v>
      </c>
      <c r="Q109" s="1153">
        <v>1</v>
      </c>
      <c r="R109" s="1843">
        <v>0</v>
      </c>
      <c r="S109" s="1843">
        <v>0</v>
      </c>
    </row>
    <row r="110" spans="1:19" ht="16.5" customHeight="1" x14ac:dyDescent="0.25">
      <c r="A110" s="660" t="s">
        <v>138</v>
      </c>
      <c r="B110" s="661" t="s">
        <v>139</v>
      </c>
      <c r="C110" s="586" t="s">
        <v>265</v>
      </c>
      <c r="D110" s="662">
        <f t="shared" si="8"/>
        <v>15</v>
      </c>
      <c r="E110" s="663">
        <v>2</v>
      </c>
      <c r="F110" s="664">
        <v>5</v>
      </c>
      <c r="G110" s="664">
        <v>0</v>
      </c>
      <c r="H110" s="664">
        <v>0</v>
      </c>
      <c r="I110" s="664">
        <v>0</v>
      </c>
      <c r="J110" s="664">
        <v>8</v>
      </c>
      <c r="K110" s="664">
        <v>0</v>
      </c>
      <c r="L110" s="664">
        <v>0</v>
      </c>
      <c r="M110" s="665">
        <f t="shared" si="9"/>
        <v>8</v>
      </c>
      <c r="N110" s="1842"/>
      <c r="O110" s="1153">
        <v>3</v>
      </c>
      <c r="P110" s="1153">
        <v>8</v>
      </c>
      <c r="Q110" s="1153">
        <v>4</v>
      </c>
      <c r="R110" s="1843">
        <v>0</v>
      </c>
      <c r="S110" s="1843">
        <v>0</v>
      </c>
    </row>
    <row r="111" spans="1:19" ht="16.5" customHeight="1" x14ac:dyDescent="0.25">
      <c r="A111" s="660" t="s">
        <v>142</v>
      </c>
      <c r="B111" s="661" t="s">
        <v>143</v>
      </c>
      <c r="C111" s="586" t="s">
        <v>267</v>
      </c>
      <c r="D111" s="662">
        <f t="shared" si="8"/>
        <v>1</v>
      </c>
      <c r="E111" s="663">
        <v>1</v>
      </c>
      <c r="F111" s="664">
        <v>0</v>
      </c>
      <c r="G111" s="664">
        <v>0</v>
      </c>
      <c r="H111" s="664">
        <v>0</v>
      </c>
      <c r="I111" s="664">
        <v>0</v>
      </c>
      <c r="J111" s="664">
        <v>0</v>
      </c>
      <c r="K111" s="664">
        <v>0</v>
      </c>
      <c r="L111" s="664">
        <v>0</v>
      </c>
      <c r="M111" s="665">
        <f t="shared" si="9"/>
        <v>0</v>
      </c>
      <c r="N111" s="668"/>
      <c r="O111" s="1153">
        <v>0</v>
      </c>
      <c r="P111" s="675">
        <v>0</v>
      </c>
      <c r="Q111" s="1153">
        <v>0</v>
      </c>
      <c r="R111" s="1843">
        <v>1</v>
      </c>
      <c r="S111" s="1843">
        <v>0</v>
      </c>
    </row>
    <row r="112" spans="1:19" ht="16.5" customHeight="1" x14ac:dyDescent="0.25">
      <c r="A112" s="660" t="s">
        <v>144</v>
      </c>
      <c r="B112" s="661" t="s">
        <v>145</v>
      </c>
      <c r="C112" s="586" t="s">
        <v>267</v>
      </c>
      <c r="D112" s="662">
        <f t="shared" si="8"/>
        <v>0</v>
      </c>
      <c r="E112" s="663">
        <v>0</v>
      </c>
      <c r="F112" s="664">
        <v>0</v>
      </c>
      <c r="G112" s="1152">
        <v>0</v>
      </c>
      <c r="H112" s="1152">
        <v>0</v>
      </c>
      <c r="I112" s="1152">
        <v>0</v>
      </c>
      <c r="J112" s="1152">
        <v>0</v>
      </c>
      <c r="K112" s="1514">
        <v>0</v>
      </c>
      <c r="L112" s="1152">
        <v>0</v>
      </c>
      <c r="M112" s="665">
        <f t="shared" si="9"/>
        <v>0</v>
      </c>
      <c r="N112" s="1153"/>
      <c r="O112" s="1153">
        <v>0</v>
      </c>
      <c r="P112" s="1153">
        <v>0</v>
      </c>
      <c r="Q112" s="1153">
        <v>0</v>
      </c>
      <c r="R112" s="1843">
        <v>0</v>
      </c>
      <c r="S112" s="1843">
        <v>0</v>
      </c>
    </row>
    <row r="113" spans="1:19" ht="16.5" customHeight="1" x14ac:dyDescent="0.25">
      <c r="A113" s="660" t="s">
        <v>158</v>
      </c>
      <c r="B113" s="661" t="s">
        <v>159</v>
      </c>
      <c r="C113" s="586" t="s">
        <v>264</v>
      </c>
      <c r="D113" s="662">
        <f t="shared" si="8"/>
        <v>21</v>
      </c>
      <c r="E113" s="663">
        <v>4</v>
      </c>
      <c r="F113" s="664">
        <v>12</v>
      </c>
      <c r="G113" s="664">
        <v>0</v>
      </c>
      <c r="H113" s="664">
        <v>0</v>
      </c>
      <c r="I113" s="664">
        <v>0</v>
      </c>
      <c r="J113" s="664">
        <v>5</v>
      </c>
      <c r="K113" s="664">
        <v>0</v>
      </c>
      <c r="L113" s="664">
        <v>0</v>
      </c>
      <c r="M113" s="665">
        <f t="shared" si="9"/>
        <v>5</v>
      </c>
      <c r="N113" s="1842"/>
      <c r="O113" s="1153">
        <v>9</v>
      </c>
      <c r="P113" s="1153">
        <v>8</v>
      </c>
      <c r="Q113" s="1153">
        <v>4</v>
      </c>
      <c r="R113" s="1843">
        <v>0</v>
      </c>
      <c r="S113" s="1843">
        <v>0</v>
      </c>
    </row>
    <row r="114" spans="1:19" ht="16.5" customHeight="1" x14ac:dyDescent="0.25">
      <c r="A114" s="660" t="s">
        <v>160</v>
      </c>
      <c r="B114" s="661" t="s">
        <v>161</v>
      </c>
      <c r="C114" s="586" t="s">
        <v>264</v>
      </c>
      <c r="D114" s="662">
        <f t="shared" si="8"/>
        <v>16</v>
      </c>
      <c r="E114" s="663">
        <v>1</v>
      </c>
      <c r="F114" s="664">
        <v>10</v>
      </c>
      <c r="G114" s="664">
        <v>0</v>
      </c>
      <c r="H114" s="664">
        <v>0</v>
      </c>
      <c r="I114" s="664">
        <v>0</v>
      </c>
      <c r="J114" s="664">
        <v>4</v>
      </c>
      <c r="K114" s="664">
        <v>1</v>
      </c>
      <c r="L114" s="664">
        <v>0</v>
      </c>
      <c r="M114" s="665">
        <f t="shared" si="9"/>
        <v>5</v>
      </c>
      <c r="N114" s="1842"/>
      <c r="O114" s="1153">
        <v>8</v>
      </c>
      <c r="P114" s="1153">
        <v>5</v>
      </c>
      <c r="Q114" s="1153">
        <v>2</v>
      </c>
      <c r="R114" s="1843">
        <v>1</v>
      </c>
      <c r="S114" s="1843">
        <v>0</v>
      </c>
    </row>
    <row r="115" spans="1:19" ht="16.5" customHeight="1" x14ac:dyDescent="0.25">
      <c r="A115" s="660" t="s">
        <v>166</v>
      </c>
      <c r="B115" s="661" t="s">
        <v>167</v>
      </c>
      <c r="C115" s="586" t="s">
        <v>268</v>
      </c>
      <c r="D115" s="662">
        <f t="shared" si="8"/>
        <v>1</v>
      </c>
      <c r="E115" s="663">
        <v>1</v>
      </c>
      <c r="F115" s="664">
        <v>0</v>
      </c>
      <c r="G115" s="1152">
        <v>0</v>
      </c>
      <c r="H115" s="1152">
        <v>0</v>
      </c>
      <c r="I115" s="1152">
        <v>0</v>
      </c>
      <c r="J115" s="1152">
        <v>0</v>
      </c>
      <c r="K115" s="1514">
        <v>0</v>
      </c>
      <c r="L115" s="1152">
        <v>0</v>
      </c>
      <c r="M115" s="665">
        <f t="shared" si="9"/>
        <v>0</v>
      </c>
      <c r="N115" s="1842"/>
      <c r="O115" s="1153">
        <v>0</v>
      </c>
      <c r="P115" s="1153">
        <v>0</v>
      </c>
      <c r="Q115" s="1153">
        <v>1</v>
      </c>
      <c r="R115" s="1843">
        <v>0</v>
      </c>
      <c r="S115" s="1843">
        <v>0</v>
      </c>
    </row>
    <row r="116" spans="1:19" ht="16.5" customHeight="1" x14ac:dyDescent="0.25">
      <c r="A116" s="660" t="s">
        <v>176</v>
      </c>
      <c r="B116" s="661" t="s">
        <v>177</v>
      </c>
      <c r="C116" s="586" t="s">
        <v>266</v>
      </c>
      <c r="D116" s="662">
        <f t="shared" si="8"/>
        <v>10</v>
      </c>
      <c r="E116" s="663">
        <v>1</v>
      </c>
      <c r="F116" s="664">
        <v>5</v>
      </c>
      <c r="G116" s="664">
        <v>0</v>
      </c>
      <c r="H116" s="664">
        <v>0</v>
      </c>
      <c r="I116" s="664">
        <v>0</v>
      </c>
      <c r="J116" s="664">
        <v>2</v>
      </c>
      <c r="K116" s="664">
        <v>2</v>
      </c>
      <c r="L116" s="664">
        <v>0</v>
      </c>
      <c r="M116" s="665">
        <f t="shared" si="9"/>
        <v>4</v>
      </c>
      <c r="N116" s="1841"/>
      <c r="O116" s="1153">
        <v>8</v>
      </c>
      <c r="P116" s="675">
        <v>1</v>
      </c>
      <c r="Q116" s="1153">
        <v>1</v>
      </c>
      <c r="R116" s="1843">
        <v>0</v>
      </c>
      <c r="S116" s="1843">
        <v>0</v>
      </c>
    </row>
    <row r="117" spans="1:19" ht="16.5" customHeight="1" x14ac:dyDescent="0.25">
      <c r="A117" s="660" t="s">
        <v>180</v>
      </c>
      <c r="B117" s="661" t="s">
        <v>181</v>
      </c>
      <c r="C117" s="586" t="s">
        <v>264</v>
      </c>
      <c r="D117" s="662">
        <f t="shared" si="8"/>
        <v>11</v>
      </c>
      <c r="E117" s="663">
        <v>4</v>
      </c>
      <c r="F117" s="664">
        <v>5</v>
      </c>
      <c r="G117" s="664">
        <v>0</v>
      </c>
      <c r="H117" s="664">
        <v>0</v>
      </c>
      <c r="I117" s="664">
        <v>0</v>
      </c>
      <c r="J117" s="664">
        <v>1</v>
      </c>
      <c r="K117" s="664">
        <v>1</v>
      </c>
      <c r="L117" s="664">
        <v>0</v>
      </c>
      <c r="M117" s="665">
        <f t="shared" si="9"/>
        <v>2</v>
      </c>
      <c r="N117" s="1841"/>
      <c r="O117" s="1153">
        <v>5</v>
      </c>
      <c r="P117" s="1153">
        <v>3</v>
      </c>
      <c r="Q117" s="1153">
        <v>3</v>
      </c>
      <c r="R117" s="1843">
        <v>0</v>
      </c>
      <c r="S117" s="1843">
        <v>0</v>
      </c>
    </row>
    <row r="118" spans="1:19" ht="16.5" customHeight="1" x14ac:dyDescent="0.25">
      <c r="A118" s="660" t="s">
        <v>192</v>
      </c>
      <c r="B118" s="661" t="s">
        <v>193</v>
      </c>
      <c r="C118" s="586" t="s">
        <v>268</v>
      </c>
      <c r="D118" s="662">
        <f t="shared" si="8"/>
        <v>2</v>
      </c>
      <c r="E118" s="663">
        <v>2</v>
      </c>
      <c r="F118" s="664">
        <v>0</v>
      </c>
      <c r="G118" s="664">
        <v>0</v>
      </c>
      <c r="H118" s="664">
        <v>0</v>
      </c>
      <c r="I118" s="664">
        <v>0</v>
      </c>
      <c r="J118" s="664">
        <v>0</v>
      </c>
      <c r="K118" s="664">
        <v>0</v>
      </c>
      <c r="L118" s="664">
        <v>0</v>
      </c>
      <c r="M118" s="665">
        <f t="shared" si="9"/>
        <v>0</v>
      </c>
      <c r="N118" s="668"/>
      <c r="O118" s="1153">
        <v>0</v>
      </c>
      <c r="P118" s="1153">
        <v>0</v>
      </c>
      <c r="Q118" s="1153">
        <v>1</v>
      </c>
      <c r="R118" s="1843">
        <v>1</v>
      </c>
      <c r="S118" s="1843">
        <v>0</v>
      </c>
    </row>
    <row r="119" spans="1:19" ht="16.5" customHeight="1" x14ac:dyDescent="0.25">
      <c r="A119" s="660" t="s">
        <v>196</v>
      </c>
      <c r="B119" s="661" t="s">
        <v>312</v>
      </c>
      <c r="C119" s="586" t="s">
        <v>266</v>
      </c>
      <c r="D119" s="662">
        <f t="shared" si="8"/>
        <v>13</v>
      </c>
      <c r="E119" s="663">
        <v>1</v>
      </c>
      <c r="F119" s="664">
        <v>10</v>
      </c>
      <c r="G119" s="664">
        <v>0</v>
      </c>
      <c r="H119" s="664">
        <v>0</v>
      </c>
      <c r="I119" s="664">
        <v>0</v>
      </c>
      <c r="J119" s="664">
        <v>0</v>
      </c>
      <c r="K119" s="664">
        <v>2</v>
      </c>
      <c r="L119" s="664">
        <v>0</v>
      </c>
      <c r="M119" s="665">
        <f t="shared" si="9"/>
        <v>2</v>
      </c>
      <c r="N119" s="1841"/>
      <c r="O119" s="1153">
        <v>5</v>
      </c>
      <c r="P119" s="1153">
        <v>3</v>
      </c>
      <c r="Q119" s="1153">
        <v>4</v>
      </c>
      <c r="R119" s="1843">
        <v>1</v>
      </c>
      <c r="S119" s="1843">
        <v>0</v>
      </c>
    </row>
    <row r="120" spans="1:19" ht="16.5" customHeight="1" x14ac:dyDescent="0.25">
      <c r="A120" s="660" t="s">
        <v>200</v>
      </c>
      <c r="B120" s="661" t="s">
        <v>313</v>
      </c>
      <c r="C120" s="586" t="s">
        <v>265</v>
      </c>
      <c r="D120" s="662">
        <f t="shared" si="8"/>
        <v>19</v>
      </c>
      <c r="E120" s="663">
        <v>13</v>
      </c>
      <c r="F120" s="664">
        <v>1</v>
      </c>
      <c r="G120" s="664">
        <v>0</v>
      </c>
      <c r="H120" s="664">
        <v>0</v>
      </c>
      <c r="I120" s="664">
        <v>0</v>
      </c>
      <c r="J120" s="664">
        <v>5</v>
      </c>
      <c r="K120" s="664">
        <v>0</v>
      </c>
      <c r="L120" s="664">
        <v>0</v>
      </c>
      <c r="M120" s="665">
        <f t="shared" si="9"/>
        <v>5</v>
      </c>
      <c r="N120" s="1842"/>
      <c r="O120" s="1153">
        <v>10</v>
      </c>
      <c r="P120" s="1153">
        <v>7</v>
      </c>
      <c r="Q120" s="1153">
        <v>1</v>
      </c>
      <c r="R120" s="1843">
        <v>1</v>
      </c>
      <c r="S120" s="1843">
        <v>0</v>
      </c>
    </row>
    <row r="121" spans="1:19" ht="16.5" customHeight="1" x14ac:dyDescent="0.25">
      <c r="A121" s="660" t="s">
        <v>222</v>
      </c>
      <c r="B121" s="661" t="s">
        <v>223</v>
      </c>
      <c r="C121" s="586" t="s">
        <v>264</v>
      </c>
      <c r="D121" s="662">
        <f t="shared" si="8"/>
        <v>0</v>
      </c>
      <c r="E121" s="663">
        <v>0</v>
      </c>
      <c r="F121" s="664">
        <v>0</v>
      </c>
      <c r="G121" s="664">
        <v>0</v>
      </c>
      <c r="H121" s="664">
        <v>0</v>
      </c>
      <c r="I121" s="664">
        <v>0</v>
      </c>
      <c r="J121" s="664">
        <v>0</v>
      </c>
      <c r="K121" s="664">
        <v>0</v>
      </c>
      <c r="L121" s="664">
        <v>0</v>
      </c>
      <c r="M121" s="665">
        <f t="shared" si="9"/>
        <v>0</v>
      </c>
      <c r="N121" s="668"/>
      <c r="O121" s="1153">
        <v>0</v>
      </c>
      <c r="P121" s="1153">
        <v>0</v>
      </c>
      <c r="Q121" s="1153">
        <v>0</v>
      </c>
      <c r="R121" s="1843">
        <v>0</v>
      </c>
      <c r="S121" s="1843">
        <v>0</v>
      </c>
    </row>
    <row r="122" spans="1:19" ht="16.5" customHeight="1" x14ac:dyDescent="0.25">
      <c r="A122" s="660" t="s">
        <v>230</v>
      </c>
      <c r="B122" s="661" t="s">
        <v>231</v>
      </c>
      <c r="C122" s="586" t="s">
        <v>264</v>
      </c>
      <c r="D122" s="662">
        <f t="shared" si="8"/>
        <v>9</v>
      </c>
      <c r="E122" s="663">
        <v>4</v>
      </c>
      <c r="F122" s="664">
        <v>3</v>
      </c>
      <c r="G122" s="664">
        <v>0</v>
      </c>
      <c r="H122" s="664">
        <v>0</v>
      </c>
      <c r="I122" s="664">
        <v>0</v>
      </c>
      <c r="J122" s="664">
        <v>2</v>
      </c>
      <c r="K122" s="664">
        <v>0</v>
      </c>
      <c r="L122" s="664">
        <v>0</v>
      </c>
      <c r="M122" s="665">
        <f t="shared" si="9"/>
        <v>2</v>
      </c>
      <c r="N122" s="1842"/>
      <c r="O122" s="1153">
        <v>4</v>
      </c>
      <c r="P122" s="1153">
        <v>1</v>
      </c>
      <c r="Q122" s="1153">
        <v>4</v>
      </c>
      <c r="R122" s="1843">
        <v>0</v>
      </c>
      <c r="S122" s="1843">
        <v>0</v>
      </c>
    </row>
    <row r="123" spans="1:19" ht="16.5" customHeight="1" x14ac:dyDescent="0.25">
      <c r="A123" s="660" t="s">
        <v>238</v>
      </c>
      <c r="B123" s="661" t="s">
        <v>239</v>
      </c>
      <c r="C123" s="586" t="s">
        <v>264</v>
      </c>
      <c r="D123" s="662">
        <f t="shared" si="8"/>
        <v>5</v>
      </c>
      <c r="E123" s="663">
        <v>3</v>
      </c>
      <c r="F123" s="664">
        <v>2</v>
      </c>
      <c r="G123" s="664">
        <v>0</v>
      </c>
      <c r="H123" s="664">
        <v>0</v>
      </c>
      <c r="I123" s="664">
        <v>0</v>
      </c>
      <c r="J123" s="664">
        <v>0</v>
      </c>
      <c r="K123" s="664">
        <v>0</v>
      </c>
      <c r="L123" s="664">
        <v>0</v>
      </c>
      <c r="M123" s="665">
        <f t="shared" si="9"/>
        <v>0</v>
      </c>
      <c r="N123" s="1153"/>
      <c r="O123" s="1153">
        <v>3</v>
      </c>
      <c r="P123" s="1153">
        <v>0</v>
      </c>
      <c r="Q123" s="1153">
        <v>2</v>
      </c>
      <c r="R123" s="1843">
        <v>0</v>
      </c>
      <c r="S123" s="1843">
        <v>0</v>
      </c>
    </row>
    <row r="124" spans="1:19" ht="16.5" customHeight="1" x14ac:dyDescent="0.25">
      <c r="A124" s="660" t="s">
        <v>240</v>
      </c>
      <c r="B124" s="661" t="s">
        <v>241</v>
      </c>
      <c r="C124" s="586" t="s">
        <v>267</v>
      </c>
      <c r="D124" s="662">
        <f t="shared" si="8"/>
        <v>10</v>
      </c>
      <c r="E124" s="663">
        <v>10</v>
      </c>
      <c r="F124" s="664">
        <v>0</v>
      </c>
      <c r="G124" s="664">
        <v>0</v>
      </c>
      <c r="H124" s="664">
        <v>0</v>
      </c>
      <c r="I124" s="664">
        <v>0</v>
      </c>
      <c r="J124" s="664">
        <v>0</v>
      </c>
      <c r="K124" s="664">
        <v>0</v>
      </c>
      <c r="L124" s="664">
        <v>0</v>
      </c>
      <c r="M124" s="665">
        <f t="shared" si="9"/>
        <v>0</v>
      </c>
      <c r="N124" s="1841"/>
      <c r="O124" s="1153">
        <v>4</v>
      </c>
      <c r="P124" s="1153">
        <v>4</v>
      </c>
      <c r="Q124" s="1153">
        <v>1</v>
      </c>
      <c r="R124" s="1843">
        <v>1</v>
      </c>
      <c r="S124" s="1843">
        <v>0</v>
      </c>
    </row>
    <row r="125" spans="1:19" x14ac:dyDescent="0.25">
      <c r="D125" s="665"/>
      <c r="E125" s="665"/>
      <c r="F125" s="665"/>
      <c r="G125" s="665"/>
      <c r="H125" s="665"/>
      <c r="I125" s="665"/>
      <c r="J125" s="665"/>
      <c r="K125" s="665"/>
      <c r="L125" s="665"/>
      <c r="M125" s="665"/>
      <c r="N125" s="665"/>
      <c r="O125" s="665"/>
      <c r="P125" s="665"/>
      <c r="Q125" s="665"/>
    </row>
    <row r="126" spans="1:19" ht="32.25" customHeight="1" x14ac:dyDescent="0.25">
      <c r="A126" s="2124" t="s">
        <v>1237</v>
      </c>
      <c r="B126" s="2123"/>
      <c r="C126" s="2123"/>
      <c r="D126" s="2123"/>
      <c r="E126" s="2123"/>
      <c r="F126" s="2123"/>
      <c r="G126" s="2123"/>
      <c r="H126" s="2123"/>
      <c r="I126" s="2123"/>
      <c r="J126" s="2123"/>
      <c r="K126" s="2123"/>
      <c r="L126" s="2123"/>
      <c r="M126" s="2123"/>
      <c r="N126" s="2123"/>
      <c r="O126" s="676"/>
      <c r="P126" s="676"/>
      <c r="Q126" s="676"/>
      <c r="R126" s="676"/>
      <c r="S126" s="676"/>
    </row>
    <row r="127" spans="1:19" x14ac:dyDescent="0.25">
      <c r="A127" s="394" t="s">
        <v>1234</v>
      </c>
    </row>
    <row r="129" spans="1:3" s="414" customFormat="1" x14ac:dyDescent="0.25">
      <c r="A129" s="414" t="s">
        <v>248</v>
      </c>
    </row>
    <row r="130" spans="1:3" s="414" customFormat="1" x14ac:dyDescent="0.25">
      <c r="A130" s="415" t="s">
        <v>249</v>
      </c>
      <c r="B130" s="416" t="s">
        <v>250</v>
      </c>
      <c r="C130" s="416"/>
    </row>
  </sheetData>
  <sortState ref="A5:S124">
    <sortCondition ref="A5:A124"/>
  </sortState>
  <mergeCells count="1">
    <mergeCell ref="A126:N126"/>
  </mergeCells>
  <hyperlinks>
    <hyperlink ref="B130"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30"/>
  <sheetViews>
    <sheetView topLeftCell="D1" workbookViewId="0">
      <pane ySplit="4" topLeftCell="A5" activePane="bottomLeft" state="frozen"/>
      <selection pane="bottomLeft" activeCell="S12" sqref="S12"/>
    </sheetView>
  </sheetViews>
  <sheetFormatPr defaultRowHeight="15.75" x14ac:dyDescent="0.25"/>
  <cols>
    <col min="1" max="1" width="11" style="394" customWidth="1"/>
    <col min="2" max="2" width="32" style="394" customWidth="1"/>
    <col min="3" max="3" width="14.25" style="394" customWidth="1"/>
    <col min="4" max="9" width="7.5" style="394" customWidth="1"/>
    <col min="10" max="11" width="10.125" style="394" customWidth="1"/>
    <col min="12" max="12" width="12.25" style="394" customWidth="1"/>
    <col min="13" max="13" width="4.875" style="394" customWidth="1"/>
    <col min="14" max="15" width="12.25" style="394" customWidth="1"/>
    <col min="16" max="16" width="11.5" style="394" customWidth="1"/>
    <col min="17" max="17" width="11.125" style="394" customWidth="1"/>
    <col min="18" max="18" width="11.5" style="394" customWidth="1"/>
    <col min="19" max="16384" width="9" style="394"/>
  </cols>
  <sheetData>
    <row r="1" spans="1:18" x14ac:dyDescent="0.25">
      <c r="A1" s="193" t="s">
        <v>1230</v>
      </c>
    </row>
    <row r="3" spans="1:18" ht="32.25" customHeight="1" x14ac:dyDescent="0.25">
      <c r="A3" s="650" t="s">
        <v>4</v>
      </c>
      <c r="B3" s="651" t="s">
        <v>5</v>
      </c>
      <c r="C3" s="652" t="s">
        <v>251</v>
      </c>
      <c r="D3" s="653" t="s">
        <v>281</v>
      </c>
      <c r="E3" s="654" t="s">
        <v>2</v>
      </c>
      <c r="F3" s="655" t="s">
        <v>445</v>
      </c>
      <c r="G3" s="1154" t="s">
        <v>542</v>
      </c>
      <c r="H3" s="1154" t="s">
        <v>772</v>
      </c>
      <c r="I3" s="1154" t="s">
        <v>724</v>
      </c>
      <c r="J3" s="1154" t="s">
        <v>873</v>
      </c>
      <c r="K3" s="1154" t="s">
        <v>773</v>
      </c>
      <c r="L3" s="1861" t="s">
        <v>1233</v>
      </c>
      <c r="M3" s="656"/>
      <c r="N3" s="1863" t="s">
        <v>1113</v>
      </c>
      <c r="O3" s="1864" t="s">
        <v>1114</v>
      </c>
      <c r="P3" s="1865" t="s">
        <v>1115</v>
      </c>
      <c r="Q3" s="1865" t="s">
        <v>1116</v>
      </c>
      <c r="R3" s="1866" t="s">
        <v>1118</v>
      </c>
    </row>
    <row r="4" spans="1:18" x14ac:dyDescent="0.25">
      <c r="A4" s="657">
        <v>999</v>
      </c>
      <c r="B4" s="658" t="s">
        <v>9</v>
      </c>
      <c r="C4" s="658"/>
      <c r="D4" s="659">
        <f t="shared" ref="D4:K4" si="0">SUM(D5:D124)</f>
        <v>7704</v>
      </c>
      <c r="E4" s="659">
        <f t="shared" si="0"/>
        <v>4089</v>
      </c>
      <c r="F4" s="659">
        <f t="shared" si="0"/>
        <v>2695</v>
      </c>
      <c r="G4" s="659">
        <f t="shared" si="0"/>
        <v>39</v>
      </c>
      <c r="H4" s="659">
        <f t="shared" si="0"/>
        <v>17</v>
      </c>
      <c r="I4" s="659">
        <f t="shared" si="0"/>
        <v>8</v>
      </c>
      <c r="J4" s="659">
        <f t="shared" si="0"/>
        <v>794</v>
      </c>
      <c r="K4" s="659">
        <f t="shared" si="0"/>
        <v>62</v>
      </c>
      <c r="L4" s="1862">
        <f t="shared" ref="L4:L35" si="1">G4+H4+I4+J4</f>
        <v>858</v>
      </c>
      <c r="M4" s="656"/>
      <c r="N4" s="659">
        <f t="shared" ref="N4:R4" si="2">SUM(N5:N124)</f>
        <v>774</v>
      </c>
      <c r="O4" s="659">
        <f t="shared" si="2"/>
        <v>2112</v>
      </c>
      <c r="P4" s="659">
        <f t="shared" si="2"/>
        <v>2764</v>
      </c>
      <c r="Q4" s="659">
        <f t="shared" si="2"/>
        <v>1521</v>
      </c>
      <c r="R4" s="659">
        <f t="shared" si="2"/>
        <v>533</v>
      </c>
    </row>
    <row r="5" spans="1:18" ht="16.5" customHeight="1" x14ac:dyDescent="0.25">
      <c r="A5" s="660" t="s">
        <v>10</v>
      </c>
      <c r="B5" s="661" t="s">
        <v>11</v>
      </c>
      <c r="C5" s="581" t="s">
        <v>264</v>
      </c>
      <c r="D5" s="662">
        <f t="shared" ref="D5:D36" si="3">SUM(E5:K5)</f>
        <v>13</v>
      </c>
      <c r="E5" s="663">
        <v>8</v>
      </c>
      <c r="F5" s="664">
        <v>3</v>
      </c>
      <c r="G5" s="664">
        <v>0</v>
      </c>
      <c r="H5" s="664">
        <v>0</v>
      </c>
      <c r="I5" s="664">
        <v>0</v>
      </c>
      <c r="J5" s="664">
        <v>2</v>
      </c>
      <c r="K5" s="664">
        <v>0</v>
      </c>
      <c r="L5" s="665">
        <f t="shared" si="1"/>
        <v>2</v>
      </c>
      <c r="M5" s="1840"/>
      <c r="N5" s="1153">
        <v>2</v>
      </c>
      <c r="O5" s="1153">
        <v>2</v>
      </c>
      <c r="P5" s="1153">
        <v>4</v>
      </c>
      <c r="Q5" s="1843">
        <v>5</v>
      </c>
      <c r="R5" s="1843">
        <v>0</v>
      </c>
    </row>
    <row r="6" spans="1:18" ht="16.5" customHeight="1" x14ac:dyDescent="0.25">
      <c r="A6" s="660" t="s">
        <v>12</v>
      </c>
      <c r="B6" s="661" t="s">
        <v>13</v>
      </c>
      <c r="C6" s="581" t="s">
        <v>265</v>
      </c>
      <c r="D6" s="662">
        <f t="shared" si="3"/>
        <v>76</v>
      </c>
      <c r="E6" s="663">
        <v>42</v>
      </c>
      <c r="F6" s="664">
        <v>22</v>
      </c>
      <c r="G6" s="664">
        <v>1</v>
      </c>
      <c r="H6" s="664">
        <v>0</v>
      </c>
      <c r="I6" s="664">
        <v>0</v>
      </c>
      <c r="J6" s="664">
        <v>9</v>
      </c>
      <c r="K6" s="664">
        <v>2</v>
      </c>
      <c r="L6" s="665">
        <f t="shared" si="1"/>
        <v>10</v>
      </c>
      <c r="M6" s="1841"/>
      <c r="N6" s="1153">
        <v>11</v>
      </c>
      <c r="O6" s="1153">
        <v>15</v>
      </c>
      <c r="P6" s="1153">
        <v>30</v>
      </c>
      <c r="Q6" s="1843">
        <v>16</v>
      </c>
      <c r="R6" s="1843">
        <v>4</v>
      </c>
    </row>
    <row r="7" spans="1:18" ht="16.5" customHeight="1" x14ac:dyDescent="0.25">
      <c r="A7" s="660" t="s">
        <v>16</v>
      </c>
      <c r="B7" s="661" t="s">
        <v>297</v>
      </c>
      <c r="C7" s="581" t="s">
        <v>265</v>
      </c>
      <c r="D7" s="662">
        <f t="shared" si="3"/>
        <v>11</v>
      </c>
      <c r="E7" s="663">
        <v>9</v>
      </c>
      <c r="F7" s="664">
        <v>1</v>
      </c>
      <c r="G7" s="664">
        <v>0</v>
      </c>
      <c r="H7" s="664">
        <v>0</v>
      </c>
      <c r="I7" s="664">
        <v>0</v>
      </c>
      <c r="J7" s="664">
        <v>1</v>
      </c>
      <c r="K7" s="664">
        <v>0</v>
      </c>
      <c r="L7" s="665">
        <f t="shared" si="1"/>
        <v>1</v>
      </c>
      <c r="M7" s="1841"/>
      <c r="N7" s="1153">
        <v>1</v>
      </c>
      <c r="O7" s="675">
        <v>3</v>
      </c>
      <c r="P7" s="1153">
        <v>4</v>
      </c>
      <c r="Q7" s="1843">
        <v>3</v>
      </c>
      <c r="R7" s="1843">
        <v>0</v>
      </c>
    </row>
    <row r="8" spans="1:18" ht="16.5" customHeight="1" x14ac:dyDescent="0.25">
      <c r="A8" s="660" t="s">
        <v>18</v>
      </c>
      <c r="B8" s="661" t="s">
        <v>19</v>
      </c>
      <c r="C8" s="581" t="s">
        <v>266</v>
      </c>
      <c r="D8" s="662">
        <f t="shared" si="3"/>
        <v>8</v>
      </c>
      <c r="E8" s="663">
        <v>5</v>
      </c>
      <c r="F8" s="664">
        <v>2</v>
      </c>
      <c r="G8" s="664">
        <v>0</v>
      </c>
      <c r="H8" s="664">
        <v>0</v>
      </c>
      <c r="I8" s="664">
        <v>0</v>
      </c>
      <c r="J8" s="664">
        <v>1</v>
      </c>
      <c r="K8" s="664">
        <v>0</v>
      </c>
      <c r="L8" s="665">
        <f t="shared" si="1"/>
        <v>1</v>
      </c>
      <c r="M8" s="675"/>
      <c r="N8" s="1153">
        <v>1</v>
      </c>
      <c r="O8" s="1153">
        <v>0</v>
      </c>
      <c r="P8" s="1153">
        <v>7</v>
      </c>
      <c r="Q8" s="1843">
        <v>0</v>
      </c>
      <c r="R8" s="1843">
        <v>0</v>
      </c>
    </row>
    <row r="9" spans="1:18" ht="16.5" customHeight="1" x14ac:dyDescent="0.25">
      <c r="A9" s="660" t="s">
        <v>20</v>
      </c>
      <c r="B9" s="661" t="s">
        <v>21</v>
      </c>
      <c r="C9" s="581" t="s">
        <v>265</v>
      </c>
      <c r="D9" s="662">
        <f t="shared" si="3"/>
        <v>13</v>
      </c>
      <c r="E9" s="663">
        <v>10</v>
      </c>
      <c r="F9" s="664">
        <v>2</v>
      </c>
      <c r="G9" s="664">
        <v>0</v>
      </c>
      <c r="H9" s="664">
        <v>0</v>
      </c>
      <c r="I9" s="664">
        <v>0</v>
      </c>
      <c r="J9" s="664">
        <v>1</v>
      </c>
      <c r="K9" s="664">
        <v>0</v>
      </c>
      <c r="L9" s="665">
        <f t="shared" si="1"/>
        <v>1</v>
      </c>
      <c r="M9" s="1842"/>
      <c r="N9" s="1153">
        <v>2</v>
      </c>
      <c r="O9" s="1153">
        <v>0</v>
      </c>
      <c r="P9" s="1153">
        <v>2</v>
      </c>
      <c r="Q9" s="1843">
        <v>4</v>
      </c>
      <c r="R9" s="1843">
        <v>5</v>
      </c>
    </row>
    <row r="10" spans="1:18" ht="16.5" customHeight="1" x14ac:dyDescent="0.25">
      <c r="A10" s="660" t="s">
        <v>22</v>
      </c>
      <c r="B10" s="661" t="s">
        <v>23</v>
      </c>
      <c r="C10" s="581" t="s">
        <v>265</v>
      </c>
      <c r="D10" s="662">
        <f t="shared" si="3"/>
        <v>2</v>
      </c>
      <c r="E10" s="663">
        <v>2</v>
      </c>
      <c r="F10" s="664">
        <v>0</v>
      </c>
      <c r="G10" s="1152">
        <v>0</v>
      </c>
      <c r="H10" s="1152">
        <v>0</v>
      </c>
      <c r="I10" s="1152">
        <v>0</v>
      </c>
      <c r="J10" s="1152">
        <v>0</v>
      </c>
      <c r="K10" s="1152">
        <v>0</v>
      </c>
      <c r="L10" s="665">
        <f t="shared" si="1"/>
        <v>0</v>
      </c>
      <c r="M10" s="675"/>
      <c r="N10" s="1153">
        <v>1</v>
      </c>
      <c r="O10" s="1153">
        <v>0</v>
      </c>
      <c r="P10" s="1153">
        <v>1</v>
      </c>
      <c r="Q10" s="1843">
        <v>0</v>
      </c>
      <c r="R10" s="1843">
        <v>0</v>
      </c>
    </row>
    <row r="11" spans="1:18" ht="16.5" customHeight="1" x14ac:dyDescent="0.25">
      <c r="A11" s="660" t="s">
        <v>24</v>
      </c>
      <c r="B11" s="661" t="s">
        <v>25</v>
      </c>
      <c r="C11" s="581" t="s">
        <v>267</v>
      </c>
      <c r="D11" s="662">
        <f t="shared" si="3"/>
        <v>109</v>
      </c>
      <c r="E11" s="663">
        <v>35</v>
      </c>
      <c r="F11" s="664">
        <v>59</v>
      </c>
      <c r="G11" s="664">
        <v>1</v>
      </c>
      <c r="H11" s="664">
        <v>0</v>
      </c>
      <c r="I11" s="664">
        <v>0</v>
      </c>
      <c r="J11" s="664">
        <v>12</v>
      </c>
      <c r="K11" s="664">
        <v>2</v>
      </c>
      <c r="L11" s="665">
        <f t="shared" si="1"/>
        <v>13</v>
      </c>
      <c r="M11" s="1842"/>
      <c r="N11" s="1153">
        <v>11</v>
      </c>
      <c r="O11" s="1153">
        <v>30</v>
      </c>
      <c r="P11" s="1153">
        <v>41</v>
      </c>
      <c r="Q11" s="1843">
        <v>24</v>
      </c>
      <c r="R11" s="1843">
        <v>3</v>
      </c>
    </row>
    <row r="12" spans="1:18" ht="16.5" customHeight="1" x14ac:dyDescent="0.25">
      <c r="A12" s="660" t="s">
        <v>26</v>
      </c>
      <c r="B12" s="661" t="s">
        <v>686</v>
      </c>
      <c r="C12" s="581" t="s">
        <v>265</v>
      </c>
      <c r="D12" s="662">
        <f t="shared" si="3"/>
        <v>240</v>
      </c>
      <c r="E12" s="663">
        <v>180</v>
      </c>
      <c r="F12" s="664">
        <v>15</v>
      </c>
      <c r="G12" s="664">
        <v>0</v>
      </c>
      <c r="H12" s="664">
        <v>0</v>
      </c>
      <c r="I12" s="664">
        <v>1</v>
      </c>
      <c r="J12" s="664">
        <v>44</v>
      </c>
      <c r="K12" s="664">
        <v>0</v>
      </c>
      <c r="L12" s="665">
        <f t="shared" si="1"/>
        <v>45</v>
      </c>
      <c r="M12" s="1841"/>
      <c r="N12" s="1153">
        <v>27</v>
      </c>
      <c r="O12" s="675">
        <v>57</v>
      </c>
      <c r="P12" s="1153">
        <v>85</v>
      </c>
      <c r="Q12" s="1843">
        <v>59</v>
      </c>
      <c r="R12" s="1843">
        <v>12</v>
      </c>
    </row>
    <row r="13" spans="1:18" ht="16.5" customHeight="1" x14ac:dyDescent="0.25">
      <c r="A13" s="660" t="s">
        <v>27</v>
      </c>
      <c r="B13" s="661" t="s">
        <v>28</v>
      </c>
      <c r="C13" s="586" t="s">
        <v>265</v>
      </c>
      <c r="D13" s="662">
        <f t="shared" si="3"/>
        <v>1</v>
      </c>
      <c r="E13" s="671">
        <v>0</v>
      </c>
      <c r="F13" s="670">
        <v>0</v>
      </c>
      <c r="G13" s="670">
        <v>0</v>
      </c>
      <c r="H13" s="670">
        <v>0</v>
      </c>
      <c r="I13" s="670">
        <v>0</v>
      </c>
      <c r="J13" s="1158">
        <v>1</v>
      </c>
      <c r="K13" s="670">
        <v>0</v>
      </c>
      <c r="L13" s="665">
        <f t="shared" si="1"/>
        <v>1</v>
      </c>
      <c r="M13" s="1841"/>
      <c r="N13" s="1153">
        <v>0</v>
      </c>
      <c r="O13" s="1153">
        <v>0</v>
      </c>
      <c r="P13" s="1153">
        <v>0</v>
      </c>
      <c r="Q13" s="1843">
        <v>1</v>
      </c>
      <c r="R13" s="1843">
        <v>0</v>
      </c>
    </row>
    <row r="14" spans="1:18" ht="16.5" customHeight="1" x14ac:dyDescent="0.25">
      <c r="A14" s="660" t="s">
        <v>29</v>
      </c>
      <c r="B14" s="661" t="s">
        <v>941</v>
      </c>
      <c r="C14" s="586" t="s">
        <v>265</v>
      </c>
      <c r="D14" s="662">
        <f t="shared" si="3"/>
        <v>70</v>
      </c>
      <c r="E14" s="663">
        <v>54</v>
      </c>
      <c r="F14" s="664">
        <v>2</v>
      </c>
      <c r="G14" s="664">
        <v>0</v>
      </c>
      <c r="H14" s="664">
        <v>0</v>
      </c>
      <c r="I14" s="664">
        <v>1</v>
      </c>
      <c r="J14" s="664">
        <v>13</v>
      </c>
      <c r="K14" s="664">
        <v>0</v>
      </c>
      <c r="L14" s="665">
        <f t="shared" si="1"/>
        <v>14</v>
      </c>
      <c r="M14" s="1841"/>
      <c r="N14" s="1153">
        <v>5</v>
      </c>
      <c r="O14" s="1153">
        <v>14</v>
      </c>
      <c r="P14" s="1153">
        <v>22</v>
      </c>
      <c r="Q14" s="1843">
        <v>21</v>
      </c>
      <c r="R14" s="1843">
        <v>8</v>
      </c>
    </row>
    <row r="15" spans="1:18" ht="16.5" customHeight="1" x14ac:dyDescent="0.25">
      <c r="A15" s="660" t="s">
        <v>30</v>
      </c>
      <c r="B15" s="661" t="s">
        <v>31</v>
      </c>
      <c r="C15" s="586" t="s">
        <v>268</v>
      </c>
      <c r="D15" s="662">
        <f t="shared" si="3"/>
        <v>14</v>
      </c>
      <c r="E15" s="663">
        <v>13</v>
      </c>
      <c r="F15" s="664">
        <v>0</v>
      </c>
      <c r="G15" s="1152">
        <v>0</v>
      </c>
      <c r="H15" s="1152">
        <v>0</v>
      </c>
      <c r="I15" s="1152">
        <v>0</v>
      </c>
      <c r="J15" s="1152">
        <v>1</v>
      </c>
      <c r="K15" s="1152">
        <v>0</v>
      </c>
      <c r="L15" s="665">
        <f t="shared" si="1"/>
        <v>1</v>
      </c>
      <c r="M15" s="1841"/>
      <c r="N15" s="1153">
        <v>0</v>
      </c>
      <c r="O15" s="1153">
        <v>8</v>
      </c>
      <c r="P15" s="1153">
        <v>4</v>
      </c>
      <c r="Q15" s="1843">
        <v>1</v>
      </c>
      <c r="R15" s="1843">
        <v>1</v>
      </c>
    </row>
    <row r="16" spans="1:18" ht="16.5" customHeight="1" x14ac:dyDescent="0.25">
      <c r="A16" s="660" t="s">
        <v>32</v>
      </c>
      <c r="B16" s="661" t="s">
        <v>33</v>
      </c>
      <c r="C16" s="586" t="s">
        <v>265</v>
      </c>
      <c r="D16" s="662">
        <f t="shared" si="3"/>
        <v>10</v>
      </c>
      <c r="E16" s="663">
        <v>9</v>
      </c>
      <c r="F16" s="664">
        <v>0</v>
      </c>
      <c r="G16" s="664">
        <v>0</v>
      </c>
      <c r="H16" s="664">
        <v>0</v>
      </c>
      <c r="I16" s="664">
        <v>0</v>
      </c>
      <c r="J16" s="664">
        <v>1</v>
      </c>
      <c r="K16" s="664">
        <v>0</v>
      </c>
      <c r="L16" s="665">
        <f t="shared" si="1"/>
        <v>1</v>
      </c>
      <c r="M16" s="668"/>
      <c r="N16" s="1153">
        <v>1</v>
      </c>
      <c r="O16" s="1153">
        <v>2</v>
      </c>
      <c r="P16" s="1153">
        <v>5</v>
      </c>
      <c r="Q16" s="1843">
        <v>2</v>
      </c>
      <c r="R16" s="1843">
        <v>0</v>
      </c>
    </row>
    <row r="17" spans="1:18" ht="16.5" customHeight="1" x14ac:dyDescent="0.25">
      <c r="A17" s="660" t="s">
        <v>36</v>
      </c>
      <c r="B17" s="661" t="s">
        <v>37</v>
      </c>
      <c r="C17" s="586" t="s">
        <v>264</v>
      </c>
      <c r="D17" s="662">
        <f t="shared" si="3"/>
        <v>5</v>
      </c>
      <c r="E17" s="663">
        <v>2</v>
      </c>
      <c r="F17" s="664">
        <v>1</v>
      </c>
      <c r="G17" s="1152">
        <v>0</v>
      </c>
      <c r="H17" s="1152">
        <v>0</v>
      </c>
      <c r="I17" s="1152">
        <v>0</v>
      </c>
      <c r="J17" s="1152">
        <v>2</v>
      </c>
      <c r="K17" s="1152">
        <v>0</v>
      </c>
      <c r="L17" s="665">
        <f t="shared" si="1"/>
        <v>2</v>
      </c>
      <c r="M17" s="665"/>
      <c r="N17" s="1153">
        <v>0</v>
      </c>
      <c r="O17" s="1153">
        <v>4</v>
      </c>
      <c r="P17" s="1153">
        <v>1</v>
      </c>
      <c r="Q17" s="1843">
        <v>0</v>
      </c>
      <c r="R17" s="1843">
        <v>0</v>
      </c>
    </row>
    <row r="18" spans="1:18" ht="16.5" customHeight="1" x14ac:dyDescent="0.25">
      <c r="A18" s="660" t="s">
        <v>38</v>
      </c>
      <c r="B18" s="661" t="s">
        <v>39</v>
      </c>
      <c r="C18" s="586" t="s">
        <v>268</v>
      </c>
      <c r="D18" s="662">
        <f t="shared" si="3"/>
        <v>88</v>
      </c>
      <c r="E18" s="663">
        <v>83</v>
      </c>
      <c r="F18" s="664">
        <v>1</v>
      </c>
      <c r="G18" s="664">
        <v>0</v>
      </c>
      <c r="H18" s="664">
        <v>0</v>
      </c>
      <c r="I18" s="664">
        <v>0</v>
      </c>
      <c r="J18" s="664">
        <v>4</v>
      </c>
      <c r="K18" s="664">
        <v>0</v>
      </c>
      <c r="L18" s="665">
        <f t="shared" si="1"/>
        <v>4</v>
      </c>
      <c r="M18" s="1841"/>
      <c r="N18" s="1153">
        <v>13</v>
      </c>
      <c r="O18" s="1153">
        <v>26</v>
      </c>
      <c r="P18" s="1153">
        <v>26</v>
      </c>
      <c r="Q18" s="1843">
        <v>18</v>
      </c>
      <c r="R18" s="1843">
        <v>5</v>
      </c>
    </row>
    <row r="19" spans="1:18" ht="16.5" customHeight="1" x14ac:dyDescent="0.25">
      <c r="A19" s="660" t="s">
        <v>40</v>
      </c>
      <c r="B19" s="661" t="s">
        <v>41</v>
      </c>
      <c r="C19" s="586" t="s">
        <v>266</v>
      </c>
      <c r="D19" s="662">
        <f t="shared" si="3"/>
        <v>14</v>
      </c>
      <c r="E19" s="663">
        <v>8</v>
      </c>
      <c r="F19" s="664">
        <v>5</v>
      </c>
      <c r="G19" s="664">
        <v>0</v>
      </c>
      <c r="H19" s="664">
        <v>0</v>
      </c>
      <c r="I19" s="664">
        <v>0</v>
      </c>
      <c r="J19" s="664">
        <v>1</v>
      </c>
      <c r="K19" s="664">
        <v>0</v>
      </c>
      <c r="L19" s="665">
        <f t="shared" si="1"/>
        <v>1</v>
      </c>
      <c r="M19" s="1153"/>
      <c r="N19" s="1153">
        <v>1</v>
      </c>
      <c r="O19" s="1153">
        <v>4</v>
      </c>
      <c r="P19" s="1153">
        <v>6</v>
      </c>
      <c r="Q19" s="1843">
        <v>3</v>
      </c>
      <c r="R19" s="1843">
        <v>0</v>
      </c>
    </row>
    <row r="20" spans="1:18" ht="16.5" customHeight="1" x14ac:dyDescent="0.25">
      <c r="A20" s="660" t="s">
        <v>42</v>
      </c>
      <c r="B20" s="661" t="s">
        <v>43</v>
      </c>
      <c r="C20" s="586" t="s">
        <v>265</v>
      </c>
      <c r="D20" s="662">
        <f t="shared" si="3"/>
        <v>111</v>
      </c>
      <c r="E20" s="663">
        <v>90</v>
      </c>
      <c r="F20" s="664">
        <v>6</v>
      </c>
      <c r="G20" s="664">
        <v>0</v>
      </c>
      <c r="H20" s="664">
        <v>0</v>
      </c>
      <c r="I20" s="664">
        <v>2</v>
      </c>
      <c r="J20" s="664">
        <v>13</v>
      </c>
      <c r="K20" s="664">
        <v>0</v>
      </c>
      <c r="L20" s="665">
        <f t="shared" si="1"/>
        <v>15</v>
      </c>
      <c r="M20" s="1841"/>
      <c r="N20" s="1153">
        <v>16</v>
      </c>
      <c r="O20" s="1153">
        <v>28</v>
      </c>
      <c r="P20" s="1153">
        <v>39</v>
      </c>
      <c r="Q20" s="1843">
        <v>23</v>
      </c>
      <c r="R20" s="1843">
        <v>5</v>
      </c>
    </row>
    <row r="21" spans="1:18" ht="16.5" customHeight="1" x14ac:dyDescent="0.25">
      <c r="A21" s="660" t="s">
        <v>44</v>
      </c>
      <c r="B21" s="661" t="s">
        <v>45</v>
      </c>
      <c r="C21" s="586" t="s">
        <v>266</v>
      </c>
      <c r="D21" s="662">
        <f t="shared" si="3"/>
        <v>6</v>
      </c>
      <c r="E21" s="663">
        <v>4</v>
      </c>
      <c r="F21" s="664">
        <v>1</v>
      </c>
      <c r="G21" s="664">
        <v>0</v>
      </c>
      <c r="H21" s="664">
        <v>0</v>
      </c>
      <c r="I21" s="664">
        <v>0</v>
      </c>
      <c r="J21" s="664">
        <v>1</v>
      </c>
      <c r="K21" s="664">
        <v>0</v>
      </c>
      <c r="L21" s="665">
        <f t="shared" si="1"/>
        <v>1</v>
      </c>
      <c r="M21" s="1842"/>
      <c r="N21" s="1153">
        <v>2</v>
      </c>
      <c r="O21" s="1153">
        <v>2</v>
      </c>
      <c r="P21" s="1153">
        <v>1</v>
      </c>
      <c r="Q21" s="1843">
        <v>1</v>
      </c>
      <c r="R21" s="1843">
        <v>0</v>
      </c>
    </row>
    <row r="22" spans="1:18" ht="16.5" customHeight="1" x14ac:dyDescent="0.25">
      <c r="A22" s="660" t="s">
        <v>46</v>
      </c>
      <c r="B22" s="661" t="s">
        <v>47</v>
      </c>
      <c r="C22" s="586" t="s">
        <v>268</v>
      </c>
      <c r="D22" s="662">
        <f t="shared" si="3"/>
        <v>29</v>
      </c>
      <c r="E22" s="663">
        <v>26</v>
      </c>
      <c r="F22" s="664">
        <v>0</v>
      </c>
      <c r="G22" s="1152">
        <v>0</v>
      </c>
      <c r="H22" s="1152">
        <v>0</v>
      </c>
      <c r="I22" s="1152">
        <v>0</v>
      </c>
      <c r="J22" s="1152">
        <v>3</v>
      </c>
      <c r="K22" s="1152">
        <v>0</v>
      </c>
      <c r="L22" s="665">
        <f t="shared" si="1"/>
        <v>3</v>
      </c>
      <c r="M22" s="1841"/>
      <c r="N22" s="1153">
        <v>4</v>
      </c>
      <c r="O22" s="1153">
        <v>10</v>
      </c>
      <c r="P22" s="1153">
        <v>8</v>
      </c>
      <c r="Q22" s="1843">
        <v>6</v>
      </c>
      <c r="R22" s="1843">
        <v>1</v>
      </c>
    </row>
    <row r="23" spans="1:18" ht="16.5" customHeight="1" x14ac:dyDescent="0.25">
      <c r="A23" s="660" t="s">
        <v>48</v>
      </c>
      <c r="B23" s="661" t="s">
        <v>269</v>
      </c>
      <c r="C23" s="586" t="s">
        <v>266</v>
      </c>
      <c r="D23" s="662">
        <f t="shared" si="3"/>
        <v>2</v>
      </c>
      <c r="E23" s="671">
        <v>0</v>
      </c>
      <c r="F23" s="670">
        <v>1</v>
      </c>
      <c r="G23" s="670">
        <v>0</v>
      </c>
      <c r="H23" s="670">
        <v>0</v>
      </c>
      <c r="I23" s="670">
        <v>0</v>
      </c>
      <c r="J23" s="1158">
        <v>1</v>
      </c>
      <c r="K23" s="670">
        <v>0</v>
      </c>
      <c r="L23" s="665">
        <f t="shared" si="1"/>
        <v>1</v>
      </c>
      <c r="M23" s="675"/>
      <c r="N23" s="1153">
        <v>0</v>
      </c>
      <c r="O23" s="1153">
        <v>1</v>
      </c>
      <c r="P23" s="1153">
        <v>1</v>
      </c>
      <c r="Q23" s="1843">
        <v>0</v>
      </c>
      <c r="R23" s="1843">
        <v>0</v>
      </c>
    </row>
    <row r="24" spans="1:18" ht="16.5" customHeight="1" x14ac:dyDescent="0.25">
      <c r="A24" s="660" t="s">
        <v>50</v>
      </c>
      <c r="B24" s="661" t="s">
        <v>51</v>
      </c>
      <c r="C24" s="586" t="s">
        <v>265</v>
      </c>
      <c r="D24" s="662">
        <f t="shared" si="3"/>
        <v>15</v>
      </c>
      <c r="E24" s="663">
        <v>6</v>
      </c>
      <c r="F24" s="664">
        <v>4</v>
      </c>
      <c r="G24" s="664">
        <v>0</v>
      </c>
      <c r="H24" s="664">
        <v>0</v>
      </c>
      <c r="I24" s="664">
        <v>0</v>
      </c>
      <c r="J24" s="664">
        <v>5</v>
      </c>
      <c r="K24" s="664">
        <v>0</v>
      </c>
      <c r="L24" s="665">
        <f t="shared" si="1"/>
        <v>5</v>
      </c>
      <c r="M24" s="1841"/>
      <c r="N24" s="1153">
        <v>0</v>
      </c>
      <c r="O24" s="1153">
        <v>8</v>
      </c>
      <c r="P24" s="1153">
        <v>5</v>
      </c>
      <c r="Q24" s="1843">
        <v>2</v>
      </c>
      <c r="R24" s="1843">
        <v>0</v>
      </c>
    </row>
    <row r="25" spans="1:18" ht="16.5" customHeight="1" x14ac:dyDescent="0.25">
      <c r="A25" s="660" t="s">
        <v>56</v>
      </c>
      <c r="B25" s="661" t="s">
        <v>295</v>
      </c>
      <c r="C25" s="586" t="s">
        <v>266</v>
      </c>
      <c r="D25" s="662">
        <f t="shared" si="3"/>
        <v>209</v>
      </c>
      <c r="E25" s="663">
        <v>131</v>
      </c>
      <c r="F25" s="664">
        <v>41</v>
      </c>
      <c r="G25" s="664">
        <v>1</v>
      </c>
      <c r="H25" s="664">
        <v>0</v>
      </c>
      <c r="I25" s="664">
        <v>0</v>
      </c>
      <c r="J25" s="664">
        <v>26</v>
      </c>
      <c r="K25" s="664">
        <v>10</v>
      </c>
      <c r="L25" s="665">
        <f t="shared" si="1"/>
        <v>27</v>
      </c>
      <c r="M25" s="1842"/>
      <c r="N25" s="1153">
        <v>8</v>
      </c>
      <c r="O25" s="1153">
        <v>56</v>
      </c>
      <c r="P25" s="1153">
        <v>88</v>
      </c>
      <c r="Q25" s="1843">
        <v>41</v>
      </c>
      <c r="R25" s="1843">
        <v>16</v>
      </c>
    </row>
    <row r="26" spans="1:18" ht="16.5" customHeight="1" x14ac:dyDescent="0.25">
      <c r="A26" s="660" t="s">
        <v>58</v>
      </c>
      <c r="B26" s="661" t="s">
        <v>59</v>
      </c>
      <c r="C26" s="586" t="s">
        <v>267</v>
      </c>
      <c r="D26" s="662">
        <f t="shared" si="3"/>
        <v>6</v>
      </c>
      <c r="E26" s="674">
        <v>2</v>
      </c>
      <c r="F26" s="670">
        <v>2</v>
      </c>
      <c r="G26" s="670">
        <v>0</v>
      </c>
      <c r="H26" s="670">
        <v>0</v>
      </c>
      <c r="I26" s="670">
        <v>0</v>
      </c>
      <c r="J26" s="1158">
        <v>2</v>
      </c>
      <c r="K26" s="670">
        <v>0</v>
      </c>
      <c r="L26" s="665">
        <f t="shared" si="1"/>
        <v>2</v>
      </c>
      <c r="M26" s="668"/>
      <c r="N26" s="1153">
        <v>0</v>
      </c>
      <c r="O26" s="1153">
        <v>4</v>
      </c>
      <c r="P26" s="1153">
        <v>1</v>
      </c>
      <c r="Q26" s="1843">
        <v>1</v>
      </c>
      <c r="R26" s="1843">
        <v>0</v>
      </c>
    </row>
    <row r="27" spans="1:18" ht="16.5" customHeight="1" x14ac:dyDescent="0.25">
      <c r="A27" s="660" t="s">
        <v>60</v>
      </c>
      <c r="B27" s="661" t="s">
        <v>61</v>
      </c>
      <c r="C27" s="586" t="s">
        <v>265</v>
      </c>
      <c r="D27" s="662">
        <f t="shared" si="3"/>
        <v>4</v>
      </c>
      <c r="E27" s="674">
        <v>4</v>
      </c>
      <c r="F27" s="670">
        <v>0</v>
      </c>
      <c r="G27" s="670">
        <v>0</v>
      </c>
      <c r="H27" s="670">
        <v>0</v>
      </c>
      <c r="I27" s="670">
        <v>0</v>
      </c>
      <c r="J27" s="1158">
        <v>0</v>
      </c>
      <c r="K27" s="670">
        <v>0</v>
      </c>
      <c r="L27" s="665">
        <f t="shared" si="1"/>
        <v>0</v>
      </c>
      <c r="M27" s="675"/>
      <c r="N27" s="1153">
        <v>0</v>
      </c>
      <c r="O27" s="1153">
        <v>0</v>
      </c>
      <c r="P27" s="1153">
        <v>2</v>
      </c>
      <c r="Q27" s="1843">
        <v>2</v>
      </c>
      <c r="R27" s="1843">
        <v>0</v>
      </c>
    </row>
    <row r="28" spans="1:18" ht="16.5" customHeight="1" x14ac:dyDescent="0.25">
      <c r="A28" s="660" t="s">
        <v>62</v>
      </c>
      <c r="B28" s="661" t="s">
        <v>63</v>
      </c>
      <c r="C28" s="586" t="s">
        <v>267</v>
      </c>
      <c r="D28" s="662">
        <f t="shared" si="3"/>
        <v>59</v>
      </c>
      <c r="E28" s="663">
        <v>34</v>
      </c>
      <c r="F28" s="664">
        <v>8</v>
      </c>
      <c r="G28" s="664">
        <v>0</v>
      </c>
      <c r="H28" s="664">
        <v>0</v>
      </c>
      <c r="I28" s="664">
        <v>0</v>
      </c>
      <c r="J28" s="664">
        <v>17</v>
      </c>
      <c r="K28" s="664">
        <v>0</v>
      </c>
      <c r="L28" s="665">
        <f t="shared" si="1"/>
        <v>17</v>
      </c>
      <c r="M28" s="1841"/>
      <c r="N28" s="1153">
        <v>8</v>
      </c>
      <c r="O28" s="1153">
        <v>16</v>
      </c>
      <c r="P28" s="1153">
        <v>23</v>
      </c>
      <c r="Q28" s="1843">
        <v>10</v>
      </c>
      <c r="R28" s="1843">
        <v>2</v>
      </c>
    </row>
    <row r="29" spans="1:18" ht="16.5" customHeight="1" x14ac:dyDescent="0.25">
      <c r="A29" s="660" t="s">
        <v>64</v>
      </c>
      <c r="B29" s="661" t="s">
        <v>65</v>
      </c>
      <c r="C29" s="586" t="s">
        <v>266</v>
      </c>
      <c r="D29" s="662">
        <f t="shared" si="3"/>
        <v>8</v>
      </c>
      <c r="E29" s="663">
        <v>4</v>
      </c>
      <c r="F29" s="664">
        <v>4</v>
      </c>
      <c r="G29" s="664">
        <v>0</v>
      </c>
      <c r="H29" s="664">
        <v>0</v>
      </c>
      <c r="I29" s="664">
        <v>0</v>
      </c>
      <c r="J29" s="664">
        <v>0</v>
      </c>
      <c r="K29" s="664">
        <v>0</v>
      </c>
      <c r="L29" s="665">
        <f t="shared" si="1"/>
        <v>0</v>
      </c>
      <c r="M29" s="675"/>
      <c r="N29" s="1153">
        <v>1</v>
      </c>
      <c r="O29" s="675">
        <v>0</v>
      </c>
      <c r="P29" s="1153">
        <v>7</v>
      </c>
      <c r="Q29" s="1843">
        <v>0</v>
      </c>
      <c r="R29" s="1843">
        <v>0</v>
      </c>
    </row>
    <row r="30" spans="1:18" ht="16.5" customHeight="1" x14ac:dyDescent="0.25">
      <c r="A30" s="660" t="s">
        <v>68</v>
      </c>
      <c r="B30" s="661" t="s">
        <v>69</v>
      </c>
      <c r="C30" s="586" t="s">
        <v>268</v>
      </c>
      <c r="D30" s="662">
        <f t="shared" si="3"/>
        <v>94</v>
      </c>
      <c r="E30" s="663">
        <v>94</v>
      </c>
      <c r="F30" s="664">
        <v>0</v>
      </c>
      <c r="G30" s="664">
        <v>0</v>
      </c>
      <c r="H30" s="664">
        <v>0</v>
      </c>
      <c r="I30" s="664">
        <v>0</v>
      </c>
      <c r="J30" s="664">
        <v>0</v>
      </c>
      <c r="K30" s="664">
        <v>0</v>
      </c>
      <c r="L30" s="665">
        <f t="shared" si="1"/>
        <v>0</v>
      </c>
      <c r="M30" s="665"/>
      <c r="N30" s="1153">
        <v>25</v>
      </c>
      <c r="O30" s="1153">
        <v>31</v>
      </c>
      <c r="P30" s="1153">
        <v>25</v>
      </c>
      <c r="Q30" s="1843">
        <v>11</v>
      </c>
      <c r="R30" s="1843">
        <v>2</v>
      </c>
    </row>
    <row r="31" spans="1:18" ht="16.5" customHeight="1" x14ac:dyDescent="0.25">
      <c r="A31" s="660" t="s">
        <v>70</v>
      </c>
      <c r="B31" s="661" t="s">
        <v>71</v>
      </c>
      <c r="C31" s="586" t="s">
        <v>264</v>
      </c>
      <c r="D31" s="662">
        <f t="shared" si="3"/>
        <v>19</v>
      </c>
      <c r="E31" s="663">
        <v>9</v>
      </c>
      <c r="F31" s="664">
        <v>6</v>
      </c>
      <c r="G31" s="664">
        <v>0</v>
      </c>
      <c r="H31" s="664">
        <v>0</v>
      </c>
      <c r="I31" s="664">
        <v>0</v>
      </c>
      <c r="J31" s="664">
        <v>4</v>
      </c>
      <c r="K31" s="664">
        <v>0</v>
      </c>
      <c r="L31" s="665">
        <f t="shared" si="1"/>
        <v>4</v>
      </c>
      <c r="M31" s="1842"/>
      <c r="N31" s="1153">
        <v>3</v>
      </c>
      <c r="O31" s="1153">
        <v>6</v>
      </c>
      <c r="P31" s="1153">
        <v>4</v>
      </c>
      <c r="Q31" s="1843">
        <v>3</v>
      </c>
      <c r="R31" s="1843">
        <v>3</v>
      </c>
    </row>
    <row r="32" spans="1:18" ht="16.5" customHeight="1" x14ac:dyDescent="0.25">
      <c r="A32" s="660" t="s">
        <v>72</v>
      </c>
      <c r="B32" s="661" t="s">
        <v>73</v>
      </c>
      <c r="C32" s="586" t="s">
        <v>266</v>
      </c>
      <c r="D32" s="662">
        <f t="shared" si="3"/>
        <v>7</v>
      </c>
      <c r="E32" s="671">
        <v>1</v>
      </c>
      <c r="F32" s="670">
        <v>3</v>
      </c>
      <c r="G32" s="670">
        <v>0</v>
      </c>
      <c r="H32" s="670">
        <v>0</v>
      </c>
      <c r="I32" s="670">
        <v>0</v>
      </c>
      <c r="J32" s="1158">
        <v>1</v>
      </c>
      <c r="K32" s="670">
        <v>2</v>
      </c>
      <c r="L32" s="665">
        <f t="shared" si="1"/>
        <v>1</v>
      </c>
      <c r="M32" s="675"/>
      <c r="N32" s="1153">
        <v>0</v>
      </c>
      <c r="O32" s="1153">
        <v>0</v>
      </c>
      <c r="P32" s="1153">
        <v>6</v>
      </c>
      <c r="Q32" s="1843">
        <v>1</v>
      </c>
      <c r="R32" s="1843">
        <v>0</v>
      </c>
    </row>
    <row r="33" spans="1:18" ht="16.5" customHeight="1" x14ac:dyDescent="0.25">
      <c r="A33" s="660" t="s">
        <v>74</v>
      </c>
      <c r="B33" s="661" t="s">
        <v>302</v>
      </c>
      <c r="C33" s="586" t="s">
        <v>267</v>
      </c>
      <c r="D33" s="662">
        <f t="shared" si="3"/>
        <v>503</v>
      </c>
      <c r="E33" s="663">
        <v>224</v>
      </c>
      <c r="F33" s="664">
        <v>193</v>
      </c>
      <c r="G33" s="664">
        <v>13</v>
      </c>
      <c r="H33" s="664">
        <v>5</v>
      </c>
      <c r="I33" s="664">
        <v>1</v>
      </c>
      <c r="J33" s="664">
        <v>57</v>
      </c>
      <c r="K33" s="664">
        <v>10</v>
      </c>
      <c r="L33" s="665">
        <f t="shared" si="1"/>
        <v>76</v>
      </c>
      <c r="M33" s="1842"/>
      <c r="N33" s="1153">
        <v>40</v>
      </c>
      <c r="O33" s="1153">
        <v>111</v>
      </c>
      <c r="P33" s="1153">
        <v>137</v>
      </c>
      <c r="Q33" s="1843">
        <v>130</v>
      </c>
      <c r="R33" s="1843">
        <v>85</v>
      </c>
    </row>
    <row r="34" spans="1:18" ht="16.5" customHeight="1" x14ac:dyDescent="0.25">
      <c r="A34" s="660" t="s">
        <v>76</v>
      </c>
      <c r="B34" s="661" t="s">
        <v>77</v>
      </c>
      <c r="C34" s="586" t="s">
        <v>267</v>
      </c>
      <c r="D34" s="662">
        <f t="shared" si="3"/>
        <v>60</v>
      </c>
      <c r="E34" s="663">
        <v>32</v>
      </c>
      <c r="F34" s="664">
        <v>21</v>
      </c>
      <c r="G34" s="664">
        <v>0</v>
      </c>
      <c r="H34" s="664">
        <v>0</v>
      </c>
      <c r="I34" s="664">
        <v>0</v>
      </c>
      <c r="J34" s="664">
        <v>7</v>
      </c>
      <c r="K34" s="664">
        <v>0</v>
      </c>
      <c r="L34" s="665">
        <f t="shared" si="1"/>
        <v>7</v>
      </c>
      <c r="M34" s="1841"/>
      <c r="N34" s="1153">
        <v>9</v>
      </c>
      <c r="O34" s="1153">
        <v>17</v>
      </c>
      <c r="P34" s="1153">
        <v>24</v>
      </c>
      <c r="Q34" s="1843">
        <v>9</v>
      </c>
      <c r="R34" s="1843">
        <v>1</v>
      </c>
    </row>
    <row r="35" spans="1:18" ht="16.5" customHeight="1" x14ac:dyDescent="0.25">
      <c r="A35" s="660" t="s">
        <v>78</v>
      </c>
      <c r="B35" s="661" t="s">
        <v>79</v>
      </c>
      <c r="C35" s="586" t="s">
        <v>268</v>
      </c>
      <c r="D35" s="662">
        <f t="shared" si="3"/>
        <v>6</v>
      </c>
      <c r="E35" s="663">
        <v>6</v>
      </c>
      <c r="F35" s="664">
        <v>0</v>
      </c>
      <c r="G35" s="1152">
        <v>0</v>
      </c>
      <c r="H35" s="1152">
        <v>0</v>
      </c>
      <c r="I35" s="1152">
        <v>0</v>
      </c>
      <c r="J35" s="1152">
        <v>0</v>
      </c>
      <c r="K35" s="1152">
        <v>0</v>
      </c>
      <c r="L35" s="665">
        <f t="shared" si="1"/>
        <v>0</v>
      </c>
      <c r="M35" s="1153"/>
      <c r="N35" s="1153">
        <v>3</v>
      </c>
      <c r="O35" s="1153">
        <v>1</v>
      </c>
      <c r="P35" s="1153">
        <v>2</v>
      </c>
      <c r="Q35" s="1843">
        <v>0</v>
      </c>
      <c r="R35" s="1843">
        <v>0</v>
      </c>
    </row>
    <row r="36" spans="1:18" ht="16.5" customHeight="1" x14ac:dyDescent="0.25">
      <c r="A36" s="660" t="s">
        <v>80</v>
      </c>
      <c r="B36" s="661" t="s">
        <v>81</v>
      </c>
      <c r="C36" s="586" t="s">
        <v>266</v>
      </c>
      <c r="D36" s="662">
        <f t="shared" si="3"/>
        <v>20</v>
      </c>
      <c r="E36" s="663">
        <v>17</v>
      </c>
      <c r="F36" s="664">
        <v>3</v>
      </c>
      <c r="G36" s="664">
        <v>0</v>
      </c>
      <c r="H36" s="664">
        <v>0</v>
      </c>
      <c r="I36" s="664">
        <v>0</v>
      </c>
      <c r="J36" s="664">
        <v>0</v>
      </c>
      <c r="K36" s="664">
        <v>0</v>
      </c>
      <c r="L36" s="665">
        <f t="shared" ref="L36:L67" si="4">G36+H36+I36+J36</f>
        <v>0</v>
      </c>
      <c r="M36" s="668"/>
      <c r="N36" s="1153">
        <v>3</v>
      </c>
      <c r="O36" s="1153">
        <v>1</v>
      </c>
      <c r="P36" s="1153">
        <v>10</v>
      </c>
      <c r="Q36" s="1843">
        <v>5</v>
      </c>
      <c r="R36" s="1843">
        <v>1</v>
      </c>
    </row>
    <row r="37" spans="1:18" ht="16.5" customHeight="1" x14ac:dyDescent="0.25">
      <c r="A37" s="660" t="s">
        <v>84</v>
      </c>
      <c r="B37" s="661" t="s">
        <v>308</v>
      </c>
      <c r="C37" s="586" t="s">
        <v>265</v>
      </c>
      <c r="D37" s="662">
        <f t="shared" ref="D37:D68" si="5">SUM(E37:K37)</f>
        <v>80</v>
      </c>
      <c r="E37" s="663">
        <v>67</v>
      </c>
      <c r="F37" s="664">
        <v>8</v>
      </c>
      <c r="G37" s="664">
        <v>0</v>
      </c>
      <c r="H37" s="664">
        <v>0</v>
      </c>
      <c r="I37" s="664">
        <v>0</v>
      </c>
      <c r="J37" s="664">
        <v>5</v>
      </c>
      <c r="K37" s="664">
        <v>0</v>
      </c>
      <c r="L37" s="665">
        <f t="shared" si="4"/>
        <v>5</v>
      </c>
      <c r="M37" s="1842"/>
      <c r="N37" s="1153">
        <v>9</v>
      </c>
      <c r="O37" s="675">
        <v>30</v>
      </c>
      <c r="P37" s="1153">
        <v>27</v>
      </c>
      <c r="Q37" s="1843">
        <v>10</v>
      </c>
      <c r="R37" s="1843">
        <v>4</v>
      </c>
    </row>
    <row r="38" spans="1:18" ht="16.5" customHeight="1" x14ac:dyDescent="0.25">
      <c r="A38" s="660" t="s">
        <v>86</v>
      </c>
      <c r="B38" s="661" t="s">
        <v>87</v>
      </c>
      <c r="C38" s="586" t="s">
        <v>267</v>
      </c>
      <c r="D38" s="662">
        <f t="shared" si="5"/>
        <v>54</v>
      </c>
      <c r="E38" s="663">
        <v>41</v>
      </c>
      <c r="F38" s="664">
        <v>4</v>
      </c>
      <c r="G38" s="664">
        <v>0</v>
      </c>
      <c r="H38" s="664">
        <v>0</v>
      </c>
      <c r="I38" s="664">
        <v>0</v>
      </c>
      <c r="J38" s="664">
        <v>8</v>
      </c>
      <c r="K38" s="664">
        <v>1</v>
      </c>
      <c r="L38" s="665">
        <f t="shared" si="4"/>
        <v>8</v>
      </c>
      <c r="M38" s="1841"/>
      <c r="N38" s="675">
        <v>14</v>
      </c>
      <c r="O38" s="675">
        <v>10</v>
      </c>
      <c r="P38" s="1153">
        <v>14</v>
      </c>
      <c r="Q38" s="1843">
        <v>16</v>
      </c>
      <c r="R38" s="1843">
        <v>0</v>
      </c>
    </row>
    <row r="39" spans="1:18" ht="16.5" customHeight="1" x14ac:dyDescent="0.25">
      <c r="A39" s="660" t="s">
        <v>92</v>
      </c>
      <c r="B39" s="661" t="s">
        <v>93</v>
      </c>
      <c r="C39" s="586" t="s">
        <v>268</v>
      </c>
      <c r="D39" s="662">
        <f t="shared" si="5"/>
        <v>53</v>
      </c>
      <c r="E39" s="663">
        <v>50</v>
      </c>
      <c r="F39" s="664">
        <v>0</v>
      </c>
      <c r="G39" s="1152">
        <v>0</v>
      </c>
      <c r="H39" s="1152">
        <v>0</v>
      </c>
      <c r="I39" s="1152">
        <v>0</v>
      </c>
      <c r="J39" s="1152">
        <v>3</v>
      </c>
      <c r="K39" s="1152">
        <v>0</v>
      </c>
      <c r="L39" s="665">
        <f t="shared" si="4"/>
        <v>3</v>
      </c>
      <c r="M39" s="675"/>
      <c r="N39" s="1153">
        <v>14</v>
      </c>
      <c r="O39" s="1153">
        <v>20</v>
      </c>
      <c r="P39" s="1153">
        <v>14</v>
      </c>
      <c r="Q39" s="1843">
        <v>4</v>
      </c>
      <c r="R39" s="1843">
        <v>1</v>
      </c>
    </row>
    <row r="40" spans="1:18" ht="16.5" customHeight="1" x14ac:dyDescent="0.25">
      <c r="A40" s="660" t="s">
        <v>94</v>
      </c>
      <c r="B40" s="661" t="s">
        <v>95</v>
      </c>
      <c r="C40" s="586" t="s">
        <v>264</v>
      </c>
      <c r="D40" s="662">
        <f t="shared" si="5"/>
        <v>43</v>
      </c>
      <c r="E40" s="663">
        <v>35</v>
      </c>
      <c r="F40" s="664">
        <v>6</v>
      </c>
      <c r="G40" s="664">
        <v>0</v>
      </c>
      <c r="H40" s="664">
        <v>0</v>
      </c>
      <c r="I40" s="664">
        <v>0</v>
      </c>
      <c r="J40" s="664">
        <v>2</v>
      </c>
      <c r="K40" s="664">
        <v>0</v>
      </c>
      <c r="L40" s="665">
        <f t="shared" si="4"/>
        <v>2</v>
      </c>
      <c r="M40" s="1842"/>
      <c r="N40" s="1153">
        <v>11</v>
      </c>
      <c r="O40" s="1153">
        <v>7</v>
      </c>
      <c r="P40" s="1153">
        <v>18</v>
      </c>
      <c r="Q40" s="1843">
        <v>7</v>
      </c>
      <c r="R40" s="1843">
        <v>0</v>
      </c>
    </row>
    <row r="41" spans="1:18" ht="16.5" customHeight="1" x14ac:dyDescent="0.25">
      <c r="A41" s="660" t="s">
        <v>96</v>
      </c>
      <c r="B41" s="661" t="s">
        <v>97</v>
      </c>
      <c r="C41" s="586" t="s">
        <v>266</v>
      </c>
      <c r="D41" s="662">
        <f t="shared" si="5"/>
        <v>18</v>
      </c>
      <c r="E41" s="663">
        <v>11</v>
      </c>
      <c r="F41" s="664">
        <v>4</v>
      </c>
      <c r="G41" s="664">
        <v>0</v>
      </c>
      <c r="H41" s="664">
        <v>0</v>
      </c>
      <c r="I41" s="664">
        <v>0</v>
      </c>
      <c r="J41" s="664">
        <v>3</v>
      </c>
      <c r="K41" s="664">
        <v>0</v>
      </c>
      <c r="L41" s="665">
        <f t="shared" si="4"/>
        <v>3</v>
      </c>
      <c r="M41" s="665"/>
      <c r="N41" s="1153">
        <v>4</v>
      </c>
      <c r="O41" s="1153">
        <v>5</v>
      </c>
      <c r="P41" s="1153">
        <v>8</v>
      </c>
      <c r="Q41" s="1843">
        <v>1</v>
      </c>
      <c r="R41" s="1843">
        <v>0</v>
      </c>
    </row>
    <row r="42" spans="1:18" ht="16.5" customHeight="1" x14ac:dyDescent="0.25">
      <c r="A42" s="660" t="s">
        <v>98</v>
      </c>
      <c r="B42" s="661" t="s">
        <v>99</v>
      </c>
      <c r="C42" s="586" t="s">
        <v>268</v>
      </c>
      <c r="D42" s="662">
        <f t="shared" si="5"/>
        <v>21</v>
      </c>
      <c r="E42" s="663">
        <v>17</v>
      </c>
      <c r="F42" s="664">
        <v>1</v>
      </c>
      <c r="G42" s="1152">
        <v>0</v>
      </c>
      <c r="H42" s="1152">
        <v>0</v>
      </c>
      <c r="I42" s="1152">
        <v>0</v>
      </c>
      <c r="J42" s="1152">
        <v>2</v>
      </c>
      <c r="K42" s="1152">
        <v>1</v>
      </c>
      <c r="L42" s="665">
        <f t="shared" si="4"/>
        <v>2</v>
      </c>
      <c r="M42" s="1842"/>
      <c r="N42" s="1153">
        <v>1</v>
      </c>
      <c r="O42" s="1153">
        <v>8</v>
      </c>
      <c r="P42" s="1153">
        <v>7</v>
      </c>
      <c r="Q42" s="1843">
        <v>5</v>
      </c>
      <c r="R42" s="1843">
        <v>0</v>
      </c>
    </row>
    <row r="43" spans="1:18" ht="16.5" customHeight="1" x14ac:dyDescent="0.25">
      <c r="A43" s="660" t="s">
        <v>100</v>
      </c>
      <c r="B43" s="661" t="s">
        <v>101</v>
      </c>
      <c r="C43" s="586" t="s">
        <v>267</v>
      </c>
      <c r="D43" s="662">
        <f t="shared" si="5"/>
        <v>11</v>
      </c>
      <c r="E43" s="663">
        <v>3</v>
      </c>
      <c r="F43" s="664">
        <v>1</v>
      </c>
      <c r="G43" s="664">
        <v>0</v>
      </c>
      <c r="H43" s="664">
        <v>0</v>
      </c>
      <c r="I43" s="664">
        <v>0</v>
      </c>
      <c r="J43" s="664">
        <v>7</v>
      </c>
      <c r="K43" s="664">
        <v>0</v>
      </c>
      <c r="L43" s="665">
        <f t="shared" si="4"/>
        <v>7</v>
      </c>
      <c r="M43" s="1841"/>
      <c r="N43" s="1153">
        <v>5</v>
      </c>
      <c r="O43" s="1153">
        <v>1</v>
      </c>
      <c r="P43" s="1153">
        <v>1</v>
      </c>
      <c r="Q43" s="1843">
        <v>4</v>
      </c>
      <c r="R43" s="1843">
        <v>0</v>
      </c>
    </row>
    <row r="44" spans="1:18" ht="16.5" customHeight="1" x14ac:dyDescent="0.25">
      <c r="A44" s="660" t="s">
        <v>102</v>
      </c>
      <c r="B44" s="661" t="s">
        <v>103</v>
      </c>
      <c r="C44" s="586" t="s">
        <v>264</v>
      </c>
      <c r="D44" s="662">
        <f t="shared" si="5"/>
        <v>4</v>
      </c>
      <c r="E44" s="671">
        <v>0</v>
      </c>
      <c r="F44" s="670">
        <v>3</v>
      </c>
      <c r="G44" s="670">
        <v>0</v>
      </c>
      <c r="H44" s="670">
        <v>0</v>
      </c>
      <c r="I44" s="670">
        <v>0</v>
      </c>
      <c r="J44" s="1158">
        <v>1</v>
      </c>
      <c r="K44" s="670">
        <v>0</v>
      </c>
      <c r="L44" s="665">
        <f t="shared" si="4"/>
        <v>1</v>
      </c>
      <c r="M44" s="668"/>
      <c r="N44" s="1153">
        <v>0</v>
      </c>
      <c r="O44" s="675">
        <v>2</v>
      </c>
      <c r="P44" s="1153">
        <v>1</v>
      </c>
      <c r="Q44" s="1843">
        <v>1</v>
      </c>
      <c r="R44" s="1843">
        <v>0</v>
      </c>
    </row>
    <row r="45" spans="1:18" ht="16.5" customHeight="1" x14ac:dyDescent="0.25">
      <c r="A45" s="660" t="s">
        <v>104</v>
      </c>
      <c r="B45" s="661" t="s">
        <v>309</v>
      </c>
      <c r="C45" s="586" t="s">
        <v>265</v>
      </c>
      <c r="D45" s="662">
        <f t="shared" si="5"/>
        <v>28</v>
      </c>
      <c r="E45" s="663">
        <v>12</v>
      </c>
      <c r="F45" s="664">
        <v>15</v>
      </c>
      <c r="G45" s="664">
        <v>0</v>
      </c>
      <c r="H45" s="664">
        <v>0</v>
      </c>
      <c r="I45" s="664">
        <v>0</v>
      </c>
      <c r="J45" s="664">
        <v>1</v>
      </c>
      <c r="K45" s="664">
        <v>0</v>
      </c>
      <c r="L45" s="665">
        <f t="shared" si="4"/>
        <v>1</v>
      </c>
      <c r="M45" s="1841"/>
      <c r="N45" s="1153">
        <v>0</v>
      </c>
      <c r="O45" s="675">
        <v>7</v>
      </c>
      <c r="P45" s="1153">
        <v>7</v>
      </c>
      <c r="Q45" s="1843">
        <v>11</v>
      </c>
      <c r="R45" s="1843">
        <v>3</v>
      </c>
    </row>
    <row r="46" spans="1:18" ht="16.5" customHeight="1" x14ac:dyDescent="0.25">
      <c r="A46" s="660" t="s">
        <v>108</v>
      </c>
      <c r="B46" s="661" t="s">
        <v>109</v>
      </c>
      <c r="C46" s="586" t="s">
        <v>266</v>
      </c>
      <c r="D46" s="662">
        <f t="shared" si="5"/>
        <v>37</v>
      </c>
      <c r="E46" s="663">
        <v>24</v>
      </c>
      <c r="F46" s="664">
        <v>6</v>
      </c>
      <c r="G46" s="664">
        <v>0</v>
      </c>
      <c r="H46" s="664">
        <v>0</v>
      </c>
      <c r="I46" s="664">
        <v>0</v>
      </c>
      <c r="J46" s="664">
        <v>7</v>
      </c>
      <c r="K46" s="664">
        <v>0</v>
      </c>
      <c r="L46" s="665">
        <f t="shared" si="4"/>
        <v>7</v>
      </c>
      <c r="M46" s="1842"/>
      <c r="N46" s="1153">
        <v>6</v>
      </c>
      <c r="O46" s="1153">
        <v>10</v>
      </c>
      <c r="P46" s="1153">
        <v>12</v>
      </c>
      <c r="Q46" s="1843">
        <v>5</v>
      </c>
      <c r="R46" s="1843">
        <v>4</v>
      </c>
    </row>
    <row r="47" spans="1:18" ht="16.5" customHeight="1" x14ac:dyDescent="0.25">
      <c r="A47" s="660" t="s">
        <v>110</v>
      </c>
      <c r="B47" s="661" t="s">
        <v>111</v>
      </c>
      <c r="C47" s="586" t="s">
        <v>266</v>
      </c>
      <c r="D47" s="662">
        <f t="shared" si="5"/>
        <v>118</v>
      </c>
      <c r="E47" s="663">
        <v>62</v>
      </c>
      <c r="F47" s="664">
        <v>41</v>
      </c>
      <c r="G47" s="664">
        <v>1</v>
      </c>
      <c r="H47" s="664">
        <v>0</v>
      </c>
      <c r="I47" s="664">
        <v>0</v>
      </c>
      <c r="J47" s="664">
        <v>14</v>
      </c>
      <c r="K47" s="664">
        <v>0</v>
      </c>
      <c r="L47" s="665">
        <f t="shared" si="4"/>
        <v>15</v>
      </c>
      <c r="M47" s="1842"/>
      <c r="N47" s="1153">
        <v>8</v>
      </c>
      <c r="O47" s="1153">
        <v>27</v>
      </c>
      <c r="P47" s="1153">
        <v>47</v>
      </c>
      <c r="Q47" s="1843">
        <v>30</v>
      </c>
      <c r="R47" s="1843">
        <v>6</v>
      </c>
    </row>
    <row r="48" spans="1:18" ht="16.5" customHeight="1" x14ac:dyDescent="0.25">
      <c r="A48" s="660" t="s">
        <v>112</v>
      </c>
      <c r="B48" s="661" t="s">
        <v>300</v>
      </c>
      <c r="C48" s="586" t="s">
        <v>265</v>
      </c>
      <c r="D48" s="662">
        <f t="shared" si="5"/>
        <v>58</v>
      </c>
      <c r="E48" s="663">
        <v>39</v>
      </c>
      <c r="F48" s="664">
        <v>12</v>
      </c>
      <c r="G48" s="664">
        <v>0</v>
      </c>
      <c r="H48" s="664">
        <v>0</v>
      </c>
      <c r="I48" s="664">
        <v>0</v>
      </c>
      <c r="J48" s="664">
        <v>7</v>
      </c>
      <c r="K48" s="664">
        <v>0</v>
      </c>
      <c r="L48" s="665">
        <f t="shared" si="4"/>
        <v>7</v>
      </c>
      <c r="M48" s="1841"/>
      <c r="N48" s="1153">
        <v>7</v>
      </c>
      <c r="O48" s="1153">
        <v>13</v>
      </c>
      <c r="P48" s="1153">
        <v>25</v>
      </c>
      <c r="Q48" s="1843">
        <v>11</v>
      </c>
      <c r="R48" s="1843">
        <v>2</v>
      </c>
    </row>
    <row r="49" spans="1:18" ht="16.5" customHeight="1" x14ac:dyDescent="0.25">
      <c r="A49" s="660" t="s">
        <v>114</v>
      </c>
      <c r="B49" s="661" t="s">
        <v>115</v>
      </c>
      <c r="C49" s="586" t="s">
        <v>265</v>
      </c>
      <c r="D49" s="662">
        <f t="shared" si="5"/>
        <v>3</v>
      </c>
      <c r="E49" s="674">
        <v>3</v>
      </c>
      <c r="F49" s="670">
        <v>0</v>
      </c>
      <c r="G49" s="670">
        <v>0</v>
      </c>
      <c r="H49" s="670">
        <v>0</v>
      </c>
      <c r="I49" s="670">
        <v>0</v>
      </c>
      <c r="J49" s="1158">
        <v>0</v>
      </c>
      <c r="K49" s="670">
        <v>0</v>
      </c>
      <c r="L49" s="665">
        <f t="shared" si="4"/>
        <v>0</v>
      </c>
      <c r="M49" s="1153"/>
      <c r="N49" s="1153">
        <v>0</v>
      </c>
      <c r="O49" s="1153">
        <v>3</v>
      </c>
      <c r="P49" s="1153">
        <v>0</v>
      </c>
      <c r="Q49" s="1843">
        <v>0</v>
      </c>
      <c r="R49" s="1843">
        <v>0</v>
      </c>
    </row>
    <row r="50" spans="1:18" ht="16.5" customHeight="1" x14ac:dyDescent="0.25">
      <c r="A50" s="660" t="s">
        <v>118</v>
      </c>
      <c r="B50" s="661" t="s">
        <v>119</v>
      </c>
      <c r="C50" s="586" t="s">
        <v>264</v>
      </c>
      <c r="D50" s="662">
        <f t="shared" si="5"/>
        <v>12</v>
      </c>
      <c r="E50" s="663">
        <v>6</v>
      </c>
      <c r="F50" s="664">
        <v>5</v>
      </c>
      <c r="G50" s="664">
        <v>0</v>
      </c>
      <c r="H50" s="664">
        <v>0</v>
      </c>
      <c r="I50" s="664">
        <v>0</v>
      </c>
      <c r="J50" s="664">
        <v>1</v>
      </c>
      <c r="K50" s="664">
        <v>0</v>
      </c>
      <c r="L50" s="665">
        <f t="shared" si="4"/>
        <v>1</v>
      </c>
      <c r="M50" s="668"/>
      <c r="N50" s="1153">
        <v>3</v>
      </c>
      <c r="O50" s="675">
        <v>3</v>
      </c>
      <c r="P50" s="1153">
        <v>3</v>
      </c>
      <c r="Q50" s="1843">
        <v>3</v>
      </c>
      <c r="R50" s="1843">
        <v>0</v>
      </c>
    </row>
    <row r="51" spans="1:18" ht="16.5" customHeight="1" x14ac:dyDescent="0.25">
      <c r="A51" s="660" t="s">
        <v>120</v>
      </c>
      <c r="B51" s="661" t="s">
        <v>121</v>
      </c>
      <c r="C51" s="586" t="s">
        <v>264</v>
      </c>
      <c r="D51" s="662">
        <f t="shared" si="5"/>
        <v>48</v>
      </c>
      <c r="E51" s="663">
        <v>24</v>
      </c>
      <c r="F51" s="664">
        <v>15</v>
      </c>
      <c r="G51" s="664">
        <v>1</v>
      </c>
      <c r="H51" s="664">
        <v>0</v>
      </c>
      <c r="I51" s="664">
        <v>0</v>
      </c>
      <c r="J51" s="664">
        <v>8</v>
      </c>
      <c r="K51" s="664">
        <v>0</v>
      </c>
      <c r="L51" s="665">
        <f t="shared" si="4"/>
        <v>9</v>
      </c>
      <c r="M51" s="1841"/>
      <c r="N51" s="1153">
        <v>7</v>
      </c>
      <c r="O51" s="1153">
        <v>13</v>
      </c>
      <c r="P51" s="1153">
        <v>18</v>
      </c>
      <c r="Q51" s="1843">
        <v>8</v>
      </c>
      <c r="R51" s="1843">
        <v>2</v>
      </c>
    </row>
    <row r="52" spans="1:18" ht="16.5" customHeight="1" x14ac:dyDescent="0.25">
      <c r="A52" s="660" t="s">
        <v>122</v>
      </c>
      <c r="B52" s="661" t="s">
        <v>271</v>
      </c>
      <c r="C52" s="586" t="s">
        <v>266</v>
      </c>
      <c r="D52" s="662">
        <f t="shared" si="5"/>
        <v>10</v>
      </c>
      <c r="E52" s="663">
        <v>2</v>
      </c>
      <c r="F52" s="664">
        <v>7</v>
      </c>
      <c r="G52" s="664">
        <v>0</v>
      </c>
      <c r="H52" s="664">
        <v>0</v>
      </c>
      <c r="I52" s="664">
        <v>0</v>
      </c>
      <c r="J52" s="664">
        <v>1</v>
      </c>
      <c r="K52" s="664">
        <v>0</v>
      </c>
      <c r="L52" s="665">
        <f t="shared" si="4"/>
        <v>1</v>
      </c>
      <c r="M52" s="1153"/>
      <c r="N52" s="1153">
        <v>1</v>
      </c>
      <c r="O52" s="1153">
        <v>1</v>
      </c>
      <c r="P52" s="1153">
        <v>5</v>
      </c>
      <c r="Q52" s="1843">
        <v>2</v>
      </c>
      <c r="R52" s="1843">
        <v>1</v>
      </c>
    </row>
    <row r="53" spans="1:18" ht="16.5" customHeight="1" x14ac:dyDescent="0.25">
      <c r="A53" s="660" t="s">
        <v>124</v>
      </c>
      <c r="B53" s="661" t="s">
        <v>125</v>
      </c>
      <c r="C53" s="586" t="s">
        <v>267</v>
      </c>
      <c r="D53" s="662">
        <f t="shared" si="5"/>
        <v>14</v>
      </c>
      <c r="E53" s="663">
        <v>9</v>
      </c>
      <c r="F53" s="664">
        <v>3</v>
      </c>
      <c r="G53" s="664">
        <v>0</v>
      </c>
      <c r="H53" s="664">
        <v>0</v>
      </c>
      <c r="I53" s="664">
        <v>0</v>
      </c>
      <c r="J53" s="664">
        <v>2</v>
      </c>
      <c r="K53" s="664">
        <v>0</v>
      </c>
      <c r="L53" s="665">
        <f t="shared" si="4"/>
        <v>2</v>
      </c>
      <c r="M53" s="675"/>
      <c r="N53" s="1153">
        <v>0</v>
      </c>
      <c r="O53" s="1153">
        <v>7</v>
      </c>
      <c r="P53" s="1153">
        <v>6</v>
      </c>
      <c r="Q53" s="1843">
        <v>0</v>
      </c>
      <c r="R53" s="1843">
        <v>1</v>
      </c>
    </row>
    <row r="54" spans="1:18" ht="16.5" customHeight="1" x14ac:dyDescent="0.25">
      <c r="A54" s="660" t="s">
        <v>126</v>
      </c>
      <c r="B54" s="661" t="s">
        <v>127</v>
      </c>
      <c r="C54" s="586" t="s">
        <v>266</v>
      </c>
      <c r="D54" s="662">
        <f t="shared" si="5"/>
        <v>10</v>
      </c>
      <c r="E54" s="663">
        <v>4</v>
      </c>
      <c r="F54" s="664">
        <v>6</v>
      </c>
      <c r="G54" s="664">
        <v>0</v>
      </c>
      <c r="H54" s="664">
        <v>0</v>
      </c>
      <c r="I54" s="664">
        <v>0</v>
      </c>
      <c r="J54" s="664">
        <v>0</v>
      </c>
      <c r="K54" s="664">
        <v>0</v>
      </c>
      <c r="L54" s="665">
        <f t="shared" si="4"/>
        <v>0</v>
      </c>
      <c r="M54" s="668"/>
      <c r="N54" s="1153">
        <v>0</v>
      </c>
      <c r="O54" s="1153">
        <v>1</v>
      </c>
      <c r="P54" s="1153">
        <v>3</v>
      </c>
      <c r="Q54" s="1843">
        <v>5</v>
      </c>
      <c r="R54" s="1843">
        <v>1</v>
      </c>
    </row>
    <row r="55" spans="1:18" ht="16.5" customHeight="1" x14ac:dyDescent="0.25">
      <c r="A55" s="660" t="s">
        <v>128</v>
      </c>
      <c r="B55" s="661" t="s">
        <v>129</v>
      </c>
      <c r="C55" s="586" t="s">
        <v>266</v>
      </c>
      <c r="D55" s="662">
        <f t="shared" si="5"/>
        <v>9</v>
      </c>
      <c r="E55" s="663">
        <v>4</v>
      </c>
      <c r="F55" s="664">
        <v>5</v>
      </c>
      <c r="G55" s="664">
        <v>0</v>
      </c>
      <c r="H55" s="664">
        <v>0</v>
      </c>
      <c r="I55" s="664">
        <v>0</v>
      </c>
      <c r="J55" s="664">
        <v>0</v>
      </c>
      <c r="K55" s="664">
        <v>0</v>
      </c>
      <c r="L55" s="665">
        <f t="shared" si="4"/>
        <v>0</v>
      </c>
      <c r="M55" s="668"/>
      <c r="N55" s="1153">
        <v>0</v>
      </c>
      <c r="O55" s="1153">
        <v>0</v>
      </c>
      <c r="P55" s="1153">
        <v>5</v>
      </c>
      <c r="Q55" s="1843">
        <v>3</v>
      </c>
      <c r="R55" s="1843">
        <v>1</v>
      </c>
    </row>
    <row r="56" spans="1:18" ht="16.5" customHeight="1" x14ac:dyDescent="0.25">
      <c r="A56" s="660" t="s">
        <v>130</v>
      </c>
      <c r="B56" s="661" t="s">
        <v>131</v>
      </c>
      <c r="C56" s="586" t="s">
        <v>268</v>
      </c>
      <c r="D56" s="662">
        <f t="shared" si="5"/>
        <v>96</v>
      </c>
      <c r="E56" s="663">
        <v>92</v>
      </c>
      <c r="F56" s="664">
        <v>1</v>
      </c>
      <c r="G56" s="664">
        <v>0</v>
      </c>
      <c r="H56" s="664">
        <v>0</v>
      </c>
      <c r="I56" s="664">
        <v>0</v>
      </c>
      <c r="J56" s="664">
        <v>3</v>
      </c>
      <c r="K56" s="664">
        <v>0</v>
      </c>
      <c r="L56" s="665">
        <f t="shared" si="4"/>
        <v>3</v>
      </c>
      <c r="M56" s="1841"/>
      <c r="N56" s="1153">
        <v>6</v>
      </c>
      <c r="O56" s="1153">
        <v>17</v>
      </c>
      <c r="P56" s="1153">
        <v>39</v>
      </c>
      <c r="Q56" s="1843">
        <v>26</v>
      </c>
      <c r="R56" s="1843">
        <v>8</v>
      </c>
    </row>
    <row r="57" spans="1:18" ht="16.5" customHeight="1" x14ac:dyDescent="0.25">
      <c r="A57" s="660" t="s">
        <v>132</v>
      </c>
      <c r="B57" s="661" t="s">
        <v>133</v>
      </c>
      <c r="C57" s="586" t="s">
        <v>267</v>
      </c>
      <c r="D57" s="662">
        <f t="shared" si="5"/>
        <v>73</v>
      </c>
      <c r="E57" s="663">
        <v>41</v>
      </c>
      <c r="F57" s="664">
        <v>26</v>
      </c>
      <c r="G57" s="664">
        <v>1</v>
      </c>
      <c r="H57" s="664">
        <v>0</v>
      </c>
      <c r="I57" s="664">
        <v>1</v>
      </c>
      <c r="J57" s="664">
        <v>4</v>
      </c>
      <c r="K57" s="664">
        <v>0</v>
      </c>
      <c r="L57" s="665">
        <f t="shared" si="4"/>
        <v>6</v>
      </c>
      <c r="M57" s="1841"/>
      <c r="N57" s="1153">
        <v>6</v>
      </c>
      <c r="O57" s="1153">
        <v>20</v>
      </c>
      <c r="P57" s="1153">
        <v>30</v>
      </c>
      <c r="Q57" s="1843">
        <v>8</v>
      </c>
      <c r="R57" s="1843">
        <v>9</v>
      </c>
    </row>
    <row r="58" spans="1:18" ht="16.5" customHeight="1" x14ac:dyDescent="0.25">
      <c r="A58" s="660" t="s">
        <v>134</v>
      </c>
      <c r="B58" s="661" t="s">
        <v>135</v>
      </c>
      <c r="C58" s="586" t="s">
        <v>267</v>
      </c>
      <c r="D58" s="662">
        <f t="shared" si="5"/>
        <v>61</v>
      </c>
      <c r="E58" s="663">
        <v>34</v>
      </c>
      <c r="F58" s="664">
        <v>19</v>
      </c>
      <c r="G58" s="664">
        <v>0</v>
      </c>
      <c r="H58" s="664">
        <v>0</v>
      </c>
      <c r="I58" s="664">
        <v>0</v>
      </c>
      <c r="J58" s="664">
        <v>8</v>
      </c>
      <c r="K58" s="664">
        <v>0</v>
      </c>
      <c r="L58" s="665">
        <f t="shared" si="4"/>
        <v>8</v>
      </c>
      <c r="M58" s="1842"/>
      <c r="N58" s="1153">
        <v>2</v>
      </c>
      <c r="O58" s="1153">
        <v>27</v>
      </c>
      <c r="P58" s="1153">
        <v>23</v>
      </c>
      <c r="Q58" s="1843">
        <v>7</v>
      </c>
      <c r="R58" s="1843">
        <v>2</v>
      </c>
    </row>
    <row r="59" spans="1:18" ht="16.5" customHeight="1" x14ac:dyDescent="0.25">
      <c r="A59" s="660" t="s">
        <v>136</v>
      </c>
      <c r="B59" s="661" t="s">
        <v>137</v>
      </c>
      <c r="C59" s="586" t="s">
        <v>266</v>
      </c>
      <c r="D59" s="662">
        <f t="shared" si="5"/>
        <v>19</v>
      </c>
      <c r="E59" s="671">
        <v>2</v>
      </c>
      <c r="F59" s="670">
        <v>14</v>
      </c>
      <c r="G59" s="670">
        <v>0</v>
      </c>
      <c r="H59" s="670">
        <v>1</v>
      </c>
      <c r="I59" s="670">
        <v>0</v>
      </c>
      <c r="J59" s="1158">
        <v>2</v>
      </c>
      <c r="K59" s="670">
        <v>0</v>
      </c>
      <c r="L59" s="665">
        <f t="shared" si="4"/>
        <v>3</v>
      </c>
      <c r="M59" s="1842"/>
      <c r="N59" s="1153">
        <v>3</v>
      </c>
      <c r="O59" s="1153">
        <v>9</v>
      </c>
      <c r="P59" s="1153">
        <v>3</v>
      </c>
      <c r="Q59" s="1843">
        <v>3</v>
      </c>
      <c r="R59" s="1843">
        <v>1</v>
      </c>
    </row>
    <row r="60" spans="1:18" ht="16.5" customHeight="1" x14ac:dyDescent="0.25">
      <c r="A60" s="660" t="s">
        <v>140</v>
      </c>
      <c r="B60" s="661" t="s">
        <v>141</v>
      </c>
      <c r="C60" s="586" t="s">
        <v>267</v>
      </c>
      <c r="D60" s="662">
        <f t="shared" si="5"/>
        <v>19</v>
      </c>
      <c r="E60" s="663">
        <v>15</v>
      </c>
      <c r="F60" s="664">
        <v>2</v>
      </c>
      <c r="G60" s="664">
        <v>1</v>
      </c>
      <c r="H60" s="664">
        <v>0</v>
      </c>
      <c r="I60" s="664">
        <v>0</v>
      </c>
      <c r="J60" s="664">
        <v>1</v>
      </c>
      <c r="K60" s="664">
        <v>0</v>
      </c>
      <c r="L60" s="665">
        <f t="shared" si="4"/>
        <v>2</v>
      </c>
      <c r="M60" s="665"/>
      <c r="N60" s="1153">
        <v>6</v>
      </c>
      <c r="O60" s="1153">
        <v>8</v>
      </c>
      <c r="P60" s="1153">
        <v>4</v>
      </c>
      <c r="Q60" s="1843">
        <v>1</v>
      </c>
      <c r="R60" s="1843">
        <v>0</v>
      </c>
    </row>
    <row r="61" spans="1:18" ht="16.5" customHeight="1" x14ac:dyDescent="0.25">
      <c r="A61" s="660" t="s">
        <v>146</v>
      </c>
      <c r="B61" s="661" t="s">
        <v>147</v>
      </c>
      <c r="C61" s="586" t="s">
        <v>264</v>
      </c>
      <c r="D61" s="662">
        <f t="shared" si="5"/>
        <v>15</v>
      </c>
      <c r="E61" s="663">
        <v>14</v>
      </c>
      <c r="F61" s="664">
        <v>1</v>
      </c>
      <c r="G61" s="664">
        <v>0</v>
      </c>
      <c r="H61" s="664">
        <v>0</v>
      </c>
      <c r="I61" s="664">
        <v>0</v>
      </c>
      <c r="J61" s="664">
        <v>0</v>
      </c>
      <c r="K61" s="664">
        <v>0</v>
      </c>
      <c r="L61" s="665">
        <f t="shared" si="4"/>
        <v>0</v>
      </c>
      <c r="M61" s="675"/>
      <c r="N61" s="1153">
        <v>2</v>
      </c>
      <c r="O61" s="1153">
        <v>7</v>
      </c>
      <c r="P61" s="1153">
        <v>5</v>
      </c>
      <c r="Q61" s="1843">
        <v>1</v>
      </c>
      <c r="R61" s="1843">
        <v>0</v>
      </c>
    </row>
    <row r="62" spans="1:18" ht="16.5" customHeight="1" x14ac:dyDescent="0.25">
      <c r="A62" s="660" t="s">
        <v>148</v>
      </c>
      <c r="B62" s="661" t="s">
        <v>149</v>
      </c>
      <c r="C62" s="586" t="s">
        <v>265</v>
      </c>
      <c r="D62" s="662">
        <f t="shared" si="5"/>
        <v>26</v>
      </c>
      <c r="E62" s="663">
        <v>11</v>
      </c>
      <c r="F62" s="664">
        <v>13</v>
      </c>
      <c r="G62" s="664">
        <v>0</v>
      </c>
      <c r="H62" s="664">
        <v>0</v>
      </c>
      <c r="I62" s="664">
        <v>0</v>
      </c>
      <c r="J62" s="664">
        <v>2</v>
      </c>
      <c r="K62" s="664">
        <v>0</v>
      </c>
      <c r="L62" s="665">
        <f t="shared" si="4"/>
        <v>2</v>
      </c>
      <c r="M62" s="1842"/>
      <c r="N62" s="1153">
        <v>3</v>
      </c>
      <c r="O62" s="1153">
        <v>8</v>
      </c>
      <c r="P62" s="1153">
        <v>8</v>
      </c>
      <c r="Q62" s="1843">
        <v>6</v>
      </c>
      <c r="R62" s="1843">
        <v>1</v>
      </c>
    </row>
    <row r="63" spans="1:18" ht="16.5" customHeight="1" x14ac:dyDescent="0.25">
      <c r="A63" s="660" t="s">
        <v>150</v>
      </c>
      <c r="B63" s="661" t="s">
        <v>151</v>
      </c>
      <c r="C63" s="586" t="s">
        <v>266</v>
      </c>
      <c r="D63" s="662">
        <f t="shared" si="5"/>
        <v>18</v>
      </c>
      <c r="E63" s="671">
        <v>4</v>
      </c>
      <c r="F63" s="670">
        <v>6</v>
      </c>
      <c r="G63" s="670">
        <v>0</v>
      </c>
      <c r="H63" s="670">
        <v>0</v>
      </c>
      <c r="I63" s="670">
        <v>0</v>
      </c>
      <c r="J63" s="1158">
        <v>8</v>
      </c>
      <c r="K63" s="670">
        <v>0</v>
      </c>
      <c r="L63" s="665">
        <f t="shared" si="4"/>
        <v>8</v>
      </c>
      <c r="M63" s="1842"/>
      <c r="N63" s="1153">
        <v>0</v>
      </c>
      <c r="O63" s="1153">
        <v>9</v>
      </c>
      <c r="P63" s="1153">
        <v>6</v>
      </c>
      <c r="Q63" s="1843">
        <v>3</v>
      </c>
      <c r="R63" s="1843">
        <v>0</v>
      </c>
    </row>
    <row r="64" spans="1:18" ht="16.5" customHeight="1" x14ac:dyDescent="0.25">
      <c r="A64" s="660" t="s">
        <v>152</v>
      </c>
      <c r="B64" s="661" t="s">
        <v>153</v>
      </c>
      <c r="C64" s="586" t="s">
        <v>268</v>
      </c>
      <c r="D64" s="662">
        <f t="shared" si="5"/>
        <v>75</v>
      </c>
      <c r="E64" s="663">
        <v>60</v>
      </c>
      <c r="F64" s="664">
        <v>5</v>
      </c>
      <c r="G64" s="664">
        <v>0</v>
      </c>
      <c r="H64" s="664">
        <v>0</v>
      </c>
      <c r="I64" s="664">
        <v>0</v>
      </c>
      <c r="J64" s="664">
        <v>8</v>
      </c>
      <c r="K64" s="664">
        <v>2</v>
      </c>
      <c r="L64" s="665">
        <f t="shared" si="4"/>
        <v>8</v>
      </c>
      <c r="M64" s="1153"/>
      <c r="N64" s="1153">
        <v>4</v>
      </c>
      <c r="O64" s="1153">
        <v>26</v>
      </c>
      <c r="P64" s="1153">
        <v>32</v>
      </c>
      <c r="Q64" s="1843">
        <v>12</v>
      </c>
      <c r="R64" s="1843">
        <v>1</v>
      </c>
    </row>
    <row r="65" spans="1:18" ht="16.5" customHeight="1" x14ac:dyDescent="0.25">
      <c r="A65" s="660" t="s">
        <v>154</v>
      </c>
      <c r="B65" s="661" t="s">
        <v>155</v>
      </c>
      <c r="C65" s="586" t="s">
        <v>265</v>
      </c>
      <c r="D65" s="662">
        <f t="shared" si="5"/>
        <v>7</v>
      </c>
      <c r="E65" s="674">
        <v>7</v>
      </c>
      <c r="F65" s="670">
        <v>0</v>
      </c>
      <c r="G65" s="670">
        <v>0</v>
      </c>
      <c r="H65" s="670">
        <v>0</v>
      </c>
      <c r="I65" s="670">
        <v>0</v>
      </c>
      <c r="J65" s="1158">
        <v>0</v>
      </c>
      <c r="K65" s="670">
        <v>0</v>
      </c>
      <c r="L65" s="665">
        <f t="shared" si="4"/>
        <v>0</v>
      </c>
      <c r="M65" s="1153"/>
      <c r="N65" s="1153">
        <v>3</v>
      </c>
      <c r="O65" s="1153">
        <v>2</v>
      </c>
      <c r="P65" s="1153">
        <v>2</v>
      </c>
      <c r="Q65" s="1843">
        <v>0</v>
      </c>
      <c r="R65" s="1843">
        <v>0</v>
      </c>
    </row>
    <row r="66" spans="1:18" ht="16.5" customHeight="1" x14ac:dyDescent="0.25">
      <c r="A66" s="660" t="s">
        <v>156</v>
      </c>
      <c r="B66" s="661" t="s">
        <v>157</v>
      </c>
      <c r="C66" s="586" t="s">
        <v>266</v>
      </c>
      <c r="D66" s="662">
        <f t="shared" si="5"/>
        <v>7</v>
      </c>
      <c r="E66" s="663">
        <v>6</v>
      </c>
      <c r="F66" s="664">
        <v>1</v>
      </c>
      <c r="G66" s="1152">
        <v>0</v>
      </c>
      <c r="H66" s="1152">
        <v>0</v>
      </c>
      <c r="I66" s="1152">
        <v>0</v>
      </c>
      <c r="J66" s="1152">
        <v>0</v>
      </c>
      <c r="K66" s="1152">
        <v>0</v>
      </c>
      <c r="L66" s="665">
        <f t="shared" si="4"/>
        <v>0</v>
      </c>
      <c r="M66" s="668"/>
      <c r="N66" s="1153">
        <v>1</v>
      </c>
      <c r="O66" s="1153">
        <v>2</v>
      </c>
      <c r="P66" s="1153">
        <v>2</v>
      </c>
      <c r="Q66" s="1843">
        <v>1</v>
      </c>
      <c r="R66" s="1843">
        <v>1</v>
      </c>
    </row>
    <row r="67" spans="1:18" ht="16.5" customHeight="1" x14ac:dyDescent="0.25">
      <c r="A67" s="660" t="s">
        <v>162</v>
      </c>
      <c r="B67" s="661" t="s">
        <v>163</v>
      </c>
      <c r="C67" s="586" t="s">
        <v>264</v>
      </c>
      <c r="D67" s="662">
        <f t="shared" si="5"/>
        <v>0</v>
      </c>
      <c r="E67" s="663">
        <v>0</v>
      </c>
      <c r="F67" s="664">
        <v>0</v>
      </c>
      <c r="G67" s="664">
        <v>0</v>
      </c>
      <c r="H67" s="664">
        <v>0</v>
      </c>
      <c r="I67" s="664">
        <v>0</v>
      </c>
      <c r="J67" s="664">
        <v>0</v>
      </c>
      <c r="K67" s="664">
        <v>0</v>
      </c>
      <c r="L67" s="665">
        <f t="shared" si="4"/>
        <v>0</v>
      </c>
      <c r="M67" s="675"/>
      <c r="N67" s="1153">
        <v>0</v>
      </c>
      <c r="O67" s="1153">
        <v>0</v>
      </c>
      <c r="P67" s="1153">
        <v>0</v>
      </c>
      <c r="Q67" s="1843">
        <v>0</v>
      </c>
      <c r="R67" s="1843">
        <v>0</v>
      </c>
    </row>
    <row r="68" spans="1:18" ht="16.5" customHeight="1" x14ac:dyDescent="0.25">
      <c r="A68" s="660" t="s">
        <v>164</v>
      </c>
      <c r="B68" s="661" t="s">
        <v>165</v>
      </c>
      <c r="C68" s="586" t="s">
        <v>266</v>
      </c>
      <c r="D68" s="662">
        <f t="shared" si="5"/>
        <v>15</v>
      </c>
      <c r="E68" s="663">
        <v>11</v>
      </c>
      <c r="F68" s="664">
        <v>4</v>
      </c>
      <c r="G68" s="664">
        <v>0</v>
      </c>
      <c r="H68" s="664">
        <v>0</v>
      </c>
      <c r="I68" s="664">
        <v>0</v>
      </c>
      <c r="J68" s="664">
        <v>0</v>
      </c>
      <c r="K68" s="664">
        <v>0</v>
      </c>
      <c r="L68" s="665">
        <f t="shared" ref="L68:L99" si="6">G68+H68+I68+J68</f>
        <v>0</v>
      </c>
      <c r="M68" s="675"/>
      <c r="N68" s="1153">
        <v>0</v>
      </c>
      <c r="O68" s="1153">
        <v>2</v>
      </c>
      <c r="P68" s="1153">
        <v>8</v>
      </c>
      <c r="Q68" s="1843">
        <v>4</v>
      </c>
      <c r="R68" s="1843">
        <v>1</v>
      </c>
    </row>
    <row r="69" spans="1:18" ht="16.5" customHeight="1" x14ac:dyDescent="0.25">
      <c r="A69" s="660" t="s">
        <v>168</v>
      </c>
      <c r="B69" s="661" t="s">
        <v>169</v>
      </c>
      <c r="C69" s="586" t="s">
        <v>266</v>
      </c>
      <c r="D69" s="662">
        <f t="shared" ref="D69:D100" si="7">SUM(E69:K69)</f>
        <v>7</v>
      </c>
      <c r="E69" s="663">
        <v>5</v>
      </c>
      <c r="F69" s="664">
        <v>2</v>
      </c>
      <c r="G69" s="664">
        <v>0</v>
      </c>
      <c r="H69" s="664">
        <v>0</v>
      </c>
      <c r="I69" s="664">
        <v>0</v>
      </c>
      <c r="J69" s="664">
        <v>0</v>
      </c>
      <c r="K69" s="664">
        <v>0</v>
      </c>
      <c r="L69" s="665">
        <f t="shared" si="6"/>
        <v>0</v>
      </c>
      <c r="M69" s="1841"/>
      <c r="N69" s="1153">
        <v>0</v>
      </c>
      <c r="O69" s="1153">
        <v>1</v>
      </c>
      <c r="P69" s="1153">
        <v>5</v>
      </c>
      <c r="Q69" s="1843">
        <v>1</v>
      </c>
      <c r="R69" s="1843">
        <v>0</v>
      </c>
    </row>
    <row r="70" spans="1:18" ht="16.5" customHeight="1" x14ac:dyDescent="0.25">
      <c r="A70" s="660" t="s">
        <v>170</v>
      </c>
      <c r="B70" s="661" t="s">
        <v>171</v>
      </c>
      <c r="C70" s="586" t="s">
        <v>267</v>
      </c>
      <c r="D70" s="662">
        <f t="shared" si="7"/>
        <v>27</v>
      </c>
      <c r="E70" s="663">
        <v>19</v>
      </c>
      <c r="F70" s="664">
        <v>1</v>
      </c>
      <c r="G70" s="664">
        <v>0</v>
      </c>
      <c r="H70" s="664">
        <v>0</v>
      </c>
      <c r="I70" s="664">
        <v>0</v>
      </c>
      <c r="J70" s="664">
        <v>7</v>
      </c>
      <c r="K70" s="664">
        <v>0</v>
      </c>
      <c r="L70" s="665">
        <f t="shared" si="6"/>
        <v>7</v>
      </c>
      <c r="M70" s="1841"/>
      <c r="N70" s="1153">
        <v>1</v>
      </c>
      <c r="O70" s="675">
        <v>7</v>
      </c>
      <c r="P70" s="1153">
        <v>13</v>
      </c>
      <c r="Q70" s="1843">
        <v>5</v>
      </c>
      <c r="R70" s="1843">
        <v>1</v>
      </c>
    </row>
    <row r="71" spans="1:18" ht="16.5" customHeight="1" x14ac:dyDescent="0.25">
      <c r="A71" s="660" t="s">
        <v>172</v>
      </c>
      <c r="B71" s="661" t="s">
        <v>173</v>
      </c>
      <c r="C71" s="586" t="s">
        <v>267</v>
      </c>
      <c r="D71" s="662">
        <f t="shared" si="7"/>
        <v>11</v>
      </c>
      <c r="E71" s="663">
        <v>11</v>
      </c>
      <c r="F71" s="664">
        <v>0</v>
      </c>
      <c r="G71" s="1152">
        <v>0</v>
      </c>
      <c r="H71" s="1152">
        <v>0</v>
      </c>
      <c r="I71" s="1152">
        <v>0</v>
      </c>
      <c r="J71" s="1152">
        <v>0</v>
      </c>
      <c r="K71" s="1152">
        <v>0</v>
      </c>
      <c r="L71" s="665">
        <f t="shared" si="6"/>
        <v>0</v>
      </c>
      <c r="M71" s="1153"/>
      <c r="N71" s="1153">
        <v>4</v>
      </c>
      <c r="O71" s="1153">
        <v>3</v>
      </c>
      <c r="P71" s="1153">
        <v>4</v>
      </c>
      <c r="Q71" s="1843">
        <v>0</v>
      </c>
      <c r="R71" s="1843">
        <v>0</v>
      </c>
    </row>
    <row r="72" spans="1:18" ht="16.5" customHeight="1" x14ac:dyDescent="0.25">
      <c r="A72" s="660" t="s">
        <v>174</v>
      </c>
      <c r="B72" s="661" t="s">
        <v>175</v>
      </c>
      <c r="C72" s="586" t="s">
        <v>268</v>
      </c>
      <c r="D72" s="662">
        <f t="shared" si="7"/>
        <v>2</v>
      </c>
      <c r="E72" s="663">
        <v>2</v>
      </c>
      <c r="F72" s="664">
        <v>0</v>
      </c>
      <c r="G72" s="1152">
        <v>0</v>
      </c>
      <c r="H72" s="1152">
        <v>0</v>
      </c>
      <c r="I72" s="1152">
        <v>0</v>
      </c>
      <c r="J72" s="1152">
        <v>0</v>
      </c>
      <c r="K72" s="1152">
        <v>0</v>
      </c>
      <c r="L72" s="665">
        <f t="shared" si="6"/>
        <v>0</v>
      </c>
      <c r="M72" s="665"/>
      <c r="N72" s="1153">
        <v>1</v>
      </c>
      <c r="O72" s="1153">
        <v>1</v>
      </c>
      <c r="P72" s="1153">
        <v>0</v>
      </c>
      <c r="Q72" s="1843">
        <v>0</v>
      </c>
      <c r="R72" s="1843">
        <v>0</v>
      </c>
    </row>
    <row r="73" spans="1:18" ht="16.5" customHeight="1" x14ac:dyDescent="0.25">
      <c r="A73" s="660" t="s">
        <v>178</v>
      </c>
      <c r="B73" s="661" t="s">
        <v>179</v>
      </c>
      <c r="C73" s="586" t="s">
        <v>265</v>
      </c>
      <c r="D73" s="662">
        <f t="shared" si="7"/>
        <v>11</v>
      </c>
      <c r="E73" s="663">
        <v>8</v>
      </c>
      <c r="F73" s="664">
        <v>1</v>
      </c>
      <c r="G73" s="664">
        <v>0</v>
      </c>
      <c r="H73" s="664">
        <v>0</v>
      </c>
      <c r="I73" s="664">
        <v>0</v>
      </c>
      <c r="J73" s="664">
        <v>1</v>
      </c>
      <c r="K73" s="664">
        <v>1</v>
      </c>
      <c r="L73" s="665">
        <f t="shared" si="6"/>
        <v>1</v>
      </c>
      <c r="M73" s="1842"/>
      <c r="N73" s="1153">
        <v>0</v>
      </c>
      <c r="O73" s="1153">
        <v>5</v>
      </c>
      <c r="P73" s="1153">
        <v>5</v>
      </c>
      <c r="Q73" s="1843">
        <v>0</v>
      </c>
      <c r="R73" s="1843">
        <v>1</v>
      </c>
    </row>
    <row r="74" spans="1:18" ht="16.5" customHeight="1" x14ac:dyDescent="0.25">
      <c r="A74" s="660" t="s">
        <v>182</v>
      </c>
      <c r="B74" s="661" t="s">
        <v>183</v>
      </c>
      <c r="C74" s="586" t="s">
        <v>266</v>
      </c>
      <c r="D74" s="662">
        <f t="shared" si="7"/>
        <v>5</v>
      </c>
      <c r="E74" s="663">
        <v>3</v>
      </c>
      <c r="F74" s="664">
        <v>0</v>
      </c>
      <c r="G74" s="1152">
        <v>0</v>
      </c>
      <c r="H74" s="1152">
        <v>0</v>
      </c>
      <c r="I74" s="1152">
        <v>0</v>
      </c>
      <c r="J74" s="1152">
        <v>2</v>
      </c>
      <c r="K74" s="1152">
        <v>0</v>
      </c>
      <c r="L74" s="665">
        <f t="shared" si="6"/>
        <v>2</v>
      </c>
      <c r="M74" s="1842"/>
      <c r="N74" s="1153">
        <v>0</v>
      </c>
      <c r="O74" s="1153">
        <v>2</v>
      </c>
      <c r="P74" s="1153">
        <v>2</v>
      </c>
      <c r="Q74" s="1843">
        <v>1</v>
      </c>
      <c r="R74" s="1843">
        <v>0</v>
      </c>
    </row>
    <row r="75" spans="1:18" ht="16.5" customHeight="1" x14ac:dyDescent="0.25">
      <c r="A75" s="660" t="s">
        <v>184</v>
      </c>
      <c r="B75" s="661" t="s">
        <v>185</v>
      </c>
      <c r="C75" s="586" t="s">
        <v>266</v>
      </c>
      <c r="D75" s="662">
        <f t="shared" si="7"/>
        <v>39</v>
      </c>
      <c r="E75" s="663">
        <v>18</v>
      </c>
      <c r="F75" s="664">
        <v>15</v>
      </c>
      <c r="G75" s="664">
        <v>0</v>
      </c>
      <c r="H75" s="664">
        <v>0</v>
      </c>
      <c r="I75" s="664">
        <v>0</v>
      </c>
      <c r="J75" s="664">
        <v>6</v>
      </c>
      <c r="K75" s="664">
        <v>0</v>
      </c>
      <c r="L75" s="665">
        <f t="shared" si="6"/>
        <v>6</v>
      </c>
      <c r="M75" s="1841"/>
      <c r="N75" s="1153">
        <v>4</v>
      </c>
      <c r="O75" s="1153">
        <v>7</v>
      </c>
      <c r="P75" s="1153">
        <v>21</v>
      </c>
      <c r="Q75" s="1843">
        <v>7</v>
      </c>
      <c r="R75" s="1843">
        <v>0</v>
      </c>
    </row>
    <row r="76" spans="1:18" ht="16.5" customHeight="1" x14ac:dyDescent="0.25">
      <c r="A76" s="660" t="s">
        <v>186</v>
      </c>
      <c r="B76" s="661" t="s">
        <v>187</v>
      </c>
      <c r="C76" s="586" t="s">
        <v>264</v>
      </c>
      <c r="D76" s="662">
        <f t="shared" si="7"/>
        <v>22</v>
      </c>
      <c r="E76" s="663">
        <v>17</v>
      </c>
      <c r="F76" s="664">
        <v>5</v>
      </c>
      <c r="G76" s="664">
        <v>0</v>
      </c>
      <c r="H76" s="664">
        <v>0</v>
      </c>
      <c r="I76" s="664">
        <v>0</v>
      </c>
      <c r="J76" s="664">
        <v>0</v>
      </c>
      <c r="K76" s="664">
        <v>0</v>
      </c>
      <c r="L76" s="665">
        <f t="shared" si="6"/>
        <v>0</v>
      </c>
      <c r="M76" s="675"/>
      <c r="N76" s="1153">
        <v>7</v>
      </c>
      <c r="O76" s="1153">
        <v>7</v>
      </c>
      <c r="P76" s="1153">
        <v>4</v>
      </c>
      <c r="Q76" s="1843">
        <v>4</v>
      </c>
      <c r="R76" s="1843">
        <v>0</v>
      </c>
    </row>
    <row r="77" spans="1:18" ht="16.5" customHeight="1" x14ac:dyDescent="0.25">
      <c r="A77" s="660" t="s">
        <v>188</v>
      </c>
      <c r="B77" s="661" t="s">
        <v>189</v>
      </c>
      <c r="C77" s="586" t="s">
        <v>267</v>
      </c>
      <c r="D77" s="662">
        <f t="shared" si="7"/>
        <v>125</v>
      </c>
      <c r="E77" s="663">
        <v>58</v>
      </c>
      <c r="F77" s="664">
        <v>55</v>
      </c>
      <c r="G77" s="664">
        <v>2</v>
      </c>
      <c r="H77" s="664">
        <v>0</v>
      </c>
      <c r="I77" s="664">
        <v>0</v>
      </c>
      <c r="J77" s="664">
        <v>6</v>
      </c>
      <c r="K77" s="664">
        <v>4</v>
      </c>
      <c r="L77" s="665">
        <f t="shared" si="6"/>
        <v>8</v>
      </c>
      <c r="M77" s="1842"/>
      <c r="N77" s="1153">
        <v>10</v>
      </c>
      <c r="O77" s="675">
        <v>28</v>
      </c>
      <c r="P77" s="1153">
        <v>38</v>
      </c>
      <c r="Q77" s="1843">
        <v>23</v>
      </c>
      <c r="R77" s="1843">
        <v>26</v>
      </c>
    </row>
    <row r="78" spans="1:18" ht="16.5" customHeight="1" x14ac:dyDescent="0.25">
      <c r="A78" s="660" t="s">
        <v>190</v>
      </c>
      <c r="B78" s="661" t="s">
        <v>191</v>
      </c>
      <c r="C78" s="586" t="s">
        <v>268</v>
      </c>
      <c r="D78" s="662">
        <f t="shared" si="7"/>
        <v>71</v>
      </c>
      <c r="E78" s="663">
        <v>46</v>
      </c>
      <c r="F78" s="664">
        <v>9</v>
      </c>
      <c r="G78" s="664">
        <v>0</v>
      </c>
      <c r="H78" s="664">
        <v>0</v>
      </c>
      <c r="I78" s="664">
        <v>0</v>
      </c>
      <c r="J78" s="664">
        <v>16</v>
      </c>
      <c r="K78" s="664">
        <v>0</v>
      </c>
      <c r="L78" s="665">
        <f t="shared" si="6"/>
        <v>16</v>
      </c>
      <c r="M78" s="1842"/>
      <c r="N78" s="1153">
        <v>12</v>
      </c>
      <c r="O78" s="1153">
        <v>24</v>
      </c>
      <c r="P78" s="1153">
        <v>27</v>
      </c>
      <c r="Q78" s="1843">
        <v>8</v>
      </c>
      <c r="R78" s="1843">
        <v>0</v>
      </c>
    </row>
    <row r="79" spans="1:18" ht="16.5" customHeight="1" x14ac:dyDescent="0.25">
      <c r="A79" s="660" t="s">
        <v>194</v>
      </c>
      <c r="B79" s="661" t="s">
        <v>195</v>
      </c>
      <c r="C79" s="586" t="s">
        <v>267</v>
      </c>
      <c r="D79" s="662">
        <f t="shared" si="7"/>
        <v>8</v>
      </c>
      <c r="E79" s="663">
        <v>4</v>
      </c>
      <c r="F79" s="664">
        <v>1</v>
      </c>
      <c r="G79" s="1152">
        <v>0</v>
      </c>
      <c r="H79" s="1152">
        <v>0</v>
      </c>
      <c r="I79" s="1152">
        <v>0</v>
      </c>
      <c r="J79" s="1152">
        <v>3</v>
      </c>
      <c r="K79" s="1152">
        <v>0</v>
      </c>
      <c r="L79" s="665">
        <f t="shared" si="6"/>
        <v>3</v>
      </c>
      <c r="M79" s="665"/>
      <c r="N79" s="1153">
        <v>1</v>
      </c>
      <c r="O79" s="1153">
        <v>3</v>
      </c>
      <c r="P79" s="1153">
        <v>3</v>
      </c>
      <c r="Q79" s="1843">
        <v>1</v>
      </c>
      <c r="R79" s="1843">
        <v>0</v>
      </c>
    </row>
    <row r="80" spans="1:18" ht="16.5" customHeight="1" x14ac:dyDescent="0.25">
      <c r="A80" s="660" t="s">
        <v>198</v>
      </c>
      <c r="B80" s="661" t="s">
        <v>199</v>
      </c>
      <c r="C80" s="586" t="s">
        <v>266</v>
      </c>
      <c r="D80" s="662">
        <f t="shared" si="7"/>
        <v>6</v>
      </c>
      <c r="E80" s="663">
        <v>3</v>
      </c>
      <c r="F80" s="664">
        <v>1</v>
      </c>
      <c r="G80" s="664">
        <v>0</v>
      </c>
      <c r="H80" s="664">
        <v>0</v>
      </c>
      <c r="I80" s="664">
        <v>0</v>
      </c>
      <c r="J80" s="664">
        <v>2</v>
      </c>
      <c r="K80" s="664">
        <v>0</v>
      </c>
      <c r="L80" s="665">
        <f t="shared" si="6"/>
        <v>2</v>
      </c>
      <c r="M80" s="675"/>
      <c r="N80" s="1153">
        <v>0</v>
      </c>
      <c r="O80" s="1153">
        <v>3</v>
      </c>
      <c r="P80" s="1153">
        <v>1</v>
      </c>
      <c r="Q80" s="1843">
        <v>2</v>
      </c>
      <c r="R80" s="1843">
        <v>0</v>
      </c>
    </row>
    <row r="81" spans="1:18" ht="16.5" customHeight="1" x14ac:dyDescent="0.25">
      <c r="A81" s="660" t="s">
        <v>202</v>
      </c>
      <c r="B81" s="661" t="s">
        <v>203</v>
      </c>
      <c r="C81" s="586" t="s">
        <v>265</v>
      </c>
      <c r="D81" s="662">
        <f t="shared" si="7"/>
        <v>142</v>
      </c>
      <c r="E81" s="663">
        <v>118</v>
      </c>
      <c r="F81" s="664">
        <v>9</v>
      </c>
      <c r="G81" s="664">
        <v>2</v>
      </c>
      <c r="H81" s="664">
        <v>0</v>
      </c>
      <c r="I81" s="664">
        <v>0</v>
      </c>
      <c r="J81" s="664">
        <v>13</v>
      </c>
      <c r="K81" s="664">
        <v>0</v>
      </c>
      <c r="L81" s="665">
        <f t="shared" si="6"/>
        <v>15</v>
      </c>
      <c r="M81" s="1841"/>
      <c r="N81" s="675">
        <v>22</v>
      </c>
      <c r="O81" s="1153">
        <v>42</v>
      </c>
      <c r="P81" s="1153">
        <v>46</v>
      </c>
      <c r="Q81" s="1843">
        <v>25</v>
      </c>
      <c r="R81" s="1843">
        <v>7</v>
      </c>
    </row>
    <row r="82" spans="1:18" ht="16.5" customHeight="1" x14ac:dyDescent="0.25">
      <c r="A82" s="660" t="s">
        <v>204</v>
      </c>
      <c r="B82" s="661" t="s">
        <v>205</v>
      </c>
      <c r="C82" s="586" t="s">
        <v>265</v>
      </c>
      <c r="D82" s="662">
        <f t="shared" si="7"/>
        <v>11</v>
      </c>
      <c r="E82" s="663">
        <v>8</v>
      </c>
      <c r="F82" s="664">
        <v>0</v>
      </c>
      <c r="G82" s="1152">
        <v>0</v>
      </c>
      <c r="H82" s="1152">
        <v>0</v>
      </c>
      <c r="I82" s="1152">
        <v>0</v>
      </c>
      <c r="J82" s="1152">
        <v>3</v>
      </c>
      <c r="K82" s="1152">
        <v>0</v>
      </c>
      <c r="L82" s="665">
        <f t="shared" si="6"/>
        <v>3</v>
      </c>
      <c r="M82" s="1842"/>
      <c r="N82" s="1153">
        <v>2</v>
      </c>
      <c r="O82" s="1153">
        <v>3</v>
      </c>
      <c r="P82" s="1153">
        <v>3</v>
      </c>
      <c r="Q82" s="1843">
        <v>2</v>
      </c>
      <c r="R82" s="1843">
        <v>1</v>
      </c>
    </row>
    <row r="83" spans="1:18" ht="16.5" customHeight="1" x14ac:dyDescent="0.25">
      <c r="A83" s="660" t="s">
        <v>206</v>
      </c>
      <c r="B83" s="661" t="s">
        <v>207</v>
      </c>
      <c r="C83" s="586" t="s">
        <v>267</v>
      </c>
      <c r="D83" s="662">
        <f t="shared" si="7"/>
        <v>313</v>
      </c>
      <c r="E83" s="663">
        <v>238</v>
      </c>
      <c r="F83" s="664">
        <v>37</v>
      </c>
      <c r="G83" s="664">
        <v>0</v>
      </c>
      <c r="H83" s="664">
        <v>2</v>
      </c>
      <c r="I83" s="664">
        <v>0</v>
      </c>
      <c r="J83" s="664">
        <v>35</v>
      </c>
      <c r="K83" s="664">
        <v>1</v>
      </c>
      <c r="L83" s="665">
        <f t="shared" si="6"/>
        <v>37</v>
      </c>
      <c r="M83" s="1842"/>
      <c r="N83" s="1153">
        <v>52</v>
      </c>
      <c r="O83" s="1153">
        <v>102</v>
      </c>
      <c r="P83" s="1153">
        <v>90</v>
      </c>
      <c r="Q83" s="1843">
        <v>59</v>
      </c>
      <c r="R83" s="1843">
        <v>10</v>
      </c>
    </row>
    <row r="84" spans="1:18" ht="16.5" customHeight="1" x14ac:dyDescent="0.25">
      <c r="A84" s="660" t="s">
        <v>208</v>
      </c>
      <c r="B84" s="661" t="s">
        <v>209</v>
      </c>
      <c r="C84" s="586" t="s">
        <v>268</v>
      </c>
      <c r="D84" s="662">
        <f t="shared" si="7"/>
        <v>57</v>
      </c>
      <c r="E84" s="663">
        <v>54</v>
      </c>
      <c r="F84" s="664">
        <v>2</v>
      </c>
      <c r="G84" s="1152">
        <v>0</v>
      </c>
      <c r="H84" s="1152">
        <v>1</v>
      </c>
      <c r="I84" s="1152">
        <v>0</v>
      </c>
      <c r="J84" s="1152">
        <v>0</v>
      </c>
      <c r="K84" s="1152">
        <v>0</v>
      </c>
      <c r="L84" s="665">
        <f t="shared" si="6"/>
        <v>1</v>
      </c>
      <c r="M84" s="668"/>
      <c r="N84" s="1153">
        <v>8</v>
      </c>
      <c r="O84" s="1153">
        <v>26</v>
      </c>
      <c r="P84" s="1153">
        <v>18</v>
      </c>
      <c r="Q84" s="1843">
        <v>4</v>
      </c>
      <c r="R84" s="1843">
        <v>1</v>
      </c>
    </row>
    <row r="85" spans="1:18" ht="16.5" customHeight="1" x14ac:dyDescent="0.25">
      <c r="A85" s="660" t="s">
        <v>210</v>
      </c>
      <c r="B85" s="661" t="s">
        <v>211</v>
      </c>
      <c r="C85" s="586" t="s">
        <v>268</v>
      </c>
      <c r="D85" s="662">
        <f t="shared" si="7"/>
        <v>30</v>
      </c>
      <c r="E85" s="663">
        <v>30</v>
      </c>
      <c r="F85" s="664">
        <v>0</v>
      </c>
      <c r="G85" s="1152">
        <v>0</v>
      </c>
      <c r="H85" s="1152">
        <v>0</v>
      </c>
      <c r="I85" s="1152">
        <v>0</v>
      </c>
      <c r="J85" s="1152">
        <v>0</v>
      </c>
      <c r="K85" s="1152">
        <v>0</v>
      </c>
      <c r="L85" s="665">
        <f t="shared" si="6"/>
        <v>0</v>
      </c>
      <c r="M85" s="675"/>
      <c r="N85" s="1153">
        <v>4</v>
      </c>
      <c r="O85" s="1153">
        <v>9</v>
      </c>
      <c r="P85" s="1153">
        <v>8</v>
      </c>
      <c r="Q85" s="1843">
        <v>8</v>
      </c>
      <c r="R85" s="1843">
        <v>1</v>
      </c>
    </row>
    <row r="86" spans="1:18" ht="16.5" customHeight="1" x14ac:dyDescent="0.25">
      <c r="A86" s="660" t="s">
        <v>212</v>
      </c>
      <c r="B86" s="661" t="s">
        <v>213</v>
      </c>
      <c r="C86" s="586" t="s">
        <v>267</v>
      </c>
      <c r="D86" s="662">
        <f t="shared" si="7"/>
        <v>34</v>
      </c>
      <c r="E86" s="663">
        <v>25</v>
      </c>
      <c r="F86" s="664">
        <v>1</v>
      </c>
      <c r="G86" s="664">
        <v>0</v>
      </c>
      <c r="H86" s="664">
        <v>0</v>
      </c>
      <c r="I86" s="664">
        <v>0</v>
      </c>
      <c r="J86" s="664">
        <v>7</v>
      </c>
      <c r="K86" s="664">
        <v>1</v>
      </c>
      <c r="L86" s="665">
        <f t="shared" si="6"/>
        <v>7</v>
      </c>
      <c r="M86" s="1841"/>
      <c r="N86" s="1153">
        <v>2</v>
      </c>
      <c r="O86" s="1153">
        <v>8</v>
      </c>
      <c r="P86" s="1153">
        <v>16</v>
      </c>
      <c r="Q86" s="1843">
        <v>7</v>
      </c>
      <c r="R86" s="1843">
        <v>1</v>
      </c>
    </row>
    <row r="87" spans="1:18" ht="16.5" customHeight="1" x14ac:dyDescent="0.25">
      <c r="A87" s="660" t="s">
        <v>214</v>
      </c>
      <c r="B87" s="661" t="s">
        <v>215</v>
      </c>
      <c r="C87" s="586" t="s">
        <v>268</v>
      </c>
      <c r="D87" s="662">
        <f t="shared" si="7"/>
        <v>28</v>
      </c>
      <c r="E87" s="663">
        <v>24</v>
      </c>
      <c r="F87" s="664">
        <v>4</v>
      </c>
      <c r="G87" s="1152">
        <v>0</v>
      </c>
      <c r="H87" s="1152">
        <v>0</v>
      </c>
      <c r="I87" s="1152">
        <v>0</v>
      </c>
      <c r="J87" s="1152">
        <v>0</v>
      </c>
      <c r="K87" s="1152">
        <v>0</v>
      </c>
      <c r="L87" s="665">
        <f t="shared" si="6"/>
        <v>0</v>
      </c>
      <c r="M87" s="1842"/>
      <c r="N87" s="1153">
        <v>4</v>
      </c>
      <c r="O87" s="1153">
        <v>11</v>
      </c>
      <c r="P87" s="1153">
        <v>8</v>
      </c>
      <c r="Q87" s="1843">
        <v>5</v>
      </c>
      <c r="R87" s="1843">
        <v>0</v>
      </c>
    </row>
    <row r="88" spans="1:18" ht="16.5" customHeight="1" x14ac:dyDescent="0.25">
      <c r="A88" s="660" t="s">
        <v>216</v>
      </c>
      <c r="B88" s="661" t="s">
        <v>217</v>
      </c>
      <c r="C88" s="586" t="s">
        <v>264</v>
      </c>
      <c r="D88" s="662">
        <f t="shared" si="7"/>
        <v>9</v>
      </c>
      <c r="E88" s="663">
        <v>5</v>
      </c>
      <c r="F88" s="664">
        <v>3</v>
      </c>
      <c r="G88" s="664">
        <v>0</v>
      </c>
      <c r="H88" s="664">
        <v>0</v>
      </c>
      <c r="I88" s="664">
        <v>0</v>
      </c>
      <c r="J88" s="664">
        <v>0</v>
      </c>
      <c r="K88" s="664">
        <v>1</v>
      </c>
      <c r="L88" s="665">
        <f t="shared" si="6"/>
        <v>0</v>
      </c>
      <c r="M88" s="665"/>
      <c r="N88" s="1153">
        <v>0</v>
      </c>
      <c r="O88" s="1153">
        <v>1</v>
      </c>
      <c r="P88" s="1153">
        <v>6</v>
      </c>
      <c r="Q88" s="1843">
        <v>2</v>
      </c>
      <c r="R88" s="1843">
        <v>0</v>
      </c>
    </row>
    <row r="89" spans="1:18" ht="16.5" customHeight="1" x14ac:dyDescent="0.25">
      <c r="A89" s="660" t="s">
        <v>218</v>
      </c>
      <c r="B89" s="661" t="s">
        <v>219</v>
      </c>
      <c r="C89" s="586" t="s">
        <v>267</v>
      </c>
      <c r="D89" s="662">
        <f t="shared" si="7"/>
        <v>84</v>
      </c>
      <c r="E89" s="663">
        <v>59</v>
      </c>
      <c r="F89" s="664">
        <v>18</v>
      </c>
      <c r="G89" s="664">
        <v>2</v>
      </c>
      <c r="H89" s="664">
        <v>0</v>
      </c>
      <c r="I89" s="664">
        <v>0</v>
      </c>
      <c r="J89" s="664">
        <v>5</v>
      </c>
      <c r="K89" s="664">
        <v>0</v>
      </c>
      <c r="L89" s="665">
        <f t="shared" si="6"/>
        <v>7</v>
      </c>
      <c r="M89" s="675"/>
      <c r="N89" s="1153">
        <v>8</v>
      </c>
      <c r="O89" s="675">
        <v>19</v>
      </c>
      <c r="P89" s="1153">
        <v>39</v>
      </c>
      <c r="Q89" s="1843">
        <v>17</v>
      </c>
      <c r="R89" s="1843">
        <v>1</v>
      </c>
    </row>
    <row r="90" spans="1:18" ht="16.5" customHeight="1" x14ac:dyDescent="0.25">
      <c r="A90" s="660" t="s">
        <v>220</v>
      </c>
      <c r="B90" s="661" t="s">
        <v>221</v>
      </c>
      <c r="C90" s="586" t="s">
        <v>267</v>
      </c>
      <c r="D90" s="662">
        <f t="shared" si="7"/>
        <v>128</v>
      </c>
      <c r="E90" s="663">
        <v>66</v>
      </c>
      <c r="F90" s="664">
        <v>45</v>
      </c>
      <c r="G90" s="664">
        <v>1</v>
      </c>
      <c r="H90" s="664">
        <v>0</v>
      </c>
      <c r="I90" s="664">
        <v>0</v>
      </c>
      <c r="J90" s="664">
        <v>7</v>
      </c>
      <c r="K90" s="664">
        <v>9</v>
      </c>
      <c r="L90" s="665">
        <f t="shared" si="6"/>
        <v>8</v>
      </c>
      <c r="M90" s="1841"/>
      <c r="N90" s="1153">
        <v>11</v>
      </c>
      <c r="O90" s="675">
        <v>31</v>
      </c>
      <c r="P90" s="1153">
        <v>52</v>
      </c>
      <c r="Q90" s="1843">
        <v>22</v>
      </c>
      <c r="R90" s="1843">
        <v>12</v>
      </c>
    </row>
    <row r="91" spans="1:18" ht="16.5" customHeight="1" x14ac:dyDescent="0.25">
      <c r="A91" s="660" t="s">
        <v>224</v>
      </c>
      <c r="B91" s="661" t="s">
        <v>225</v>
      </c>
      <c r="C91" s="586" t="s">
        <v>264</v>
      </c>
      <c r="D91" s="662">
        <f t="shared" si="7"/>
        <v>1</v>
      </c>
      <c r="E91" s="671">
        <v>0</v>
      </c>
      <c r="F91" s="670">
        <v>1</v>
      </c>
      <c r="G91" s="670">
        <v>0</v>
      </c>
      <c r="H91" s="670">
        <v>0</v>
      </c>
      <c r="I91" s="670">
        <v>0</v>
      </c>
      <c r="J91" s="1158">
        <v>0</v>
      </c>
      <c r="K91" s="670">
        <v>0</v>
      </c>
      <c r="L91" s="665">
        <f t="shared" si="6"/>
        <v>0</v>
      </c>
      <c r="M91" s="675"/>
      <c r="N91" s="1153">
        <v>0</v>
      </c>
      <c r="O91" s="1153">
        <v>0</v>
      </c>
      <c r="P91" s="1153">
        <v>1</v>
      </c>
      <c r="Q91" s="1843">
        <v>0</v>
      </c>
      <c r="R91" s="1843">
        <v>0</v>
      </c>
    </row>
    <row r="92" spans="1:18" ht="16.5" customHeight="1" x14ac:dyDescent="0.25">
      <c r="A92" s="660" t="s">
        <v>226</v>
      </c>
      <c r="B92" s="661" t="s">
        <v>227</v>
      </c>
      <c r="C92" s="586" t="s">
        <v>264</v>
      </c>
      <c r="D92" s="662">
        <f t="shared" si="7"/>
        <v>10</v>
      </c>
      <c r="E92" s="663">
        <v>5</v>
      </c>
      <c r="F92" s="664">
        <v>5</v>
      </c>
      <c r="G92" s="664">
        <v>0</v>
      </c>
      <c r="H92" s="664">
        <v>0</v>
      </c>
      <c r="I92" s="664">
        <v>0</v>
      </c>
      <c r="J92" s="664">
        <v>0</v>
      </c>
      <c r="K92" s="664">
        <v>0</v>
      </c>
      <c r="L92" s="665">
        <f t="shared" si="6"/>
        <v>0</v>
      </c>
      <c r="M92" s="675"/>
      <c r="N92" s="1153">
        <v>0</v>
      </c>
      <c r="O92" s="1153">
        <v>2</v>
      </c>
      <c r="P92" s="1153">
        <v>4</v>
      </c>
      <c r="Q92" s="1843">
        <v>1</v>
      </c>
      <c r="R92" s="1843">
        <v>3</v>
      </c>
    </row>
    <row r="93" spans="1:18" ht="16.5" customHeight="1" x14ac:dyDescent="0.25">
      <c r="A93" s="660" t="s">
        <v>228</v>
      </c>
      <c r="B93" s="661" t="s">
        <v>229</v>
      </c>
      <c r="C93" s="586" t="s">
        <v>268</v>
      </c>
      <c r="D93" s="662">
        <f t="shared" si="7"/>
        <v>125</v>
      </c>
      <c r="E93" s="663">
        <v>120</v>
      </c>
      <c r="F93" s="664">
        <v>4</v>
      </c>
      <c r="G93" s="664">
        <v>0</v>
      </c>
      <c r="H93" s="664">
        <v>0</v>
      </c>
      <c r="I93" s="664">
        <v>0</v>
      </c>
      <c r="J93" s="664">
        <v>1</v>
      </c>
      <c r="K93" s="664">
        <v>0</v>
      </c>
      <c r="L93" s="665">
        <f t="shared" si="6"/>
        <v>1</v>
      </c>
      <c r="M93" s="675"/>
      <c r="N93" s="1153">
        <v>15</v>
      </c>
      <c r="O93" s="1153">
        <v>35</v>
      </c>
      <c r="P93" s="1153">
        <v>44</v>
      </c>
      <c r="Q93" s="1843">
        <v>24</v>
      </c>
      <c r="R93" s="1843">
        <v>7</v>
      </c>
    </row>
    <row r="94" spans="1:18" ht="16.5" customHeight="1" x14ac:dyDescent="0.25">
      <c r="A94" s="660" t="s">
        <v>232</v>
      </c>
      <c r="B94" s="661" t="s">
        <v>233</v>
      </c>
      <c r="C94" s="586" t="s">
        <v>267</v>
      </c>
      <c r="D94" s="662">
        <f t="shared" si="7"/>
        <v>60</v>
      </c>
      <c r="E94" s="663">
        <v>51</v>
      </c>
      <c r="F94" s="664">
        <v>3</v>
      </c>
      <c r="G94" s="664">
        <v>0</v>
      </c>
      <c r="H94" s="664">
        <v>0</v>
      </c>
      <c r="I94" s="664">
        <v>0</v>
      </c>
      <c r="J94" s="664">
        <v>6</v>
      </c>
      <c r="K94" s="664">
        <v>0</v>
      </c>
      <c r="L94" s="665">
        <f t="shared" si="6"/>
        <v>6</v>
      </c>
      <c r="M94" s="1842"/>
      <c r="N94" s="1153">
        <v>3</v>
      </c>
      <c r="O94" s="1153">
        <v>20</v>
      </c>
      <c r="P94" s="1153">
        <v>19</v>
      </c>
      <c r="Q94" s="1843">
        <v>13</v>
      </c>
      <c r="R94" s="1843">
        <v>5</v>
      </c>
    </row>
    <row r="95" spans="1:18" ht="16.5" customHeight="1" x14ac:dyDescent="0.25">
      <c r="A95" s="660" t="s">
        <v>234</v>
      </c>
      <c r="B95" s="661" t="s">
        <v>235</v>
      </c>
      <c r="C95" s="586" t="s">
        <v>268</v>
      </c>
      <c r="D95" s="662">
        <f t="shared" si="7"/>
        <v>62</v>
      </c>
      <c r="E95" s="663">
        <v>60</v>
      </c>
      <c r="F95" s="664">
        <v>0</v>
      </c>
      <c r="G95" s="1152">
        <v>0</v>
      </c>
      <c r="H95" s="1152">
        <v>0</v>
      </c>
      <c r="I95" s="1152">
        <v>0</v>
      </c>
      <c r="J95" s="1152">
        <v>1</v>
      </c>
      <c r="K95" s="1152">
        <v>1</v>
      </c>
      <c r="L95" s="665">
        <f t="shared" si="6"/>
        <v>1</v>
      </c>
      <c r="M95" s="1841"/>
      <c r="N95" s="1153">
        <v>7</v>
      </c>
      <c r="O95" s="675">
        <v>21</v>
      </c>
      <c r="P95" s="1153">
        <v>28</v>
      </c>
      <c r="Q95" s="1843">
        <v>5</v>
      </c>
      <c r="R95" s="1843">
        <v>1</v>
      </c>
    </row>
    <row r="96" spans="1:18" ht="16.5" customHeight="1" x14ac:dyDescent="0.25">
      <c r="A96" s="660" t="s">
        <v>236</v>
      </c>
      <c r="B96" s="661" t="s">
        <v>237</v>
      </c>
      <c r="C96" s="586" t="s">
        <v>266</v>
      </c>
      <c r="D96" s="662">
        <f t="shared" si="7"/>
        <v>9</v>
      </c>
      <c r="E96" s="663">
        <v>7</v>
      </c>
      <c r="F96" s="664">
        <v>1</v>
      </c>
      <c r="G96" s="664">
        <v>0</v>
      </c>
      <c r="H96" s="664">
        <v>0</v>
      </c>
      <c r="I96" s="664">
        <v>0</v>
      </c>
      <c r="J96" s="664">
        <v>1</v>
      </c>
      <c r="K96" s="664">
        <v>0</v>
      </c>
      <c r="L96" s="665">
        <f t="shared" si="6"/>
        <v>1</v>
      </c>
      <c r="M96" s="1841"/>
      <c r="N96" s="1153">
        <v>0</v>
      </c>
      <c r="O96" s="1153">
        <v>1</v>
      </c>
      <c r="P96" s="1153">
        <v>4</v>
      </c>
      <c r="Q96" s="1843">
        <v>3</v>
      </c>
      <c r="R96" s="1843">
        <v>1</v>
      </c>
    </row>
    <row r="97" spans="1:18" ht="16.5" customHeight="1" x14ac:dyDescent="0.25">
      <c r="A97" s="660" t="s">
        <v>242</v>
      </c>
      <c r="B97" s="661" t="s">
        <v>243</v>
      </c>
      <c r="C97" s="586" t="s">
        <v>268</v>
      </c>
      <c r="D97" s="662">
        <f t="shared" si="7"/>
        <v>155</v>
      </c>
      <c r="E97" s="663">
        <v>142</v>
      </c>
      <c r="F97" s="664">
        <v>9</v>
      </c>
      <c r="G97" s="664">
        <v>0</v>
      </c>
      <c r="H97" s="664">
        <v>0</v>
      </c>
      <c r="I97" s="664">
        <v>0</v>
      </c>
      <c r="J97" s="664">
        <v>4</v>
      </c>
      <c r="K97" s="664">
        <v>0</v>
      </c>
      <c r="L97" s="665">
        <f t="shared" si="6"/>
        <v>4</v>
      </c>
      <c r="M97" s="1153"/>
      <c r="N97" s="1153">
        <v>15</v>
      </c>
      <c r="O97" s="1153">
        <v>45</v>
      </c>
      <c r="P97" s="1153">
        <v>70</v>
      </c>
      <c r="Q97" s="1843">
        <v>19</v>
      </c>
      <c r="R97" s="1843">
        <v>6</v>
      </c>
    </row>
    <row r="98" spans="1:18" ht="16.5" customHeight="1" x14ac:dyDescent="0.25">
      <c r="A98" s="660" t="s">
        <v>244</v>
      </c>
      <c r="B98" s="661" t="s">
        <v>245</v>
      </c>
      <c r="C98" s="586" t="s">
        <v>268</v>
      </c>
      <c r="D98" s="662">
        <f t="shared" si="7"/>
        <v>51</v>
      </c>
      <c r="E98" s="663">
        <v>45</v>
      </c>
      <c r="F98" s="664">
        <v>0</v>
      </c>
      <c r="G98" s="1152">
        <v>0</v>
      </c>
      <c r="H98" s="1152">
        <v>0</v>
      </c>
      <c r="I98" s="1152">
        <v>0</v>
      </c>
      <c r="J98" s="1152">
        <v>6</v>
      </c>
      <c r="K98" s="1152">
        <v>0</v>
      </c>
      <c r="L98" s="665">
        <f t="shared" si="6"/>
        <v>6</v>
      </c>
      <c r="M98" s="665"/>
      <c r="N98" s="1153">
        <v>10</v>
      </c>
      <c r="O98" s="1153">
        <v>15</v>
      </c>
      <c r="P98" s="1153">
        <v>17</v>
      </c>
      <c r="Q98" s="1843">
        <v>9</v>
      </c>
      <c r="R98" s="1843">
        <v>0</v>
      </c>
    </row>
    <row r="99" spans="1:18" ht="16.5" customHeight="1" x14ac:dyDescent="0.25">
      <c r="A99" s="660" t="s">
        <v>246</v>
      </c>
      <c r="B99" s="661" t="s">
        <v>310</v>
      </c>
      <c r="C99" s="586" t="s">
        <v>264</v>
      </c>
      <c r="D99" s="662">
        <f t="shared" si="7"/>
        <v>24</v>
      </c>
      <c r="E99" s="663">
        <v>8</v>
      </c>
      <c r="F99" s="664">
        <v>10</v>
      </c>
      <c r="G99" s="664">
        <v>1</v>
      </c>
      <c r="H99" s="664">
        <v>0</v>
      </c>
      <c r="I99" s="664">
        <v>0</v>
      </c>
      <c r="J99" s="664">
        <v>4</v>
      </c>
      <c r="K99" s="664">
        <v>1</v>
      </c>
      <c r="L99" s="665">
        <f t="shared" si="6"/>
        <v>5</v>
      </c>
      <c r="M99" s="1841"/>
      <c r="N99" s="1153">
        <v>2</v>
      </c>
      <c r="O99" s="675">
        <v>7</v>
      </c>
      <c r="P99" s="1153">
        <v>5</v>
      </c>
      <c r="Q99" s="1843">
        <v>10</v>
      </c>
      <c r="R99" s="1843">
        <v>0</v>
      </c>
    </row>
    <row r="100" spans="1:18" ht="16.5" customHeight="1" x14ac:dyDescent="0.25">
      <c r="A100" s="660" t="s">
        <v>14</v>
      </c>
      <c r="B100" s="661" t="s">
        <v>15</v>
      </c>
      <c r="C100" s="586" t="s">
        <v>267</v>
      </c>
      <c r="D100" s="662">
        <f t="shared" si="7"/>
        <v>211</v>
      </c>
      <c r="E100" s="663">
        <v>47</v>
      </c>
      <c r="F100" s="664">
        <v>152</v>
      </c>
      <c r="G100" s="664">
        <v>0</v>
      </c>
      <c r="H100" s="664">
        <v>0</v>
      </c>
      <c r="I100" s="664">
        <v>0</v>
      </c>
      <c r="J100" s="664">
        <v>12</v>
      </c>
      <c r="K100" s="664">
        <v>0</v>
      </c>
      <c r="L100" s="665">
        <f t="shared" ref="L100:L124" si="8">G100+H100+I100+J100</f>
        <v>12</v>
      </c>
      <c r="M100" s="1842"/>
      <c r="N100" s="1153">
        <v>20</v>
      </c>
      <c r="O100" s="1153">
        <v>47</v>
      </c>
      <c r="P100" s="1153">
        <v>77</v>
      </c>
      <c r="Q100" s="1843">
        <v>37</v>
      </c>
      <c r="R100" s="1843">
        <v>30</v>
      </c>
    </row>
    <row r="101" spans="1:18" ht="16.5" customHeight="1" x14ac:dyDescent="0.25">
      <c r="A101" s="660" t="s">
        <v>34</v>
      </c>
      <c r="B101" s="661" t="s">
        <v>35</v>
      </c>
      <c r="C101" s="586" t="s">
        <v>268</v>
      </c>
      <c r="D101" s="662">
        <f t="shared" ref="D101:D124" si="9">SUM(E101:K101)</f>
        <v>48</v>
      </c>
      <c r="E101" s="663">
        <v>41</v>
      </c>
      <c r="F101" s="664">
        <v>0</v>
      </c>
      <c r="G101" s="1152">
        <v>0</v>
      </c>
      <c r="H101" s="1152">
        <v>0</v>
      </c>
      <c r="I101" s="1152">
        <v>0</v>
      </c>
      <c r="J101" s="1152">
        <v>7</v>
      </c>
      <c r="K101" s="1152">
        <v>0</v>
      </c>
      <c r="L101" s="665">
        <f t="shared" si="8"/>
        <v>7</v>
      </c>
      <c r="M101" s="1841"/>
      <c r="N101" s="1153">
        <v>7</v>
      </c>
      <c r="O101" s="675">
        <v>20</v>
      </c>
      <c r="P101" s="1153">
        <v>14</v>
      </c>
      <c r="Q101" s="1843">
        <v>6</v>
      </c>
      <c r="R101" s="1843">
        <v>1</v>
      </c>
    </row>
    <row r="102" spans="1:18" ht="16.5" customHeight="1" x14ac:dyDescent="0.25">
      <c r="A102" s="660" t="s">
        <v>52</v>
      </c>
      <c r="B102" s="661" t="s">
        <v>53</v>
      </c>
      <c r="C102" s="586" t="s">
        <v>265</v>
      </c>
      <c r="D102" s="662">
        <f t="shared" si="9"/>
        <v>98</v>
      </c>
      <c r="E102" s="663">
        <v>39</v>
      </c>
      <c r="F102" s="664">
        <v>44</v>
      </c>
      <c r="G102" s="664">
        <v>2</v>
      </c>
      <c r="H102" s="664">
        <v>0</v>
      </c>
      <c r="I102" s="664">
        <v>0</v>
      </c>
      <c r="J102" s="664">
        <v>13</v>
      </c>
      <c r="K102" s="664">
        <v>0</v>
      </c>
      <c r="L102" s="665">
        <f t="shared" si="8"/>
        <v>15</v>
      </c>
      <c r="M102" s="1841"/>
      <c r="N102" s="1153">
        <v>7</v>
      </c>
      <c r="O102" s="1153">
        <v>28</v>
      </c>
      <c r="P102" s="1153">
        <v>34</v>
      </c>
      <c r="Q102" s="1843">
        <v>21</v>
      </c>
      <c r="R102" s="1843">
        <v>8</v>
      </c>
    </row>
    <row r="103" spans="1:18" ht="16.5" customHeight="1" x14ac:dyDescent="0.25">
      <c r="A103" s="660" t="s">
        <v>54</v>
      </c>
      <c r="B103" s="661" t="s">
        <v>55</v>
      </c>
      <c r="C103" s="586" t="s">
        <v>264</v>
      </c>
      <c r="D103" s="662">
        <f t="shared" si="9"/>
        <v>131</v>
      </c>
      <c r="E103" s="663">
        <v>48</v>
      </c>
      <c r="F103" s="664">
        <v>70</v>
      </c>
      <c r="G103" s="664">
        <v>0</v>
      </c>
      <c r="H103" s="664">
        <v>0</v>
      </c>
      <c r="I103" s="664">
        <v>0</v>
      </c>
      <c r="J103" s="664">
        <v>13</v>
      </c>
      <c r="K103" s="664">
        <v>0</v>
      </c>
      <c r="L103" s="665">
        <f t="shared" si="8"/>
        <v>13</v>
      </c>
      <c r="M103" s="1841"/>
      <c r="N103" s="1153">
        <v>9</v>
      </c>
      <c r="O103" s="1153">
        <v>33</v>
      </c>
      <c r="P103" s="1153">
        <v>57</v>
      </c>
      <c r="Q103" s="1843">
        <v>24</v>
      </c>
      <c r="R103" s="1843">
        <v>8</v>
      </c>
    </row>
    <row r="104" spans="1:18" ht="16.5" customHeight="1" x14ac:dyDescent="0.25">
      <c r="A104" s="660" t="s">
        <v>66</v>
      </c>
      <c r="B104" s="661" t="s">
        <v>67</v>
      </c>
      <c r="C104" s="586" t="s">
        <v>265</v>
      </c>
      <c r="D104" s="662">
        <f t="shared" si="9"/>
        <v>46</v>
      </c>
      <c r="E104" s="663">
        <v>18</v>
      </c>
      <c r="F104" s="664">
        <v>27</v>
      </c>
      <c r="G104" s="664">
        <v>0</v>
      </c>
      <c r="H104" s="664">
        <v>0</v>
      </c>
      <c r="I104" s="664">
        <v>0</v>
      </c>
      <c r="J104" s="664">
        <v>1</v>
      </c>
      <c r="K104" s="664">
        <v>0</v>
      </c>
      <c r="L104" s="665">
        <f t="shared" si="8"/>
        <v>1</v>
      </c>
      <c r="M104" s="1841"/>
      <c r="N104" s="1153">
        <v>3</v>
      </c>
      <c r="O104" s="675">
        <v>7</v>
      </c>
      <c r="P104" s="1153">
        <v>12</v>
      </c>
      <c r="Q104" s="1843">
        <v>13</v>
      </c>
      <c r="R104" s="1843">
        <v>11</v>
      </c>
    </row>
    <row r="105" spans="1:18" ht="16.5" customHeight="1" x14ac:dyDescent="0.25">
      <c r="A105" s="660" t="s">
        <v>82</v>
      </c>
      <c r="B105" s="661" t="s">
        <v>311</v>
      </c>
      <c r="C105" s="586" t="s">
        <v>264</v>
      </c>
      <c r="D105" s="662">
        <f t="shared" si="9"/>
        <v>1</v>
      </c>
      <c r="E105" s="663">
        <v>0</v>
      </c>
      <c r="F105" s="664">
        <v>1</v>
      </c>
      <c r="G105" s="664">
        <v>0</v>
      </c>
      <c r="H105" s="664">
        <v>0</v>
      </c>
      <c r="I105" s="664">
        <v>0</v>
      </c>
      <c r="J105" s="664">
        <v>0</v>
      </c>
      <c r="K105" s="664">
        <v>0</v>
      </c>
      <c r="L105" s="665">
        <f t="shared" si="8"/>
        <v>0</v>
      </c>
      <c r="M105" s="1153"/>
      <c r="N105" s="1153">
        <v>0</v>
      </c>
      <c r="O105" s="1153">
        <v>0</v>
      </c>
      <c r="P105" s="1153">
        <v>1</v>
      </c>
      <c r="Q105" s="1843">
        <v>0</v>
      </c>
      <c r="R105" s="1843">
        <v>0</v>
      </c>
    </row>
    <row r="106" spans="1:18" ht="16.5" customHeight="1" x14ac:dyDescent="0.25">
      <c r="A106" s="660" t="s">
        <v>88</v>
      </c>
      <c r="B106" s="661" t="s">
        <v>89</v>
      </c>
      <c r="C106" s="586" t="s">
        <v>267</v>
      </c>
      <c r="D106" s="662">
        <f t="shared" si="9"/>
        <v>96</v>
      </c>
      <c r="E106" s="663">
        <v>36</v>
      </c>
      <c r="F106" s="664">
        <v>43</v>
      </c>
      <c r="G106" s="664">
        <v>0</v>
      </c>
      <c r="H106" s="664">
        <v>0</v>
      </c>
      <c r="I106" s="664">
        <v>0</v>
      </c>
      <c r="J106" s="664">
        <v>17</v>
      </c>
      <c r="K106" s="664">
        <v>0</v>
      </c>
      <c r="L106" s="665">
        <f t="shared" si="8"/>
        <v>17</v>
      </c>
      <c r="M106" s="1842"/>
      <c r="N106" s="1153">
        <v>16</v>
      </c>
      <c r="O106" s="1153">
        <v>35</v>
      </c>
      <c r="P106" s="1153">
        <v>24</v>
      </c>
      <c r="Q106" s="1843">
        <v>16</v>
      </c>
      <c r="R106" s="1843">
        <v>5</v>
      </c>
    </row>
    <row r="107" spans="1:18" ht="16.5" customHeight="1" x14ac:dyDescent="0.25">
      <c r="A107" s="660" t="s">
        <v>90</v>
      </c>
      <c r="B107" s="661" t="s">
        <v>91</v>
      </c>
      <c r="C107" s="586" t="s">
        <v>268</v>
      </c>
      <c r="D107" s="662">
        <f t="shared" si="9"/>
        <v>13</v>
      </c>
      <c r="E107" s="663">
        <v>10</v>
      </c>
      <c r="F107" s="664">
        <v>2</v>
      </c>
      <c r="G107" s="664">
        <v>0</v>
      </c>
      <c r="H107" s="664">
        <v>0</v>
      </c>
      <c r="I107" s="664">
        <v>0</v>
      </c>
      <c r="J107" s="664">
        <v>0</v>
      </c>
      <c r="K107" s="664">
        <v>1</v>
      </c>
      <c r="L107" s="665">
        <f t="shared" si="8"/>
        <v>0</v>
      </c>
      <c r="M107" s="675"/>
      <c r="N107" s="1153">
        <v>2</v>
      </c>
      <c r="O107" s="1153">
        <v>5</v>
      </c>
      <c r="P107" s="1153">
        <v>3</v>
      </c>
      <c r="Q107" s="1843">
        <v>3</v>
      </c>
      <c r="R107" s="1843">
        <v>0</v>
      </c>
    </row>
    <row r="108" spans="1:18" ht="16.5" customHeight="1" x14ac:dyDescent="0.25">
      <c r="A108" s="660" t="s">
        <v>106</v>
      </c>
      <c r="B108" s="661" t="s">
        <v>107</v>
      </c>
      <c r="C108" s="586" t="s">
        <v>264</v>
      </c>
      <c r="D108" s="662">
        <f t="shared" si="9"/>
        <v>144</v>
      </c>
      <c r="E108" s="663">
        <v>42</v>
      </c>
      <c r="F108" s="664">
        <v>86</v>
      </c>
      <c r="G108" s="664">
        <v>0</v>
      </c>
      <c r="H108" s="664">
        <v>0</v>
      </c>
      <c r="I108" s="664">
        <v>0</v>
      </c>
      <c r="J108" s="664">
        <v>16</v>
      </c>
      <c r="K108" s="664">
        <v>0</v>
      </c>
      <c r="L108" s="665">
        <f t="shared" si="8"/>
        <v>16</v>
      </c>
      <c r="M108" s="1841"/>
      <c r="N108" s="1153">
        <v>3</v>
      </c>
      <c r="O108" s="1153">
        <v>27</v>
      </c>
      <c r="P108" s="1153">
        <v>63</v>
      </c>
      <c r="Q108" s="1843">
        <v>33</v>
      </c>
      <c r="R108" s="1843">
        <v>18</v>
      </c>
    </row>
    <row r="109" spans="1:18" ht="16.5" customHeight="1" x14ac:dyDescent="0.25">
      <c r="A109" s="660" t="s">
        <v>116</v>
      </c>
      <c r="B109" s="661" t="s">
        <v>117</v>
      </c>
      <c r="C109" s="586" t="s">
        <v>266</v>
      </c>
      <c r="D109" s="662">
        <f t="shared" si="9"/>
        <v>31</v>
      </c>
      <c r="E109" s="663">
        <v>12</v>
      </c>
      <c r="F109" s="664">
        <v>17</v>
      </c>
      <c r="G109" s="664">
        <v>0</v>
      </c>
      <c r="H109" s="664">
        <v>0</v>
      </c>
      <c r="I109" s="664">
        <v>0</v>
      </c>
      <c r="J109" s="664">
        <v>2</v>
      </c>
      <c r="K109" s="664">
        <v>0</v>
      </c>
      <c r="L109" s="665">
        <f t="shared" si="8"/>
        <v>2</v>
      </c>
      <c r="M109" s="1153"/>
      <c r="N109" s="1153">
        <v>5</v>
      </c>
      <c r="O109" s="675">
        <v>14</v>
      </c>
      <c r="P109" s="1153">
        <v>10</v>
      </c>
      <c r="Q109" s="1843">
        <v>2</v>
      </c>
      <c r="R109" s="1843">
        <v>0</v>
      </c>
    </row>
    <row r="110" spans="1:18" ht="16.5" customHeight="1" x14ac:dyDescent="0.25">
      <c r="A110" s="660" t="s">
        <v>138</v>
      </c>
      <c r="B110" s="661" t="s">
        <v>139</v>
      </c>
      <c r="C110" s="586" t="s">
        <v>265</v>
      </c>
      <c r="D110" s="662">
        <f t="shared" si="9"/>
        <v>301</v>
      </c>
      <c r="E110" s="663">
        <v>84</v>
      </c>
      <c r="F110" s="664">
        <v>170</v>
      </c>
      <c r="G110" s="664">
        <v>0</v>
      </c>
      <c r="H110" s="664">
        <v>0</v>
      </c>
      <c r="I110" s="664">
        <v>1</v>
      </c>
      <c r="J110" s="664">
        <v>45</v>
      </c>
      <c r="K110" s="664">
        <v>1</v>
      </c>
      <c r="L110" s="665">
        <f t="shared" si="8"/>
        <v>46</v>
      </c>
      <c r="M110" s="1842"/>
      <c r="N110" s="1153">
        <v>18</v>
      </c>
      <c r="O110" s="1153">
        <v>83</v>
      </c>
      <c r="P110" s="1153">
        <v>129</v>
      </c>
      <c r="Q110" s="1843">
        <v>48</v>
      </c>
      <c r="R110" s="1843">
        <v>23</v>
      </c>
    </row>
    <row r="111" spans="1:18" ht="16.5" customHeight="1" x14ac:dyDescent="0.25">
      <c r="A111" s="660" t="s">
        <v>142</v>
      </c>
      <c r="B111" s="661" t="s">
        <v>143</v>
      </c>
      <c r="C111" s="586" t="s">
        <v>267</v>
      </c>
      <c r="D111" s="662">
        <f t="shared" si="9"/>
        <v>11</v>
      </c>
      <c r="E111" s="663">
        <v>3</v>
      </c>
      <c r="F111" s="664">
        <v>4</v>
      </c>
      <c r="G111" s="664">
        <v>0</v>
      </c>
      <c r="H111" s="664">
        <v>0</v>
      </c>
      <c r="I111" s="664">
        <v>0</v>
      </c>
      <c r="J111" s="664">
        <v>4</v>
      </c>
      <c r="K111" s="664">
        <v>0</v>
      </c>
      <c r="L111" s="665">
        <f t="shared" si="8"/>
        <v>4</v>
      </c>
      <c r="M111" s="668"/>
      <c r="N111" s="1153">
        <v>1</v>
      </c>
      <c r="O111" s="675">
        <v>0</v>
      </c>
      <c r="P111" s="1153">
        <v>4</v>
      </c>
      <c r="Q111" s="1843">
        <v>4</v>
      </c>
      <c r="R111" s="1843">
        <v>2</v>
      </c>
    </row>
    <row r="112" spans="1:18" ht="16.5" customHeight="1" x14ac:dyDescent="0.25">
      <c r="A112" s="660" t="s">
        <v>144</v>
      </c>
      <c r="B112" s="661" t="s">
        <v>145</v>
      </c>
      <c r="C112" s="586" t="s">
        <v>267</v>
      </c>
      <c r="D112" s="662">
        <f t="shared" si="9"/>
        <v>0</v>
      </c>
      <c r="E112" s="663">
        <v>0</v>
      </c>
      <c r="F112" s="664">
        <v>0</v>
      </c>
      <c r="G112" s="1152">
        <v>0</v>
      </c>
      <c r="H112" s="1152">
        <v>0</v>
      </c>
      <c r="I112" s="1152">
        <v>0</v>
      </c>
      <c r="J112" s="1152">
        <v>0</v>
      </c>
      <c r="K112" s="1152">
        <v>0</v>
      </c>
      <c r="L112" s="665">
        <f t="shared" si="8"/>
        <v>0</v>
      </c>
      <c r="M112" s="1153"/>
      <c r="N112" s="1153">
        <v>0</v>
      </c>
      <c r="O112" s="1153">
        <v>0</v>
      </c>
      <c r="P112" s="1153">
        <v>0</v>
      </c>
      <c r="Q112" s="1843">
        <v>0</v>
      </c>
      <c r="R112" s="1843">
        <v>0</v>
      </c>
    </row>
    <row r="113" spans="1:18" ht="16.5" customHeight="1" x14ac:dyDescent="0.25">
      <c r="A113" s="660" t="s">
        <v>158</v>
      </c>
      <c r="B113" s="661" t="s">
        <v>159</v>
      </c>
      <c r="C113" s="586" t="s">
        <v>264</v>
      </c>
      <c r="D113" s="662">
        <f t="shared" si="9"/>
        <v>295</v>
      </c>
      <c r="E113" s="663">
        <v>51</v>
      </c>
      <c r="F113" s="664">
        <v>215</v>
      </c>
      <c r="G113" s="664">
        <v>2</v>
      </c>
      <c r="H113" s="664">
        <v>0</v>
      </c>
      <c r="I113" s="664">
        <v>0</v>
      </c>
      <c r="J113" s="664">
        <v>27</v>
      </c>
      <c r="K113" s="664">
        <v>0</v>
      </c>
      <c r="L113" s="665">
        <f t="shared" si="8"/>
        <v>29</v>
      </c>
      <c r="M113" s="1842"/>
      <c r="N113" s="1153">
        <v>18</v>
      </c>
      <c r="O113" s="1153">
        <v>84</v>
      </c>
      <c r="P113" s="1153">
        <v>99</v>
      </c>
      <c r="Q113" s="1843">
        <v>60</v>
      </c>
      <c r="R113" s="1843">
        <v>34</v>
      </c>
    </row>
    <row r="114" spans="1:18" ht="16.5" customHeight="1" x14ac:dyDescent="0.25">
      <c r="A114" s="660" t="s">
        <v>160</v>
      </c>
      <c r="B114" s="661" t="s">
        <v>161</v>
      </c>
      <c r="C114" s="586" t="s">
        <v>264</v>
      </c>
      <c r="D114" s="662">
        <f t="shared" si="9"/>
        <v>214</v>
      </c>
      <c r="E114" s="663">
        <v>30</v>
      </c>
      <c r="F114" s="664">
        <v>160</v>
      </c>
      <c r="G114" s="664">
        <v>4</v>
      </c>
      <c r="H114" s="664">
        <v>3</v>
      </c>
      <c r="I114" s="664">
        <v>0</v>
      </c>
      <c r="J114" s="664">
        <v>17</v>
      </c>
      <c r="K114" s="664">
        <v>0</v>
      </c>
      <c r="L114" s="665">
        <f t="shared" si="8"/>
        <v>24</v>
      </c>
      <c r="M114" s="1842"/>
      <c r="N114" s="1153">
        <v>18</v>
      </c>
      <c r="O114" s="1153">
        <v>74</v>
      </c>
      <c r="P114" s="1153">
        <v>66</v>
      </c>
      <c r="Q114" s="1843">
        <v>46</v>
      </c>
      <c r="R114" s="1843">
        <v>10</v>
      </c>
    </row>
    <row r="115" spans="1:18" ht="16.5" customHeight="1" x14ac:dyDescent="0.25">
      <c r="A115" s="660" t="s">
        <v>166</v>
      </c>
      <c r="B115" s="661" t="s">
        <v>167</v>
      </c>
      <c r="C115" s="586" t="s">
        <v>268</v>
      </c>
      <c r="D115" s="662">
        <f t="shared" si="9"/>
        <v>13</v>
      </c>
      <c r="E115" s="663">
        <v>11</v>
      </c>
      <c r="F115" s="664">
        <v>0</v>
      </c>
      <c r="G115" s="1152">
        <v>0</v>
      </c>
      <c r="H115" s="1152">
        <v>0</v>
      </c>
      <c r="I115" s="1152">
        <v>0</v>
      </c>
      <c r="J115" s="1152">
        <v>2</v>
      </c>
      <c r="K115" s="1152">
        <v>0</v>
      </c>
      <c r="L115" s="665">
        <f t="shared" si="8"/>
        <v>2</v>
      </c>
      <c r="M115" s="1842"/>
      <c r="N115" s="1153">
        <v>1</v>
      </c>
      <c r="O115" s="1153">
        <v>1</v>
      </c>
      <c r="P115" s="1153">
        <v>4</v>
      </c>
      <c r="Q115" s="1843">
        <v>4</v>
      </c>
      <c r="R115" s="1843">
        <v>3</v>
      </c>
    </row>
    <row r="116" spans="1:18" ht="16.5" customHeight="1" x14ac:dyDescent="0.25">
      <c r="A116" s="660" t="s">
        <v>176</v>
      </c>
      <c r="B116" s="661" t="s">
        <v>177</v>
      </c>
      <c r="C116" s="586" t="s">
        <v>266</v>
      </c>
      <c r="D116" s="662">
        <f t="shared" si="9"/>
        <v>138</v>
      </c>
      <c r="E116" s="663">
        <v>26</v>
      </c>
      <c r="F116" s="664">
        <v>86</v>
      </c>
      <c r="G116" s="664">
        <v>0</v>
      </c>
      <c r="H116" s="664">
        <v>0</v>
      </c>
      <c r="I116" s="664">
        <v>0</v>
      </c>
      <c r="J116" s="664">
        <v>23</v>
      </c>
      <c r="K116" s="664">
        <v>3</v>
      </c>
      <c r="L116" s="665">
        <f t="shared" si="8"/>
        <v>23</v>
      </c>
      <c r="M116" s="1841"/>
      <c r="N116" s="1153">
        <v>24</v>
      </c>
      <c r="O116" s="675">
        <v>44</v>
      </c>
      <c r="P116" s="1153">
        <v>42</v>
      </c>
      <c r="Q116" s="1843">
        <v>22</v>
      </c>
      <c r="R116" s="1843">
        <v>6</v>
      </c>
    </row>
    <row r="117" spans="1:18" ht="16.5" customHeight="1" x14ac:dyDescent="0.25">
      <c r="A117" s="660" t="s">
        <v>180</v>
      </c>
      <c r="B117" s="661" t="s">
        <v>181</v>
      </c>
      <c r="C117" s="586" t="s">
        <v>264</v>
      </c>
      <c r="D117" s="662">
        <f t="shared" si="9"/>
        <v>146</v>
      </c>
      <c r="E117" s="663">
        <v>32</v>
      </c>
      <c r="F117" s="664">
        <v>105</v>
      </c>
      <c r="G117" s="664">
        <v>0</v>
      </c>
      <c r="H117" s="664">
        <v>0</v>
      </c>
      <c r="I117" s="664">
        <v>0</v>
      </c>
      <c r="J117" s="664">
        <v>9</v>
      </c>
      <c r="K117" s="664">
        <v>0</v>
      </c>
      <c r="L117" s="665">
        <f t="shared" si="8"/>
        <v>9</v>
      </c>
      <c r="M117" s="1841"/>
      <c r="N117" s="1153">
        <v>11</v>
      </c>
      <c r="O117" s="1153">
        <v>29</v>
      </c>
      <c r="P117" s="1153">
        <v>60</v>
      </c>
      <c r="Q117" s="1843">
        <v>30</v>
      </c>
      <c r="R117" s="1843">
        <v>16</v>
      </c>
    </row>
    <row r="118" spans="1:18" ht="16.5" customHeight="1" x14ac:dyDescent="0.25">
      <c r="A118" s="660" t="s">
        <v>192</v>
      </c>
      <c r="B118" s="661" t="s">
        <v>193</v>
      </c>
      <c r="C118" s="586" t="s">
        <v>268</v>
      </c>
      <c r="D118" s="662">
        <f t="shared" si="9"/>
        <v>27</v>
      </c>
      <c r="E118" s="663">
        <v>23</v>
      </c>
      <c r="F118" s="664">
        <v>3</v>
      </c>
      <c r="G118" s="664">
        <v>0</v>
      </c>
      <c r="H118" s="664">
        <v>0</v>
      </c>
      <c r="I118" s="664">
        <v>0</v>
      </c>
      <c r="J118" s="664">
        <v>1</v>
      </c>
      <c r="K118" s="664">
        <v>0</v>
      </c>
      <c r="L118" s="665">
        <f t="shared" si="8"/>
        <v>1</v>
      </c>
      <c r="M118" s="668"/>
      <c r="N118" s="1153">
        <v>4</v>
      </c>
      <c r="O118" s="1153">
        <v>6</v>
      </c>
      <c r="P118" s="1153">
        <v>10</v>
      </c>
      <c r="Q118" s="1843">
        <v>6</v>
      </c>
      <c r="R118" s="1843">
        <v>1</v>
      </c>
    </row>
    <row r="119" spans="1:18" ht="16.5" customHeight="1" x14ac:dyDescent="0.25">
      <c r="A119" s="660" t="s">
        <v>196</v>
      </c>
      <c r="B119" s="661" t="s">
        <v>312</v>
      </c>
      <c r="C119" s="586" t="s">
        <v>266</v>
      </c>
      <c r="D119" s="662">
        <f t="shared" si="9"/>
        <v>434</v>
      </c>
      <c r="E119" s="663">
        <v>48</v>
      </c>
      <c r="F119" s="664">
        <v>364</v>
      </c>
      <c r="G119" s="664">
        <v>0</v>
      </c>
      <c r="H119" s="664">
        <v>2</v>
      </c>
      <c r="I119" s="664">
        <v>0</v>
      </c>
      <c r="J119" s="664">
        <v>17</v>
      </c>
      <c r="K119" s="664">
        <v>3</v>
      </c>
      <c r="L119" s="665">
        <f t="shared" si="8"/>
        <v>19</v>
      </c>
      <c r="M119" s="1841"/>
      <c r="N119" s="1153">
        <v>19</v>
      </c>
      <c r="O119" s="1153">
        <v>97</v>
      </c>
      <c r="P119" s="1153">
        <v>173</v>
      </c>
      <c r="Q119" s="1843">
        <v>107</v>
      </c>
      <c r="R119" s="1843">
        <v>38</v>
      </c>
    </row>
    <row r="120" spans="1:18" ht="16.5" customHeight="1" x14ac:dyDescent="0.25">
      <c r="A120" s="660" t="s">
        <v>200</v>
      </c>
      <c r="B120" s="661" t="s">
        <v>313</v>
      </c>
      <c r="C120" s="586" t="s">
        <v>265</v>
      </c>
      <c r="D120" s="662">
        <f t="shared" si="9"/>
        <v>380</v>
      </c>
      <c r="E120" s="663">
        <v>203</v>
      </c>
      <c r="F120" s="664">
        <v>122</v>
      </c>
      <c r="G120" s="664">
        <v>0</v>
      </c>
      <c r="H120" s="664">
        <v>1</v>
      </c>
      <c r="I120" s="664">
        <v>1</v>
      </c>
      <c r="J120" s="664">
        <v>52</v>
      </c>
      <c r="K120" s="664">
        <v>1</v>
      </c>
      <c r="L120" s="665">
        <f t="shared" si="8"/>
        <v>54</v>
      </c>
      <c r="M120" s="1842"/>
      <c r="N120" s="1153">
        <v>35</v>
      </c>
      <c r="O120" s="1153">
        <v>134</v>
      </c>
      <c r="P120" s="1153">
        <v>119</v>
      </c>
      <c r="Q120" s="1843">
        <v>73</v>
      </c>
      <c r="R120" s="1843">
        <v>19</v>
      </c>
    </row>
    <row r="121" spans="1:18" ht="16.5" customHeight="1" x14ac:dyDescent="0.25">
      <c r="A121" s="660" t="s">
        <v>222</v>
      </c>
      <c r="B121" s="661" t="s">
        <v>223</v>
      </c>
      <c r="C121" s="586" t="s">
        <v>264</v>
      </c>
      <c r="D121" s="662">
        <f t="shared" si="9"/>
        <v>34</v>
      </c>
      <c r="E121" s="663">
        <v>6</v>
      </c>
      <c r="F121" s="664">
        <v>25</v>
      </c>
      <c r="G121" s="664">
        <v>1</v>
      </c>
      <c r="H121" s="664">
        <v>0</v>
      </c>
      <c r="I121" s="664">
        <v>0</v>
      </c>
      <c r="J121" s="664">
        <v>1</v>
      </c>
      <c r="K121" s="664">
        <v>1</v>
      </c>
      <c r="L121" s="665">
        <f t="shared" si="8"/>
        <v>2</v>
      </c>
      <c r="M121" s="668"/>
      <c r="N121" s="1153">
        <v>0</v>
      </c>
      <c r="O121" s="1153">
        <v>4</v>
      </c>
      <c r="P121" s="1153">
        <v>23</v>
      </c>
      <c r="Q121" s="1843">
        <v>6</v>
      </c>
      <c r="R121" s="1843">
        <v>1</v>
      </c>
    </row>
    <row r="122" spans="1:18" ht="16.5" customHeight="1" x14ac:dyDescent="0.25">
      <c r="A122" s="660" t="s">
        <v>230</v>
      </c>
      <c r="B122" s="661" t="s">
        <v>231</v>
      </c>
      <c r="C122" s="586" t="s">
        <v>264</v>
      </c>
      <c r="D122" s="662">
        <f t="shared" si="9"/>
        <v>270</v>
      </c>
      <c r="E122" s="663">
        <v>128</v>
      </c>
      <c r="F122" s="664">
        <v>100</v>
      </c>
      <c r="G122" s="664">
        <v>1</v>
      </c>
      <c r="H122" s="664">
        <v>2</v>
      </c>
      <c r="I122" s="664">
        <v>0</v>
      </c>
      <c r="J122" s="664">
        <v>37</v>
      </c>
      <c r="K122" s="664">
        <v>2</v>
      </c>
      <c r="L122" s="665">
        <f t="shared" si="8"/>
        <v>40</v>
      </c>
      <c r="M122" s="1842"/>
      <c r="N122" s="1153">
        <v>13</v>
      </c>
      <c r="O122" s="1153">
        <v>71</v>
      </c>
      <c r="P122" s="1153">
        <v>120</v>
      </c>
      <c r="Q122" s="1843">
        <v>59</v>
      </c>
      <c r="R122" s="1843">
        <v>7</v>
      </c>
    </row>
    <row r="123" spans="1:18" ht="16.5" customHeight="1" x14ac:dyDescent="0.25">
      <c r="A123" s="660" t="s">
        <v>238</v>
      </c>
      <c r="B123" s="661" t="s">
        <v>239</v>
      </c>
      <c r="C123" s="586" t="s">
        <v>264</v>
      </c>
      <c r="D123" s="662">
        <f t="shared" si="9"/>
        <v>14</v>
      </c>
      <c r="E123" s="663">
        <v>3</v>
      </c>
      <c r="F123" s="664">
        <v>11</v>
      </c>
      <c r="G123" s="664">
        <v>0</v>
      </c>
      <c r="H123" s="664">
        <v>0</v>
      </c>
      <c r="I123" s="664">
        <v>0</v>
      </c>
      <c r="J123" s="664">
        <v>0</v>
      </c>
      <c r="K123" s="664">
        <v>0</v>
      </c>
      <c r="L123" s="665">
        <f t="shared" si="8"/>
        <v>0</v>
      </c>
      <c r="M123" s="1153"/>
      <c r="N123" s="1153">
        <v>3</v>
      </c>
      <c r="O123" s="1153">
        <v>4</v>
      </c>
      <c r="P123" s="1153">
        <v>3</v>
      </c>
      <c r="Q123" s="1843">
        <v>4</v>
      </c>
      <c r="R123" s="1843">
        <v>0</v>
      </c>
    </row>
    <row r="124" spans="1:18" ht="16.5" customHeight="1" x14ac:dyDescent="0.25">
      <c r="A124" s="660" t="s">
        <v>240</v>
      </c>
      <c r="B124" s="661" t="s">
        <v>241</v>
      </c>
      <c r="C124" s="586" t="s">
        <v>267</v>
      </c>
      <c r="D124" s="662">
        <f t="shared" si="9"/>
        <v>47</v>
      </c>
      <c r="E124" s="663">
        <v>35</v>
      </c>
      <c r="F124" s="664">
        <v>6</v>
      </c>
      <c r="G124" s="664">
        <v>1</v>
      </c>
      <c r="H124" s="664">
        <v>0</v>
      </c>
      <c r="I124" s="664">
        <v>0</v>
      </c>
      <c r="J124" s="664">
        <v>4</v>
      </c>
      <c r="K124" s="664">
        <v>1</v>
      </c>
      <c r="L124" s="665">
        <f t="shared" si="8"/>
        <v>5</v>
      </c>
      <c r="M124" s="1841"/>
      <c r="N124" s="1153">
        <v>8</v>
      </c>
      <c r="O124" s="1153">
        <v>14</v>
      </c>
      <c r="P124" s="1153">
        <v>12</v>
      </c>
      <c r="Q124" s="1843">
        <v>10</v>
      </c>
      <c r="R124" s="1843">
        <v>3</v>
      </c>
    </row>
    <row r="125" spans="1:18" x14ac:dyDescent="0.25">
      <c r="D125" s="665"/>
      <c r="E125" s="665"/>
      <c r="F125" s="665"/>
      <c r="G125" s="665"/>
      <c r="H125" s="665"/>
      <c r="I125" s="665"/>
      <c r="J125" s="665"/>
      <c r="K125" s="665"/>
      <c r="L125" s="665"/>
      <c r="M125" s="665"/>
      <c r="N125" s="665"/>
      <c r="O125" s="665"/>
      <c r="P125" s="665"/>
    </row>
    <row r="126" spans="1:18" ht="32.25" customHeight="1" x14ac:dyDescent="0.25">
      <c r="A126" s="2124" t="s">
        <v>1231</v>
      </c>
      <c r="B126" s="2123"/>
      <c r="C126" s="2123"/>
      <c r="D126" s="2123"/>
      <c r="E126" s="2123"/>
      <c r="F126" s="2123"/>
      <c r="G126" s="2123"/>
      <c r="H126" s="2123"/>
      <c r="I126" s="2123"/>
      <c r="J126" s="2123"/>
      <c r="K126" s="2123"/>
      <c r="L126" s="2123"/>
      <c r="M126" s="2123"/>
      <c r="N126" s="676"/>
      <c r="O126" s="676"/>
      <c r="P126" s="676"/>
      <c r="Q126" s="676"/>
      <c r="R126" s="676"/>
    </row>
    <row r="127" spans="1:18" x14ac:dyDescent="0.25">
      <c r="A127" s="394" t="s">
        <v>1232</v>
      </c>
    </row>
    <row r="129" spans="1:3" s="414" customFormat="1" x14ac:dyDescent="0.25">
      <c r="A129" s="414" t="s">
        <v>248</v>
      </c>
    </row>
    <row r="130" spans="1:3" s="414" customFormat="1" x14ac:dyDescent="0.25">
      <c r="A130" s="415" t="s">
        <v>249</v>
      </c>
      <c r="B130" s="416" t="s">
        <v>250</v>
      </c>
      <c r="C130" s="416"/>
    </row>
  </sheetData>
  <autoFilter ref="A3:C3"/>
  <sortState ref="A5:R124">
    <sortCondition ref="A5:A124"/>
  </sortState>
  <mergeCells count="1">
    <mergeCell ref="A126:M126"/>
  </mergeCells>
  <hyperlinks>
    <hyperlink ref="B130" r:id="rId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41"/>
  <sheetViews>
    <sheetView workbookViewId="0">
      <pane ySplit="5" topLeftCell="A112" activePane="bottomLeft" state="frozen"/>
      <selection pane="bottomLeft" activeCell="K83" sqref="K83"/>
    </sheetView>
  </sheetViews>
  <sheetFormatPr defaultRowHeight="15.75" x14ac:dyDescent="0.25"/>
  <cols>
    <col min="1" max="1" width="9.125" style="687" customWidth="1"/>
    <col min="2" max="2" width="29" style="687" customWidth="1"/>
    <col min="3" max="3" width="11.25" style="687" customWidth="1"/>
    <col min="4" max="4" width="10.125" style="731" bestFit="1" customWidth="1"/>
    <col min="5" max="7" width="9.125" style="731" bestFit="1" customWidth="1"/>
    <col min="8" max="8" width="9.125" style="731" customWidth="1"/>
    <col min="9" max="9" width="9.125" style="731" bestFit="1" customWidth="1"/>
    <col min="10" max="10" width="12.75" style="731" customWidth="1"/>
    <col min="11" max="11" width="4.875" style="731" customWidth="1"/>
    <col min="12" max="16384" width="9" style="731"/>
  </cols>
  <sheetData>
    <row r="1" spans="1:10" x14ac:dyDescent="0.25">
      <c r="A1" s="64" t="s">
        <v>1259</v>
      </c>
      <c r="B1" s="731"/>
      <c r="C1" s="731"/>
    </row>
    <row r="2" spans="1:10" x14ac:dyDescent="0.25">
      <c r="A2" s="731"/>
      <c r="B2" s="731"/>
      <c r="C2" s="731"/>
    </row>
    <row r="3" spans="1:10" x14ac:dyDescent="0.25">
      <c r="A3" s="731"/>
      <c r="B3" s="731"/>
      <c r="C3" s="731"/>
      <c r="D3" s="64"/>
      <c r="E3" s="2081" t="s">
        <v>778</v>
      </c>
      <c r="F3" s="2081"/>
      <c r="G3" s="2081"/>
      <c r="H3" s="2081"/>
      <c r="I3" s="2127" t="s">
        <v>779</v>
      </c>
      <c r="J3" s="2127"/>
    </row>
    <row r="4" spans="1:10" x14ac:dyDescent="0.25">
      <c r="A4" s="688" t="s">
        <v>4</v>
      </c>
      <c r="B4" s="700" t="s">
        <v>5</v>
      </c>
      <c r="C4" s="688" t="s">
        <v>251</v>
      </c>
      <c r="D4" s="854" t="s">
        <v>281</v>
      </c>
      <c r="E4" s="854" t="s">
        <v>2</v>
      </c>
      <c r="F4" s="854" t="s">
        <v>445</v>
      </c>
      <c r="G4" s="854" t="s">
        <v>446</v>
      </c>
      <c r="H4" s="1851" t="s">
        <v>773</v>
      </c>
      <c r="I4" s="854" t="s">
        <v>1258</v>
      </c>
      <c r="J4" s="854" t="s">
        <v>781</v>
      </c>
    </row>
    <row r="5" spans="1:10" x14ac:dyDescent="0.25">
      <c r="A5" s="859">
        <v>999</v>
      </c>
      <c r="B5" s="860" t="s">
        <v>9</v>
      </c>
      <c r="C5" s="859"/>
      <c r="D5" s="1506">
        <f>SUM(D6:D125)</f>
        <v>22598</v>
      </c>
      <c r="E5" s="1506">
        <f t="shared" ref="E5:J5" si="0">SUM(E6:E125)</f>
        <v>15047</v>
      </c>
      <c r="F5" s="1506">
        <f t="shared" si="0"/>
        <v>5385</v>
      </c>
      <c r="G5" s="1506">
        <f t="shared" si="0"/>
        <v>292</v>
      </c>
      <c r="H5" s="1506">
        <f t="shared" si="0"/>
        <v>1695</v>
      </c>
      <c r="I5" s="1506">
        <f t="shared" si="0"/>
        <v>6173</v>
      </c>
      <c r="J5" s="1506">
        <f t="shared" si="0"/>
        <v>16336</v>
      </c>
    </row>
    <row r="6" spans="1:10" x14ac:dyDescent="0.25">
      <c r="A6" s="679" t="s">
        <v>10</v>
      </c>
      <c r="B6" s="680" t="s">
        <v>11</v>
      </c>
      <c r="C6" s="681" t="s">
        <v>264</v>
      </c>
      <c r="D6" s="270">
        <v>72</v>
      </c>
      <c r="E6" s="270">
        <v>37</v>
      </c>
      <c r="F6" s="270">
        <v>34</v>
      </c>
      <c r="G6" s="270">
        <v>0</v>
      </c>
      <c r="H6" s="270">
        <v>1</v>
      </c>
      <c r="I6" s="270">
        <v>26</v>
      </c>
      <c r="J6" s="270">
        <v>45</v>
      </c>
    </row>
    <row r="7" spans="1:10" x14ac:dyDescent="0.25">
      <c r="A7" s="679" t="s">
        <v>12</v>
      </c>
      <c r="B7" s="680" t="s">
        <v>13</v>
      </c>
      <c r="C7" s="681" t="s">
        <v>265</v>
      </c>
      <c r="D7" s="270">
        <v>343</v>
      </c>
      <c r="E7" s="270">
        <v>259</v>
      </c>
      <c r="F7" s="270">
        <v>58</v>
      </c>
      <c r="G7" s="270">
        <v>5</v>
      </c>
      <c r="H7" s="270">
        <v>18</v>
      </c>
      <c r="I7" s="270">
        <v>87</v>
      </c>
      <c r="J7" s="270">
        <v>257</v>
      </c>
    </row>
    <row r="8" spans="1:10" x14ac:dyDescent="0.25">
      <c r="A8" s="679" t="s">
        <v>16</v>
      </c>
      <c r="B8" s="680" t="s">
        <v>297</v>
      </c>
      <c r="C8" s="681" t="s">
        <v>265</v>
      </c>
      <c r="D8" s="270">
        <v>93</v>
      </c>
      <c r="E8" s="270">
        <v>80</v>
      </c>
      <c r="F8" s="270">
        <v>13</v>
      </c>
      <c r="G8" s="270">
        <v>0</v>
      </c>
      <c r="H8" s="270">
        <v>0</v>
      </c>
      <c r="I8" s="270">
        <v>67</v>
      </c>
      <c r="J8" s="270">
        <v>25</v>
      </c>
    </row>
    <row r="9" spans="1:10" x14ac:dyDescent="0.25">
      <c r="A9" s="679" t="s">
        <v>18</v>
      </c>
      <c r="B9" s="680" t="s">
        <v>19</v>
      </c>
      <c r="C9" s="681" t="s">
        <v>266</v>
      </c>
      <c r="D9" s="270">
        <v>18</v>
      </c>
      <c r="E9" s="270">
        <v>10</v>
      </c>
      <c r="F9" s="270">
        <v>8</v>
      </c>
      <c r="G9" s="270">
        <v>0</v>
      </c>
      <c r="H9" s="270">
        <v>0</v>
      </c>
      <c r="I9" s="270">
        <v>1</v>
      </c>
      <c r="J9" s="270">
        <v>18</v>
      </c>
    </row>
    <row r="10" spans="1:10" x14ac:dyDescent="0.25">
      <c r="A10" s="679" t="s">
        <v>20</v>
      </c>
      <c r="B10" s="680" t="s">
        <v>21</v>
      </c>
      <c r="C10" s="681" t="s">
        <v>265</v>
      </c>
      <c r="D10" s="270">
        <v>101</v>
      </c>
      <c r="E10" s="270">
        <v>75</v>
      </c>
      <c r="F10" s="270">
        <v>20</v>
      </c>
      <c r="G10" s="270">
        <v>1</v>
      </c>
      <c r="H10" s="270">
        <v>5</v>
      </c>
      <c r="I10" s="270">
        <v>38</v>
      </c>
      <c r="J10" s="270">
        <v>63</v>
      </c>
    </row>
    <row r="11" spans="1:10" x14ac:dyDescent="0.25">
      <c r="A11" s="679" t="s">
        <v>22</v>
      </c>
      <c r="B11" s="680" t="s">
        <v>23</v>
      </c>
      <c r="C11" s="681" t="s">
        <v>265</v>
      </c>
      <c r="D11" s="270">
        <v>22</v>
      </c>
      <c r="E11" s="270">
        <v>16</v>
      </c>
      <c r="F11" s="270">
        <v>6</v>
      </c>
      <c r="G11" s="270">
        <v>0</v>
      </c>
      <c r="H11" s="270">
        <v>0</v>
      </c>
      <c r="I11" s="270">
        <v>4</v>
      </c>
      <c r="J11" s="270">
        <v>18</v>
      </c>
    </row>
    <row r="12" spans="1:10" x14ac:dyDescent="0.25">
      <c r="A12" s="679" t="s">
        <v>24</v>
      </c>
      <c r="B12" s="680" t="s">
        <v>25</v>
      </c>
      <c r="C12" s="681" t="s">
        <v>267</v>
      </c>
      <c r="D12" s="270">
        <v>229</v>
      </c>
      <c r="E12" s="270">
        <v>154</v>
      </c>
      <c r="F12" s="270">
        <v>40</v>
      </c>
      <c r="G12" s="270">
        <v>9</v>
      </c>
      <c r="H12" s="270">
        <v>16</v>
      </c>
      <c r="I12" s="270">
        <v>31</v>
      </c>
      <c r="J12" s="270">
        <v>198</v>
      </c>
    </row>
    <row r="13" spans="1:10" x14ac:dyDescent="0.25">
      <c r="A13" s="679" t="s">
        <v>26</v>
      </c>
      <c r="B13" s="680" t="s">
        <v>298</v>
      </c>
      <c r="C13" s="681" t="s">
        <v>265</v>
      </c>
      <c r="D13" s="270">
        <v>1324</v>
      </c>
      <c r="E13" s="270">
        <v>1095</v>
      </c>
      <c r="F13" s="270">
        <v>126</v>
      </c>
      <c r="G13" s="270">
        <v>4</v>
      </c>
      <c r="H13" s="270">
        <v>96</v>
      </c>
      <c r="I13" s="270">
        <v>394</v>
      </c>
      <c r="J13" s="270">
        <v>931</v>
      </c>
    </row>
    <row r="14" spans="1:10" x14ac:dyDescent="0.25">
      <c r="A14" s="679" t="s">
        <v>27</v>
      </c>
      <c r="B14" s="680" t="s">
        <v>28</v>
      </c>
      <c r="C14" s="681" t="s">
        <v>265</v>
      </c>
      <c r="D14" s="270">
        <v>16</v>
      </c>
      <c r="E14" s="270">
        <v>15</v>
      </c>
      <c r="F14" s="270">
        <v>1</v>
      </c>
      <c r="G14" s="270">
        <v>0</v>
      </c>
      <c r="H14" s="270">
        <v>0</v>
      </c>
      <c r="I14" s="270">
        <v>2</v>
      </c>
      <c r="J14" s="270">
        <v>14</v>
      </c>
    </row>
    <row r="15" spans="1:10" x14ac:dyDescent="0.25">
      <c r="A15" s="679" t="s">
        <v>29</v>
      </c>
      <c r="B15" s="680" t="s">
        <v>941</v>
      </c>
      <c r="C15" s="681" t="s">
        <v>265</v>
      </c>
      <c r="D15" s="270">
        <v>451</v>
      </c>
      <c r="E15" s="270">
        <v>362</v>
      </c>
      <c r="F15" s="270">
        <v>53</v>
      </c>
      <c r="G15" s="270">
        <v>1</v>
      </c>
      <c r="H15" s="270">
        <v>35</v>
      </c>
      <c r="I15" s="270">
        <v>147</v>
      </c>
      <c r="J15" s="270">
        <v>304</v>
      </c>
    </row>
    <row r="16" spans="1:10" x14ac:dyDescent="0.25">
      <c r="A16" s="679" t="s">
        <v>30</v>
      </c>
      <c r="B16" s="680" t="s">
        <v>31</v>
      </c>
      <c r="C16" s="681" t="s">
        <v>268</v>
      </c>
      <c r="D16" s="270">
        <v>9</v>
      </c>
      <c r="E16" s="270">
        <v>9</v>
      </c>
      <c r="F16" s="270">
        <v>0</v>
      </c>
      <c r="G16" s="270">
        <v>0</v>
      </c>
      <c r="H16" s="270">
        <v>0</v>
      </c>
      <c r="I16" s="270">
        <v>1</v>
      </c>
      <c r="J16" s="270">
        <v>8</v>
      </c>
    </row>
    <row r="17" spans="1:10" x14ac:dyDescent="0.25">
      <c r="A17" s="679" t="s">
        <v>32</v>
      </c>
      <c r="B17" s="680" t="s">
        <v>33</v>
      </c>
      <c r="C17" s="681" t="s">
        <v>265</v>
      </c>
      <c r="D17" s="270">
        <v>76</v>
      </c>
      <c r="E17" s="270">
        <v>69</v>
      </c>
      <c r="F17" s="270">
        <v>3</v>
      </c>
      <c r="G17" s="270">
        <v>0</v>
      </c>
      <c r="H17" s="270">
        <v>4</v>
      </c>
      <c r="I17" s="270">
        <v>32</v>
      </c>
      <c r="J17" s="270">
        <v>44</v>
      </c>
    </row>
    <row r="18" spans="1:10" x14ac:dyDescent="0.25">
      <c r="A18" s="679" t="s">
        <v>36</v>
      </c>
      <c r="B18" s="680" t="s">
        <v>37</v>
      </c>
      <c r="C18" s="681" t="s">
        <v>264</v>
      </c>
      <c r="D18" s="270">
        <v>26</v>
      </c>
      <c r="E18" s="270">
        <v>7</v>
      </c>
      <c r="F18" s="270">
        <v>19</v>
      </c>
      <c r="G18" s="270">
        <v>0</v>
      </c>
      <c r="H18" s="270">
        <v>0</v>
      </c>
      <c r="I18" s="270">
        <v>4</v>
      </c>
      <c r="J18" s="270">
        <v>22</v>
      </c>
    </row>
    <row r="19" spans="1:10" x14ac:dyDescent="0.25">
      <c r="A19" s="679" t="s">
        <v>38</v>
      </c>
      <c r="B19" s="680" t="s">
        <v>39</v>
      </c>
      <c r="C19" s="681" t="s">
        <v>268</v>
      </c>
      <c r="D19" s="270">
        <v>26</v>
      </c>
      <c r="E19" s="270">
        <v>26</v>
      </c>
      <c r="F19" s="270">
        <v>0</v>
      </c>
      <c r="G19" s="270">
        <v>0</v>
      </c>
      <c r="H19" s="270">
        <v>0</v>
      </c>
      <c r="I19" s="270">
        <v>6</v>
      </c>
      <c r="J19" s="270">
        <v>20</v>
      </c>
    </row>
    <row r="20" spans="1:10" x14ac:dyDescent="0.25">
      <c r="A20" s="679" t="s">
        <v>40</v>
      </c>
      <c r="B20" s="680" t="s">
        <v>41</v>
      </c>
      <c r="C20" s="681" t="s">
        <v>266</v>
      </c>
      <c r="D20" s="270">
        <v>47</v>
      </c>
      <c r="E20" s="270">
        <v>31</v>
      </c>
      <c r="F20" s="270">
        <v>14</v>
      </c>
      <c r="G20" s="270">
        <v>0</v>
      </c>
      <c r="H20" s="270">
        <v>2</v>
      </c>
      <c r="I20" s="270">
        <v>6</v>
      </c>
      <c r="J20" s="270">
        <v>41</v>
      </c>
    </row>
    <row r="21" spans="1:10" x14ac:dyDescent="0.25">
      <c r="A21" s="679" t="s">
        <v>42</v>
      </c>
      <c r="B21" s="680" t="s">
        <v>43</v>
      </c>
      <c r="C21" s="681" t="s">
        <v>265</v>
      </c>
      <c r="D21" s="270">
        <v>141</v>
      </c>
      <c r="E21" s="270">
        <v>116</v>
      </c>
      <c r="F21" s="270">
        <v>25</v>
      </c>
      <c r="G21" s="270">
        <v>0</v>
      </c>
      <c r="H21" s="270">
        <v>0</v>
      </c>
      <c r="I21" s="270">
        <v>26</v>
      </c>
      <c r="J21" s="270">
        <v>115</v>
      </c>
    </row>
    <row r="22" spans="1:10" x14ac:dyDescent="0.25">
      <c r="A22" s="679" t="s">
        <v>44</v>
      </c>
      <c r="B22" s="680" t="s">
        <v>45</v>
      </c>
      <c r="C22" s="681" t="s">
        <v>266</v>
      </c>
      <c r="D22" s="270">
        <v>67</v>
      </c>
      <c r="E22" s="270">
        <v>29</v>
      </c>
      <c r="F22" s="270">
        <v>35</v>
      </c>
      <c r="G22" s="270">
        <v>1</v>
      </c>
      <c r="H22" s="270">
        <v>2</v>
      </c>
      <c r="I22" s="270">
        <v>17</v>
      </c>
      <c r="J22" s="270">
        <v>49</v>
      </c>
    </row>
    <row r="23" spans="1:10" x14ac:dyDescent="0.25">
      <c r="A23" s="679" t="s">
        <v>46</v>
      </c>
      <c r="B23" s="680" t="s">
        <v>47</v>
      </c>
      <c r="C23" s="681" t="s">
        <v>268</v>
      </c>
      <c r="D23" s="270">
        <v>264</v>
      </c>
      <c r="E23" s="270">
        <v>260</v>
      </c>
      <c r="F23" s="270">
        <v>1</v>
      </c>
      <c r="G23" s="270">
        <v>0</v>
      </c>
      <c r="H23" s="270">
        <v>3</v>
      </c>
      <c r="I23" s="270">
        <v>95</v>
      </c>
      <c r="J23" s="270">
        <v>167</v>
      </c>
    </row>
    <row r="24" spans="1:10" x14ac:dyDescent="0.25">
      <c r="A24" s="679" t="s">
        <v>48</v>
      </c>
      <c r="B24" s="680" t="s">
        <v>269</v>
      </c>
      <c r="C24" s="681" t="s">
        <v>266</v>
      </c>
      <c r="D24" s="270">
        <v>23</v>
      </c>
      <c r="E24" s="270">
        <v>5</v>
      </c>
      <c r="F24" s="270">
        <v>18</v>
      </c>
      <c r="G24" s="270">
        <v>0</v>
      </c>
      <c r="H24" s="270">
        <v>0</v>
      </c>
      <c r="I24" s="270">
        <v>4</v>
      </c>
      <c r="J24" s="270">
        <v>19</v>
      </c>
    </row>
    <row r="25" spans="1:10" x14ac:dyDescent="0.25">
      <c r="A25" s="679" t="s">
        <v>50</v>
      </c>
      <c r="B25" s="680" t="s">
        <v>51</v>
      </c>
      <c r="C25" s="681" t="s">
        <v>265</v>
      </c>
      <c r="D25" s="270">
        <v>16</v>
      </c>
      <c r="E25" s="270">
        <v>11</v>
      </c>
      <c r="F25" s="270">
        <v>4</v>
      </c>
      <c r="G25" s="270">
        <v>0</v>
      </c>
      <c r="H25" s="270">
        <v>1</v>
      </c>
      <c r="I25" s="270">
        <v>4</v>
      </c>
      <c r="J25" s="270">
        <v>12</v>
      </c>
    </row>
    <row r="26" spans="1:10" x14ac:dyDescent="0.25">
      <c r="A26" s="679" t="s">
        <v>56</v>
      </c>
      <c r="B26" s="680" t="s">
        <v>295</v>
      </c>
      <c r="C26" s="681" t="s">
        <v>266</v>
      </c>
      <c r="D26" s="270">
        <v>594</v>
      </c>
      <c r="E26" s="270">
        <v>387</v>
      </c>
      <c r="F26" s="270">
        <v>135</v>
      </c>
      <c r="G26" s="270">
        <v>10</v>
      </c>
      <c r="H26" s="270">
        <v>54</v>
      </c>
      <c r="I26" s="270">
        <v>188</v>
      </c>
      <c r="J26" s="270">
        <v>403</v>
      </c>
    </row>
    <row r="27" spans="1:10" x14ac:dyDescent="0.25">
      <c r="A27" s="679" t="s">
        <v>58</v>
      </c>
      <c r="B27" s="680" t="s">
        <v>59</v>
      </c>
      <c r="C27" s="681" t="s">
        <v>267</v>
      </c>
      <c r="D27" s="270">
        <v>46</v>
      </c>
      <c r="E27" s="270">
        <v>34</v>
      </c>
      <c r="F27" s="270">
        <v>3</v>
      </c>
      <c r="G27" s="270">
        <v>1</v>
      </c>
      <c r="H27" s="270">
        <v>8</v>
      </c>
      <c r="I27" s="270">
        <v>5</v>
      </c>
      <c r="J27" s="270">
        <v>42</v>
      </c>
    </row>
    <row r="28" spans="1:10" x14ac:dyDescent="0.25">
      <c r="A28" s="679" t="s">
        <v>60</v>
      </c>
      <c r="B28" s="680" t="s">
        <v>61</v>
      </c>
      <c r="C28" s="681" t="s">
        <v>265</v>
      </c>
      <c r="D28" s="270">
        <v>18</v>
      </c>
      <c r="E28" s="270">
        <v>16</v>
      </c>
      <c r="F28" s="270">
        <v>1</v>
      </c>
      <c r="G28" s="270">
        <v>0</v>
      </c>
      <c r="H28" s="270">
        <v>1</v>
      </c>
      <c r="I28" s="270">
        <v>4</v>
      </c>
      <c r="J28" s="270">
        <v>14</v>
      </c>
    </row>
    <row r="29" spans="1:10" x14ac:dyDescent="0.25">
      <c r="A29" s="679" t="s">
        <v>62</v>
      </c>
      <c r="B29" s="680" t="s">
        <v>63</v>
      </c>
      <c r="C29" s="681" t="s">
        <v>267</v>
      </c>
      <c r="D29" s="270">
        <v>96</v>
      </c>
      <c r="E29" s="270">
        <v>70</v>
      </c>
      <c r="F29" s="270">
        <v>15</v>
      </c>
      <c r="G29" s="270">
        <v>0</v>
      </c>
      <c r="H29" s="270">
        <v>9</v>
      </c>
      <c r="I29" s="270">
        <v>22</v>
      </c>
      <c r="J29" s="270">
        <v>74</v>
      </c>
    </row>
    <row r="30" spans="1:10" x14ac:dyDescent="0.25">
      <c r="A30" s="679" t="s">
        <v>64</v>
      </c>
      <c r="B30" s="680" t="s">
        <v>65</v>
      </c>
      <c r="C30" s="681" t="s">
        <v>266</v>
      </c>
      <c r="D30" s="270">
        <v>45</v>
      </c>
      <c r="E30" s="270">
        <v>34</v>
      </c>
      <c r="F30" s="270">
        <v>11</v>
      </c>
      <c r="G30" s="270">
        <v>0</v>
      </c>
      <c r="H30" s="270">
        <v>0</v>
      </c>
      <c r="I30" s="270">
        <v>17</v>
      </c>
      <c r="J30" s="270">
        <v>28</v>
      </c>
    </row>
    <row r="31" spans="1:10" x14ac:dyDescent="0.25">
      <c r="A31" s="679" t="s">
        <v>68</v>
      </c>
      <c r="B31" s="680" t="s">
        <v>69</v>
      </c>
      <c r="C31" s="681" t="s">
        <v>268</v>
      </c>
      <c r="D31" s="270">
        <v>35</v>
      </c>
      <c r="E31" s="270">
        <v>35</v>
      </c>
      <c r="F31" s="270">
        <v>0</v>
      </c>
      <c r="G31" s="270">
        <v>0</v>
      </c>
      <c r="H31" s="270">
        <v>0</v>
      </c>
      <c r="I31" s="270">
        <v>8</v>
      </c>
      <c r="J31" s="270">
        <v>26</v>
      </c>
    </row>
    <row r="32" spans="1:10" x14ac:dyDescent="0.25">
      <c r="A32" s="679" t="s">
        <v>70</v>
      </c>
      <c r="B32" s="680" t="s">
        <v>71</v>
      </c>
      <c r="C32" s="681" t="s">
        <v>264</v>
      </c>
      <c r="D32" s="270">
        <v>56</v>
      </c>
      <c r="E32" s="270">
        <v>28</v>
      </c>
      <c r="F32" s="270">
        <v>27</v>
      </c>
      <c r="G32" s="270">
        <v>0</v>
      </c>
      <c r="H32" s="270">
        <v>1</v>
      </c>
      <c r="I32" s="270">
        <v>35</v>
      </c>
      <c r="J32" s="270">
        <v>21</v>
      </c>
    </row>
    <row r="33" spans="1:10" x14ac:dyDescent="0.25">
      <c r="A33" s="679" t="s">
        <v>72</v>
      </c>
      <c r="B33" s="680" t="s">
        <v>73</v>
      </c>
      <c r="C33" s="681" t="s">
        <v>266</v>
      </c>
      <c r="D33" s="270">
        <v>6</v>
      </c>
      <c r="E33" s="270">
        <v>3</v>
      </c>
      <c r="F33" s="270">
        <v>2</v>
      </c>
      <c r="G33" s="270">
        <v>0</v>
      </c>
      <c r="H33" s="270">
        <v>1</v>
      </c>
      <c r="I33" s="270">
        <v>1</v>
      </c>
      <c r="J33" s="270">
        <v>4</v>
      </c>
    </row>
    <row r="34" spans="1:10" ht="31.5" x14ac:dyDescent="0.25">
      <c r="A34" s="679" t="s">
        <v>74</v>
      </c>
      <c r="B34" s="680" t="s">
        <v>640</v>
      </c>
      <c r="C34" s="681" t="s">
        <v>267</v>
      </c>
      <c r="D34" s="270">
        <v>1040</v>
      </c>
      <c r="E34" s="270">
        <v>676</v>
      </c>
      <c r="F34" s="270">
        <v>129</v>
      </c>
      <c r="G34" s="270">
        <v>75</v>
      </c>
      <c r="H34" s="270">
        <v>151</v>
      </c>
      <c r="I34" s="270">
        <v>179</v>
      </c>
      <c r="J34" s="270">
        <v>861</v>
      </c>
    </row>
    <row r="35" spans="1:10" x14ac:dyDescent="0.25">
      <c r="A35" s="679" t="s">
        <v>76</v>
      </c>
      <c r="B35" s="680" t="s">
        <v>77</v>
      </c>
      <c r="C35" s="681" t="s">
        <v>267</v>
      </c>
      <c r="D35" s="270">
        <v>337</v>
      </c>
      <c r="E35" s="270">
        <v>234</v>
      </c>
      <c r="F35" s="270">
        <v>53</v>
      </c>
      <c r="G35" s="270">
        <v>3</v>
      </c>
      <c r="H35" s="270">
        <v>44</v>
      </c>
      <c r="I35" s="270">
        <v>104</v>
      </c>
      <c r="J35" s="270">
        <v>233</v>
      </c>
    </row>
    <row r="36" spans="1:10" x14ac:dyDescent="0.25">
      <c r="A36" s="679" t="s">
        <v>78</v>
      </c>
      <c r="B36" s="680" t="s">
        <v>79</v>
      </c>
      <c r="C36" s="681" t="s">
        <v>268</v>
      </c>
      <c r="D36" s="270">
        <v>82</v>
      </c>
      <c r="E36" s="270">
        <v>78</v>
      </c>
      <c r="F36" s="270">
        <v>3</v>
      </c>
      <c r="G36" s="270">
        <v>0</v>
      </c>
      <c r="H36" s="270">
        <v>1</v>
      </c>
      <c r="I36" s="270">
        <v>14</v>
      </c>
      <c r="J36" s="270">
        <v>68</v>
      </c>
    </row>
    <row r="37" spans="1:10" x14ac:dyDescent="0.25">
      <c r="A37" s="679" t="s">
        <v>80</v>
      </c>
      <c r="B37" s="680" t="s">
        <v>81</v>
      </c>
      <c r="C37" s="681" t="s">
        <v>266</v>
      </c>
      <c r="D37" s="270">
        <v>133</v>
      </c>
      <c r="E37" s="270">
        <v>79</v>
      </c>
      <c r="F37" s="270">
        <v>44</v>
      </c>
      <c r="G37" s="270">
        <v>0</v>
      </c>
      <c r="H37" s="270">
        <v>10</v>
      </c>
      <c r="I37" s="270">
        <v>27</v>
      </c>
      <c r="J37" s="270">
        <v>104</v>
      </c>
    </row>
    <row r="38" spans="1:10" x14ac:dyDescent="0.25">
      <c r="A38" s="679" t="s">
        <v>84</v>
      </c>
      <c r="B38" s="680" t="s">
        <v>85</v>
      </c>
      <c r="C38" s="681" t="s">
        <v>265</v>
      </c>
      <c r="D38" s="270">
        <v>200</v>
      </c>
      <c r="E38" s="270">
        <v>167</v>
      </c>
      <c r="F38" s="270">
        <v>16</v>
      </c>
      <c r="G38" s="270">
        <v>0</v>
      </c>
      <c r="H38" s="270">
        <v>16</v>
      </c>
      <c r="I38" s="270">
        <v>69</v>
      </c>
      <c r="J38" s="270">
        <v>131</v>
      </c>
    </row>
    <row r="39" spans="1:10" x14ac:dyDescent="0.25">
      <c r="A39" s="679" t="s">
        <v>86</v>
      </c>
      <c r="B39" s="680" t="s">
        <v>87</v>
      </c>
      <c r="C39" s="681" t="s">
        <v>267</v>
      </c>
      <c r="D39" s="270">
        <v>344</v>
      </c>
      <c r="E39" s="270">
        <v>311</v>
      </c>
      <c r="F39" s="270">
        <v>14</v>
      </c>
      <c r="G39" s="270">
        <v>2</v>
      </c>
      <c r="H39" s="270">
        <v>15</v>
      </c>
      <c r="I39" s="270">
        <v>53</v>
      </c>
      <c r="J39" s="270">
        <v>290</v>
      </c>
    </row>
    <row r="40" spans="1:10" x14ac:dyDescent="0.25">
      <c r="A40" s="679" t="s">
        <v>92</v>
      </c>
      <c r="B40" s="680" t="s">
        <v>93</v>
      </c>
      <c r="C40" s="681" t="s">
        <v>268</v>
      </c>
      <c r="D40" s="270">
        <v>66</v>
      </c>
      <c r="E40" s="270">
        <v>63</v>
      </c>
      <c r="F40" s="270">
        <v>3</v>
      </c>
      <c r="G40" s="270">
        <v>0</v>
      </c>
      <c r="H40" s="270">
        <v>0</v>
      </c>
      <c r="I40" s="270">
        <v>22</v>
      </c>
      <c r="J40" s="270">
        <v>44</v>
      </c>
    </row>
    <row r="41" spans="1:10" x14ac:dyDescent="0.25">
      <c r="A41" s="679" t="s">
        <v>94</v>
      </c>
      <c r="B41" s="680" t="s">
        <v>95</v>
      </c>
      <c r="C41" s="681" t="s">
        <v>264</v>
      </c>
      <c r="D41" s="270">
        <v>113</v>
      </c>
      <c r="E41" s="270">
        <v>86</v>
      </c>
      <c r="F41" s="270">
        <v>15</v>
      </c>
      <c r="G41" s="270">
        <v>0</v>
      </c>
      <c r="H41" s="270">
        <v>12</v>
      </c>
      <c r="I41" s="270">
        <v>18</v>
      </c>
      <c r="J41" s="270">
        <v>94</v>
      </c>
    </row>
    <row r="42" spans="1:10" x14ac:dyDescent="0.25">
      <c r="A42" s="679" t="s">
        <v>96</v>
      </c>
      <c r="B42" s="680" t="s">
        <v>97</v>
      </c>
      <c r="C42" s="681" t="s">
        <v>266</v>
      </c>
      <c r="D42" s="270">
        <v>50</v>
      </c>
      <c r="E42" s="270">
        <v>28</v>
      </c>
      <c r="F42" s="270">
        <v>17</v>
      </c>
      <c r="G42" s="270">
        <v>1</v>
      </c>
      <c r="H42" s="270">
        <v>4</v>
      </c>
      <c r="I42" s="270">
        <v>16</v>
      </c>
      <c r="J42" s="270">
        <v>34</v>
      </c>
    </row>
    <row r="43" spans="1:10" x14ac:dyDescent="0.25">
      <c r="A43" s="679" t="s">
        <v>98</v>
      </c>
      <c r="B43" s="680" t="s">
        <v>99</v>
      </c>
      <c r="C43" s="681" t="s">
        <v>268</v>
      </c>
      <c r="D43" s="270">
        <v>159</v>
      </c>
      <c r="E43" s="270">
        <v>141</v>
      </c>
      <c r="F43" s="270">
        <v>6</v>
      </c>
      <c r="G43" s="270">
        <v>0</v>
      </c>
      <c r="H43" s="270">
        <v>11</v>
      </c>
      <c r="I43" s="270">
        <v>39</v>
      </c>
      <c r="J43" s="270">
        <v>120</v>
      </c>
    </row>
    <row r="44" spans="1:10" x14ac:dyDescent="0.25">
      <c r="A44" s="679" t="s">
        <v>100</v>
      </c>
      <c r="B44" s="680" t="s">
        <v>101</v>
      </c>
      <c r="C44" s="681" t="s">
        <v>267</v>
      </c>
      <c r="D44" s="270">
        <v>42</v>
      </c>
      <c r="E44" s="270">
        <v>35</v>
      </c>
      <c r="F44" s="270">
        <v>3</v>
      </c>
      <c r="G44" s="270">
        <v>0</v>
      </c>
      <c r="H44" s="270">
        <v>3</v>
      </c>
      <c r="I44" s="270">
        <v>4</v>
      </c>
      <c r="J44" s="270">
        <v>37</v>
      </c>
    </row>
    <row r="45" spans="1:10" x14ac:dyDescent="0.25">
      <c r="A45" s="679" t="s">
        <v>102</v>
      </c>
      <c r="B45" s="680" t="s">
        <v>282</v>
      </c>
      <c r="C45" s="681" t="s">
        <v>264</v>
      </c>
      <c r="D45" s="270">
        <v>7</v>
      </c>
      <c r="E45" s="270">
        <v>2</v>
      </c>
      <c r="F45" s="270">
        <v>5</v>
      </c>
      <c r="G45" s="270">
        <v>0</v>
      </c>
      <c r="H45" s="270">
        <v>0</v>
      </c>
      <c r="I45" s="270">
        <v>1</v>
      </c>
      <c r="J45" s="270">
        <v>6</v>
      </c>
    </row>
    <row r="46" spans="1:10" x14ac:dyDescent="0.25">
      <c r="A46" s="679" t="s">
        <v>104</v>
      </c>
      <c r="B46" s="680" t="s">
        <v>105</v>
      </c>
      <c r="C46" s="681" t="s">
        <v>265</v>
      </c>
      <c r="D46" s="270">
        <v>100</v>
      </c>
      <c r="E46" s="270">
        <v>49</v>
      </c>
      <c r="F46" s="270">
        <v>46</v>
      </c>
      <c r="G46" s="270">
        <v>0</v>
      </c>
      <c r="H46" s="270">
        <v>3</v>
      </c>
      <c r="I46" s="270">
        <v>32</v>
      </c>
      <c r="J46" s="270">
        <v>67</v>
      </c>
    </row>
    <row r="47" spans="1:10" x14ac:dyDescent="0.25">
      <c r="A47" s="679" t="s">
        <v>108</v>
      </c>
      <c r="B47" s="680" t="s">
        <v>109</v>
      </c>
      <c r="C47" s="681" t="s">
        <v>266</v>
      </c>
      <c r="D47" s="270">
        <v>222</v>
      </c>
      <c r="E47" s="270">
        <v>156</v>
      </c>
      <c r="F47" s="270">
        <v>35</v>
      </c>
      <c r="G47" s="270">
        <v>0</v>
      </c>
      <c r="H47" s="270">
        <v>30</v>
      </c>
      <c r="I47" s="270">
        <v>52</v>
      </c>
      <c r="J47" s="270">
        <v>170</v>
      </c>
    </row>
    <row r="48" spans="1:10" x14ac:dyDescent="0.25">
      <c r="A48" s="679" t="s">
        <v>110</v>
      </c>
      <c r="B48" s="680" t="s">
        <v>111</v>
      </c>
      <c r="C48" s="681" t="s">
        <v>266</v>
      </c>
      <c r="D48" s="270">
        <v>966</v>
      </c>
      <c r="E48" s="270">
        <v>460</v>
      </c>
      <c r="F48" s="270">
        <v>277</v>
      </c>
      <c r="G48" s="270">
        <v>12</v>
      </c>
      <c r="H48" s="270">
        <v>209</v>
      </c>
      <c r="I48" s="270">
        <v>292</v>
      </c>
      <c r="J48" s="270">
        <v>667</v>
      </c>
    </row>
    <row r="49" spans="1:10" x14ac:dyDescent="0.25">
      <c r="A49" s="679" t="s">
        <v>112</v>
      </c>
      <c r="B49" s="680" t="s">
        <v>300</v>
      </c>
      <c r="C49" s="681" t="s">
        <v>265</v>
      </c>
      <c r="D49" s="270">
        <v>239</v>
      </c>
      <c r="E49" s="270">
        <v>141</v>
      </c>
      <c r="F49" s="270">
        <v>46</v>
      </c>
      <c r="G49" s="270">
        <v>0</v>
      </c>
      <c r="H49" s="270">
        <v>52</v>
      </c>
      <c r="I49" s="270">
        <v>83</v>
      </c>
      <c r="J49" s="270">
        <v>153</v>
      </c>
    </row>
    <row r="50" spans="1:10" x14ac:dyDescent="0.25">
      <c r="A50" s="679" t="s">
        <v>114</v>
      </c>
      <c r="B50" s="680" t="s">
        <v>115</v>
      </c>
      <c r="C50" s="681" t="s">
        <v>265</v>
      </c>
      <c r="D50" s="270">
        <v>21</v>
      </c>
      <c r="E50" s="270">
        <v>21</v>
      </c>
      <c r="F50" s="270">
        <v>0</v>
      </c>
      <c r="G50" s="270">
        <v>0</v>
      </c>
      <c r="H50" s="270">
        <v>0</v>
      </c>
      <c r="I50" s="270">
        <v>3</v>
      </c>
      <c r="J50" s="270">
        <v>18</v>
      </c>
    </row>
    <row r="51" spans="1:10" x14ac:dyDescent="0.25">
      <c r="A51" s="679" t="s">
        <v>118</v>
      </c>
      <c r="B51" s="680" t="s">
        <v>270</v>
      </c>
      <c r="C51" s="681" t="s">
        <v>264</v>
      </c>
      <c r="D51" s="270">
        <v>90</v>
      </c>
      <c r="E51" s="270">
        <v>48</v>
      </c>
      <c r="F51" s="270">
        <v>37</v>
      </c>
      <c r="G51" s="270">
        <v>0</v>
      </c>
      <c r="H51" s="270">
        <v>4</v>
      </c>
      <c r="I51" s="270">
        <v>27</v>
      </c>
      <c r="J51" s="270">
        <v>63</v>
      </c>
    </row>
    <row r="52" spans="1:10" x14ac:dyDescent="0.25">
      <c r="A52" s="679" t="s">
        <v>120</v>
      </c>
      <c r="B52" s="680" t="s">
        <v>121</v>
      </c>
      <c r="C52" s="681" t="s">
        <v>264</v>
      </c>
      <c r="D52" s="270">
        <v>211</v>
      </c>
      <c r="E52" s="270">
        <v>137</v>
      </c>
      <c r="F52" s="270">
        <v>48</v>
      </c>
      <c r="G52" s="270">
        <v>3</v>
      </c>
      <c r="H52" s="270">
        <v>21</v>
      </c>
      <c r="I52" s="270">
        <v>62</v>
      </c>
      <c r="J52" s="270">
        <v>149</v>
      </c>
    </row>
    <row r="53" spans="1:10" x14ac:dyDescent="0.25">
      <c r="A53" s="679" t="s">
        <v>122</v>
      </c>
      <c r="B53" s="680" t="s">
        <v>287</v>
      </c>
      <c r="C53" s="681" t="s">
        <v>266</v>
      </c>
      <c r="D53" s="270">
        <v>22</v>
      </c>
      <c r="E53" s="270">
        <v>13</v>
      </c>
      <c r="F53" s="270">
        <v>7</v>
      </c>
      <c r="G53" s="270">
        <v>0</v>
      </c>
      <c r="H53" s="270">
        <v>2</v>
      </c>
      <c r="I53" s="270">
        <v>11</v>
      </c>
      <c r="J53" s="270">
        <v>11</v>
      </c>
    </row>
    <row r="54" spans="1:10" x14ac:dyDescent="0.25">
      <c r="A54" s="679" t="s">
        <v>124</v>
      </c>
      <c r="B54" s="680" t="s">
        <v>125</v>
      </c>
      <c r="C54" s="681" t="s">
        <v>267</v>
      </c>
      <c r="D54" s="270">
        <v>3</v>
      </c>
      <c r="E54" s="270">
        <v>3</v>
      </c>
      <c r="F54" s="270">
        <v>0</v>
      </c>
      <c r="G54" s="270">
        <v>0</v>
      </c>
      <c r="H54" s="270">
        <v>0</v>
      </c>
      <c r="I54" s="270">
        <v>2</v>
      </c>
      <c r="J54" s="270">
        <v>1</v>
      </c>
    </row>
    <row r="55" spans="1:10" x14ac:dyDescent="0.25">
      <c r="A55" s="679" t="s">
        <v>126</v>
      </c>
      <c r="B55" s="680" t="s">
        <v>127</v>
      </c>
      <c r="C55" s="681" t="s">
        <v>266</v>
      </c>
      <c r="D55" s="270">
        <v>9</v>
      </c>
      <c r="E55" s="270">
        <v>6</v>
      </c>
      <c r="F55" s="270">
        <v>3</v>
      </c>
      <c r="G55" s="270">
        <v>0</v>
      </c>
      <c r="H55" s="270">
        <v>0</v>
      </c>
      <c r="I55" s="270">
        <v>3</v>
      </c>
      <c r="J55" s="270">
        <v>6</v>
      </c>
    </row>
    <row r="56" spans="1:10" x14ac:dyDescent="0.25">
      <c r="A56" s="679" t="s">
        <v>128</v>
      </c>
      <c r="B56" s="680" t="s">
        <v>129</v>
      </c>
      <c r="C56" s="681" t="s">
        <v>266</v>
      </c>
      <c r="D56" s="270">
        <v>44</v>
      </c>
      <c r="E56" s="270">
        <v>32</v>
      </c>
      <c r="F56" s="270">
        <v>10</v>
      </c>
      <c r="G56" s="270">
        <v>0</v>
      </c>
      <c r="H56" s="270">
        <v>2</v>
      </c>
      <c r="I56" s="270">
        <v>10</v>
      </c>
      <c r="J56" s="270">
        <v>34</v>
      </c>
    </row>
    <row r="57" spans="1:10" x14ac:dyDescent="0.25">
      <c r="A57" s="679" t="s">
        <v>130</v>
      </c>
      <c r="B57" s="680" t="s">
        <v>131</v>
      </c>
      <c r="C57" s="681" t="s">
        <v>268</v>
      </c>
      <c r="D57" s="270">
        <v>46</v>
      </c>
      <c r="E57" s="270">
        <v>46</v>
      </c>
      <c r="F57" s="270">
        <v>0</v>
      </c>
      <c r="G57" s="270">
        <v>0</v>
      </c>
      <c r="H57" s="270">
        <v>0</v>
      </c>
      <c r="I57" s="270">
        <v>15</v>
      </c>
      <c r="J57" s="270">
        <v>31</v>
      </c>
    </row>
    <row r="58" spans="1:10" x14ac:dyDescent="0.25">
      <c r="A58" s="679" t="s">
        <v>132</v>
      </c>
      <c r="B58" s="680" t="s">
        <v>133</v>
      </c>
      <c r="C58" s="681" t="s">
        <v>267</v>
      </c>
      <c r="D58" s="270">
        <v>417</v>
      </c>
      <c r="E58" s="270">
        <v>306</v>
      </c>
      <c r="F58" s="270">
        <v>41</v>
      </c>
      <c r="G58" s="270">
        <v>19</v>
      </c>
      <c r="H58" s="270">
        <v>31</v>
      </c>
      <c r="I58" s="270">
        <v>124</v>
      </c>
      <c r="J58" s="270">
        <v>294</v>
      </c>
    </row>
    <row r="59" spans="1:10" x14ac:dyDescent="0.25">
      <c r="A59" s="679" t="s">
        <v>134</v>
      </c>
      <c r="B59" s="680" t="s">
        <v>135</v>
      </c>
      <c r="C59" s="681" t="s">
        <v>267</v>
      </c>
      <c r="D59" s="270">
        <v>141</v>
      </c>
      <c r="E59" s="270">
        <v>84</v>
      </c>
      <c r="F59" s="270">
        <v>51</v>
      </c>
      <c r="G59" s="270">
        <v>0</v>
      </c>
      <c r="H59" s="270">
        <v>6</v>
      </c>
      <c r="I59" s="270">
        <v>29</v>
      </c>
      <c r="J59" s="270">
        <v>112</v>
      </c>
    </row>
    <row r="60" spans="1:10" x14ac:dyDescent="0.25">
      <c r="A60" s="679" t="s">
        <v>136</v>
      </c>
      <c r="B60" s="680" t="s">
        <v>137</v>
      </c>
      <c r="C60" s="681" t="s">
        <v>266</v>
      </c>
      <c r="D60" s="270">
        <v>32</v>
      </c>
      <c r="E60" s="270">
        <v>14</v>
      </c>
      <c r="F60" s="270">
        <v>14</v>
      </c>
      <c r="G60" s="270">
        <v>0</v>
      </c>
      <c r="H60" s="270">
        <v>4</v>
      </c>
      <c r="I60" s="270">
        <v>6</v>
      </c>
      <c r="J60" s="270">
        <v>26</v>
      </c>
    </row>
    <row r="61" spans="1:10" x14ac:dyDescent="0.25">
      <c r="A61" s="679" t="s">
        <v>140</v>
      </c>
      <c r="B61" s="680" t="s">
        <v>141</v>
      </c>
      <c r="C61" s="681" t="s">
        <v>267</v>
      </c>
      <c r="D61" s="270">
        <v>12</v>
      </c>
      <c r="E61" s="270">
        <v>12</v>
      </c>
      <c r="F61" s="270">
        <v>0</v>
      </c>
      <c r="G61" s="270">
        <v>0</v>
      </c>
      <c r="H61" s="270">
        <v>0</v>
      </c>
      <c r="I61" s="270">
        <v>1</v>
      </c>
      <c r="J61" s="270">
        <v>11</v>
      </c>
    </row>
    <row r="62" spans="1:10" x14ac:dyDescent="0.25">
      <c r="A62" s="679" t="s">
        <v>146</v>
      </c>
      <c r="B62" s="680" t="s">
        <v>147</v>
      </c>
      <c r="C62" s="681" t="s">
        <v>264</v>
      </c>
      <c r="D62" s="270">
        <v>45</v>
      </c>
      <c r="E62" s="270">
        <v>31</v>
      </c>
      <c r="F62" s="270">
        <v>7</v>
      </c>
      <c r="G62" s="270">
        <v>0</v>
      </c>
      <c r="H62" s="270">
        <v>7</v>
      </c>
      <c r="I62" s="270">
        <v>12</v>
      </c>
      <c r="J62" s="270">
        <v>32</v>
      </c>
    </row>
    <row r="63" spans="1:10" x14ac:dyDescent="0.25">
      <c r="A63" s="679" t="s">
        <v>148</v>
      </c>
      <c r="B63" s="680" t="s">
        <v>149</v>
      </c>
      <c r="C63" s="681" t="s">
        <v>265</v>
      </c>
      <c r="D63" s="270">
        <v>131</v>
      </c>
      <c r="E63" s="270">
        <v>58</v>
      </c>
      <c r="F63" s="270">
        <v>66</v>
      </c>
      <c r="G63" s="270">
        <v>1</v>
      </c>
      <c r="H63" s="270">
        <v>6</v>
      </c>
      <c r="I63" s="270">
        <v>30</v>
      </c>
      <c r="J63" s="270">
        <v>101</v>
      </c>
    </row>
    <row r="64" spans="1:10" x14ac:dyDescent="0.25">
      <c r="A64" s="679" t="s">
        <v>150</v>
      </c>
      <c r="B64" s="680" t="s">
        <v>151</v>
      </c>
      <c r="C64" s="681" t="s">
        <v>266</v>
      </c>
      <c r="D64" s="270">
        <v>91</v>
      </c>
      <c r="E64" s="270">
        <v>62</v>
      </c>
      <c r="F64" s="270">
        <v>19</v>
      </c>
      <c r="G64" s="270">
        <v>3</v>
      </c>
      <c r="H64" s="270">
        <v>7</v>
      </c>
      <c r="I64" s="270">
        <v>15</v>
      </c>
      <c r="J64" s="270">
        <v>76</v>
      </c>
    </row>
    <row r="65" spans="1:10" x14ac:dyDescent="0.25">
      <c r="A65" s="679" t="s">
        <v>152</v>
      </c>
      <c r="B65" s="680" t="s">
        <v>153</v>
      </c>
      <c r="C65" s="681" t="s">
        <v>268</v>
      </c>
      <c r="D65" s="270">
        <v>115</v>
      </c>
      <c r="E65" s="270">
        <v>107</v>
      </c>
      <c r="F65" s="270">
        <v>4</v>
      </c>
      <c r="G65" s="270">
        <v>0</v>
      </c>
      <c r="H65" s="270">
        <v>4</v>
      </c>
      <c r="I65" s="270">
        <v>17</v>
      </c>
      <c r="J65" s="270">
        <v>97</v>
      </c>
    </row>
    <row r="66" spans="1:10" x14ac:dyDescent="0.25">
      <c r="A66" s="679" t="s">
        <v>154</v>
      </c>
      <c r="B66" s="680" t="s">
        <v>155</v>
      </c>
      <c r="C66" s="681" t="s">
        <v>265</v>
      </c>
      <c r="D66" s="270">
        <v>73</v>
      </c>
      <c r="E66" s="270">
        <v>57</v>
      </c>
      <c r="F66" s="270">
        <v>16</v>
      </c>
      <c r="G66" s="270">
        <v>0</v>
      </c>
      <c r="H66" s="270">
        <v>0</v>
      </c>
      <c r="I66" s="270">
        <v>13</v>
      </c>
      <c r="J66" s="270">
        <v>60</v>
      </c>
    </row>
    <row r="67" spans="1:10" x14ac:dyDescent="0.25">
      <c r="A67" s="679" t="s">
        <v>156</v>
      </c>
      <c r="B67" s="680" t="s">
        <v>157</v>
      </c>
      <c r="C67" s="681" t="s">
        <v>266</v>
      </c>
      <c r="D67" s="270">
        <v>33</v>
      </c>
      <c r="E67" s="270">
        <v>26</v>
      </c>
      <c r="F67" s="270">
        <v>6</v>
      </c>
      <c r="G67" s="270">
        <v>0</v>
      </c>
      <c r="H67" s="270">
        <v>1</v>
      </c>
      <c r="I67" s="270">
        <v>7</v>
      </c>
      <c r="J67" s="270">
        <v>26</v>
      </c>
    </row>
    <row r="68" spans="1:10" x14ac:dyDescent="0.25">
      <c r="A68" s="679" t="s">
        <v>162</v>
      </c>
      <c r="B68" s="680" t="s">
        <v>163</v>
      </c>
      <c r="C68" s="681" t="s">
        <v>264</v>
      </c>
      <c r="D68" s="270">
        <v>11</v>
      </c>
      <c r="E68" s="270">
        <v>6</v>
      </c>
      <c r="F68" s="270">
        <v>5</v>
      </c>
      <c r="G68" s="270">
        <v>0</v>
      </c>
      <c r="H68" s="270">
        <v>0</v>
      </c>
      <c r="I68" s="270">
        <v>4</v>
      </c>
      <c r="J68" s="270">
        <v>7</v>
      </c>
    </row>
    <row r="69" spans="1:10" x14ac:dyDescent="0.25">
      <c r="A69" s="679" t="s">
        <v>164</v>
      </c>
      <c r="B69" s="680" t="s">
        <v>165</v>
      </c>
      <c r="C69" s="681" t="s">
        <v>266</v>
      </c>
      <c r="D69" s="270">
        <v>3</v>
      </c>
      <c r="E69" s="270">
        <v>3</v>
      </c>
      <c r="F69" s="270">
        <v>0</v>
      </c>
      <c r="G69" s="270">
        <v>0</v>
      </c>
      <c r="H69" s="270">
        <v>0</v>
      </c>
      <c r="I69" s="270">
        <v>0</v>
      </c>
      <c r="J69" s="270">
        <v>3</v>
      </c>
    </row>
    <row r="70" spans="1:10" x14ac:dyDescent="0.25">
      <c r="A70" s="679" t="s">
        <v>168</v>
      </c>
      <c r="B70" s="680" t="s">
        <v>169</v>
      </c>
      <c r="C70" s="681" t="s">
        <v>266</v>
      </c>
      <c r="D70" s="270">
        <v>21</v>
      </c>
      <c r="E70" s="270">
        <v>15</v>
      </c>
      <c r="F70" s="270">
        <v>6</v>
      </c>
      <c r="G70" s="270">
        <v>0</v>
      </c>
      <c r="H70" s="270">
        <v>0</v>
      </c>
      <c r="I70" s="270">
        <v>9</v>
      </c>
      <c r="J70" s="270">
        <v>12</v>
      </c>
    </row>
    <row r="71" spans="1:10" x14ac:dyDescent="0.25">
      <c r="A71" s="679" t="s">
        <v>170</v>
      </c>
      <c r="B71" s="680" t="s">
        <v>171</v>
      </c>
      <c r="C71" s="681" t="s">
        <v>267</v>
      </c>
      <c r="D71" s="270">
        <v>82</v>
      </c>
      <c r="E71" s="270">
        <v>57</v>
      </c>
      <c r="F71" s="270">
        <v>19</v>
      </c>
      <c r="G71" s="270">
        <v>0</v>
      </c>
      <c r="H71" s="270">
        <v>6</v>
      </c>
      <c r="I71" s="270">
        <v>19</v>
      </c>
      <c r="J71" s="270">
        <v>63</v>
      </c>
    </row>
    <row r="72" spans="1:10" x14ac:dyDescent="0.25">
      <c r="A72" s="679" t="s">
        <v>172</v>
      </c>
      <c r="B72" s="680" t="s">
        <v>173</v>
      </c>
      <c r="C72" s="681" t="s">
        <v>267</v>
      </c>
      <c r="D72" s="270">
        <v>79</v>
      </c>
      <c r="E72" s="270">
        <v>74</v>
      </c>
      <c r="F72" s="270">
        <v>0</v>
      </c>
      <c r="G72" s="270">
        <v>0</v>
      </c>
      <c r="H72" s="270">
        <v>5</v>
      </c>
      <c r="I72" s="270">
        <v>15</v>
      </c>
      <c r="J72" s="270">
        <v>64</v>
      </c>
    </row>
    <row r="73" spans="1:10" x14ac:dyDescent="0.25">
      <c r="A73" s="679" t="s">
        <v>174</v>
      </c>
      <c r="B73" s="680" t="s">
        <v>175</v>
      </c>
      <c r="C73" s="681" t="s">
        <v>268</v>
      </c>
      <c r="D73" s="270">
        <v>139</v>
      </c>
      <c r="E73" s="270">
        <v>127</v>
      </c>
      <c r="F73" s="270">
        <v>11</v>
      </c>
      <c r="G73" s="270">
        <v>0</v>
      </c>
      <c r="H73" s="270">
        <v>1</v>
      </c>
      <c r="I73" s="270">
        <v>55</v>
      </c>
      <c r="J73" s="270">
        <v>84</v>
      </c>
    </row>
    <row r="74" spans="1:10" x14ac:dyDescent="0.25">
      <c r="A74" s="679" t="s">
        <v>178</v>
      </c>
      <c r="B74" s="680" t="s">
        <v>179</v>
      </c>
      <c r="C74" s="681" t="s">
        <v>265</v>
      </c>
      <c r="D74" s="270">
        <v>163</v>
      </c>
      <c r="E74" s="270">
        <v>99</v>
      </c>
      <c r="F74" s="270">
        <v>62</v>
      </c>
      <c r="G74" s="270">
        <v>0</v>
      </c>
      <c r="H74" s="270">
        <v>2</v>
      </c>
      <c r="I74" s="270">
        <v>27</v>
      </c>
      <c r="J74" s="270">
        <v>136</v>
      </c>
    </row>
    <row r="75" spans="1:10" x14ac:dyDescent="0.25">
      <c r="A75" s="679" t="s">
        <v>182</v>
      </c>
      <c r="B75" s="680" t="s">
        <v>183</v>
      </c>
      <c r="C75" s="681" t="s">
        <v>266</v>
      </c>
      <c r="D75" s="270">
        <v>9</v>
      </c>
      <c r="E75" s="270">
        <v>5</v>
      </c>
      <c r="F75" s="270">
        <v>2</v>
      </c>
      <c r="G75" s="270">
        <v>0</v>
      </c>
      <c r="H75" s="270">
        <v>2</v>
      </c>
      <c r="I75" s="270">
        <v>3</v>
      </c>
      <c r="J75" s="270">
        <v>6</v>
      </c>
    </row>
    <row r="76" spans="1:10" x14ac:dyDescent="0.25">
      <c r="A76" s="679" t="s">
        <v>184</v>
      </c>
      <c r="B76" s="680" t="s">
        <v>185</v>
      </c>
      <c r="C76" s="681" t="s">
        <v>266</v>
      </c>
      <c r="D76" s="270">
        <v>44</v>
      </c>
      <c r="E76" s="270">
        <v>19</v>
      </c>
      <c r="F76" s="270">
        <v>20</v>
      </c>
      <c r="G76" s="270">
        <v>0</v>
      </c>
      <c r="H76" s="270">
        <v>5</v>
      </c>
      <c r="I76" s="270">
        <v>8</v>
      </c>
      <c r="J76" s="270">
        <v>34</v>
      </c>
    </row>
    <row r="77" spans="1:10" x14ac:dyDescent="0.25">
      <c r="A77" s="679" t="s">
        <v>186</v>
      </c>
      <c r="B77" s="680" t="s">
        <v>187</v>
      </c>
      <c r="C77" s="681" t="s">
        <v>264</v>
      </c>
      <c r="D77" s="270">
        <v>58</v>
      </c>
      <c r="E77" s="270">
        <v>42</v>
      </c>
      <c r="F77" s="270">
        <v>15</v>
      </c>
      <c r="G77" s="270">
        <v>0</v>
      </c>
      <c r="H77" s="270">
        <v>1</v>
      </c>
      <c r="I77" s="270">
        <v>18</v>
      </c>
      <c r="J77" s="270">
        <v>40</v>
      </c>
    </row>
    <row r="78" spans="1:10" x14ac:dyDescent="0.25">
      <c r="A78" s="679" t="s">
        <v>188</v>
      </c>
      <c r="B78" s="680" t="s">
        <v>189</v>
      </c>
      <c r="C78" s="681" t="s">
        <v>267</v>
      </c>
      <c r="D78" s="270">
        <v>676</v>
      </c>
      <c r="E78" s="270">
        <v>389</v>
      </c>
      <c r="F78" s="270">
        <v>154</v>
      </c>
      <c r="G78" s="270">
        <v>16</v>
      </c>
      <c r="H78" s="270">
        <v>106</v>
      </c>
      <c r="I78" s="270">
        <v>240</v>
      </c>
      <c r="J78" s="270">
        <v>420</v>
      </c>
    </row>
    <row r="79" spans="1:10" x14ac:dyDescent="0.25">
      <c r="A79" s="679" t="s">
        <v>190</v>
      </c>
      <c r="B79" s="680" t="s">
        <v>191</v>
      </c>
      <c r="C79" s="681" t="s">
        <v>268</v>
      </c>
      <c r="D79" s="270">
        <v>233</v>
      </c>
      <c r="E79" s="270">
        <v>205</v>
      </c>
      <c r="F79" s="270">
        <v>15</v>
      </c>
      <c r="G79" s="270">
        <v>0</v>
      </c>
      <c r="H79" s="270">
        <v>11</v>
      </c>
      <c r="I79" s="270">
        <v>45</v>
      </c>
      <c r="J79" s="270">
        <v>188</v>
      </c>
    </row>
    <row r="80" spans="1:10" x14ac:dyDescent="0.25">
      <c r="A80" s="679" t="s">
        <v>194</v>
      </c>
      <c r="B80" s="680" t="s">
        <v>195</v>
      </c>
      <c r="C80" s="681" t="s">
        <v>267</v>
      </c>
      <c r="D80" s="270">
        <v>21</v>
      </c>
      <c r="E80" s="270">
        <v>19</v>
      </c>
      <c r="F80" s="270">
        <v>2</v>
      </c>
      <c r="G80" s="270">
        <v>0</v>
      </c>
      <c r="H80" s="270">
        <v>0</v>
      </c>
      <c r="I80" s="270">
        <v>1</v>
      </c>
      <c r="J80" s="270">
        <v>20</v>
      </c>
    </row>
    <row r="81" spans="1:10" x14ac:dyDescent="0.25">
      <c r="A81" s="679" t="s">
        <v>198</v>
      </c>
      <c r="B81" s="680" t="s">
        <v>272</v>
      </c>
      <c r="C81" s="681" t="s">
        <v>266</v>
      </c>
      <c r="D81" s="270">
        <v>4</v>
      </c>
      <c r="E81" s="270">
        <v>4</v>
      </c>
      <c r="F81" s="270">
        <v>0</v>
      </c>
      <c r="G81" s="270">
        <v>0</v>
      </c>
      <c r="H81" s="270">
        <v>0</v>
      </c>
      <c r="I81" s="270">
        <v>0</v>
      </c>
      <c r="J81" s="270">
        <v>4</v>
      </c>
    </row>
    <row r="82" spans="1:10" x14ac:dyDescent="0.25">
      <c r="A82" s="679" t="s">
        <v>202</v>
      </c>
      <c r="B82" s="680" t="s">
        <v>301</v>
      </c>
      <c r="C82" s="681" t="s">
        <v>265</v>
      </c>
      <c r="D82" s="270">
        <v>717</v>
      </c>
      <c r="E82" s="270">
        <v>644</v>
      </c>
      <c r="F82" s="270">
        <v>51</v>
      </c>
      <c r="G82" s="270">
        <v>2</v>
      </c>
      <c r="H82" s="270">
        <v>19</v>
      </c>
      <c r="I82" s="270">
        <v>178</v>
      </c>
      <c r="J82" s="270">
        <v>539</v>
      </c>
    </row>
    <row r="83" spans="1:10" ht="31.5" x14ac:dyDescent="0.25">
      <c r="A83" s="679" t="s">
        <v>204</v>
      </c>
      <c r="B83" s="680" t="s">
        <v>293</v>
      </c>
      <c r="C83" s="681" t="s">
        <v>265</v>
      </c>
      <c r="D83" s="270">
        <v>57</v>
      </c>
      <c r="E83" s="270">
        <v>52</v>
      </c>
      <c r="F83" s="270">
        <v>4</v>
      </c>
      <c r="G83" s="270">
        <v>0</v>
      </c>
      <c r="H83" s="270">
        <v>1</v>
      </c>
      <c r="I83" s="270">
        <v>14</v>
      </c>
      <c r="J83" s="270">
        <v>43</v>
      </c>
    </row>
    <row r="84" spans="1:10" x14ac:dyDescent="0.25">
      <c r="A84" s="679" t="s">
        <v>206</v>
      </c>
      <c r="B84" s="680" t="s">
        <v>294</v>
      </c>
      <c r="C84" s="681" t="s">
        <v>267</v>
      </c>
      <c r="D84" s="270">
        <v>229</v>
      </c>
      <c r="E84" s="270">
        <v>201</v>
      </c>
      <c r="F84" s="270">
        <v>5</v>
      </c>
      <c r="G84" s="270">
        <v>0</v>
      </c>
      <c r="H84" s="270">
        <v>21</v>
      </c>
      <c r="I84" s="270">
        <v>42</v>
      </c>
      <c r="J84" s="270">
        <v>186</v>
      </c>
    </row>
    <row r="85" spans="1:10" x14ac:dyDescent="0.25">
      <c r="A85" s="679" t="s">
        <v>208</v>
      </c>
      <c r="B85" s="680" t="s">
        <v>209</v>
      </c>
      <c r="C85" s="681" t="s">
        <v>268</v>
      </c>
      <c r="D85" s="270">
        <v>161</v>
      </c>
      <c r="E85" s="270">
        <v>160</v>
      </c>
      <c r="F85" s="270">
        <v>0</v>
      </c>
      <c r="G85" s="270">
        <v>0</v>
      </c>
      <c r="H85" s="270">
        <v>1</v>
      </c>
      <c r="I85" s="270">
        <v>40</v>
      </c>
      <c r="J85" s="270">
        <v>121</v>
      </c>
    </row>
    <row r="86" spans="1:10" x14ac:dyDescent="0.25">
      <c r="A86" s="679" t="s">
        <v>210</v>
      </c>
      <c r="B86" s="680" t="s">
        <v>211</v>
      </c>
      <c r="C86" s="681" t="s">
        <v>268</v>
      </c>
      <c r="D86" s="270">
        <v>212</v>
      </c>
      <c r="E86" s="270">
        <v>199</v>
      </c>
      <c r="F86" s="270">
        <v>6</v>
      </c>
      <c r="G86" s="270">
        <v>0</v>
      </c>
      <c r="H86" s="270">
        <v>7</v>
      </c>
      <c r="I86" s="270">
        <v>60</v>
      </c>
      <c r="J86" s="270">
        <v>152</v>
      </c>
    </row>
    <row r="87" spans="1:10" x14ac:dyDescent="0.25">
      <c r="A87" s="679" t="s">
        <v>212</v>
      </c>
      <c r="B87" s="680" t="s">
        <v>213</v>
      </c>
      <c r="C87" s="681" t="s">
        <v>267</v>
      </c>
      <c r="D87" s="270">
        <v>109</v>
      </c>
      <c r="E87" s="270">
        <v>103</v>
      </c>
      <c r="F87" s="270">
        <v>3</v>
      </c>
      <c r="G87" s="270">
        <v>0</v>
      </c>
      <c r="H87" s="270">
        <v>3</v>
      </c>
      <c r="I87" s="270">
        <v>25</v>
      </c>
      <c r="J87" s="270">
        <v>84</v>
      </c>
    </row>
    <row r="88" spans="1:10" x14ac:dyDescent="0.25">
      <c r="A88" s="679" t="s">
        <v>214</v>
      </c>
      <c r="B88" s="680" t="s">
        <v>215</v>
      </c>
      <c r="C88" s="681" t="s">
        <v>268</v>
      </c>
      <c r="D88" s="270">
        <v>265</v>
      </c>
      <c r="E88" s="270">
        <v>247</v>
      </c>
      <c r="F88" s="270">
        <v>9</v>
      </c>
      <c r="G88" s="270">
        <v>0</v>
      </c>
      <c r="H88" s="270">
        <v>8</v>
      </c>
      <c r="I88" s="270">
        <v>76</v>
      </c>
      <c r="J88" s="270">
        <v>187</v>
      </c>
    </row>
    <row r="89" spans="1:10" x14ac:dyDescent="0.25">
      <c r="A89" s="679" t="s">
        <v>216</v>
      </c>
      <c r="B89" s="680" t="s">
        <v>217</v>
      </c>
      <c r="C89" s="681" t="s">
        <v>264</v>
      </c>
      <c r="D89" s="270">
        <v>24</v>
      </c>
      <c r="E89" s="270">
        <v>11</v>
      </c>
      <c r="F89" s="270">
        <v>13</v>
      </c>
      <c r="G89" s="270">
        <v>0</v>
      </c>
      <c r="H89" s="270">
        <v>0</v>
      </c>
      <c r="I89" s="270">
        <v>9</v>
      </c>
      <c r="J89" s="270">
        <v>15</v>
      </c>
    </row>
    <row r="90" spans="1:10" x14ac:dyDescent="0.25">
      <c r="A90" s="679" t="s">
        <v>218</v>
      </c>
      <c r="B90" s="680" t="s">
        <v>219</v>
      </c>
      <c r="C90" s="681" t="s">
        <v>267</v>
      </c>
      <c r="D90" s="270">
        <v>142</v>
      </c>
      <c r="E90" s="270">
        <v>107</v>
      </c>
      <c r="F90" s="270">
        <v>25</v>
      </c>
      <c r="G90" s="270">
        <v>0</v>
      </c>
      <c r="H90" s="270">
        <v>9</v>
      </c>
      <c r="I90" s="270">
        <v>33</v>
      </c>
      <c r="J90" s="270">
        <v>109</v>
      </c>
    </row>
    <row r="91" spans="1:10" x14ac:dyDescent="0.25">
      <c r="A91" s="679" t="s">
        <v>220</v>
      </c>
      <c r="B91" s="680" t="s">
        <v>221</v>
      </c>
      <c r="C91" s="681" t="s">
        <v>267</v>
      </c>
      <c r="D91" s="270">
        <v>51</v>
      </c>
      <c r="E91" s="270">
        <v>35</v>
      </c>
      <c r="F91" s="270">
        <v>13</v>
      </c>
      <c r="G91" s="270">
        <v>1</v>
      </c>
      <c r="H91" s="270">
        <v>2</v>
      </c>
      <c r="I91" s="270">
        <v>11</v>
      </c>
      <c r="J91" s="270">
        <v>40</v>
      </c>
    </row>
    <row r="92" spans="1:10" x14ac:dyDescent="0.25">
      <c r="A92" s="679" t="s">
        <v>224</v>
      </c>
      <c r="B92" s="680" t="s">
        <v>225</v>
      </c>
      <c r="C92" s="681" t="s">
        <v>264</v>
      </c>
      <c r="D92" s="270">
        <v>14</v>
      </c>
      <c r="E92" s="270">
        <v>4</v>
      </c>
      <c r="F92" s="270">
        <v>9</v>
      </c>
      <c r="G92" s="270">
        <v>0</v>
      </c>
      <c r="H92" s="270">
        <v>1</v>
      </c>
      <c r="I92" s="270">
        <v>2</v>
      </c>
      <c r="J92" s="270">
        <v>12</v>
      </c>
    </row>
    <row r="93" spans="1:10" x14ac:dyDescent="0.25">
      <c r="A93" s="679" t="s">
        <v>226</v>
      </c>
      <c r="B93" s="680" t="s">
        <v>227</v>
      </c>
      <c r="C93" s="681" t="s">
        <v>264</v>
      </c>
      <c r="D93" s="270">
        <v>70</v>
      </c>
      <c r="E93" s="270">
        <v>27</v>
      </c>
      <c r="F93" s="270">
        <v>42</v>
      </c>
      <c r="G93" s="270">
        <v>0</v>
      </c>
      <c r="H93" s="270">
        <v>1</v>
      </c>
      <c r="I93" s="270">
        <v>44</v>
      </c>
      <c r="J93" s="270">
        <v>26</v>
      </c>
    </row>
    <row r="94" spans="1:10" x14ac:dyDescent="0.25">
      <c r="A94" s="679" t="s">
        <v>228</v>
      </c>
      <c r="B94" s="680" t="s">
        <v>229</v>
      </c>
      <c r="C94" s="681" t="s">
        <v>268</v>
      </c>
      <c r="D94" s="270">
        <v>302</v>
      </c>
      <c r="E94" s="270">
        <v>290</v>
      </c>
      <c r="F94" s="270">
        <v>3</v>
      </c>
      <c r="G94" s="270">
        <v>0</v>
      </c>
      <c r="H94" s="270">
        <v>8</v>
      </c>
      <c r="I94" s="270">
        <v>62</v>
      </c>
      <c r="J94" s="270">
        <v>240</v>
      </c>
    </row>
    <row r="95" spans="1:10" x14ac:dyDescent="0.25">
      <c r="A95" s="679" t="s">
        <v>232</v>
      </c>
      <c r="B95" s="680" t="s">
        <v>233</v>
      </c>
      <c r="C95" s="681" t="s">
        <v>267</v>
      </c>
      <c r="D95" s="270">
        <v>111</v>
      </c>
      <c r="E95" s="270">
        <v>85</v>
      </c>
      <c r="F95" s="270">
        <v>15</v>
      </c>
      <c r="G95" s="270">
        <v>0</v>
      </c>
      <c r="H95" s="270">
        <v>11</v>
      </c>
      <c r="I95" s="270">
        <v>23</v>
      </c>
      <c r="J95" s="270">
        <v>87</v>
      </c>
    </row>
    <row r="96" spans="1:10" x14ac:dyDescent="0.25">
      <c r="A96" s="679" t="s">
        <v>234</v>
      </c>
      <c r="B96" s="680" t="s">
        <v>235</v>
      </c>
      <c r="C96" s="681" t="s">
        <v>268</v>
      </c>
      <c r="D96" s="270">
        <v>146</v>
      </c>
      <c r="E96" s="270">
        <v>137</v>
      </c>
      <c r="F96" s="270">
        <v>6</v>
      </c>
      <c r="G96" s="270">
        <v>0</v>
      </c>
      <c r="H96" s="270">
        <v>3</v>
      </c>
      <c r="I96" s="270">
        <v>34</v>
      </c>
      <c r="J96" s="270">
        <v>112</v>
      </c>
    </row>
    <row r="97" spans="1:10" x14ac:dyDescent="0.25">
      <c r="A97" s="679" t="s">
        <v>236</v>
      </c>
      <c r="B97" s="680" t="s">
        <v>237</v>
      </c>
      <c r="C97" s="681" t="s">
        <v>266</v>
      </c>
      <c r="D97" s="270">
        <v>57</v>
      </c>
      <c r="E97" s="270">
        <v>36</v>
      </c>
      <c r="F97" s="270">
        <v>11</v>
      </c>
      <c r="G97" s="270">
        <v>0</v>
      </c>
      <c r="H97" s="270">
        <v>9</v>
      </c>
      <c r="I97" s="270">
        <v>5</v>
      </c>
      <c r="J97" s="270">
        <v>52</v>
      </c>
    </row>
    <row r="98" spans="1:10" x14ac:dyDescent="0.25">
      <c r="A98" s="679" t="s">
        <v>242</v>
      </c>
      <c r="B98" s="680" t="s">
        <v>243</v>
      </c>
      <c r="C98" s="681" t="s">
        <v>268</v>
      </c>
      <c r="D98" s="270">
        <v>226</v>
      </c>
      <c r="E98" s="270">
        <v>222</v>
      </c>
      <c r="F98" s="270">
        <v>4</v>
      </c>
      <c r="G98" s="270">
        <v>0</v>
      </c>
      <c r="H98" s="270">
        <v>0</v>
      </c>
      <c r="I98" s="270">
        <v>67</v>
      </c>
      <c r="J98" s="270">
        <v>160</v>
      </c>
    </row>
    <row r="99" spans="1:10" x14ac:dyDescent="0.25">
      <c r="A99" s="679" t="s">
        <v>244</v>
      </c>
      <c r="B99" s="680" t="s">
        <v>245</v>
      </c>
      <c r="C99" s="681" t="s">
        <v>268</v>
      </c>
      <c r="D99" s="484">
        <v>128</v>
      </c>
      <c r="E99" s="484">
        <v>119</v>
      </c>
      <c r="F99" s="484">
        <v>6</v>
      </c>
      <c r="G99" s="484">
        <v>0</v>
      </c>
      <c r="H99" s="484">
        <v>3</v>
      </c>
      <c r="I99" s="484">
        <v>25</v>
      </c>
      <c r="J99" s="484">
        <v>103</v>
      </c>
    </row>
    <row r="100" spans="1:10" x14ac:dyDescent="0.25">
      <c r="A100" s="679" t="s">
        <v>246</v>
      </c>
      <c r="B100" s="680" t="s">
        <v>247</v>
      </c>
      <c r="C100" s="681" t="s">
        <v>264</v>
      </c>
      <c r="D100" s="270">
        <v>236</v>
      </c>
      <c r="E100" s="270">
        <v>162</v>
      </c>
      <c r="F100" s="270">
        <v>61</v>
      </c>
      <c r="G100" s="270">
        <v>7</v>
      </c>
      <c r="H100" s="270">
        <v>5</v>
      </c>
      <c r="I100" s="270">
        <v>52</v>
      </c>
      <c r="J100" s="270">
        <v>184</v>
      </c>
    </row>
    <row r="101" spans="1:10" x14ac:dyDescent="0.25">
      <c r="A101" s="679" t="s">
        <v>14</v>
      </c>
      <c r="B101" s="680" t="s">
        <v>15</v>
      </c>
      <c r="C101" s="681" t="s">
        <v>267</v>
      </c>
      <c r="D101" s="270">
        <v>256</v>
      </c>
      <c r="E101" s="270">
        <v>155</v>
      </c>
      <c r="F101" s="270">
        <v>78</v>
      </c>
      <c r="G101" s="270">
        <v>9</v>
      </c>
      <c r="H101" s="270">
        <v>10</v>
      </c>
      <c r="I101" s="270">
        <v>57</v>
      </c>
      <c r="J101" s="270">
        <v>198</v>
      </c>
    </row>
    <row r="102" spans="1:10" x14ac:dyDescent="0.25">
      <c r="A102" s="679" t="s">
        <v>34</v>
      </c>
      <c r="B102" s="680" t="s">
        <v>35</v>
      </c>
      <c r="C102" s="681" t="s">
        <v>268</v>
      </c>
      <c r="D102" s="270">
        <v>84</v>
      </c>
      <c r="E102" s="270">
        <v>73</v>
      </c>
      <c r="F102" s="270">
        <v>11</v>
      </c>
      <c r="G102" s="270">
        <v>0</v>
      </c>
      <c r="H102" s="270">
        <v>0</v>
      </c>
      <c r="I102" s="270">
        <v>30</v>
      </c>
      <c r="J102" s="270">
        <v>54</v>
      </c>
    </row>
    <row r="103" spans="1:10" x14ac:dyDescent="0.25">
      <c r="A103" s="679" t="s">
        <v>52</v>
      </c>
      <c r="B103" s="680" t="s">
        <v>53</v>
      </c>
      <c r="C103" s="681" t="s">
        <v>265</v>
      </c>
      <c r="D103" s="270">
        <v>317</v>
      </c>
      <c r="E103" s="270">
        <v>164</v>
      </c>
      <c r="F103" s="270">
        <v>130</v>
      </c>
      <c r="G103" s="270">
        <v>5</v>
      </c>
      <c r="H103" s="270">
        <v>18</v>
      </c>
      <c r="I103" s="270">
        <v>128</v>
      </c>
      <c r="J103" s="270">
        <v>192</v>
      </c>
    </row>
    <row r="104" spans="1:10" x14ac:dyDescent="0.25">
      <c r="A104" s="679" t="s">
        <v>54</v>
      </c>
      <c r="B104" s="680" t="s">
        <v>55</v>
      </c>
      <c r="C104" s="681" t="s">
        <v>264</v>
      </c>
      <c r="D104" s="270">
        <v>867</v>
      </c>
      <c r="E104" s="270">
        <v>453</v>
      </c>
      <c r="F104" s="270">
        <v>341</v>
      </c>
      <c r="G104" s="270">
        <v>5</v>
      </c>
      <c r="H104" s="270">
        <v>61</v>
      </c>
      <c r="I104" s="270">
        <v>314</v>
      </c>
      <c r="J104" s="270">
        <v>547</v>
      </c>
    </row>
    <row r="105" spans="1:10" x14ac:dyDescent="0.25">
      <c r="A105" s="679" t="s">
        <v>66</v>
      </c>
      <c r="B105" s="680" t="s">
        <v>67</v>
      </c>
      <c r="C105" s="681" t="s">
        <v>265</v>
      </c>
      <c r="D105" s="270">
        <v>203</v>
      </c>
      <c r="E105" s="270">
        <v>113</v>
      </c>
      <c r="F105" s="270">
        <v>83</v>
      </c>
      <c r="G105" s="270">
        <v>0</v>
      </c>
      <c r="H105" s="270">
        <v>7</v>
      </c>
      <c r="I105" s="270">
        <v>49</v>
      </c>
      <c r="J105" s="270">
        <v>154</v>
      </c>
    </row>
    <row r="106" spans="1:10" x14ac:dyDescent="0.25">
      <c r="A106" s="679" t="s">
        <v>82</v>
      </c>
      <c r="B106" s="680" t="s">
        <v>83</v>
      </c>
      <c r="C106" s="681" t="s">
        <v>264</v>
      </c>
      <c r="D106" s="270">
        <v>6</v>
      </c>
      <c r="E106" s="270">
        <v>1</v>
      </c>
      <c r="F106" s="270">
        <v>5</v>
      </c>
      <c r="G106" s="270">
        <v>0</v>
      </c>
      <c r="H106" s="270">
        <v>0</v>
      </c>
      <c r="I106" s="270">
        <v>2</v>
      </c>
      <c r="J106" s="270">
        <v>4</v>
      </c>
    </row>
    <row r="107" spans="1:10" x14ac:dyDescent="0.25">
      <c r="A107" s="679" t="s">
        <v>88</v>
      </c>
      <c r="B107" s="680" t="s">
        <v>89</v>
      </c>
      <c r="C107" s="681" t="s">
        <v>267</v>
      </c>
      <c r="D107" s="270">
        <v>64</v>
      </c>
      <c r="E107" s="270">
        <v>42</v>
      </c>
      <c r="F107" s="270">
        <v>18</v>
      </c>
      <c r="G107" s="270">
        <v>2</v>
      </c>
      <c r="H107" s="270">
        <v>2</v>
      </c>
      <c r="I107" s="270">
        <v>18</v>
      </c>
      <c r="J107" s="270">
        <v>46</v>
      </c>
    </row>
    <row r="108" spans="1:10" x14ac:dyDescent="0.25">
      <c r="A108" s="679" t="s">
        <v>90</v>
      </c>
      <c r="B108" s="680" t="s">
        <v>91</v>
      </c>
      <c r="C108" s="681" t="s">
        <v>268</v>
      </c>
      <c r="D108" s="270">
        <v>31</v>
      </c>
      <c r="E108" s="270">
        <v>30</v>
      </c>
      <c r="F108" s="270">
        <v>1</v>
      </c>
      <c r="G108" s="270">
        <v>0</v>
      </c>
      <c r="H108" s="270">
        <v>0</v>
      </c>
      <c r="I108" s="270">
        <v>10</v>
      </c>
      <c r="J108" s="270">
        <v>21</v>
      </c>
    </row>
    <row r="109" spans="1:10" x14ac:dyDescent="0.25">
      <c r="A109" s="679" t="s">
        <v>106</v>
      </c>
      <c r="B109" s="680" t="s">
        <v>107</v>
      </c>
      <c r="C109" s="681" t="s">
        <v>264</v>
      </c>
      <c r="D109" s="270">
        <v>250</v>
      </c>
      <c r="E109" s="270">
        <v>101</v>
      </c>
      <c r="F109" s="270">
        <v>125</v>
      </c>
      <c r="G109" s="270">
        <v>3</v>
      </c>
      <c r="H109" s="270">
        <v>14</v>
      </c>
      <c r="I109" s="270">
        <v>50</v>
      </c>
      <c r="J109" s="270">
        <v>198</v>
      </c>
    </row>
    <row r="110" spans="1:10" x14ac:dyDescent="0.25">
      <c r="A110" s="679" t="s">
        <v>116</v>
      </c>
      <c r="B110" s="680" t="s">
        <v>117</v>
      </c>
      <c r="C110" s="681" t="s">
        <v>266</v>
      </c>
      <c r="D110" s="270">
        <v>102</v>
      </c>
      <c r="E110" s="270">
        <v>58</v>
      </c>
      <c r="F110" s="270">
        <v>35</v>
      </c>
      <c r="G110" s="270">
        <v>0</v>
      </c>
      <c r="H110" s="270">
        <v>7</v>
      </c>
      <c r="I110" s="270">
        <v>30</v>
      </c>
      <c r="J110" s="270">
        <v>71</v>
      </c>
    </row>
    <row r="111" spans="1:10" x14ac:dyDescent="0.25">
      <c r="A111" s="679" t="s">
        <v>138</v>
      </c>
      <c r="B111" s="680" t="s">
        <v>139</v>
      </c>
      <c r="C111" s="681" t="s">
        <v>265</v>
      </c>
      <c r="D111" s="270">
        <v>610</v>
      </c>
      <c r="E111" s="270">
        <v>342</v>
      </c>
      <c r="F111" s="270">
        <v>216</v>
      </c>
      <c r="G111" s="270">
        <v>1</v>
      </c>
      <c r="H111" s="270">
        <v>51</v>
      </c>
      <c r="I111" s="270">
        <v>171</v>
      </c>
      <c r="J111" s="270">
        <v>439</v>
      </c>
    </row>
    <row r="112" spans="1:10" x14ac:dyDescent="0.25">
      <c r="A112" s="679" t="s">
        <v>142</v>
      </c>
      <c r="B112" s="680" t="s">
        <v>143</v>
      </c>
      <c r="C112" s="681" t="s">
        <v>267</v>
      </c>
      <c r="D112" s="270">
        <v>58</v>
      </c>
      <c r="E112" s="270">
        <v>36</v>
      </c>
      <c r="F112" s="270">
        <v>17</v>
      </c>
      <c r="G112" s="270">
        <v>3</v>
      </c>
      <c r="H112" s="270">
        <v>1</v>
      </c>
      <c r="I112" s="270">
        <v>21</v>
      </c>
      <c r="J112" s="270">
        <v>37</v>
      </c>
    </row>
    <row r="113" spans="1:10" x14ac:dyDescent="0.25">
      <c r="A113" s="679" t="s">
        <v>144</v>
      </c>
      <c r="B113" s="680" t="s">
        <v>145</v>
      </c>
      <c r="C113" s="681" t="s">
        <v>267</v>
      </c>
      <c r="D113" s="270">
        <v>19</v>
      </c>
      <c r="E113" s="270">
        <v>10</v>
      </c>
      <c r="F113" s="270">
        <v>4</v>
      </c>
      <c r="G113" s="270">
        <v>2</v>
      </c>
      <c r="H113" s="270">
        <v>3</v>
      </c>
      <c r="I113" s="270">
        <v>2</v>
      </c>
      <c r="J113" s="270">
        <v>17</v>
      </c>
    </row>
    <row r="114" spans="1:10" x14ac:dyDescent="0.25">
      <c r="A114" s="679" t="s">
        <v>158</v>
      </c>
      <c r="B114" s="680" t="s">
        <v>159</v>
      </c>
      <c r="C114" s="681" t="s">
        <v>264</v>
      </c>
      <c r="D114" s="270">
        <v>664</v>
      </c>
      <c r="E114" s="270">
        <v>336</v>
      </c>
      <c r="F114" s="270">
        <v>256</v>
      </c>
      <c r="G114" s="270">
        <v>15</v>
      </c>
      <c r="H114" s="270">
        <v>47</v>
      </c>
      <c r="I114" s="270">
        <v>150</v>
      </c>
      <c r="J114" s="270">
        <v>510</v>
      </c>
    </row>
    <row r="115" spans="1:10" x14ac:dyDescent="0.25">
      <c r="A115" s="679" t="s">
        <v>160</v>
      </c>
      <c r="B115" s="680" t="s">
        <v>161</v>
      </c>
      <c r="C115" s="681" t="s">
        <v>264</v>
      </c>
      <c r="D115" s="270">
        <v>992</v>
      </c>
      <c r="E115" s="270">
        <v>401</v>
      </c>
      <c r="F115" s="270">
        <v>477</v>
      </c>
      <c r="G115" s="270">
        <v>15</v>
      </c>
      <c r="H115" s="270">
        <v>90</v>
      </c>
      <c r="I115" s="270">
        <v>282</v>
      </c>
      <c r="J115" s="270">
        <v>678</v>
      </c>
    </row>
    <row r="116" spans="1:10" x14ac:dyDescent="0.25">
      <c r="A116" s="679" t="s">
        <v>166</v>
      </c>
      <c r="B116" s="680" t="s">
        <v>167</v>
      </c>
      <c r="C116" s="681" t="s">
        <v>268</v>
      </c>
      <c r="D116" s="857">
        <v>10</v>
      </c>
      <c r="E116" s="857">
        <v>8</v>
      </c>
      <c r="F116" s="857">
        <v>2</v>
      </c>
      <c r="G116" s="857">
        <v>0</v>
      </c>
      <c r="H116" s="857">
        <v>0</v>
      </c>
      <c r="I116" s="857">
        <v>3</v>
      </c>
      <c r="J116" s="857">
        <v>7</v>
      </c>
    </row>
    <row r="117" spans="1:10" x14ac:dyDescent="0.25">
      <c r="A117" s="679" t="s">
        <v>176</v>
      </c>
      <c r="B117" s="680" t="s">
        <v>177</v>
      </c>
      <c r="C117" s="681" t="s">
        <v>266</v>
      </c>
      <c r="D117" s="270">
        <v>96</v>
      </c>
      <c r="E117" s="270">
        <v>30</v>
      </c>
      <c r="F117" s="270">
        <v>52</v>
      </c>
      <c r="G117" s="270">
        <v>4</v>
      </c>
      <c r="H117" s="270">
        <v>10</v>
      </c>
      <c r="I117" s="270">
        <v>32</v>
      </c>
      <c r="J117" s="270">
        <v>64</v>
      </c>
    </row>
    <row r="118" spans="1:10" x14ac:dyDescent="0.25">
      <c r="A118" s="679" t="s">
        <v>180</v>
      </c>
      <c r="B118" s="680" t="s">
        <v>181</v>
      </c>
      <c r="C118" s="681" t="s">
        <v>264</v>
      </c>
      <c r="D118" s="270">
        <v>200</v>
      </c>
      <c r="E118" s="270">
        <v>72</v>
      </c>
      <c r="F118" s="270">
        <v>123</v>
      </c>
      <c r="G118" s="270">
        <v>0</v>
      </c>
      <c r="H118" s="270">
        <v>5</v>
      </c>
      <c r="I118" s="270">
        <v>49</v>
      </c>
      <c r="J118" s="270">
        <v>151</v>
      </c>
    </row>
    <row r="119" spans="1:10" x14ac:dyDescent="0.25">
      <c r="A119" s="679" t="s">
        <v>192</v>
      </c>
      <c r="B119" s="680" t="s">
        <v>193</v>
      </c>
      <c r="C119" s="681" t="s">
        <v>268</v>
      </c>
      <c r="D119" s="484">
        <v>14</v>
      </c>
      <c r="E119" s="484">
        <v>12</v>
      </c>
      <c r="F119" s="484">
        <v>2</v>
      </c>
      <c r="G119" s="484">
        <v>0</v>
      </c>
      <c r="H119" s="484">
        <v>0</v>
      </c>
      <c r="I119" s="484">
        <v>2</v>
      </c>
      <c r="J119" s="484">
        <v>12</v>
      </c>
    </row>
    <row r="120" spans="1:10" x14ac:dyDescent="0.25">
      <c r="A120" s="679" t="s">
        <v>196</v>
      </c>
      <c r="B120" s="680" t="s">
        <v>197</v>
      </c>
      <c r="C120" s="681" t="s">
        <v>266</v>
      </c>
      <c r="D120" s="270">
        <v>881</v>
      </c>
      <c r="E120" s="270">
        <v>264</v>
      </c>
      <c r="F120" s="270">
        <v>529</v>
      </c>
      <c r="G120" s="270">
        <v>18</v>
      </c>
      <c r="H120" s="270">
        <v>62</v>
      </c>
      <c r="I120" s="270">
        <v>269</v>
      </c>
      <c r="J120" s="270">
        <v>612</v>
      </c>
    </row>
    <row r="121" spans="1:10" x14ac:dyDescent="0.25">
      <c r="A121" s="679" t="s">
        <v>200</v>
      </c>
      <c r="B121" s="680" t="s">
        <v>201</v>
      </c>
      <c r="C121" s="681" t="s">
        <v>265</v>
      </c>
      <c r="D121" s="270">
        <v>617</v>
      </c>
      <c r="E121" s="270">
        <v>399</v>
      </c>
      <c r="F121" s="270">
        <v>146</v>
      </c>
      <c r="G121" s="270">
        <v>4</v>
      </c>
      <c r="H121" s="270">
        <v>64</v>
      </c>
      <c r="I121" s="270">
        <v>215</v>
      </c>
      <c r="J121" s="270">
        <v>402</v>
      </c>
    </row>
    <row r="122" spans="1:10" x14ac:dyDescent="0.25">
      <c r="A122" s="679" t="s">
        <v>222</v>
      </c>
      <c r="B122" s="680" t="s">
        <v>223</v>
      </c>
      <c r="C122" s="681" t="s">
        <v>264</v>
      </c>
      <c r="D122" s="270">
        <v>237</v>
      </c>
      <c r="E122" s="270">
        <v>80</v>
      </c>
      <c r="F122" s="270">
        <v>139</v>
      </c>
      <c r="G122" s="270">
        <v>0</v>
      </c>
      <c r="H122" s="270">
        <v>17</v>
      </c>
      <c r="I122" s="270">
        <v>65</v>
      </c>
      <c r="J122" s="270">
        <v>171</v>
      </c>
    </row>
    <row r="123" spans="1:10" x14ac:dyDescent="0.25">
      <c r="A123" s="679" t="s">
        <v>230</v>
      </c>
      <c r="B123" s="680" t="s">
        <v>231</v>
      </c>
      <c r="C123" s="681" t="s">
        <v>264</v>
      </c>
      <c r="D123" s="270">
        <v>1078</v>
      </c>
      <c r="E123" s="270">
        <v>736</v>
      </c>
      <c r="F123" s="270">
        <v>247</v>
      </c>
      <c r="G123" s="270">
        <v>27</v>
      </c>
      <c r="H123" s="270">
        <v>44</v>
      </c>
      <c r="I123" s="270">
        <v>246</v>
      </c>
      <c r="J123" s="270">
        <v>832</v>
      </c>
    </row>
    <row r="124" spans="1:10" x14ac:dyDescent="0.25">
      <c r="A124" s="679" t="s">
        <v>238</v>
      </c>
      <c r="B124" s="680" t="s">
        <v>239</v>
      </c>
      <c r="C124" s="681" t="s">
        <v>264</v>
      </c>
      <c r="D124" s="270">
        <v>76</v>
      </c>
      <c r="E124" s="270">
        <v>47</v>
      </c>
      <c r="F124" s="270">
        <v>19</v>
      </c>
      <c r="G124" s="270">
        <v>2</v>
      </c>
      <c r="H124" s="270">
        <v>6</v>
      </c>
      <c r="I124" s="270">
        <v>22</v>
      </c>
      <c r="J124" s="270">
        <v>54</v>
      </c>
    </row>
    <row r="125" spans="1:10" x14ac:dyDescent="0.25">
      <c r="A125" s="682" t="s">
        <v>240</v>
      </c>
      <c r="B125" s="683" t="s">
        <v>241</v>
      </c>
      <c r="C125" s="684" t="s">
        <v>267</v>
      </c>
      <c r="D125" s="858">
        <v>170</v>
      </c>
      <c r="E125" s="858">
        <v>137</v>
      </c>
      <c r="F125" s="858">
        <v>19</v>
      </c>
      <c r="G125" s="858">
        <v>0</v>
      </c>
      <c r="H125" s="1852">
        <v>12</v>
      </c>
      <c r="I125" s="858">
        <v>46</v>
      </c>
      <c r="J125" s="858">
        <v>123</v>
      </c>
    </row>
    <row r="126" spans="1:10" x14ac:dyDescent="0.25">
      <c r="A126" s="679"/>
      <c r="B126" s="680"/>
      <c r="C126" s="681"/>
    </row>
    <row r="127" spans="1:10" ht="30" customHeight="1" x14ac:dyDescent="0.25">
      <c r="A127" s="2128" t="s">
        <v>1265</v>
      </c>
      <c r="B127" s="2128"/>
      <c r="C127" s="2128"/>
      <c r="D127" s="2128"/>
      <c r="E127" s="2128"/>
      <c r="F127" s="2128"/>
      <c r="G127" s="2128"/>
      <c r="H127" s="2128"/>
      <c r="I127" s="2128"/>
      <c r="J127" s="2128"/>
    </row>
    <row r="128" spans="1:10" x14ac:dyDescent="0.25">
      <c r="A128" s="849"/>
      <c r="B128" s="849"/>
      <c r="C128" s="849"/>
      <c r="D128" s="849"/>
      <c r="E128" s="849"/>
      <c r="F128" s="849"/>
      <c r="G128" s="844"/>
      <c r="H128" s="844"/>
      <c r="I128" s="844"/>
      <c r="J128" s="844"/>
    </row>
    <row r="129" spans="1:10" s="414" customFormat="1" x14ac:dyDescent="0.25">
      <c r="A129" s="2126" t="s">
        <v>248</v>
      </c>
      <c r="B129" s="2126"/>
      <c r="C129" s="2126"/>
      <c r="D129" s="2126"/>
      <c r="E129" s="2126"/>
      <c r="F129" s="2126"/>
      <c r="G129" s="2126"/>
      <c r="H129" s="2126"/>
      <c r="I129" s="2126"/>
      <c r="J129" s="2126"/>
    </row>
    <row r="130" spans="1:10" s="270" customFormat="1" x14ac:dyDescent="0.25">
      <c r="A130" s="415" t="s">
        <v>249</v>
      </c>
      <c r="B130" s="416" t="s">
        <v>250</v>
      </c>
      <c r="C130" s="853"/>
    </row>
    <row r="141" spans="1:10" ht="15.75" customHeight="1" x14ac:dyDescent="0.25">
      <c r="A141" s="2125" t="s">
        <v>777</v>
      </c>
      <c r="B141" s="2125"/>
      <c r="C141" s="2125"/>
      <c r="D141" s="2125"/>
      <c r="E141" s="2125"/>
      <c r="F141" s="2125"/>
    </row>
  </sheetData>
  <autoFilter ref="A4:C125"/>
  <sortState ref="A6:I125">
    <sortCondition ref="A6:A125"/>
  </sortState>
  <mergeCells count="5">
    <mergeCell ref="A141:F141"/>
    <mergeCell ref="A129:J129"/>
    <mergeCell ref="I3:J3"/>
    <mergeCell ref="A127:J127"/>
    <mergeCell ref="E3:H3"/>
  </mergeCells>
  <hyperlinks>
    <hyperlink ref="B130" r:id="rId1"/>
  </hyperlinks>
  <pageMargins left="0.7" right="0.7" top="0.75" bottom="0.75" header="0.3" footer="0.3"/>
  <pageSetup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129"/>
  <sheetViews>
    <sheetView workbookViewId="0">
      <pane ySplit="4" topLeftCell="A105" activePane="bottomLeft" state="frozen"/>
      <selection pane="bottomLeft" activeCell="K126" sqref="K126"/>
    </sheetView>
  </sheetViews>
  <sheetFormatPr defaultRowHeight="15.75" x14ac:dyDescent="0.25"/>
  <cols>
    <col min="1" max="1" width="9.125" style="687" customWidth="1"/>
    <col min="2" max="2" width="30.625" style="687" customWidth="1"/>
    <col min="3" max="3" width="11.25" style="705" customWidth="1"/>
    <col min="4" max="4" width="9" style="677"/>
    <col min="5" max="6" width="9" style="731"/>
    <col min="7" max="10" width="9" style="677"/>
    <col min="11" max="11" width="9" style="731"/>
    <col min="12" max="12" width="4.25" style="677" customWidth="1"/>
    <col min="13" max="16384" width="9" style="677"/>
  </cols>
  <sheetData>
    <row r="1" spans="1:25" ht="15.75" customHeight="1" x14ac:dyDescent="0.25">
      <c r="A1" s="2129" t="s">
        <v>1239</v>
      </c>
      <c r="B1" s="2129"/>
      <c r="C1" s="2129"/>
      <c r="D1" s="2129"/>
      <c r="E1" s="2129"/>
      <c r="F1" s="2129"/>
      <c r="G1" s="2129"/>
      <c r="H1" s="2129"/>
      <c r="I1" s="2129"/>
      <c r="K1" s="1141"/>
    </row>
    <row r="2" spans="1:25" x14ac:dyDescent="0.25">
      <c r="A2" s="677"/>
      <c r="B2" s="677"/>
      <c r="C2" s="699"/>
    </row>
    <row r="3" spans="1:25" ht="31.5" x14ac:dyDescent="0.25">
      <c r="A3" s="688" t="s">
        <v>4</v>
      </c>
      <c r="B3" s="688" t="s">
        <v>286</v>
      </c>
      <c r="C3" s="700" t="s">
        <v>251</v>
      </c>
      <c r="D3" s="693" t="s">
        <v>281</v>
      </c>
      <c r="E3" s="1150" t="s">
        <v>2</v>
      </c>
      <c r="F3" s="1150" t="s">
        <v>445</v>
      </c>
      <c r="G3" s="689" t="s">
        <v>542</v>
      </c>
      <c r="H3" s="689" t="s">
        <v>772</v>
      </c>
      <c r="I3" s="689" t="s">
        <v>724</v>
      </c>
      <c r="J3" s="689" t="s">
        <v>773</v>
      </c>
      <c r="K3" s="1150" t="s">
        <v>1243</v>
      </c>
      <c r="L3" s="270"/>
      <c r="M3" s="693" t="s">
        <v>2</v>
      </c>
      <c r="N3" s="689" t="s">
        <v>445</v>
      </c>
      <c r="O3" s="1150" t="s">
        <v>1244</v>
      </c>
      <c r="Q3" s="1476" t="s">
        <v>1250</v>
      </c>
      <c r="R3" s="1476" t="s">
        <v>1251</v>
      </c>
      <c r="S3" s="1476" t="s">
        <v>1252</v>
      </c>
      <c r="T3" s="1476" t="s">
        <v>1253</v>
      </c>
      <c r="U3" s="1476" t="s">
        <v>1254</v>
      </c>
      <c r="V3" s="1476" t="s">
        <v>1255</v>
      </c>
      <c r="W3" s="1476" t="s">
        <v>773</v>
      </c>
      <c r="Y3" s="1476" t="s">
        <v>1249</v>
      </c>
    </row>
    <row r="4" spans="1:25" x14ac:dyDescent="0.25">
      <c r="A4" s="690">
        <v>999</v>
      </c>
      <c r="B4" s="678" t="s">
        <v>9</v>
      </c>
      <c r="C4" s="678"/>
      <c r="D4" s="616">
        <f>SUM(D5:D124)</f>
        <v>98830</v>
      </c>
      <c r="E4" s="617">
        <f t="shared" ref="E4:J4" si="0">SUM(E5:E124)</f>
        <v>62311</v>
      </c>
      <c r="F4" s="617">
        <f t="shared" si="0"/>
        <v>31190</v>
      </c>
      <c r="G4" s="617">
        <f t="shared" si="0"/>
        <v>1363</v>
      </c>
      <c r="H4" s="617">
        <f t="shared" si="0"/>
        <v>441</v>
      </c>
      <c r="I4" s="617">
        <f t="shared" si="0"/>
        <v>194</v>
      </c>
      <c r="J4" s="617">
        <f t="shared" si="0"/>
        <v>206</v>
      </c>
      <c r="K4" s="617">
        <f>SUM(K5:K124)</f>
        <v>10786</v>
      </c>
      <c r="L4" s="270"/>
      <c r="M4" s="697">
        <f>SUM(M5:M124)</f>
        <v>62311</v>
      </c>
      <c r="N4" s="698">
        <f>SUM(N5:N124)</f>
        <v>31190</v>
      </c>
      <c r="O4" s="698">
        <f>SUM(O5:O124)</f>
        <v>1998</v>
      </c>
      <c r="Q4" s="698">
        <f t="shared" ref="Q4:Y4" si="1">SUM(Q5:Q124)</f>
        <v>6721</v>
      </c>
      <c r="R4" s="698">
        <f t="shared" si="1"/>
        <v>14749</v>
      </c>
      <c r="S4" s="698">
        <f t="shared" si="1"/>
        <v>22927</v>
      </c>
      <c r="T4" s="698">
        <f t="shared" si="1"/>
        <v>19709</v>
      </c>
      <c r="U4" s="698">
        <f t="shared" si="1"/>
        <v>17234</v>
      </c>
      <c r="V4" s="698">
        <f t="shared" si="1"/>
        <v>7165</v>
      </c>
      <c r="W4" s="698">
        <f t="shared" si="1"/>
        <v>10325</v>
      </c>
      <c r="Y4" s="698">
        <f t="shared" si="1"/>
        <v>21470</v>
      </c>
    </row>
    <row r="5" spans="1:25" x14ac:dyDescent="0.25">
      <c r="A5" s="691" t="s">
        <v>10</v>
      </c>
      <c r="B5" s="190" t="s">
        <v>11</v>
      </c>
      <c r="C5" s="701" t="s">
        <v>264</v>
      </c>
      <c r="D5" s="619">
        <v>353</v>
      </c>
      <c r="E5" s="620">
        <v>238</v>
      </c>
      <c r="F5" s="620">
        <v>113</v>
      </c>
      <c r="G5" s="620">
        <v>0</v>
      </c>
      <c r="H5" s="620">
        <v>0</v>
      </c>
      <c r="I5" s="620">
        <v>0</v>
      </c>
      <c r="J5" s="620">
        <v>1</v>
      </c>
      <c r="K5" s="620">
        <v>60</v>
      </c>
      <c r="L5" s="270"/>
      <c r="M5" s="695">
        <f t="shared" ref="M5:M36" si="2">E5</f>
        <v>238</v>
      </c>
      <c r="N5" s="696">
        <f t="shared" ref="N5:N36" si="3">F5</f>
        <v>113</v>
      </c>
      <c r="O5" s="696">
        <f t="shared" ref="O5:O36" si="4">SUM(G5:I5)</f>
        <v>0</v>
      </c>
      <c r="Q5" s="677">
        <v>22</v>
      </c>
      <c r="R5" s="677">
        <v>50</v>
      </c>
      <c r="S5" s="677">
        <v>93</v>
      </c>
      <c r="T5" s="677">
        <v>79</v>
      </c>
      <c r="U5" s="677">
        <v>63</v>
      </c>
      <c r="V5" s="677">
        <v>33</v>
      </c>
      <c r="W5" s="677">
        <v>13</v>
      </c>
      <c r="Y5" s="677">
        <f t="shared" ref="Y5:Y36" si="5">Q5+R5</f>
        <v>72</v>
      </c>
    </row>
    <row r="6" spans="1:25" x14ac:dyDescent="0.25">
      <c r="A6" s="691" t="s">
        <v>12</v>
      </c>
      <c r="B6" s="190" t="s">
        <v>13</v>
      </c>
      <c r="C6" s="701" t="s">
        <v>265</v>
      </c>
      <c r="D6" s="619">
        <v>858</v>
      </c>
      <c r="E6" s="620">
        <v>641</v>
      </c>
      <c r="F6" s="620">
        <v>208</v>
      </c>
      <c r="G6" s="620">
        <v>7</v>
      </c>
      <c r="H6" s="620">
        <v>11</v>
      </c>
      <c r="I6" s="620">
        <v>0</v>
      </c>
      <c r="J6" s="620">
        <v>9</v>
      </c>
      <c r="K6" s="620">
        <v>115</v>
      </c>
      <c r="L6" s="270"/>
      <c r="M6" s="695">
        <f t="shared" si="2"/>
        <v>641</v>
      </c>
      <c r="N6" s="696">
        <f t="shared" si="3"/>
        <v>208</v>
      </c>
      <c r="O6" s="696">
        <f t="shared" si="4"/>
        <v>18</v>
      </c>
      <c r="Q6" s="677">
        <v>39</v>
      </c>
      <c r="R6" s="677">
        <v>103</v>
      </c>
      <c r="S6" s="677">
        <v>212</v>
      </c>
      <c r="T6" s="677">
        <v>176</v>
      </c>
      <c r="U6" s="677">
        <v>176</v>
      </c>
      <c r="V6" s="677">
        <v>69</v>
      </c>
      <c r="W6" s="677">
        <v>83</v>
      </c>
      <c r="Y6" s="731">
        <f t="shared" si="5"/>
        <v>142</v>
      </c>
    </row>
    <row r="7" spans="1:25" x14ac:dyDescent="0.25">
      <c r="A7" s="691" t="s">
        <v>16</v>
      </c>
      <c r="B7" s="190" t="s">
        <v>297</v>
      </c>
      <c r="C7" s="701" t="s">
        <v>265</v>
      </c>
      <c r="D7" s="619">
        <v>534</v>
      </c>
      <c r="E7" s="620">
        <v>508</v>
      </c>
      <c r="F7" s="620">
        <v>52</v>
      </c>
      <c r="G7" s="620">
        <v>2</v>
      </c>
      <c r="H7" s="620">
        <v>1</v>
      </c>
      <c r="I7" s="620">
        <v>0</v>
      </c>
      <c r="J7" s="620">
        <v>0</v>
      </c>
      <c r="K7" s="620">
        <v>14</v>
      </c>
      <c r="L7" s="270"/>
      <c r="M7" s="695">
        <f t="shared" si="2"/>
        <v>508</v>
      </c>
      <c r="N7" s="696">
        <f t="shared" si="3"/>
        <v>52</v>
      </c>
      <c r="O7" s="696">
        <f t="shared" si="4"/>
        <v>3</v>
      </c>
      <c r="Q7" s="677">
        <v>42</v>
      </c>
      <c r="R7" s="677">
        <v>86</v>
      </c>
      <c r="S7" s="677">
        <v>121</v>
      </c>
      <c r="T7" s="677">
        <v>126</v>
      </c>
      <c r="U7" s="677">
        <v>103</v>
      </c>
      <c r="V7" s="677">
        <v>38</v>
      </c>
      <c r="W7" s="677">
        <v>18</v>
      </c>
      <c r="Y7" s="731">
        <f t="shared" si="5"/>
        <v>128</v>
      </c>
    </row>
    <row r="8" spans="1:25" x14ac:dyDescent="0.25">
      <c r="A8" s="691" t="s">
        <v>18</v>
      </c>
      <c r="B8" s="190" t="s">
        <v>19</v>
      </c>
      <c r="C8" s="701" t="s">
        <v>266</v>
      </c>
      <c r="D8" s="619">
        <v>154</v>
      </c>
      <c r="E8" s="620">
        <v>116</v>
      </c>
      <c r="F8" s="620">
        <v>38</v>
      </c>
      <c r="G8" s="620">
        <v>0</v>
      </c>
      <c r="H8" s="620">
        <v>1</v>
      </c>
      <c r="I8" s="620">
        <v>0</v>
      </c>
      <c r="J8" s="620">
        <v>0</v>
      </c>
      <c r="K8" s="620">
        <v>0</v>
      </c>
      <c r="L8" s="270"/>
      <c r="M8" s="695">
        <f t="shared" si="2"/>
        <v>116</v>
      </c>
      <c r="N8" s="696">
        <f t="shared" si="3"/>
        <v>38</v>
      </c>
      <c r="O8" s="696">
        <f t="shared" si="4"/>
        <v>1</v>
      </c>
      <c r="Q8" s="677">
        <v>6</v>
      </c>
      <c r="R8" s="677">
        <v>22</v>
      </c>
      <c r="S8" s="677">
        <v>52</v>
      </c>
      <c r="T8" s="677">
        <v>27</v>
      </c>
      <c r="U8" s="677">
        <v>35</v>
      </c>
      <c r="V8" s="677">
        <v>8</v>
      </c>
      <c r="W8" s="677">
        <v>4</v>
      </c>
      <c r="Y8" s="731">
        <f t="shared" si="5"/>
        <v>28</v>
      </c>
    </row>
    <row r="9" spans="1:25" x14ac:dyDescent="0.25">
      <c r="A9" s="691" t="s">
        <v>20</v>
      </c>
      <c r="B9" s="190" t="s">
        <v>21</v>
      </c>
      <c r="C9" s="701" t="s">
        <v>265</v>
      </c>
      <c r="D9" s="619">
        <v>403</v>
      </c>
      <c r="E9" s="620">
        <v>318</v>
      </c>
      <c r="F9" s="620">
        <v>99</v>
      </c>
      <c r="G9" s="620">
        <v>0</v>
      </c>
      <c r="H9" s="620">
        <v>4</v>
      </c>
      <c r="I9" s="620">
        <v>6</v>
      </c>
      <c r="J9" s="620">
        <v>0</v>
      </c>
      <c r="K9" s="620">
        <v>9</v>
      </c>
      <c r="L9" s="270"/>
      <c r="M9" s="695">
        <f t="shared" si="2"/>
        <v>318</v>
      </c>
      <c r="N9" s="696">
        <f t="shared" si="3"/>
        <v>99</v>
      </c>
      <c r="O9" s="696">
        <f t="shared" si="4"/>
        <v>10</v>
      </c>
      <c r="Q9" s="677">
        <v>24</v>
      </c>
      <c r="R9" s="677">
        <v>79</v>
      </c>
      <c r="S9" s="677">
        <v>92</v>
      </c>
      <c r="T9" s="677">
        <v>72</v>
      </c>
      <c r="U9" s="677">
        <v>84</v>
      </c>
      <c r="V9" s="677">
        <v>30</v>
      </c>
      <c r="W9" s="677">
        <v>22</v>
      </c>
      <c r="Y9" s="731">
        <f t="shared" si="5"/>
        <v>103</v>
      </c>
    </row>
    <row r="10" spans="1:25" x14ac:dyDescent="0.25">
      <c r="A10" s="691" t="s">
        <v>22</v>
      </c>
      <c r="B10" s="190" t="s">
        <v>23</v>
      </c>
      <c r="C10" s="701" t="s">
        <v>265</v>
      </c>
      <c r="D10" s="619">
        <v>225</v>
      </c>
      <c r="E10" s="620">
        <v>179</v>
      </c>
      <c r="F10" s="620">
        <v>62</v>
      </c>
      <c r="G10" s="620">
        <v>0</v>
      </c>
      <c r="H10" s="620">
        <v>0</v>
      </c>
      <c r="I10" s="620">
        <v>0</v>
      </c>
      <c r="J10" s="620">
        <v>0</v>
      </c>
      <c r="K10" s="620">
        <v>0</v>
      </c>
      <c r="L10" s="270"/>
      <c r="M10" s="695">
        <f t="shared" si="2"/>
        <v>179</v>
      </c>
      <c r="N10" s="696">
        <f t="shared" si="3"/>
        <v>62</v>
      </c>
      <c r="O10" s="696">
        <f t="shared" si="4"/>
        <v>0</v>
      </c>
      <c r="Q10" s="677">
        <v>25</v>
      </c>
      <c r="R10" s="677">
        <v>23</v>
      </c>
      <c r="S10" s="677">
        <v>60</v>
      </c>
      <c r="T10" s="677">
        <v>37</v>
      </c>
      <c r="U10" s="677">
        <v>46</v>
      </c>
      <c r="V10" s="677">
        <v>18</v>
      </c>
      <c r="W10" s="677">
        <v>16</v>
      </c>
      <c r="Y10" s="731">
        <f t="shared" si="5"/>
        <v>48</v>
      </c>
    </row>
    <row r="11" spans="1:25" x14ac:dyDescent="0.25">
      <c r="A11" s="691" t="s">
        <v>24</v>
      </c>
      <c r="B11" s="190" t="s">
        <v>25</v>
      </c>
      <c r="C11" s="701" t="s">
        <v>267</v>
      </c>
      <c r="D11" s="619">
        <v>1239</v>
      </c>
      <c r="E11" s="620">
        <v>750</v>
      </c>
      <c r="F11" s="620">
        <v>406</v>
      </c>
      <c r="G11" s="620">
        <v>91</v>
      </c>
      <c r="H11" s="620">
        <v>1</v>
      </c>
      <c r="I11" s="620">
        <v>2</v>
      </c>
      <c r="J11" s="620">
        <v>4</v>
      </c>
      <c r="K11" s="620">
        <v>530</v>
      </c>
      <c r="L11" s="270"/>
      <c r="M11" s="695">
        <f t="shared" si="2"/>
        <v>750</v>
      </c>
      <c r="N11" s="696">
        <f t="shared" si="3"/>
        <v>406</v>
      </c>
      <c r="O11" s="696">
        <f t="shared" si="4"/>
        <v>94</v>
      </c>
      <c r="Q11" s="677">
        <v>54</v>
      </c>
      <c r="R11" s="677">
        <v>167</v>
      </c>
      <c r="S11" s="677">
        <v>304</v>
      </c>
      <c r="T11" s="677">
        <v>226</v>
      </c>
      <c r="U11" s="677">
        <v>242</v>
      </c>
      <c r="V11" s="677">
        <v>99</v>
      </c>
      <c r="W11" s="677">
        <v>147</v>
      </c>
      <c r="Y11" s="731">
        <f t="shared" si="5"/>
        <v>221</v>
      </c>
    </row>
    <row r="12" spans="1:25" x14ac:dyDescent="0.25">
      <c r="A12" s="691" t="s">
        <v>26</v>
      </c>
      <c r="B12" s="190" t="s">
        <v>298</v>
      </c>
      <c r="C12" s="701" t="s">
        <v>265</v>
      </c>
      <c r="D12" s="619">
        <v>3453</v>
      </c>
      <c r="E12" s="620">
        <v>2855</v>
      </c>
      <c r="F12" s="620">
        <v>562</v>
      </c>
      <c r="G12" s="620">
        <v>12</v>
      </c>
      <c r="H12" s="620">
        <v>35</v>
      </c>
      <c r="I12" s="620">
        <v>7</v>
      </c>
      <c r="J12" s="620">
        <v>8</v>
      </c>
      <c r="K12" s="620">
        <v>246</v>
      </c>
      <c r="L12" s="270"/>
      <c r="M12" s="695">
        <f t="shared" si="2"/>
        <v>2855</v>
      </c>
      <c r="N12" s="696">
        <f t="shared" si="3"/>
        <v>562</v>
      </c>
      <c r="O12" s="696">
        <f t="shared" si="4"/>
        <v>54</v>
      </c>
      <c r="Q12" s="677">
        <v>179</v>
      </c>
      <c r="R12" s="677">
        <v>437</v>
      </c>
      <c r="S12" s="677">
        <v>764</v>
      </c>
      <c r="T12" s="677">
        <v>675</v>
      </c>
      <c r="U12" s="677">
        <v>554</v>
      </c>
      <c r="V12" s="677">
        <v>247</v>
      </c>
      <c r="W12" s="677">
        <v>597</v>
      </c>
      <c r="Y12" s="731">
        <f t="shared" si="5"/>
        <v>616</v>
      </c>
    </row>
    <row r="13" spans="1:25" x14ac:dyDescent="0.25">
      <c r="A13" s="691" t="s">
        <v>27</v>
      </c>
      <c r="B13" s="190" t="s">
        <v>28</v>
      </c>
      <c r="C13" s="701" t="s">
        <v>265</v>
      </c>
      <c r="D13" s="619">
        <v>76</v>
      </c>
      <c r="E13" s="620">
        <v>73</v>
      </c>
      <c r="F13" s="620">
        <v>1</v>
      </c>
      <c r="G13" s="620">
        <v>0</v>
      </c>
      <c r="H13" s="620">
        <v>1</v>
      </c>
      <c r="I13" s="620">
        <v>0</v>
      </c>
      <c r="J13" s="620">
        <v>0</v>
      </c>
      <c r="K13" s="620">
        <v>2</v>
      </c>
      <c r="L13" s="270"/>
      <c r="M13" s="695">
        <f t="shared" si="2"/>
        <v>73</v>
      </c>
      <c r="N13" s="696">
        <f t="shared" si="3"/>
        <v>1</v>
      </c>
      <c r="O13" s="696">
        <f t="shared" si="4"/>
        <v>1</v>
      </c>
      <c r="Q13" s="677">
        <v>7</v>
      </c>
      <c r="R13" s="677">
        <v>16</v>
      </c>
      <c r="S13" s="677">
        <v>20</v>
      </c>
      <c r="T13" s="677">
        <v>15</v>
      </c>
      <c r="U13" s="677">
        <v>12</v>
      </c>
      <c r="V13" s="677">
        <v>4</v>
      </c>
      <c r="W13" s="677">
        <v>2</v>
      </c>
      <c r="Y13" s="731">
        <f t="shared" si="5"/>
        <v>23</v>
      </c>
    </row>
    <row r="14" spans="1:25" x14ac:dyDescent="0.25">
      <c r="A14" s="691" t="s">
        <v>29</v>
      </c>
      <c r="B14" s="190" t="s">
        <v>941</v>
      </c>
      <c r="C14" s="701" t="s">
        <v>265</v>
      </c>
      <c r="D14" s="619">
        <v>1083</v>
      </c>
      <c r="E14" s="620">
        <v>988</v>
      </c>
      <c r="F14" s="620">
        <v>131</v>
      </c>
      <c r="G14" s="620">
        <v>0</v>
      </c>
      <c r="H14" s="620">
        <v>0</v>
      </c>
      <c r="I14" s="620">
        <v>0</v>
      </c>
      <c r="J14" s="620">
        <v>2</v>
      </c>
      <c r="K14" s="620">
        <v>17</v>
      </c>
      <c r="L14" s="270"/>
      <c r="M14" s="695">
        <f t="shared" si="2"/>
        <v>988</v>
      </c>
      <c r="N14" s="696">
        <f t="shared" si="3"/>
        <v>131</v>
      </c>
      <c r="O14" s="696">
        <f t="shared" si="4"/>
        <v>0</v>
      </c>
      <c r="Q14" s="677">
        <v>87</v>
      </c>
      <c r="R14" s="677">
        <v>188</v>
      </c>
      <c r="S14" s="677">
        <v>249</v>
      </c>
      <c r="T14" s="677">
        <v>220</v>
      </c>
      <c r="U14" s="677">
        <v>206</v>
      </c>
      <c r="V14" s="677">
        <v>82</v>
      </c>
      <c r="W14" s="677">
        <v>51</v>
      </c>
      <c r="Y14" s="731">
        <f t="shared" si="5"/>
        <v>275</v>
      </c>
    </row>
    <row r="15" spans="1:25" x14ac:dyDescent="0.25">
      <c r="A15" s="691" t="s">
        <v>30</v>
      </c>
      <c r="B15" s="190" t="s">
        <v>31</v>
      </c>
      <c r="C15" s="701" t="s">
        <v>268</v>
      </c>
      <c r="D15" s="619">
        <v>61</v>
      </c>
      <c r="E15" s="620">
        <v>60</v>
      </c>
      <c r="F15" s="620">
        <v>1</v>
      </c>
      <c r="G15" s="620">
        <v>0</v>
      </c>
      <c r="H15" s="620">
        <v>0</v>
      </c>
      <c r="I15" s="620">
        <v>0</v>
      </c>
      <c r="J15" s="620">
        <v>0</v>
      </c>
      <c r="K15" s="620">
        <v>0</v>
      </c>
      <c r="L15" s="270"/>
      <c r="M15" s="695">
        <f t="shared" si="2"/>
        <v>60</v>
      </c>
      <c r="N15" s="696">
        <f t="shared" si="3"/>
        <v>1</v>
      </c>
      <c r="O15" s="696">
        <f t="shared" si="4"/>
        <v>0</v>
      </c>
      <c r="Q15" s="677">
        <v>6</v>
      </c>
      <c r="R15" s="677">
        <v>15</v>
      </c>
      <c r="S15" s="677">
        <v>11</v>
      </c>
      <c r="T15" s="677">
        <v>12</v>
      </c>
      <c r="U15" s="677">
        <v>11</v>
      </c>
      <c r="V15" s="677">
        <v>2</v>
      </c>
      <c r="W15" s="677">
        <v>4</v>
      </c>
      <c r="Y15" s="731">
        <f t="shared" si="5"/>
        <v>21</v>
      </c>
    </row>
    <row r="16" spans="1:25" x14ac:dyDescent="0.25">
      <c r="A16" s="691" t="s">
        <v>32</v>
      </c>
      <c r="B16" s="190" t="s">
        <v>33</v>
      </c>
      <c r="C16" s="701" t="s">
        <v>265</v>
      </c>
      <c r="D16" s="619">
        <v>278</v>
      </c>
      <c r="E16" s="620">
        <v>248</v>
      </c>
      <c r="F16" s="620">
        <v>21</v>
      </c>
      <c r="G16" s="620">
        <v>0</v>
      </c>
      <c r="H16" s="620">
        <v>0</v>
      </c>
      <c r="I16" s="620">
        <v>0</v>
      </c>
      <c r="J16" s="620">
        <v>1</v>
      </c>
      <c r="K16" s="620">
        <v>3</v>
      </c>
      <c r="L16" s="270"/>
      <c r="M16" s="695">
        <f t="shared" si="2"/>
        <v>248</v>
      </c>
      <c r="N16" s="696">
        <f t="shared" si="3"/>
        <v>21</v>
      </c>
      <c r="O16" s="696">
        <f t="shared" si="4"/>
        <v>0</v>
      </c>
      <c r="Q16" s="677">
        <v>20</v>
      </c>
      <c r="R16" s="677">
        <v>40</v>
      </c>
      <c r="S16" s="677">
        <v>79</v>
      </c>
      <c r="T16" s="677">
        <v>60</v>
      </c>
      <c r="U16" s="677">
        <v>48</v>
      </c>
      <c r="V16" s="677">
        <v>10</v>
      </c>
      <c r="W16" s="677">
        <v>21</v>
      </c>
      <c r="Y16" s="731">
        <f t="shared" si="5"/>
        <v>60</v>
      </c>
    </row>
    <row r="17" spans="1:25" x14ac:dyDescent="0.25">
      <c r="A17" s="691" t="s">
        <v>36</v>
      </c>
      <c r="B17" s="190" t="s">
        <v>37</v>
      </c>
      <c r="C17" s="701" t="s">
        <v>264</v>
      </c>
      <c r="D17" s="619">
        <v>55</v>
      </c>
      <c r="E17" s="620">
        <v>19</v>
      </c>
      <c r="F17" s="620">
        <v>33</v>
      </c>
      <c r="G17" s="620">
        <v>0</v>
      </c>
      <c r="H17" s="620">
        <v>0</v>
      </c>
      <c r="I17" s="620">
        <v>0</v>
      </c>
      <c r="J17" s="620">
        <v>0</v>
      </c>
      <c r="K17" s="620">
        <v>0</v>
      </c>
      <c r="L17" s="270"/>
      <c r="M17" s="695">
        <f t="shared" si="2"/>
        <v>19</v>
      </c>
      <c r="N17" s="696">
        <f t="shared" si="3"/>
        <v>33</v>
      </c>
      <c r="O17" s="696">
        <f t="shared" si="4"/>
        <v>0</v>
      </c>
      <c r="Q17" s="677">
        <v>6</v>
      </c>
      <c r="R17" s="677">
        <v>10</v>
      </c>
      <c r="S17" s="677">
        <v>10</v>
      </c>
      <c r="T17" s="677">
        <v>7</v>
      </c>
      <c r="U17" s="677">
        <v>10</v>
      </c>
      <c r="V17" s="677">
        <v>6</v>
      </c>
      <c r="W17" s="677">
        <v>6</v>
      </c>
      <c r="Y17" s="731">
        <f t="shared" si="5"/>
        <v>16</v>
      </c>
    </row>
    <row r="18" spans="1:25" x14ac:dyDescent="0.25">
      <c r="A18" s="691" t="s">
        <v>38</v>
      </c>
      <c r="B18" s="190" t="s">
        <v>39</v>
      </c>
      <c r="C18" s="701" t="s">
        <v>268</v>
      </c>
      <c r="D18" s="619">
        <v>450</v>
      </c>
      <c r="E18" s="620">
        <v>445</v>
      </c>
      <c r="F18" s="620">
        <v>17</v>
      </c>
      <c r="G18" s="620">
        <v>0</v>
      </c>
      <c r="H18" s="620">
        <v>0</v>
      </c>
      <c r="I18" s="620">
        <v>0</v>
      </c>
      <c r="J18" s="620">
        <v>2</v>
      </c>
      <c r="K18" s="620">
        <v>4</v>
      </c>
      <c r="L18" s="270"/>
      <c r="M18" s="695">
        <f t="shared" si="2"/>
        <v>445</v>
      </c>
      <c r="N18" s="696">
        <f t="shared" si="3"/>
        <v>17</v>
      </c>
      <c r="O18" s="696">
        <f t="shared" si="4"/>
        <v>0</v>
      </c>
      <c r="Q18" s="677">
        <v>45</v>
      </c>
      <c r="R18" s="677">
        <v>86</v>
      </c>
      <c r="S18" s="677">
        <v>94</v>
      </c>
      <c r="T18" s="677">
        <v>100</v>
      </c>
      <c r="U18" s="677">
        <v>82</v>
      </c>
      <c r="V18" s="677">
        <v>33</v>
      </c>
      <c r="W18" s="677">
        <v>10</v>
      </c>
      <c r="Y18" s="731">
        <f t="shared" si="5"/>
        <v>131</v>
      </c>
    </row>
    <row r="19" spans="1:25" x14ac:dyDescent="0.25">
      <c r="A19" s="691" t="s">
        <v>40</v>
      </c>
      <c r="B19" s="190" t="s">
        <v>41</v>
      </c>
      <c r="C19" s="701" t="s">
        <v>266</v>
      </c>
      <c r="D19" s="619">
        <v>180</v>
      </c>
      <c r="E19" s="620">
        <v>108</v>
      </c>
      <c r="F19" s="620">
        <v>68</v>
      </c>
      <c r="G19" s="620">
        <v>0</v>
      </c>
      <c r="H19" s="620">
        <v>1</v>
      </c>
      <c r="I19" s="620">
        <v>0</v>
      </c>
      <c r="J19" s="620">
        <v>0</v>
      </c>
      <c r="K19" s="620">
        <v>7</v>
      </c>
      <c r="L19" s="270"/>
      <c r="M19" s="695">
        <f t="shared" si="2"/>
        <v>108</v>
      </c>
      <c r="N19" s="696">
        <f t="shared" si="3"/>
        <v>68</v>
      </c>
      <c r="O19" s="696">
        <f t="shared" si="4"/>
        <v>1</v>
      </c>
      <c r="Q19" s="677">
        <v>11</v>
      </c>
      <c r="R19" s="677">
        <v>22</v>
      </c>
      <c r="S19" s="677">
        <v>53</v>
      </c>
      <c r="T19" s="677">
        <v>28</v>
      </c>
      <c r="U19" s="677">
        <v>41</v>
      </c>
      <c r="V19" s="677">
        <v>17</v>
      </c>
      <c r="W19" s="677">
        <v>8</v>
      </c>
      <c r="Y19" s="731">
        <f t="shared" si="5"/>
        <v>33</v>
      </c>
    </row>
    <row r="20" spans="1:25" x14ac:dyDescent="0.25">
      <c r="A20" s="691" t="s">
        <v>42</v>
      </c>
      <c r="B20" s="190" t="s">
        <v>43</v>
      </c>
      <c r="C20" s="701" t="s">
        <v>265</v>
      </c>
      <c r="D20" s="619">
        <v>1367</v>
      </c>
      <c r="E20" s="620">
        <v>1108</v>
      </c>
      <c r="F20" s="620">
        <v>283</v>
      </c>
      <c r="G20" s="620">
        <v>7</v>
      </c>
      <c r="H20" s="620">
        <v>4</v>
      </c>
      <c r="I20" s="620">
        <v>1</v>
      </c>
      <c r="J20" s="620">
        <v>2</v>
      </c>
      <c r="K20" s="620">
        <v>55</v>
      </c>
      <c r="L20" s="270"/>
      <c r="M20" s="695">
        <f t="shared" si="2"/>
        <v>1108</v>
      </c>
      <c r="N20" s="696">
        <f t="shared" si="3"/>
        <v>283</v>
      </c>
      <c r="O20" s="696">
        <f t="shared" si="4"/>
        <v>12</v>
      </c>
      <c r="Q20" s="677">
        <v>99</v>
      </c>
      <c r="R20" s="677">
        <v>219</v>
      </c>
      <c r="S20" s="677">
        <v>350</v>
      </c>
      <c r="T20" s="677">
        <v>282</v>
      </c>
      <c r="U20" s="677">
        <v>220</v>
      </c>
      <c r="V20" s="677">
        <v>97</v>
      </c>
      <c r="W20" s="677">
        <v>100</v>
      </c>
      <c r="Y20" s="731">
        <f t="shared" si="5"/>
        <v>318</v>
      </c>
    </row>
    <row r="21" spans="1:25" x14ac:dyDescent="0.25">
      <c r="A21" s="691" t="s">
        <v>44</v>
      </c>
      <c r="B21" s="190" t="s">
        <v>45</v>
      </c>
      <c r="C21" s="701" t="s">
        <v>266</v>
      </c>
      <c r="D21" s="619">
        <v>494</v>
      </c>
      <c r="E21" s="620">
        <v>313</v>
      </c>
      <c r="F21" s="620">
        <v>156</v>
      </c>
      <c r="G21" s="620">
        <v>1</v>
      </c>
      <c r="H21" s="620">
        <v>0</v>
      </c>
      <c r="I21" s="620">
        <v>2</v>
      </c>
      <c r="J21" s="620">
        <v>4</v>
      </c>
      <c r="K21" s="620">
        <v>21</v>
      </c>
      <c r="L21" s="270"/>
      <c r="M21" s="695">
        <f t="shared" si="2"/>
        <v>313</v>
      </c>
      <c r="N21" s="696">
        <f t="shared" si="3"/>
        <v>156</v>
      </c>
      <c r="O21" s="696">
        <f t="shared" si="4"/>
        <v>3</v>
      </c>
      <c r="Q21" s="677">
        <v>33</v>
      </c>
      <c r="R21" s="677">
        <v>87</v>
      </c>
      <c r="S21" s="677">
        <v>102</v>
      </c>
      <c r="T21" s="677">
        <v>98</v>
      </c>
      <c r="U21" s="677">
        <v>87</v>
      </c>
      <c r="V21" s="677">
        <v>35</v>
      </c>
      <c r="W21" s="677">
        <v>52</v>
      </c>
      <c r="Y21" s="731">
        <f t="shared" si="5"/>
        <v>120</v>
      </c>
    </row>
    <row r="22" spans="1:25" x14ac:dyDescent="0.25">
      <c r="A22" s="691" t="s">
        <v>46</v>
      </c>
      <c r="B22" s="190" t="s">
        <v>47</v>
      </c>
      <c r="C22" s="701" t="s">
        <v>268</v>
      </c>
      <c r="D22" s="619">
        <v>659</v>
      </c>
      <c r="E22" s="620">
        <v>650</v>
      </c>
      <c r="F22" s="620">
        <v>6</v>
      </c>
      <c r="G22" s="620">
        <v>0</v>
      </c>
      <c r="H22" s="620">
        <v>2</v>
      </c>
      <c r="I22" s="620">
        <v>1</v>
      </c>
      <c r="J22" s="620">
        <v>0</v>
      </c>
      <c r="K22" s="620">
        <v>41</v>
      </c>
      <c r="L22" s="270"/>
      <c r="M22" s="695">
        <f t="shared" si="2"/>
        <v>650</v>
      </c>
      <c r="N22" s="696">
        <f t="shared" si="3"/>
        <v>6</v>
      </c>
      <c r="O22" s="696">
        <f t="shared" si="4"/>
        <v>3</v>
      </c>
      <c r="Q22" s="677">
        <v>45</v>
      </c>
      <c r="R22" s="677">
        <v>104</v>
      </c>
      <c r="S22" s="677">
        <v>187</v>
      </c>
      <c r="T22" s="677">
        <v>144</v>
      </c>
      <c r="U22" s="677">
        <v>120</v>
      </c>
      <c r="V22" s="677">
        <v>45</v>
      </c>
      <c r="W22" s="677">
        <v>14</v>
      </c>
      <c r="Y22" s="731">
        <f t="shared" si="5"/>
        <v>149</v>
      </c>
    </row>
    <row r="23" spans="1:25" x14ac:dyDescent="0.25">
      <c r="A23" s="691" t="s">
        <v>48</v>
      </c>
      <c r="B23" s="190" t="s">
        <v>269</v>
      </c>
      <c r="C23" s="701" t="s">
        <v>266</v>
      </c>
      <c r="D23" s="619">
        <v>23</v>
      </c>
      <c r="E23" s="620">
        <v>12</v>
      </c>
      <c r="F23" s="620">
        <v>8</v>
      </c>
      <c r="G23" s="620">
        <v>0</v>
      </c>
      <c r="H23" s="620">
        <v>0</v>
      </c>
      <c r="I23" s="620">
        <v>0</v>
      </c>
      <c r="J23" s="620">
        <v>0</v>
      </c>
      <c r="K23" s="620">
        <v>0</v>
      </c>
      <c r="L23" s="270"/>
      <c r="M23" s="695">
        <f t="shared" si="2"/>
        <v>12</v>
      </c>
      <c r="N23" s="696">
        <f t="shared" si="3"/>
        <v>8</v>
      </c>
      <c r="O23" s="696">
        <f t="shared" si="4"/>
        <v>0</v>
      </c>
      <c r="Q23" s="677">
        <v>0</v>
      </c>
      <c r="R23" s="677">
        <v>2</v>
      </c>
      <c r="S23" s="677">
        <v>4</v>
      </c>
      <c r="T23" s="677">
        <v>5</v>
      </c>
      <c r="U23" s="677">
        <v>5</v>
      </c>
      <c r="V23" s="677">
        <v>0</v>
      </c>
      <c r="W23" s="677">
        <v>7</v>
      </c>
      <c r="Y23" s="731">
        <f t="shared" si="5"/>
        <v>2</v>
      </c>
    </row>
    <row r="24" spans="1:25" x14ac:dyDescent="0.25">
      <c r="A24" s="691" t="s">
        <v>50</v>
      </c>
      <c r="B24" s="190" t="s">
        <v>51</v>
      </c>
      <c r="C24" s="701" t="s">
        <v>265</v>
      </c>
      <c r="D24" s="619">
        <v>141</v>
      </c>
      <c r="E24" s="620">
        <v>104</v>
      </c>
      <c r="F24" s="620">
        <v>34</v>
      </c>
      <c r="G24" s="620">
        <v>0</v>
      </c>
      <c r="H24" s="620">
        <v>0</v>
      </c>
      <c r="I24" s="620">
        <v>0</v>
      </c>
      <c r="J24" s="620">
        <v>1</v>
      </c>
      <c r="K24" s="620">
        <v>10</v>
      </c>
      <c r="L24" s="270"/>
      <c r="M24" s="695">
        <f t="shared" si="2"/>
        <v>104</v>
      </c>
      <c r="N24" s="696">
        <f t="shared" si="3"/>
        <v>34</v>
      </c>
      <c r="O24" s="696">
        <f t="shared" si="4"/>
        <v>0</v>
      </c>
      <c r="Q24" s="677">
        <v>19</v>
      </c>
      <c r="R24" s="677">
        <v>21</v>
      </c>
      <c r="S24" s="677">
        <v>24</v>
      </c>
      <c r="T24" s="677">
        <v>29</v>
      </c>
      <c r="U24" s="677">
        <v>24</v>
      </c>
      <c r="V24" s="677">
        <v>19</v>
      </c>
      <c r="W24" s="677">
        <v>5</v>
      </c>
      <c r="Y24" s="731">
        <f t="shared" si="5"/>
        <v>40</v>
      </c>
    </row>
    <row r="25" spans="1:25" x14ac:dyDescent="0.25">
      <c r="A25" s="691" t="s">
        <v>56</v>
      </c>
      <c r="B25" s="190" t="s">
        <v>295</v>
      </c>
      <c r="C25" s="701" t="s">
        <v>266</v>
      </c>
      <c r="D25" s="619">
        <v>3161</v>
      </c>
      <c r="E25" s="620">
        <v>2157</v>
      </c>
      <c r="F25" s="620">
        <v>934</v>
      </c>
      <c r="G25" s="620">
        <v>25</v>
      </c>
      <c r="H25" s="620">
        <v>23</v>
      </c>
      <c r="I25" s="620">
        <v>10</v>
      </c>
      <c r="J25" s="620">
        <v>3</v>
      </c>
      <c r="K25" s="620">
        <v>328</v>
      </c>
      <c r="L25" s="270"/>
      <c r="M25" s="695">
        <f t="shared" si="2"/>
        <v>2157</v>
      </c>
      <c r="N25" s="696">
        <f t="shared" si="3"/>
        <v>934</v>
      </c>
      <c r="O25" s="696">
        <f t="shared" si="4"/>
        <v>58</v>
      </c>
      <c r="Q25" s="677">
        <v>161</v>
      </c>
      <c r="R25" s="677">
        <v>378</v>
      </c>
      <c r="S25" s="677">
        <v>628</v>
      </c>
      <c r="T25" s="677">
        <v>645</v>
      </c>
      <c r="U25" s="677">
        <v>598</v>
      </c>
      <c r="V25" s="677">
        <v>201</v>
      </c>
      <c r="W25" s="677">
        <v>550</v>
      </c>
      <c r="Y25" s="731">
        <f t="shared" si="5"/>
        <v>539</v>
      </c>
    </row>
    <row r="26" spans="1:25" x14ac:dyDescent="0.25">
      <c r="A26" s="691" t="s">
        <v>58</v>
      </c>
      <c r="B26" s="190" t="s">
        <v>59</v>
      </c>
      <c r="C26" s="701" t="s">
        <v>267</v>
      </c>
      <c r="D26" s="619">
        <v>196</v>
      </c>
      <c r="E26" s="620">
        <v>160</v>
      </c>
      <c r="F26" s="620">
        <v>18</v>
      </c>
      <c r="G26" s="620">
        <v>3</v>
      </c>
      <c r="H26" s="620">
        <v>0</v>
      </c>
      <c r="I26" s="620">
        <v>0</v>
      </c>
      <c r="J26" s="620">
        <v>0</v>
      </c>
      <c r="K26" s="620">
        <v>14</v>
      </c>
      <c r="L26" s="270"/>
      <c r="M26" s="695">
        <f t="shared" si="2"/>
        <v>160</v>
      </c>
      <c r="N26" s="696">
        <f t="shared" si="3"/>
        <v>18</v>
      </c>
      <c r="O26" s="696">
        <f t="shared" si="4"/>
        <v>3</v>
      </c>
      <c r="Q26" s="677">
        <v>10</v>
      </c>
      <c r="R26" s="677">
        <v>27</v>
      </c>
      <c r="S26" s="677">
        <v>30</v>
      </c>
      <c r="T26" s="677">
        <v>37</v>
      </c>
      <c r="U26" s="677">
        <v>44</v>
      </c>
      <c r="V26" s="677">
        <v>19</v>
      </c>
      <c r="W26" s="677">
        <v>29</v>
      </c>
      <c r="Y26" s="731">
        <f t="shared" si="5"/>
        <v>37</v>
      </c>
    </row>
    <row r="27" spans="1:25" x14ac:dyDescent="0.25">
      <c r="A27" s="691" t="s">
        <v>60</v>
      </c>
      <c r="B27" s="190" t="s">
        <v>61</v>
      </c>
      <c r="C27" s="701" t="s">
        <v>265</v>
      </c>
      <c r="D27" s="619">
        <v>75</v>
      </c>
      <c r="E27" s="620">
        <v>74</v>
      </c>
      <c r="F27" s="620">
        <v>0</v>
      </c>
      <c r="G27" s="620">
        <v>0</v>
      </c>
      <c r="H27" s="620">
        <v>0</v>
      </c>
      <c r="I27" s="620">
        <v>0</v>
      </c>
      <c r="J27" s="620">
        <v>0</v>
      </c>
      <c r="K27" s="620">
        <v>1</v>
      </c>
      <c r="L27" s="270"/>
      <c r="M27" s="695">
        <f t="shared" si="2"/>
        <v>74</v>
      </c>
      <c r="N27" s="696">
        <f t="shared" si="3"/>
        <v>0</v>
      </c>
      <c r="O27" s="696">
        <f t="shared" si="4"/>
        <v>0</v>
      </c>
      <c r="Q27" s="677">
        <v>2</v>
      </c>
      <c r="R27" s="677">
        <v>12</v>
      </c>
      <c r="S27" s="677">
        <v>15</v>
      </c>
      <c r="T27" s="677">
        <v>16</v>
      </c>
      <c r="U27" s="677">
        <v>16</v>
      </c>
      <c r="V27" s="677">
        <v>9</v>
      </c>
      <c r="W27" s="677">
        <v>5</v>
      </c>
      <c r="Y27" s="731">
        <f t="shared" si="5"/>
        <v>14</v>
      </c>
    </row>
    <row r="28" spans="1:25" x14ac:dyDescent="0.25">
      <c r="A28" s="691" t="s">
        <v>62</v>
      </c>
      <c r="B28" s="190" t="s">
        <v>63</v>
      </c>
      <c r="C28" s="701" t="s">
        <v>267</v>
      </c>
      <c r="D28" s="619">
        <v>742</v>
      </c>
      <c r="E28" s="620">
        <v>488</v>
      </c>
      <c r="F28" s="620">
        <v>165</v>
      </c>
      <c r="G28" s="620">
        <v>5</v>
      </c>
      <c r="H28" s="620">
        <v>0</v>
      </c>
      <c r="I28" s="620">
        <v>2</v>
      </c>
      <c r="J28" s="620">
        <v>4</v>
      </c>
      <c r="K28" s="620">
        <v>95</v>
      </c>
      <c r="L28" s="270"/>
      <c r="M28" s="695">
        <f t="shared" si="2"/>
        <v>488</v>
      </c>
      <c r="N28" s="696">
        <f t="shared" si="3"/>
        <v>165</v>
      </c>
      <c r="O28" s="696">
        <f t="shared" si="4"/>
        <v>7</v>
      </c>
      <c r="Q28" s="677">
        <v>49</v>
      </c>
      <c r="R28" s="677">
        <v>103</v>
      </c>
      <c r="S28" s="677">
        <v>157</v>
      </c>
      <c r="T28" s="677">
        <v>141</v>
      </c>
      <c r="U28" s="677">
        <v>136</v>
      </c>
      <c r="V28" s="677">
        <v>44</v>
      </c>
      <c r="W28" s="677">
        <v>112</v>
      </c>
      <c r="Y28" s="731">
        <f t="shared" si="5"/>
        <v>152</v>
      </c>
    </row>
    <row r="29" spans="1:25" x14ac:dyDescent="0.25">
      <c r="A29" s="691" t="s">
        <v>64</v>
      </c>
      <c r="B29" s="190" t="s">
        <v>65</v>
      </c>
      <c r="C29" s="701" t="s">
        <v>266</v>
      </c>
      <c r="D29" s="619">
        <v>139</v>
      </c>
      <c r="E29" s="620">
        <v>66</v>
      </c>
      <c r="F29" s="620">
        <v>72</v>
      </c>
      <c r="G29" s="620">
        <v>0</v>
      </c>
      <c r="H29" s="620">
        <v>0</v>
      </c>
      <c r="I29" s="620">
        <v>0</v>
      </c>
      <c r="J29" s="620">
        <v>0</v>
      </c>
      <c r="K29" s="620">
        <v>7</v>
      </c>
      <c r="L29" s="270"/>
      <c r="M29" s="695">
        <f t="shared" si="2"/>
        <v>66</v>
      </c>
      <c r="N29" s="696">
        <f t="shared" si="3"/>
        <v>72</v>
      </c>
      <c r="O29" s="696">
        <f t="shared" si="4"/>
        <v>0</v>
      </c>
      <c r="Q29" s="677">
        <v>8</v>
      </c>
      <c r="R29" s="677">
        <v>21</v>
      </c>
      <c r="S29" s="677">
        <v>29</v>
      </c>
      <c r="T29" s="677">
        <v>43</v>
      </c>
      <c r="U29" s="677">
        <v>23</v>
      </c>
      <c r="V29" s="677">
        <v>7</v>
      </c>
      <c r="W29" s="677">
        <v>8</v>
      </c>
      <c r="Y29" s="731">
        <f t="shared" si="5"/>
        <v>29</v>
      </c>
    </row>
    <row r="30" spans="1:25" x14ac:dyDescent="0.25">
      <c r="A30" s="691" t="s">
        <v>68</v>
      </c>
      <c r="B30" s="190" t="s">
        <v>69</v>
      </c>
      <c r="C30" s="701" t="s">
        <v>268</v>
      </c>
      <c r="D30" s="619">
        <v>327</v>
      </c>
      <c r="E30" s="620">
        <v>321</v>
      </c>
      <c r="F30" s="620">
        <v>6</v>
      </c>
      <c r="G30" s="620">
        <v>0</v>
      </c>
      <c r="H30" s="620">
        <v>1</v>
      </c>
      <c r="I30" s="620">
        <v>0</v>
      </c>
      <c r="J30" s="620">
        <v>0</v>
      </c>
      <c r="K30" s="620">
        <v>0</v>
      </c>
      <c r="L30" s="270"/>
      <c r="M30" s="695">
        <f t="shared" si="2"/>
        <v>321</v>
      </c>
      <c r="N30" s="696">
        <f t="shared" si="3"/>
        <v>6</v>
      </c>
      <c r="O30" s="696">
        <f t="shared" si="4"/>
        <v>1</v>
      </c>
      <c r="Q30" s="677">
        <v>26</v>
      </c>
      <c r="R30" s="677">
        <v>64</v>
      </c>
      <c r="S30" s="677">
        <v>74</v>
      </c>
      <c r="T30" s="677">
        <v>87</v>
      </c>
      <c r="U30" s="677">
        <v>39</v>
      </c>
      <c r="V30" s="677">
        <v>25</v>
      </c>
      <c r="W30" s="677">
        <v>12</v>
      </c>
      <c r="Y30" s="731">
        <f t="shared" si="5"/>
        <v>90</v>
      </c>
    </row>
    <row r="31" spans="1:25" x14ac:dyDescent="0.25">
      <c r="A31" s="691" t="s">
        <v>70</v>
      </c>
      <c r="B31" s="190" t="s">
        <v>71</v>
      </c>
      <c r="C31" s="701" t="s">
        <v>264</v>
      </c>
      <c r="D31" s="619">
        <v>211</v>
      </c>
      <c r="E31" s="620">
        <v>159</v>
      </c>
      <c r="F31" s="620">
        <v>46</v>
      </c>
      <c r="G31" s="620">
        <v>0</v>
      </c>
      <c r="H31" s="620">
        <v>2</v>
      </c>
      <c r="I31" s="620">
        <v>0</v>
      </c>
      <c r="J31" s="620">
        <v>1</v>
      </c>
      <c r="K31" s="620">
        <v>4</v>
      </c>
      <c r="L31" s="270"/>
      <c r="M31" s="695">
        <f t="shared" si="2"/>
        <v>159</v>
      </c>
      <c r="N31" s="696">
        <f t="shared" si="3"/>
        <v>46</v>
      </c>
      <c r="O31" s="696">
        <f t="shared" si="4"/>
        <v>2</v>
      </c>
      <c r="Q31" s="677">
        <v>14</v>
      </c>
      <c r="R31" s="677">
        <v>32</v>
      </c>
      <c r="S31" s="677">
        <v>48</v>
      </c>
      <c r="T31" s="677">
        <v>49</v>
      </c>
      <c r="U31" s="677">
        <v>28</v>
      </c>
      <c r="V31" s="677">
        <v>10</v>
      </c>
      <c r="W31" s="677">
        <v>30</v>
      </c>
      <c r="Y31" s="731">
        <f t="shared" si="5"/>
        <v>46</v>
      </c>
    </row>
    <row r="32" spans="1:25" x14ac:dyDescent="0.25">
      <c r="A32" s="691" t="s">
        <v>72</v>
      </c>
      <c r="B32" s="190" t="s">
        <v>73</v>
      </c>
      <c r="C32" s="701" t="s">
        <v>266</v>
      </c>
      <c r="D32" s="619">
        <v>121</v>
      </c>
      <c r="E32" s="620">
        <v>53</v>
      </c>
      <c r="F32" s="620">
        <v>66</v>
      </c>
      <c r="G32" s="620">
        <v>0</v>
      </c>
      <c r="H32" s="620">
        <v>1</v>
      </c>
      <c r="I32" s="620">
        <v>1</v>
      </c>
      <c r="J32" s="620">
        <v>0</v>
      </c>
      <c r="K32" s="620">
        <v>4</v>
      </c>
      <c r="L32" s="270"/>
      <c r="M32" s="695">
        <f t="shared" si="2"/>
        <v>53</v>
      </c>
      <c r="N32" s="696">
        <f t="shared" si="3"/>
        <v>66</v>
      </c>
      <c r="O32" s="696">
        <f t="shared" si="4"/>
        <v>2</v>
      </c>
      <c r="Q32" s="677">
        <v>9</v>
      </c>
      <c r="R32" s="677">
        <v>23</v>
      </c>
      <c r="S32" s="677">
        <v>16</v>
      </c>
      <c r="T32" s="677">
        <v>23</v>
      </c>
      <c r="U32" s="677">
        <v>18</v>
      </c>
      <c r="V32" s="677">
        <v>8</v>
      </c>
      <c r="W32" s="677">
        <v>24</v>
      </c>
      <c r="Y32" s="731">
        <f t="shared" si="5"/>
        <v>32</v>
      </c>
    </row>
    <row r="33" spans="1:25" x14ac:dyDescent="0.25">
      <c r="A33" s="691" t="s">
        <v>74</v>
      </c>
      <c r="B33" s="190" t="s">
        <v>296</v>
      </c>
      <c r="C33" s="701" t="s">
        <v>267</v>
      </c>
      <c r="D33" s="619">
        <v>7307</v>
      </c>
      <c r="E33" s="620">
        <v>4697</v>
      </c>
      <c r="F33" s="620">
        <v>2001</v>
      </c>
      <c r="G33" s="620">
        <v>485</v>
      </c>
      <c r="H33" s="620">
        <v>76</v>
      </c>
      <c r="I33" s="620">
        <v>20</v>
      </c>
      <c r="J33" s="620">
        <v>17</v>
      </c>
      <c r="K33" s="620">
        <v>2632</v>
      </c>
      <c r="L33" s="270"/>
      <c r="M33" s="695">
        <f t="shared" si="2"/>
        <v>4697</v>
      </c>
      <c r="N33" s="696">
        <f t="shared" si="3"/>
        <v>2001</v>
      </c>
      <c r="O33" s="696">
        <f t="shared" si="4"/>
        <v>581</v>
      </c>
      <c r="Q33" s="677">
        <v>346</v>
      </c>
      <c r="R33" s="677">
        <v>936</v>
      </c>
      <c r="S33" s="677">
        <v>1806</v>
      </c>
      <c r="T33" s="677">
        <v>1549</v>
      </c>
      <c r="U33" s="677">
        <v>1391</v>
      </c>
      <c r="V33" s="677">
        <v>713</v>
      </c>
      <c r="W33" s="677">
        <v>566</v>
      </c>
      <c r="Y33" s="731">
        <f t="shared" si="5"/>
        <v>1282</v>
      </c>
    </row>
    <row r="34" spans="1:25" x14ac:dyDescent="0.25">
      <c r="A34" s="691" t="s">
        <v>76</v>
      </c>
      <c r="B34" s="190" t="s">
        <v>77</v>
      </c>
      <c r="C34" s="701" t="s">
        <v>267</v>
      </c>
      <c r="D34" s="619">
        <v>610</v>
      </c>
      <c r="E34" s="620">
        <v>452</v>
      </c>
      <c r="F34" s="620">
        <v>139</v>
      </c>
      <c r="G34" s="620">
        <v>0</v>
      </c>
      <c r="H34" s="620">
        <v>2</v>
      </c>
      <c r="I34" s="620">
        <v>2</v>
      </c>
      <c r="J34" s="620">
        <v>0</v>
      </c>
      <c r="K34" s="620">
        <v>47</v>
      </c>
      <c r="L34" s="270"/>
      <c r="M34" s="695">
        <f t="shared" si="2"/>
        <v>452</v>
      </c>
      <c r="N34" s="696">
        <f t="shared" si="3"/>
        <v>139</v>
      </c>
      <c r="O34" s="696">
        <f t="shared" si="4"/>
        <v>4</v>
      </c>
      <c r="Q34" s="677">
        <v>39</v>
      </c>
      <c r="R34" s="677">
        <v>92</v>
      </c>
      <c r="S34" s="677">
        <v>152</v>
      </c>
      <c r="T34" s="677">
        <v>92</v>
      </c>
      <c r="U34" s="677">
        <v>81</v>
      </c>
      <c r="V34" s="677">
        <v>39</v>
      </c>
      <c r="W34" s="677">
        <v>115</v>
      </c>
      <c r="Y34" s="731">
        <f t="shared" si="5"/>
        <v>131</v>
      </c>
    </row>
    <row r="35" spans="1:25" x14ac:dyDescent="0.25">
      <c r="A35" s="691" t="s">
        <v>78</v>
      </c>
      <c r="B35" s="190" t="s">
        <v>79</v>
      </c>
      <c r="C35" s="701" t="s">
        <v>268</v>
      </c>
      <c r="D35" s="619">
        <v>175</v>
      </c>
      <c r="E35" s="620">
        <v>172</v>
      </c>
      <c r="F35" s="620">
        <v>6</v>
      </c>
      <c r="G35" s="620">
        <v>0</v>
      </c>
      <c r="H35" s="620">
        <v>1</v>
      </c>
      <c r="I35" s="620">
        <v>0</v>
      </c>
      <c r="J35" s="620">
        <v>0</v>
      </c>
      <c r="K35" s="620">
        <v>4</v>
      </c>
      <c r="L35" s="270"/>
      <c r="M35" s="695">
        <f t="shared" si="2"/>
        <v>172</v>
      </c>
      <c r="N35" s="696">
        <f t="shared" si="3"/>
        <v>6</v>
      </c>
      <c r="O35" s="696">
        <f t="shared" si="4"/>
        <v>1</v>
      </c>
      <c r="Q35" s="677">
        <v>9</v>
      </c>
      <c r="R35" s="677">
        <v>30</v>
      </c>
      <c r="S35" s="677">
        <v>45</v>
      </c>
      <c r="T35" s="677">
        <v>35</v>
      </c>
      <c r="U35" s="677">
        <v>36</v>
      </c>
      <c r="V35" s="677">
        <v>14</v>
      </c>
      <c r="W35" s="677">
        <v>6</v>
      </c>
      <c r="Y35" s="731">
        <f t="shared" si="5"/>
        <v>39</v>
      </c>
    </row>
    <row r="36" spans="1:25" x14ac:dyDescent="0.25">
      <c r="A36" s="691" t="s">
        <v>80</v>
      </c>
      <c r="B36" s="190" t="s">
        <v>81</v>
      </c>
      <c r="C36" s="701" t="s">
        <v>266</v>
      </c>
      <c r="D36" s="619">
        <v>304</v>
      </c>
      <c r="E36" s="620">
        <v>225</v>
      </c>
      <c r="F36" s="620">
        <v>77</v>
      </c>
      <c r="G36" s="620">
        <v>0</v>
      </c>
      <c r="H36" s="620">
        <v>2</v>
      </c>
      <c r="I36" s="620">
        <v>0</v>
      </c>
      <c r="J36" s="620">
        <v>1</v>
      </c>
      <c r="K36" s="620">
        <v>16</v>
      </c>
      <c r="L36" s="270"/>
      <c r="M36" s="695">
        <f t="shared" si="2"/>
        <v>225</v>
      </c>
      <c r="N36" s="696">
        <f t="shared" si="3"/>
        <v>77</v>
      </c>
      <c r="O36" s="696">
        <f t="shared" si="4"/>
        <v>2</v>
      </c>
      <c r="Q36" s="677">
        <v>22</v>
      </c>
      <c r="R36" s="677">
        <v>64</v>
      </c>
      <c r="S36" s="677">
        <v>69</v>
      </c>
      <c r="T36" s="677">
        <v>57</v>
      </c>
      <c r="U36" s="677">
        <v>45</v>
      </c>
      <c r="V36" s="677">
        <v>27</v>
      </c>
      <c r="W36" s="677">
        <v>20</v>
      </c>
      <c r="Y36" s="731">
        <f t="shared" si="5"/>
        <v>86</v>
      </c>
    </row>
    <row r="37" spans="1:25" x14ac:dyDescent="0.25">
      <c r="A37" s="691" t="s">
        <v>84</v>
      </c>
      <c r="B37" s="190" t="s">
        <v>85</v>
      </c>
      <c r="C37" s="701" t="s">
        <v>265</v>
      </c>
      <c r="D37" s="619">
        <v>1367</v>
      </c>
      <c r="E37" s="620">
        <v>1082</v>
      </c>
      <c r="F37" s="620">
        <v>154</v>
      </c>
      <c r="G37" s="620">
        <v>0</v>
      </c>
      <c r="H37" s="620">
        <v>7</v>
      </c>
      <c r="I37" s="620">
        <v>4</v>
      </c>
      <c r="J37" s="620">
        <v>3</v>
      </c>
      <c r="K37" s="620">
        <v>59</v>
      </c>
      <c r="L37" s="270"/>
      <c r="M37" s="695">
        <f t="shared" ref="M37:M68" si="6">E37</f>
        <v>1082</v>
      </c>
      <c r="N37" s="696">
        <f t="shared" ref="N37:N68" si="7">F37</f>
        <v>154</v>
      </c>
      <c r="O37" s="696">
        <f t="shared" ref="O37:O68" si="8">SUM(G37:I37)</f>
        <v>11</v>
      </c>
      <c r="Q37" s="677">
        <v>95</v>
      </c>
      <c r="R37" s="677">
        <v>210</v>
      </c>
      <c r="S37" s="677">
        <v>389</v>
      </c>
      <c r="T37" s="677">
        <v>246</v>
      </c>
      <c r="U37" s="677">
        <v>216</v>
      </c>
      <c r="V37" s="677">
        <v>71</v>
      </c>
      <c r="W37" s="677">
        <v>140</v>
      </c>
      <c r="Y37" s="731">
        <f t="shared" ref="Y37:Y68" si="9">Q37+R37</f>
        <v>305</v>
      </c>
    </row>
    <row r="38" spans="1:25" x14ac:dyDescent="0.25">
      <c r="A38" s="691" t="s">
        <v>86</v>
      </c>
      <c r="B38" s="190" t="s">
        <v>87</v>
      </c>
      <c r="C38" s="701" t="s">
        <v>267</v>
      </c>
      <c r="D38" s="619">
        <v>1296</v>
      </c>
      <c r="E38" s="620">
        <v>993</v>
      </c>
      <c r="F38" s="620">
        <v>114</v>
      </c>
      <c r="G38" s="620">
        <v>2</v>
      </c>
      <c r="H38" s="620">
        <v>1</v>
      </c>
      <c r="I38" s="620">
        <v>2</v>
      </c>
      <c r="J38" s="620">
        <v>2</v>
      </c>
      <c r="K38" s="620">
        <v>153</v>
      </c>
      <c r="L38" s="270"/>
      <c r="M38" s="695">
        <f t="shared" si="6"/>
        <v>993</v>
      </c>
      <c r="N38" s="696">
        <f t="shared" si="7"/>
        <v>114</v>
      </c>
      <c r="O38" s="696">
        <f t="shared" si="8"/>
        <v>5</v>
      </c>
      <c r="Q38" s="677">
        <v>119</v>
      </c>
      <c r="R38" s="677">
        <v>154</v>
      </c>
      <c r="S38" s="677">
        <v>297</v>
      </c>
      <c r="T38" s="677">
        <v>270</v>
      </c>
      <c r="U38" s="677">
        <v>250</v>
      </c>
      <c r="V38" s="677">
        <v>82</v>
      </c>
      <c r="W38" s="677">
        <v>124</v>
      </c>
      <c r="Y38" s="731">
        <f t="shared" si="9"/>
        <v>273</v>
      </c>
    </row>
    <row r="39" spans="1:25" x14ac:dyDescent="0.25">
      <c r="A39" s="691" t="s">
        <v>92</v>
      </c>
      <c r="B39" s="190" t="s">
        <v>93</v>
      </c>
      <c r="C39" s="701" t="s">
        <v>268</v>
      </c>
      <c r="D39" s="619">
        <v>365</v>
      </c>
      <c r="E39" s="620">
        <v>342</v>
      </c>
      <c r="F39" s="620">
        <v>5</v>
      </c>
      <c r="G39" s="620">
        <v>0</v>
      </c>
      <c r="H39" s="620">
        <v>0</v>
      </c>
      <c r="I39" s="620">
        <v>0</v>
      </c>
      <c r="J39" s="620">
        <v>0</v>
      </c>
      <c r="K39" s="620">
        <v>3</v>
      </c>
      <c r="L39" s="270"/>
      <c r="M39" s="695">
        <f t="shared" si="6"/>
        <v>342</v>
      </c>
      <c r="N39" s="696">
        <f t="shared" si="7"/>
        <v>5</v>
      </c>
      <c r="O39" s="696">
        <f t="shared" si="8"/>
        <v>0</v>
      </c>
      <c r="Q39" s="677">
        <v>31</v>
      </c>
      <c r="R39" s="677">
        <v>62</v>
      </c>
      <c r="S39" s="677">
        <v>92</v>
      </c>
      <c r="T39" s="677">
        <v>66</v>
      </c>
      <c r="U39" s="677">
        <v>57</v>
      </c>
      <c r="V39" s="677">
        <v>41</v>
      </c>
      <c r="W39" s="677">
        <v>16</v>
      </c>
      <c r="Y39" s="731">
        <f t="shared" si="9"/>
        <v>93</v>
      </c>
    </row>
    <row r="40" spans="1:25" x14ac:dyDescent="0.25">
      <c r="A40" s="691" t="s">
        <v>94</v>
      </c>
      <c r="B40" s="190" t="s">
        <v>95</v>
      </c>
      <c r="C40" s="701" t="s">
        <v>264</v>
      </c>
      <c r="D40" s="619">
        <v>595</v>
      </c>
      <c r="E40" s="620">
        <v>490</v>
      </c>
      <c r="F40" s="620">
        <v>66</v>
      </c>
      <c r="G40" s="620">
        <v>1</v>
      </c>
      <c r="H40" s="620">
        <v>1</v>
      </c>
      <c r="I40" s="620">
        <v>2</v>
      </c>
      <c r="J40" s="620">
        <v>7</v>
      </c>
      <c r="K40" s="620">
        <v>14</v>
      </c>
      <c r="L40" s="270"/>
      <c r="M40" s="695">
        <f t="shared" si="6"/>
        <v>490</v>
      </c>
      <c r="N40" s="696">
        <f t="shared" si="7"/>
        <v>66</v>
      </c>
      <c r="O40" s="696">
        <f t="shared" si="8"/>
        <v>4</v>
      </c>
      <c r="Q40" s="677">
        <v>47</v>
      </c>
      <c r="R40" s="677">
        <v>79</v>
      </c>
      <c r="S40" s="677">
        <v>154</v>
      </c>
      <c r="T40" s="677">
        <v>133</v>
      </c>
      <c r="U40" s="677">
        <v>79</v>
      </c>
      <c r="V40" s="677">
        <v>54</v>
      </c>
      <c r="W40" s="677">
        <v>49</v>
      </c>
      <c r="Y40" s="731">
        <f t="shared" si="9"/>
        <v>126</v>
      </c>
    </row>
    <row r="41" spans="1:25" x14ac:dyDescent="0.25">
      <c r="A41" s="691" t="s">
        <v>96</v>
      </c>
      <c r="B41" s="190" t="s">
        <v>97</v>
      </c>
      <c r="C41" s="701" t="s">
        <v>266</v>
      </c>
      <c r="D41" s="619">
        <v>111</v>
      </c>
      <c r="E41" s="620">
        <v>84</v>
      </c>
      <c r="F41" s="620">
        <v>31</v>
      </c>
      <c r="G41" s="620">
        <v>1</v>
      </c>
      <c r="H41" s="620">
        <v>0</v>
      </c>
      <c r="I41" s="620">
        <v>0</v>
      </c>
      <c r="J41" s="620">
        <v>0</v>
      </c>
      <c r="K41" s="620">
        <v>3</v>
      </c>
      <c r="L41" s="270"/>
      <c r="M41" s="695">
        <f t="shared" si="6"/>
        <v>84</v>
      </c>
      <c r="N41" s="696">
        <f t="shared" si="7"/>
        <v>31</v>
      </c>
      <c r="O41" s="696">
        <f t="shared" si="8"/>
        <v>1</v>
      </c>
      <c r="Q41" s="677">
        <v>3</v>
      </c>
      <c r="R41" s="677">
        <v>16</v>
      </c>
      <c r="S41" s="677">
        <v>20</v>
      </c>
      <c r="T41" s="677">
        <v>19</v>
      </c>
      <c r="U41" s="677">
        <v>34</v>
      </c>
      <c r="V41" s="677">
        <v>12</v>
      </c>
      <c r="W41" s="677">
        <v>7</v>
      </c>
      <c r="Y41" s="731">
        <f t="shared" si="9"/>
        <v>19</v>
      </c>
    </row>
    <row r="42" spans="1:25" x14ac:dyDescent="0.25">
      <c r="A42" s="691" t="s">
        <v>98</v>
      </c>
      <c r="B42" s="190" t="s">
        <v>99</v>
      </c>
      <c r="C42" s="701" t="s">
        <v>268</v>
      </c>
      <c r="D42" s="619">
        <v>224</v>
      </c>
      <c r="E42" s="620">
        <v>216</v>
      </c>
      <c r="F42" s="620">
        <v>21</v>
      </c>
      <c r="G42" s="620">
        <v>0</v>
      </c>
      <c r="H42" s="620">
        <v>0</v>
      </c>
      <c r="I42" s="620">
        <v>0</v>
      </c>
      <c r="J42" s="620">
        <v>0</v>
      </c>
      <c r="K42" s="620">
        <v>8</v>
      </c>
      <c r="L42" s="270"/>
      <c r="M42" s="695">
        <f t="shared" si="6"/>
        <v>216</v>
      </c>
      <c r="N42" s="696">
        <f t="shared" si="7"/>
        <v>21</v>
      </c>
      <c r="O42" s="696">
        <f t="shared" si="8"/>
        <v>0</v>
      </c>
      <c r="Q42" s="677">
        <v>16</v>
      </c>
      <c r="R42" s="677">
        <v>42</v>
      </c>
      <c r="S42" s="677">
        <v>44</v>
      </c>
      <c r="T42" s="677">
        <v>61</v>
      </c>
      <c r="U42" s="677">
        <v>43</v>
      </c>
      <c r="V42" s="677">
        <v>10</v>
      </c>
      <c r="W42" s="677">
        <v>8</v>
      </c>
      <c r="Y42" s="731">
        <f t="shared" si="9"/>
        <v>58</v>
      </c>
    </row>
    <row r="43" spans="1:25" x14ac:dyDescent="0.25">
      <c r="A43" s="691" t="s">
        <v>100</v>
      </c>
      <c r="B43" s="190" t="s">
        <v>101</v>
      </c>
      <c r="C43" s="701" t="s">
        <v>267</v>
      </c>
      <c r="D43" s="619">
        <v>231</v>
      </c>
      <c r="E43" s="620">
        <v>177</v>
      </c>
      <c r="F43" s="620">
        <v>39</v>
      </c>
      <c r="G43" s="620">
        <v>0</v>
      </c>
      <c r="H43" s="620">
        <v>1</v>
      </c>
      <c r="I43" s="620">
        <v>3</v>
      </c>
      <c r="J43" s="620">
        <v>0</v>
      </c>
      <c r="K43" s="620">
        <v>2</v>
      </c>
      <c r="L43" s="270"/>
      <c r="M43" s="695">
        <f t="shared" si="6"/>
        <v>177</v>
      </c>
      <c r="N43" s="696">
        <f t="shared" si="7"/>
        <v>39</v>
      </c>
      <c r="O43" s="696">
        <f t="shared" si="8"/>
        <v>4</v>
      </c>
      <c r="Q43" s="677">
        <v>20</v>
      </c>
      <c r="R43" s="677">
        <v>26</v>
      </c>
      <c r="S43" s="677">
        <v>63</v>
      </c>
      <c r="T43" s="677">
        <v>46</v>
      </c>
      <c r="U43" s="677">
        <v>43</v>
      </c>
      <c r="V43" s="677">
        <v>12</v>
      </c>
      <c r="W43" s="677">
        <v>21</v>
      </c>
      <c r="Y43" s="731">
        <f t="shared" si="9"/>
        <v>46</v>
      </c>
    </row>
    <row r="44" spans="1:25" x14ac:dyDescent="0.25">
      <c r="A44" s="691" t="s">
        <v>102</v>
      </c>
      <c r="B44" s="190" t="s">
        <v>282</v>
      </c>
      <c r="C44" s="701" t="s">
        <v>264</v>
      </c>
      <c r="D44" s="619">
        <v>217</v>
      </c>
      <c r="E44" s="620">
        <v>47</v>
      </c>
      <c r="F44" s="620">
        <v>143</v>
      </c>
      <c r="G44" s="620">
        <v>0</v>
      </c>
      <c r="H44" s="620">
        <v>0</v>
      </c>
      <c r="I44" s="620">
        <v>0</v>
      </c>
      <c r="J44" s="620">
        <v>0</v>
      </c>
      <c r="K44" s="620">
        <v>5</v>
      </c>
      <c r="L44" s="270"/>
      <c r="M44" s="695">
        <f t="shared" si="6"/>
        <v>47</v>
      </c>
      <c r="N44" s="696">
        <f t="shared" si="7"/>
        <v>143</v>
      </c>
      <c r="O44" s="696">
        <f t="shared" si="8"/>
        <v>0</v>
      </c>
      <c r="Q44" s="677">
        <v>17</v>
      </c>
      <c r="R44" s="677">
        <v>40</v>
      </c>
      <c r="S44" s="677">
        <v>40</v>
      </c>
      <c r="T44" s="677">
        <v>35</v>
      </c>
      <c r="U44" s="677">
        <v>45</v>
      </c>
      <c r="V44" s="677">
        <v>18</v>
      </c>
      <c r="W44" s="677">
        <v>22</v>
      </c>
      <c r="Y44" s="731">
        <f t="shared" si="9"/>
        <v>57</v>
      </c>
    </row>
    <row r="45" spans="1:25" x14ac:dyDescent="0.25">
      <c r="A45" s="691" t="s">
        <v>104</v>
      </c>
      <c r="B45" s="190" t="s">
        <v>105</v>
      </c>
      <c r="C45" s="701" t="s">
        <v>265</v>
      </c>
      <c r="D45" s="619">
        <v>370</v>
      </c>
      <c r="E45" s="620">
        <v>222</v>
      </c>
      <c r="F45" s="620">
        <v>158</v>
      </c>
      <c r="G45" s="620">
        <v>0</v>
      </c>
      <c r="H45" s="620">
        <v>2</v>
      </c>
      <c r="I45" s="620">
        <v>0</v>
      </c>
      <c r="J45" s="620">
        <v>0</v>
      </c>
      <c r="K45" s="620">
        <v>5</v>
      </c>
      <c r="L45" s="270"/>
      <c r="M45" s="695">
        <f t="shared" si="6"/>
        <v>222</v>
      </c>
      <c r="N45" s="696">
        <f t="shared" si="7"/>
        <v>158</v>
      </c>
      <c r="O45" s="696">
        <f t="shared" si="8"/>
        <v>2</v>
      </c>
      <c r="Q45" s="677">
        <v>41</v>
      </c>
      <c r="R45" s="677">
        <v>64</v>
      </c>
      <c r="S45" s="677">
        <v>82</v>
      </c>
      <c r="T45" s="677">
        <v>69</v>
      </c>
      <c r="U45" s="677">
        <v>66</v>
      </c>
      <c r="V45" s="677">
        <v>26</v>
      </c>
      <c r="W45" s="677">
        <v>22</v>
      </c>
      <c r="Y45" s="731">
        <f t="shared" si="9"/>
        <v>105</v>
      </c>
    </row>
    <row r="46" spans="1:25" x14ac:dyDescent="0.25">
      <c r="A46" s="691" t="s">
        <v>108</v>
      </c>
      <c r="B46" s="190" t="s">
        <v>109</v>
      </c>
      <c r="C46" s="701" t="s">
        <v>266</v>
      </c>
      <c r="D46" s="619">
        <v>716</v>
      </c>
      <c r="E46" s="620">
        <v>587</v>
      </c>
      <c r="F46" s="620">
        <v>130</v>
      </c>
      <c r="G46" s="620">
        <v>1</v>
      </c>
      <c r="H46" s="620">
        <v>2</v>
      </c>
      <c r="I46" s="620">
        <v>2</v>
      </c>
      <c r="J46" s="620">
        <v>0</v>
      </c>
      <c r="K46" s="620">
        <v>24</v>
      </c>
      <c r="L46" s="270"/>
      <c r="M46" s="695">
        <f t="shared" si="6"/>
        <v>587</v>
      </c>
      <c r="N46" s="696">
        <f t="shared" si="7"/>
        <v>130</v>
      </c>
      <c r="O46" s="696">
        <f t="shared" si="8"/>
        <v>5</v>
      </c>
      <c r="Q46" s="677">
        <v>58</v>
      </c>
      <c r="R46" s="677">
        <v>113</v>
      </c>
      <c r="S46" s="677">
        <v>129</v>
      </c>
      <c r="T46" s="677">
        <v>114</v>
      </c>
      <c r="U46" s="677">
        <v>157</v>
      </c>
      <c r="V46" s="677">
        <v>64</v>
      </c>
      <c r="W46" s="677">
        <v>81</v>
      </c>
      <c r="Y46" s="731">
        <f t="shared" si="9"/>
        <v>171</v>
      </c>
    </row>
    <row r="47" spans="1:25" x14ac:dyDescent="0.25">
      <c r="A47" s="691" t="s">
        <v>110</v>
      </c>
      <c r="B47" s="190" t="s">
        <v>111</v>
      </c>
      <c r="C47" s="701" t="s">
        <v>266</v>
      </c>
      <c r="D47" s="619">
        <v>3074</v>
      </c>
      <c r="E47" s="620">
        <v>1348</v>
      </c>
      <c r="F47" s="620">
        <v>1749</v>
      </c>
      <c r="G47" s="620">
        <v>51</v>
      </c>
      <c r="H47" s="620">
        <v>5</v>
      </c>
      <c r="I47" s="620">
        <v>9</v>
      </c>
      <c r="J47" s="620">
        <v>5</v>
      </c>
      <c r="K47" s="620">
        <v>185</v>
      </c>
      <c r="L47" s="270"/>
      <c r="M47" s="695">
        <f t="shared" si="6"/>
        <v>1348</v>
      </c>
      <c r="N47" s="696">
        <f t="shared" si="7"/>
        <v>1749</v>
      </c>
      <c r="O47" s="696">
        <f t="shared" si="8"/>
        <v>65</v>
      </c>
      <c r="Q47" s="677">
        <v>237</v>
      </c>
      <c r="R47" s="677">
        <v>477</v>
      </c>
      <c r="S47" s="677">
        <v>701</v>
      </c>
      <c r="T47" s="677">
        <v>593</v>
      </c>
      <c r="U47" s="677">
        <v>567</v>
      </c>
      <c r="V47" s="677">
        <v>243</v>
      </c>
      <c r="W47" s="677">
        <v>256</v>
      </c>
      <c r="Y47" s="731">
        <f t="shared" si="9"/>
        <v>714</v>
      </c>
    </row>
    <row r="48" spans="1:25" x14ac:dyDescent="0.25">
      <c r="A48" s="691" t="s">
        <v>112</v>
      </c>
      <c r="B48" s="190" t="s">
        <v>300</v>
      </c>
      <c r="C48" s="701" t="s">
        <v>265</v>
      </c>
      <c r="D48" s="619">
        <v>1248</v>
      </c>
      <c r="E48" s="620">
        <v>797</v>
      </c>
      <c r="F48" s="620">
        <v>364</v>
      </c>
      <c r="G48" s="620">
        <v>0</v>
      </c>
      <c r="H48" s="620">
        <v>1</v>
      </c>
      <c r="I48" s="620">
        <v>0</v>
      </c>
      <c r="J48" s="620">
        <v>6</v>
      </c>
      <c r="K48" s="620">
        <v>55</v>
      </c>
      <c r="L48" s="270"/>
      <c r="M48" s="695">
        <f t="shared" si="6"/>
        <v>797</v>
      </c>
      <c r="N48" s="696">
        <f t="shared" si="7"/>
        <v>364</v>
      </c>
      <c r="O48" s="696">
        <f t="shared" si="8"/>
        <v>1</v>
      </c>
      <c r="Q48" s="677">
        <v>108</v>
      </c>
      <c r="R48" s="677">
        <v>182</v>
      </c>
      <c r="S48" s="677">
        <v>302</v>
      </c>
      <c r="T48" s="677">
        <v>286</v>
      </c>
      <c r="U48" s="677">
        <v>197</v>
      </c>
      <c r="V48" s="677">
        <v>66</v>
      </c>
      <c r="W48" s="677">
        <v>107</v>
      </c>
      <c r="Y48" s="731">
        <f t="shared" si="9"/>
        <v>290</v>
      </c>
    </row>
    <row r="49" spans="1:25" x14ac:dyDescent="0.25">
      <c r="A49" s="691" t="s">
        <v>114</v>
      </c>
      <c r="B49" s="190" t="s">
        <v>115</v>
      </c>
      <c r="C49" s="701" t="s">
        <v>265</v>
      </c>
      <c r="D49" s="619">
        <v>29</v>
      </c>
      <c r="E49" s="620">
        <v>29</v>
      </c>
      <c r="F49" s="620">
        <v>0</v>
      </c>
      <c r="G49" s="620">
        <v>0</v>
      </c>
      <c r="H49" s="620">
        <v>0</v>
      </c>
      <c r="I49" s="620">
        <v>0</v>
      </c>
      <c r="J49" s="620">
        <v>0</v>
      </c>
      <c r="K49" s="620">
        <v>0</v>
      </c>
      <c r="L49" s="270"/>
      <c r="M49" s="695">
        <f t="shared" si="6"/>
        <v>29</v>
      </c>
      <c r="N49" s="696">
        <f t="shared" si="7"/>
        <v>0</v>
      </c>
      <c r="O49" s="696">
        <f t="shared" si="8"/>
        <v>0</v>
      </c>
      <c r="Q49" s="677">
        <v>0</v>
      </c>
      <c r="R49" s="677">
        <v>3</v>
      </c>
      <c r="S49" s="677">
        <v>5</v>
      </c>
      <c r="T49" s="677">
        <v>5</v>
      </c>
      <c r="U49" s="677">
        <v>11</v>
      </c>
      <c r="V49" s="677">
        <v>1</v>
      </c>
      <c r="W49" s="677">
        <v>4</v>
      </c>
      <c r="Y49" s="731">
        <f t="shared" si="9"/>
        <v>3</v>
      </c>
    </row>
    <row r="50" spans="1:25" x14ac:dyDescent="0.25">
      <c r="A50" s="691" t="s">
        <v>118</v>
      </c>
      <c r="B50" s="190" t="s">
        <v>270</v>
      </c>
      <c r="C50" s="701" t="s">
        <v>264</v>
      </c>
      <c r="D50" s="619">
        <v>361</v>
      </c>
      <c r="E50" s="620">
        <v>282</v>
      </c>
      <c r="F50" s="620">
        <v>101</v>
      </c>
      <c r="G50" s="620">
        <v>2</v>
      </c>
      <c r="H50" s="620">
        <v>1</v>
      </c>
      <c r="I50" s="620">
        <v>1</v>
      </c>
      <c r="J50" s="620">
        <v>1</v>
      </c>
      <c r="K50" s="620">
        <v>11</v>
      </c>
      <c r="L50" s="270"/>
      <c r="M50" s="695">
        <f t="shared" si="6"/>
        <v>282</v>
      </c>
      <c r="N50" s="696">
        <f t="shared" si="7"/>
        <v>101</v>
      </c>
      <c r="O50" s="696">
        <f t="shared" si="8"/>
        <v>4</v>
      </c>
      <c r="Q50" s="677">
        <v>24</v>
      </c>
      <c r="R50" s="677">
        <v>54</v>
      </c>
      <c r="S50" s="677">
        <v>80</v>
      </c>
      <c r="T50" s="677">
        <v>78</v>
      </c>
      <c r="U50" s="677">
        <v>62</v>
      </c>
      <c r="V50" s="677">
        <v>22</v>
      </c>
      <c r="W50" s="677">
        <v>41</v>
      </c>
      <c r="Y50" s="731">
        <f t="shared" si="9"/>
        <v>78</v>
      </c>
    </row>
    <row r="51" spans="1:25" x14ac:dyDescent="0.25">
      <c r="A51" s="691" t="s">
        <v>120</v>
      </c>
      <c r="B51" s="190" t="s">
        <v>121</v>
      </c>
      <c r="C51" s="701" t="s">
        <v>264</v>
      </c>
      <c r="D51" s="619">
        <v>737</v>
      </c>
      <c r="E51" s="620">
        <v>471</v>
      </c>
      <c r="F51" s="620">
        <v>259</v>
      </c>
      <c r="G51" s="620">
        <v>7</v>
      </c>
      <c r="H51" s="620">
        <v>1</v>
      </c>
      <c r="I51" s="620">
        <v>0</v>
      </c>
      <c r="J51" s="620">
        <v>0</v>
      </c>
      <c r="K51" s="620">
        <v>58</v>
      </c>
      <c r="L51" s="270"/>
      <c r="M51" s="695">
        <f t="shared" si="6"/>
        <v>471</v>
      </c>
      <c r="N51" s="696">
        <f t="shared" si="7"/>
        <v>259</v>
      </c>
      <c r="O51" s="696">
        <f t="shared" si="8"/>
        <v>8</v>
      </c>
      <c r="Q51" s="677">
        <v>51</v>
      </c>
      <c r="R51" s="677">
        <v>140</v>
      </c>
      <c r="S51" s="677">
        <v>151</v>
      </c>
      <c r="T51" s="677">
        <v>154</v>
      </c>
      <c r="U51" s="677">
        <v>142</v>
      </c>
      <c r="V51" s="677">
        <v>49</v>
      </c>
      <c r="W51" s="677">
        <v>50</v>
      </c>
      <c r="Y51" s="731">
        <f t="shared" si="9"/>
        <v>191</v>
      </c>
    </row>
    <row r="52" spans="1:25" x14ac:dyDescent="0.25">
      <c r="A52" s="691" t="s">
        <v>122</v>
      </c>
      <c r="B52" s="190" t="s">
        <v>287</v>
      </c>
      <c r="C52" s="701" t="s">
        <v>266</v>
      </c>
      <c r="D52" s="619">
        <v>124</v>
      </c>
      <c r="E52" s="620">
        <v>86</v>
      </c>
      <c r="F52" s="620">
        <v>37</v>
      </c>
      <c r="G52" s="620">
        <v>2</v>
      </c>
      <c r="H52" s="620">
        <v>2</v>
      </c>
      <c r="I52" s="620">
        <v>0</v>
      </c>
      <c r="J52" s="620">
        <v>1</v>
      </c>
      <c r="K52" s="620">
        <v>3</v>
      </c>
      <c r="L52" s="270"/>
      <c r="M52" s="695">
        <f t="shared" si="6"/>
        <v>86</v>
      </c>
      <c r="N52" s="696">
        <f t="shared" si="7"/>
        <v>37</v>
      </c>
      <c r="O52" s="696">
        <f t="shared" si="8"/>
        <v>4</v>
      </c>
      <c r="Q52" s="677">
        <v>6</v>
      </c>
      <c r="R52" s="677">
        <v>20</v>
      </c>
      <c r="S52" s="677">
        <v>29</v>
      </c>
      <c r="T52" s="677">
        <v>23</v>
      </c>
      <c r="U52" s="677">
        <v>20</v>
      </c>
      <c r="V52" s="677">
        <v>9</v>
      </c>
      <c r="W52" s="677">
        <v>17</v>
      </c>
      <c r="Y52" s="731">
        <f t="shared" si="9"/>
        <v>26</v>
      </c>
    </row>
    <row r="53" spans="1:25" x14ac:dyDescent="0.25">
      <c r="A53" s="691" t="s">
        <v>124</v>
      </c>
      <c r="B53" s="190" t="s">
        <v>125</v>
      </c>
      <c r="C53" s="701" t="s">
        <v>267</v>
      </c>
      <c r="D53" s="619">
        <v>195</v>
      </c>
      <c r="E53" s="620">
        <v>128</v>
      </c>
      <c r="F53" s="620">
        <v>64</v>
      </c>
      <c r="G53" s="620">
        <v>2</v>
      </c>
      <c r="H53" s="620">
        <v>2</v>
      </c>
      <c r="I53" s="620">
        <v>0</v>
      </c>
      <c r="J53" s="620">
        <v>1</v>
      </c>
      <c r="K53" s="620">
        <v>10</v>
      </c>
      <c r="L53" s="270"/>
      <c r="M53" s="695">
        <f t="shared" si="6"/>
        <v>128</v>
      </c>
      <c r="N53" s="696">
        <f t="shared" si="7"/>
        <v>64</v>
      </c>
      <c r="O53" s="696">
        <f t="shared" si="8"/>
        <v>4</v>
      </c>
      <c r="Q53" s="677">
        <v>14</v>
      </c>
      <c r="R53" s="677">
        <v>26</v>
      </c>
      <c r="S53" s="677">
        <v>44</v>
      </c>
      <c r="T53" s="677">
        <v>34</v>
      </c>
      <c r="U53" s="677">
        <v>37</v>
      </c>
      <c r="V53" s="677">
        <v>20</v>
      </c>
      <c r="W53" s="677">
        <v>20</v>
      </c>
      <c r="Y53" s="731">
        <f t="shared" si="9"/>
        <v>40</v>
      </c>
    </row>
    <row r="54" spans="1:25" x14ac:dyDescent="0.25">
      <c r="A54" s="691" t="s">
        <v>126</v>
      </c>
      <c r="B54" s="190" t="s">
        <v>127</v>
      </c>
      <c r="C54" s="701" t="s">
        <v>266</v>
      </c>
      <c r="D54" s="619">
        <v>138</v>
      </c>
      <c r="E54" s="620">
        <v>108</v>
      </c>
      <c r="F54" s="620">
        <v>28</v>
      </c>
      <c r="G54" s="620">
        <v>0</v>
      </c>
      <c r="H54" s="620">
        <v>0</v>
      </c>
      <c r="I54" s="620">
        <v>1</v>
      </c>
      <c r="J54" s="620">
        <v>0</v>
      </c>
      <c r="K54" s="620">
        <v>3</v>
      </c>
      <c r="L54" s="270"/>
      <c r="M54" s="695">
        <f t="shared" si="6"/>
        <v>108</v>
      </c>
      <c r="N54" s="696">
        <f t="shared" si="7"/>
        <v>28</v>
      </c>
      <c r="O54" s="696">
        <f t="shared" si="8"/>
        <v>1</v>
      </c>
      <c r="Q54" s="677">
        <v>5</v>
      </c>
      <c r="R54" s="677">
        <v>18</v>
      </c>
      <c r="S54" s="677">
        <v>33</v>
      </c>
      <c r="T54" s="677">
        <v>29</v>
      </c>
      <c r="U54" s="677">
        <v>29</v>
      </c>
      <c r="V54" s="677">
        <v>9</v>
      </c>
      <c r="W54" s="677">
        <v>15</v>
      </c>
      <c r="Y54" s="731">
        <f t="shared" si="9"/>
        <v>23</v>
      </c>
    </row>
    <row r="55" spans="1:25" x14ac:dyDescent="0.25">
      <c r="A55" s="691" t="s">
        <v>128</v>
      </c>
      <c r="B55" s="190" t="s">
        <v>129</v>
      </c>
      <c r="C55" s="701" t="s">
        <v>266</v>
      </c>
      <c r="D55" s="619">
        <v>111</v>
      </c>
      <c r="E55" s="620">
        <v>64</v>
      </c>
      <c r="F55" s="620">
        <v>45</v>
      </c>
      <c r="G55" s="620">
        <v>0</v>
      </c>
      <c r="H55" s="620">
        <v>0</v>
      </c>
      <c r="I55" s="620">
        <v>0</v>
      </c>
      <c r="J55" s="620">
        <v>1</v>
      </c>
      <c r="K55" s="620">
        <v>0</v>
      </c>
      <c r="L55" s="270"/>
      <c r="M55" s="695">
        <f t="shared" si="6"/>
        <v>64</v>
      </c>
      <c r="N55" s="696">
        <f t="shared" si="7"/>
        <v>45</v>
      </c>
      <c r="O55" s="696">
        <f t="shared" si="8"/>
        <v>0</v>
      </c>
      <c r="Q55" s="677">
        <v>7</v>
      </c>
      <c r="R55" s="677">
        <v>25</v>
      </c>
      <c r="S55" s="677">
        <v>22</v>
      </c>
      <c r="T55" s="677">
        <v>20</v>
      </c>
      <c r="U55" s="677">
        <v>10</v>
      </c>
      <c r="V55" s="677">
        <v>2</v>
      </c>
      <c r="W55" s="677">
        <v>25</v>
      </c>
      <c r="Y55" s="731">
        <f t="shared" si="9"/>
        <v>32</v>
      </c>
    </row>
    <row r="56" spans="1:25" x14ac:dyDescent="0.25">
      <c r="A56" s="691" t="s">
        <v>130</v>
      </c>
      <c r="B56" s="190" t="s">
        <v>131</v>
      </c>
      <c r="C56" s="701" t="s">
        <v>268</v>
      </c>
      <c r="D56" s="619">
        <v>770</v>
      </c>
      <c r="E56" s="620">
        <v>758</v>
      </c>
      <c r="F56" s="620">
        <v>8</v>
      </c>
      <c r="G56" s="620">
        <v>0</v>
      </c>
      <c r="H56" s="620">
        <v>6</v>
      </c>
      <c r="I56" s="620">
        <v>0</v>
      </c>
      <c r="J56" s="620">
        <v>2</v>
      </c>
      <c r="K56" s="620">
        <v>10</v>
      </c>
      <c r="L56" s="270"/>
      <c r="M56" s="695">
        <f t="shared" si="6"/>
        <v>758</v>
      </c>
      <c r="N56" s="696">
        <f t="shared" si="7"/>
        <v>8</v>
      </c>
      <c r="O56" s="696">
        <f t="shared" si="8"/>
        <v>6</v>
      </c>
      <c r="Q56" s="677">
        <v>61</v>
      </c>
      <c r="R56" s="677">
        <v>125</v>
      </c>
      <c r="S56" s="677">
        <v>197</v>
      </c>
      <c r="T56" s="677">
        <v>196</v>
      </c>
      <c r="U56" s="677">
        <v>124</v>
      </c>
      <c r="V56" s="677">
        <v>51</v>
      </c>
      <c r="W56" s="677">
        <v>16</v>
      </c>
      <c r="Y56" s="731">
        <f t="shared" si="9"/>
        <v>186</v>
      </c>
    </row>
    <row r="57" spans="1:25" x14ac:dyDescent="0.25">
      <c r="A57" s="691" t="s">
        <v>132</v>
      </c>
      <c r="B57" s="190" t="s">
        <v>133</v>
      </c>
      <c r="C57" s="701" t="s">
        <v>267</v>
      </c>
      <c r="D57" s="619">
        <v>2526</v>
      </c>
      <c r="E57" s="620">
        <v>379</v>
      </c>
      <c r="F57" s="620">
        <v>134</v>
      </c>
      <c r="G57" s="620">
        <v>48</v>
      </c>
      <c r="H57" s="620">
        <v>8</v>
      </c>
      <c r="I57" s="620">
        <v>4</v>
      </c>
      <c r="J57" s="620">
        <v>2</v>
      </c>
      <c r="K57" s="620">
        <v>496</v>
      </c>
      <c r="L57" s="270"/>
      <c r="M57" s="695">
        <f t="shared" si="6"/>
        <v>379</v>
      </c>
      <c r="N57" s="696">
        <f t="shared" si="7"/>
        <v>134</v>
      </c>
      <c r="O57" s="696">
        <f t="shared" si="8"/>
        <v>60</v>
      </c>
      <c r="Q57" s="677">
        <v>106</v>
      </c>
      <c r="R57" s="677">
        <v>239</v>
      </c>
      <c r="S57" s="677">
        <v>504</v>
      </c>
      <c r="T57" s="677">
        <v>547</v>
      </c>
      <c r="U57" s="677">
        <v>516</v>
      </c>
      <c r="V57" s="677">
        <v>257</v>
      </c>
      <c r="W57" s="677">
        <v>357</v>
      </c>
      <c r="Y57" s="731">
        <f t="shared" si="9"/>
        <v>345</v>
      </c>
    </row>
    <row r="58" spans="1:25" x14ac:dyDescent="0.25">
      <c r="A58" s="691" t="s">
        <v>134</v>
      </c>
      <c r="B58" s="190" t="s">
        <v>135</v>
      </c>
      <c r="C58" s="701" t="s">
        <v>267</v>
      </c>
      <c r="D58" s="619">
        <v>553</v>
      </c>
      <c r="E58" s="620">
        <v>413</v>
      </c>
      <c r="F58" s="620">
        <v>139</v>
      </c>
      <c r="G58" s="620">
        <v>1</v>
      </c>
      <c r="H58" s="620">
        <v>3</v>
      </c>
      <c r="I58" s="620">
        <v>0</v>
      </c>
      <c r="J58" s="620">
        <v>3</v>
      </c>
      <c r="K58" s="620">
        <v>18</v>
      </c>
      <c r="L58" s="270"/>
      <c r="M58" s="695">
        <f t="shared" si="6"/>
        <v>413</v>
      </c>
      <c r="N58" s="696">
        <f t="shared" si="7"/>
        <v>139</v>
      </c>
      <c r="O58" s="696">
        <f t="shared" si="8"/>
        <v>4</v>
      </c>
      <c r="Q58" s="677">
        <v>35</v>
      </c>
      <c r="R58" s="677">
        <v>77</v>
      </c>
      <c r="S58" s="677">
        <v>125</v>
      </c>
      <c r="T58" s="677">
        <v>122</v>
      </c>
      <c r="U58" s="677">
        <v>109</v>
      </c>
      <c r="V58" s="677">
        <v>47</v>
      </c>
      <c r="W58" s="677">
        <v>38</v>
      </c>
      <c r="Y58" s="731">
        <f t="shared" si="9"/>
        <v>112</v>
      </c>
    </row>
    <row r="59" spans="1:25" x14ac:dyDescent="0.25">
      <c r="A59" s="691" t="s">
        <v>136</v>
      </c>
      <c r="B59" s="190" t="s">
        <v>137</v>
      </c>
      <c r="C59" s="701" t="s">
        <v>266</v>
      </c>
      <c r="D59" s="619">
        <v>96</v>
      </c>
      <c r="E59" s="620">
        <v>41</v>
      </c>
      <c r="F59" s="620">
        <v>48</v>
      </c>
      <c r="G59" s="620">
        <v>0</v>
      </c>
      <c r="H59" s="620">
        <v>0</v>
      </c>
      <c r="I59" s="620">
        <v>6</v>
      </c>
      <c r="J59" s="620">
        <v>0</v>
      </c>
      <c r="K59" s="620">
        <v>2</v>
      </c>
      <c r="L59" s="270"/>
      <c r="M59" s="695">
        <f t="shared" si="6"/>
        <v>41</v>
      </c>
      <c r="N59" s="696">
        <f t="shared" si="7"/>
        <v>48</v>
      </c>
      <c r="O59" s="696">
        <f t="shared" si="8"/>
        <v>6</v>
      </c>
      <c r="Q59" s="677">
        <v>11</v>
      </c>
      <c r="R59" s="677">
        <v>29</v>
      </c>
      <c r="S59" s="677">
        <v>23</v>
      </c>
      <c r="T59" s="677">
        <v>18</v>
      </c>
      <c r="U59" s="677">
        <v>9</v>
      </c>
      <c r="V59" s="677">
        <v>5</v>
      </c>
      <c r="W59" s="677">
        <v>1</v>
      </c>
      <c r="Y59" s="731">
        <f t="shared" si="9"/>
        <v>40</v>
      </c>
    </row>
    <row r="60" spans="1:25" x14ac:dyDescent="0.25">
      <c r="A60" s="691" t="s">
        <v>140</v>
      </c>
      <c r="B60" s="190" t="s">
        <v>141</v>
      </c>
      <c r="C60" s="701" t="s">
        <v>267</v>
      </c>
      <c r="D60" s="619">
        <v>200</v>
      </c>
      <c r="E60" s="620">
        <v>166</v>
      </c>
      <c r="F60" s="620">
        <v>27</v>
      </c>
      <c r="G60" s="620">
        <v>0</v>
      </c>
      <c r="H60" s="620">
        <v>0</v>
      </c>
      <c r="I60" s="620">
        <v>0</v>
      </c>
      <c r="J60" s="620">
        <v>0</v>
      </c>
      <c r="K60" s="620">
        <v>2</v>
      </c>
      <c r="L60" s="270"/>
      <c r="M60" s="695">
        <f t="shared" si="6"/>
        <v>166</v>
      </c>
      <c r="N60" s="696">
        <f t="shared" si="7"/>
        <v>27</v>
      </c>
      <c r="O60" s="696">
        <f t="shared" si="8"/>
        <v>0</v>
      </c>
      <c r="Q60" s="677">
        <v>7</v>
      </c>
      <c r="R60" s="677">
        <v>33</v>
      </c>
      <c r="S60" s="677">
        <v>49</v>
      </c>
      <c r="T60" s="677">
        <v>44</v>
      </c>
      <c r="U60" s="677">
        <v>38</v>
      </c>
      <c r="V60" s="677">
        <v>19</v>
      </c>
      <c r="W60" s="677">
        <v>10</v>
      </c>
      <c r="Y60" s="731">
        <f t="shared" si="9"/>
        <v>40</v>
      </c>
    </row>
    <row r="61" spans="1:25" x14ac:dyDescent="0.25">
      <c r="A61" s="691" t="s">
        <v>146</v>
      </c>
      <c r="B61" s="190" t="s">
        <v>147</v>
      </c>
      <c r="C61" s="701" t="s">
        <v>264</v>
      </c>
      <c r="D61" s="619">
        <v>135</v>
      </c>
      <c r="E61" s="620">
        <v>117</v>
      </c>
      <c r="F61" s="620">
        <v>26</v>
      </c>
      <c r="G61" s="620">
        <v>0</v>
      </c>
      <c r="H61" s="620">
        <v>0</v>
      </c>
      <c r="I61" s="620">
        <v>0</v>
      </c>
      <c r="J61" s="620">
        <v>0</v>
      </c>
      <c r="K61" s="620">
        <v>0</v>
      </c>
      <c r="L61" s="270"/>
      <c r="M61" s="695">
        <f t="shared" si="6"/>
        <v>117</v>
      </c>
      <c r="N61" s="696">
        <f t="shared" si="7"/>
        <v>26</v>
      </c>
      <c r="O61" s="696">
        <f t="shared" si="8"/>
        <v>0</v>
      </c>
      <c r="Q61" s="677">
        <v>4</v>
      </c>
      <c r="R61" s="677">
        <v>22</v>
      </c>
      <c r="S61" s="677">
        <v>27</v>
      </c>
      <c r="T61" s="677">
        <v>27</v>
      </c>
      <c r="U61" s="677">
        <v>16</v>
      </c>
      <c r="V61" s="677">
        <v>9</v>
      </c>
      <c r="W61" s="677">
        <v>30</v>
      </c>
      <c r="Y61" s="731">
        <f t="shared" si="9"/>
        <v>26</v>
      </c>
    </row>
    <row r="62" spans="1:25" x14ac:dyDescent="0.25">
      <c r="A62" s="691" t="s">
        <v>148</v>
      </c>
      <c r="B62" s="190" t="s">
        <v>149</v>
      </c>
      <c r="C62" s="701" t="s">
        <v>265</v>
      </c>
      <c r="D62" s="619">
        <v>375</v>
      </c>
      <c r="E62" s="620">
        <v>168</v>
      </c>
      <c r="F62" s="620">
        <v>205</v>
      </c>
      <c r="G62" s="620">
        <v>0</v>
      </c>
      <c r="H62" s="620">
        <v>0</v>
      </c>
      <c r="I62" s="620">
        <v>0</v>
      </c>
      <c r="J62" s="620">
        <v>1</v>
      </c>
      <c r="K62" s="620">
        <v>6</v>
      </c>
      <c r="L62" s="270"/>
      <c r="M62" s="695">
        <f t="shared" si="6"/>
        <v>168</v>
      </c>
      <c r="N62" s="696">
        <f t="shared" si="7"/>
        <v>205</v>
      </c>
      <c r="O62" s="696">
        <f t="shared" si="8"/>
        <v>0</v>
      </c>
      <c r="Q62" s="677">
        <v>30</v>
      </c>
      <c r="R62" s="677">
        <v>64</v>
      </c>
      <c r="S62" s="677">
        <v>109</v>
      </c>
      <c r="T62" s="677">
        <v>77</v>
      </c>
      <c r="U62" s="677">
        <v>58</v>
      </c>
      <c r="V62" s="677">
        <v>16</v>
      </c>
      <c r="W62" s="677">
        <v>21</v>
      </c>
      <c r="Y62" s="731">
        <f t="shared" si="9"/>
        <v>94</v>
      </c>
    </row>
    <row r="63" spans="1:25" x14ac:dyDescent="0.25">
      <c r="A63" s="691" t="s">
        <v>150</v>
      </c>
      <c r="B63" s="190" t="s">
        <v>151</v>
      </c>
      <c r="C63" s="701" t="s">
        <v>266</v>
      </c>
      <c r="D63" s="619">
        <v>190</v>
      </c>
      <c r="E63" s="620">
        <v>148</v>
      </c>
      <c r="F63" s="620">
        <v>24</v>
      </c>
      <c r="G63" s="620">
        <v>0</v>
      </c>
      <c r="H63" s="620">
        <v>0</v>
      </c>
      <c r="I63" s="620">
        <v>0</v>
      </c>
      <c r="J63" s="620">
        <v>1</v>
      </c>
      <c r="K63" s="620">
        <v>2</v>
      </c>
      <c r="L63" s="270"/>
      <c r="M63" s="695">
        <f t="shared" si="6"/>
        <v>148</v>
      </c>
      <c r="N63" s="696">
        <f t="shared" si="7"/>
        <v>24</v>
      </c>
      <c r="O63" s="696">
        <f t="shared" si="8"/>
        <v>0</v>
      </c>
      <c r="Q63" s="677">
        <v>11</v>
      </c>
      <c r="R63" s="677">
        <v>23</v>
      </c>
      <c r="S63" s="677">
        <v>49</v>
      </c>
      <c r="T63" s="677">
        <v>35</v>
      </c>
      <c r="U63" s="677">
        <v>39</v>
      </c>
      <c r="V63" s="677">
        <v>15</v>
      </c>
      <c r="W63" s="677">
        <v>18</v>
      </c>
      <c r="Y63" s="731">
        <f t="shared" si="9"/>
        <v>34</v>
      </c>
    </row>
    <row r="64" spans="1:25" x14ac:dyDescent="0.25">
      <c r="A64" s="691" t="s">
        <v>152</v>
      </c>
      <c r="B64" s="190" t="s">
        <v>153</v>
      </c>
      <c r="C64" s="701" t="s">
        <v>268</v>
      </c>
      <c r="D64" s="619">
        <v>699</v>
      </c>
      <c r="E64" s="620">
        <v>647</v>
      </c>
      <c r="F64" s="620">
        <v>58</v>
      </c>
      <c r="G64" s="620">
        <v>1</v>
      </c>
      <c r="H64" s="620">
        <v>2</v>
      </c>
      <c r="I64" s="620">
        <v>0</v>
      </c>
      <c r="J64" s="620">
        <v>0</v>
      </c>
      <c r="K64" s="620">
        <v>7</v>
      </c>
      <c r="L64" s="270"/>
      <c r="M64" s="695">
        <f t="shared" si="6"/>
        <v>647</v>
      </c>
      <c r="N64" s="696">
        <f t="shared" si="7"/>
        <v>58</v>
      </c>
      <c r="O64" s="696">
        <f t="shared" si="8"/>
        <v>3</v>
      </c>
      <c r="Q64" s="677">
        <v>56</v>
      </c>
      <c r="R64" s="677">
        <v>124</v>
      </c>
      <c r="S64" s="677">
        <v>172</v>
      </c>
      <c r="T64" s="677">
        <v>134</v>
      </c>
      <c r="U64" s="677">
        <v>90</v>
      </c>
      <c r="V64" s="677">
        <v>39</v>
      </c>
      <c r="W64" s="677">
        <v>84</v>
      </c>
      <c r="Y64" s="731">
        <f t="shared" si="9"/>
        <v>180</v>
      </c>
    </row>
    <row r="65" spans="1:25" x14ac:dyDescent="0.25">
      <c r="A65" s="691" t="s">
        <v>154</v>
      </c>
      <c r="B65" s="190" t="s">
        <v>155</v>
      </c>
      <c r="C65" s="701" t="s">
        <v>265</v>
      </c>
      <c r="D65" s="619">
        <v>217</v>
      </c>
      <c r="E65" s="620">
        <v>192</v>
      </c>
      <c r="F65" s="620">
        <v>21</v>
      </c>
      <c r="G65" s="620">
        <v>0</v>
      </c>
      <c r="H65" s="620">
        <v>0</v>
      </c>
      <c r="I65" s="620">
        <v>1</v>
      </c>
      <c r="J65" s="620">
        <v>0</v>
      </c>
      <c r="K65" s="620">
        <v>8</v>
      </c>
      <c r="L65" s="270"/>
      <c r="M65" s="695">
        <f t="shared" si="6"/>
        <v>192</v>
      </c>
      <c r="N65" s="696">
        <f t="shared" si="7"/>
        <v>21</v>
      </c>
      <c r="O65" s="696">
        <f t="shared" si="8"/>
        <v>1</v>
      </c>
      <c r="Q65" s="677">
        <v>19</v>
      </c>
      <c r="R65" s="677">
        <v>25</v>
      </c>
      <c r="S65" s="677">
        <v>65</v>
      </c>
      <c r="T65" s="677">
        <v>40</v>
      </c>
      <c r="U65" s="677">
        <v>39</v>
      </c>
      <c r="V65" s="677">
        <v>19</v>
      </c>
      <c r="W65" s="677">
        <v>10</v>
      </c>
      <c r="Y65" s="731">
        <f t="shared" si="9"/>
        <v>44</v>
      </c>
    </row>
    <row r="66" spans="1:25" x14ac:dyDescent="0.25">
      <c r="A66" s="691" t="s">
        <v>156</v>
      </c>
      <c r="B66" s="190" t="s">
        <v>157</v>
      </c>
      <c r="C66" s="701" t="s">
        <v>266</v>
      </c>
      <c r="D66" s="619">
        <v>176</v>
      </c>
      <c r="E66" s="620">
        <v>121</v>
      </c>
      <c r="F66" s="620">
        <v>43</v>
      </c>
      <c r="G66" s="620">
        <v>0</v>
      </c>
      <c r="H66" s="620">
        <v>1</v>
      </c>
      <c r="I66" s="620">
        <v>0</v>
      </c>
      <c r="J66" s="620">
        <v>0</v>
      </c>
      <c r="K66" s="620">
        <v>4</v>
      </c>
      <c r="L66" s="270"/>
      <c r="M66" s="695">
        <f t="shared" si="6"/>
        <v>121</v>
      </c>
      <c r="N66" s="696">
        <f t="shared" si="7"/>
        <v>43</v>
      </c>
      <c r="O66" s="696">
        <f t="shared" si="8"/>
        <v>1</v>
      </c>
      <c r="Q66" s="677">
        <v>11</v>
      </c>
      <c r="R66" s="677">
        <v>21</v>
      </c>
      <c r="S66" s="677">
        <v>40</v>
      </c>
      <c r="T66" s="677">
        <v>26</v>
      </c>
      <c r="U66" s="677">
        <v>36</v>
      </c>
      <c r="V66" s="677">
        <v>18</v>
      </c>
      <c r="W66" s="677">
        <v>24</v>
      </c>
      <c r="Y66" s="731">
        <f t="shared" si="9"/>
        <v>32</v>
      </c>
    </row>
    <row r="67" spans="1:25" x14ac:dyDescent="0.25">
      <c r="A67" s="691" t="s">
        <v>162</v>
      </c>
      <c r="B67" s="190" t="s">
        <v>163</v>
      </c>
      <c r="C67" s="701" t="s">
        <v>264</v>
      </c>
      <c r="D67" s="619">
        <v>46</v>
      </c>
      <c r="E67" s="620">
        <v>27</v>
      </c>
      <c r="F67" s="620">
        <v>27</v>
      </c>
      <c r="G67" s="620">
        <v>0</v>
      </c>
      <c r="H67" s="620">
        <v>0</v>
      </c>
      <c r="I67" s="620">
        <v>0</v>
      </c>
      <c r="J67" s="620">
        <v>0</v>
      </c>
      <c r="K67" s="620">
        <v>1</v>
      </c>
      <c r="L67" s="270"/>
      <c r="M67" s="695">
        <f t="shared" si="6"/>
        <v>27</v>
      </c>
      <c r="N67" s="696">
        <f t="shared" si="7"/>
        <v>27</v>
      </c>
      <c r="O67" s="696">
        <f t="shared" si="8"/>
        <v>0</v>
      </c>
      <c r="Q67" s="677">
        <v>2</v>
      </c>
      <c r="R67" s="677">
        <v>5</v>
      </c>
      <c r="S67" s="677">
        <v>14</v>
      </c>
      <c r="T67" s="677">
        <v>11</v>
      </c>
      <c r="U67" s="677">
        <v>7</v>
      </c>
      <c r="V67" s="677">
        <v>0</v>
      </c>
      <c r="W67" s="677">
        <v>7</v>
      </c>
      <c r="Y67" s="731">
        <f t="shared" si="9"/>
        <v>7</v>
      </c>
    </row>
    <row r="68" spans="1:25" x14ac:dyDescent="0.25">
      <c r="A68" s="691" t="s">
        <v>164</v>
      </c>
      <c r="B68" s="190" t="s">
        <v>165</v>
      </c>
      <c r="C68" s="701" t="s">
        <v>266</v>
      </c>
      <c r="D68" s="619">
        <v>132</v>
      </c>
      <c r="E68" s="620">
        <v>71</v>
      </c>
      <c r="F68" s="620">
        <v>51</v>
      </c>
      <c r="G68" s="620">
        <v>0</v>
      </c>
      <c r="H68" s="620">
        <v>0</v>
      </c>
      <c r="I68" s="620">
        <v>0</v>
      </c>
      <c r="J68" s="620">
        <v>1</v>
      </c>
      <c r="K68" s="620">
        <v>4</v>
      </c>
      <c r="L68" s="270"/>
      <c r="M68" s="695">
        <f t="shared" si="6"/>
        <v>71</v>
      </c>
      <c r="N68" s="696">
        <f t="shared" si="7"/>
        <v>51</v>
      </c>
      <c r="O68" s="696">
        <f t="shared" si="8"/>
        <v>0</v>
      </c>
      <c r="Q68" s="677">
        <v>5</v>
      </c>
      <c r="R68" s="677">
        <v>26</v>
      </c>
      <c r="S68" s="677">
        <v>29</v>
      </c>
      <c r="T68" s="677">
        <v>23</v>
      </c>
      <c r="U68" s="677">
        <v>14</v>
      </c>
      <c r="V68" s="677">
        <v>4</v>
      </c>
      <c r="W68" s="677">
        <v>31</v>
      </c>
      <c r="Y68" s="731">
        <f t="shared" si="9"/>
        <v>31</v>
      </c>
    </row>
    <row r="69" spans="1:25" x14ac:dyDescent="0.25">
      <c r="A69" s="691" t="s">
        <v>168</v>
      </c>
      <c r="B69" s="190" t="s">
        <v>169</v>
      </c>
      <c r="C69" s="701" t="s">
        <v>266</v>
      </c>
      <c r="D69" s="619">
        <v>110</v>
      </c>
      <c r="E69" s="620">
        <v>79</v>
      </c>
      <c r="F69" s="620">
        <v>32</v>
      </c>
      <c r="G69" s="620">
        <v>0</v>
      </c>
      <c r="H69" s="620">
        <v>0</v>
      </c>
      <c r="I69" s="620">
        <v>0</v>
      </c>
      <c r="J69" s="620">
        <v>0</v>
      </c>
      <c r="K69" s="620">
        <v>4</v>
      </c>
      <c r="L69" s="270"/>
      <c r="M69" s="695">
        <f t="shared" ref="M69:M100" si="10">E69</f>
        <v>79</v>
      </c>
      <c r="N69" s="696">
        <f t="shared" ref="N69:N100" si="11">F69</f>
        <v>32</v>
      </c>
      <c r="O69" s="696">
        <f t="shared" ref="O69:O100" si="12">SUM(G69:I69)</f>
        <v>0</v>
      </c>
      <c r="Q69" s="677">
        <v>12</v>
      </c>
      <c r="R69" s="677">
        <v>19</v>
      </c>
      <c r="S69" s="677">
        <v>22</v>
      </c>
      <c r="T69" s="677">
        <v>22</v>
      </c>
      <c r="U69" s="677">
        <v>22</v>
      </c>
      <c r="V69" s="677">
        <v>9</v>
      </c>
      <c r="W69" s="677">
        <v>4</v>
      </c>
      <c r="Y69" s="731">
        <f t="shared" ref="Y69:Y100" si="13">Q69+R69</f>
        <v>31</v>
      </c>
    </row>
    <row r="70" spans="1:25" x14ac:dyDescent="0.25">
      <c r="A70" s="691" t="s">
        <v>170</v>
      </c>
      <c r="B70" s="190" t="s">
        <v>171</v>
      </c>
      <c r="C70" s="701" t="s">
        <v>267</v>
      </c>
      <c r="D70" s="619">
        <v>526</v>
      </c>
      <c r="E70" s="620">
        <v>426</v>
      </c>
      <c r="F70" s="620">
        <v>131</v>
      </c>
      <c r="G70" s="620">
        <v>2</v>
      </c>
      <c r="H70" s="620">
        <v>6</v>
      </c>
      <c r="I70" s="620">
        <v>11</v>
      </c>
      <c r="J70" s="620">
        <v>0</v>
      </c>
      <c r="K70" s="620">
        <v>12</v>
      </c>
      <c r="L70" s="270"/>
      <c r="M70" s="695">
        <f t="shared" si="10"/>
        <v>426</v>
      </c>
      <c r="N70" s="696">
        <f t="shared" si="11"/>
        <v>131</v>
      </c>
      <c r="O70" s="696">
        <f t="shared" si="12"/>
        <v>19</v>
      </c>
      <c r="Q70" s="677">
        <v>26</v>
      </c>
      <c r="R70" s="677">
        <v>75</v>
      </c>
      <c r="S70" s="677">
        <v>125</v>
      </c>
      <c r="T70" s="677">
        <v>113</v>
      </c>
      <c r="U70" s="677">
        <v>95</v>
      </c>
      <c r="V70" s="677">
        <v>39</v>
      </c>
      <c r="W70" s="677">
        <v>53</v>
      </c>
      <c r="Y70" s="731">
        <f t="shared" si="13"/>
        <v>101</v>
      </c>
    </row>
    <row r="71" spans="1:25" x14ac:dyDescent="0.25">
      <c r="A71" s="691" t="s">
        <v>172</v>
      </c>
      <c r="B71" s="190" t="s">
        <v>173</v>
      </c>
      <c r="C71" s="701" t="s">
        <v>267</v>
      </c>
      <c r="D71" s="619">
        <v>267</v>
      </c>
      <c r="E71" s="620">
        <v>250</v>
      </c>
      <c r="F71" s="620">
        <v>12</v>
      </c>
      <c r="G71" s="620">
        <v>0</v>
      </c>
      <c r="H71" s="620">
        <v>2</v>
      </c>
      <c r="I71" s="620">
        <v>0</v>
      </c>
      <c r="J71" s="620">
        <v>0</v>
      </c>
      <c r="K71" s="620">
        <v>9</v>
      </c>
      <c r="L71" s="270"/>
      <c r="M71" s="695">
        <f t="shared" si="10"/>
        <v>250</v>
      </c>
      <c r="N71" s="696">
        <f t="shared" si="11"/>
        <v>12</v>
      </c>
      <c r="O71" s="696">
        <f t="shared" si="12"/>
        <v>2</v>
      </c>
      <c r="Q71" s="677">
        <v>14</v>
      </c>
      <c r="R71" s="677">
        <v>42</v>
      </c>
      <c r="S71" s="677">
        <v>65</v>
      </c>
      <c r="T71" s="677">
        <v>54</v>
      </c>
      <c r="U71" s="677">
        <v>40</v>
      </c>
      <c r="V71" s="677">
        <v>20</v>
      </c>
      <c r="W71" s="677">
        <v>32</v>
      </c>
      <c r="Y71" s="731">
        <f t="shared" si="13"/>
        <v>56</v>
      </c>
    </row>
    <row r="72" spans="1:25" x14ac:dyDescent="0.25">
      <c r="A72" s="691" t="s">
        <v>174</v>
      </c>
      <c r="B72" s="190" t="s">
        <v>175</v>
      </c>
      <c r="C72" s="701" t="s">
        <v>268</v>
      </c>
      <c r="D72" s="619">
        <v>235</v>
      </c>
      <c r="E72" s="620">
        <v>222</v>
      </c>
      <c r="F72" s="620">
        <v>13</v>
      </c>
      <c r="G72" s="620">
        <v>0</v>
      </c>
      <c r="H72" s="620">
        <v>1</v>
      </c>
      <c r="I72" s="620">
        <v>0</v>
      </c>
      <c r="J72" s="620">
        <v>0</v>
      </c>
      <c r="K72" s="620">
        <v>10</v>
      </c>
      <c r="L72" s="270"/>
      <c r="M72" s="695">
        <f t="shared" si="10"/>
        <v>222</v>
      </c>
      <c r="N72" s="696">
        <f t="shared" si="11"/>
        <v>13</v>
      </c>
      <c r="O72" s="696">
        <f t="shared" si="12"/>
        <v>1</v>
      </c>
      <c r="Q72" s="677">
        <v>20</v>
      </c>
      <c r="R72" s="677">
        <v>44</v>
      </c>
      <c r="S72" s="677">
        <v>53</v>
      </c>
      <c r="T72" s="677">
        <v>56</v>
      </c>
      <c r="U72" s="677">
        <v>37</v>
      </c>
      <c r="V72" s="677">
        <v>12</v>
      </c>
      <c r="W72" s="677">
        <v>13</v>
      </c>
      <c r="Y72" s="731">
        <f t="shared" si="13"/>
        <v>64</v>
      </c>
    </row>
    <row r="73" spans="1:25" x14ac:dyDescent="0.25">
      <c r="A73" s="691" t="s">
        <v>178</v>
      </c>
      <c r="B73" s="190" t="s">
        <v>179</v>
      </c>
      <c r="C73" s="701" t="s">
        <v>265</v>
      </c>
      <c r="D73" s="619">
        <v>791</v>
      </c>
      <c r="E73" s="620">
        <v>592</v>
      </c>
      <c r="F73" s="620">
        <v>172</v>
      </c>
      <c r="G73" s="620">
        <v>2</v>
      </c>
      <c r="H73" s="620">
        <v>0</v>
      </c>
      <c r="I73" s="620">
        <v>1</v>
      </c>
      <c r="J73" s="620">
        <v>0</v>
      </c>
      <c r="K73" s="620">
        <v>15</v>
      </c>
      <c r="L73" s="270"/>
      <c r="M73" s="695">
        <f t="shared" si="10"/>
        <v>592</v>
      </c>
      <c r="N73" s="696">
        <f t="shared" si="11"/>
        <v>172</v>
      </c>
      <c r="O73" s="696">
        <f t="shared" si="12"/>
        <v>3</v>
      </c>
      <c r="Q73" s="677">
        <v>32</v>
      </c>
      <c r="R73" s="677">
        <v>116</v>
      </c>
      <c r="S73" s="677">
        <v>149</v>
      </c>
      <c r="T73" s="677">
        <v>128</v>
      </c>
      <c r="U73" s="677">
        <v>167</v>
      </c>
      <c r="V73" s="677">
        <v>45</v>
      </c>
      <c r="W73" s="677">
        <v>154</v>
      </c>
      <c r="Y73" s="731">
        <f t="shared" si="13"/>
        <v>148</v>
      </c>
    </row>
    <row r="74" spans="1:25" x14ac:dyDescent="0.25">
      <c r="A74" s="691" t="s">
        <v>182</v>
      </c>
      <c r="B74" s="190" t="s">
        <v>183</v>
      </c>
      <c r="C74" s="701" t="s">
        <v>266</v>
      </c>
      <c r="D74" s="619">
        <v>102</v>
      </c>
      <c r="E74" s="620">
        <v>85</v>
      </c>
      <c r="F74" s="620">
        <v>4</v>
      </c>
      <c r="G74" s="620">
        <v>1</v>
      </c>
      <c r="H74" s="620">
        <v>0</v>
      </c>
      <c r="I74" s="620">
        <v>0</v>
      </c>
      <c r="J74" s="620">
        <v>0</v>
      </c>
      <c r="K74" s="620">
        <v>3</v>
      </c>
      <c r="L74" s="270"/>
      <c r="M74" s="695">
        <f t="shared" si="10"/>
        <v>85</v>
      </c>
      <c r="N74" s="696">
        <f t="shared" si="11"/>
        <v>4</v>
      </c>
      <c r="O74" s="696">
        <f t="shared" si="12"/>
        <v>1</v>
      </c>
      <c r="Q74" s="677">
        <v>4</v>
      </c>
      <c r="R74" s="677">
        <v>15</v>
      </c>
      <c r="S74" s="677">
        <v>21</v>
      </c>
      <c r="T74" s="677">
        <v>16</v>
      </c>
      <c r="U74" s="677">
        <v>15</v>
      </c>
      <c r="V74" s="677">
        <v>8</v>
      </c>
      <c r="W74" s="677">
        <v>23</v>
      </c>
      <c r="Y74" s="731">
        <f t="shared" si="13"/>
        <v>19</v>
      </c>
    </row>
    <row r="75" spans="1:25" x14ac:dyDescent="0.25">
      <c r="A75" s="691" t="s">
        <v>184</v>
      </c>
      <c r="B75" s="190" t="s">
        <v>185</v>
      </c>
      <c r="C75" s="701" t="s">
        <v>266</v>
      </c>
      <c r="D75" s="619">
        <v>175</v>
      </c>
      <c r="E75" s="620">
        <v>103</v>
      </c>
      <c r="F75" s="620">
        <v>71</v>
      </c>
      <c r="G75" s="620">
        <v>0</v>
      </c>
      <c r="H75" s="620">
        <v>0</v>
      </c>
      <c r="I75" s="620">
        <v>0</v>
      </c>
      <c r="J75" s="620">
        <v>0</v>
      </c>
      <c r="K75" s="620">
        <v>6</v>
      </c>
      <c r="L75" s="270"/>
      <c r="M75" s="695">
        <f t="shared" si="10"/>
        <v>103</v>
      </c>
      <c r="N75" s="696">
        <f t="shared" si="11"/>
        <v>71</v>
      </c>
      <c r="O75" s="696">
        <f t="shared" si="12"/>
        <v>0</v>
      </c>
      <c r="Q75" s="677">
        <v>13</v>
      </c>
      <c r="R75" s="677">
        <v>28</v>
      </c>
      <c r="S75" s="677">
        <v>48</v>
      </c>
      <c r="T75" s="677">
        <v>36</v>
      </c>
      <c r="U75" s="677">
        <v>33</v>
      </c>
      <c r="V75" s="677">
        <v>13</v>
      </c>
      <c r="W75" s="677">
        <v>4</v>
      </c>
      <c r="Y75" s="731">
        <f t="shared" si="13"/>
        <v>41</v>
      </c>
    </row>
    <row r="76" spans="1:25" x14ac:dyDescent="0.25">
      <c r="A76" s="691" t="s">
        <v>186</v>
      </c>
      <c r="B76" s="190" t="s">
        <v>187</v>
      </c>
      <c r="C76" s="701" t="s">
        <v>264</v>
      </c>
      <c r="D76" s="619">
        <v>291</v>
      </c>
      <c r="E76" s="620">
        <v>187</v>
      </c>
      <c r="F76" s="620">
        <v>86</v>
      </c>
      <c r="G76" s="620">
        <v>0</v>
      </c>
      <c r="H76" s="620">
        <v>0</v>
      </c>
      <c r="I76" s="620">
        <v>2</v>
      </c>
      <c r="J76" s="620">
        <v>0</v>
      </c>
      <c r="K76" s="620">
        <v>12</v>
      </c>
      <c r="L76" s="270"/>
      <c r="M76" s="695">
        <f t="shared" si="10"/>
        <v>187</v>
      </c>
      <c r="N76" s="696">
        <f t="shared" si="11"/>
        <v>86</v>
      </c>
      <c r="O76" s="696">
        <f t="shared" si="12"/>
        <v>2</v>
      </c>
      <c r="Q76" s="677">
        <v>15</v>
      </c>
      <c r="R76" s="677">
        <v>48</v>
      </c>
      <c r="S76" s="677">
        <v>57</v>
      </c>
      <c r="T76" s="677">
        <v>62</v>
      </c>
      <c r="U76" s="677">
        <v>59</v>
      </c>
      <c r="V76" s="677">
        <v>16</v>
      </c>
      <c r="W76" s="677">
        <v>34</v>
      </c>
      <c r="Y76" s="731">
        <f t="shared" si="13"/>
        <v>63</v>
      </c>
    </row>
    <row r="77" spans="1:25" x14ac:dyDescent="0.25">
      <c r="A77" s="691" t="s">
        <v>188</v>
      </c>
      <c r="B77" s="190" t="s">
        <v>189</v>
      </c>
      <c r="C77" s="701" t="s">
        <v>267</v>
      </c>
      <c r="D77" s="619">
        <v>6057</v>
      </c>
      <c r="E77" s="620">
        <v>3516</v>
      </c>
      <c r="F77" s="620">
        <v>2340</v>
      </c>
      <c r="G77" s="620">
        <v>180</v>
      </c>
      <c r="H77" s="620">
        <v>13</v>
      </c>
      <c r="I77" s="620">
        <v>10</v>
      </c>
      <c r="J77" s="620">
        <v>16</v>
      </c>
      <c r="K77" s="620">
        <v>1672</v>
      </c>
      <c r="L77" s="270"/>
      <c r="M77" s="695">
        <f t="shared" si="10"/>
        <v>3516</v>
      </c>
      <c r="N77" s="696">
        <f t="shared" si="11"/>
        <v>2340</v>
      </c>
      <c r="O77" s="696">
        <f t="shared" si="12"/>
        <v>203</v>
      </c>
      <c r="Q77" s="677">
        <v>305</v>
      </c>
      <c r="R77" s="677">
        <v>750</v>
      </c>
      <c r="S77" s="677">
        <v>1337</v>
      </c>
      <c r="T77" s="677">
        <v>1398</v>
      </c>
      <c r="U77" s="677">
        <v>1130</v>
      </c>
      <c r="V77" s="677">
        <v>492</v>
      </c>
      <c r="W77" s="677">
        <v>645</v>
      </c>
      <c r="Y77" s="731">
        <f t="shared" si="13"/>
        <v>1055</v>
      </c>
    </row>
    <row r="78" spans="1:25" x14ac:dyDescent="0.25">
      <c r="A78" s="691" t="s">
        <v>190</v>
      </c>
      <c r="B78" s="190" t="s">
        <v>191</v>
      </c>
      <c r="C78" s="701" t="s">
        <v>268</v>
      </c>
      <c r="D78" s="619">
        <v>1067</v>
      </c>
      <c r="E78" s="620">
        <v>971</v>
      </c>
      <c r="F78" s="620">
        <v>166</v>
      </c>
      <c r="G78" s="620">
        <v>1</v>
      </c>
      <c r="H78" s="620">
        <v>0</v>
      </c>
      <c r="I78" s="620">
        <v>0</v>
      </c>
      <c r="J78" s="620">
        <v>2</v>
      </c>
      <c r="K78" s="620">
        <v>55</v>
      </c>
      <c r="L78" s="270"/>
      <c r="M78" s="695">
        <f t="shared" si="10"/>
        <v>971</v>
      </c>
      <c r="N78" s="696">
        <f t="shared" si="11"/>
        <v>166</v>
      </c>
      <c r="O78" s="696">
        <f t="shared" si="12"/>
        <v>1</v>
      </c>
      <c r="Q78" s="677">
        <v>82</v>
      </c>
      <c r="R78" s="677">
        <v>189</v>
      </c>
      <c r="S78" s="677">
        <v>272</v>
      </c>
      <c r="T78" s="677">
        <v>208</v>
      </c>
      <c r="U78" s="677">
        <v>209</v>
      </c>
      <c r="V78" s="677">
        <v>91</v>
      </c>
      <c r="W78" s="677">
        <v>16</v>
      </c>
      <c r="Y78" s="731">
        <f t="shared" si="13"/>
        <v>271</v>
      </c>
    </row>
    <row r="79" spans="1:25" x14ac:dyDescent="0.25">
      <c r="A79" s="691" t="s">
        <v>194</v>
      </c>
      <c r="B79" s="190" t="s">
        <v>195</v>
      </c>
      <c r="C79" s="701" t="s">
        <v>267</v>
      </c>
      <c r="D79" s="619">
        <v>87</v>
      </c>
      <c r="E79" s="620">
        <v>77</v>
      </c>
      <c r="F79" s="620">
        <v>8</v>
      </c>
      <c r="G79" s="620">
        <v>0</v>
      </c>
      <c r="H79" s="620">
        <v>0</v>
      </c>
      <c r="I79" s="620">
        <v>0</v>
      </c>
      <c r="J79" s="620">
        <v>1</v>
      </c>
      <c r="K79" s="620">
        <v>0</v>
      </c>
      <c r="L79" s="270"/>
      <c r="M79" s="695">
        <f t="shared" si="10"/>
        <v>77</v>
      </c>
      <c r="N79" s="696">
        <f t="shared" si="11"/>
        <v>8</v>
      </c>
      <c r="O79" s="696">
        <f t="shared" si="12"/>
        <v>0</v>
      </c>
      <c r="Q79" s="677">
        <v>6</v>
      </c>
      <c r="R79" s="677">
        <v>13</v>
      </c>
      <c r="S79" s="677">
        <v>29</v>
      </c>
      <c r="T79" s="677">
        <v>11</v>
      </c>
      <c r="U79" s="677">
        <v>11</v>
      </c>
      <c r="V79" s="677">
        <v>4</v>
      </c>
      <c r="W79" s="677">
        <v>13</v>
      </c>
      <c r="Y79" s="731">
        <f t="shared" si="13"/>
        <v>19</v>
      </c>
    </row>
    <row r="80" spans="1:25" x14ac:dyDescent="0.25">
      <c r="A80" s="691" t="s">
        <v>198</v>
      </c>
      <c r="B80" s="190" t="s">
        <v>272</v>
      </c>
      <c r="C80" s="701" t="s">
        <v>266</v>
      </c>
      <c r="D80" s="619">
        <v>37</v>
      </c>
      <c r="E80" s="620">
        <v>16</v>
      </c>
      <c r="F80" s="620">
        <v>18</v>
      </c>
      <c r="G80" s="620">
        <v>0</v>
      </c>
      <c r="H80" s="620">
        <v>0</v>
      </c>
      <c r="I80" s="620">
        <v>0</v>
      </c>
      <c r="J80" s="620">
        <v>0</v>
      </c>
      <c r="K80" s="620">
        <v>3</v>
      </c>
      <c r="L80" s="270"/>
      <c r="M80" s="695">
        <f t="shared" si="10"/>
        <v>16</v>
      </c>
      <c r="N80" s="696">
        <f t="shared" si="11"/>
        <v>18</v>
      </c>
      <c r="O80" s="696">
        <f t="shared" si="12"/>
        <v>0</v>
      </c>
      <c r="Q80" s="677">
        <v>2</v>
      </c>
      <c r="R80" s="677">
        <v>6</v>
      </c>
      <c r="S80" s="677">
        <v>5</v>
      </c>
      <c r="T80" s="677">
        <v>4</v>
      </c>
      <c r="U80" s="677">
        <v>2</v>
      </c>
      <c r="V80" s="677">
        <v>1</v>
      </c>
      <c r="W80" s="677">
        <v>17</v>
      </c>
      <c r="Y80" s="731">
        <f t="shared" si="13"/>
        <v>8</v>
      </c>
    </row>
    <row r="81" spans="1:25" x14ac:dyDescent="0.25">
      <c r="A81" s="691" t="s">
        <v>202</v>
      </c>
      <c r="B81" s="190" t="s">
        <v>301</v>
      </c>
      <c r="C81" s="701" t="s">
        <v>265</v>
      </c>
      <c r="D81" s="619">
        <v>1401</v>
      </c>
      <c r="E81" s="620">
        <v>1180</v>
      </c>
      <c r="F81" s="620">
        <v>184</v>
      </c>
      <c r="G81" s="620">
        <v>13</v>
      </c>
      <c r="H81" s="620">
        <v>3</v>
      </c>
      <c r="I81" s="620">
        <v>0</v>
      </c>
      <c r="J81" s="620">
        <v>2</v>
      </c>
      <c r="K81" s="620">
        <v>51</v>
      </c>
      <c r="L81" s="270"/>
      <c r="M81" s="695">
        <f t="shared" si="10"/>
        <v>1180</v>
      </c>
      <c r="N81" s="696">
        <f t="shared" si="11"/>
        <v>184</v>
      </c>
      <c r="O81" s="696">
        <f t="shared" si="12"/>
        <v>16</v>
      </c>
      <c r="Q81" s="677">
        <v>78</v>
      </c>
      <c r="R81" s="677">
        <v>250</v>
      </c>
      <c r="S81" s="677">
        <v>288</v>
      </c>
      <c r="T81" s="677">
        <v>277</v>
      </c>
      <c r="U81" s="677">
        <v>237</v>
      </c>
      <c r="V81" s="677">
        <v>130</v>
      </c>
      <c r="W81" s="677">
        <v>141</v>
      </c>
      <c r="Y81" s="731">
        <f t="shared" si="13"/>
        <v>328</v>
      </c>
    </row>
    <row r="82" spans="1:25" x14ac:dyDescent="0.25">
      <c r="A82" s="691" t="s">
        <v>204</v>
      </c>
      <c r="B82" s="190" t="s">
        <v>293</v>
      </c>
      <c r="C82" s="701" t="s">
        <v>265</v>
      </c>
      <c r="D82" s="619">
        <v>303</v>
      </c>
      <c r="E82" s="620">
        <v>262</v>
      </c>
      <c r="F82" s="620">
        <v>15</v>
      </c>
      <c r="G82" s="620">
        <v>3</v>
      </c>
      <c r="H82" s="620">
        <v>4</v>
      </c>
      <c r="I82" s="620">
        <v>0</v>
      </c>
      <c r="J82" s="620">
        <v>0</v>
      </c>
      <c r="K82" s="620">
        <v>1</v>
      </c>
      <c r="L82" s="270"/>
      <c r="M82" s="695">
        <f t="shared" si="10"/>
        <v>262</v>
      </c>
      <c r="N82" s="696">
        <f t="shared" si="11"/>
        <v>15</v>
      </c>
      <c r="O82" s="696">
        <f t="shared" si="12"/>
        <v>7</v>
      </c>
      <c r="Q82" s="677">
        <v>28</v>
      </c>
      <c r="R82" s="677">
        <v>37</v>
      </c>
      <c r="S82" s="677">
        <v>76</v>
      </c>
      <c r="T82" s="677">
        <v>52</v>
      </c>
      <c r="U82" s="677">
        <v>39</v>
      </c>
      <c r="V82" s="677">
        <v>14</v>
      </c>
      <c r="W82" s="677">
        <v>57</v>
      </c>
      <c r="Y82" s="731">
        <f t="shared" si="13"/>
        <v>65</v>
      </c>
    </row>
    <row r="83" spans="1:25" x14ac:dyDescent="0.25">
      <c r="A83" s="691" t="s">
        <v>206</v>
      </c>
      <c r="B83" s="190" t="s">
        <v>294</v>
      </c>
      <c r="C83" s="701" t="s">
        <v>267</v>
      </c>
      <c r="D83" s="619">
        <v>2206</v>
      </c>
      <c r="E83" s="620">
        <v>1972</v>
      </c>
      <c r="F83" s="620">
        <v>226</v>
      </c>
      <c r="G83" s="620">
        <v>11</v>
      </c>
      <c r="H83" s="620">
        <v>2</v>
      </c>
      <c r="I83" s="620">
        <v>3</v>
      </c>
      <c r="J83" s="620">
        <v>4</v>
      </c>
      <c r="K83" s="620">
        <v>290</v>
      </c>
      <c r="L83" s="270"/>
      <c r="M83" s="695">
        <f t="shared" si="10"/>
        <v>1972</v>
      </c>
      <c r="N83" s="696">
        <f t="shared" si="11"/>
        <v>226</v>
      </c>
      <c r="O83" s="696">
        <f t="shared" si="12"/>
        <v>16</v>
      </c>
      <c r="Q83" s="677">
        <v>130</v>
      </c>
      <c r="R83" s="677">
        <v>316</v>
      </c>
      <c r="S83" s="677">
        <v>557</v>
      </c>
      <c r="T83" s="677">
        <v>448</v>
      </c>
      <c r="U83" s="677">
        <v>377</v>
      </c>
      <c r="V83" s="677">
        <v>169</v>
      </c>
      <c r="W83" s="677">
        <v>209</v>
      </c>
      <c r="Y83" s="731">
        <f t="shared" si="13"/>
        <v>446</v>
      </c>
    </row>
    <row r="84" spans="1:25" x14ac:dyDescent="0.25">
      <c r="A84" s="691" t="s">
        <v>208</v>
      </c>
      <c r="B84" s="190" t="s">
        <v>209</v>
      </c>
      <c r="C84" s="701" t="s">
        <v>268</v>
      </c>
      <c r="D84" s="619">
        <v>692</v>
      </c>
      <c r="E84" s="620">
        <v>673</v>
      </c>
      <c r="F84" s="620">
        <v>16</v>
      </c>
      <c r="G84" s="620">
        <v>0</v>
      </c>
      <c r="H84" s="620">
        <v>0</v>
      </c>
      <c r="I84" s="620">
        <v>0</v>
      </c>
      <c r="J84" s="620">
        <v>0</v>
      </c>
      <c r="K84" s="620">
        <v>6</v>
      </c>
      <c r="L84" s="270"/>
      <c r="M84" s="695">
        <f t="shared" si="10"/>
        <v>673</v>
      </c>
      <c r="N84" s="696">
        <f t="shared" si="11"/>
        <v>16</v>
      </c>
      <c r="O84" s="696">
        <f t="shared" si="12"/>
        <v>0</v>
      </c>
      <c r="Q84" s="677">
        <v>43</v>
      </c>
      <c r="R84" s="677">
        <v>131</v>
      </c>
      <c r="S84" s="677">
        <v>164</v>
      </c>
      <c r="T84" s="677">
        <v>132</v>
      </c>
      <c r="U84" s="677">
        <v>106</v>
      </c>
      <c r="V84" s="677">
        <v>49</v>
      </c>
      <c r="W84" s="677">
        <v>67</v>
      </c>
      <c r="Y84" s="731">
        <f t="shared" si="13"/>
        <v>174</v>
      </c>
    </row>
    <row r="85" spans="1:25" x14ac:dyDescent="0.25">
      <c r="A85" s="691" t="s">
        <v>210</v>
      </c>
      <c r="B85" s="190" t="s">
        <v>211</v>
      </c>
      <c r="C85" s="701" t="s">
        <v>268</v>
      </c>
      <c r="D85" s="619">
        <v>487</v>
      </c>
      <c r="E85" s="620">
        <v>472</v>
      </c>
      <c r="F85" s="620">
        <v>5</v>
      </c>
      <c r="G85" s="620">
        <v>0</v>
      </c>
      <c r="H85" s="620">
        <v>0</v>
      </c>
      <c r="I85" s="620">
        <v>0</v>
      </c>
      <c r="J85" s="620">
        <v>0</v>
      </c>
      <c r="K85" s="620">
        <v>3</v>
      </c>
      <c r="L85" s="270"/>
      <c r="M85" s="695">
        <f t="shared" si="10"/>
        <v>472</v>
      </c>
      <c r="N85" s="696">
        <f t="shared" si="11"/>
        <v>5</v>
      </c>
      <c r="O85" s="696">
        <f t="shared" si="12"/>
        <v>0</v>
      </c>
      <c r="Q85" s="677">
        <v>43</v>
      </c>
      <c r="R85" s="677">
        <v>90</v>
      </c>
      <c r="S85" s="677">
        <v>134</v>
      </c>
      <c r="T85" s="677">
        <v>106</v>
      </c>
      <c r="U85" s="677">
        <v>69</v>
      </c>
      <c r="V85" s="677">
        <v>18</v>
      </c>
      <c r="W85" s="677">
        <v>27</v>
      </c>
      <c r="Y85" s="731">
        <f t="shared" si="13"/>
        <v>133</v>
      </c>
    </row>
    <row r="86" spans="1:25" x14ac:dyDescent="0.25">
      <c r="A86" s="691" t="s">
        <v>212</v>
      </c>
      <c r="B86" s="190" t="s">
        <v>213</v>
      </c>
      <c r="C86" s="701" t="s">
        <v>267</v>
      </c>
      <c r="D86" s="619">
        <v>833</v>
      </c>
      <c r="E86" s="620">
        <v>801</v>
      </c>
      <c r="F86" s="620">
        <v>27</v>
      </c>
      <c r="G86" s="620">
        <v>5</v>
      </c>
      <c r="H86" s="620">
        <v>3</v>
      </c>
      <c r="I86" s="620">
        <v>0</v>
      </c>
      <c r="J86" s="620">
        <v>1</v>
      </c>
      <c r="K86" s="620">
        <v>54</v>
      </c>
      <c r="L86" s="270"/>
      <c r="M86" s="695">
        <f t="shared" si="10"/>
        <v>801</v>
      </c>
      <c r="N86" s="696">
        <f t="shared" si="11"/>
        <v>27</v>
      </c>
      <c r="O86" s="696">
        <f t="shared" si="12"/>
        <v>8</v>
      </c>
      <c r="Q86" s="677">
        <v>58</v>
      </c>
      <c r="R86" s="677">
        <v>124</v>
      </c>
      <c r="S86" s="677">
        <v>235</v>
      </c>
      <c r="T86" s="677">
        <v>174</v>
      </c>
      <c r="U86" s="677">
        <v>128</v>
      </c>
      <c r="V86" s="677">
        <v>49</v>
      </c>
      <c r="W86" s="677">
        <v>65</v>
      </c>
      <c r="Y86" s="731">
        <f t="shared" si="13"/>
        <v>182</v>
      </c>
    </row>
    <row r="87" spans="1:25" x14ac:dyDescent="0.25">
      <c r="A87" s="691" t="s">
        <v>214</v>
      </c>
      <c r="B87" s="190" t="s">
        <v>215</v>
      </c>
      <c r="C87" s="701" t="s">
        <v>268</v>
      </c>
      <c r="D87" s="619">
        <v>884</v>
      </c>
      <c r="E87" s="620">
        <v>829</v>
      </c>
      <c r="F87" s="620">
        <v>60</v>
      </c>
      <c r="G87" s="620">
        <v>0</v>
      </c>
      <c r="H87" s="620">
        <v>5</v>
      </c>
      <c r="I87" s="620">
        <v>0</v>
      </c>
      <c r="J87" s="620">
        <v>0</v>
      </c>
      <c r="K87" s="620">
        <v>26</v>
      </c>
      <c r="L87" s="270"/>
      <c r="M87" s="695">
        <f t="shared" si="10"/>
        <v>829</v>
      </c>
      <c r="N87" s="696">
        <f t="shared" si="11"/>
        <v>60</v>
      </c>
      <c r="O87" s="696">
        <f t="shared" si="12"/>
        <v>5</v>
      </c>
      <c r="Q87" s="677">
        <v>81</v>
      </c>
      <c r="R87" s="677">
        <v>170</v>
      </c>
      <c r="S87" s="677">
        <v>184</v>
      </c>
      <c r="T87" s="677">
        <v>155</v>
      </c>
      <c r="U87" s="677">
        <v>129</v>
      </c>
      <c r="V87" s="677">
        <v>43</v>
      </c>
      <c r="W87" s="677">
        <v>122</v>
      </c>
      <c r="Y87" s="731">
        <f t="shared" si="13"/>
        <v>251</v>
      </c>
    </row>
    <row r="88" spans="1:25" x14ac:dyDescent="0.25">
      <c r="A88" s="691" t="s">
        <v>216</v>
      </c>
      <c r="B88" s="190" t="s">
        <v>217</v>
      </c>
      <c r="C88" s="701" t="s">
        <v>264</v>
      </c>
      <c r="D88" s="619">
        <v>114</v>
      </c>
      <c r="E88" s="620">
        <v>60</v>
      </c>
      <c r="F88" s="620">
        <v>46</v>
      </c>
      <c r="G88" s="620">
        <v>0</v>
      </c>
      <c r="H88" s="620">
        <v>0</v>
      </c>
      <c r="I88" s="620">
        <v>1</v>
      </c>
      <c r="J88" s="620">
        <v>0</v>
      </c>
      <c r="K88" s="620">
        <v>0</v>
      </c>
      <c r="L88" s="270"/>
      <c r="M88" s="695">
        <f t="shared" si="10"/>
        <v>60</v>
      </c>
      <c r="N88" s="696">
        <f t="shared" si="11"/>
        <v>46</v>
      </c>
      <c r="O88" s="696">
        <f t="shared" si="12"/>
        <v>1</v>
      </c>
      <c r="Q88" s="677">
        <v>11</v>
      </c>
      <c r="R88" s="677">
        <v>15</v>
      </c>
      <c r="S88" s="677">
        <v>24</v>
      </c>
      <c r="T88" s="677">
        <v>29</v>
      </c>
      <c r="U88" s="677">
        <v>11</v>
      </c>
      <c r="V88" s="677">
        <v>2</v>
      </c>
      <c r="W88" s="677">
        <v>22</v>
      </c>
      <c r="Y88" s="731">
        <f t="shared" si="13"/>
        <v>26</v>
      </c>
    </row>
    <row r="89" spans="1:25" x14ac:dyDescent="0.25">
      <c r="A89" s="691" t="s">
        <v>218</v>
      </c>
      <c r="B89" s="190" t="s">
        <v>219</v>
      </c>
      <c r="C89" s="701" t="s">
        <v>267</v>
      </c>
      <c r="D89" s="619">
        <v>1799</v>
      </c>
      <c r="E89" s="620">
        <v>915</v>
      </c>
      <c r="F89" s="620">
        <v>323</v>
      </c>
      <c r="G89" s="620">
        <v>14</v>
      </c>
      <c r="H89" s="620">
        <v>2</v>
      </c>
      <c r="I89" s="620">
        <v>0</v>
      </c>
      <c r="J89" s="620">
        <v>0</v>
      </c>
      <c r="K89" s="620">
        <v>101</v>
      </c>
      <c r="L89" s="270"/>
      <c r="M89" s="695">
        <f t="shared" si="10"/>
        <v>915</v>
      </c>
      <c r="N89" s="696">
        <f t="shared" si="11"/>
        <v>323</v>
      </c>
      <c r="O89" s="696">
        <f t="shared" si="12"/>
        <v>16</v>
      </c>
      <c r="Q89" s="677">
        <v>101</v>
      </c>
      <c r="R89" s="677">
        <v>237</v>
      </c>
      <c r="S89" s="677">
        <v>377</v>
      </c>
      <c r="T89" s="677">
        <v>322</v>
      </c>
      <c r="U89" s="677">
        <v>327</v>
      </c>
      <c r="V89" s="677">
        <v>142</v>
      </c>
      <c r="W89" s="677">
        <v>293</v>
      </c>
      <c r="Y89" s="731">
        <f t="shared" si="13"/>
        <v>338</v>
      </c>
    </row>
    <row r="90" spans="1:25" x14ac:dyDescent="0.25">
      <c r="A90" s="691" t="s">
        <v>220</v>
      </c>
      <c r="B90" s="190" t="s">
        <v>221</v>
      </c>
      <c r="C90" s="701" t="s">
        <v>267</v>
      </c>
      <c r="D90" s="619">
        <v>1347</v>
      </c>
      <c r="E90" s="620">
        <v>797</v>
      </c>
      <c r="F90" s="620">
        <v>418</v>
      </c>
      <c r="G90" s="620">
        <v>10</v>
      </c>
      <c r="H90" s="620">
        <v>7</v>
      </c>
      <c r="I90" s="620">
        <v>1</v>
      </c>
      <c r="J90" s="620">
        <v>1</v>
      </c>
      <c r="K90" s="620">
        <v>134</v>
      </c>
      <c r="L90" s="270"/>
      <c r="M90" s="695">
        <f t="shared" si="10"/>
        <v>797</v>
      </c>
      <c r="N90" s="696">
        <f t="shared" si="11"/>
        <v>418</v>
      </c>
      <c r="O90" s="696">
        <f t="shared" si="12"/>
        <v>18</v>
      </c>
      <c r="Q90" s="677">
        <v>99</v>
      </c>
      <c r="R90" s="677">
        <v>181</v>
      </c>
      <c r="S90" s="677">
        <v>278</v>
      </c>
      <c r="T90" s="677">
        <v>243</v>
      </c>
      <c r="U90" s="677">
        <v>235</v>
      </c>
      <c r="V90" s="677">
        <v>88</v>
      </c>
      <c r="W90" s="677">
        <v>223</v>
      </c>
      <c r="Y90" s="731">
        <f t="shared" si="13"/>
        <v>280</v>
      </c>
    </row>
    <row r="91" spans="1:25" x14ac:dyDescent="0.25">
      <c r="A91" s="691" t="s">
        <v>224</v>
      </c>
      <c r="B91" s="190" t="s">
        <v>225</v>
      </c>
      <c r="C91" s="701" t="s">
        <v>264</v>
      </c>
      <c r="D91" s="619">
        <v>50</v>
      </c>
      <c r="E91" s="620">
        <v>26</v>
      </c>
      <c r="F91" s="620">
        <v>24</v>
      </c>
      <c r="G91" s="620">
        <v>0</v>
      </c>
      <c r="H91" s="620">
        <v>0</v>
      </c>
      <c r="I91" s="620">
        <v>0</v>
      </c>
      <c r="J91" s="620">
        <v>0</v>
      </c>
      <c r="K91" s="620">
        <v>0</v>
      </c>
      <c r="L91" s="270"/>
      <c r="M91" s="695">
        <f t="shared" si="10"/>
        <v>26</v>
      </c>
      <c r="N91" s="696">
        <f t="shared" si="11"/>
        <v>24</v>
      </c>
      <c r="O91" s="696">
        <f t="shared" si="12"/>
        <v>0</v>
      </c>
      <c r="Q91" s="677">
        <v>0</v>
      </c>
      <c r="R91" s="677">
        <v>8</v>
      </c>
      <c r="S91" s="677">
        <v>13</v>
      </c>
      <c r="T91" s="677">
        <v>7</v>
      </c>
      <c r="U91" s="677">
        <v>13</v>
      </c>
      <c r="V91" s="677">
        <v>7</v>
      </c>
      <c r="W91" s="677">
        <v>2</v>
      </c>
      <c r="Y91" s="731">
        <f t="shared" si="13"/>
        <v>8</v>
      </c>
    </row>
    <row r="92" spans="1:25" x14ac:dyDescent="0.25">
      <c r="A92" s="691" t="s">
        <v>226</v>
      </c>
      <c r="B92" s="190" t="s">
        <v>227</v>
      </c>
      <c r="C92" s="701" t="s">
        <v>264</v>
      </c>
      <c r="D92" s="619">
        <v>58</v>
      </c>
      <c r="E92" s="620">
        <v>31</v>
      </c>
      <c r="F92" s="620">
        <v>32</v>
      </c>
      <c r="G92" s="620">
        <v>0</v>
      </c>
      <c r="H92" s="620">
        <v>0</v>
      </c>
      <c r="I92" s="620">
        <v>0</v>
      </c>
      <c r="J92" s="620">
        <v>0</v>
      </c>
      <c r="K92" s="620">
        <v>2</v>
      </c>
      <c r="L92" s="270"/>
      <c r="M92" s="695">
        <f t="shared" si="10"/>
        <v>31</v>
      </c>
      <c r="N92" s="696">
        <f t="shared" si="11"/>
        <v>32</v>
      </c>
      <c r="O92" s="696">
        <f t="shared" si="12"/>
        <v>0</v>
      </c>
      <c r="Q92" s="677">
        <v>11</v>
      </c>
      <c r="R92" s="677">
        <v>10</v>
      </c>
      <c r="S92" s="677">
        <v>7</v>
      </c>
      <c r="T92" s="677">
        <v>13</v>
      </c>
      <c r="U92" s="677">
        <v>11</v>
      </c>
      <c r="V92" s="677">
        <v>5</v>
      </c>
      <c r="W92" s="677">
        <v>1</v>
      </c>
      <c r="Y92" s="731">
        <f t="shared" si="13"/>
        <v>21</v>
      </c>
    </row>
    <row r="93" spans="1:25" x14ac:dyDescent="0.25">
      <c r="A93" s="691" t="s">
        <v>228</v>
      </c>
      <c r="B93" s="190" t="s">
        <v>229</v>
      </c>
      <c r="C93" s="701" t="s">
        <v>268</v>
      </c>
      <c r="D93" s="619">
        <v>641</v>
      </c>
      <c r="E93" s="620">
        <v>608</v>
      </c>
      <c r="F93" s="620">
        <v>33</v>
      </c>
      <c r="G93" s="620">
        <v>0</v>
      </c>
      <c r="H93" s="620">
        <v>0</v>
      </c>
      <c r="I93" s="620">
        <v>1</v>
      </c>
      <c r="J93" s="620">
        <v>0</v>
      </c>
      <c r="K93" s="620">
        <v>8</v>
      </c>
      <c r="L93" s="270"/>
      <c r="M93" s="695">
        <f t="shared" si="10"/>
        <v>608</v>
      </c>
      <c r="N93" s="696">
        <f t="shared" si="11"/>
        <v>33</v>
      </c>
      <c r="O93" s="696">
        <f t="shared" si="12"/>
        <v>1</v>
      </c>
      <c r="Q93" s="677">
        <v>70</v>
      </c>
      <c r="R93" s="677">
        <v>133</v>
      </c>
      <c r="S93" s="677">
        <v>141</v>
      </c>
      <c r="T93" s="677">
        <v>133</v>
      </c>
      <c r="U93" s="677">
        <v>102</v>
      </c>
      <c r="V93" s="677">
        <v>31</v>
      </c>
      <c r="W93" s="677">
        <v>31</v>
      </c>
      <c r="Y93" s="731">
        <f t="shared" si="13"/>
        <v>203</v>
      </c>
    </row>
    <row r="94" spans="1:25" x14ac:dyDescent="0.25">
      <c r="A94" s="691" t="s">
        <v>232</v>
      </c>
      <c r="B94" s="190" t="s">
        <v>233</v>
      </c>
      <c r="C94" s="701" t="s">
        <v>267</v>
      </c>
      <c r="D94" s="619">
        <v>711</v>
      </c>
      <c r="E94" s="620">
        <v>585</v>
      </c>
      <c r="F94" s="620">
        <v>98</v>
      </c>
      <c r="G94" s="620">
        <v>2</v>
      </c>
      <c r="H94" s="620">
        <v>1</v>
      </c>
      <c r="I94" s="620">
        <v>0</v>
      </c>
      <c r="J94" s="620">
        <v>6</v>
      </c>
      <c r="K94" s="620">
        <v>40</v>
      </c>
      <c r="L94" s="270"/>
      <c r="M94" s="695">
        <f t="shared" si="10"/>
        <v>585</v>
      </c>
      <c r="N94" s="696">
        <f t="shared" si="11"/>
        <v>98</v>
      </c>
      <c r="O94" s="696">
        <f t="shared" si="12"/>
        <v>3</v>
      </c>
      <c r="Q94" s="677">
        <v>81</v>
      </c>
      <c r="R94" s="677">
        <v>110</v>
      </c>
      <c r="S94" s="677">
        <v>152</v>
      </c>
      <c r="T94" s="677">
        <v>141</v>
      </c>
      <c r="U94" s="677">
        <v>103</v>
      </c>
      <c r="V94" s="677">
        <v>48</v>
      </c>
      <c r="W94" s="677">
        <v>76</v>
      </c>
      <c r="Y94" s="731">
        <f t="shared" si="13"/>
        <v>191</v>
      </c>
    </row>
    <row r="95" spans="1:25" x14ac:dyDescent="0.25">
      <c r="A95" s="691" t="s">
        <v>234</v>
      </c>
      <c r="B95" s="190" t="s">
        <v>235</v>
      </c>
      <c r="C95" s="701" t="s">
        <v>268</v>
      </c>
      <c r="D95" s="619">
        <v>677</v>
      </c>
      <c r="E95" s="620">
        <v>657</v>
      </c>
      <c r="F95" s="620">
        <v>22</v>
      </c>
      <c r="G95" s="620">
        <v>0</v>
      </c>
      <c r="H95" s="620">
        <v>6</v>
      </c>
      <c r="I95" s="620">
        <v>0</v>
      </c>
      <c r="J95" s="620">
        <v>1</v>
      </c>
      <c r="K95" s="620">
        <v>21</v>
      </c>
      <c r="L95" s="270"/>
      <c r="M95" s="695">
        <f t="shared" si="10"/>
        <v>657</v>
      </c>
      <c r="N95" s="696">
        <f t="shared" si="11"/>
        <v>22</v>
      </c>
      <c r="O95" s="696">
        <f t="shared" si="12"/>
        <v>6</v>
      </c>
      <c r="Q95" s="677">
        <v>53</v>
      </c>
      <c r="R95" s="677">
        <v>114</v>
      </c>
      <c r="S95" s="677">
        <v>151</v>
      </c>
      <c r="T95" s="677">
        <v>118</v>
      </c>
      <c r="U95" s="677">
        <v>113</v>
      </c>
      <c r="V95" s="677">
        <v>31</v>
      </c>
      <c r="W95" s="677">
        <v>97</v>
      </c>
      <c r="Y95" s="731">
        <f t="shared" si="13"/>
        <v>167</v>
      </c>
    </row>
    <row r="96" spans="1:25" x14ac:dyDescent="0.25">
      <c r="A96" s="691" t="s">
        <v>236</v>
      </c>
      <c r="B96" s="190" t="s">
        <v>237</v>
      </c>
      <c r="C96" s="701" t="s">
        <v>266</v>
      </c>
      <c r="D96" s="619">
        <v>171</v>
      </c>
      <c r="E96" s="620">
        <v>108</v>
      </c>
      <c r="F96" s="620">
        <v>57</v>
      </c>
      <c r="G96" s="620">
        <v>0</v>
      </c>
      <c r="H96" s="620">
        <v>0</v>
      </c>
      <c r="I96" s="620">
        <v>0</v>
      </c>
      <c r="J96" s="620">
        <v>0</v>
      </c>
      <c r="K96" s="620">
        <v>5</v>
      </c>
      <c r="L96" s="270"/>
      <c r="M96" s="695">
        <f t="shared" si="10"/>
        <v>108</v>
      </c>
      <c r="N96" s="696">
        <f t="shared" si="11"/>
        <v>57</v>
      </c>
      <c r="O96" s="696">
        <f t="shared" si="12"/>
        <v>0</v>
      </c>
      <c r="Q96" s="677">
        <v>13</v>
      </c>
      <c r="R96" s="677">
        <v>22</v>
      </c>
      <c r="S96" s="677">
        <v>46</v>
      </c>
      <c r="T96" s="677">
        <v>29</v>
      </c>
      <c r="U96" s="677">
        <v>28</v>
      </c>
      <c r="V96" s="677">
        <v>9</v>
      </c>
      <c r="W96" s="677">
        <v>24</v>
      </c>
      <c r="Y96" s="731">
        <f t="shared" si="13"/>
        <v>35</v>
      </c>
    </row>
    <row r="97" spans="1:25" x14ac:dyDescent="0.25">
      <c r="A97" s="691" t="s">
        <v>242</v>
      </c>
      <c r="B97" s="190" t="s">
        <v>243</v>
      </c>
      <c r="C97" s="701" t="s">
        <v>268</v>
      </c>
      <c r="D97" s="619">
        <v>1168</v>
      </c>
      <c r="E97" s="620">
        <v>1146</v>
      </c>
      <c r="F97" s="620">
        <v>45</v>
      </c>
      <c r="G97" s="620">
        <v>0</v>
      </c>
      <c r="H97" s="620">
        <v>1</v>
      </c>
      <c r="I97" s="620">
        <v>1</v>
      </c>
      <c r="J97" s="620">
        <v>1</v>
      </c>
      <c r="K97" s="620">
        <v>21</v>
      </c>
      <c r="L97" s="270"/>
      <c r="M97" s="695">
        <f t="shared" si="10"/>
        <v>1146</v>
      </c>
      <c r="N97" s="696">
        <f t="shared" si="11"/>
        <v>45</v>
      </c>
      <c r="O97" s="696">
        <f t="shared" si="12"/>
        <v>2</v>
      </c>
      <c r="Q97" s="677">
        <v>135</v>
      </c>
      <c r="R97" s="677">
        <v>224</v>
      </c>
      <c r="S97" s="677">
        <v>296</v>
      </c>
      <c r="T97" s="677">
        <v>216</v>
      </c>
      <c r="U97" s="677">
        <v>186</v>
      </c>
      <c r="V97" s="677">
        <v>69</v>
      </c>
      <c r="W97" s="677">
        <v>42</v>
      </c>
      <c r="Y97" s="731">
        <f t="shared" si="13"/>
        <v>359</v>
      </c>
    </row>
    <row r="98" spans="1:25" x14ac:dyDescent="0.25">
      <c r="A98" s="691" t="s">
        <v>244</v>
      </c>
      <c r="B98" s="190" t="s">
        <v>245</v>
      </c>
      <c r="C98" s="701" t="s">
        <v>268</v>
      </c>
      <c r="D98" s="619">
        <v>703</v>
      </c>
      <c r="E98" s="620">
        <v>683</v>
      </c>
      <c r="F98" s="620">
        <v>30</v>
      </c>
      <c r="G98" s="620">
        <v>0</v>
      </c>
      <c r="H98" s="620">
        <v>5</v>
      </c>
      <c r="I98" s="620">
        <v>0</v>
      </c>
      <c r="J98" s="620">
        <v>0</v>
      </c>
      <c r="K98" s="620">
        <v>8</v>
      </c>
      <c r="L98" s="270"/>
      <c r="M98" s="695">
        <f t="shared" si="10"/>
        <v>683</v>
      </c>
      <c r="N98" s="696">
        <f t="shared" si="11"/>
        <v>30</v>
      </c>
      <c r="O98" s="696">
        <f t="shared" si="12"/>
        <v>5</v>
      </c>
      <c r="Q98" s="677">
        <v>50</v>
      </c>
      <c r="R98" s="677">
        <v>124</v>
      </c>
      <c r="S98" s="677">
        <v>182</v>
      </c>
      <c r="T98" s="677">
        <v>135</v>
      </c>
      <c r="U98" s="677">
        <v>117</v>
      </c>
      <c r="V98" s="677">
        <v>42</v>
      </c>
      <c r="W98" s="677">
        <v>53</v>
      </c>
      <c r="Y98" s="731">
        <f t="shared" si="13"/>
        <v>174</v>
      </c>
    </row>
    <row r="99" spans="1:25" x14ac:dyDescent="0.25">
      <c r="A99" s="691" t="s">
        <v>246</v>
      </c>
      <c r="B99" s="190" t="s">
        <v>247</v>
      </c>
      <c r="C99" s="701" t="s">
        <v>264</v>
      </c>
      <c r="D99" s="619">
        <v>817</v>
      </c>
      <c r="E99" s="620">
        <v>574</v>
      </c>
      <c r="F99" s="620">
        <v>173</v>
      </c>
      <c r="G99" s="620">
        <v>20</v>
      </c>
      <c r="H99" s="620">
        <v>5</v>
      </c>
      <c r="I99" s="620">
        <v>1</v>
      </c>
      <c r="J99" s="620">
        <v>5</v>
      </c>
      <c r="K99" s="620">
        <v>27</v>
      </c>
      <c r="L99" s="270"/>
      <c r="M99" s="695">
        <f t="shared" si="10"/>
        <v>574</v>
      </c>
      <c r="N99" s="696">
        <f t="shared" si="11"/>
        <v>173</v>
      </c>
      <c r="O99" s="696">
        <f t="shared" si="12"/>
        <v>26</v>
      </c>
      <c r="Q99" s="677">
        <v>35</v>
      </c>
      <c r="R99" s="677">
        <v>121</v>
      </c>
      <c r="S99" s="677">
        <v>180</v>
      </c>
      <c r="T99" s="677">
        <v>150</v>
      </c>
      <c r="U99" s="677">
        <v>154</v>
      </c>
      <c r="V99" s="677">
        <v>62</v>
      </c>
      <c r="W99" s="677">
        <v>115</v>
      </c>
      <c r="Y99" s="731">
        <f t="shared" si="13"/>
        <v>156</v>
      </c>
    </row>
    <row r="100" spans="1:25" x14ac:dyDescent="0.25">
      <c r="A100" s="691" t="s">
        <v>14</v>
      </c>
      <c r="B100" s="190" t="s">
        <v>15</v>
      </c>
      <c r="C100" s="701" t="s">
        <v>267</v>
      </c>
      <c r="D100" s="619">
        <v>1527</v>
      </c>
      <c r="E100" s="620">
        <v>698</v>
      </c>
      <c r="F100" s="620">
        <v>731</v>
      </c>
      <c r="G100" s="620">
        <v>22</v>
      </c>
      <c r="H100" s="620">
        <v>4</v>
      </c>
      <c r="I100" s="620">
        <v>1</v>
      </c>
      <c r="J100" s="620">
        <v>3</v>
      </c>
      <c r="K100" s="620">
        <v>548</v>
      </c>
      <c r="L100" s="270"/>
      <c r="M100" s="695">
        <f t="shared" si="10"/>
        <v>698</v>
      </c>
      <c r="N100" s="696">
        <f t="shared" si="11"/>
        <v>731</v>
      </c>
      <c r="O100" s="696">
        <f t="shared" si="12"/>
        <v>27</v>
      </c>
      <c r="Q100" s="677">
        <v>107</v>
      </c>
      <c r="R100" s="677">
        <v>239</v>
      </c>
      <c r="S100" s="677">
        <v>357</v>
      </c>
      <c r="T100" s="677">
        <v>278</v>
      </c>
      <c r="U100" s="677">
        <v>299</v>
      </c>
      <c r="V100" s="677">
        <v>140</v>
      </c>
      <c r="W100" s="677">
        <v>107</v>
      </c>
      <c r="Y100" s="731">
        <f t="shared" si="13"/>
        <v>346</v>
      </c>
    </row>
    <row r="101" spans="1:25" x14ac:dyDescent="0.25">
      <c r="A101" s="691" t="s">
        <v>34</v>
      </c>
      <c r="B101" s="190" t="s">
        <v>35</v>
      </c>
      <c r="C101" s="701" t="s">
        <v>268</v>
      </c>
      <c r="D101" s="619">
        <v>330</v>
      </c>
      <c r="E101" s="620">
        <v>269</v>
      </c>
      <c r="F101" s="620">
        <v>28</v>
      </c>
      <c r="G101" s="620">
        <v>0</v>
      </c>
      <c r="H101" s="620">
        <v>0</v>
      </c>
      <c r="I101" s="620">
        <v>0</v>
      </c>
      <c r="J101" s="620">
        <v>1</v>
      </c>
      <c r="K101" s="620">
        <v>4</v>
      </c>
      <c r="L101" s="270"/>
      <c r="M101" s="695">
        <f t="shared" ref="M101:M124" si="14">E101</f>
        <v>269</v>
      </c>
      <c r="N101" s="696">
        <f t="shared" ref="N101:N124" si="15">F101</f>
        <v>28</v>
      </c>
      <c r="O101" s="696">
        <f t="shared" ref="O101:O124" si="16">SUM(G101:I101)</f>
        <v>0</v>
      </c>
      <c r="Q101" s="677">
        <v>32</v>
      </c>
      <c r="R101" s="677">
        <v>51</v>
      </c>
      <c r="S101" s="677">
        <v>99</v>
      </c>
      <c r="T101" s="677">
        <v>54</v>
      </c>
      <c r="U101" s="677">
        <v>29</v>
      </c>
      <c r="V101" s="677">
        <v>9</v>
      </c>
      <c r="W101" s="677">
        <v>56</v>
      </c>
      <c r="Y101" s="731">
        <f t="shared" ref="Y101:Y124" si="17">Q101+R101</f>
        <v>83</v>
      </c>
    </row>
    <row r="102" spans="1:25" x14ac:dyDescent="0.25">
      <c r="A102" s="691" t="s">
        <v>52</v>
      </c>
      <c r="B102" s="190" t="s">
        <v>53</v>
      </c>
      <c r="C102" s="701" t="s">
        <v>265</v>
      </c>
      <c r="D102" s="619">
        <v>1110</v>
      </c>
      <c r="E102" s="620">
        <v>415</v>
      </c>
      <c r="F102" s="620">
        <v>790</v>
      </c>
      <c r="G102" s="620">
        <v>23</v>
      </c>
      <c r="H102" s="620">
        <v>2</v>
      </c>
      <c r="I102" s="620">
        <v>1</v>
      </c>
      <c r="J102" s="620">
        <v>6</v>
      </c>
      <c r="K102" s="620">
        <v>77</v>
      </c>
      <c r="L102" s="270"/>
      <c r="M102" s="695">
        <f t="shared" si="14"/>
        <v>415</v>
      </c>
      <c r="N102" s="696">
        <f t="shared" si="15"/>
        <v>790</v>
      </c>
      <c r="O102" s="696">
        <f t="shared" si="16"/>
        <v>26</v>
      </c>
      <c r="Q102" s="677">
        <v>85</v>
      </c>
      <c r="R102" s="677">
        <v>182</v>
      </c>
      <c r="S102" s="677">
        <v>355</v>
      </c>
      <c r="T102" s="677">
        <v>222</v>
      </c>
      <c r="U102" s="677">
        <v>113</v>
      </c>
      <c r="V102" s="677">
        <v>74</v>
      </c>
      <c r="W102" s="677">
        <v>79</v>
      </c>
      <c r="Y102" s="731">
        <f t="shared" si="17"/>
        <v>267</v>
      </c>
    </row>
    <row r="103" spans="1:25" x14ac:dyDescent="0.25">
      <c r="A103" s="691" t="s">
        <v>54</v>
      </c>
      <c r="B103" s="190" t="s">
        <v>55</v>
      </c>
      <c r="C103" s="701" t="s">
        <v>264</v>
      </c>
      <c r="D103" s="619">
        <v>2658</v>
      </c>
      <c r="E103" s="620">
        <v>1427</v>
      </c>
      <c r="F103" s="620">
        <v>1188</v>
      </c>
      <c r="G103" s="620">
        <v>38</v>
      </c>
      <c r="H103" s="620">
        <v>29</v>
      </c>
      <c r="I103" s="620">
        <v>12</v>
      </c>
      <c r="J103" s="620">
        <v>2</v>
      </c>
      <c r="K103" s="620">
        <v>188</v>
      </c>
      <c r="L103" s="270"/>
      <c r="M103" s="695">
        <f t="shared" si="14"/>
        <v>1427</v>
      </c>
      <c r="N103" s="696">
        <f t="shared" si="15"/>
        <v>1188</v>
      </c>
      <c r="O103" s="696">
        <f t="shared" si="16"/>
        <v>79</v>
      </c>
      <c r="Q103" s="677">
        <v>177</v>
      </c>
      <c r="R103" s="677">
        <v>316</v>
      </c>
      <c r="S103" s="677">
        <v>557</v>
      </c>
      <c r="T103" s="677">
        <v>544</v>
      </c>
      <c r="U103" s="677">
        <v>553</v>
      </c>
      <c r="V103" s="677">
        <v>216</v>
      </c>
      <c r="W103" s="677">
        <v>295</v>
      </c>
      <c r="Y103" s="731">
        <f t="shared" si="17"/>
        <v>493</v>
      </c>
    </row>
    <row r="104" spans="1:25" x14ac:dyDescent="0.25">
      <c r="A104" s="691" t="s">
        <v>66</v>
      </c>
      <c r="B104" s="190" t="s">
        <v>67</v>
      </c>
      <c r="C104" s="701" t="s">
        <v>265</v>
      </c>
      <c r="D104" s="619">
        <v>727</v>
      </c>
      <c r="E104" s="620">
        <v>196</v>
      </c>
      <c r="F104" s="620">
        <v>448</v>
      </c>
      <c r="G104" s="620">
        <v>0</v>
      </c>
      <c r="H104" s="620">
        <v>3</v>
      </c>
      <c r="I104" s="620">
        <v>0</v>
      </c>
      <c r="J104" s="620">
        <v>1</v>
      </c>
      <c r="K104" s="620">
        <v>22</v>
      </c>
      <c r="L104" s="270"/>
      <c r="M104" s="695">
        <f t="shared" si="14"/>
        <v>196</v>
      </c>
      <c r="N104" s="696">
        <f t="shared" si="15"/>
        <v>448</v>
      </c>
      <c r="O104" s="696">
        <f t="shared" si="16"/>
        <v>3</v>
      </c>
      <c r="Q104" s="677">
        <v>47</v>
      </c>
      <c r="R104" s="677">
        <v>128</v>
      </c>
      <c r="S104" s="677">
        <v>167</v>
      </c>
      <c r="T104" s="677">
        <v>150</v>
      </c>
      <c r="U104" s="677">
        <v>141</v>
      </c>
      <c r="V104" s="677">
        <v>44</v>
      </c>
      <c r="W104" s="677">
        <v>50</v>
      </c>
      <c r="Y104" s="731">
        <f t="shared" si="17"/>
        <v>175</v>
      </c>
    </row>
    <row r="105" spans="1:25" x14ac:dyDescent="0.25">
      <c r="A105" s="691" t="s">
        <v>82</v>
      </c>
      <c r="B105" s="190" t="s">
        <v>83</v>
      </c>
      <c r="C105" s="701" t="s">
        <v>264</v>
      </c>
      <c r="D105" s="619">
        <v>148</v>
      </c>
      <c r="E105" s="620">
        <v>32</v>
      </c>
      <c r="F105" s="620">
        <v>112</v>
      </c>
      <c r="G105" s="620">
        <v>0</v>
      </c>
      <c r="H105" s="620">
        <v>0</v>
      </c>
      <c r="I105" s="620">
        <v>0</v>
      </c>
      <c r="J105" s="620">
        <v>0</v>
      </c>
      <c r="K105" s="620">
        <v>4</v>
      </c>
      <c r="L105" s="270"/>
      <c r="M105" s="695">
        <f t="shared" si="14"/>
        <v>32</v>
      </c>
      <c r="N105" s="696">
        <f t="shared" si="15"/>
        <v>112</v>
      </c>
      <c r="O105" s="696">
        <f t="shared" si="16"/>
        <v>0</v>
      </c>
      <c r="Q105" s="677">
        <v>12</v>
      </c>
      <c r="R105" s="677">
        <v>31</v>
      </c>
      <c r="S105" s="677">
        <v>37</v>
      </c>
      <c r="T105" s="677">
        <v>23</v>
      </c>
      <c r="U105" s="677">
        <v>21</v>
      </c>
      <c r="V105" s="677">
        <v>8</v>
      </c>
      <c r="W105" s="677">
        <v>16</v>
      </c>
      <c r="Y105" s="731">
        <f t="shared" si="17"/>
        <v>43</v>
      </c>
    </row>
    <row r="106" spans="1:25" x14ac:dyDescent="0.25">
      <c r="A106" s="691" t="s">
        <v>88</v>
      </c>
      <c r="B106" s="190" t="s">
        <v>89</v>
      </c>
      <c r="C106" s="701" t="s">
        <v>267</v>
      </c>
      <c r="D106" s="619">
        <v>490</v>
      </c>
      <c r="E106" s="620">
        <v>272</v>
      </c>
      <c r="F106" s="620">
        <v>246</v>
      </c>
      <c r="G106" s="620">
        <v>6</v>
      </c>
      <c r="H106" s="620">
        <v>0</v>
      </c>
      <c r="I106" s="620">
        <v>1</v>
      </c>
      <c r="J106" s="620">
        <v>0</v>
      </c>
      <c r="K106" s="620">
        <v>69</v>
      </c>
      <c r="L106" s="270"/>
      <c r="M106" s="695">
        <f t="shared" si="14"/>
        <v>272</v>
      </c>
      <c r="N106" s="696">
        <f t="shared" si="15"/>
        <v>246</v>
      </c>
      <c r="O106" s="696">
        <f t="shared" si="16"/>
        <v>7</v>
      </c>
      <c r="Q106" s="677">
        <v>64</v>
      </c>
      <c r="R106" s="677">
        <v>103</v>
      </c>
      <c r="S106" s="677">
        <v>120</v>
      </c>
      <c r="T106" s="677">
        <v>76</v>
      </c>
      <c r="U106" s="677">
        <v>76</v>
      </c>
      <c r="V106" s="677">
        <v>40</v>
      </c>
      <c r="W106" s="677">
        <v>11</v>
      </c>
      <c r="Y106" s="731">
        <f t="shared" si="17"/>
        <v>167</v>
      </c>
    </row>
    <row r="107" spans="1:25" x14ac:dyDescent="0.25">
      <c r="A107" s="691" t="s">
        <v>90</v>
      </c>
      <c r="B107" s="190" t="s">
        <v>91</v>
      </c>
      <c r="C107" s="701" t="s">
        <v>268</v>
      </c>
      <c r="D107" s="619">
        <v>77</v>
      </c>
      <c r="E107" s="620">
        <v>67</v>
      </c>
      <c r="F107" s="620">
        <v>9</v>
      </c>
      <c r="G107" s="620">
        <v>0</v>
      </c>
      <c r="H107" s="620">
        <v>0</v>
      </c>
      <c r="I107" s="620">
        <v>0</v>
      </c>
      <c r="J107" s="620">
        <v>0</v>
      </c>
      <c r="K107" s="620">
        <v>12</v>
      </c>
      <c r="L107" s="270"/>
      <c r="M107" s="695">
        <f t="shared" si="14"/>
        <v>67</v>
      </c>
      <c r="N107" s="696">
        <f t="shared" si="15"/>
        <v>9</v>
      </c>
      <c r="O107" s="696">
        <f t="shared" si="16"/>
        <v>0</v>
      </c>
      <c r="Q107" s="677">
        <v>5</v>
      </c>
      <c r="R107" s="677">
        <v>27</v>
      </c>
      <c r="S107" s="677">
        <v>21</v>
      </c>
      <c r="T107" s="677">
        <v>12</v>
      </c>
      <c r="U107" s="677">
        <v>6</v>
      </c>
      <c r="V107" s="677">
        <v>4</v>
      </c>
      <c r="W107" s="677">
        <v>2</v>
      </c>
      <c r="Y107" s="731">
        <f t="shared" si="17"/>
        <v>32</v>
      </c>
    </row>
    <row r="108" spans="1:25" x14ac:dyDescent="0.25">
      <c r="A108" s="691" t="s">
        <v>106</v>
      </c>
      <c r="B108" s="190" t="s">
        <v>107</v>
      </c>
      <c r="C108" s="701" t="s">
        <v>264</v>
      </c>
      <c r="D108" s="619">
        <v>1008</v>
      </c>
      <c r="E108" s="620">
        <v>344</v>
      </c>
      <c r="F108" s="620">
        <v>640</v>
      </c>
      <c r="G108" s="620">
        <v>14</v>
      </c>
      <c r="H108" s="620">
        <v>2</v>
      </c>
      <c r="I108" s="620">
        <v>1</v>
      </c>
      <c r="J108" s="620">
        <v>1</v>
      </c>
      <c r="K108" s="620">
        <v>47</v>
      </c>
      <c r="L108" s="270"/>
      <c r="M108" s="695">
        <f t="shared" si="14"/>
        <v>344</v>
      </c>
      <c r="N108" s="696">
        <f t="shared" si="15"/>
        <v>640</v>
      </c>
      <c r="O108" s="696">
        <f t="shared" si="16"/>
        <v>17</v>
      </c>
      <c r="Q108" s="677">
        <v>73</v>
      </c>
      <c r="R108" s="677">
        <v>130</v>
      </c>
      <c r="S108" s="677">
        <v>190</v>
      </c>
      <c r="T108" s="677">
        <v>186</v>
      </c>
      <c r="U108" s="677">
        <v>137</v>
      </c>
      <c r="V108" s="677">
        <v>60</v>
      </c>
      <c r="W108" s="677">
        <v>232</v>
      </c>
      <c r="Y108" s="731">
        <f t="shared" si="17"/>
        <v>203</v>
      </c>
    </row>
    <row r="109" spans="1:25" x14ac:dyDescent="0.25">
      <c r="A109" s="691" t="s">
        <v>116</v>
      </c>
      <c r="B109" s="190" t="s">
        <v>117</v>
      </c>
      <c r="C109" s="701" t="s">
        <v>266</v>
      </c>
      <c r="D109" s="619">
        <v>537</v>
      </c>
      <c r="E109" s="620">
        <v>285</v>
      </c>
      <c r="F109" s="620">
        <v>256</v>
      </c>
      <c r="G109" s="620">
        <v>4</v>
      </c>
      <c r="H109" s="620">
        <v>11</v>
      </c>
      <c r="I109" s="620">
        <v>8</v>
      </c>
      <c r="J109" s="620">
        <v>0</v>
      </c>
      <c r="K109" s="620">
        <v>22</v>
      </c>
      <c r="L109" s="270"/>
      <c r="M109" s="695">
        <f t="shared" si="14"/>
        <v>285</v>
      </c>
      <c r="N109" s="696">
        <f t="shared" si="15"/>
        <v>256</v>
      </c>
      <c r="O109" s="696">
        <f t="shared" si="16"/>
        <v>23</v>
      </c>
      <c r="Q109" s="677">
        <v>42</v>
      </c>
      <c r="R109" s="677">
        <v>85</v>
      </c>
      <c r="S109" s="677">
        <v>122</v>
      </c>
      <c r="T109" s="677">
        <v>81</v>
      </c>
      <c r="U109" s="677">
        <v>75</v>
      </c>
      <c r="V109" s="677">
        <v>42</v>
      </c>
      <c r="W109" s="677">
        <v>90</v>
      </c>
      <c r="Y109" s="731">
        <f t="shared" si="17"/>
        <v>127</v>
      </c>
    </row>
    <row r="110" spans="1:25" x14ac:dyDescent="0.25">
      <c r="A110" s="691" t="s">
        <v>138</v>
      </c>
      <c r="B110" s="190" t="s">
        <v>139</v>
      </c>
      <c r="C110" s="701" t="s">
        <v>265</v>
      </c>
      <c r="D110" s="619">
        <v>1355</v>
      </c>
      <c r="E110" s="620">
        <v>656</v>
      </c>
      <c r="F110" s="620">
        <v>763</v>
      </c>
      <c r="G110" s="620">
        <v>10</v>
      </c>
      <c r="H110" s="620">
        <v>4</v>
      </c>
      <c r="I110" s="620">
        <v>0</v>
      </c>
      <c r="J110" s="620">
        <v>8</v>
      </c>
      <c r="K110" s="620">
        <v>64</v>
      </c>
      <c r="L110" s="270"/>
      <c r="M110" s="695">
        <f t="shared" si="14"/>
        <v>656</v>
      </c>
      <c r="N110" s="696">
        <f t="shared" si="15"/>
        <v>763</v>
      </c>
      <c r="O110" s="696">
        <f t="shared" si="16"/>
        <v>14</v>
      </c>
      <c r="Q110" s="677">
        <v>117</v>
      </c>
      <c r="R110" s="677">
        <v>252</v>
      </c>
      <c r="S110" s="677">
        <v>347</v>
      </c>
      <c r="T110" s="677">
        <v>243</v>
      </c>
      <c r="U110" s="677">
        <v>198</v>
      </c>
      <c r="V110" s="677">
        <v>75</v>
      </c>
      <c r="W110" s="677">
        <v>123</v>
      </c>
      <c r="Y110" s="731">
        <f t="shared" si="17"/>
        <v>369</v>
      </c>
    </row>
    <row r="111" spans="1:25" x14ac:dyDescent="0.25">
      <c r="A111" s="691" t="s">
        <v>142</v>
      </c>
      <c r="B111" s="190" t="s">
        <v>143</v>
      </c>
      <c r="C111" s="701" t="s">
        <v>267</v>
      </c>
      <c r="D111" s="619">
        <v>693</v>
      </c>
      <c r="E111" s="620">
        <v>475</v>
      </c>
      <c r="F111" s="620">
        <v>198</v>
      </c>
      <c r="G111" s="620">
        <v>15</v>
      </c>
      <c r="H111" s="620">
        <v>3</v>
      </c>
      <c r="I111" s="620">
        <v>2</v>
      </c>
      <c r="J111" s="620">
        <v>2</v>
      </c>
      <c r="K111" s="620">
        <v>316</v>
      </c>
      <c r="L111" s="270"/>
      <c r="M111" s="695">
        <f t="shared" si="14"/>
        <v>475</v>
      </c>
      <c r="N111" s="696">
        <f t="shared" si="15"/>
        <v>198</v>
      </c>
      <c r="O111" s="696">
        <f t="shared" si="16"/>
        <v>20</v>
      </c>
      <c r="Q111" s="677">
        <v>33</v>
      </c>
      <c r="R111" s="677">
        <v>75</v>
      </c>
      <c r="S111" s="677">
        <v>185</v>
      </c>
      <c r="T111" s="677">
        <v>135</v>
      </c>
      <c r="U111" s="677">
        <v>124</v>
      </c>
      <c r="V111" s="677">
        <v>51</v>
      </c>
      <c r="W111" s="677">
        <v>90</v>
      </c>
      <c r="Y111" s="731">
        <f t="shared" si="17"/>
        <v>108</v>
      </c>
    </row>
    <row r="112" spans="1:25" x14ac:dyDescent="0.25">
      <c r="A112" s="691" t="s">
        <v>144</v>
      </c>
      <c r="B112" s="190" t="s">
        <v>145</v>
      </c>
      <c r="C112" s="701" t="s">
        <v>267</v>
      </c>
      <c r="D112" s="619">
        <v>144</v>
      </c>
      <c r="E112" s="620">
        <v>78</v>
      </c>
      <c r="F112" s="620">
        <v>18</v>
      </c>
      <c r="G112" s="620">
        <v>4</v>
      </c>
      <c r="H112" s="620">
        <v>1</v>
      </c>
      <c r="I112" s="620">
        <v>1</v>
      </c>
      <c r="J112" s="620">
        <v>0</v>
      </c>
      <c r="K112" s="620">
        <v>65</v>
      </c>
      <c r="L112" s="270"/>
      <c r="M112" s="695">
        <f t="shared" si="14"/>
        <v>78</v>
      </c>
      <c r="N112" s="696">
        <f t="shared" si="15"/>
        <v>18</v>
      </c>
      <c r="O112" s="696">
        <f t="shared" si="16"/>
        <v>6</v>
      </c>
      <c r="Q112" s="677">
        <v>9</v>
      </c>
      <c r="R112" s="677">
        <v>20</v>
      </c>
      <c r="S112" s="677">
        <v>17</v>
      </c>
      <c r="T112" s="677">
        <v>37</v>
      </c>
      <c r="U112" s="677">
        <v>27</v>
      </c>
      <c r="V112" s="677">
        <v>12</v>
      </c>
      <c r="W112" s="677">
        <v>22</v>
      </c>
      <c r="Y112" s="731">
        <f t="shared" si="17"/>
        <v>29</v>
      </c>
    </row>
    <row r="113" spans="1:25" x14ac:dyDescent="0.25">
      <c r="A113" s="691" t="s">
        <v>158</v>
      </c>
      <c r="B113" s="190" t="s">
        <v>159</v>
      </c>
      <c r="C113" s="701" t="s">
        <v>264</v>
      </c>
      <c r="D113" s="619">
        <v>2216</v>
      </c>
      <c r="E113" s="620">
        <v>714</v>
      </c>
      <c r="F113" s="620">
        <v>1375</v>
      </c>
      <c r="G113" s="620">
        <v>25</v>
      </c>
      <c r="H113" s="620">
        <v>11</v>
      </c>
      <c r="I113" s="620">
        <v>5</v>
      </c>
      <c r="J113" s="620">
        <v>1</v>
      </c>
      <c r="K113" s="620">
        <v>155</v>
      </c>
      <c r="L113" s="270"/>
      <c r="M113" s="695">
        <f t="shared" si="14"/>
        <v>714</v>
      </c>
      <c r="N113" s="696">
        <f t="shared" si="15"/>
        <v>1375</v>
      </c>
      <c r="O113" s="696">
        <f t="shared" si="16"/>
        <v>41</v>
      </c>
      <c r="Q113" s="677">
        <v>169</v>
      </c>
      <c r="R113" s="677">
        <v>345</v>
      </c>
      <c r="S113" s="677">
        <v>495</v>
      </c>
      <c r="T113" s="677">
        <v>398</v>
      </c>
      <c r="U113" s="677">
        <v>382</v>
      </c>
      <c r="V113" s="677">
        <v>135</v>
      </c>
      <c r="W113" s="677">
        <v>292</v>
      </c>
      <c r="Y113" s="731">
        <f t="shared" si="17"/>
        <v>514</v>
      </c>
    </row>
    <row r="114" spans="1:25" x14ac:dyDescent="0.25">
      <c r="A114" s="691" t="s">
        <v>160</v>
      </c>
      <c r="B114" s="190" t="s">
        <v>161</v>
      </c>
      <c r="C114" s="701" t="s">
        <v>264</v>
      </c>
      <c r="D114" s="619">
        <v>2681</v>
      </c>
      <c r="E114" s="620">
        <v>864</v>
      </c>
      <c r="F114" s="620">
        <v>1792</v>
      </c>
      <c r="G114" s="620">
        <v>24</v>
      </c>
      <c r="H114" s="620">
        <v>15</v>
      </c>
      <c r="I114" s="620">
        <v>5</v>
      </c>
      <c r="J114" s="620">
        <v>8</v>
      </c>
      <c r="K114" s="620">
        <v>129</v>
      </c>
      <c r="L114" s="270"/>
      <c r="M114" s="695">
        <f t="shared" si="14"/>
        <v>864</v>
      </c>
      <c r="N114" s="696">
        <f t="shared" si="15"/>
        <v>1792</v>
      </c>
      <c r="O114" s="696">
        <f t="shared" si="16"/>
        <v>44</v>
      </c>
      <c r="Q114" s="677">
        <v>185</v>
      </c>
      <c r="R114" s="677">
        <v>452</v>
      </c>
      <c r="S114" s="677">
        <v>593</v>
      </c>
      <c r="T114" s="677">
        <v>532</v>
      </c>
      <c r="U114" s="677">
        <v>482</v>
      </c>
      <c r="V114" s="677">
        <v>171</v>
      </c>
      <c r="W114" s="677">
        <v>266</v>
      </c>
      <c r="Y114" s="731">
        <f t="shared" si="17"/>
        <v>637</v>
      </c>
    </row>
    <row r="115" spans="1:25" x14ac:dyDescent="0.25">
      <c r="A115" s="691" t="s">
        <v>166</v>
      </c>
      <c r="B115" s="190" t="s">
        <v>167</v>
      </c>
      <c r="C115" s="701" t="s">
        <v>268</v>
      </c>
      <c r="D115" s="619">
        <v>193</v>
      </c>
      <c r="E115" s="620">
        <v>182</v>
      </c>
      <c r="F115" s="620">
        <v>14</v>
      </c>
      <c r="G115" s="620">
        <v>0</v>
      </c>
      <c r="H115" s="620">
        <v>0</v>
      </c>
      <c r="I115" s="620">
        <v>0</v>
      </c>
      <c r="J115" s="620">
        <v>1</v>
      </c>
      <c r="K115" s="620">
        <v>5</v>
      </c>
      <c r="L115" s="270"/>
      <c r="M115" s="695">
        <f t="shared" si="14"/>
        <v>182</v>
      </c>
      <c r="N115" s="696">
        <f t="shared" si="15"/>
        <v>14</v>
      </c>
      <c r="O115" s="696">
        <f t="shared" si="16"/>
        <v>0</v>
      </c>
      <c r="Q115" s="677">
        <v>9</v>
      </c>
      <c r="R115" s="677">
        <v>38</v>
      </c>
      <c r="S115" s="677">
        <v>44</v>
      </c>
      <c r="T115" s="677">
        <v>37</v>
      </c>
      <c r="U115" s="677">
        <v>37</v>
      </c>
      <c r="V115" s="677">
        <v>18</v>
      </c>
      <c r="W115" s="677">
        <v>10</v>
      </c>
      <c r="Y115" s="731">
        <f t="shared" si="17"/>
        <v>47</v>
      </c>
    </row>
    <row r="116" spans="1:25" x14ac:dyDescent="0.25">
      <c r="A116" s="691" t="s">
        <v>176</v>
      </c>
      <c r="B116" s="190" t="s">
        <v>177</v>
      </c>
      <c r="C116" s="701" t="s">
        <v>266</v>
      </c>
      <c r="D116" s="619">
        <v>398</v>
      </c>
      <c r="E116" s="620">
        <v>61</v>
      </c>
      <c r="F116" s="620">
        <v>334</v>
      </c>
      <c r="G116" s="620">
        <v>2</v>
      </c>
      <c r="H116" s="620">
        <v>0</v>
      </c>
      <c r="I116" s="620">
        <v>3</v>
      </c>
      <c r="J116" s="620">
        <v>1</v>
      </c>
      <c r="K116" s="620">
        <v>11</v>
      </c>
      <c r="L116" s="270"/>
      <c r="M116" s="695">
        <f t="shared" si="14"/>
        <v>61</v>
      </c>
      <c r="N116" s="696">
        <f t="shared" si="15"/>
        <v>334</v>
      </c>
      <c r="O116" s="696">
        <f t="shared" si="16"/>
        <v>5</v>
      </c>
      <c r="Q116" s="677">
        <v>42</v>
      </c>
      <c r="R116" s="677">
        <v>90</v>
      </c>
      <c r="S116" s="677">
        <v>83</v>
      </c>
      <c r="T116" s="677">
        <v>70</v>
      </c>
      <c r="U116" s="677">
        <v>52</v>
      </c>
      <c r="V116" s="677">
        <v>20</v>
      </c>
      <c r="W116" s="677">
        <v>41</v>
      </c>
      <c r="Y116" s="731">
        <f t="shared" si="17"/>
        <v>132</v>
      </c>
    </row>
    <row r="117" spans="1:25" x14ac:dyDescent="0.25">
      <c r="A117" s="691" t="s">
        <v>180</v>
      </c>
      <c r="B117" s="190" t="s">
        <v>181</v>
      </c>
      <c r="C117" s="701" t="s">
        <v>264</v>
      </c>
      <c r="D117" s="619">
        <v>1666</v>
      </c>
      <c r="E117" s="620">
        <v>468</v>
      </c>
      <c r="F117" s="620">
        <v>1137</v>
      </c>
      <c r="G117" s="620">
        <v>7</v>
      </c>
      <c r="H117" s="620">
        <v>11</v>
      </c>
      <c r="I117" s="620">
        <v>2</v>
      </c>
      <c r="J117" s="620">
        <v>0</v>
      </c>
      <c r="K117" s="620">
        <v>35</v>
      </c>
      <c r="L117" s="270"/>
      <c r="M117" s="695">
        <f t="shared" si="14"/>
        <v>468</v>
      </c>
      <c r="N117" s="696">
        <f t="shared" si="15"/>
        <v>1137</v>
      </c>
      <c r="O117" s="696">
        <f t="shared" si="16"/>
        <v>20</v>
      </c>
      <c r="Q117" s="677">
        <v>127</v>
      </c>
      <c r="R117" s="677">
        <v>254</v>
      </c>
      <c r="S117" s="677">
        <v>366</v>
      </c>
      <c r="T117" s="677">
        <v>327</v>
      </c>
      <c r="U117" s="677">
        <v>239</v>
      </c>
      <c r="V117" s="677">
        <v>83</v>
      </c>
      <c r="W117" s="677">
        <v>270</v>
      </c>
      <c r="Y117" s="731">
        <f t="shared" si="17"/>
        <v>381</v>
      </c>
    </row>
    <row r="118" spans="1:25" x14ac:dyDescent="0.25">
      <c r="A118" s="691" t="s">
        <v>192</v>
      </c>
      <c r="B118" s="190" t="s">
        <v>193</v>
      </c>
      <c r="C118" s="701" t="s">
        <v>268</v>
      </c>
      <c r="D118" s="619">
        <v>188</v>
      </c>
      <c r="E118" s="620">
        <v>172</v>
      </c>
      <c r="F118" s="620">
        <v>37</v>
      </c>
      <c r="G118" s="620">
        <v>0</v>
      </c>
      <c r="H118" s="620">
        <v>0</v>
      </c>
      <c r="I118" s="620">
        <v>0</v>
      </c>
      <c r="J118" s="620">
        <v>0</v>
      </c>
      <c r="K118" s="620">
        <v>2</v>
      </c>
      <c r="L118" s="270"/>
      <c r="M118" s="695">
        <f t="shared" si="14"/>
        <v>172</v>
      </c>
      <c r="N118" s="696">
        <f t="shared" si="15"/>
        <v>37</v>
      </c>
      <c r="O118" s="696">
        <f t="shared" si="16"/>
        <v>0</v>
      </c>
      <c r="Q118" s="677">
        <v>18</v>
      </c>
      <c r="R118" s="677">
        <v>35</v>
      </c>
      <c r="S118" s="677">
        <v>46</v>
      </c>
      <c r="T118" s="677">
        <v>38</v>
      </c>
      <c r="U118" s="677">
        <v>33</v>
      </c>
      <c r="V118" s="677">
        <v>13</v>
      </c>
      <c r="W118" s="677">
        <v>5</v>
      </c>
      <c r="Y118" s="731">
        <f t="shared" si="17"/>
        <v>53</v>
      </c>
    </row>
    <row r="119" spans="1:25" x14ac:dyDescent="0.25">
      <c r="A119" s="691" t="s">
        <v>196</v>
      </c>
      <c r="B119" s="190" t="s">
        <v>197</v>
      </c>
      <c r="C119" s="701" t="s">
        <v>266</v>
      </c>
      <c r="D119" s="619">
        <v>2778</v>
      </c>
      <c r="E119" s="620">
        <v>464</v>
      </c>
      <c r="F119" s="620">
        <v>2237</v>
      </c>
      <c r="G119" s="620">
        <v>13</v>
      </c>
      <c r="H119" s="620">
        <v>2</v>
      </c>
      <c r="I119" s="620">
        <v>4</v>
      </c>
      <c r="J119" s="620">
        <v>12</v>
      </c>
      <c r="K119" s="620">
        <v>236</v>
      </c>
      <c r="L119" s="270"/>
      <c r="M119" s="695">
        <f t="shared" si="14"/>
        <v>464</v>
      </c>
      <c r="N119" s="696">
        <f t="shared" si="15"/>
        <v>2237</v>
      </c>
      <c r="O119" s="696">
        <f t="shared" si="16"/>
        <v>19</v>
      </c>
      <c r="Q119" s="677">
        <v>252</v>
      </c>
      <c r="R119" s="677">
        <v>420</v>
      </c>
      <c r="S119" s="677">
        <v>571</v>
      </c>
      <c r="T119" s="677">
        <v>506</v>
      </c>
      <c r="U119" s="677">
        <v>429</v>
      </c>
      <c r="V119" s="677">
        <v>174</v>
      </c>
      <c r="W119" s="677">
        <v>426</v>
      </c>
      <c r="Y119" s="731">
        <f t="shared" si="17"/>
        <v>672</v>
      </c>
    </row>
    <row r="120" spans="1:25" x14ac:dyDescent="0.25">
      <c r="A120" s="691" t="s">
        <v>200</v>
      </c>
      <c r="B120" s="190" t="s">
        <v>201</v>
      </c>
      <c r="C120" s="701" t="s">
        <v>265</v>
      </c>
      <c r="D120" s="619">
        <v>3306</v>
      </c>
      <c r="E120" s="620">
        <v>1578</v>
      </c>
      <c r="F120" s="620">
        <v>1282</v>
      </c>
      <c r="G120" s="620">
        <v>18</v>
      </c>
      <c r="H120" s="620">
        <v>2</v>
      </c>
      <c r="I120" s="620">
        <v>1</v>
      </c>
      <c r="J120" s="620">
        <v>8</v>
      </c>
      <c r="K120" s="620">
        <v>171</v>
      </c>
      <c r="L120" s="270"/>
      <c r="M120" s="695">
        <f t="shared" si="14"/>
        <v>1578</v>
      </c>
      <c r="N120" s="696">
        <f t="shared" si="15"/>
        <v>1282</v>
      </c>
      <c r="O120" s="696">
        <f t="shared" si="16"/>
        <v>21</v>
      </c>
      <c r="Q120" s="677">
        <v>284</v>
      </c>
      <c r="R120" s="677">
        <v>538</v>
      </c>
      <c r="S120" s="677">
        <v>853</v>
      </c>
      <c r="T120" s="677">
        <v>686</v>
      </c>
      <c r="U120" s="677">
        <v>493</v>
      </c>
      <c r="V120" s="677">
        <v>176</v>
      </c>
      <c r="W120" s="677">
        <v>276</v>
      </c>
      <c r="Y120" s="731">
        <f t="shared" si="17"/>
        <v>822</v>
      </c>
    </row>
    <row r="121" spans="1:25" x14ac:dyDescent="0.25">
      <c r="A121" s="691" t="s">
        <v>222</v>
      </c>
      <c r="B121" s="190" t="s">
        <v>223</v>
      </c>
      <c r="C121" s="701" t="s">
        <v>264</v>
      </c>
      <c r="D121" s="619">
        <v>838</v>
      </c>
      <c r="E121" s="620">
        <v>310</v>
      </c>
      <c r="F121" s="620">
        <v>508</v>
      </c>
      <c r="G121" s="620">
        <v>12</v>
      </c>
      <c r="H121" s="620">
        <v>6</v>
      </c>
      <c r="I121" s="620">
        <v>5</v>
      </c>
      <c r="J121" s="620">
        <v>0</v>
      </c>
      <c r="K121" s="620">
        <v>28</v>
      </c>
      <c r="L121" s="270"/>
      <c r="M121" s="695">
        <f t="shared" si="14"/>
        <v>310</v>
      </c>
      <c r="N121" s="696">
        <f t="shared" si="15"/>
        <v>508</v>
      </c>
      <c r="O121" s="696">
        <f t="shared" si="16"/>
        <v>23</v>
      </c>
      <c r="Q121" s="677">
        <v>38</v>
      </c>
      <c r="R121" s="677">
        <v>118</v>
      </c>
      <c r="S121" s="677">
        <v>174</v>
      </c>
      <c r="T121" s="677">
        <v>138</v>
      </c>
      <c r="U121" s="677">
        <v>161</v>
      </c>
      <c r="V121" s="677">
        <v>54</v>
      </c>
      <c r="W121" s="677">
        <v>155</v>
      </c>
      <c r="Y121" s="731">
        <f t="shared" si="17"/>
        <v>156</v>
      </c>
    </row>
    <row r="122" spans="1:25" x14ac:dyDescent="0.25">
      <c r="A122" s="691" t="s">
        <v>230</v>
      </c>
      <c r="B122" s="190" t="s">
        <v>231</v>
      </c>
      <c r="C122" s="701" t="s">
        <v>264</v>
      </c>
      <c r="D122" s="619">
        <v>4942</v>
      </c>
      <c r="E122" s="620">
        <v>3053</v>
      </c>
      <c r="F122" s="620">
        <v>1748</v>
      </c>
      <c r="G122" s="620">
        <v>101</v>
      </c>
      <c r="H122" s="620">
        <v>49</v>
      </c>
      <c r="I122" s="620">
        <v>18</v>
      </c>
      <c r="J122" s="620">
        <v>11</v>
      </c>
      <c r="K122" s="620">
        <v>402</v>
      </c>
      <c r="L122" s="270"/>
      <c r="M122" s="695">
        <f t="shared" si="14"/>
        <v>3053</v>
      </c>
      <c r="N122" s="696">
        <f t="shared" si="15"/>
        <v>1748</v>
      </c>
      <c r="O122" s="696">
        <f t="shared" si="16"/>
        <v>168</v>
      </c>
      <c r="Q122" s="677">
        <v>315</v>
      </c>
      <c r="R122" s="677">
        <v>773</v>
      </c>
      <c r="S122" s="677">
        <v>1155</v>
      </c>
      <c r="T122" s="677">
        <v>1023</v>
      </c>
      <c r="U122" s="677">
        <v>904</v>
      </c>
      <c r="V122" s="677">
        <v>411</v>
      </c>
      <c r="W122" s="677">
        <v>361</v>
      </c>
      <c r="Y122" s="731">
        <f t="shared" si="17"/>
        <v>1088</v>
      </c>
    </row>
    <row r="123" spans="1:25" x14ac:dyDescent="0.25">
      <c r="A123" s="691" t="s">
        <v>238</v>
      </c>
      <c r="B123" s="190" t="s">
        <v>239</v>
      </c>
      <c r="C123" s="701" t="s">
        <v>264</v>
      </c>
      <c r="D123" s="619">
        <v>79</v>
      </c>
      <c r="E123" s="620">
        <v>47</v>
      </c>
      <c r="F123" s="620">
        <v>36</v>
      </c>
      <c r="G123" s="620">
        <v>0</v>
      </c>
      <c r="H123" s="620">
        <v>3</v>
      </c>
      <c r="I123" s="620">
        <v>1</v>
      </c>
      <c r="J123" s="620">
        <v>0</v>
      </c>
      <c r="K123" s="620">
        <v>8</v>
      </c>
      <c r="L123" s="270"/>
      <c r="M123" s="695">
        <f t="shared" si="14"/>
        <v>47</v>
      </c>
      <c r="N123" s="696">
        <f t="shared" si="15"/>
        <v>36</v>
      </c>
      <c r="O123" s="696">
        <f t="shared" si="16"/>
        <v>4</v>
      </c>
      <c r="Q123" s="677">
        <v>7</v>
      </c>
      <c r="R123" s="677">
        <v>16</v>
      </c>
      <c r="S123" s="677">
        <v>25</v>
      </c>
      <c r="T123" s="677">
        <v>20</v>
      </c>
      <c r="U123" s="677">
        <v>4</v>
      </c>
      <c r="V123" s="677">
        <v>1</v>
      </c>
      <c r="W123" s="677">
        <v>6</v>
      </c>
      <c r="Y123" s="731">
        <f t="shared" si="17"/>
        <v>23</v>
      </c>
    </row>
    <row r="124" spans="1:25" x14ac:dyDescent="0.25">
      <c r="A124" s="692" t="s">
        <v>240</v>
      </c>
      <c r="B124" s="451" t="s">
        <v>241</v>
      </c>
      <c r="C124" s="702" t="s">
        <v>267</v>
      </c>
      <c r="D124" s="694">
        <v>856</v>
      </c>
      <c r="E124" s="1151">
        <v>723</v>
      </c>
      <c r="F124" s="1151">
        <v>228</v>
      </c>
      <c r="G124" s="1151">
        <v>4</v>
      </c>
      <c r="H124" s="1151">
        <v>2</v>
      </c>
      <c r="I124" s="1151">
        <v>2</v>
      </c>
      <c r="J124" s="1151">
        <v>3</v>
      </c>
      <c r="K124" s="1151">
        <v>120</v>
      </c>
      <c r="L124" s="270"/>
      <c r="M124" s="695">
        <f t="shared" si="14"/>
        <v>723</v>
      </c>
      <c r="N124" s="696">
        <f t="shared" si="15"/>
        <v>228</v>
      </c>
      <c r="O124" s="696">
        <f t="shared" si="16"/>
        <v>8</v>
      </c>
      <c r="Q124" s="677">
        <v>100</v>
      </c>
      <c r="R124" s="677">
        <v>146</v>
      </c>
      <c r="S124" s="677">
        <v>250</v>
      </c>
      <c r="T124" s="677">
        <v>132</v>
      </c>
      <c r="U124" s="677">
        <v>130</v>
      </c>
      <c r="V124" s="677">
        <v>58</v>
      </c>
      <c r="W124" s="677">
        <v>40</v>
      </c>
      <c r="Y124" s="731">
        <f t="shared" si="17"/>
        <v>246</v>
      </c>
    </row>
    <row r="125" spans="1:25" x14ac:dyDescent="0.25">
      <c r="A125" s="685"/>
      <c r="B125" s="685"/>
      <c r="C125" s="703"/>
    </row>
    <row r="126" spans="1:25" ht="63.75" customHeight="1" x14ac:dyDescent="0.25">
      <c r="A126" s="2119" t="s">
        <v>1345</v>
      </c>
      <c r="B126" s="2119"/>
      <c r="C126" s="2119"/>
      <c r="D126" s="2119"/>
      <c r="E126" s="2119"/>
      <c r="F126" s="2119"/>
      <c r="G126" s="2119"/>
      <c r="H126" s="2119"/>
    </row>
    <row r="127" spans="1:25" x14ac:dyDescent="0.25">
      <c r="A127" s="677"/>
      <c r="B127" s="677"/>
      <c r="C127" s="699"/>
    </row>
    <row r="128" spans="1:25" s="564" customFormat="1" x14ac:dyDescent="0.25">
      <c r="A128" s="2120" t="s">
        <v>248</v>
      </c>
      <c r="B128" s="2120"/>
      <c r="C128" s="2120"/>
      <c r="D128" s="2120"/>
      <c r="E128" s="2120"/>
      <c r="F128" s="2120"/>
      <c r="G128" s="2120"/>
      <c r="H128" s="2120"/>
      <c r="I128" s="686"/>
      <c r="K128" s="686"/>
    </row>
    <row r="129" spans="1:11" s="564" customFormat="1" x14ac:dyDescent="0.25">
      <c r="A129" s="590" t="s">
        <v>249</v>
      </c>
      <c r="B129" s="591" t="s">
        <v>250</v>
      </c>
      <c r="C129" s="704"/>
      <c r="D129" s="592"/>
      <c r="E129" s="592"/>
      <c r="F129" s="592"/>
      <c r="G129" s="592"/>
      <c r="H129" s="592"/>
      <c r="I129" s="592"/>
      <c r="K129" s="592"/>
    </row>
  </sheetData>
  <autoFilter ref="A3:C3"/>
  <sortState ref="A5:Y124">
    <sortCondition ref="A5:A124"/>
  </sortState>
  <mergeCells count="3">
    <mergeCell ref="A1:I1"/>
    <mergeCell ref="A128:H128"/>
    <mergeCell ref="A126:H126"/>
  </mergeCells>
  <hyperlinks>
    <hyperlink ref="B129" r:id="rId1"/>
  </hyperlinks>
  <pageMargins left="0.7" right="0.7" top="0.75" bottom="0.75" header="0.3" footer="0.3"/>
  <pageSetup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K4" activePane="bottomRight" state="frozen"/>
      <selection pane="topRight" activeCell="C1" sqref="C1"/>
      <selection pane="bottomLeft" activeCell="A4" sqref="A4"/>
      <selection pane="bottomRight" activeCell="K6" sqref="K6"/>
    </sheetView>
  </sheetViews>
  <sheetFormatPr defaultRowHeight="12.75" x14ac:dyDescent="0.2"/>
  <cols>
    <col min="1" max="1" width="12.25" style="18" customWidth="1"/>
    <col min="2" max="2" width="21.5" style="28" customWidth="1"/>
    <col min="3" max="3" width="10.125" style="18" customWidth="1"/>
    <col min="4" max="4" width="9.875" style="18" customWidth="1"/>
    <col min="5" max="5" width="9.875" style="18" bestFit="1" customWidth="1"/>
    <col min="6" max="6" width="2.625" style="18" customWidth="1"/>
    <col min="7" max="7" width="10.125" style="18" customWidth="1"/>
    <col min="8" max="8" width="9.5" style="18" customWidth="1"/>
    <col min="9" max="9" width="9.75" style="18" customWidth="1"/>
    <col min="10" max="10" width="2.625" style="18" customWidth="1"/>
    <col min="11" max="11" width="9.625" style="18" customWidth="1"/>
    <col min="12" max="12" width="10.5" style="18" customWidth="1"/>
    <col min="13" max="13" width="11.375" style="18" customWidth="1"/>
    <col min="14" max="14" width="2.625" style="18" customWidth="1"/>
    <col min="15" max="15" width="10.125" style="18" customWidth="1"/>
    <col min="16" max="16" width="10.25" style="18" customWidth="1"/>
    <col min="17" max="17" width="10.375" style="18" customWidth="1"/>
    <col min="18" max="18" width="2.625" style="18" customWidth="1"/>
    <col min="19" max="19" width="11" style="18" customWidth="1"/>
    <col min="20" max="20" width="10.875" style="18" customWidth="1"/>
    <col min="21" max="21" width="9.875" style="18" customWidth="1"/>
    <col min="22" max="22" width="2.625" style="18" customWidth="1"/>
    <col min="23" max="23" width="9.5" style="18" customWidth="1"/>
    <col min="24" max="24" width="10.375" style="18" customWidth="1"/>
    <col min="25" max="25" width="10.25" style="18" customWidth="1"/>
    <col min="26" max="16384" width="9" style="18"/>
  </cols>
  <sheetData>
    <row r="1" spans="1:25" ht="15.75" x14ac:dyDescent="0.25">
      <c r="C1" s="2134" t="s">
        <v>572</v>
      </c>
      <c r="D1" s="2134"/>
      <c r="E1" s="2134"/>
      <c r="F1" s="2134"/>
      <c r="G1" s="2134"/>
      <c r="H1" s="2134"/>
      <c r="I1" s="2134"/>
      <c r="J1" s="2134"/>
      <c r="K1" s="2134"/>
      <c r="L1" s="2134"/>
      <c r="M1" s="2134"/>
      <c r="O1" s="2131" t="s">
        <v>573</v>
      </c>
      <c r="P1" s="2131"/>
      <c r="Q1" s="2131"/>
      <c r="R1" s="2131"/>
      <c r="S1" s="2131"/>
      <c r="T1" s="2131"/>
      <c r="U1" s="2131"/>
      <c r="V1" s="2131"/>
      <c r="W1" s="2131"/>
      <c r="X1" s="2131"/>
      <c r="Y1" s="2131"/>
    </row>
    <row r="2" spans="1:25" ht="12.75" customHeight="1" x14ac:dyDescent="0.2">
      <c r="C2" s="2130" t="s">
        <v>2</v>
      </c>
      <c r="D2" s="2130"/>
      <c r="E2" s="2130"/>
      <c r="F2" s="37"/>
      <c r="G2" s="2130" t="s">
        <v>445</v>
      </c>
      <c r="H2" s="2130"/>
      <c r="I2" s="2130"/>
      <c r="J2" s="37"/>
      <c r="K2" s="2130" t="s">
        <v>581</v>
      </c>
      <c r="L2" s="2130"/>
      <c r="M2" s="2130"/>
      <c r="N2" s="43"/>
      <c r="O2" s="2130" t="s">
        <v>2</v>
      </c>
      <c r="P2" s="2130"/>
      <c r="Q2" s="2130"/>
      <c r="S2" s="2130" t="s">
        <v>445</v>
      </c>
      <c r="T2" s="2130"/>
      <c r="U2" s="2130"/>
      <c r="X2" s="22"/>
      <c r="Y2" s="30"/>
    </row>
    <row r="3" spans="1:25" s="21" customFormat="1" ht="45" customHeight="1" x14ac:dyDescent="0.25">
      <c r="A3" s="20" t="s">
        <v>305</v>
      </c>
      <c r="B3" s="31" t="s">
        <v>306</v>
      </c>
      <c r="C3" s="23" t="s">
        <v>578</v>
      </c>
      <c r="D3" s="23" t="s">
        <v>579</v>
      </c>
      <c r="E3" s="34" t="s">
        <v>580</v>
      </c>
      <c r="F3" s="38"/>
      <c r="G3" s="35" t="s">
        <v>578</v>
      </c>
      <c r="H3" s="23" t="s">
        <v>579</v>
      </c>
      <c r="I3" s="34" t="s">
        <v>580</v>
      </c>
      <c r="J3" s="38"/>
      <c r="K3" s="23" t="s">
        <v>578</v>
      </c>
      <c r="L3" s="23" t="s">
        <v>579</v>
      </c>
      <c r="M3" s="34" t="s">
        <v>580</v>
      </c>
      <c r="N3" s="38"/>
      <c r="O3" s="23" t="s">
        <v>578</v>
      </c>
      <c r="P3" s="23" t="s">
        <v>579</v>
      </c>
      <c r="Q3" s="34" t="s">
        <v>580</v>
      </c>
      <c r="R3" s="38"/>
      <c r="S3" s="35" t="s">
        <v>578</v>
      </c>
      <c r="T3" s="23" t="s">
        <v>579</v>
      </c>
      <c r="U3" s="34" t="s">
        <v>580</v>
      </c>
      <c r="V3" s="38"/>
      <c r="W3" s="35" t="s">
        <v>578</v>
      </c>
      <c r="X3" s="23" t="s">
        <v>579</v>
      </c>
      <c r="Y3" s="34" t="s">
        <v>580</v>
      </c>
    </row>
    <row r="4" spans="1:25" ht="16.5" customHeight="1" x14ac:dyDescent="0.25">
      <c r="A4" s="16" t="s">
        <v>10</v>
      </c>
      <c r="B4" s="32" t="s">
        <v>11</v>
      </c>
      <c r="C4" s="26" t="e">
        <f t="shared" ref="C4:C35" si="0">VLOOKUP(A4,MedicaidR,7,FALSE)</f>
        <v>#REF!</v>
      </c>
      <c r="D4" s="26" t="e">
        <f t="shared" ref="D4:D35" si="1">VLOOKUP(A4,Pop,14,FALSE)</f>
        <v>#REF!</v>
      </c>
      <c r="E4" s="12" t="e">
        <f t="shared" ref="E4:E35" si="2">+C4/D4</f>
        <v>#REF!</v>
      </c>
      <c r="F4" s="45"/>
      <c r="G4" s="26" t="e">
        <f t="shared" ref="G4:G35" si="3">VLOOKUP(A4,MedicaidR,8,FALSE)</f>
        <v>#REF!</v>
      </c>
      <c r="H4" s="26" t="e">
        <f t="shared" ref="H4:H35" si="4">VLOOKUP(A4,Pop,15,FALSE)</f>
        <v>#REF!</v>
      </c>
      <c r="I4" s="12" t="e">
        <f t="shared" ref="I4:I35" si="5">+G4/H4</f>
        <v>#REF!</v>
      </c>
      <c r="J4" s="45"/>
      <c r="K4" s="26" t="e">
        <f t="shared" ref="K4:K35" si="6">VLOOKUP(A4,MedicaidR,9,FALSE)</f>
        <v>#REF!</v>
      </c>
      <c r="L4" s="26" t="e">
        <f t="shared" ref="L4:L35" si="7">VLOOKUP(A4,Pop,16,FALSE)</f>
        <v>#REF!</v>
      </c>
      <c r="M4" s="12" t="e">
        <f t="shared" ref="M4:M35" si="8">+K4/L4</f>
        <v>#REF!</v>
      </c>
      <c r="N4" s="12"/>
      <c r="O4" s="26" t="e">
        <f t="shared" ref="O4:O35" si="9">VLOOKUP(A4,MedicaidR,3,FALSE)</f>
        <v>#REF!</v>
      </c>
      <c r="P4" s="26" t="e">
        <f t="shared" ref="P4:P35" si="10">VLOOKUP(A4,Pop,8,FALSE)</f>
        <v>#REF!</v>
      </c>
      <c r="Q4" s="12" t="e">
        <f t="shared" ref="Q4:Q35" si="11">+O4/P4</f>
        <v>#REF!</v>
      </c>
      <c r="R4" s="12"/>
      <c r="S4" s="26" t="e">
        <f t="shared" ref="S4:S35" si="12">VLOOKUP(A4,MedicaidR,4,FALSE)</f>
        <v>#REF!</v>
      </c>
      <c r="T4" s="26" t="e">
        <f t="shared" ref="T4:T35" si="13">VLOOKUP(A4,Pop,9,FALSE)</f>
        <v>#REF!</v>
      </c>
      <c r="U4" s="12" t="e">
        <f t="shared" ref="U4:U35" si="14">+S4/T4</f>
        <v>#REF!</v>
      </c>
      <c r="V4" s="12"/>
      <c r="W4" s="44" t="e">
        <f t="shared" ref="W4:W35" si="15">VLOOKUP(A4,MedicaidR,5,FALSE)</f>
        <v>#REF!</v>
      </c>
      <c r="X4" s="26" t="e">
        <f t="shared" ref="X4:X35" si="16">VLOOKUP(A4,Pop,10,FALSE)</f>
        <v>#REF!</v>
      </c>
      <c r="Y4" s="12" t="e">
        <f t="shared" ref="Y4:Y35" si="17">+W4/X4</f>
        <v>#REF!</v>
      </c>
    </row>
    <row r="5" spans="1:25" ht="16.5" customHeight="1" x14ac:dyDescent="0.25">
      <c r="A5" s="16" t="s">
        <v>12</v>
      </c>
      <c r="B5" s="17" t="s">
        <v>13</v>
      </c>
      <c r="C5" s="26" t="e">
        <f t="shared" si="0"/>
        <v>#REF!</v>
      </c>
      <c r="D5" s="26" t="e">
        <f t="shared" si="1"/>
        <v>#REF!</v>
      </c>
      <c r="E5" s="12" t="e">
        <f t="shared" si="2"/>
        <v>#REF!</v>
      </c>
      <c r="F5" s="26"/>
      <c r="G5" s="26" t="e">
        <f t="shared" si="3"/>
        <v>#REF!</v>
      </c>
      <c r="H5" s="26" t="e">
        <f t="shared" si="4"/>
        <v>#REF!</v>
      </c>
      <c r="I5" s="12" t="e">
        <f t="shared" si="5"/>
        <v>#REF!</v>
      </c>
      <c r="J5" s="26"/>
      <c r="K5" s="26" t="e">
        <f t="shared" si="6"/>
        <v>#REF!</v>
      </c>
      <c r="L5" s="26" t="e">
        <f t="shared" si="7"/>
        <v>#REF!</v>
      </c>
      <c r="M5" s="12" t="e">
        <f t="shared" si="8"/>
        <v>#REF!</v>
      </c>
      <c r="N5" s="12"/>
      <c r="O5" s="26" t="e">
        <f t="shared" si="9"/>
        <v>#REF!</v>
      </c>
      <c r="P5" s="26" t="e">
        <f t="shared" si="10"/>
        <v>#REF!</v>
      </c>
      <c r="Q5" s="12" t="e">
        <f t="shared" si="11"/>
        <v>#REF!</v>
      </c>
      <c r="R5" s="12"/>
      <c r="S5" s="26" t="e">
        <f t="shared" si="12"/>
        <v>#REF!</v>
      </c>
      <c r="T5" s="26" t="e">
        <f t="shared" si="13"/>
        <v>#REF!</v>
      </c>
      <c r="U5" s="12" t="e">
        <f t="shared" si="14"/>
        <v>#REF!</v>
      </c>
      <c r="V5" s="12"/>
      <c r="W5" s="44" t="e">
        <f t="shared" si="15"/>
        <v>#REF!</v>
      </c>
      <c r="X5" s="26" t="e">
        <f t="shared" si="16"/>
        <v>#REF!</v>
      </c>
      <c r="Y5" s="12" t="e">
        <f t="shared" si="17"/>
        <v>#REF!</v>
      </c>
    </row>
    <row r="6" spans="1:25" ht="16.5" customHeight="1" x14ac:dyDescent="0.25">
      <c r="A6" s="16" t="s">
        <v>16</v>
      </c>
      <c r="B6" s="32" t="s">
        <v>297</v>
      </c>
      <c r="C6" s="26" t="e">
        <f t="shared" si="0"/>
        <v>#REF!</v>
      </c>
      <c r="D6" s="26" t="e">
        <f t="shared" si="1"/>
        <v>#REF!</v>
      </c>
      <c r="E6" s="12" t="e">
        <f t="shared" si="2"/>
        <v>#REF!</v>
      </c>
      <c r="F6" s="26"/>
      <c r="G6" s="26" t="e">
        <f t="shared" si="3"/>
        <v>#REF!</v>
      </c>
      <c r="H6" s="26" t="e">
        <f t="shared" si="4"/>
        <v>#REF!</v>
      </c>
      <c r="I6" s="12" t="e">
        <f t="shared" si="5"/>
        <v>#REF!</v>
      </c>
      <c r="J6" s="26"/>
      <c r="K6" s="26" t="e">
        <f t="shared" si="6"/>
        <v>#REF!</v>
      </c>
      <c r="L6" s="26" t="e">
        <f t="shared" si="7"/>
        <v>#REF!</v>
      </c>
      <c r="M6" s="12" t="e">
        <f t="shared" si="8"/>
        <v>#REF!</v>
      </c>
      <c r="N6" s="12"/>
      <c r="O6" s="26" t="e">
        <f t="shared" si="9"/>
        <v>#REF!</v>
      </c>
      <c r="P6" s="26" t="e">
        <f t="shared" si="10"/>
        <v>#REF!</v>
      </c>
      <c r="Q6" s="12" t="e">
        <f t="shared" si="11"/>
        <v>#REF!</v>
      </c>
      <c r="R6" s="12"/>
      <c r="S6" s="26" t="e">
        <f t="shared" si="12"/>
        <v>#REF!</v>
      </c>
      <c r="T6" s="26" t="e">
        <f t="shared" si="13"/>
        <v>#REF!</v>
      </c>
      <c r="U6" s="12" t="e">
        <f t="shared" si="14"/>
        <v>#REF!</v>
      </c>
      <c r="V6" s="12"/>
      <c r="W6" s="44" t="e">
        <f t="shared" si="15"/>
        <v>#REF!</v>
      </c>
      <c r="X6" s="26" t="e">
        <f t="shared" si="16"/>
        <v>#REF!</v>
      </c>
      <c r="Y6" s="12" t="e">
        <f t="shared" si="17"/>
        <v>#REF!</v>
      </c>
    </row>
    <row r="7" spans="1:25" ht="16.5" customHeight="1" x14ac:dyDescent="0.25">
      <c r="A7" s="16" t="s">
        <v>18</v>
      </c>
      <c r="B7" s="17" t="s">
        <v>19</v>
      </c>
      <c r="C7" s="26" t="e">
        <f t="shared" si="0"/>
        <v>#REF!</v>
      </c>
      <c r="D7" s="26" t="e">
        <f t="shared" si="1"/>
        <v>#REF!</v>
      </c>
      <c r="E7" s="12" t="e">
        <f t="shared" si="2"/>
        <v>#REF!</v>
      </c>
      <c r="F7" s="26"/>
      <c r="G7" s="26" t="e">
        <f t="shared" si="3"/>
        <v>#REF!</v>
      </c>
      <c r="H7" s="26" t="e">
        <f t="shared" si="4"/>
        <v>#REF!</v>
      </c>
      <c r="I7" s="12" t="e">
        <f t="shared" si="5"/>
        <v>#REF!</v>
      </c>
      <c r="J7" s="26"/>
      <c r="K7" s="26" t="e">
        <f t="shared" si="6"/>
        <v>#REF!</v>
      </c>
      <c r="L7" s="26" t="e">
        <f t="shared" si="7"/>
        <v>#REF!</v>
      </c>
      <c r="M7" s="12" t="e">
        <f t="shared" si="8"/>
        <v>#REF!</v>
      </c>
      <c r="N7" s="12"/>
      <c r="O7" s="26" t="e">
        <f t="shared" si="9"/>
        <v>#REF!</v>
      </c>
      <c r="P7" s="26" t="e">
        <f t="shared" si="10"/>
        <v>#REF!</v>
      </c>
      <c r="Q7" s="12" t="e">
        <f t="shared" si="11"/>
        <v>#REF!</v>
      </c>
      <c r="R7" s="12"/>
      <c r="S7" s="26" t="e">
        <f t="shared" si="12"/>
        <v>#REF!</v>
      </c>
      <c r="T7" s="26" t="e">
        <f t="shared" si="13"/>
        <v>#REF!</v>
      </c>
      <c r="U7" s="12" t="e">
        <f t="shared" si="14"/>
        <v>#REF!</v>
      </c>
      <c r="V7" s="12"/>
      <c r="W7" s="44" t="e">
        <f t="shared" si="15"/>
        <v>#REF!</v>
      </c>
      <c r="X7" s="26" t="e">
        <f t="shared" si="16"/>
        <v>#REF!</v>
      </c>
      <c r="Y7" s="12" t="e">
        <f t="shared" si="17"/>
        <v>#REF!</v>
      </c>
    </row>
    <row r="8" spans="1:25" ht="16.5" customHeight="1" x14ac:dyDescent="0.25">
      <c r="A8" s="16" t="s">
        <v>20</v>
      </c>
      <c r="B8" s="32" t="s">
        <v>21</v>
      </c>
      <c r="C8" s="26" t="e">
        <f t="shared" si="0"/>
        <v>#REF!</v>
      </c>
      <c r="D8" s="26" t="e">
        <f t="shared" si="1"/>
        <v>#REF!</v>
      </c>
      <c r="E8" s="12" t="e">
        <f t="shared" si="2"/>
        <v>#REF!</v>
      </c>
      <c r="F8" s="26"/>
      <c r="G8" s="26" t="e">
        <f t="shared" si="3"/>
        <v>#REF!</v>
      </c>
      <c r="H8" s="26" t="e">
        <f t="shared" si="4"/>
        <v>#REF!</v>
      </c>
      <c r="I8" s="12" t="e">
        <f t="shared" si="5"/>
        <v>#REF!</v>
      </c>
      <c r="J8" s="26"/>
      <c r="K8" s="26" t="e">
        <f t="shared" si="6"/>
        <v>#REF!</v>
      </c>
      <c r="L8" s="26" t="e">
        <f t="shared" si="7"/>
        <v>#REF!</v>
      </c>
      <c r="M8" s="12" t="e">
        <f t="shared" si="8"/>
        <v>#REF!</v>
      </c>
      <c r="N8" s="12"/>
      <c r="O8" s="26" t="e">
        <f t="shared" si="9"/>
        <v>#REF!</v>
      </c>
      <c r="P8" s="26" t="e">
        <f t="shared" si="10"/>
        <v>#REF!</v>
      </c>
      <c r="Q8" s="12" t="e">
        <f t="shared" si="11"/>
        <v>#REF!</v>
      </c>
      <c r="R8" s="12"/>
      <c r="S8" s="26" t="e">
        <f t="shared" si="12"/>
        <v>#REF!</v>
      </c>
      <c r="T8" s="26" t="e">
        <f t="shared" si="13"/>
        <v>#REF!</v>
      </c>
      <c r="U8" s="12" t="e">
        <f t="shared" si="14"/>
        <v>#REF!</v>
      </c>
      <c r="V8" s="12"/>
      <c r="W8" s="44" t="e">
        <f t="shared" si="15"/>
        <v>#REF!</v>
      </c>
      <c r="X8" s="26" t="e">
        <f t="shared" si="16"/>
        <v>#REF!</v>
      </c>
      <c r="Y8" s="12" t="e">
        <f t="shared" si="17"/>
        <v>#REF!</v>
      </c>
    </row>
    <row r="9" spans="1:25" ht="16.5" customHeight="1" x14ac:dyDescent="0.25">
      <c r="A9" s="16" t="s">
        <v>22</v>
      </c>
      <c r="B9" s="17" t="s">
        <v>23</v>
      </c>
      <c r="C9" s="26" t="e">
        <f t="shared" si="0"/>
        <v>#REF!</v>
      </c>
      <c r="D9" s="26" t="e">
        <f t="shared" si="1"/>
        <v>#REF!</v>
      </c>
      <c r="E9" s="12" t="e">
        <f t="shared" si="2"/>
        <v>#REF!</v>
      </c>
      <c r="F9" s="26"/>
      <c r="G9" s="26" t="e">
        <f t="shared" si="3"/>
        <v>#REF!</v>
      </c>
      <c r="H9" s="26" t="e">
        <f t="shared" si="4"/>
        <v>#REF!</v>
      </c>
      <c r="I9" s="12" t="e">
        <f t="shared" si="5"/>
        <v>#REF!</v>
      </c>
      <c r="J9" s="26"/>
      <c r="K9" s="26" t="e">
        <f t="shared" si="6"/>
        <v>#REF!</v>
      </c>
      <c r="L9" s="26" t="e">
        <f t="shared" si="7"/>
        <v>#REF!</v>
      </c>
      <c r="M9" s="12" t="e">
        <f t="shared" si="8"/>
        <v>#REF!</v>
      </c>
      <c r="N9" s="12"/>
      <c r="O9" s="26" t="e">
        <f t="shared" si="9"/>
        <v>#REF!</v>
      </c>
      <c r="P9" s="26" t="e">
        <f t="shared" si="10"/>
        <v>#REF!</v>
      </c>
      <c r="Q9" s="12" t="e">
        <f t="shared" si="11"/>
        <v>#REF!</v>
      </c>
      <c r="R9" s="12"/>
      <c r="S9" s="26" t="e">
        <f t="shared" si="12"/>
        <v>#REF!</v>
      </c>
      <c r="T9" s="26" t="e">
        <f t="shared" si="13"/>
        <v>#REF!</v>
      </c>
      <c r="U9" s="12" t="e">
        <f t="shared" si="14"/>
        <v>#REF!</v>
      </c>
      <c r="V9" s="12"/>
      <c r="W9" s="44" t="e">
        <f t="shared" si="15"/>
        <v>#REF!</v>
      </c>
      <c r="X9" s="26" t="e">
        <f t="shared" si="16"/>
        <v>#REF!</v>
      </c>
      <c r="Y9" s="12" t="e">
        <f t="shared" si="17"/>
        <v>#REF!</v>
      </c>
    </row>
    <row r="10" spans="1:25" ht="16.5" customHeight="1" x14ac:dyDescent="0.25">
      <c r="A10" s="16" t="s">
        <v>24</v>
      </c>
      <c r="B10" s="17" t="s">
        <v>25</v>
      </c>
      <c r="C10" s="26" t="e">
        <f t="shared" si="0"/>
        <v>#REF!</v>
      </c>
      <c r="D10" s="26" t="e">
        <f t="shared" si="1"/>
        <v>#REF!</v>
      </c>
      <c r="E10" s="12" t="e">
        <f t="shared" si="2"/>
        <v>#REF!</v>
      </c>
      <c r="F10" s="26"/>
      <c r="G10" s="26" t="e">
        <f t="shared" si="3"/>
        <v>#REF!</v>
      </c>
      <c r="H10" s="26" t="e">
        <f t="shared" si="4"/>
        <v>#REF!</v>
      </c>
      <c r="I10" s="12" t="e">
        <f t="shared" si="5"/>
        <v>#REF!</v>
      </c>
      <c r="J10" s="26"/>
      <c r="K10" s="26" t="e">
        <f t="shared" si="6"/>
        <v>#REF!</v>
      </c>
      <c r="L10" s="26" t="e">
        <f t="shared" si="7"/>
        <v>#REF!</v>
      </c>
      <c r="M10" s="12" t="e">
        <f t="shared" si="8"/>
        <v>#REF!</v>
      </c>
      <c r="N10" s="12"/>
      <c r="O10" s="26" t="e">
        <f t="shared" si="9"/>
        <v>#REF!</v>
      </c>
      <c r="P10" s="26" t="e">
        <f t="shared" si="10"/>
        <v>#REF!</v>
      </c>
      <c r="Q10" s="12" t="e">
        <f t="shared" si="11"/>
        <v>#REF!</v>
      </c>
      <c r="R10" s="12"/>
      <c r="S10" s="26" t="e">
        <f t="shared" si="12"/>
        <v>#REF!</v>
      </c>
      <c r="T10" s="26" t="e">
        <f t="shared" si="13"/>
        <v>#REF!</v>
      </c>
      <c r="U10" s="12" t="e">
        <f t="shared" si="14"/>
        <v>#REF!</v>
      </c>
      <c r="V10" s="12"/>
      <c r="W10" s="44" t="e">
        <f t="shared" si="15"/>
        <v>#REF!</v>
      </c>
      <c r="X10" s="26" t="e">
        <f t="shared" si="16"/>
        <v>#REF!</v>
      </c>
      <c r="Y10" s="12" t="e">
        <f t="shared" si="17"/>
        <v>#REF!</v>
      </c>
    </row>
    <row r="11" spans="1:25" ht="16.5" customHeight="1" x14ac:dyDescent="0.25">
      <c r="A11" s="16" t="s">
        <v>26</v>
      </c>
      <c r="B11" s="32" t="s">
        <v>298</v>
      </c>
      <c r="C11" s="26" t="e">
        <f t="shared" si="0"/>
        <v>#REF!</v>
      </c>
      <c r="D11" s="26" t="e">
        <f t="shared" si="1"/>
        <v>#REF!</v>
      </c>
      <c r="E11" s="12" t="e">
        <f t="shared" si="2"/>
        <v>#REF!</v>
      </c>
      <c r="F11" s="26"/>
      <c r="G11" s="26" t="e">
        <f t="shared" si="3"/>
        <v>#REF!</v>
      </c>
      <c r="H11" s="26" t="e">
        <f t="shared" si="4"/>
        <v>#REF!</v>
      </c>
      <c r="I11" s="12" t="e">
        <f t="shared" si="5"/>
        <v>#REF!</v>
      </c>
      <c r="J11" s="26"/>
      <c r="K11" s="26" t="e">
        <f t="shared" si="6"/>
        <v>#REF!</v>
      </c>
      <c r="L11" s="26" t="e">
        <f t="shared" si="7"/>
        <v>#REF!</v>
      </c>
      <c r="M11" s="12" t="e">
        <f t="shared" si="8"/>
        <v>#REF!</v>
      </c>
      <c r="N11" s="12"/>
      <c r="O11" s="26" t="e">
        <f t="shared" si="9"/>
        <v>#REF!</v>
      </c>
      <c r="P11" s="26" t="e">
        <f t="shared" si="10"/>
        <v>#REF!</v>
      </c>
      <c r="Q11" s="12" t="e">
        <f t="shared" si="11"/>
        <v>#REF!</v>
      </c>
      <c r="R11" s="12"/>
      <c r="S11" s="26" t="e">
        <f t="shared" si="12"/>
        <v>#REF!</v>
      </c>
      <c r="T11" s="26" t="e">
        <f t="shared" si="13"/>
        <v>#REF!</v>
      </c>
      <c r="U11" s="12" t="e">
        <f t="shared" si="14"/>
        <v>#REF!</v>
      </c>
      <c r="V11" s="12"/>
      <c r="W11" s="44" t="e">
        <f t="shared" si="15"/>
        <v>#REF!</v>
      </c>
      <c r="X11" s="26" t="e">
        <f t="shared" si="16"/>
        <v>#REF!</v>
      </c>
      <c r="Y11" s="12" t="e">
        <f t="shared" si="17"/>
        <v>#REF!</v>
      </c>
    </row>
    <row r="12" spans="1:25" ht="16.5" customHeight="1" x14ac:dyDescent="0.25">
      <c r="A12" s="16" t="s">
        <v>27</v>
      </c>
      <c r="B12" s="32" t="s">
        <v>28</v>
      </c>
      <c r="C12" s="26" t="e">
        <f t="shared" si="0"/>
        <v>#REF!</v>
      </c>
      <c r="D12" s="26" t="e">
        <f t="shared" si="1"/>
        <v>#REF!</v>
      </c>
      <c r="E12" s="12" t="e">
        <f t="shared" si="2"/>
        <v>#REF!</v>
      </c>
      <c r="F12" s="26"/>
      <c r="G12" s="26" t="e">
        <f t="shared" si="3"/>
        <v>#REF!</v>
      </c>
      <c r="H12" s="26" t="e">
        <f t="shared" si="4"/>
        <v>#REF!</v>
      </c>
      <c r="I12" s="12" t="e">
        <f t="shared" si="5"/>
        <v>#REF!</v>
      </c>
      <c r="J12" s="26"/>
      <c r="K12" s="26" t="e">
        <f t="shared" si="6"/>
        <v>#REF!</v>
      </c>
      <c r="L12" s="26" t="e">
        <f t="shared" si="7"/>
        <v>#REF!</v>
      </c>
      <c r="M12" s="12" t="e">
        <f t="shared" si="8"/>
        <v>#REF!</v>
      </c>
      <c r="N12" s="12"/>
      <c r="O12" s="26" t="e">
        <f t="shared" si="9"/>
        <v>#REF!</v>
      </c>
      <c r="P12" s="26" t="e">
        <f t="shared" si="10"/>
        <v>#REF!</v>
      </c>
      <c r="Q12" s="12" t="e">
        <f t="shared" si="11"/>
        <v>#REF!</v>
      </c>
      <c r="R12" s="12"/>
      <c r="S12" s="26" t="e">
        <f t="shared" si="12"/>
        <v>#REF!</v>
      </c>
      <c r="T12" s="26" t="e">
        <f t="shared" si="13"/>
        <v>#REF!</v>
      </c>
      <c r="U12" s="12" t="e">
        <f t="shared" si="14"/>
        <v>#REF!</v>
      </c>
      <c r="V12" s="12"/>
      <c r="W12" s="44" t="e">
        <f t="shared" si="15"/>
        <v>#REF!</v>
      </c>
      <c r="X12" s="26" t="e">
        <f t="shared" si="16"/>
        <v>#REF!</v>
      </c>
      <c r="Y12" s="12" t="e">
        <f t="shared" si="17"/>
        <v>#REF!</v>
      </c>
    </row>
    <row r="13" spans="1:25" ht="16.5" customHeight="1" x14ac:dyDescent="0.25">
      <c r="A13" s="16" t="s">
        <v>29</v>
      </c>
      <c r="B13" s="17" t="s">
        <v>307</v>
      </c>
      <c r="C13" s="26" t="e">
        <f t="shared" si="0"/>
        <v>#REF!</v>
      </c>
      <c r="D13" s="26" t="e">
        <f t="shared" si="1"/>
        <v>#REF!</v>
      </c>
      <c r="E13" s="12" t="e">
        <f t="shared" si="2"/>
        <v>#REF!</v>
      </c>
      <c r="F13" s="26"/>
      <c r="G13" s="26" t="e">
        <f t="shared" si="3"/>
        <v>#REF!</v>
      </c>
      <c r="H13" s="26" t="e">
        <f t="shared" si="4"/>
        <v>#REF!</v>
      </c>
      <c r="I13" s="12" t="e">
        <f t="shared" si="5"/>
        <v>#REF!</v>
      </c>
      <c r="J13" s="26"/>
      <c r="K13" s="26" t="e">
        <f t="shared" si="6"/>
        <v>#REF!</v>
      </c>
      <c r="L13" s="26" t="e">
        <f t="shared" si="7"/>
        <v>#REF!</v>
      </c>
      <c r="M13" s="12" t="e">
        <f t="shared" si="8"/>
        <v>#REF!</v>
      </c>
      <c r="N13" s="12"/>
      <c r="O13" s="26" t="e">
        <f t="shared" si="9"/>
        <v>#REF!</v>
      </c>
      <c r="P13" s="26" t="e">
        <f t="shared" si="10"/>
        <v>#REF!</v>
      </c>
      <c r="Q13" s="12" t="e">
        <f t="shared" si="11"/>
        <v>#REF!</v>
      </c>
      <c r="R13" s="12"/>
      <c r="S13" s="26" t="e">
        <f t="shared" si="12"/>
        <v>#REF!</v>
      </c>
      <c r="T13" s="26" t="e">
        <f t="shared" si="13"/>
        <v>#REF!</v>
      </c>
      <c r="U13" s="12" t="e">
        <f t="shared" si="14"/>
        <v>#REF!</v>
      </c>
      <c r="V13" s="12"/>
      <c r="W13" s="44" t="e">
        <f t="shared" si="15"/>
        <v>#REF!</v>
      </c>
      <c r="X13" s="26" t="e">
        <f t="shared" si="16"/>
        <v>#REF!</v>
      </c>
      <c r="Y13" s="12" t="e">
        <f t="shared" si="17"/>
        <v>#REF!</v>
      </c>
    </row>
    <row r="14" spans="1:25" ht="16.5" customHeight="1" x14ac:dyDescent="0.25">
      <c r="A14" s="16" t="s">
        <v>30</v>
      </c>
      <c r="B14" s="32" t="s">
        <v>31</v>
      </c>
      <c r="C14" s="26" t="e">
        <f t="shared" si="0"/>
        <v>#REF!</v>
      </c>
      <c r="D14" s="26" t="e">
        <f t="shared" si="1"/>
        <v>#REF!</v>
      </c>
      <c r="E14" s="12" t="e">
        <f t="shared" si="2"/>
        <v>#REF!</v>
      </c>
      <c r="F14" s="26"/>
      <c r="G14" s="26" t="e">
        <f t="shared" si="3"/>
        <v>#REF!</v>
      </c>
      <c r="H14" s="26" t="e">
        <f t="shared" si="4"/>
        <v>#REF!</v>
      </c>
      <c r="I14" s="12" t="e">
        <f t="shared" si="5"/>
        <v>#REF!</v>
      </c>
      <c r="J14" s="26"/>
      <c r="K14" s="26" t="e">
        <f t="shared" si="6"/>
        <v>#REF!</v>
      </c>
      <c r="L14" s="26" t="e">
        <f t="shared" si="7"/>
        <v>#REF!</v>
      </c>
      <c r="M14" s="12" t="e">
        <f t="shared" si="8"/>
        <v>#REF!</v>
      </c>
      <c r="N14" s="12"/>
      <c r="O14" s="26" t="e">
        <f t="shared" si="9"/>
        <v>#REF!</v>
      </c>
      <c r="P14" s="26" t="e">
        <f t="shared" si="10"/>
        <v>#REF!</v>
      </c>
      <c r="Q14" s="12" t="e">
        <f t="shared" si="11"/>
        <v>#REF!</v>
      </c>
      <c r="R14" s="12"/>
      <c r="S14" s="26" t="e">
        <f t="shared" si="12"/>
        <v>#REF!</v>
      </c>
      <c r="T14" s="26" t="e">
        <f t="shared" si="13"/>
        <v>#REF!</v>
      </c>
      <c r="U14" s="12" t="e">
        <f t="shared" si="14"/>
        <v>#REF!</v>
      </c>
      <c r="V14" s="12"/>
      <c r="W14" s="44" t="e">
        <f t="shared" si="15"/>
        <v>#REF!</v>
      </c>
      <c r="X14" s="26" t="e">
        <f t="shared" si="16"/>
        <v>#REF!</v>
      </c>
      <c r="Y14" s="12" t="e">
        <f t="shared" si="17"/>
        <v>#REF!</v>
      </c>
    </row>
    <row r="15" spans="1:25" ht="16.5" customHeight="1" x14ac:dyDescent="0.25">
      <c r="A15" s="16" t="s">
        <v>32</v>
      </c>
      <c r="B15" s="17" t="s">
        <v>33</v>
      </c>
      <c r="C15" s="26" t="e">
        <f t="shared" si="0"/>
        <v>#REF!</v>
      </c>
      <c r="D15" s="26" t="e">
        <f t="shared" si="1"/>
        <v>#REF!</v>
      </c>
      <c r="E15" s="12" t="e">
        <f t="shared" si="2"/>
        <v>#REF!</v>
      </c>
      <c r="F15" s="26"/>
      <c r="G15" s="26" t="e">
        <f t="shared" si="3"/>
        <v>#REF!</v>
      </c>
      <c r="H15" s="26" t="e">
        <f t="shared" si="4"/>
        <v>#REF!</v>
      </c>
      <c r="I15" s="12" t="e">
        <f t="shared" si="5"/>
        <v>#REF!</v>
      </c>
      <c r="J15" s="26"/>
      <c r="K15" s="26" t="e">
        <f t="shared" si="6"/>
        <v>#REF!</v>
      </c>
      <c r="L15" s="26" t="e">
        <f t="shared" si="7"/>
        <v>#REF!</v>
      </c>
      <c r="M15" s="12" t="e">
        <f t="shared" si="8"/>
        <v>#REF!</v>
      </c>
      <c r="N15" s="12"/>
      <c r="O15" s="26" t="e">
        <f t="shared" si="9"/>
        <v>#REF!</v>
      </c>
      <c r="P15" s="26" t="e">
        <f t="shared" si="10"/>
        <v>#REF!</v>
      </c>
      <c r="Q15" s="12" t="e">
        <f t="shared" si="11"/>
        <v>#REF!</v>
      </c>
      <c r="R15" s="12"/>
      <c r="S15" s="26" t="e">
        <f t="shared" si="12"/>
        <v>#REF!</v>
      </c>
      <c r="T15" s="26" t="e">
        <f t="shared" si="13"/>
        <v>#REF!</v>
      </c>
      <c r="U15" s="12" t="e">
        <f t="shared" si="14"/>
        <v>#REF!</v>
      </c>
      <c r="V15" s="12"/>
      <c r="W15" s="44" t="e">
        <f t="shared" si="15"/>
        <v>#REF!</v>
      </c>
      <c r="X15" s="26" t="e">
        <f t="shared" si="16"/>
        <v>#REF!</v>
      </c>
      <c r="Y15" s="12" t="e">
        <f t="shared" si="17"/>
        <v>#REF!</v>
      </c>
    </row>
    <row r="16" spans="1:25" ht="16.5" customHeight="1" x14ac:dyDescent="0.25">
      <c r="A16" s="16" t="s">
        <v>36</v>
      </c>
      <c r="B16" s="17" t="s">
        <v>37</v>
      </c>
      <c r="C16" s="26" t="e">
        <f t="shared" si="0"/>
        <v>#REF!</v>
      </c>
      <c r="D16" s="26" t="e">
        <f t="shared" si="1"/>
        <v>#REF!</v>
      </c>
      <c r="E16" s="12" t="e">
        <f t="shared" si="2"/>
        <v>#REF!</v>
      </c>
      <c r="F16" s="26"/>
      <c r="G16" s="26" t="e">
        <f t="shared" si="3"/>
        <v>#REF!</v>
      </c>
      <c r="H16" s="26" t="e">
        <f t="shared" si="4"/>
        <v>#REF!</v>
      </c>
      <c r="I16" s="12" t="e">
        <f t="shared" si="5"/>
        <v>#REF!</v>
      </c>
      <c r="J16" s="26"/>
      <c r="K16" s="26" t="e">
        <f t="shared" si="6"/>
        <v>#REF!</v>
      </c>
      <c r="L16" s="26" t="e">
        <f t="shared" si="7"/>
        <v>#REF!</v>
      </c>
      <c r="M16" s="12" t="e">
        <f t="shared" si="8"/>
        <v>#REF!</v>
      </c>
      <c r="N16" s="12"/>
      <c r="O16" s="26" t="e">
        <f t="shared" si="9"/>
        <v>#REF!</v>
      </c>
      <c r="P16" s="26" t="e">
        <f t="shared" si="10"/>
        <v>#REF!</v>
      </c>
      <c r="Q16" s="12" t="e">
        <f t="shared" si="11"/>
        <v>#REF!</v>
      </c>
      <c r="R16" s="12"/>
      <c r="S16" s="26" t="e">
        <f t="shared" si="12"/>
        <v>#REF!</v>
      </c>
      <c r="T16" s="26" t="e">
        <f t="shared" si="13"/>
        <v>#REF!</v>
      </c>
      <c r="U16" s="12" t="e">
        <f t="shared" si="14"/>
        <v>#REF!</v>
      </c>
      <c r="V16" s="12"/>
      <c r="W16" s="44" t="e">
        <f t="shared" si="15"/>
        <v>#REF!</v>
      </c>
      <c r="X16" s="26" t="e">
        <f t="shared" si="16"/>
        <v>#REF!</v>
      </c>
      <c r="Y16" s="12" t="e">
        <f t="shared" si="17"/>
        <v>#REF!</v>
      </c>
    </row>
    <row r="17" spans="1:25" ht="16.5" customHeight="1" x14ac:dyDescent="0.25">
      <c r="A17" s="16" t="s">
        <v>38</v>
      </c>
      <c r="B17" s="32" t="s">
        <v>39</v>
      </c>
      <c r="C17" s="26" t="e">
        <f t="shared" si="0"/>
        <v>#REF!</v>
      </c>
      <c r="D17" s="26" t="e">
        <f t="shared" si="1"/>
        <v>#REF!</v>
      </c>
      <c r="E17" s="12" t="e">
        <f t="shared" si="2"/>
        <v>#REF!</v>
      </c>
      <c r="F17" s="26"/>
      <c r="G17" s="26" t="e">
        <f t="shared" si="3"/>
        <v>#REF!</v>
      </c>
      <c r="H17" s="26" t="e">
        <f t="shared" si="4"/>
        <v>#REF!</v>
      </c>
      <c r="I17" s="12" t="e">
        <f t="shared" si="5"/>
        <v>#REF!</v>
      </c>
      <c r="J17" s="26"/>
      <c r="K17" s="26" t="e">
        <f t="shared" si="6"/>
        <v>#REF!</v>
      </c>
      <c r="L17" s="26" t="e">
        <f t="shared" si="7"/>
        <v>#REF!</v>
      </c>
      <c r="M17" s="12" t="e">
        <f t="shared" si="8"/>
        <v>#REF!</v>
      </c>
      <c r="N17" s="12"/>
      <c r="O17" s="26" t="e">
        <f t="shared" si="9"/>
        <v>#REF!</v>
      </c>
      <c r="P17" s="26" t="e">
        <f t="shared" si="10"/>
        <v>#REF!</v>
      </c>
      <c r="Q17" s="12" t="e">
        <f t="shared" si="11"/>
        <v>#REF!</v>
      </c>
      <c r="R17" s="12"/>
      <c r="S17" s="26" t="e">
        <f t="shared" si="12"/>
        <v>#REF!</v>
      </c>
      <c r="T17" s="26" t="e">
        <f t="shared" si="13"/>
        <v>#REF!</v>
      </c>
      <c r="U17" s="12" t="e">
        <f t="shared" si="14"/>
        <v>#REF!</v>
      </c>
      <c r="V17" s="12"/>
      <c r="W17" s="44" t="e">
        <f t="shared" si="15"/>
        <v>#REF!</v>
      </c>
      <c r="X17" s="26" t="e">
        <f t="shared" si="16"/>
        <v>#REF!</v>
      </c>
      <c r="Y17" s="12" t="e">
        <f t="shared" si="17"/>
        <v>#REF!</v>
      </c>
    </row>
    <row r="18" spans="1:25" ht="16.5" customHeight="1" x14ac:dyDescent="0.25">
      <c r="A18" s="16" t="s">
        <v>40</v>
      </c>
      <c r="B18" s="32" t="s">
        <v>41</v>
      </c>
      <c r="C18" s="26" t="e">
        <f t="shared" si="0"/>
        <v>#REF!</v>
      </c>
      <c r="D18" s="26" t="e">
        <f t="shared" si="1"/>
        <v>#REF!</v>
      </c>
      <c r="E18" s="12" t="e">
        <f t="shared" si="2"/>
        <v>#REF!</v>
      </c>
      <c r="F18" s="26"/>
      <c r="G18" s="26" t="e">
        <f t="shared" si="3"/>
        <v>#REF!</v>
      </c>
      <c r="H18" s="26" t="e">
        <f t="shared" si="4"/>
        <v>#REF!</v>
      </c>
      <c r="I18" s="12" t="e">
        <f t="shared" si="5"/>
        <v>#REF!</v>
      </c>
      <c r="J18" s="26"/>
      <c r="K18" s="26" t="e">
        <f t="shared" si="6"/>
        <v>#REF!</v>
      </c>
      <c r="L18" s="26" t="e">
        <f t="shared" si="7"/>
        <v>#REF!</v>
      </c>
      <c r="M18" s="12" t="e">
        <f t="shared" si="8"/>
        <v>#REF!</v>
      </c>
      <c r="N18" s="12"/>
      <c r="O18" s="26" t="e">
        <f t="shared" si="9"/>
        <v>#REF!</v>
      </c>
      <c r="P18" s="26" t="e">
        <f t="shared" si="10"/>
        <v>#REF!</v>
      </c>
      <c r="Q18" s="12" t="e">
        <f t="shared" si="11"/>
        <v>#REF!</v>
      </c>
      <c r="R18" s="12"/>
      <c r="S18" s="26" t="e">
        <f t="shared" si="12"/>
        <v>#REF!</v>
      </c>
      <c r="T18" s="26" t="e">
        <f t="shared" si="13"/>
        <v>#REF!</v>
      </c>
      <c r="U18" s="12" t="e">
        <f t="shared" si="14"/>
        <v>#REF!</v>
      </c>
      <c r="V18" s="12"/>
      <c r="W18" s="44" t="e">
        <f t="shared" si="15"/>
        <v>#REF!</v>
      </c>
      <c r="X18" s="26" t="e">
        <f t="shared" si="16"/>
        <v>#REF!</v>
      </c>
      <c r="Y18" s="12" t="e">
        <f t="shared" si="17"/>
        <v>#REF!</v>
      </c>
    </row>
    <row r="19" spans="1:25" ht="16.5" customHeight="1" x14ac:dyDescent="0.25">
      <c r="A19" s="16" t="s">
        <v>42</v>
      </c>
      <c r="B19" s="32" t="s">
        <v>43</v>
      </c>
      <c r="C19" s="26" t="e">
        <f t="shared" si="0"/>
        <v>#REF!</v>
      </c>
      <c r="D19" s="26" t="e">
        <f t="shared" si="1"/>
        <v>#REF!</v>
      </c>
      <c r="E19" s="12" t="e">
        <f t="shared" si="2"/>
        <v>#REF!</v>
      </c>
      <c r="F19" s="26"/>
      <c r="G19" s="26" t="e">
        <f t="shared" si="3"/>
        <v>#REF!</v>
      </c>
      <c r="H19" s="26" t="e">
        <f t="shared" si="4"/>
        <v>#REF!</v>
      </c>
      <c r="I19" s="12" t="e">
        <f t="shared" si="5"/>
        <v>#REF!</v>
      </c>
      <c r="J19" s="26"/>
      <c r="K19" s="26" t="e">
        <f t="shared" si="6"/>
        <v>#REF!</v>
      </c>
      <c r="L19" s="26" t="e">
        <f t="shared" si="7"/>
        <v>#REF!</v>
      </c>
      <c r="M19" s="12" t="e">
        <f t="shared" si="8"/>
        <v>#REF!</v>
      </c>
      <c r="N19" s="12"/>
      <c r="O19" s="26" t="e">
        <f t="shared" si="9"/>
        <v>#REF!</v>
      </c>
      <c r="P19" s="26" t="e">
        <f t="shared" si="10"/>
        <v>#REF!</v>
      </c>
      <c r="Q19" s="12" t="e">
        <f t="shared" si="11"/>
        <v>#REF!</v>
      </c>
      <c r="R19" s="12"/>
      <c r="S19" s="26" t="e">
        <f t="shared" si="12"/>
        <v>#REF!</v>
      </c>
      <c r="T19" s="26" t="e">
        <f t="shared" si="13"/>
        <v>#REF!</v>
      </c>
      <c r="U19" s="12" t="e">
        <f t="shared" si="14"/>
        <v>#REF!</v>
      </c>
      <c r="V19" s="12"/>
      <c r="W19" s="44" t="e">
        <f t="shared" si="15"/>
        <v>#REF!</v>
      </c>
      <c r="X19" s="26" t="e">
        <f t="shared" si="16"/>
        <v>#REF!</v>
      </c>
      <c r="Y19" s="12" t="e">
        <f t="shared" si="17"/>
        <v>#REF!</v>
      </c>
    </row>
    <row r="20" spans="1:25" ht="16.5" customHeight="1" x14ac:dyDescent="0.25">
      <c r="A20" s="16" t="s">
        <v>44</v>
      </c>
      <c r="B20" s="17" t="s">
        <v>45</v>
      </c>
      <c r="C20" s="26" t="e">
        <f t="shared" si="0"/>
        <v>#REF!</v>
      </c>
      <c r="D20" s="26" t="e">
        <f t="shared" si="1"/>
        <v>#REF!</v>
      </c>
      <c r="E20" s="12" t="e">
        <f t="shared" si="2"/>
        <v>#REF!</v>
      </c>
      <c r="F20" s="26"/>
      <c r="G20" s="26" t="e">
        <f t="shared" si="3"/>
        <v>#REF!</v>
      </c>
      <c r="H20" s="26" t="e">
        <f t="shared" si="4"/>
        <v>#REF!</v>
      </c>
      <c r="I20" s="12" t="e">
        <f t="shared" si="5"/>
        <v>#REF!</v>
      </c>
      <c r="J20" s="26"/>
      <c r="K20" s="26" t="e">
        <f t="shared" si="6"/>
        <v>#REF!</v>
      </c>
      <c r="L20" s="26" t="e">
        <f t="shared" si="7"/>
        <v>#REF!</v>
      </c>
      <c r="M20" s="12" t="e">
        <f t="shared" si="8"/>
        <v>#REF!</v>
      </c>
      <c r="N20" s="12"/>
      <c r="O20" s="26" t="e">
        <f t="shared" si="9"/>
        <v>#REF!</v>
      </c>
      <c r="P20" s="26" t="e">
        <f t="shared" si="10"/>
        <v>#REF!</v>
      </c>
      <c r="Q20" s="12" t="e">
        <f t="shared" si="11"/>
        <v>#REF!</v>
      </c>
      <c r="R20" s="12"/>
      <c r="S20" s="26" t="e">
        <f t="shared" si="12"/>
        <v>#REF!</v>
      </c>
      <c r="T20" s="26" t="e">
        <f t="shared" si="13"/>
        <v>#REF!</v>
      </c>
      <c r="U20" s="12" t="e">
        <f t="shared" si="14"/>
        <v>#REF!</v>
      </c>
      <c r="V20" s="12"/>
      <c r="W20" s="44" t="e">
        <f t="shared" si="15"/>
        <v>#REF!</v>
      </c>
      <c r="X20" s="26" t="e">
        <f t="shared" si="16"/>
        <v>#REF!</v>
      </c>
      <c r="Y20" s="12" t="e">
        <f t="shared" si="17"/>
        <v>#REF!</v>
      </c>
    </row>
    <row r="21" spans="1:25" ht="16.5" customHeight="1" x14ac:dyDescent="0.25">
      <c r="A21" s="16" t="s">
        <v>46</v>
      </c>
      <c r="B21" s="32" t="s">
        <v>47</v>
      </c>
      <c r="C21" s="26" t="e">
        <f t="shared" si="0"/>
        <v>#REF!</v>
      </c>
      <c r="D21" s="26" t="e">
        <f t="shared" si="1"/>
        <v>#REF!</v>
      </c>
      <c r="E21" s="12" t="e">
        <f t="shared" si="2"/>
        <v>#REF!</v>
      </c>
      <c r="F21" s="26"/>
      <c r="G21" s="26" t="e">
        <f t="shared" si="3"/>
        <v>#REF!</v>
      </c>
      <c r="H21" s="26" t="e">
        <f t="shared" si="4"/>
        <v>#REF!</v>
      </c>
      <c r="I21" s="12" t="e">
        <f t="shared" si="5"/>
        <v>#REF!</v>
      </c>
      <c r="J21" s="26"/>
      <c r="K21" s="26" t="e">
        <f t="shared" si="6"/>
        <v>#REF!</v>
      </c>
      <c r="L21" s="26" t="e">
        <f t="shared" si="7"/>
        <v>#REF!</v>
      </c>
      <c r="M21" s="12" t="e">
        <f t="shared" si="8"/>
        <v>#REF!</v>
      </c>
      <c r="N21" s="12"/>
      <c r="O21" s="26" t="e">
        <f t="shared" si="9"/>
        <v>#REF!</v>
      </c>
      <c r="P21" s="26" t="e">
        <f t="shared" si="10"/>
        <v>#REF!</v>
      </c>
      <c r="Q21" s="12" t="e">
        <f t="shared" si="11"/>
        <v>#REF!</v>
      </c>
      <c r="R21" s="12"/>
      <c r="S21" s="26" t="e">
        <f t="shared" si="12"/>
        <v>#REF!</v>
      </c>
      <c r="T21" s="26" t="e">
        <f t="shared" si="13"/>
        <v>#REF!</v>
      </c>
      <c r="U21" s="12" t="e">
        <f t="shared" si="14"/>
        <v>#REF!</v>
      </c>
      <c r="V21" s="12"/>
      <c r="W21" s="44" t="e">
        <f t="shared" si="15"/>
        <v>#REF!</v>
      </c>
      <c r="X21" s="26" t="e">
        <f t="shared" si="16"/>
        <v>#REF!</v>
      </c>
      <c r="Y21" s="12" t="e">
        <f t="shared" si="17"/>
        <v>#REF!</v>
      </c>
    </row>
    <row r="22" spans="1:25" ht="16.5" customHeight="1" x14ac:dyDescent="0.25">
      <c r="A22" s="16" t="s">
        <v>48</v>
      </c>
      <c r="B22" s="17" t="s">
        <v>269</v>
      </c>
      <c r="C22" s="26" t="e">
        <f t="shared" si="0"/>
        <v>#REF!</v>
      </c>
      <c r="D22" s="26" t="e">
        <f t="shared" si="1"/>
        <v>#REF!</v>
      </c>
      <c r="E22" s="12" t="e">
        <f t="shared" si="2"/>
        <v>#REF!</v>
      </c>
      <c r="F22" s="26"/>
      <c r="G22" s="26" t="e">
        <f t="shared" si="3"/>
        <v>#REF!</v>
      </c>
      <c r="H22" s="26" t="e">
        <f t="shared" si="4"/>
        <v>#REF!</v>
      </c>
      <c r="I22" s="12" t="e">
        <f t="shared" si="5"/>
        <v>#REF!</v>
      </c>
      <c r="J22" s="26"/>
      <c r="K22" s="26" t="e">
        <f t="shared" si="6"/>
        <v>#REF!</v>
      </c>
      <c r="L22" s="26" t="e">
        <f t="shared" si="7"/>
        <v>#REF!</v>
      </c>
      <c r="M22" s="12" t="e">
        <f t="shared" si="8"/>
        <v>#REF!</v>
      </c>
      <c r="N22" s="12"/>
      <c r="O22" s="26" t="e">
        <f t="shared" si="9"/>
        <v>#REF!</v>
      </c>
      <c r="P22" s="26" t="e">
        <f t="shared" si="10"/>
        <v>#REF!</v>
      </c>
      <c r="Q22" s="12" t="e">
        <f t="shared" si="11"/>
        <v>#REF!</v>
      </c>
      <c r="R22" s="12"/>
      <c r="S22" s="26" t="e">
        <f t="shared" si="12"/>
        <v>#REF!</v>
      </c>
      <c r="T22" s="26" t="e">
        <f t="shared" si="13"/>
        <v>#REF!</v>
      </c>
      <c r="U22" s="12" t="e">
        <f t="shared" si="14"/>
        <v>#REF!</v>
      </c>
      <c r="V22" s="12"/>
      <c r="W22" s="44" t="e">
        <f t="shared" si="15"/>
        <v>#REF!</v>
      </c>
      <c r="X22" s="26" t="e">
        <f t="shared" si="16"/>
        <v>#REF!</v>
      </c>
      <c r="Y22" s="12" t="e">
        <f t="shared" si="17"/>
        <v>#REF!</v>
      </c>
    </row>
    <row r="23" spans="1:25" ht="16.5" customHeight="1" x14ac:dyDescent="0.25">
      <c r="A23" s="16" t="s">
        <v>50</v>
      </c>
      <c r="B23" s="32" t="s">
        <v>51</v>
      </c>
      <c r="C23" s="26" t="e">
        <f t="shared" si="0"/>
        <v>#REF!</v>
      </c>
      <c r="D23" s="26" t="e">
        <f t="shared" si="1"/>
        <v>#REF!</v>
      </c>
      <c r="E23" s="12" t="e">
        <f t="shared" si="2"/>
        <v>#REF!</v>
      </c>
      <c r="F23" s="26"/>
      <c r="G23" s="26" t="e">
        <f t="shared" si="3"/>
        <v>#REF!</v>
      </c>
      <c r="H23" s="26" t="e">
        <f t="shared" si="4"/>
        <v>#REF!</v>
      </c>
      <c r="I23" s="12" t="e">
        <f t="shared" si="5"/>
        <v>#REF!</v>
      </c>
      <c r="J23" s="26"/>
      <c r="K23" s="26" t="e">
        <f t="shared" si="6"/>
        <v>#REF!</v>
      </c>
      <c r="L23" s="26" t="e">
        <f t="shared" si="7"/>
        <v>#REF!</v>
      </c>
      <c r="M23" s="12" t="e">
        <f t="shared" si="8"/>
        <v>#REF!</v>
      </c>
      <c r="N23" s="12"/>
      <c r="O23" s="26" t="e">
        <f t="shared" si="9"/>
        <v>#REF!</v>
      </c>
      <c r="P23" s="26" t="e">
        <f t="shared" si="10"/>
        <v>#REF!</v>
      </c>
      <c r="Q23" s="12" t="e">
        <f t="shared" si="11"/>
        <v>#REF!</v>
      </c>
      <c r="R23" s="12"/>
      <c r="S23" s="26" t="e">
        <f t="shared" si="12"/>
        <v>#REF!</v>
      </c>
      <c r="T23" s="26" t="e">
        <f t="shared" si="13"/>
        <v>#REF!</v>
      </c>
      <c r="U23" s="12" t="e">
        <f t="shared" si="14"/>
        <v>#REF!</v>
      </c>
      <c r="V23" s="12"/>
      <c r="W23" s="44" t="e">
        <f t="shared" si="15"/>
        <v>#REF!</v>
      </c>
      <c r="X23" s="26" t="e">
        <f t="shared" si="16"/>
        <v>#REF!</v>
      </c>
      <c r="Y23" s="12" t="e">
        <f t="shared" si="17"/>
        <v>#REF!</v>
      </c>
    </row>
    <row r="24" spans="1:25" ht="16.5" customHeight="1" x14ac:dyDescent="0.25">
      <c r="A24" s="16" t="s">
        <v>56</v>
      </c>
      <c r="B24" s="17" t="s">
        <v>295</v>
      </c>
      <c r="C24" s="26" t="e">
        <f t="shared" si="0"/>
        <v>#REF!</v>
      </c>
      <c r="D24" s="26" t="e">
        <f t="shared" si="1"/>
        <v>#REF!</v>
      </c>
      <c r="E24" s="12" t="e">
        <f t="shared" si="2"/>
        <v>#REF!</v>
      </c>
      <c r="F24" s="26"/>
      <c r="G24" s="26" t="e">
        <f t="shared" si="3"/>
        <v>#REF!</v>
      </c>
      <c r="H24" s="26" t="e">
        <f t="shared" si="4"/>
        <v>#REF!</v>
      </c>
      <c r="I24" s="12" t="e">
        <f t="shared" si="5"/>
        <v>#REF!</v>
      </c>
      <c r="J24" s="26"/>
      <c r="K24" s="26" t="e">
        <f t="shared" si="6"/>
        <v>#REF!</v>
      </c>
      <c r="L24" s="26" t="e">
        <f t="shared" si="7"/>
        <v>#REF!</v>
      </c>
      <c r="M24" s="12" t="e">
        <f t="shared" si="8"/>
        <v>#REF!</v>
      </c>
      <c r="N24" s="12"/>
      <c r="O24" s="26" t="e">
        <f t="shared" si="9"/>
        <v>#REF!</v>
      </c>
      <c r="P24" s="26" t="e">
        <f t="shared" si="10"/>
        <v>#REF!</v>
      </c>
      <c r="Q24" s="12" t="e">
        <f t="shared" si="11"/>
        <v>#REF!</v>
      </c>
      <c r="R24" s="12"/>
      <c r="S24" s="26" t="e">
        <f t="shared" si="12"/>
        <v>#REF!</v>
      </c>
      <c r="T24" s="26" t="e">
        <f t="shared" si="13"/>
        <v>#REF!</v>
      </c>
      <c r="U24" s="12" t="e">
        <f t="shared" si="14"/>
        <v>#REF!</v>
      </c>
      <c r="V24" s="12"/>
      <c r="W24" s="44" t="e">
        <f t="shared" si="15"/>
        <v>#REF!</v>
      </c>
      <c r="X24" s="26" t="e">
        <f t="shared" si="16"/>
        <v>#REF!</v>
      </c>
      <c r="Y24" s="12" t="e">
        <f t="shared" si="17"/>
        <v>#REF!</v>
      </c>
    </row>
    <row r="25" spans="1:25" ht="16.5" customHeight="1" x14ac:dyDescent="0.25">
      <c r="A25" s="16" t="s">
        <v>58</v>
      </c>
      <c r="B25" s="17" t="s">
        <v>59</v>
      </c>
      <c r="C25" s="26" t="e">
        <f t="shared" si="0"/>
        <v>#REF!</v>
      </c>
      <c r="D25" s="26" t="e">
        <f t="shared" si="1"/>
        <v>#REF!</v>
      </c>
      <c r="E25" s="12" t="e">
        <f t="shared" si="2"/>
        <v>#REF!</v>
      </c>
      <c r="F25" s="26"/>
      <c r="G25" s="26" t="e">
        <f t="shared" si="3"/>
        <v>#REF!</v>
      </c>
      <c r="H25" s="26" t="e">
        <f t="shared" si="4"/>
        <v>#REF!</v>
      </c>
      <c r="I25" s="12" t="e">
        <f t="shared" si="5"/>
        <v>#REF!</v>
      </c>
      <c r="J25" s="26"/>
      <c r="K25" s="26" t="e">
        <f t="shared" si="6"/>
        <v>#REF!</v>
      </c>
      <c r="L25" s="26" t="e">
        <f t="shared" si="7"/>
        <v>#REF!</v>
      </c>
      <c r="M25" s="12" t="e">
        <f t="shared" si="8"/>
        <v>#REF!</v>
      </c>
      <c r="N25" s="12"/>
      <c r="O25" s="26" t="e">
        <f t="shared" si="9"/>
        <v>#REF!</v>
      </c>
      <c r="P25" s="26" t="e">
        <f t="shared" si="10"/>
        <v>#REF!</v>
      </c>
      <c r="Q25" s="12" t="e">
        <f t="shared" si="11"/>
        <v>#REF!</v>
      </c>
      <c r="R25" s="12"/>
      <c r="S25" s="26" t="e">
        <f t="shared" si="12"/>
        <v>#REF!</v>
      </c>
      <c r="T25" s="26" t="e">
        <f t="shared" si="13"/>
        <v>#REF!</v>
      </c>
      <c r="U25" s="12" t="e">
        <f t="shared" si="14"/>
        <v>#REF!</v>
      </c>
      <c r="V25" s="12"/>
      <c r="W25" s="44" t="e">
        <f t="shared" si="15"/>
        <v>#REF!</v>
      </c>
      <c r="X25" s="26" t="e">
        <f t="shared" si="16"/>
        <v>#REF!</v>
      </c>
      <c r="Y25" s="12" t="e">
        <f t="shared" si="17"/>
        <v>#REF!</v>
      </c>
    </row>
    <row r="26" spans="1:25" ht="16.5" customHeight="1" x14ac:dyDescent="0.25">
      <c r="A26" s="16" t="s">
        <v>60</v>
      </c>
      <c r="B26" s="32" t="s">
        <v>61</v>
      </c>
      <c r="C26" s="26" t="e">
        <f t="shared" si="0"/>
        <v>#REF!</v>
      </c>
      <c r="D26" s="26" t="e">
        <f t="shared" si="1"/>
        <v>#REF!</v>
      </c>
      <c r="E26" s="12" t="e">
        <f t="shared" si="2"/>
        <v>#REF!</v>
      </c>
      <c r="F26" s="26"/>
      <c r="G26" s="26" t="e">
        <f t="shared" si="3"/>
        <v>#REF!</v>
      </c>
      <c r="H26" s="26" t="e">
        <f t="shared" si="4"/>
        <v>#REF!</v>
      </c>
      <c r="I26" s="12" t="e">
        <f t="shared" si="5"/>
        <v>#REF!</v>
      </c>
      <c r="J26" s="26"/>
      <c r="K26" s="26" t="e">
        <f t="shared" si="6"/>
        <v>#REF!</v>
      </c>
      <c r="L26" s="26" t="e">
        <f t="shared" si="7"/>
        <v>#REF!</v>
      </c>
      <c r="M26" s="12" t="e">
        <f t="shared" si="8"/>
        <v>#REF!</v>
      </c>
      <c r="N26" s="12"/>
      <c r="O26" s="26" t="e">
        <f t="shared" si="9"/>
        <v>#REF!</v>
      </c>
      <c r="P26" s="26" t="e">
        <f t="shared" si="10"/>
        <v>#REF!</v>
      </c>
      <c r="Q26" s="12" t="e">
        <f t="shared" si="11"/>
        <v>#REF!</v>
      </c>
      <c r="R26" s="12"/>
      <c r="S26" s="26" t="e">
        <f t="shared" si="12"/>
        <v>#REF!</v>
      </c>
      <c r="T26" s="26" t="e">
        <f t="shared" si="13"/>
        <v>#REF!</v>
      </c>
      <c r="U26" s="12" t="e">
        <f t="shared" si="14"/>
        <v>#REF!</v>
      </c>
      <c r="V26" s="12"/>
      <c r="W26" s="44" t="e">
        <f t="shared" si="15"/>
        <v>#REF!</v>
      </c>
      <c r="X26" s="26" t="e">
        <f t="shared" si="16"/>
        <v>#REF!</v>
      </c>
      <c r="Y26" s="12" t="e">
        <f t="shared" si="17"/>
        <v>#REF!</v>
      </c>
    </row>
    <row r="27" spans="1:25" ht="16.5" customHeight="1" x14ac:dyDescent="0.25">
      <c r="A27" s="16" t="s">
        <v>62</v>
      </c>
      <c r="B27" s="17" t="s">
        <v>63</v>
      </c>
      <c r="C27" s="26" t="e">
        <f t="shared" si="0"/>
        <v>#REF!</v>
      </c>
      <c r="D27" s="26" t="e">
        <f t="shared" si="1"/>
        <v>#REF!</v>
      </c>
      <c r="E27" s="12" t="e">
        <f t="shared" si="2"/>
        <v>#REF!</v>
      </c>
      <c r="F27" s="26"/>
      <c r="G27" s="26" t="e">
        <f t="shared" si="3"/>
        <v>#REF!</v>
      </c>
      <c r="H27" s="26" t="e">
        <f t="shared" si="4"/>
        <v>#REF!</v>
      </c>
      <c r="I27" s="12" t="e">
        <f t="shared" si="5"/>
        <v>#REF!</v>
      </c>
      <c r="J27" s="26"/>
      <c r="K27" s="26" t="e">
        <f t="shared" si="6"/>
        <v>#REF!</v>
      </c>
      <c r="L27" s="26" t="e">
        <f t="shared" si="7"/>
        <v>#REF!</v>
      </c>
      <c r="M27" s="12" t="e">
        <f t="shared" si="8"/>
        <v>#REF!</v>
      </c>
      <c r="N27" s="12"/>
      <c r="O27" s="26" t="e">
        <f t="shared" si="9"/>
        <v>#REF!</v>
      </c>
      <c r="P27" s="26" t="e">
        <f t="shared" si="10"/>
        <v>#REF!</v>
      </c>
      <c r="Q27" s="12" t="e">
        <f t="shared" si="11"/>
        <v>#REF!</v>
      </c>
      <c r="R27" s="12"/>
      <c r="S27" s="26" t="e">
        <f t="shared" si="12"/>
        <v>#REF!</v>
      </c>
      <c r="T27" s="26" t="e">
        <f t="shared" si="13"/>
        <v>#REF!</v>
      </c>
      <c r="U27" s="12" t="e">
        <f t="shared" si="14"/>
        <v>#REF!</v>
      </c>
      <c r="V27" s="12"/>
      <c r="W27" s="44" t="e">
        <f t="shared" si="15"/>
        <v>#REF!</v>
      </c>
      <c r="X27" s="26" t="e">
        <f t="shared" si="16"/>
        <v>#REF!</v>
      </c>
      <c r="Y27" s="12" t="e">
        <f t="shared" si="17"/>
        <v>#REF!</v>
      </c>
    </row>
    <row r="28" spans="1:25" ht="16.5" customHeight="1" x14ac:dyDescent="0.25">
      <c r="A28" s="16" t="s">
        <v>64</v>
      </c>
      <c r="B28" s="32" t="s">
        <v>65</v>
      </c>
      <c r="C28" s="26" t="e">
        <f t="shared" si="0"/>
        <v>#REF!</v>
      </c>
      <c r="D28" s="26" t="e">
        <f t="shared" si="1"/>
        <v>#REF!</v>
      </c>
      <c r="E28" s="12" t="e">
        <f t="shared" si="2"/>
        <v>#REF!</v>
      </c>
      <c r="F28" s="26"/>
      <c r="G28" s="26" t="e">
        <f t="shared" si="3"/>
        <v>#REF!</v>
      </c>
      <c r="H28" s="26" t="e">
        <f t="shared" si="4"/>
        <v>#REF!</v>
      </c>
      <c r="I28" s="12" t="e">
        <f t="shared" si="5"/>
        <v>#REF!</v>
      </c>
      <c r="J28" s="26"/>
      <c r="K28" s="26" t="e">
        <f t="shared" si="6"/>
        <v>#REF!</v>
      </c>
      <c r="L28" s="26" t="e">
        <f t="shared" si="7"/>
        <v>#REF!</v>
      </c>
      <c r="M28" s="12" t="e">
        <f t="shared" si="8"/>
        <v>#REF!</v>
      </c>
      <c r="N28" s="12"/>
      <c r="O28" s="26" t="e">
        <f t="shared" si="9"/>
        <v>#REF!</v>
      </c>
      <c r="P28" s="26" t="e">
        <f t="shared" si="10"/>
        <v>#REF!</v>
      </c>
      <c r="Q28" s="12" t="e">
        <f t="shared" si="11"/>
        <v>#REF!</v>
      </c>
      <c r="R28" s="12"/>
      <c r="S28" s="26" t="e">
        <f t="shared" si="12"/>
        <v>#REF!</v>
      </c>
      <c r="T28" s="26" t="e">
        <f t="shared" si="13"/>
        <v>#REF!</v>
      </c>
      <c r="U28" s="12" t="e">
        <f t="shared" si="14"/>
        <v>#REF!</v>
      </c>
      <c r="V28" s="12"/>
      <c r="W28" s="44" t="e">
        <f t="shared" si="15"/>
        <v>#REF!</v>
      </c>
      <c r="X28" s="26" t="e">
        <f t="shared" si="16"/>
        <v>#REF!</v>
      </c>
      <c r="Y28" s="12" t="e">
        <f t="shared" si="17"/>
        <v>#REF!</v>
      </c>
    </row>
    <row r="29" spans="1:25" ht="16.5" customHeight="1" x14ac:dyDescent="0.25">
      <c r="A29" s="16" t="s">
        <v>68</v>
      </c>
      <c r="B29" s="32" t="s">
        <v>69</v>
      </c>
      <c r="C29" s="26" t="e">
        <f t="shared" si="0"/>
        <v>#REF!</v>
      </c>
      <c r="D29" s="26" t="e">
        <f t="shared" si="1"/>
        <v>#REF!</v>
      </c>
      <c r="E29" s="12" t="e">
        <f t="shared" si="2"/>
        <v>#REF!</v>
      </c>
      <c r="F29" s="26"/>
      <c r="G29" s="26" t="e">
        <f t="shared" si="3"/>
        <v>#REF!</v>
      </c>
      <c r="H29" s="26" t="e">
        <f t="shared" si="4"/>
        <v>#REF!</v>
      </c>
      <c r="I29" s="12" t="e">
        <f t="shared" si="5"/>
        <v>#REF!</v>
      </c>
      <c r="J29" s="26"/>
      <c r="K29" s="26" t="e">
        <f t="shared" si="6"/>
        <v>#REF!</v>
      </c>
      <c r="L29" s="26" t="e">
        <f t="shared" si="7"/>
        <v>#REF!</v>
      </c>
      <c r="M29" s="12" t="e">
        <f t="shared" si="8"/>
        <v>#REF!</v>
      </c>
      <c r="N29" s="12"/>
      <c r="O29" s="26" t="e">
        <f t="shared" si="9"/>
        <v>#REF!</v>
      </c>
      <c r="P29" s="26" t="e">
        <f t="shared" si="10"/>
        <v>#REF!</v>
      </c>
      <c r="Q29" s="12" t="e">
        <f t="shared" si="11"/>
        <v>#REF!</v>
      </c>
      <c r="R29" s="12"/>
      <c r="S29" s="26" t="e">
        <f t="shared" si="12"/>
        <v>#REF!</v>
      </c>
      <c r="T29" s="26" t="e">
        <f t="shared" si="13"/>
        <v>#REF!</v>
      </c>
      <c r="U29" s="12" t="e">
        <f t="shared" si="14"/>
        <v>#REF!</v>
      </c>
      <c r="V29" s="12"/>
      <c r="W29" s="44" t="e">
        <f t="shared" si="15"/>
        <v>#REF!</v>
      </c>
      <c r="X29" s="26" t="e">
        <f t="shared" si="16"/>
        <v>#REF!</v>
      </c>
      <c r="Y29" s="12" t="e">
        <f t="shared" si="17"/>
        <v>#REF!</v>
      </c>
    </row>
    <row r="30" spans="1:25" ht="16.5" customHeight="1" x14ac:dyDescent="0.25">
      <c r="A30" s="16" t="s">
        <v>70</v>
      </c>
      <c r="B30" s="32" t="s">
        <v>71</v>
      </c>
      <c r="C30" s="26" t="e">
        <f t="shared" si="0"/>
        <v>#REF!</v>
      </c>
      <c r="D30" s="26" t="e">
        <f t="shared" si="1"/>
        <v>#REF!</v>
      </c>
      <c r="E30" s="12" t="e">
        <f t="shared" si="2"/>
        <v>#REF!</v>
      </c>
      <c r="F30" s="26"/>
      <c r="G30" s="26" t="e">
        <f t="shared" si="3"/>
        <v>#REF!</v>
      </c>
      <c r="H30" s="26" t="e">
        <f t="shared" si="4"/>
        <v>#REF!</v>
      </c>
      <c r="I30" s="12" t="e">
        <f t="shared" si="5"/>
        <v>#REF!</v>
      </c>
      <c r="J30" s="26"/>
      <c r="K30" s="26" t="e">
        <f t="shared" si="6"/>
        <v>#REF!</v>
      </c>
      <c r="L30" s="26" t="e">
        <f t="shared" si="7"/>
        <v>#REF!</v>
      </c>
      <c r="M30" s="12" t="e">
        <f t="shared" si="8"/>
        <v>#REF!</v>
      </c>
      <c r="N30" s="12"/>
      <c r="O30" s="26" t="e">
        <f t="shared" si="9"/>
        <v>#REF!</v>
      </c>
      <c r="P30" s="26" t="e">
        <f t="shared" si="10"/>
        <v>#REF!</v>
      </c>
      <c r="Q30" s="12" t="e">
        <f t="shared" si="11"/>
        <v>#REF!</v>
      </c>
      <c r="R30" s="12"/>
      <c r="S30" s="26" t="e">
        <f t="shared" si="12"/>
        <v>#REF!</v>
      </c>
      <c r="T30" s="26" t="e">
        <f t="shared" si="13"/>
        <v>#REF!</v>
      </c>
      <c r="U30" s="12" t="e">
        <f t="shared" si="14"/>
        <v>#REF!</v>
      </c>
      <c r="V30" s="12"/>
      <c r="W30" s="44" t="e">
        <f t="shared" si="15"/>
        <v>#REF!</v>
      </c>
      <c r="X30" s="26" t="e">
        <f t="shared" si="16"/>
        <v>#REF!</v>
      </c>
      <c r="Y30" s="12" t="e">
        <f t="shared" si="17"/>
        <v>#REF!</v>
      </c>
    </row>
    <row r="31" spans="1:25" ht="16.5" customHeight="1" x14ac:dyDescent="0.25">
      <c r="A31" s="16" t="s">
        <v>72</v>
      </c>
      <c r="B31" s="32" t="s">
        <v>73</v>
      </c>
      <c r="C31" s="26" t="e">
        <f t="shared" si="0"/>
        <v>#REF!</v>
      </c>
      <c r="D31" s="26" t="e">
        <f t="shared" si="1"/>
        <v>#REF!</v>
      </c>
      <c r="E31" s="12" t="e">
        <f t="shared" si="2"/>
        <v>#REF!</v>
      </c>
      <c r="F31" s="26"/>
      <c r="G31" s="26" t="e">
        <f t="shared" si="3"/>
        <v>#REF!</v>
      </c>
      <c r="H31" s="26" t="e">
        <f t="shared" si="4"/>
        <v>#REF!</v>
      </c>
      <c r="I31" s="12" t="e">
        <f t="shared" si="5"/>
        <v>#REF!</v>
      </c>
      <c r="J31" s="26"/>
      <c r="K31" s="26" t="e">
        <f t="shared" si="6"/>
        <v>#REF!</v>
      </c>
      <c r="L31" s="26" t="e">
        <f t="shared" si="7"/>
        <v>#REF!</v>
      </c>
      <c r="M31" s="12" t="e">
        <f t="shared" si="8"/>
        <v>#REF!</v>
      </c>
      <c r="N31" s="12"/>
      <c r="O31" s="26" t="e">
        <f t="shared" si="9"/>
        <v>#REF!</v>
      </c>
      <c r="P31" s="26" t="e">
        <f t="shared" si="10"/>
        <v>#REF!</v>
      </c>
      <c r="Q31" s="12" t="e">
        <f t="shared" si="11"/>
        <v>#REF!</v>
      </c>
      <c r="R31" s="12"/>
      <c r="S31" s="26" t="e">
        <f t="shared" si="12"/>
        <v>#REF!</v>
      </c>
      <c r="T31" s="26" t="e">
        <f t="shared" si="13"/>
        <v>#REF!</v>
      </c>
      <c r="U31" s="12" t="e">
        <f t="shared" si="14"/>
        <v>#REF!</v>
      </c>
      <c r="V31" s="12"/>
      <c r="W31" s="44" t="e">
        <f t="shared" si="15"/>
        <v>#REF!</v>
      </c>
      <c r="X31" s="26" t="e">
        <f t="shared" si="16"/>
        <v>#REF!</v>
      </c>
      <c r="Y31" s="12" t="e">
        <f t="shared" si="17"/>
        <v>#REF!</v>
      </c>
    </row>
    <row r="32" spans="1:25" ht="16.5" customHeight="1" x14ac:dyDescent="0.25">
      <c r="A32" s="16" t="s">
        <v>74</v>
      </c>
      <c r="B32" s="17" t="s">
        <v>302</v>
      </c>
      <c r="C32" s="26" t="e">
        <f t="shared" si="0"/>
        <v>#REF!</v>
      </c>
      <c r="D32" s="26" t="e">
        <f t="shared" si="1"/>
        <v>#REF!</v>
      </c>
      <c r="E32" s="12" t="e">
        <f t="shared" si="2"/>
        <v>#REF!</v>
      </c>
      <c r="F32" s="26"/>
      <c r="G32" s="26" t="e">
        <f t="shared" si="3"/>
        <v>#REF!</v>
      </c>
      <c r="H32" s="26" t="e">
        <f t="shared" si="4"/>
        <v>#REF!</v>
      </c>
      <c r="I32" s="12" t="e">
        <f t="shared" si="5"/>
        <v>#REF!</v>
      </c>
      <c r="J32" s="26"/>
      <c r="K32" s="26" t="e">
        <f t="shared" si="6"/>
        <v>#REF!</v>
      </c>
      <c r="L32" s="26" t="e">
        <f t="shared" si="7"/>
        <v>#REF!</v>
      </c>
      <c r="M32" s="12" t="e">
        <f t="shared" si="8"/>
        <v>#REF!</v>
      </c>
      <c r="N32" s="12"/>
      <c r="O32" s="26" t="e">
        <f t="shared" si="9"/>
        <v>#REF!</v>
      </c>
      <c r="P32" s="26" t="e">
        <f t="shared" si="10"/>
        <v>#REF!</v>
      </c>
      <c r="Q32" s="12" t="e">
        <f t="shared" si="11"/>
        <v>#REF!</v>
      </c>
      <c r="R32" s="12"/>
      <c r="S32" s="26" t="e">
        <f t="shared" si="12"/>
        <v>#REF!</v>
      </c>
      <c r="T32" s="26" t="e">
        <f t="shared" si="13"/>
        <v>#REF!</v>
      </c>
      <c r="U32" s="12" t="e">
        <f t="shared" si="14"/>
        <v>#REF!</v>
      </c>
      <c r="V32" s="12"/>
      <c r="W32" s="44" t="e">
        <f t="shared" si="15"/>
        <v>#REF!</v>
      </c>
      <c r="X32" s="26" t="e">
        <f t="shared" si="16"/>
        <v>#REF!</v>
      </c>
      <c r="Y32" s="12" t="e">
        <f t="shared" si="17"/>
        <v>#REF!</v>
      </c>
    </row>
    <row r="33" spans="1:25" ht="16.5" customHeight="1" x14ac:dyDescent="0.25">
      <c r="A33" s="16" t="s">
        <v>76</v>
      </c>
      <c r="B33" s="17" t="s">
        <v>77</v>
      </c>
      <c r="C33" s="26" t="e">
        <f t="shared" si="0"/>
        <v>#REF!</v>
      </c>
      <c r="D33" s="26" t="e">
        <f t="shared" si="1"/>
        <v>#REF!</v>
      </c>
      <c r="E33" s="12" t="e">
        <f t="shared" si="2"/>
        <v>#REF!</v>
      </c>
      <c r="F33" s="26"/>
      <c r="G33" s="26" t="e">
        <f t="shared" si="3"/>
        <v>#REF!</v>
      </c>
      <c r="H33" s="26" t="e">
        <f t="shared" si="4"/>
        <v>#REF!</v>
      </c>
      <c r="I33" s="12" t="e">
        <f t="shared" si="5"/>
        <v>#REF!</v>
      </c>
      <c r="J33" s="26"/>
      <c r="K33" s="26" t="e">
        <f t="shared" si="6"/>
        <v>#REF!</v>
      </c>
      <c r="L33" s="26" t="e">
        <f t="shared" si="7"/>
        <v>#REF!</v>
      </c>
      <c r="M33" s="12" t="e">
        <f t="shared" si="8"/>
        <v>#REF!</v>
      </c>
      <c r="N33" s="12"/>
      <c r="O33" s="26" t="e">
        <f t="shared" si="9"/>
        <v>#REF!</v>
      </c>
      <c r="P33" s="26" t="e">
        <f t="shared" si="10"/>
        <v>#REF!</v>
      </c>
      <c r="Q33" s="12" t="e">
        <f t="shared" si="11"/>
        <v>#REF!</v>
      </c>
      <c r="R33" s="12"/>
      <c r="S33" s="26" t="e">
        <f t="shared" si="12"/>
        <v>#REF!</v>
      </c>
      <c r="T33" s="26" t="e">
        <f t="shared" si="13"/>
        <v>#REF!</v>
      </c>
      <c r="U33" s="12" t="e">
        <f t="shared" si="14"/>
        <v>#REF!</v>
      </c>
      <c r="V33" s="12"/>
      <c r="W33" s="44" t="e">
        <f t="shared" si="15"/>
        <v>#REF!</v>
      </c>
      <c r="X33" s="26" t="e">
        <f t="shared" si="16"/>
        <v>#REF!</v>
      </c>
      <c r="Y33" s="12" t="e">
        <f t="shared" si="17"/>
        <v>#REF!</v>
      </c>
    </row>
    <row r="34" spans="1:25" ht="16.5" customHeight="1" x14ac:dyDescent="0.25">
      <c r="A34" s="16" t="s">
        <v>78</v>
      </c>
      <c r="B34" s="32" t="s">
        <v>79</v>
      </c>
      <c r="C34" s="26" t="e">
        <f t="shared" si="0"/>
        <v>#REF!</v>
      </c>
      <c r="D34" s="26" t="e">
        <f t="shared" si="1"/>
        <v>#REF!</v>
      </c>
      <c r="E34" s="12" t="e">
        <f t="shared" si="2"/>
        <v>#REF!</v>
      </c>
      <c r="F34" s="26"/>
      <c r="G34" s="26" t="e">
        <f t="shared" si="3"/>
        <v>#REF!</v>
      </c>
      <c r="H34" s="26" t="e">
        <f t="shared" si="4"/>
        <v>#REF!</v>
      </c>
      <c r="I34" s="12" t="e">
        <f t="shared" si="5"/>
        <v>#REF!</v>
      </c>
      <c r="J34" s="26"/>
      <c r="K34" s="26" t="e">
        <f t="shared" si="6"/>
        <v>#REF!</v>
      </c>
      <c r="L34" s="26" t="e">
        <f t="shared" si="7"/>
        <v>#REF!</v>
      </c>
      <c r="M34" s="12" t="e">
        <f t="shared" si="8"/>
        <v>#REF!</v>
      </c>
      <c r="N34" s="12"/>
      <c r="O34" s="26" t="e">
        <f t="shared" si="9"/>
        <v>#REF!</v>
      </c>
      <c r="P34" s="26" t="e">
        <f t="shared" si="10"/>
        <v>#REF!</v>
      </c>
      <c r="Q34" s="12" t="e">
        <f t="shared" si="11"/>
        <v>#REF!</v>
      </c>
      <c r="R34" s="12"/>
      <c r="S34" s="26" t="e">
        <f t="shared" si="12"/>
        <v>#REF!</v>
      </c>
      <c r="T34" s="26" t="e">
        <f t="shared" si="13"/>
        <v>#REF!</v>
      </c>
      <c r="U34" s="12" t="e">
        <f t="shared" si="14"/>
        <v>#REF!</v>
      </c>
      <c r="V34" s="12"/>
      <c r="W34" s="44" t="e">
        <f t="shared" si="15"/>
        <v>#REF!</v>
      </c>
      <c r="X34" s="26" t="e">
        <f t="shared" si="16"/>
        <v>#REF!</v>
      </c>
      <c r="Y34" s="12" t="e">
        <f t="shared" si="17"/>
        <v>#REF!</v>
      </c>
    </row>
    <row r="35" spans="1:25" ht="16.5" customHeight="1" x14ac:dyDescent="0.25">
      <c r="A35" s="16" t="s">
        <v>80</v>
      </c>
      <c r="B35" s="17" t="s">
        <v>81</v>
      </c>
      <c r="C35" s="26" t="e">
        <f t="shared" si="0"/>
        <v>#REF!</v>
      </c>
      <c r="D35" s="26" t="e">
        <f t="shared" si="1"/>
        <v>#REF!</v>
      </c>
      <c r="E35" s="12" t="e">
        <f t="shared" si="2"/>
        <v>#REF!</v>
      </c>
      <c r="F35" s="26"/>
      <c r="G35" s="26" t="e">
        <f t="shared" si="3"/>
        <v>#REF!</v>
      </c>
      <c r="H35" s="26" t="e">
        <f t="shared" si="4"/>
        <v>#REF!</v>
      </c>
      <c r="I35" s="12" t="e">
        <f t="shared" si="5"/>
        <v>#REF!</v>
      </c>
      <c r="J35" s="26"/>
      <c r="K35" s="26" t="e">
        <f t="shared" si="6"/>
        <v>#REF!</v>
      </c>
      <c r="L35" s="26" t="e">
        <f t="shared" si="7"/>
        <v>#REF!</v>
      </c>
      <c r="M35" s="12" t="e">
        <f t="shared" si="8"/>
        <v>#REF!</v>
      </c>
      <c r="N35" s="12"/>
      <c r="O35" s="26" t="e">
        <f t="shared" si="9"/>
        <v>#REF!</v>
      </c>
      <c r="P35" s="26" t="e">
        <f t="shared" si="10"/>
        <v>#REF!</v>
      </c>
      <c r="Q35" s="12" t="e">
        <f t="shared" si="11"/>
        <v>#REF!</v>
      </c>
      <c r="R35" s="12"/>
      <c r="S35" s="26" t="e">
        <f t="shared" si="12"/>
        <v>#REF!</v>
      </c>
      <c r="T35" s="26" t="e">
        <f t="shared" si="13"/>
        <v>#REF!</v>
      </c>
      <c r="U35" s="12" t="e">
        <f t="shared" si="14"/>
        <v>#REF!</v>
      </c>
      <c r="V35" s="12"/>
      <c r="W35" s="44" t="e">
        <f t="shared" si="15"/>
        <v>#REF!</v>
      </c>
      <c r="X35" s="26" t="e">
        <f t="shared" si="16"/>
        <v>#REF!</v>
      </c>
      <c r="Y35" s="12" t="e">
        <f t="shared" si="17"/>
        <v>#REF!</v>
      </c>
    </row>
    <row r="36" spans="1:25" ht="16.5" customHeight="1" x14ac:dyDescent="0.25">
      <c r="A36" s="16" t="s">
        <v>84</v>
      </c>
      <c r="B36" s="32" t="s">
        <v>308</v>
      </c>
      <c r="C36" s="26" t="e">
        <f t="shared" ref="C36:C67" si="18">VLOOKUP(A36,MedicaidR,7,FALSE)</f>
        <v>#REF!</v>
      </c>
      <c r="D36" s="26" t="e">
        <f t="shared" ref="D36:D67" si="19">VLOOKUP(A36,Pop,14,FALSE)</f>
        <v>#REF!</v>
      </c>
      <c r="E36" s="12" t="e">
        <f t="shared" ref="E36:E67" si="20">+C36/D36</f>
        <v>#REF!</v>
      </c>
      <c r="F36" s="26"/>
      <c r="G36" s="26" t="e">
        <f t="shared" ref="G36:G67" si="21">VLOOKUP(A36,MedicaidR,8,FALSE)</f>
        <v>#REF!</v>
      </c>
      <c r="H36" s="26" t="e">
        <f t="shared" ref="H36:H67" si="22">VLOOKUP(A36,Pop,15,FALSE)</f>
        <v>#REF!</v>
      </c>
      <c r="I36" s="12" t="e">
        <f t="shared" ref="I36:I67" si="23">+G36/H36</f>
        <v>#REF!</v>
      </c>
      <c r="J36" s="26"/>
      <c r="K36" s="26" t="e">
        <f t="shared" ref="K36:K67" si="24">VLOOKUP(A36,MedicaidR,9,FALSE)</f>
        <v>#REF!</v>
      </c>
      <c r="L36" s="26" t="e">
        <f t="shared" ref="L36:L67" si="25">VLOOKUP(A36,Pop,16,FALSE)</f>
        <v>#REF!</v>
      </c>
      <c r="M36" s="12" t="e">
        <f t="shared" ref="M36:M67" si="26">+K36/L36</f>
        <v>#REF!</v>
      </c>
      <c r="N36" s="12"/>
      <c r="O36" s="26" t="e">
        <f t="shared" ref="O36:O67" si="27">VLOOKUP(A36,MedicaidR,3,FALSE)</f>
        <v>#REF!</v>
      </c>
      <c r="P36" s="26" t="e">
        <f t="shared" ref="P36:P67" si="28">VLOOKUP(A36,Pop,8,FALSE)</f>
        <v>#REF!</v>
      </c>
      <c r="Q36" s="12" t="e">
        <f t="shared" ref="Q36:Q67" si="29">+O36/P36</f>
        <v>#REF!</v>
      </c>
      <c r="R36" s="12"/>
      <c r="S36" s="26" t="e">
        <f t="shared" ref="S36:S67" si="30">VLOOKUP(A36,MedicaidR,4,FALSE)</f>
        <v>#REF!</v>
      </c>
      <c r="T36" s="26" t="e">
        <f t="shared" ref="T36:T67" si="31">VLOOKUP(A36,Pop,9,FALSE)</f>
        <v>#REF!</v>
      </c>
      <c r="U36" s="12" t="e">
        <f t="shared" ref="U36:U67" si="32">+S36/T36</f>
        <v>#REF!</v>
      </c>
      <c r="V36" s="12"/>
      <c r="W36" s="44" t="e">
        <f t="shared" ref="W36:W67" si="33">VLOOKUP(A36,MedicaidR,5,FALSE)</f>
        <v>#REF!</v>
      </c>
      <c r="X36" s="26" t="e">
        <f t="shared" ref="X36:X67" si="34">VLOOKUP(A36,Pop,10,FALSE)</f>
        <v>#REF!</v>
      </c>
      <c r="Y36" s="12" t="e">
        <f t="shared" ref="Y36:Y67" si="35">+W36/X36</f>
        <v>#REF!</v>
      </c>
    </row>
    <row r="37" spans="1:25" ht="16.5" customHeight="1" x14ac:dyDescent="0.25">
      <c r="A37" s="16" t="s">
        <v>86</v>
      </c>
      <c r="B37" s="17" t="s">
        <v>87</v>
      </c>
      <c r="C37" s="26" t="e">
        <f t="shared" si="18"/>
        <v>#REF!</v>
      </c>
      <c r="D37" s="26" t="e">
        <f t="shared" si="19"/>
        <v>#REF!</v>
      </c>
      <c r="E37" s="12" t="e">
        <f t="shared" si="20"/>
        <v>#REF!</v>
      </c>
      <c r="F37" s="26"/>
      <c r="G37" s="26" t="e">
        <f t="shared" si="21"/>
        <v>#REF!</v>
      </c>
      <c r="H37" s="26" t="e">
        <f t="shared" si="22"/>
        <v>#REF!</v>
      </c>
      <c r="I37" s="12" t="e">
        <f t="shared" si="23"/>
        <v>#REF!</v>
      </c>
      <c r="J37" s="26"/>
      <c r="K37" s="26" t="e">
        <f t="shared" si="24"/>
        <v>#REF!</v>
      </c>
      <c r="L37" s="26" t="e">
        <f t="shared" si="25"/>
        <v>#REF!</v>
      </c>
      <c r="M37" s="12" t="e">
        <f t="shared" si="26"/>
        <v>#REF!</v>
      </c>
      <c r="N37" s="12"/>
      <c r="O37" s="26" t="e">
        <f t="shared" si="27"/>
        <v>#REF!</v>
      </c>
      <c r="P37" s="26" t="e">
        <f t="shared" si="28"/>
        <v>#REF!</v>
      </c>
      <c r="Q37" s="12" t="e">
        <f t="shared" si="29"/>
        <v>#REF!</v>
      </c>
      <c r="R37" s="12"/>
      <c r="S37" s="26" t="e">
        <f t="shared" si="30"/>
        <v>#REF!</v>
      </c>
      <c r="T37" s="26" t="e">
        <f t="shared" si="31"/>
        <v>#REF!</v>
      </c>
      <c r="U37" s="12" t="e">
        <f t="shared" si="32"/>
        <v>#REF!</v>
      </c>
      <c r="V37" s="12"/>
      <c r="W37" s="44" t="e">
        <f t="shared" si="33"/>
        <v>#REF!</v>
      </c>
      <c r="X37" s="26" t="e">
        <f t="shared" si="34"/>
        <v>#REF!</v>
      </c>
      <c r="Y37" s="12" t="e">
        <f t="shared" si="35"/>
        <v>#REF!</v>
      </c>
    </row>
    <row r="38" spans="1:25" ht="16.5" customHeight="1" x14ac:dyDescent="0.25">
      <c r="A38" s="16" t="s">
        <v>92</v>
      </c>
      <c r="B38" s="17" t="s">
        <v>93</v>
      </c>
      <c r="C38" s="26" t="e">
        <f t="shared" si="18"/>
        <v>#REF!</v>
      </c>
      <c r="D38" s="26" t="e">
        <f t="shared" si="19"/>
        <v>#REF!</v>
      </c>
      <c r="E38" s="12" t="e">
        <f t="shared" si="20"/>
        <v>#REF!</v>
      </c>
      <c r="F38" s="26"/>
      <c r="G38" s="26" t="e">
        <f t="shared" si="21"/>
        <v>#REF!</v>
      </c>
      <c r="H38" s="26" t="e">
        <f t="shared" si="22"/>
        <v>#REF!</v>
      </c>
      <c r="I38" s="12" t="e">
        <f t="shared" si="23"/>
        <v>#REF!</v>
      </c>
      <c r="J38" s="26"/>
      <c r="K38" s="26" t="e">
        <f t="shared" si="24"/>
        <v>#REF!</v>
      </c>
      <c r="L38" s="26" t="e">
        <f t="shared" si="25"/>
        <v>#REF!</v>
      </c>
      <c r="M38" s="12" t="e">
        <f t="shared" si="26"/>
        <v>#REF!</v>
      </c>
      <c r="N38" s="12"/>
      <c r="O38" s="26" t="e">
        <f t="shared" si="27"/>
        <v>#REF!</v>
      </c>
      <c r="P38" s="26" t="e">
        <f t="shared" si="28"/>
        <v>#REF!</v>
      </c>
      <c r="Q38" s="12" t="e">
        <f t="shared" si="29"/>
        <v>#REF!</v>
      </c>
      <c r="R38" s="12"/>
      <c r="S38" s="26" t="e">
        <f t="shared" si="30"/>
        <v>#REF!</v>
      </c>
      <c r="T38" s="26" t="e">
        <f t="shared" si="31"/>
        <v>#REF!</v>
      </c>
      <c r="U38" s="12" t="e">
        <f t="shared" si="32"/>
        <v>#REF!</v>
      </c>
      <c r="V38" s="12"/>
      <c r="W38" s="44" t="e">
        <f t="shared" si="33"/>
        <v>#REF!</v>
      </c>
      <c r="X38" s="26" t="e">
        <f t="shared" si="34"/>
        <v>#REF!</v>
      </c>
      <c r="Y38" s="12" t="e">
        <f t="shared" si="35"/>
        <v>#REF!</v>
      </c>
    </row>
    <row r="39" spans="1:25" ht="16.5" customHeight="1" x14ac:dyDescent="0.25">
      <c r="A39" s="16" t="s">
        <v>94</v>
      </c>
      <c r="B39" s="17" t="s">
        <v>95</v>
      </c>
      <c r="C39" s="26" t="e">
        <f t="shared" si="18"/>
        <v>#REF!</v>
      </c>
      <c r="D39" s="26" t="e">
        <f t="shared" si="19"/>
        <v>#REF!</v>
      </c>
      <c r="E39" s="12" t="e">
        <f t="shared" si="20"/>
        <v>#REF!</v>
      </c>
      <c r="F39" s="26"/>
      <c r="G39" s="26" t="e">
        <f t="shared" si="21"/>
        <v>#REF!</v>
      </c>
      <c r="H39" s="26" t="e">
        <f t="shared" si="22"/>
        <v>#REF!</v>
      </c>
      <c r="I39" s="12" t="e">
        <f t="shared" si="23"/>
        <v>#REF!</v>
      </c>
      <c r="J39" s="26"/>
      <c r="K39" s="26" t="e">
        <f t="shared" si="24"/>
        <v>#REF!</v>
      </c>
      <c r="L39" s="26" t="e">
        <f t="shared" si="25"/>
        <v>#REF!</v>
      </c>
      <c r="M39" s="12" t="e">
        <f t="shared" si="26"/>
        <v>#REF!</v>
      </c>
      <c r="N39" s="12"/>
      <c r="O39" s="26" t="e">
        <f t="shared" si="27"/>
        <v>#REF!</v>
      </c>
      <c r="P39" s="26" t="e">
        <f t="shared" si="28"/>
        <v>#REF!</v>
      </c>
      <c r="Q39" s="12" t="e">
        <f t="shared" si="29"/>
        <v>#REF!</v>
      </c>
      <c r="R39" s="12"/>
      <c r="S39" s="26" t="e">
        <f t="shared" si="30"/>
        <v>#REF!</v>
      </c>
      <c r="T39" s="26" t="e">
        <f t="shared" si="31"/>
        <v>#REF!</v>
      </c>
      <c r="U39" s="12" t="e">
        <f t="shared" si="32"/>
        <v>#REF!</v>
      </c>
      <c r="V39" s="12"/>
      <c r="W39" s="44" t="e">
        <f t="shared" si="33"/>
        <v>#REF!</v>
      </c>
      <c r="X39" s="26" t="e">
        <f t="shared" si="34"/>
        <v>#REF!</v>
      </c>
      <c r="Y39" s="12" t="e">
        <f t="shared" si="35"/>
        <v>#REF!</v>
      </c>
    </row>
    <row r="40" spans="1:25" ht="16.5" customHeight="1" x14ac:dyDescent="0.25">
      <c r="A40" s="16" t="s">
        <v>96</v>
      </c>
      <c r="B40" s="17" t="s">
        <v>97</v>
      </c>
      <c r="C40" s="26" t="e">
        <f t="shared" si="18"/>
        <v>#REF!</v>
      </c>
      <c r="D40" s="26" t="e">
        <f t="shared" si="19"/>
        <v>#REF!</v>
      </c>
      <c r="E40" s="12" t="e">
        <f t="shared" si="20"/>
        <v>#REF!</v>
      </c>
      <c r="F40" s="26"/>
      <c r="G40" s="26" t="e">
        <f t="shared" si="21"/>
        <v>#REF!</v>
      </c>
      <c r="H40" s="26" t="e">
        <f t="shared" si="22"/>
        <v>#REF!</v>
      </c>
      <c r="I40" s="12" t="e">
        <f t="shared" si="23"/>
        <v>#REF!</v>
      </c>
      <c r="J40" s="26"/>
      <c r="K40" s="26" t="e">
        <f t="shared" si="24"/>
        <v>#REF!</v>
      </c>
      <c r="L40" s="26" t="e">
        <f t="shared" si="25"/>
        <v>#REF!</v>
      </c>
      <c r="M40" s="12" t="e">
        <f t="shared" si="26"/>
        <v>#REF!</v>
      </c>
      <c r="N40" s="12"/>
      <c r="O40" s="26" t="e">
        <f t="shared" si="27"/>
        <v>#REF!</v>
      </c>
      <c r="P40" s="26" t="e">
        <f t="shared" si="28"/>
        <v>#REF!</v>
      </c>
      <c r="Q40" s="12" t="e">
        <f t="shared" si="29"/>
        <v>#REF!</v>
      </c>
      <c r="R40" s="12"/>
      <c r="S40" s="26" t="e">
        <f t="shared" si="30"/>
        <v>#REF!</v>
      </c>
      <c r="T40" s="26" t="e">
        <f t="shared" si="31"/>
        <v>#REF!</v>
      </c>
      <c r="U40" s="12" t="e">
        <f t="shared" si="32"/>
        <v>#REF!</v>
      </c>
      <c r="V40" s="12"/>
      <c r="W40" s="44" t="e">
        <f t="shared" si="33"/>
        <v>#REF!</v>
      </c>
      <c r="X40" s="26" t="e">
        <f t="shared" si="34"/>
        <v>#REF!</v>
      </c>
      <c r="Y40" s="12" t="e">
        <f t="shared" si="35"/>
        <v>#REF!</v>
      </c>
    </row>
    <row r="41" spans="1:25" ht="16.5" customHeight="1" x14ac:dyDescent="0.25">
      <c r="A41" s="16" t="s">
        <v>98</v>
      </c>
      <c r="B41" s="32" t="s">
        <v>99</v>
      </c>
      <c r="C41" s="26" t="e">
        <f t="shared" si="18"/>
        <v>#REF!</v>
      </c>
      <c r="D41" s="26" t="e">
        <f t="shared" si="19"/>
        <v>#REF!</v>
      </c>
      <c r="E41" s="12" t="e">
        <f t="shared" si="20"/>
        <v>#REF!</v>
      </c>
      <c r="F41" s="26"/>
      <c r="G41" s="26" t="e">
        <f t="shared" si="21"/>
        <v>#REF!</v>
      </c>
      <c r="H41" s="26" t="e">
        <f t="shared" si="22"/>
        <v>#REF!</v>
      </c>
      <c r="I41" s="12" t="e">
        <f t="shared" si="23"/>
        <v>#REF!</v>
      </c>
      <c r="J41" s="26"/>
      <c r="K41" s="26" t="e">
        <f t="shared" si="24"/>
        <v>#REF!</v>
      </c>
      <c r="L41" s="26" t="e">
        <f t="shared" si="25"/>
        <v>#REF!</v>
      </c>
      <c r="M41" s="12" t="e">
        <f t="shared" si="26"/>
        <v>#REF!</v>
      </c>
      <c r="N41" s="12"/>
      <c r="O41" s="26" t="e">
        <f t="shared" si="27"/>
        <v>#REF!</v>
      </c>
      <c r="P41" s="26" t="e">
        <f t="shared" si="28"/>
        <v>#REF!</v>
      </c>
      <c r="Q41" s="12" t="e">
        <f t="shared" si="29"/>
        <v>#REF!</v>
      </c>
      <c r="R41" s="12"/>
      <c r="S41" s="26" t="e">
        <f t="shared" si="30"/>
        <v>#REF!</v>
      </c>
      <c r="T41" s="26" t="e">
        <f t="shared" si="31"/>
        <v>#REF!</v>
      </c>
      <c r="U41" s="12" t="e">
        <f t="shared" si="32"/>
        <v>#REF!</v>
      </c>
      <c r="V41" s="12"/>
      <c r="W41" s="44" t="e">
        <f t="shared" si="33"/>
        <v>#REF!</v>
      </c>
      <c r="X41" s="26" t="e">
        <f t="shared" si="34"/>
        <v>#REF!</v>
      </c>
      <c r="Y41" s="12" t="e">
        <f t="shared" si="35"/>
        <v>#REF!</v>
      </c>
    </row>
    <row r="42" spans="1:25" ht="16.5" customHeight="1" x14ac:dyDescent="0.25">
      <c r="A42" s="16" t="s">
        <v>100</v>
      </c>
      <c r="B42" s="32" t="s">
        <v>101</v>
      </c>
      <c r="C42" s="26" t="e">
        <f t="shared" si="18"/>
        <v>#REF!</v>
      </c>
      <c r="D42" s="26" t="e">
        <f t="shared" si="19"/>
        <v>#REF!</v>
      </c>
      <c r="E42" s="12" t="e">
        <f t="shared" si="20"/>
        <v>#REF!</v>
      </c>
      <c r="F42" s="26"/>
      <c r="G42" s="26" t="e">
        <f t="shared" si="21"/>
        <v>#REF!</v>
      </c>
      <c r="H42" s="26" t="e">
        <f t="shared" si="22"/>
        <v>#REF!</v>
      </c>
      <c r="I42" s="12" t="e">
        <f t="shared" si="23"/>
        <v>#REF!</v>
      </c>
      <c r="J42" s="26"/>
      <c r="K42" s="26" t="e">
        <f t="shared" si="24"/>
        <v>#REF!</v>
      </c>
      <c r="L42" s="26" t="e">
        <f t="shared" si="25"/>
        <v>#REF!</v>
      </c>
      <c r="M42" s="12" t="e">
        <f t="shared" si="26"/>
        <v>#REF!</v>
      </c>
      <c r="N42" s="12"/>
      <c r="O42" s="26" t="e">
        <f t="shared" si="27"/>
        <v>#REF!</v>
      </c>
      <c r="P42" s="26" t="e">
        <f t="shared" si="28"/>
        <v>#REF!</v>
      </c>
      <c r="Q42" s="12" t="e">
        <f t="shared" si="29"/>
        <v>#REF!</v>
      </c>
      <c r="R42" s="12"/>
      <c r="S42" s="26" t="e">
        <f t="shared" si="30"/>
        <v>#REF!</v>
      </c>
      <c r="T42" s="26" t="e">
        <f t="shared" si="31"/>
        <v>#REF!</v>
      </c>
      <c r="U42" s="12" t="e">
        <f t="shared" si="32"/>
        <v>#REF!</v>
      </c>
      <c r="V42" s="12"/>
      <c r="W42" s="44" t="e">
        <f t="shared" si="33"/>
        <v>#REF!</v>
      </c>
      <c r="X42" s="26" t="e">
        <f t="shared" si="34"/>
        <v>#REF!</v>
      </c>
      <c r="Y42" s="12" t="e">
        <f t="shared" si="35"/>
        <v>#REF!</v>
      </c>
    </row>
    <row r="43" spans="1:25" ht="16.5" customHeight="1" x14ac:dyDescent="0.25">
      <c r="A43" s="16" t="s">
        <v>102</v>
      </c>
      <c r="B43" s="32" t="s">
        <v>103</v>
      </c>
      <c r="C43" s="26" t="e">
        <f t="shared" si="18"/>
        <v>#REF!</v>
      </c>
      <c r="D43" s="26" t="e">
        <f t="shared" si="19"/>
        <v>#REF!</v>
      </c>
      <c r="E43" s="12" t="e">
        <f t="shared" si="20"/>
        <v>#REF!</v>
      </c>
      <c r="F43" s="26"/>
      <c r="G43" s="26" t="e">
        <f t="shared" si="21"/>
        <v>#REF!</v>
      </c>
      <c r="H43" s="26" t="e">
        <f t="shared" si="22"/>
        <v>#REF!</v>
      </c>
      <c r="I43" s="12" t="e">
        <f t="shared" si="23"/>
        <v>#REF!</v>
      </c>
      <c r="J43" s="26"/>
      <c r="K43" s="26" t="e">
        <f t="shared" si="24"/>
        <v>#REF!</v>
      </c>
      <c r="L43" s="26" t="e">
        <f t="shared" si="25"/>
        <v>#REF!</v>
      </c>
      <c r="M43" s="12" t="e">
        <f t="shared" si="26"/>
        <v>#REF!</v>
      </c>
      <c r="N43" s="12"/>
      <c r="O43" s="26" t="e">
        <f t="shared" si="27"/>
        <v>#REF!</v>
      </c>
      <c r="P43" s="26" t="e">
        <f t="shared" si="28"/>
        <v>#REF!</v>
      </c>
      <c r="Q43" s="12" t="e">
        <f t="shared" si="29"/>
        <v>#REF!</v>
      </c>
      <c r="R43" s="12"/>
      <c r="S43" s="26" t="e">
        <f t="shared" si="30"/>
        <v>#REF!</v>
      </c>
      <c r="T43" s="26" t="e">
        <f t="shared" si="31"/>
        <v>#REF!</v>
      </c>
      <c r="U43" s="12" t="e">
        <f t="shared" si="32"/>
        <v>#REF!</v>
      </c>
      <c r="V43" s="12"/>
      <c r="W43" s="44" t="e">
        <f t="shared" si="33"/>
        <v>#REF!</v>
      </c>
      <c r="X43" s="26" t="e">
        <f t="shared" si="34"/>
        <v>#REF!</v>
      </c>
      <c r="Y43" s="12" t="e">
        <f t="shared" si="35"/>
        <v>#REF!</v>
      </c>
    </row>
    <row r="44" spans="1:25" ht="16.5" customHeight="1" x14ac:dyDescent="0.25">
      <c r="A44" s="16" t="s">
        <v>104</v>
      </c>
      <c r="B44" s="17" t="s">
        <v>309</v>
      </c>
      <c r="C44" s="26" t="e">
        <f t="shared" si="18"/>
        <v>#REF!</v>
      </c>
      <c r="D44" s="26" t="e">
        <f t="shared" si="19"/>
        <v>#REF!</v>
      </c>
      <c r="E44" s="12" t="e">
        <f t="shared" si="20"/>
        <v>#REF!</v>
      </c>
      <c r="F44" s="26"/>
      <c r="G44" s="26" t="e">
        <f t="shared" si="21"/>
        <v>#REF!</v>
      </c>
      <c r="H44" s="26" t="e">
        <f t="shared" si="22"/>
        <v>#REF!</v>
      </c>
      <c r="I44" s="12" t="e">
        <f t="shared" si="23"/>
        <v>#REF!</v>
      </c>
      <c r="J44" s="26"/>
      <c r="K44" s="26" t="e">
        <f t="shared" si="24"/>
        <v>#REF!</v>
      </c>
      <c r="L44" s="26" t="e">
        <f t="shared" si="25"/>
        <v>#REF!</v>
      </c>
      <c r="M44" s="12" t="e">
        <f t="shared" si="26"/>
        <v>#REF!</v>
      </c>
      <c r="N44" s="12"/>
      <c r="O44" s="26" t="e">
        <f t="shared" si="27"/>
        <v>#REF!</v>
      </c>
      <c r="P44" s="26" t="e">
        <f t="shared" si="28"/>
        <v>#REF!</v>
      </c>
      <c r="Q44" s="12" t="e">
        <f t="shared" si="29"/>
        <v>#REF!</v>
      </c>
      <c r="R44" s="12"/>
      <c r="S44" s="26" t="e">
        <f t="shared" si="30"/>
        <v>#REF!</v>
      </c>
      <c r="T44" s="26" t="e">
        <f t="shared" si="31"/>
        <v>#REF!</v>
      </c>
      <c r="U44" s="12" t="e">
        <f t="shared" si="32"/>
        <v>#REF!</v>
      </c>
      <c r="V44" s="12"/>
      <c r="W44" s="44" t="e">
        <f t="shared" si="33"/>
        <v>#REF!</v>
      </c>
      <c r="X44" s="26" t="e">
        <f t="shared" si="34"/>
        <v>#REF!</v>
      </c>
      <c r="Y44" s="12" t="e">
        <f t="shared" si="35"/>
        <v>#REF!</v>
      </c>
    </row>
    <row r="45" spans="1:25" ht="16.5" customHeight="1" x14ac:dyDescent="0.25">
      <c r="A45" s="16" t="s">
        <v>108</v>
      </c>
      <c r="B45" s="17" t="s">
        <v>109</v>
      </c>
      <c r="C45" s="26" t="e">
        <f t="shared" si="18"/>
        <v>#REF!</v>
      </c>
      <c r="D45" s="26" t="e">
        <f t="shared" si="19"/>
        <v>#REF!</v>
      </c>
      <c r="E45" s="12" t="e">
        <f t="shared" si="20"/>
        <v>#REF!</v>
      </c>
      <c r="F45" s="26"/>
      <c r="G45" s="26" t="e">
        <f t="shared" si="21"/>
        <v>#REF!</v>
      </c>
      <c r="H45" s="26" t="e">
        <f t="shared" si="22"/>
        <v>#REF!</v>
      </c>
      <c r="I45" s="12" t="e">
        <f t="shared" si="23"/>
        <v>#REF!</v>
      </c>
      <c r="J45" s="26"/>
      <c r="K45" s="26" t="e">
        <f t="shared" si="24"/>
        <v>#REF!</v>
      </c>
      <c r="L45" s="26" t="e">
        <f t="shared" si="25"/>
        <v>#REF!</v>
      </c>
      <c r="M45" s="12" t="e">
        <f t="shared" si="26"/>
        <v>#REF!</v>
      </c>
      <c r="N45" s="12"/>
      <c r="O45" s="26" t="e">
        <f t="shared" si="27"/>
        <v>#REF!</v>
      </c>
      <c r="P45" s="26" t="e">
        <f t="shared" si="28"/>
        <v>#REF!</v>
      </c>
      <c r="Q45" s="12" t="e">
        <f t="shared" si="29"/>
        <v>#REF!</v>
      </c>
      <c r="R45" s="12"/>
      <c r="S45" s="26" t="e">
        <f t="shared" si="30"/>
        <v>#REF!</v>
      </c>
      <c r="T45" s="26" t="e">
        <f t="shared" si="31"/>
        <v>#REF!</v>
      </c>
      <c r="U45" s="12" t="e">
        <f t="shared" si="32"/>
        <v>#REF!</v>
      </c>
      <c r="V45" s="12"/>
      <c r="W45" s="44" t="e">
        <f t="shared" si="33"/>
        <v>#REF!</v>
      </c>
      <c r="X45" s="26" t="e">
        <f t="shared" si="34"/>
        <v>#REF!</v>
      </c>
      <c r="Y45" s="12" t="e">
        <f t="shared" si="35"/>
        <v>#REF!</v>
      </c>
    </row>
    <row r="46" spans="1:25" ht="16.5" customHeight="1" x14ac:dyDescent="0.25">
      <c r="A46" s="16" t="s">
        <v>110</v>
      </c>
      <c r="B46" s="17" t="s">
        <v>111</v>
      </c>
      <c r="C46" s="26" t="e">
        <f t="shared" si="18"/>
        <v>#REF!</v>
      </c>
      <c r="D46" s="26" t="e">
        <f t="shared" si="19"/>
        <v>#REF!</v>
      </c>
      <c r="E46" s="12" t="e">
        <f t="shared" si="20"/>
        <v>#REF!</v>
      </c>
      <c r="F46" s="26"/>
      <c r="G46" s="26" t="e">
        <f t="shared" si="21"/>
        <v>#REF!</v>
      </c>
      <c r="H46" s="26" t="e">
        <f t="shared" si="22"/>
        <v>#REF!</v>
      </c>
      <c r="I46" s="12" t="e">
        <f t="shared" si="23"/>
        <v>#REF!</v>
      </c>
      <c r="J46" s="26"/>
      <c r="K46" s="26" t="e">
        <f t="shared" si="24"/>
        <v>#REF!</v>
      </c>
      <c r="L46" s="26" t="e">
        <f t="shared" si="25"/>
        <v>#REF!</v>
      </c>
      <c r="M46" s="12" t="e">
        <f t="shared" si="26"/>
        <v>#REF!</v>
      </c>
      <c r="N46" s="12"/>
      <c r="O46" s="26" t="e">
        <f t="shared" si="27"/>
        <v>#REF!</v>
      </c>
      <c r="P46" s="26" t="e">
        <f t="shared" si="28"/>
        <v>#REF!</v>
      </c>
      <c r="Q46" s="12" t="e">
        <f t="shared" si="29"/>
        <v>#REF!</v>
      </c>
      <c r="R46" s="12"/>
      <c r="S46" s="26" t="e">
        <f t="shared" si="30"/>
        <v>#REF!</v>
      </c>
      <c r="T46" s="26" t="e">
        <f t="shared" si="31"/>
        <v>#REF!</v>
      </c>
      <c r="U46" s="12" t="e">
        <f t="shared" si="32"/>
        <v>#REF!</v>
      </c>
      <c r="V46" s="12"/>
      <c r="W46" s="44" t="e">
        <f t="shared" si="33"/>
        <v>#REF!</v>
      </c>
      <c r="X46" s="26" t="e">
        <f t="shared" si="34"/>
        <v>#REF!</v>
      </c>
      <c r="Y46" s="12" t="e">
        <f t="shared" si="35"/>
        <v>#REF!</v>
      </c>
    </row>
    <row r="47" spans="1:25" ht="16.5" customHeight="1" x14ac:dyDescent="0.25">
      <c r="A47" s="16" t="s">
        <v>112</v>
      </c>
      <c r="B47" s="32" t="s">
        <v>300</v>
      </c>
      <c r="C47" s="26" t="e">
        <f t="shared" si="18"/>
        <v>#REF!</v>
      </c>
      <c r="D47" s="26" t="e">
        <f t="shared" si="19"/>
        <v>#REF!</v>
      </c>
      <c r="E47" s="12" t="e">
        <f t="shared" si="20"/>
        <v>#REF!</v>
      </c>
      <c r="F47" s="26"/>
      <c r="G47" s="26" t="e">
        <f t="shared" si="21"/>
        <v>#REF!</v>
      </c>
      <c r="H47" s="26" t="e">
        <f t="shared" si="22"/>
        <v>#REF!</v>
      </c>
      <c r="I47" s="12" t="e">
        <f t="shared" si="23"/>
        <v>#REF!</v>
      </c>
      <c r="J47" s="26"/>
      <c r="K47" s="26" t="e">
        <f t="shared" si="24"/>
        <v>#REF!</v>
      </c>
      <c r="L47" s="26" t="e">
        <f t="shared" si="25"/>
        <v>#REF!</v>
      </c>
      <c r="M47" s="12" t="e">
        <f t="shared" si="26"/>
        <v>#REF!</v>
      </c>
      <c r="N47" s="12"/>
      <c r="O47" s="26" t="e">
        <f t="shared" si="27"/>
        <v>#REF!</v>
      </c>
      <c r="P47" s="26" t="e">
        <f t="shared" si="28"/>
        <v>#REF!</v>
      </c>
      <c r="Q47" s="12" t="e">
        <f t="shared" si="29"/>
        <v>#REF!</v>
      </c>
      <c r="R47" s="12"/>
      <c r="S47" s="26" t="e">
        <f t="shared" si="30"/>
        <v>#REF!</v>
      </c>
      <c r="T47" s="26" t="e">
        <f t="shared" si="31"/>
        <v>#REF!</v>
      </c>
      <c r="U47" s="12" t="e">
        <f t="shared" si="32"/>
        <v>#REF!</v>
      </c>
      <c r="V47" s="12"/>
      <c r="W47" s="44" t="e">
        <f t="shared" si="33"/>
        <v>#REF!</v>
      </c>
      <c r="X47" s="26" t="e">
        <f t="shared" si="34"/>
        <v>#REF!</v>
      </c>
      <c r="Y47" s="12" t="e">
        <f t="shared" si="35"/>
        <v>#REF!</v>
      </c>
    </row>
    <row r="48" spans="1:25" ht="16.5" customHeight="1" x14ac:dyDescent="0.25">
      <c r="A48" s="16" t="s">
        <v>114</v>
      </c>
      <c r="B48" s="32" t="s">
        <v>115</v>
      </c>
      <c r="C48" s="26" t="e">
        <f t="shared" si="18"/>
        <v>#REF!</v>
      </c>
      <c r="D48" s="26" t="e">
        <f t="shared" si="19"/>
        <v>#REF!</v>
      </c>
      <c r="E48" s="12" t="e">
        <f t="shared" si="20"/>
        <v>#REF!</v>
      </c>
      <c r="F48" s="26"/>
      <c r="G48" s="26" t="e">
        <f t="shared" si="21"/>
        <v>#REF!</v>
      </c>
      <c r="H48" s="26" t="e">
        <f t="shared" si="22"/>
        <v>#REF!</v>
      </c>
      <c r="I48" s="12" t="e">
        <f t="shared" si="23"/>
        <v>#REF!</v>
      </c>
      <c r="J48" s="26"/>
      <c r="K48" s="26" t="e">
        <f t="shared" si="24"/>
        <v>#REF!</v>
      </c>
      <c r="L48" s="26" t="e">
        <f t="shared" si="25"/>
        <v>#REF!</v>
      </c>
      <c r="M48" s="12" t="e">
        <f t="shared" si="26"/>
        <v>#REF!</v>
      </c>
      <c r="N48" s="12"/>
      <c r="O48" s="26" t="e">
        <f t="shared" si="27"/>
        <v>#REF!</v>
      </c>
      <c r="P48" s="26" t="e">
        <f t="shared" si="28"/>
        <v>#REF!</v>
      </c>
      <c r="Q48" s="12" t="e">
        <f t="shared" si="29"/>
        <v>#REF!</v>
      </c>
      <c r="R48" s="12"/>
      <c r="S48" s="26" t="e">
        <f t="shared" si="30"/>
        <v>#REF!</v>
      </c>
      <c r="T48" s="26" t="e">
        <f t="shared" si="31"/>
        <v>#REF!</v>
      </c>
      <c r="U48" s="12" t="e">
        <f t="shared" si="32"/>
        <v>#REF!</v>
      </c>
      <c r="V48" s="12"/>
      <c r="W48" s="44" t="e">
        <f t="shared" si="33"/>
        <v>#REF!</v>
      </c>
      <c r="X48" s="26" t="e">
        <f t="shared" si="34"/>
        <v>#REF!</v>
      </c>
      <c r="Y48" s="12" t="e">
        <f t="shared" si="35"/>
        <v>#REF!</v>
      </c>
    </row>
    <row r="49" spans="1:25" ht="16.5" customHeight="1" x14ac:dyDescent="0.25">
      <c r="A49" s="16" t="s">
        <v>118</v>
      </c>
      <c r="B49" s="17" t="s">
        <v>119</v>
      </c>
      <c r="C49" s="26" t="e">
        <f t="shared" si="18"/>
        <v>#REF!</v>
      </c>
      <c r="D49" s="26" t="e">
        <f t="shared" si="19"/>
        <v>#REF!</v>
      </c>
      <c r="E49" s="12" t="e">
        <f t="shared" si="20"/>
        <v>#REF!</v>
      </c>
      <c r="F49" s="26"/>
      <c r="G49" s="26" t="e">
        <f t="shared" si="21"/>
        <v>#REF!</v>
      </c>
      <c r="H49" s="26" t="e">
        <f t="shared" si="22"/>
        <v>#REF!</v>
      </c>
      <c r="I49" s="12" t="e">
        <f t="shared" si="23"/>
        <v>#REF!</v>
      </c>
      <c r="J49" s="26"/>
      <c r="K49" s="26" t="e">
        <f t="shared" si="24"/>
        <v>#REF!</v>
      </c>
      <c r="L49" s="26" t="e">
        <f t="shared" si="25"/>
        <v>#REF!</v>
      </c>
      <c r="M49" s="12" t="e">
        <f t="shared" si="26"/>
        <v>#REF!</v>
      </c>
      <c r="N49" s="12"/>
      <c r="O49" s="26" t="e">
        <f t="shared" si="27"/>
        <v>#REF!</v>
      </c>
      <c r="P49" s="26" t="e">
        <f t="shared" si="28"/>
        <v>#REF!</v>
      </c>
      <c r="Q49" s="12" t="e">
        <f t="shared" si="29"/>
        <v>#REF!</v>
      </c>
      <c r="R49" s="12"/>
      <c r="S49" s="26" t="e">
        <f t="shared" si="30"/>
        <v>#REF!</v>
      </c>
      <c r="T49" s="26" t="e">
        <f t="shared" si="31"/>
        <v>#REF!</v>
      </c>
      <c r="U49" s="12" t="e">
        <f t="shared" si="32"/>
        <v>#REF!</v>
      </c>
      <c r="V49" s="12"/>
      <c r="W49" s="44" t="e">
        <f t="shared" si="33"/>
        <v>#REF!</v>
      </c>
      <c r="X49" s="26" t="e">
        <f t="shared" si="34"/>
        <v>#REF!</v>
      </c>
      <c r="Y49" s="12" t="e">
        <f t="shared" si="35"/>
        <v>#REF!</v>
      </c>
    </row>
    <row r="50" spans="1:25" ht="16.5" customHeight="1" x14ac:dyDescent="0.25">
      <c r="A50" s="16" t="s">
        <v>120</v>
      </c>
      <c r="B50" s="17" t="s">
        <v>121</v>
      </c>
      <c r="C50" s="26" t="e">
        <f t="shared" si="18"/>
        <v>#REF!</v>
      </c>
      <c r="D50" s="26" t="e">
        <f t="shared" si="19"/>
        <v>#REF!</v>
      </c>
      <c r="E50" s="12" t="e">
        <f t="shared" si="20"/>
        <v>#REF!</v>
      </c>
      <c r="F50" s="26"/>
      <c r="G50" s="26" t="e">
        <f t="shared" si="21"/>
        <v>#REF!</v>
      </c>
      <c r="H50" s="26" t="e">
        <f t="shared" si="22"/>
        <v>#REF!</v>
      </c>
      <c r="I50" s="12" t="e">
        <f t="shared" si="23"/>
        <v>#REF!</v>
      </c>
      <c r="J50" s="26"/>
      <c r="K50" s="26" t="e">
        <f t="shared" si="24"/>
        <v>#REF!</v>
      </c>
      <c r="L50" s="26" t="e">
        <f t="shared" si="25"/>
        <v>#REF!</v>
      </c>
      <c r="M50" s="12" t="e">
        <f t="shared" si="26"/>
        <v>#REF!</v>
      </c>
      <c r="N50" s="12"/>
      <c r="O50" s="26" t="e">
        <f t="shared" si="27"/>
        <v>#REF!</v>
      </c>
      <c r="P50" s="26" t="e">
        <f t="shared" si="28"/>
        <v>#REF!</v>
      </c>
      <c r="Q50" s="12" t="e">
        <f t="shared" si="29"/>
        <v>#REF!</v>
      </c>
      <c r="R50" s="12"/>
      <c r="S50" s="26" t="e">
        <f t="shared" si="30"/>
        <v>#REF!</v>
      </c>
      <c r="T50" s="26" t="e">
        <f t="shared" si="31"/>
        <v>#REF!</v>
      </c>
      <c r="U50" s="12" t="e">
        <f t="shared" si="32"/>
        <v>#REF!</v>
      </c>
      <c r="V50" s="12"/>
      <c r="W50" s="44" t="e">
        <f t="shared" si="33"/>
        <v>#REF!</v>
      </c>
      <c r="X50" s="26" t="e">
        <f t="shared" si="34"/>
        <v>#REF!</v>
      </c>
      <c r="Y50" s="12" t="e">
        <f t="shared" si="35"/>
        <v>#REF!</v>
      </c>
    </row>
    <row r="51" spans="1:25" ht="16.5" customHeight="1" x14ac:dyDescent="0.25">
      <c r="A51" s="16" t="s">
        <v>122</v>
      </c>
      <c r="B51" s="32" t="s">
        <v>271</v>
      </c>
      <c r="C51" s="26" t="e">
        <f t="shared" si="18"/>
        <v>#REF!</v>
      </c>
      <c r="D51" s="26" t="e">
        <f t="shared" si="19"/>
        <v>#REF!</v>
      </c>
      <c r="E51" s="12" t="e">
        <f t="shared" si="20"/>
        <v>#REF!</v>
      </c>
      <c r="F51" s="26"/>
      <c r="G51" s="26" t="e">
        <f t="shared" si="21"/>
        <v>#REF!</v>
      </c>
      <c r="H51" s="26" t="e">
        <f t="shared" si="22"/>
        <v>#REF!</v>
      </c>
      <c r="I51" s="12" t="e">
        <f t="shared" si="23"/>
        <v>#REF!</v>
      </c>
      <c r="J51" s="26"/>
      <c r="K51" s="26" t="e">
        <f t="shared" si="24"/>
        <v>#REF!</v>
      </c>
      <c r="L51" s="26" t="e">
        <f t="shared" si="25"/>
        <v>#REF!</v>
      </c>
      <c r="M51" s="12" t="e">
        <f t="shared" si="26"/>
        <v>#REF!</v>
      </c>
      <c r="N51" s="12"/>
      <c r="O51" s="26" t="e">
        <f t="shared" si="27"/>
        <v>#REF!</v>
      </c>
      <c r="P51" s="26" t="e">
        <f t="shared" si="28"/>
        <v>#REF!</v>
      </c>
      <c r="Q51" s="12" t="e">
        <f t="shared" si="29"/>
        <v>#REF!</v>
      </c>
      <c r="R51" s="12"/>
      <c r="S51" s="26" t="e">
        <f t="shared" si="30"/>
        <v>#REF!</v>
      </c>
      <c r="T51" s="26" t="e">
        <f t="shared" si="31"/>
        <v>#REF!</v>
      </c>
      <c r="U51" s="12" t="e">
        <f t="shared" si="32"/>
        <v>#REF!</v>
      </c>
      <c r="V51" s="12"/>
      <c r="W51" s="44" t="e">
        <f t="shared" si="33"/>
        <v>#REF!</v>
      </c>
      <c r="X51" s="26" t="e">
        <f t="shared" si="34"/>
        <v>#REF!</v>
      </c>
      <c r="Y51" s="12" t="e">
        <f t="shared" si="35"/>
        <v>#REF!</v>
      </c>
    </row>
    <row r="52" spans="1:25" ht="16.5" customHeight="1" x14ac:dyDescent="0.25">
      <c r="A52" s="16" t="s">
        <v>124</v>
      </c>
      <c r="B52" s="17" t="s">
        <v>125</v>
      </c>
      <c r="C52" s="26" t="e">
        <f t="shared" si="18"/>
        <v>#REF!</v>
      </c>
      <c r="D52" s="26" t="e">
        <f t="shared" si="19"/>
        <v>#REF!</v>
      </c>
      <c r="E52" s="12" t="e">
        <f t="shared" si="20"/>
        <v>#REF!</v>
      </c>
      <c r="F52" s="26"/>
      <c r="G52" s="26" t="e">
        <f t="shared" si="21"/>
        <v>#REF!</v>
      </c>
      <c r="H52" s="26" t="e">
        <f t="shared" si="22"/>
        <v>#REF!</v>
      </c>
      <c r="I52" s="12" t="e">
        <f t="shared" si="23"/>
        <v>#REF!</v>
      </c>
      <c r="J52" s="26"/>
      <c r="K52" s="26" t="e">
        <f t="shared" si="24"/>
        <v>#REF!</v>
      </c>
      <c r="L52" s="26" t="e">
        <f t="shared" si="25"/>
        <v>#REF!</v>
      </c>
      <c r="M52" s="12" t="e">
        <f t="shared" si="26"/>
        <v>#REF!</v>
      </c>
      <c r="N52" s="12"/>
      <c r="O52" s="26" t="e">
        <f t="shared" si="27"/>
        <v>#REF!</v>
      </c>
      <c r="P52" s="26" t="e">
        <f t="shared" si="28"/>
        <v>#REF!</v>
      </c>
      <c r="Q52" s="12" t="e">
        <f t="shared" si="29"/>
        <v>#REF!</v>
      </c>
      <c r="R52" s="12"/>
      <c r="S52" s="26" t="e">
        <f t="shared" si="30"/>
        <v>#REF!</v>
      </c>
      <c r="T52" s="26" t="e">
        <f t="shared" si="31"/>
        <v>#REF!</v>
      </c>
      <c r="U52" s="12" t="e">
        <f t="shared" si="32"/>
        <v>#REF!</v>
      </c>
      <c r="V52" s="12"/>
      <c r="W52" s="44" t="e">
        <f t="shared" si="33"/>
        <v>#REF!</v>
      </c>
      <c r="X52" s="26" t="e">
        <f t="shared" si="34"/>
        <v>#REF!</v>
      </c>
      <c r="Y52" s="12" t="e">
        <f t="shared" si="35"/>
        <v>#REF!</v>
      </c>
    </row>
    <row r="53" spans="1:25" ht="16.5" customHeight="1" x14ac:dyDescent="0.25">
      <c r="A53" s="16" t="s">
        <v>126</v>
      </c>
      <c r="B53" s="17" t="s">
        <v>127</v>
      </c>
      <c r="C53" s="26" t="e">
        <f t="shared" si="18"/>
        <v>#REF!</v>
      </c>
      <c r="D53" s="26" t="e">
        <f t="shared" si="19"/>
        <v>#REF!</v>
      </c>
      <c r="E53" s="12" t="e">
        <f t="shared" si="20"/>
        <v>#REF!</v>
      </c>
      <c r="F53" s="26"/>
      <c r="G53" s="26" t="e">
        <f t="shared" si="21"/>
        <v>#REF!</v>
      </c>
      <c r="H53" s="26" t="e">
        <f t="shared" si="22"/>
        <v>#REF!</v>
      </c>
      <c r="I53" s="12" t="e">
        <f t="shared" si="23"/>
        <v>#REF!</v>
      </c>
      <c r="J53" s="26"/>
      <c r="K53" s="26" t="e">
        <f t="shared" si="24"/>
        <v>#REF!</v>
      </c>
      <c r="L53" s="26" t="e">
        <f t="shared" si="25"/>
        <v>#REF!</v>
      </c>
      <c r="M53" s="12" t="e">
        <f t="shared" si="26"/>
        <v>#REF!</v>
      </c>
      <c r="N53" s="12"/>
      <c r="O53" s="26" t="e">
        <f t="shared" si="27"/>
        <v>#REF!</v>
      </c>
      <c r="P53" s="26" t="e">
        <f t="shared" si="28"/>
        <v>#REF!</v>
      </c>
      <c r="Q53" s="12" t="e">
        <f t="shared" si="29"/>
        <v>#REF!</v>
      </c>
      <c r="R53" s="12"/>
      <c r="S53" s="26" t="e">
        <f t="shared" si="30"/>
        <v>#REF!</v>
      </c>
      <c r="T53" s="26" t="e">
        <f t="shared" si="31"/>
        <v>#REF!</v>
      </c>
      <c r="U53" s="12" t="e">
        <f t="shared" si="32"/>
        <v>#REF!</v>
      </c>
      <c r="V53" s="12"/>
      <c r="W53" s="44" t="e">
        <f t="shared" si="33"/>
        <v>#REF!</v>
      </c>
      <c r="X53" s="26" t="e">
        <f t="shared" si="34"/>
        <v>#REF!</v>
      </c>
      <c r="Y53" s="12" t="e">
        <f t="shared" si="35"/>
        <v>#REF!</v>
      </c>
    </row>
    <row r="54" spans="1:25" ht="16.5" customHeight="1" x14ac:dyDescent="0.25">
      <c r="A54" s="16" t="s">
        <v>128</v>
      </c>
      <c r="B54" s="32" t="s">
        <v>129</v>
      </c>
      <c r="C54" s="26" t="e">
        <f t="shared" si="18"/>
        <v>#REF!</v>
      </c>
      <c r="D54" s="26" t="e">
        <f t="shared" si="19"/>
        <v>#REF!</v>
      </c>
      <c r="E54" s="12" t="e">
        <f t="shared" si="20"/>
        <v>#REF!</v>
      </c>
      <c r="F54" s="26"/>
      <c r="G54" s="26" t="e">
        <f t="shared" si="21"/>
        <v>#REF!</v>
      </c>
      <c r="H54" s="26" t="e">
        <f t="shared" si="22"/>
        <v>#REF!</v>
      </c>
      <c r="I54" s="12" t="e">
        <f t="shared" si="23"/>
        <v>#REF!</v>
      </c>
      <c r="J54" s="26"/>
      <c r="K54" s="26" t="e">
        <f t="shared" si="24"/>
        <v>#REF!</v>
      </c>
      <c r="L54" s="26" t="e">
        <f t="shared" si="25"/>
        <v>#REF!</v>
      </c>
      <c r="M54" s="12" t="e">
        <f t="shared" si="26"/>
        <v>#REF!</v>
      </c>
      <c r="N54" s="12"/>
      <c r="O54" s="26" t="e">
        <f t="shared" si="27"/>
        <v>#REF!</v>
      </c>
      <c r="P54" s="26" t="e">
        <f t="shared" si="28"/>
        <v>#REF!</v>
      </c>
      <c r="Q54" s="12" t="e">
        <f t="shared" si="29"/>
        <v>#REF!</v>
      </c>
      <c r="R54" s="12"/>
      <c r="S54" s="26" t="e">
        <f t="shared" si="30"/>
        <v>#REF!</v>
      </c>
      <c r="T54" s="26" t="e">
        <f t="shared" si="31"/>
        <v>#REF!</v>
      </c>
      <c r="U54" s="12" t="e">
        <f t="shared" si="32"/>
        <v>#REF!</v>
      </c>
      <c r="V54" s="12"/>
      <c r="W54" s="44" t="e">
        <f t="shared" si="33"/>
        <v>#REF!</v>
      </c>
      <c r="X54" s="26" t="e">
        <f t="shared" si="34"/>
        <v>#REF!</v>
      </c>
      <c r="Y54" s="12" t="e">
        <f t="shared" si="35"/>
        <v>#REF!</v>
      </c>
    </row>
    <row r="55" spans="1:25" ht="16.5" customHeight="1" x14ac:dyDescent="0.25">
      <c r="A55" s="16" t="s">
        <v>130</v>
      </c>
      <c r="B55" s="32" t="s">
        <v>131</v>
      </c>
      <c r="C55" s="26" t="e">
        <f t="shared" si="18"/>
        <v>#REF!</v>
      </c>
      <c r="D55" s="26" t="e">
        <f t="shared" si="19"/>
        <v>#REF!</v>
      </c>
      <c r="E55" s="12" t="e">
        <f t="shared" si="20"/>
        <v>#REF!</v>
      </c>
      <c r="F55" s="26"/>
      <c r="G55" s="26" t="e">
        <f t="shared" si="21"/>
        <v>#REF!</v>
      </c>
      <c r="H55" s="26" t="e">
        <f t="shared" si="22"/>
        <v>#REF!</v>
      </c>
      <c r="I55" s="12" t="e">
        <f t="shared" si="23"/>
        <v>#REF!</v>
      </c>
      <c r="J55" s="26"/>
      <c r="K55" s="26" t="e">
        <f t="shared" si="24"/>
        <v>#REF!</v>
      </c>
      <c r="L55" s="26" t="e">
        <f t="shared" si="25"/>
        <v>#REF!</v>
      </c>
      <c r="M55" s="12" t="e">
        <f t="shared" si="26"/>
        <v>#REF!</v>
      </c>
      <c r="N55" s="12"/>
      <c r="O55" s="26" t="e">
        <f t="shared" si="27"/>
        <v>#REF!</v>
      </c>
      <c r="P55" s="26" t="e">
        <f t="shared" si="28"/>
        <v>#REF!</v>
      </c>
      <c r="Q55" s="12" t="e">
        <f t="shared" si="29"/>
        <v>#REF!</v>
      </c>
      <c r="R55" s="12"/>
      <c r="S55" s="26" t="e">
        <f t="shared" si="30"/>
        <v>#REF!</v>
      </c>
      <c r="T55" s="26" t="e">
        <f t="shared" si="31"/>
        <v>#REF!</v>
      </c>
      <c r="U55" s="12" t="e">
        <f t="shared" si="32"/>
        <v>#REF!</v>
      </c>
      <c r="V55" s="12"/>
      <c r="W55" s="44" t="e">
        <f t="shared" si="33"/>
        <v>#REF!</v>
      </c>
      <c r="X55" s="26" t="e">
        <f t="shared" si="34"/>
        <v>#REF!</v>
      </c>
      <c r="Y55" s="12" t="e">
        <f t="shared" si="35"/>
        <v>#REF!</v>
      </c>
    </row>
    <row r="56" spans="1:25" ht="16.5" customHeight="1" x14ac:dyDescent="0.25">
      <c r="A56" s="16" t="s">
        <v>132</v>
      </c>
      <c r="B56" s="17" t="s">
        <v>133</v>
      </c>
      <c r="C56" s="26" t="e">
        <f t="shared" si="18"/>
        <v>#REF!</v>
      </c>
      <c r="D56" s="26" t="e">
        <f t="shared" si="19"/>
        <v>#REF!</v>
      </c>
      <c r="E56" s="12" t="e">
        <f t="shared" si="20"/>
        <v>#REF!</v>
      </c>
      <c r="F56" s="26"/>
      <c r="G56" s="26" t="e">
        <f t="shared" si="21"/>
        <v>#REF!</v>
      </c>
      <c r="H56" s="26" t="e">
        <f t="shared" si="22"/>
        <v>#REF!</v>
      </c>
      <c r="I56" s="12" t="e">
        <f t="shared" si="23"/>
        <v>#REF!</v>
      </c>
      <c r="J56" s="26"/>
      <c r="K56" s="26" t="e">
        <f t="shared" si="24"/>
        <v>#REF!</v>
      </c>
      <c r="L56" s="26" t="e">
        <f t="shared" si="25"/>
        <v>#REF!</v>
      </c>
      <c r="M56" s="12" t="e">
        <f t="shared" si="26"/>
        <v>#REF!</v>
      </c>
      <c r="N56" s="12"/>
      <c r="O56" s="26" t="e">
        <f t="shared" si="27"/>
        <v>#REF!</v>
      </c>
      <c r="P56" s="26" t="e">
        <f t="shared" si="28"/>
        <v>#REF!</v>
      </c>
      <c r="Q56" s="12" t="e">
        <f t="shared" si="29"/>
        <v>#REF!</v>
      </c>
      <c r="R56" s="12"/>
      <c r="S56" s="26" t="e">
        <f t="shared" si="30"/>
        <v>#REF!</v>
      </c>
      <c r="T56" s="26" t="e">
        <f t="shared" si="31"/>
        <v>#REF!</v>
      </c>
      <c r="U56" s="12" t="e">
        <f t="shared" si="32"/>
        <v>#REF!</v>
      </c>
      <c r="V56" s="12"/>
      <c r="W56" s="44" t="e">
        <f t="shared" si="33"/>
        <v>#REF!</v>
      </c>
      <c r="X56" s="26" t="e">
        <f t="shared" si="34"/>
        <v>#REF!</v>
      </c>
      <c r="Y56" s="12" t="e">
        <f t="shared" si="35"/>
        <v>#REF!</v>
      </c>
    </row>
    <row r="57" spans="1:25" ht="16.5" customHeight="1" x14ac:dyDescent="0.25">
      <c r="A57" s="16" t="s">
        <v>134</v>
      </c>
      <c r="B57" s="32" t="s">
        <v>135</v>
      </c>
      <c r="C57" s="26" t="e">
        <f t="shared" si="18"/>
        <v>#REF!</v>
      </c>
      <c r="D57" s="26" t="e">
        <f t="shared" si="19"/>
        <v>#REF!</v>
      </c>
      <c r="E57" s="12" t="e">
        <f t="shared" si="20"/>
        <v>#REF!</v>
      </c>
      <c r="F57" s="26"/>
      <c r="G57" s="26" t="e">
        <f t="shared" si="21"/>
        <v>#REF!</v>
      </c>
      <c r="H57" s="26" t="e">
        <f t="shared" si="22"/>
        <v>#REF!</v>
      </c>
      <c r="I57" s="12" t="e">
        <f t="shared" si="23"/>
        <v>#REF!</v>
      </c>
      <c r="J57" s="26"/>
      <c r="K57" s="26" t="e">
        <f t="shared" si="24"/>
        <v>#REF!</v>
      </c>
      <c r="L57" s="26" t="e">
        <f t="shared" si="25"/>
        <v>#REF!</v>
      </c>
      <c r="M57" s="12" t="e">
        <f t="shared" si="26"/>
        <v>#REF!</v>
      </c>
      <c r="N57" s="12"/>
      <c r="O57" s="26" t="e">
        <f t="shared" si="27"/>
        <v>#REF!</v>
      </c>
      <c r="P57" s="26" t="e">
        <f t="shared" si="28"/>
        <v>#REF!</v>
      </c>
      <c r="Q57" s="12" t="e">
        <f t="shared" si="29"/>
        <v>#REF!</v>
      </c>
      <c r="R57" s="12"/>
      <c r="S57" s="26" t="e">
        <f t="shared" si="30"/>
        <v>#REF!</v>
      </c>
      <c r="T57" s="26" t="e">
        <f t="shared" si="31"/>
        <v>#REF!</v>
      </c>
      <c r="U57" s="12" t="e">
        <f t="shared" si="32"/>
        <v>#REF!</v>
      </c>
      <c r="V57" s="12"/>
      <c r="W57" s="44" t="e">
        <f t="shared" si="33"/>
        <v>#REF!</v>
      </c>
      <c r="X57" s="26" t="e">
        <f t="shared" si="34"/>
        <v>#REF!</v>
      </c>
      <c r="Y57" s="12" t="e">
        <f t="shared" si="35"/>
        <v>#REF!</v>
      </c>
    </row>
    <row r="58" spans="1:25" ht="16.5" customHeight="1" x14ac:dyDescent="0.25">
      <c r="A58" s="16" t="s">
        <v>136</v>
      </c>
      <c r="B58" s="17" t="s">
        <v>137</v>
      </c>
      <c r="C58" s="26" t="e">
        <f t="shared" si="18"/>
        <v>#REF!</v>
      </c>
      <c r="D58" s="26" t="e">
        <f t="shared" si="19"/>
        <v>#REF!</v>
      </c>
      <c r="E58" s="12" t="e">
        <f t="shared" si="20"/>
        <v>#REF!</v>
      </c>
      <c r="F58" s="26"/>
      <c r="G58" s="26" t="e">
        <f t="shared" si="21"/>
        <v>#REF!</v>
      </c>
      <c r="H58" s="26" t="e">
        <f t="shared" si="22"/>
        <v>#REF!</v>
      </c>
      <c r="I58" s="12" t="e">
        <f t="shared" si="23"/>
        <v>#REF!</v>
      </c>
      <c r="J58" s="26"/>
      <c r="K58" s="26" t="e">
        <f t="shared" si="24"/>
        <v>#REF!</v>
      </c>
      <c r="L58" s="26" t="e">
        <f t="shared" si="25"/>
        <v>#REF!</v>
      </c>
      <c r="M58" s="12" t="e">
        <f t="shared" si="26"/>
        <v>#REF!</v>
      </c>
      <c r="N58" s="12"/>
      <c r="O58" s="26" t="e">
        <f t="shared" si="27"/>
        <v>#REF!</v>
      </c>
      <c r="P58" s="26" t="e">
        <f t="shared" si="28"/>
        <v>#REF!</v>
      </c>
      <c r="Q58" s="12" t="e">
        <f t="shared" si="29"/>
        <v>#REF!</v>
      </c>
      <c r="R58" s="12"/>
      <c r="S58" s="26" t="e">
        <f t="shared" si="30"/>
        <v>#REF!</v>
      </c>
      <c r="T58" s="26" t="e">
        <f t="shared" si="31"/>
        <v>#REF!</v>
      </c>
      <c r="U58" s="12" t="e">
        <f t="shared" si="32"/>
        <v>#REF!</v>
      </c>
      <c r="V58" s="12"/>
      <c r="W58" s="44" t="e">
        <f t="shared" si="33"/>
        <v>#REF!</v>
      </c>
      <c r="X58" s="26" t="e">
        <f t="shared" si="34"/>
        <v>#REF!</v>
      </c>
      <c r="Y58" s="12" t="e">
        <f t="shared" si="35"/>
        <v>#REF!</v>
      </c>
    </row>
    <row r="59" spans="1:25" ht="16.5" customHeight="1" x14ac:dyDescent="0.25">
      <c r="A59" s="16" t="s">
        <v>140</v>
      </c>
      <c r="B59" s="17" t="s">
        <v>141</v>
      </c>
      <c r="C59" s="26" t="e">
        <f t="shared" si="18"/>
        <v>#REF!</v>
      </c>
      <c r="D59" s="26" t="e">
        <f t="shared" si="19"/>
        <v>#REF!</v>
      </c>
      <c r="E59" s="12" t="e">
        <f t="shared" si="20"/>
        <v>#REF!</v>
      </c>
      <c r="F59" s="26"/>
      <c r="G59" s="26" t="e">
        <f t="shared" si="21"/>
        <v>#REF!</v>
      </c>
      <c r="H59" s="26" t="e">
        <f t="shared" si="22"/>
        <v>#REF!</v>
      </c>
      <c r="I59" s="12" t="e">
        <f t="shared" si="23"/>
        <v>#REF!</v>
      </c>
      <c r="J59" s="26"/>
      <c r="K59" s="26" t="e">
        <f t="shared" si="24"/>
        <v>#REF!</v>
      </c>
      <c r="L59" s="26" t="e">
        <f t="shared" si="25"/>
        <v>#REF!</v>
      </c>
      <c r="M59" s="12" t="e">
        <f t="shared" si="26"/>
        <v>#REF!</v>
      </c>
      <c r="N59" s="12"/>
      <c r="O59" s="26" t="e">
        <f t="shared" si="27"/>
        <v>#REF!</v>
      </c>
      <c r="P59" s="26" t="e">
        <f t="shared" si="28"/>
        <v>#REF!</v>
      </c>
      <c r="Q59" s="12" t="e">
        <f t="shared" si="29"/>
        <v>#REF!</v>
      </c>
      <c r="R59" s="12"/>
      <c r="S59" s="26" t="e">
        <f t="shared" si="30"/>
        <v>#REF!</v>
      </c>
      <c r="T59" s="26" t="e">
        <f t="shared" si="31"/>
        <v>#REF!</v>
      </c>
      <c r="U59" s="12" t="e">
        <f t="shared" si="32"/>
        <v>#REF!</v>
      </c>
      <c r="V59" s="12"/>
      <c r="W59" s="44" t="e">
        <f t="shared" si="33"/>
        <v>#REF!</v>
      </c>
      <c r="X59" s="26" t="e">
        <f t="shared" si="34"/>
        <v>#REF!</v>
      </c>
      <c r="Y59" s="12" t="e">
        <f t="shared" si="35"/>
        <v>#REF!</v>
      </c>
    </row>
    <row r="60" spans="1:25" ht="16.5" customHeight="1" x14ac:dyDescent="0.25">
      <c r="A60" s="16" t="s">
        <v>146</v>
      </c>
      <c r="B60" s="17" t="s">
        <v>147</v>
      </c>
      <c r="C60" s="26" t="e">
        <f t="shared" si="18"/>
        <v>#REF!</v>
      </c>
      <c r="D60" s="26" t="e">
        <f t="shared" si="19"/>
        <v>#REF!</v>
      </c>
      <c r="E60" s="12" t="e">
        <f t="shared" si="20"/>
        <v>#REF!</v>
      </c>
      <c r="F60" s="26"/>
      <c r="G60" s="26" t="e">
        <f t="shared" si="21"/>
        <v>#REF!</v>
      </c>
      <c r="H60" s="26" t="e">
        <f t="shared" si="22"/>
        <v>#REF!</v>
      </c>
      <c r="I60" s="12" t="e">
        <f t="shared" si="23"/>
        <v>#REF!</v>
      </c>
      <c r="J60" s="26"/>
      <c r="K60" s="26" t="e">
        <f t="shared" si="24"/>
        <v>#REF!</v>
      </c>
      <c r="L60" s="26" t="e">
        <f t="shared" si="25"/>
        <v>#REF!</v>
      </c>
      <c r="M60" s="12" t="e">
        <f t="shared" si="26"/>
        <v>#REF!</v>
      </c>
      <c r="N60" s="12"/>
      <c r="O60" s="26" t="e">
        <f t="shared" si="27"/>
        <v>#REF!</v>
      </c>
      <c r="P60" s="26" t="e">
        <f t="shared" si="28"/>
        <v>#REF!</v>
      </c>
      <c r="Q60" s="12" t="e">
        <f t="shared" si="29"/>
        <v>#REF!</v>
      </c>
      <c r="R60" s="12"/>
      <c r="S60" s="26" t="e">
        <f t="shared" si="30"/>
        <v>#REF!</v>
      </c>
      <c r="T60" s="26" t="e">
        <f t="shared" si="31"/>
        <v>#REF!</v>
      </c>
      <c r="U60" s="12" t="e">
        <f t="shared" si="32"/>
        <v>#REF!</v>
      </c>
      <c r="V60" s="12"/>
      <c r="W60" s="44" t="e">
        <f t="shared" si="33"/>
        <v>#REF!</v>
      </c>
      <c r="X60" s="26" t="e">
        <f t="shared" si="34"/>
        <v>#REF!</v>
      </c>
      <c r="Y60" s="12" t="e">
        <f t="shared" si="35"/>
        <v>#REF!</v>
      </c>
    </row>
    <row r="61" spans="1:25" ht="16.5" customHeight="1" x14ac:dyDescent="0.25">
      <c r="A61" s="16" t="s">
        <v>148</v>
      </c>
      <c r="B61" s="32" t="s">
        <v>149</v>
      </c>
      <c r="C61" s="26" t="e">
        <f t="shared" si="18"/>
        <v>#REF!</v>
      </c>
      <c r="D61" s="26" t="e">
        <f t="shared" si="19"/>
        <v>#REF!</v>
      </c>
      <c r="E61" s="12" t="e">
        <f t="shared" si="20"/>
        <v>#REF!</v>
      </c>
      <c r="F61" s="26"/>
      <c r="G61" s="26" t="e">
        <f t="shared" si="21"/>
        <v>#REF!</v>
      </c>
      <c r="H61" s="26" t="e">
        <f t="shared" si="22"/>
        <v>#REF!</v>
      </c>
      <c r="I61" s="12" t="e">
        <f t="shared" si="23"/>
        <v>#REF!</v>
      </c>
      <c r="J61" s="26"/>
      <c r="K61" s="26" t="e">
        <f t="shared" si="24"/>
        <v>#REF!</v>
      </c>
      <c r="L61" s="26" t="e">
        <f t="shared" si="25"/>
        <v>#REF!</v>
      </c>
      <c r="M61" s="12" t="e">
        <f t="shared" si="26"/>
        <v>#REF!</v>
      </c>
      <c r="N61" s="12"/>
      <c r="O61" s="26" t="e">
        <f t="shared" si="27"/>
        <v>#REF!</v>
      </c>
      <c r="P61" s="26" t="e">
        <f t="shared" si="28"/>
        <v>#REF!</v>
      </c>
      <c r="Q61" s="12" t="e">
        <f t="shared" si="29"/>
        <v>#REF!</v>
      </c>
      <c r="R61" s="12"/>
      <c r="S61" s="26" t="e">
        <f t="shared" si="30"/>
        <v>#REF!</v>
      </c>
      <c r="T61" s="26" t="e">
        <f t="shared" si="31"/>
        <v>#REF!</v>
      </c>
      <c r="U61" s="12" t="e">
        <f t="shared" si="32"/>
        <v>#REF!</v>
      </c>
      <c r="V61" s="12"/>
      <c r="W61" s="44" t="e">
        <f t="shared" si="33"/>
        <v>#REF!</v>
      </c>
      <c r="X61" s="26" t="e">
        <f t="shared" si="34"/>
        <v>#REF!</v>
      </c>
      <c r="Y61" s="12" t="e">
        <f t="shared" si="35"/>
        <v>#REF!</v>
      </c>
    </row>
    <row r="62" spans="1:25" ht="16.5" customHeight="1" x14ac:dyDescent="0.25">
      <c r="A62" s="16" t="s">
        <v>150</v>
      </c>
      <c r="B62" s="32" t="s">
        <v>151</v>
      </c>
      <c r="C62" s="26" t="e">
        <f t="shared" si="18"/>
        <v>#REF!</v>
      </c>
      <c r="D62" s="26" t="e">
        <f t="shared" si="19"/>
        <v>#REF!</v>
      </c>
      <c r="E62" s="12" t="e">
        <f t="shared" si="20"/>
        <v>#REF!</v>
      </c>
      <c r="F62" s="26"/>
      <c r="G62" s="26" t="e">
        <f t="shared" si="21"/>
        <v>#REF!</v>
      </c>
      <c r="H62" s="26" t="e">
        <f t="shared" si="22"/>
        <v>#REF!</v>
      </c>
      <c r="I62" s="12" t="e">
        <f t="shared" si="23"/>
        <v>#REF!</v>
      </c>
      <c r="J62" s="26"/>
      <c r="K62" s="26" t="e">
        <f t="shared" si="24"/>
        <v>#REF!</v>
      </c>
      <c r="L62" s="26" t="e">
        <f t="shared" si="25"/>
        <v>#REF!</v>
      </c>
      <c r="M62" s="12" t="e">
        <f t="shared" si="26"/>
        <v>#REF!</v>
      </c>
      <c r="N62" s="12"/>
      <c r="O62" s="26" t="e">
        <f t="shared" si="27"/>
        <v>#REF!</v>
      </c>
      <c r="P62" s="26" t="e">
        <f t="shared" si="28"/>
        <v>#REF!</v>
      </c>
      <c r="Q62" s="12" t="e">
        <f t="shared" si="29"/>
        <v>#REF!</v>
      </c>
      <c r="R62" s="12"/>
      <c r="S62" s="26" t="e">
        <f t="shared" si="30"/>
        <v>#REF!</v>
      </c>
      <c r="T62" s="26" t="e">
        <f t="shared" si="31"/>
        <v>#REF!</v>
      </c>
      <c r="U62" s="12" t="e">
        <f t="shared" si="32"/>
        <v>#REF!</v>
      </c>
      <c r="V62" s="12"/>
      <c r="W62" s="44" t="e">
        <f t="shared" si="33"/>
        <v>#REF!</v>
      </c>
      <c r="X62" s="26" t="e">
        <f t="shared" si="34"/>
        <v>#REF!</v>
      </c>
      <c r="Y62" s="12" t="e">
        <f t="shared" si="35"/>
        <v>#REF!</v>
      </c>
    </row>
    <row r="63" spans="1:25" ht="16.5" customHeight="1" x14ac:dyDescent="0.25">
      <c r="A63" s="16" t="s">
        <v>152</v>
      </c>
      <c r="B63" s="17" t="s">
        <v>153</v>
      </c>
      <c r="C63" s="26" t="e">
        <f t="shared" si="18"/>
        <v>#REF!</v>
      </c>
      <c r="D63" s="26" t="e">
        <f t="shared" si="19"/>
        <v>#REF!</v>
      </c>
      <c r="E63" s="12" t="e">
        <f t="shared" si="20"/>
        <v>#REF!</v>
      </c>
      <c r="F63" s="26"/>
      <c r="G63" s="26" t="e">
        <f t="shared" si="21"/>
        <v>#REF!</v>
      </c>
      <c r="H63" s="26" t="e">
        <f t="shared" si="22"/>
        <v>#REF!</v>
      </c>
      <c r="I63" s="12" t="e">
        <f t="shared" si="23"/>
        <v>#REF!</v>
      </c>
      <c r="J63" s="26"/>
      <c r="K63" s="26" t="e">
        <f t="shared" si="24"/>
        <v>#REF!</v>
      </c>
      <c r="L63" s="26" t="e">
        <f t="shared" si="25"/>
        <v>#REF!</v>
      </c>
      <c r="M63" s="12" t="e">
        <f t="shared" si="26"/>
        <v>#REF!</v>
      </c>
      <c r="N63" s="12"/>
      <c r="O63" s="26" t="e">
        <f t="shared" si="27"/>
        <v>#REF!</v>
      </c>
      <c r="P63" s="26" t="e">
        <f t="shared" si="28"/>
        <v>#REF!</v>
      </c>
      <c r="Q63" s="12" t="e">
        <f t="shared" si="29"/>
        <v>#REF!</v>
      </c>
      <c r="R63" s="12"/>
      <c r="S63" s="26" t="e">
        <f t="shared" si="30"/>
        <v>#REF!</v>
      </c>
      <c r="T63" s="26" t="e">
        <f t="shared" si="31"/>
        <v>#REF!</v>
      </c>
      <c r="U63" s="12" t="e">
        <f t="shared" si="32"/>
        <v>#REF!</v>
      </c>
      <c r="V63" s="12"/>
      <c r="W63" s="44" t="e">
        <f t="shared" si="33"/>
        <v>#REF!</v>
      </c>
      <c r="X63" s="26" t="e">
        <f t="shared" si="34"/>
        <v>#REF!</v>
      </c>
      <c r="Y63" s="12" t="e">
        <f t="shared" si="35"/>
        <v>#REF!</v>
      </c>
    </row>
    <row r="64" spans="1:25" ht="16.5" customHeight="1" x14ac:dyDescent="0.25">
      <c r="A64" s="16" t="s">
        <v>154</v>
      </c>
      <c r="B64" s="32" t="s">
        <v>155</v>
      </c>
      <c r="C64" s="26" t="e">
        <f t="shared" si="18"/>
        <v>#REF!</v>
      </c>
      <c r="D64" s="26" t="e">
        <f t="shared" si="19"/>
        <v>#REF!</v>
      </c>
      <c r="E64" s="12" t="e">
        <f t="shared" si="20"/>
        <v>#REF!</v>
      </c>
      <c r="F64" s="26"/>
      <c r="G64" s="26" t="e">
        <f t="shared" si="21"/>
        <v>#REF!</v>
      </c>
      <c r="H64" s="26" t="e">
        <f t="shared" si="22"/>
        <v>#REF!</v>
      </c>
      <c r="I64" s="12" t="e">
        <f t="shared" si="23"/>
        <v>#REF!</v>
      </c>
      <c r="J64" s="26"/>
      <c r="K64" s="26" t="e">
        <f t="shared" si="24"/>
        <v>#REF!</v>
      </c>
      <c r="L64" s="26" t="e">
        <f t="shared" si="25"/>
        <v>#REF!</v>
      </c>
      <c r="M64" s="12" t="e">
        <f t="shared" si="26"/>
        <v>#REF!</v>
      </c>
      <c r="N64" s="12"/>
      <c r="O64" s="26" t="e">
        <f t="shared" si="27"/>
        <v>#REF!</v>
      </c>
      <c r="P64" s="26" t="e">
        <f t="shared" si="28"/>
        <v>#REF!</v>
      </c>
      <c r="Q64" s="12" t="e">
        <f t="shared" si="29"/>
        <v>#REF!</v>
      </c>
      <c r="R64" s="12"/>
      <c r="S64" s="26" t="e">
        <f t="shared" si="30"/>
        <v>#REF!</v>
      </c>
      <c r="T64" s="26" t="e">
        <f t="shared" si="31"/>
        <v>#REF!</v>
      </c>
      <c r="U64" s="12" t="e">
        <f t="shared" si="32"/>
        <v>#REF!</v>
      </c>
      <c r="V64" s="12"/>
      <c r="W64" s="44" t="e">
        <f t="shared" si="33"/>
        <v>#REF!</v>
      </c>
      <c r="X64" s="26" t="e">
        <f t="shared" si="34"/>
        <v>#REF!</v>
      </c>
      <c r="Y64" s="12" t="e">
        <f t="shared" si="35"/>
        <v>#REF!</v>
      </c>
    </row>
    <row r="65" spans="1:25" ht="16.5" customHeight="1" x14ac:dyDescent="0.25">
      <c r="A65" s="16" t="s">
        <v>156</v>
      </c>
      <c r="B65" s="17" t="s">
        <v>157</v>
      </c>
      <c r="C65" s="26" t="e">
        <f t="shared" si="18"/>
        <v>#REF!</v>
      </c>
      <c r="D65" s="26" t="e">
        <f t="shared" si="19"/>
        <v>#REF!</v>
      </c>
      <c r="E65" s="12" t="e">
        <f t="shared" si="20"/>
        <v>#REF!</v>
      </c>
      <c r="F65" s="26"/>
      <c r="G65" s="26" t="e">
        <f t="shared" si="21"/>
        <v>#REF!</v>
      </c>
      <c r="H65" s="26" t="e">
        <f t="shared" si="22"/>
        <v>#REF!</v>
      </c>
      <c r="I65" s="12" t="e">
        <f t="shared" si="23"/>
        <v>#REF!</v>
      </c>
      <c r="J65" s="26"/>
      <c r="K65" s="26" t="e">
        <f t="shared" si="24"/>
        <v>#REF!</v>
      </c>
      <c r="L65" s="26" t="e">
        <f t="shared" si="25"/>
        <v>#REF!</v>
      </c>
      <c r="M65" s="12" t="e">
        <f t="shared" si="26"/>
        <v>#REF!</v>
      </c>
      <c r="N65" s="12"/>
      <c r="O65" s="26" t="e">
        <f t="shared" si="27"/>
        <v>#REF!</v>
      </c>
      <c r="P65" s="26" t="e">
        <f t="shared" si="28"/>
        <v>#REF!</v>
      </c>
      <c r="Q65" s="12" t="e">
        <f t="shared" si="29"/>
        <v>#REF!</v>
      </c>
      <c r="R65" s="12"/>
      <c r="S65" s="26" t="e">
        <f t="shared" si="30"/>
        <v>#REF!</v>
      </c>
      <c r="T65" s="26" t="e">
        <f t="shared" si="31"/>
        <v>#REF!</v>
      </c>
      <c r="U65" s="12" t="e">
        <f t="shared" si="32"/>
        <v>#REF!</v>
      </c>
      <c r="V65" s="12"/>
      <c r="W65" s="44" t="e">
        <f t="shared" si="33"/>
        <v>#REF!</v>
      </c>
      <c r="X65" s="26" t="e">
        <f t="shared" si="34"/>
        <v>#REF!</v>
      </c>
      <c r="Y65" s="12" t="e">
        <f t="shared" si="35"/>
        <v>#REF!</v>
      </c>
    </row>
    <row r="66" spans="1:25" ht="16.5" customHeight="1" x14ac:dyDescent="0.25">
      <c r="A66" s="16" t="s">
        <v>162</v>
      </c>
      <c r="B66" s="32" t="s">
        <v>163</v>
      </c>
      <c r="C66" s="26" t="e">
        <f t="shared" si="18"/>
        <v>#REF!</v>
      </c>
      <c r="D66" s="26" t="e">
        <f t="shared" si="19"/>
        <v>#REF!</v>
      </c>
      <c r="E66" s="12" t="e">
        <f t="shared" si="20"/>
        <v>#REF!</v>
      </c>
      <c r="F66" s="26"/>
      <c r="G66" s="26" t="e">
        <f t="shared" si="21"/>
        <v>#REF!</v>
      </c>
      <c r="H66" s="26" t="e">
        <f t="shared" si="22"/>
        <v>#REF!</v>
      </c>
      <c r="I66" s="12" t="e">
        <f t="shared" si="23"/>
        <v>#REF!</v>
      </c>
      <c r="J66" s="26"/>
      <c r="K66" s="26" t="e">
        <f t="shared" si="24"/>
        <v>#REF!</v>
      </c>
      <c r="L66" s="26" t="e">
        <f t="shared" si="25"/>
        <v>#REF!</v>
      </c>
      <c r="M66" s="12" t="e">
        <f t="shared" si="26"/>
        <v>#REF!</v>
      </c>
      <c r="N66" s="12"/>
      <c r="O66" s="26" t="e">
        <f t="shared" si="27"/>
        <v>#REF!</v>
      </c>
      <c r="P66" s="26" t="e">
        <f t="shared" si="28"/>
        <v>#REF!</v>
      </c>
      <c r="Q66" s="12" t="e">
        <f t="shared" si="29"/>
        <v>#REF!</v>
      </c>
      <c r="R66" s="12"/>
      <c r="S66" s="26" t="e">
        <f t="shared" si="30"/>
        <v>#REF!</v>
      </c>
      <c r="T66" s="26" t="e">
        <f t="shared" si="31"/>
        <v>#REF!</v>
      </c>
      <c r="U66" s="12" t="e">
        <f t="shared" si="32"/>
        <v>#REF!</v>
      </c>
      <c r="V66" s="12"/>
      <c r="W66" s="44" t="e">
        <f t="shared" si="33"/>
        <v>#REF!</v>
      </c>
      <c r="X66" s="26" t="e">
        <f t="shared" si="34"/>
        <v>#REF!</v>
      </c>
      <c r="Y66" s="12" t="e">
        <f t="shared" si="35"/>
        <v>#REF!</v>
      </c>
    </row>
    <row r="67" spans="1:25" ht="16.5" customHeight="1" x14ac:dyDescent="0.25">
      <c r="A67" s="16" t="s">
        <v>164</v>
      </c>
      <c r="B67" s="32" t="s">
        <v>165</v>
      </c>
      <c r="C67" s="26" t="e">
        <f t="shared" si="18"/>
        <v>#REF!</v>
      </c>
      <c r="D67" s="26" t="e">
        <f t="shared" si="19"/>
        <v>#REF!</v>
      </c>
      <c r="E67" s="12" t="e">
        <f t="shared" si="20"/>
        <v>#REF!</v>
      </c>
      <c r="F67" s="26"/>
      <c r="G67" s="26" t="e">
        <f t="shared" si="21"/>
        <v>#REF!</v>
      </c>
      <c r="H67" s="26" t="e">
        <f t="shared" si="22"/>
        <v>#REF!</v>
      </c>
      <c r="I67" s="12" t="e">
        <f t="shared" si="23"/>
        <v>#REF!</v>
      </c>
      <c r="J67" s="26"/>
      <c r="K67" s="26" t="e">
        <f t="shared" si="24"/>
        <v>#REF!</v>
      </c>
      <c r="L67" s="26" t="e">
        <f t="shared" si="25"/>
        <v>#REF!</v>
      </c>
      <c r="M67" s="12" t="e">
        <f t="shared" si="26"/>
        <v>#REF!</v>
      </c>
      <c r="N67" s="12"/>
      <c r="O67" s="26" t="e">
        <f t="shared" si="27"/>
        <v>#REF!</v>
      </c>
      <c r="P67" s="26" t="e">
        <f t="shared" si="28"/>
        <v>#REF!</v>
      </c>
      <c r="Q67" s="12" t="e">
        <f t="shared" si="29"/>
        <v>#REF!</v>
      </c>
      <c r="R67" s="12"/>
      <c r="S67" s="26" t="e">
        <f t="shared" si="30"/>
        <v>#REF!</v>
      </c>
      <c r="T67" s="26" t="e">
        <f t="shared" si="31"/>
        <v>#REF!</v>
      </c>
      <c r="U67" s="12" t="e">
        <f t="shared" si="32"/>
        <v>#REF!</v>
      </c>
      <c r="V67" s="12"/>
      <c r="W67" s="44" t="e">
        <f t="shared" si="33"/>
        <v>#REF!</v>
      </c>
      <c r="X67" s="26" t="e">
        <f t="shared" si="34"/>
        <v>#REF!</v>
      </c>
      <c r="Y67" s="12" t="e">
        <f t="shared" si="35"/>
        <v>#REF!</v>
      </c>
    </row>
    <row r="68" spans="1:25" ht="16.5" customHeight="1" x14ac:dyDescent="0.25">
      <c r="A68" s="16" t="s">
        <v>168</v>
      </c>
      <c r="B68" s="32" t="s">
        <v>169</v>
      </c>
      <c r="C68" s="26" t="e">
        <f t="shared" ref="C68:C99" si="36">VLOOKUP(A68,MedicaidR,7,FALSE)</f>
        <v>#REF!</v>
      </c>
      <c r="D68" s="26" t="e">
        <f t="shared" ref="D68:D99" si="37">VLOOKUP(A68,Pop,14,FALSE)</f>
        <v>#REF!</v>
      </c>
      <c r="E68" s="12" t="e">
        <f t="shared" ref="E68:E99" si="38">+C68/D68</f>
        <v>#REF!</v>
      </c>
      <c r="F68" s="26"/>
      <c r="G68" s="26" t="e">
        <f t="shared" ref="G68:G99" si="39">VLOOKUP(A68,MedicaidR,8,FALSE)</f>
        <v>#REF!</v>
      </c>
      <c r="H68" s="26" t="e">
        <f t="shared" ref="H68:H99" si="40">VLOOKUP(A68,Pop,15,FALSE)</f>
        <v>#REF!</v>
      </c>
      <c r="I68" s="12" t="e">
        <f t="shared" ref="I68:I99" si="41">+G68/H68</f>
        <v>#REF!</v>
      </c>
      <c r="J68" s="26"/>
      <c r="K68" s="26" t="e">
        <f t="shared" ref="K68:K99" si="42">VLOOKUP(A68,MedicaidR,9,FALSE)</f>
        <v>#REF!</v>
      </c>
      <c r="L68" s="26" t="e">
        <f t="shared" ref="L68:L99" si="43">VLOOKUP(A68,Pop,16,FALSE)</f>
        <v>#REF!</v>
      </c>
      <c r="M68" s="12" t="e">
        <f t="shared" ref="M68:M99" si="44">+K68/L68</f>
        <v>#REF!</v>
      </c>
      <c r="N68" s="12"/>
      <c r="O68" s="26" t="e">
        <f t="shared" ref="O68:O99" si="45">VLOOKUP(A68,MedicaidR,3,FALSE)</f>
        <v>#REF!</v>
      </c>
      <c r="P68" s="26" t="e">
        <f t="shared" ref="P68:P99" si="46">VLOOKUP(A68,Pop,8,FALSE)</f>
        <v>#REF!</v>
      </c>
      <c r="Q68" s="12" t="e">
        <f t="shared" ref="Q68:Q99" si="47">+O68/P68</f>
        <v>#REF!</v>
      </c>
      <c r="R68" s="12"/>
      <c r="S68" s="26" t="e">
        <f t="shared" ref="S68:S99" si="48">VLOOKUP(A68,MedicaidR,4,FALSE)</f>
        <v>#REF!</v>
      </c>
      <c r="T68" s="26" t="e">
        <f t="shared" ref="T68:T99" si="49">VLOOKUP(A68,Pop,9,FALSE)</f>
        <v>#REF!</v>
      </c>
      <c r="U68" s="12" t="e">
        <f t="shared" ref="U68:U99" si="50">+S68/T68</f>
        <v>#REF!</v>
      </c>
      <c r="V68" s="12"/>
      <c r="W68" s="44" t="e">
        <f t="shared" ref="W68:W99" si="51">VLOOKUP(A68,MedicaidR,5,FALSE)</f>
        <v>#REF!</v>
      </c>
      <c r="X68" s="26" t="e">
        <f t="shared" ref="X68:X99" si="52">VLOOKUP(A68,Pop,10,FALSE)</f>
        <v>#REF!</v>
      </c>
      <c r="Y68" s="12" t="e">
        <f t="shared" ref="Y68:Y99" si="53">+W68/X68</f>
        <v>#REF!</v>
      </c>
    </row>
    <row r="69" spans="1:25" ht="16.5" customHeight="1" x14ac:dyDescent="0.25">
      <c r="A69" s="16" t="s">
        <v>170</v>
      </c>
      <c r="B69" s="32" t="s">
        <v>171</v>
      </c>
      <c r="C69" s="26" t="e">
        <f t="shared" si="36"/>
        <v>#REF!</v>
      </c>
      <c r="D69" s="26" t="e">
        <f t="shared" si="37"/>
        <v>#REF!</v>
      </c>
      <c r="E69" s="12" t="e">
        <f t="shared" si="38"/>
        <v>#REF!</v>
      </c>
      <c r="F69" s="26"/>
      <c r="G69" s="26" t="e">
        <f t="shared" si="39"/>
        <v>#REF!</v>
      </c>
      <c r="H69" s="26" t="e">
        <f t="shared" si="40"/>
        <v>#REF!</v>
      </c>
      <c r="I69" s="12" t="e">
        <f t="shared" si="41"/>
        <v>#REF!</v>
      </c>
      <c r="J69" s="26"/>
      <c r="K69" s="26" t="e">
        <f t="shared" si="42"/>
        <v>#REF!</v>
      </c>
      <c r="L69" s="26" t="e">
        <f t="shared" si="43"/>
        <v>#REF!</v>
      </c>
      <c r="M69" s="12" t="e">
        <f t="shared" si="44"/>
        <v>#REF!</v>
      </c>
      <c r="N69" s="12"/>
      <c r="O69" s="26" t="e">
        <f t="shared" si="45"/>
        <v>#REF!</v>
      </c>
      <c r="P69" s="26" t="e">
        <f t="shared" si="46"/>
        <v>#REF!</v>
      </c>
      <c r="Q69" s="12" t="e">
        <f t="shared" si="47"/>
        <v>#REF!</v>
      </c>
      <c r="R69" s="12"/>
      <c r="S69" s="26" t="e">
        <f t="shared" si="48"/>
        <v>#REF!</v>
      </c>
      <c r="T69" s="26" t="e">
        <f t="shared" si="49"/>
        <v>#REF!</v>
      </c>
      <c r="U69" s="12" t="e">
        <f t="shared" si="50"/>
        <v>#REF!</v>
      </c>
      <c r="V69" s="12"/>
      <c r="W69" s="44" t="e">
        <f t="shared" si="51"/>
        <v>#REF!</v>
      </c>
      <c r="X69" s="26" t="e">
        <f t="shared" si="52"/>
        <v>#REF!</v>
      </c>
      <c r="Y69" s="12" t="e">
        <f t="shared" si="53"/>
        <v>#REF!</v>
      </c>
    </row>
    <row r="70" spans="1:25" ht="16.5" customHeight="1" x14ac:dyDescent="0.25">
      <c r="A70" s="16" t="s">
        <v>172</v>
      </c>
      <c r="B70" s="32" t="s">
        <v>173</v>
      </c>
      <c r="C70" s="26" t="e">
        <f t="shared" si="36"/>
        <v>#REF!</v>
      </c>
      <c r="D70" s="26" t="e">
        <f t="shared" si="37"/>
        <v>#REF!</v>
      </c>
      <c r="E70" s="12" t="e">
        <f t="shared" si="38"/>
        <v>#REF!</v>
      </c>
      <c r="F70" s="26"/>
      <c r="G70" s="26" t="e">
        <f t="shared" si="39"/>
        <v>#REF!</v>
      </c>
      <c r="H70" s="26" t="e">
        <f t="shared" si="40"/>
        <v>#REF!</v>
      </c>
      <c r="I70" s="12" t="e">
        <f t="shared" si="41"/>
        <v>#REF!</v>
      </c>
      <c r="J70" s="26"/>
      <c r="K70" s="26" t="e">
        <f t="shared" si="42"/>
        <v>#REF!</v>
      </c>
      <c r="L70" s="26" t="e">
        <f t="shared" si="43"/>
        <v>#REF!</v>
      </c>
      <c r="M70" s="12" t="e">
        <f t="shared" si="44"/>
        <v>#REF!</v>
      </c>
      <c r="N70" s="12"/>
      <c r="O70" s="26" t="e">
        <f t="shared" si="45"/>
        <v>#REF!</v>
      </c>
      <c r="P70" s="26" t="e">
        <f t="shared" si="46"/>
        <v>#REF!</v>
      </c>
      <c r="Q70" s="12" t="e">
        <f t="shared" si="47"/>
        <v>#REF!</v>
      </c>
      <c r="R70" s="12"/>
      <c r="S70" s="26" t="e">
        <f t="shared" si="48"/>
        <v>#REF!</v>
      </c>
      <c r="T70" s="26" t="e">
        <f t="shared" si="49"/>
        <v>#REF!</v>
      </c>
      <c r="U70" s="12" t="e">
        <f t="shared" si="50"/>
        <v>#REF!</v>
      </c>
      <c r="V70" s="12"/>
      <c r="W70" s="44" t="e">
        <f t="shared" si="51"/>
        <v>#REF!</v>
      </c>
      <c r="X70" s="26" t="e">
        <f t="shared" si="52"/>
        <v>#REF!</v>
      </c>
      <c r="Y70" s="12" t="e">
        <f t="shared" si="53"/>
        <v>#REF!</v>
      </c>
    </row>
    <row r="71" spans="1:25" ht="16.5" customHeight="1" x14ac:dyDescent="0.25">
      <c r="A71" s="16" t="s">
        <v>174</v>
      </c>
      <c r="B71" s="17" t="s">
        <v>175</v>
      </c>
      <c r="C71" s="26" t="e">
        <f t="shared" si="36"/>
        <v>#REF!</v>
      </c>
      <c r="D71" s="26" t="e">
        <f t="shared" si="37"/>
        <v>#REF!</v>
      </c>
      <c r="E71" s="12" t="e">
        <f t="shared" si="38"/>
        <v>#REF!</v>
      </c>
      <c r="F71" s="26"/>
      <c r="G71" s="26" t="e">
        <f t="shared" si="39"/>
        <v>#REF!</v>
      </c>
      <c r="H71" s="26" t="e">
        <f t="shared" si="40"/>
        <v>#REF!</v>
      </c>
      <c r="I71" s="12" t="e">
        <f t="shared" si="41"/>
        <v>#REF!</v>
      </c>
      <c r="J71" s="26"/>
      <c r="K71" s="26" t="e">
        <f t="shared" si="42"/>
        <v>#REF!</v>
      </c>
      <c r="L71" s="26" t="e">
        <f t="shared" si="43"/>
        <v>#REF!</v>
      </c>
      <c r="M71" s="12" t="e">
        <f t="shared" si="44"/>
        <v>#REF!</v>
      </c>
      <c r="N71" s="12"/>
      <c r="O71" s="26" t="e">
        <f t="shared" si="45"/>
        <v>#REF!</v>
      </c>
      <c r="P71" s="26" t="e">
        <f t="shared" si="46"/>
        <v>#REF!</v>
      </c>
      <c r="Q71" s="12" t="e">
        <f t="shared" si="47"/>
        <v>#REF!</v>
      </c>
      <c r="R71" s="12"/>
      <c r="S71" s="26" t="e">
        <f t="shared" si="48"/>
        <v>#REF!</v>
      </c>
      <c r="T71" s="26" t="e">
        <f t="shared" si="49"/>
        <v>#REF!</v>
      </c>
      <c r="U71" s="12" t="e">
        <f t="shared" si="50"/>
        <v>#REF!</v>
      </c>
      <c r="V71" s="12"/>
      <c r="W71" s="44" t="e">
        <f t="shared" si="51"/>
        <v>#REF!</v>
      </c>
      <c r="X71" s="26" t="e">
        <f t="shared" si="52"/>
        <v>#REF!</v>
      </c>
      <c r="Y71" s="12" t="e">
        <f t="shared" si="53"/>
        <v>#REF!</v>
      </c>
    </row>
    <row r="72" spans="1:25" ht="16.5" customHeight="1" x14ac:dyDescent="0.25">
      <c r="A72" s="16" t="s">
        <v>178</v>
      </c>
      <c r="B72" s="32" t="s">
        <v>179</v>
      </c>
      <c r="C72" s="26" t="e">
        <f t="shared" si="36"/>
        <v>#REF!</v>
      </c>
      <c r="D72" s="26" t="e">
        <f t="shared" si="37"/>
        <v>#REF!</v>
      </c>
      <c r="E72" s="12" t="e">
        <f t="shared" si="38"/>
        <v>#REF!</v>
      </c>
      <c r="F72" s="26"/>
      <c r="G72" s="26" t="e">
        <f t="shared" si="39"/>
        <v>#REF!</v>
      </c>
      <c r="H72" s="26" t="e">
        <f t="shared" si="40"/>
        <v>#REF!</v>
      </c>
      <c r="I72" s="12" t="e">
        <f t="shared" si="41"/>
        <v>#REF!</v>
      </c>
      <c r="J72" s="26"/>
      <c r="K72" s="26" t="e">
        <f t="shared" si="42"/>
        <v>#REF!</v>
      </c>
      <c r="L72" s="26" t="e">
        <f t="shared" si="43"/>
        <v>#REF!</v>
      </c>
      <c r="M72" s="12" t="e">
        <f t="shared" si="44"/>
        <v>#REF!</v>
      </c>
      <c r="N72" s="12"/>
      <c r="O72" s="26" t="e">
        <f t="shared" si="45"/>
        <v>#REF!</v>
      </c>
      <c r="P72" s="26" t="e">
        <f t="shared" si="46"/>
        <v>#REF!</v>
      </c>
      <c r="Q72" s="12" t="e">
        <f t="shared" si="47"/>
        <v>#REF!</v>
      </c>
      <c r="R72" s="12"/>
      <c r="S72" s="26" t="e">
        <f t="shared" si="48"/>
        <v>#REF!</v>
      </c>
      <c r="T72" s="26" t="e">
        <f t="shared" si="49"/>
        <v>#REF!</v>
      </c>
      <c r="U72" s="12" t="e">
        <f t="shared" si="50"/>
        <v>#REF!</v>
      </c>
      <c r="V72" s="12"/>
      <c r="W72" s="44" t="e">
        <f t="shared" si="51"/>
        <v>#REF!</v>
      </c>
      <c r="X72" s="26" t="e">
        <f t="shared" si="52"/>
        <v>#REF!</v>
      </c>
      <c r="Y72" s="12" t="e">
        <f t="shared" si="53"/>
        <v>#REF!</v>
      </c>
    </row>
    <row r="73" spans="1:25" ht="16.5" customHeight="1" x14ac:dyDescent="0.25">
      <c r="A73" s="16" t="s">
        <v>182</v>
      </c>
      <c r="B73" s="32" t="s">
        <v>183</v>
      </c>
      <c r="C73" s="26" t="e">
        <f t="shared" si="36"/>
        <v>#REF!</v>
      </c>
      <c r="D73" s="26" t="e">
        <f t="shared" si="37"/>
        <v>#REF!</v>
      </c>
      <c r="E73" s="12" t="e">
        <f t="shared" si="38"/>
        <v>#REF!</v>
      </c>
      <c r="F73" s="26"/>
      <c r="G73" s="26" t="e">
        <f t="shared" si="39"/>
        <v>#REF!</v>
      </c>
      <c r="H73" s="26" t="e">
        <f t="shared" si="40"/>
        <v>#REF!</v>
      </c>
      <c r="I73" s="12" t="e">
        <f t="shared" si="41"/>
        <v>#REF!</v>
      </c>
      <c r="J73" s="26"/>
      <c r="K73" s="26" t="e">
        <f t="shared" si="42"/>
        <v>#REF!</v>
      </c>
      <c r="L73" s="26" t="e">
        <f t="shared" si="43"/>
        <v>#REF!</v>
      </c>
      <c r="M73" s="12" t="e">
        <f t="shared" si="44"/>
        <v>#REF!</v>
      </c>
      <c r="N73" s="12"/>
      <c r="O73" s="26" t="e">
        <f t="shared" si="45"/>
        <v>#REF!</v>
      </c>
      <c r="P73" s="26" t="e">
        <f t="shared" si="46"/>
        <v>#REF!</v>
      </c>
      <c r="Q73" s="12" t="e">
        <f t="shared" si="47"/>
        <v>#REF!</v>
      </c>
      <c r="R73" s="12"/>
      <c r="S73" s="26" t="e">
        <f t="shared" si="48"/>
        <v>#REF!</v>
      </c>
      <c r="T73" s="26" t="e">
        <f t="shared" si="49"/>
        <v>#REF!</v>
      </c>
      <c r="U73" s="12" t="e">
        <f t="shared" si="50"/>
        <v>#REF!</v>
      </c>
      <c r="V73" s="12"/>
      <c r="W73" s="44" t="e">
        <f t="shared" si="51"/>
        <v>#REF!</v>
      </c>
      <c r="X73" s="26" t="e">
        <f t="shared" si="52"/>
        <v>#REF!</v>
      </c>
      <c r="Y73" s="12" t="e">
        <f t="shared" si="53"/>
        <v>#REF!</v>
      </c>
    </row>
    <row r="74" spans="1:25" ht="16.5" customHeight="1" x14ac:dyDescent="0.25">
      <c r="A74" s="16" t="s">
        <v>184</v>
      </c>
      <c r="B74" s="32" t="s">
        <v>185</v>
      </c>
      <c r="C74" s="26" t="e">
        <f t="shared" si="36"/>
        <v>#REF!</v>
      </c>
      <c r="D74" s="26" t="e">
        <f t="shared" si="37"/>
        <v>#REF!</v>
      </c>
      <c r="E74" s="12" t="e">
        <f t="shared" si="38"/>
        <v>#REF!</v>
      </c>
      <c r="F74" s="26"/>
      <c r="G74" s="26" t="e">
        <f t="shared" si="39"/>
        <v>#REF!</v>
      </c>
      <c r="H74" s="26" t="e">
        <f t="shared" si="40"/>
        <v>#REF!</v>
      </c>
      <c r="I74" s="12" t="e">
        <f t="shared" si="41"/>
        <v>#REF!</v>
      </c>
      <c r="J74" s="26"/>
      <c r="K74" s="26" t="e">
        <f t="shared" si="42"/>
        <v>#REF!</v>
      </c>
      <c r="L74" s="26" t="e">
        <f t="shared" si="43"/>
        <v>#REF!</v>
      </c>
      <c r="M74" s="12" t="e">
        <f t="shared" si="44"/>
        <v>#REF!</v>
      </c>
      <c r="N74" s="12"/>
      <c r="O74" s="26" t="e">
        <f t="shared" si="45"/>
        <v>#REF!</v>
      </c>
      <c r="P74" s="26" t="e">
        <f t="shared" si="46"/>
        <v>#REF!</v>
      </c>
      <c r="Q74" s="12" t="e">
        <f t="shared" si="47"/>
        <v>#REF!</v>
      </c>
      <c r="R74" s="12"/>
      <c r="S74" s="26" t="e">
        <f t="shared" si="48"/>
        <v>#REF!</v>
      </c>
      <c r="T74" s="26" t="e">
        <f t="shared" si="49"/>
        <v>#REF!</v>
      </c>
      <c r="U74" s="12" t="e">
        <f t="shared" si="50"/>
        <v>#REF!</v>
      </c>
      <c r="V74" s="12"/>
      <c r="W74" s="44" t="e">
        <f t="shared" si="51"/>
        <v>#REF!</v>
      </c>
      <c r="X74" s="26" t="e">
        <f t="shared" si="52"/>
        <v>#REF!</v>
      </c>
      <c r="Y74" s="12" t="e">
        <f t="shared" si="53"/>
        <v>#REF!</v>
      </c>
    </row>
    <row r="75" spans="1:25" ht="16.5" customHeight="1" x14ac:dyDescent="0.25">
      <c r="A75" s="16" t="s">
        <v>186</v>
      </c>
      <c r="B75" s="17" t="s">
        <v>187</v>
      </c>
      <c r="C75" s="26" t="e">
        <f t="shared" si="36"/>
        <v>#REF!</v>
      </c>
      <c r="D75" s="26" t="e">
        <f t="shared" si="37"/>
        <v>#REF!</v>
      </c>
      <c r="E75" s="12" t="e">
        <f t="shared" si="38"/>
        <v>#REF!</v>
      </c>
      <c r="F75" s="26"/>
      <c r="G75" s="26" t="e">
        <f t="shared" si="39"/>
        <v>#REF!</v>
      </c>
      <c r="H75" s="26" t="e">
        <f t="shared" si="40"/>
        <v>#REF!</v>
      </c>
      <c r="I75" s="12" t="e">
        <f t="shared" si="41"/>
        <v>#REF!</v>
      </c>
      <c r="J75" s="26"/>
      <c r="K75" s="26" t="e">
        <f t="shared" si="42"/>
        <v>#REF!</v>
      </c>
      <c r="L75" s="26" t="e">
        <f t="shared" si="43"/>
        <v>#REF!</v>
      </c>
      <c r="M75" s="12" t="e">
        <f t="shared" si="44"/>
        <v>#REF!</v>
      </c>
      <c r="N75" s="12"/>
      <c r="O75" s="26" t="e">
        <f t="shared" si="45"/>
        <v>#REF!</v>
      </c>
      <c r="P75" s="26" t="e">
        <f t="shared" si="46"/>
        <v>#REF!</v>
      </c>
      <c r="Q75" s="12" t="e">
        <f t="shared" si="47"/>
        <v>#REF!</v>
      </c>
      <c r="R75" s="12"/>
      <c r="S75" s="26" t="e">
        <f t="shared" si="48"/>
        <v>#REF!</v>
      </c>
      <c r="T75" s="26" t="e">
        <f t="shared" si="49"/>
        <v>#REF!</v>
      </c>
      <c r="U75" s="12" t="e">
        <f t="shared" si="50"/>
        <v>#REF!</v>
      </c>
      <c r="V75" s="12"/>
      <c r="W75" s="44" t="e">
        <f t="shared" si="51"/>
        <v>#REF!</v>
      </c>
      <c r="X75" s="26" t="e">
        <f t="shared" si="52"/>
        <v>#REF!</v>
      </c>
      <c r="Y75" s="12" t="e">
        <f t="shared" si="53"/>
        <v>#REF!</v>
      </c>
    </row>
    <row r="76" spans="1:25" ht="16.5" customHeight="1" x14ac:dyDescent="0.25">
      <c r="A76" s="16" t="s">
        <v>188</v>
      </c>
      <c r="B76" s="17" t="s">
        <v>189</v>
      </c>
      <c r="C76" s="26" t="e">
        <f t="shared" si="36"/>
        <v>#REF!</v>
      </c>
      <c r="D76" s="26" t="e">
        <f t="shared" si="37"/>
        <v>#REF!</v>
      </c>
      <c r="E76" s="12" t="e">
        <f t="shared" si="38"/>
        <v>#REF!</v>
      </c>
      <c r="F76" s="26"/>
      <c r="G76" s="26" t="e">
        <f t="shared" si="39"/>
        <v>#REF!</v>
      </c>
      <c r="H76" s="26" t="e">
        <f t="shared" si="40"/>
        <v>#REF!</v>
      </c>
      <c r="I76" s="12" t="e">
        <f t="shared" si="41"/>
        <v>#REF!</v>
      </c>
      <c r="J76" s="26"/>
      <c r="K76" s="26" t="e">
        <f t="shared" si="42"/>
        <v>#REF!</v>
      </c>
      <c r="L76" s="26" t="e">
        <f t="shared" si="43"/>
        <v>#REF!</v>
      </c>
      <c r="M76" s="12" t="e">
        <f t="shared" si="44"/>
        <v>#REF!</v>
      </c>
      <c r="N76" s="12"/>
      <c r="O76" s="26" t="e">
        <f t="shared" si="45"/>
        <v>#REF!</v>
      </c>
      <c r="P76" s="26" t="e">
        <f t="shared" si="46"/>
        <v>#REF!</v>
      </c>
      <c r="Q76" s="12" t="e">
        <f t="shared" si="47"/>
        <v>#REF!</v>
      </c>
      <c r="R76" s="12"/>
      <c r="S76" s="26" t="e">
        <f t="shared" si="48"/>
        <v>#REF!</v>
      </c>
      <c r="T76" s="26" t="e">
        <f t="shared" si="49"/>
        <v>#REF!</v>
      </c>
      <c r="U76" s="12" t="e">
        <f t="shared" si="50"/>
        <v>#REF!</v>
      </c>
      <c r="V76" s="12"/>
      <c r="W76" s="44" t="e">
        <f t="shared" si="51"/>
        <v>#REF!</v>
      </c>
      <c r="X76" s="26" t="e">
        <f t="shared" si="52"/>
        <v>#REF!</v>
      </c>
      <c r="Y76" s="12" t="e">
        <f t="shared" si="53"/>
        <v>#REF!</v>
      </c>
    </row>
    <row r="77" spans="1:25" ht="16.5" customHeight="1" x14ac:dyDescent="0.25">
      <c r="A77" s="16" t="s">
        <v>190</v>
      </c>
      <c r="B77" s="32" t="s">
        <v>191</v>
      </c>
      <c r="C77" s="26" t="e">
        <f t="shared" si="36"/>
        <v>#REF!</v>
      </c>
      <c r="D77" s="26" t="e">
        <f t="shared" si="37"/>
        <v>#REF!</v>
      </c>
      <c r="E77" s="12" t="e">
        <f t="shared" si="38"/>
        <v>#REF!</v>
      </c>
      <c r="F77" s="26"/>
      <c r="G77" s="26" t="e">
        <f t="shared" si="39"/>
        <v>#REF!</v>
      </c>
      <c r="H77" s="26" t="e">
        <f t="shared" si="40"/>
        <v>#REF!</v>
      </c>
      <c r="I77" s="12" t="e">
        <f t="shared" si="41"/>
        <v>#REF!</v>
      </c>
      <c r="J77" s="26"/>
      <c r="K77" s="26" t="e">
        <f t="shared" si="42"/>
        <v>#REF!</v>
      </c>
      <c r="L77" s="26" t="e">
        <f t="shared" si="43"/>
        <v>#REF!</v>
      </c>
      <c r="M77" s="12" t="e">
        <f t="shared" si="44"/>
        <v>#REF!</v>
      </c>
      <c r="N77" s="12"/>
      <c r="O77" s="26" t="e">
        <f t="shared" si="45"/>
        <v>#REF!</v>
      </c>
      <c r="P77" s="26" t="e">
        <f t="shared" si="46"/>
        <v>#REF!</v>
      </c>
      <c r="Q77" s="12" t="e">
        <f t="shared" si="47"/>
        <v>#REF!</v>
      </c>
      <c r="R77" s="12"/>
      <c r="S77" s="26" t="e">
        <f t="shared" si="48"/>
        <v>#REF!</v>
      </c>
      <c r="T77" s="26" t="e">
        <f t="shared" si="49"/>
        <v>#REF!</v>
      </c>
      <c r="U77" s="12" t="e">
        <f t="shared" si="50"/>
        <v>#REF!</v>
      </c>
      <c r="V77" s="12"/>
      <c r="W77" s="44" t="e">
        <f t="shared" si="51"/>
        <v>#REF!</v>
      </c>
      <c r="X77" s="26" t="e">
        <f t="shared" si="52"/>
        <v>#REF!</v>
      </c>
      <c r="Y77" s="12" t="e">
        <f t="shared" si="53"/>
        <v>#REF!</v>
      </c>
    </row>
    <row r="78" spans="1:25" ht="16.5" customHeight="1" x14ac:dyDescent="0.25">
      <c r="A78" s="16" t="s">
        <v>194</v>
      </c>
      <c r="B78" s="17" t="s">
        <v>195</v>
      </c>
      <c r="C78" s="26" t="e">
        <f t="shared" si="36"/>
        <v>#REF!</v>
      </c>
      <c r="D78" s="26" t="e">
        <f t="shared" si="37"/>
        <v>#REF!</v>
      </c>
      <c r="E78" s="12" t="e">
        <f t="shared" si="38"/>
        <v>#REF!</v>
      </c>
      <c r="F78" s="26"/>
      <c r="G78" s="26" t="e">
        <f t="shared" si="39"/>
        <v>#REF!</v>
      </c>
      <c r="H78" s="26" t="e">
        <f t="shared" si="40"/>
        <v>#REF!</v>
      </c>
      <c r="I78" s="12" t="e">
        <f t="shared" si="41"/>
        <v>#REF!</v>
      </c>
      <c r="J78" s="26"/>
      <c r="K78" s="26" t="e">
        <f t="shared" si="42"/>
        <v>#REF!</v>
      </c>
      <c r="L78" s="26" t="e">
        <f t="shared" si="43"/>
        <v>#REF!</v>
      </c>
      <c r="M78" s="12" t="e">
        <f t="shared" si="44"/>
        <v>#REF!</v>
      </c>
      <c r="N78" s="12"/>
      <c r="O78" s="26" t="e">
        <f t="shared" si="45"/>
        <v>#REF!</v>
      </c>
      <c r="P78" s="26" t="e">
        <f t="shared" si="46"/>
        <v>#REF!</v>
      </c>
      <c r="Q78" s="12" t="e">
        <f t="shared" si="47"/>
        <v>#REF!</v>
      </c>
      <c r="R78" s="12"/>
      <c r="S78" s="26" t="e">
        <f t="shared" si="48"/>
        <v>#REF!</v>
      </c>
      <c r="T78" s="26" t="e">
        <f t="shared" si="49"/>
        <v>#REF!</v>
      </c>
      <c r="U78" s="12" t="e">
        <f t="shared" si="50"/>
        <v>#REF!</v>
      </c>
      <c r="V78" s="12"/>
      <c r="W78" s="44" t="e">
        <f t="shared" si="51"/>
        <v>#REF!</v>
      </c>
      <c r="X78" s="26" t="e">
        <f t="shared" si="52"/>
        <v>#REF!</v>
      </c>
      <c r="Y78" s="12" t="e">
        <f t="shared" si="53"/>
        <v>#REF!</v>
      </c>
    </row>
    <row r="79" spans="1:25" ht="16.5" customHeight="1" x14ac:dyDescent="0.25">
      <c r="A79" s="16" t="s">
        <v>198</v>
      </c>
      <c r="B79" s="32" t="s">
        <v>199</v>
      </c>
      <c r="C79" s="26" t="e">
        <f t="shared" si="36"/>
        <v>#REF!</v>
      </c>
      <c r="D79" s="26" t="e">
        <f t="shared" si="37"/>
        <v>#REF!</v>
      </c>
      <c r="E79" s="12" t="e">
        <f t="shared" si="38"/>
        <v>#REF!</v>
      </c>
      <c r="F79" s="26"/>
      <c r="G79" s="26" t="e">
        <f t="shared" si="39"/>
        <v>#REF!</v>
      </c>
      <c r="H79" s="26" t="e">
        <f t="shared" si="40"/>
        <v>#REF!</v>
      </c>
      <c r="I79" s="12" t="e">
        <f t="shared" si="41"/>
        <v>#REF!</v>
      </c>
      <c r="J79" s="26"/>
      <c r="K79" s="26" t="e">
        <f t="shared" si="42"/>
        <v>#REF!</v>
      </c>
      <c r="L79" s="26" t="e">
        <f t="shared" si="43"/>
        <v>#REF!</v>
      </c>
      <c r="M79" s="12" t="e">
        <f t="shared" si="44"/>
        <v>#REF!</v>
      </c>
      <c r="N79" s="12"/>
      <c r="O79" s="26" t="e">
        <f t="shared" si="45"/>
        <v>#REF!</v>
      </c>
      <c r="P79" s="26" t="e">
        <f t="shared" si="46"/>
        <v>#REF!</v>
      </c>
      <c r="Q79" s="12" t="e">
        <f t="shared" si="47"/>
        <v>#REF!</v>
      </c>
      <c r="R79" s="12"/>
      <c r="S79" s="26" t="e">
        <f t="shared" si="48"/>
        <v>#REF!</v>
      </c>
      <c r="T79" s="26" t="e">
        <f t="shared" si="49"/>
        <v>#REF!</v>
      </c>
      <c r="U79" s="12" t="e">
        <f t="shared" si="50"/>
        <v>#REF!</v>
      </c>
      <c r="V79" s="12"/>
      <c r="W79" s="44" t="e">
        <f t="shared" si="51"/>
        <v>#REF!</v>
      </c>
      <c r="X79" s="26" t="e">
        <f t="shared" si="52"/>
        <v>#REF!</v>
      </c>
      <c r="Y79" s="12" t="e">
        <f t="shared" si="53"/>
        <v>#REF!</v>
      </c>
    </row>
    <row r="80" spans="1:25" ht="16.5" customHeight="1" x14ac:dyDescent="0.25">
      <c r="A80" s="16" t="s">
        <v>202</v>
      </c>
      <c r="B80" s="17" t="s">
        <v>203</v>
      </c>
      <c r="C80" s="26" t="e">
        <f t="shared" si="36"/>
        <v>#REF!</v>
      </c>
      <c r="D80" s="26" t="e">
        <f t="shared" si="37"/>
        <v>#REF!</v>
      </c>
      <c r="E80" s="12" t="e">
        <f t="shared" si="38"/>
        <v>#REF!</v>
      </c>
      <c r="F80" s="26"/>
      <c r="G80" s="26" t="e">
        <f t="shared" si="39"/>
        <v>#REF!</v>
      </c>
      <c r="H80" s="26" t="e">
        <f t="shared" si="40"/>
        <v>#REF!</v>
      </c>
      <c r="I80" s="12" t="e">
        <f t="shared" si="41"/>
        <v>#REF!</v>
      </c>
      <c r="J80" s="26"/>
      <c r="K80" s="26" t="e">
        <f t="shared" si="42"/>
        <v>#REF!</v>
      </c>
      <c r="L80" s="26" t="e">
        <f t="shared" si="43"/>
        <v>#REF!</v>
      </c>
      <c r="M80" s="12" t="e">
        <f t="shared" si="44"/>
        <v>#REF!</v>
      </c>
      <c r="N80" s="12"/>
      <c r="O80" s="26" t="e">
        <f t="shared" si="45"/>
        <v>#REF!</v>
      </c>
      <c r="P80" s="26" t="e">
        <f t="shared" si="46"/>
        <v>#REF!</v>
      </c>
      <c r="Q80" s="12" t="e">
        <f t="shared" si="47"/>
        <v>#REF!</v>
      </c>
      <c r="R80" s="12"/>
      <c r="S80" s="26" t="e">
        <f t="shared" si="48"/>
        <v>#REF!</v>
      </c>
      <c r="T80" s="26" t="e">
        <f t="shared" si="49"/>
        <v>#REF!</v>
      </c>
      <c r="U80" s="12" t="e">
        <f t="shared" si="50"/>
        <v>#REF!</v>
      </c>
      <c r="V80" s="12"/>
      <c r="W80" s="44" t="e">
        <f t="shared" si="51"/>
        <v>#REF!</v>
      </c>
      <c r="X80" s="26" t="e">
        <f t="shared" si="52"/>
        <v>#REF!</v>
      </c>
      <c r="Y80" s="12" t="e">
        <f t="shared" si="53"/>
        <v>#REF!</v>
      </c>
    </row>
    <row r="81" spans="1:25" ht="16.5" customHeight="1" x14ac:dyDescent="0.25">
      <c r="A81" s="16" t="s">
        <v>204</v>
      </c>
      <c r="B81" s="17" t="s">
        <v>205</v>
      </c>
      <c r="C81" s="26" t="e">
        <f t="shared" si="36"/>
        <v>#REF!</v>
      </c>
      <c r="D81" s="26" t="e">
        <f t="shared" si="37"/>
        <v>#REF!</v>
      </c>
      <c r="E81" s="12" t="e">
        <f t="shared" si="38"/>
        <v>#REF!</v>
      </c>
      <c r="F81" s="26"/>
      <c r="G81" s="26" t="e">
        <f t="shared" si="39"/>
        <v>#REF!</v>
      </c>
      <c r="H81" s="26" t="e">
        <f t="shared" si="40"/>
        <v>#REF!</v>
      </c>
      <c r="I81" s="12" t="e">
        <f t="shared" si="41"/>
        <v>#REF!</v>
      </c>
      <c r="J81" s="26"/>
      <c r="K81" s="26" t="e">
        <f t="shared" si="42"/>
        <v>#REF!</v>
      </c>
      <c r="L81" s="26" t="e">
        <f t="shared" si="43"/>
        <v>#REF!</v>
      </c>
      <c r="M81" s="12" t="e">
        <f t="shared" si="44"/>
        <v>#REF!</v>
      </c>
      <c r="N81" s="12"/>
      <c r="O81" s="26" t="e">
        <f t="shared" si="45"/>
        <v>#REF!</v>
      </c>
      <c r="P81" s="26" t="e">
        <f t="shared" si="46"/>
        <v>#REF!</v>
      </c>
      <c r="Q81" s="12" t="e">
        <f t="shared" si="47"/>
        <v>#REF!</v>
      </c>
      <c r="R81" s="12"/>
      <c r="S81" s="26" t="e">
        <f t="shared" si="48"/>
        <v>#REF!</v>
      </c>
      <c r="T81" s="26" t="e">
        <f t="shared" si="49"/>
        <v>#REF!</v>
      </c>
      <c r="U81" s="12" t="e">
        <f t="shared" si="50"/>
        <v>#REF!</v>
      </c>
      <c r="V81" s="12"/>
      <c r="W81" s="44" t="e">
        <f t="shared" si="51"/>
        <v>#REF!</v>
      </c>
      <c r="X81" s="26" t="e">
        <f t="shared" si="52"/>
        <v>#REF!</v>
      </c>
      <c r="Y81" s="12" t="e">
        <f t="shared" si="53"/>
        <v>#REF!</v>
      </c>
    </row>
    <row r="82" spans="1:25" ht="16.5" customHeight="1" x14ac:dyDescent="0.25">
      <c r="A82" s="16" t="s">
        <v>206</v>
      </c>
      <c r="B82" s="17" t="s">
        <v>207</v>
      </c>
      <c r="C82" s="26" t="e">
        <f t="shared" si="36"/>
        <v>#REF!</v>
      </c>
      <c r="D82" s="26" t="e">
        <f t="shared" si="37"/>
        <v>#REF!</v>
      </c>
      <c r="E82" s="12" t="e">
        <f t="shared" si="38"/>
        <v>#REF!</v>
      </c>
      <c r="F82" s="26"/>
      <c r="G82" s="26" t="e">
        <f t="shared" si="39"/>
        <v>#REF!</v>
      </c>
      <c r="H82" s="26" t="e">
        <f t="shared" si="40"/>
        <v>#REF!</v>
      </c>
      <c r="I82" s="12" t="e">
        <f t="shared" si="41"/>
        <v>#REF!</v>
      </c>
      <c r="J82" s="26"/>
      <c r="K82" s="26" t="e">
        <f t="shared" si="42"/>
        <v>#REF!</v>
      </c>
      <c r="L82" s="26" t="e">
        <f t="shared" si="43"/>
        <v>#REF!</v>
      </c>
      <c r="M82" s="12" t="e">
        <f t="shared" si="44"/>
        <v>#REF!</v>
      </c>
      <c r="N82" s="12"/>
      <c r="O82" s="26" t="e">
        <f t="shared" si="45"/>
        <v>#REF!</v>
      </c>
      <c r="P82" s="26" t="e">
        <f t="shared" si="46"/>
        <v>#REF!</v>
      </c>
      <c r="Q82" s="12" t="e">
        <f t="shared" si="47"/>
        <v>#REF!</v>
      </c>
      <c r="R82" s="12"/>
      <c r="S82" s="26" t="e">
        <f t="shared" si="48"/>
        <v>#REF!</v>
      </c>
      <c r="T82" s="26" t="e">
        <f t="shared" si="49"/>
        <v>#REF!</v>
      </c>
      <c r="U82" s="12" t="e">
        <f t="shared" si="50"/>
        <v>#REF!</v>
      </c>
      <c r="V82" s="12"/>
      <c r="W82" s="44" t="e">
        <f t="shared" si="51"/>
        <v>#REF!</v>
      </c>
      <c r="X82" s="26" t="e">
        <f t="shared" si="52"/>
        <v>#REF!</v>
      </c>
      <c r="Y82" s="12" t="e">
        <f t="shared" si="53"/>
        <v>#REF!</v>
      </c>
    </row>
    <row r="83" spans="1:25" ht="16.5" customHeight="1" x14ac:dyDescent="0.25">
      <c r="A83" s="16" t="s">
        <v>208</v>
      </c>
      <c r="B83" s="32" t="s">
        <v>209</v>
      </c>
      <c r="C83" s="26" t="e">
        <f t="shared" si="36"/>
        <v>#REF!</v>
      </c>
      <c r="D83" s="26" t="e">
        <f t="shared" si="37"/>
        <v>#REF!</v>
      </c>
      <c r="E83" s="12" t="e">
        <f t="shared" si="38"/>
        <v>#REF!</v>
      </c>
      <c r="F83" s="26"/>
      <c r="G83" s="26" t="e">
        <f t="shared" si="39"/>
        <v>#REF!</v>
      </c>
      <c r="H83" s="26" t="e">
        <f t="shared" si="40"/>
        <v>#REF!</v>
      </c>
      <c r="I83" s="12" t="e">
        <f t="shared" si="41"/>
        <v>#REF!</v>
      </c>
      <c r="J83" s="26"/>
      <c r="K83" s="26" t="e">
        <f t="shared" si="42"/>
        <v>#REF!</v>
      </c>
      <c r="L83" s="26" t="e">
        <f t="shared" si="43"/>
        <v>#REF!</v>
      </c>
      <c r="M83" s="12" t="e">
        <f t="shared" si="44"/>
        <v>#REF!</v>
      </c>
      <c r="N83" s="12"/>
      <c r="O83" s="26" t="e">
        <f t="shared" si="45"/>
        <v>#REF!</v>
      </c>
      <c r="P83" s="26" t="e">
        <f t="shared" si="46"/>
        <v>#REF!</v>
      </c>
      <c r="Q83" s="12" t="e">
        <f t="shared" si="47"/>
        <v>#REF!</v>
      </c>
      <c r="R83" s="12"/>
      <c r="S83" s="26" t="e">
        <f t="shared" si="48"/>
        <v>#REF!</v>
      </c>
      <c r="T83" s="26" t="e">
        <f t="shared" si="49"/>
        <v>#REF!</v>
      </c>
      <c r="U83" s="12" t="e">
        <f t="shared" si="50"/>
        <v>#REF!</v>
      </c>
      <c r="V83" s="12"/>
      <c r="W83" s="44" t="e">
        <f t="shared" si="51"/>
        <v>#REF!</v>
      </c>
      <c r="X83" s="26" t="e">
        <f t="shared" si="52"/>
        <v>#REF!</v>
      </c>
      <c r="Y83" s="12" t="e">
        <f t="shared" si="53"/>
        <v>#REF!</v>
      </c>
    </row>
    <row r="84" spans="1:25" ht="16.5" customHeight="1" x14ac:dyDescent="0.25">
      <c r="A84" s="16" t="s">
        <v>210</v>
      </c>
      <c r="B84" s="32" t="s">
        <v>211</v>
      </c>
      <c r="C84" s="26" t="e">
        <f t="shared" si="36"/>
        <v>#REF!</v>
      </c>
      <c r="D84" s="26" t="e">
        <f t="shared" si="37"/>
        <v>#REF!</v>
      </c>
      <c r="E84" s="12" t="e">
        <f t="shared" si="38"/>
        <v>#REF!</v>
      </c>
      <c r="F84" s="26"/>
      <c r="G84" s="26" t="e">
        <f t="shared" si="39"/>
        <v>#REF!</v>
      </c>
      <c r="H84" s="26" t="e">
        <f t="shared" si="40"/>
        <v>#REF!</v>
      </c>
      <c r="I84" s="12" t="e">
        <f t="shared" si="41"/>
        <v>#REF!</v>
      </c>
      <c r="J84" s="26"/>
      <c r="K84" s="26" t="e">
        <f t="shared" si="42"/>
        <v>#REF!</v>
      </c>
      <c r="L84" s="26" t="e">
        <f t="shared" si="43"/>
        <v>#REF!</v>
      </c>
      <c r="M84" s="12" t="e">
        <f t="shared" si="44"/>
        <v>#REF!</v>
      </c>
      <c r="N84" s="12"/>
      <c r="O84" s="26" t="e">
        <f t="shared" si="45"/>
        <v>#REF!</v>
      </c>
      <c r="P84" s="26" t="e">
        <f t="shared" si="46"/>
        <v>#REF!</v>
      </c>
      <c r="Q84" s="12" t="e">
        <f t="shared" si="47"/>
        <v>#REF!</v>
      </c>
      <c r="R84" s="12"/>
      <c r="S84" s="26" t="e">
        <f t="shared" si="48"/>
        <v>#REF!</v>
      </c>
      <c r="T84" s="26" t="e">
        <f t="shared" si="49"/>
        <v>#REF!</v>
      </c>
      <c r="U84" s="12" t="e">
        <f t="shared" si="50"/>
        <v>#REF!</v>
      </c>
      <c r="V84" s="12"/>
      <c r="W84" s="44" t="e">
        <f t="shared" si="51"/>
        <v>#REF!</v>
      </c>
      <c r="X84" s="26" t="e">
        <f t="shared" si="52"/>
        <v>#REF!</v>
      </c>
      <c r="Y84" s="12" t="e">
        <f t="shared" si="53"/>
        <v>#REF!</v>
      </c>
    </row>
    <row r="85" spans="1:25" ht="16.5" customHeight="1" x14ac:dyDescent="0.25">
      <c r="A85" s="16" t="s">
        <v>212</v>
      </c>
      <c r="B85" s="17" t="s">
        <v>213</v>
      </c>
      <c r="C85" s="26" t="e">
        <f t="shared" si="36"/>
        <v>#REF!</v>
      </c>
      <c r="D85" s="26" t="e">
        <f t="shared" si="37"/>
        <v>#REF!</v>
      </c>
      <c r="E85" s="12" t="e">
        <f t="shared" si="38"/>
        <v>#REF!</v>
      </c>
      <c r="F85" s="26"/>
      <c r="G85" s="26" t="e">
        <f t="shared" si="39"/>
        <v>#REF!</v>
      </c>
      <c r="H85" s="26" t="e">
        <f t="shared" si="40"/>
        <v>#REF!</v>
      </c>
      <c r="I85" s="12" t="e">
        <f t="shared" si="41"/>
        <v>#REF!</v>
      </c>
      <c r="J85" s="26"/>
      <c r="K85" s="26" t="e">
        <f t="shared" si="42"/>
        <v>#REF!</v>
      </c>
      <c r="L85" s="26" t="e">
        <f t="shared" si="43"/>
        <v>#REF!</v>
      </c>
      <c r="M85" s="12" t="e">
        <f t="shared" si="44"/>
        <v>#REF!</v>
      </c>
      <c r="N85" s="12"/>
      <c r="O85" s="26" t="e">
        <f t="shared" si="45"/>
        <v>#REF!</v>
      </c>
      <c r="P85" s="26" t="e">
        <f t="shared" si="46"/>
        <v>#REF!</v>
      </c>
      <c r="Q85" s="12" t="e">
        <f t="shared" si="47"/>
        <v>#REF!</v>
      </c>
      <c r="R85" s="12"/>
      <c r="S85" s="26" t="e">
        <f t="shared" si="48"/>
        <v>#REF!</v>
      </c>
      <c r="T85" s="26" t="e">
        <f t="shared" si="49"/>
        <v>#REF!</v>
      </c>
      <c r="U85" s="12" t="e">
        <f t="shared" si="50"/>
        <v>#REF!</v>
      </c>
      <c r="V85" s="12"/>
      <c r="W85" s="44" t="e">
        <f t="shared" si="51"/>
        <v>#REF!</v>
      </c>
      <c r="X85" s="26" t="e">
        <f t="shared" si="52"/>
        <v>#REF!</v>
      </c>
      <c r="Y85" s="12" t="e">
        <f t="shared" si="53"/>
        <v>#REF!</v>
      </c>
    </row>
    <row r="86" spans="1:25" ht="16.5" customHeight="1" x14ac:dyDescent="0.25">
      <c r="A86" s="16" t="s">
        <v>214</v>
      </c>
      <c r="B86" s="32" t="s">
        <v>215</v>
      </c>
      <c r="C86" s="26" t="e">
        <f t="shared" si="36"/>
        <v>#REF!</v>
      </c>
      <c r="D86" s="26" t="e">
        <f t="shared" si="37"/>
        <v>#REF!</v>
      </c>
      <c r="E86" s="12" t="e">
        <f t="shared" si="38"/>
        <v>#REF!</v>
      </c>
      <c r="F86" s="26"/>
      <c r="G86" s="26" t="e">
        <f t="shared" si="39"/>
        <v>#REF!</v>
      </c>
      <c r="H86" s="26" t="e">
        <f t="shared" si="40"/>
        <v>#REF!</v>
      </c>
      <c r="I86" s="12" t="e">
        <f t="shared" si="41"/>
        <v>#REF!</v>
      </c>
      <c r="J86" s="26"/>
      <c r="K86" s="26" t="e">
        <f t="shared" si="42"/>
        <v>#REF!</v>
      </c>
      <c r="L86" s="26" t="e">
        <f t="shared" si="43"/>
        <v>#REF!</v>
      </c>
      <c r="M86" s="12" t="e">
        <f t="shared" si="44"/>
        <v>#REF!</v>
      </c>
      <c r="N86" s="12"/>
      <c r="O86" s="26" t="e">
        <f t="shared" si="45"/>
        <v>#REF!</v>
      </c>
      <c r="P86" s="26" t="e">
        <f t="shared" si="46"/>
        <v>#REF!</v>
      </c>
      <c r="Q86" s="12" t="e">
        <f t="shared" si="47"/>
        <v>#REF!</v>
      </c>
      <c r="R86" s="12"/>
      <c r="S86" s="26" t="e">
        <f t="shared" si="48"/>
        <v>#REF!</v>
      </c>
      <c r="T86" s="26" t="e">
        <f t="shared" si="49"/>
        <v>#REF!</v>
      </c>
      <c r="U86" s="12" t="e">
        <f t="shared" si="50"/>
        <v>#REF!</v>
      </c>
      <c r="V86" s="12"/>
      <c r="W86" s="44" t="e">
        <f t="shared" si="51"/>
        <v>#REF!</v>
      </c>
      <c r="X86" s="26" t="e">
        <f t="shared" si="52"/>
        <v>#REF!</v>
      </c>
      <c r="Y86" s="12" t="e">
        <f t="shared" si="53"/>
        <v>#REF!</v>
      </c>
    </row>
    <row r="87" spans="1:25" ht="16.5" customHeight="1" x14ac:dyDescent="0.25">
      <c r="A87" s="16" t="s">
        <v>216</v>
      </c>
      <c r="B87" s="32" t="s">
        <v>217</v>
      </c>
      <c r="C87" s="26" t="e">
        <f t="shared" si="36"/>
        <v>#REF!</v>
      </c>
      <c r="D87" s="26" t="e">
        <f t="shared" si="37"/>
        <v>#REF!</v>
      </c>
      <c r="E87" s="12" t="e">
        <f t="shared" si="38"/>
        <v>#REF!</v>
      </c>
      <c r="F87" s="26"/>
      <c r="G87" s="26" t="e">
        <f t="shared" si="39"/>
        <v>#REF!</v>
      </c>
      <c r="H87" s="26" t="e">
        <f t="shared" si="40"/>
        <v>#REF!</v>
      </c>
      <c r="I87" s="12" t="e">
        <f t="shared" si="41"/>
        <v>#REF!</v>
      </c>
      <c r="J87" s="26"/>
      <c r="K87" s="26" t="e">
        <f t="shared" si="42"/>
        <v>#REF!</v>
      </c>
      <c r="L87" s="26" t="e">
        <f t="shared" si="43"/>
        <v>#REF!</v>
      </c>
      <c r="M87" s="12" t="e">
        <f t="shared" si="44"/>
        <v>#REF!</v>
      </c>
      <c r="N87" s="12"/>
      <c r="O87" s="26" t="e">
        <f t="shared" si="45"/>
        <v>#REF!</v>
      </c>
      <c r="P87" s="26" t="e">
        <f t="shared" si="46"/>
        <v>#REF!</v>
      </c>
      <c r="Q87" s="12" t="e">
        <f t="shared" si="47"/>
        <v>#REF!</v>
      </c>
      <c r="R87" s="12"/>
      <c r="S87" s="26" t="e">
        <f t="shared" si="48"/>
        <v>#REF!</v>
      </c>
      <c r="T87" s="26" t="e">
        <f t="shared" si="49"/>
        <v>#REF!</v>
      </c>
      <c r="U87" s="12" t="e">
        <f t="shared" si="50"/>
        <v>#REF!</v>
      </c>
      <c r="V87" s="12"/>
      <c r="W87" s="44" t="e">
        <f t="shared" si="51"/>
        <v>#REF!</v>
      </c>
      <c r="X87" s="26" t="e">
        <f t="shared" si="52"/>
        <v>#REF!</v>
      </c>
      <c r="Y87" s="12" t="e">
        <f t="shared" si="53"/>
        <v>#REF!</v>
      </c>
    </row>
    <row r="88" spans="1:25" ht="16.5" customHeight="1" x14ac:dyDescent="0.25">
      <c r="A88" s="16" t="s">
        <v>218</v>
      </c>
      <c r="B88" s="17" t="s">
        <v>219</v>
      </c>
      <c r="C88" s="26" t="e">
        <f t="shared" si="36"/>
        <v>#REF!</v>
      </c>
      <c r="D88" s="26" t="e">
        <f t="shared" si="37"/>
        <v>#REF!</v>
      </c>
      <c r="E88" s="12" t="e">
        <f t="shared" si="38"/>
        <v>#REF!</v>
      </c>
      <c r="F88" s="26"/>
      <c r="G88" s="26" t="e">
        <f t="shared" si="39"/>
        <v>#REF!</v>
      </c>
      <c r="H88" s="26" t="e">
        <f t="shared" si="40"/>
        <v>#REF!</v>
      </c>
      <c r="I88" s="12" t="e">
        <f t="shared" si="41"/>
        <v>#REF!</v>
      </c>
      <c r="J88" s="26"/>
      <c r="K88" s="26" t="e">
        <f t="shared" si="42"/>
        <v>#REF!</v>
      </c>
      <c r="L88" s="26" t="e">
        <f t="shared" si="43"/>
        <v>#REF!</v>
      </c>
      <c r="M88" s="12" t="e">
        <f t="shared" si="44"/>
        <v>#REF!</v>
      </c>
      <c r="N88" s="12"/>
      <c r="O88" s="26" t="e">
        <f t="shared" si="45"/>
        <v>#REF!</v>
      </c>
      <c r="P88" s="26" t="e">
        <f t="shared" si="46"/>
        <v>#REF!</v>
      </c>
      <c r="Q88" s="12" t="e">
        <f t="shared" si="47"/>
        <v>#REF!</v>
      </c>
      <c r="R88" s="12"/>
      <c r="S88" s="26" t="e">
        <f t="shared" si="48"/>
        <v>#REF!</v>
      </c>
      <c r="T88" s="26" t="e">
        <f t="shared" si="49"/>
        <v>#REF!</v>
      </c>
      <c r="U88" s="12" t="e">
        <f t="shared" si="50"/>
        <v>#REF!</v>
      </c>
      <c r="V88" s="12"/>
      <c r="W88" s="44" t="e">
        <f t="shared" si="51"/>
        <v>#REF!</v>
      </c>
      <c r="X88" s="26" t="e">
        <f t="shared" si="52"/>
        <v>#REF!</v>
      </c>
      <c r="Y88" s="12" t="e">
        <f t="shared" si="53"/>
        <v>#REF!</v>
      </c>
    </row>
    <row r="89" spans="1:25" ht="16.5" customHeight="1" x14ac:dyDescent="0.25">
      <c r="A89" s="16" t="s">
        <v>220</v>
      </c>
      <c r="B89" s="17" t="s">
        <v>221</v>
      </c>
      <c r="C89" s="26" t="e">
        <f t="shared" si="36"/>
        <v>#REF!</v>
      </c>
      <c r="D89" s="26" t="e">
        <f t="shared" si="37"/>
        <v>#REF!</v>
      </c>
      <c r="E89" s="12" t="e">
        <f t="shared" si="38"/>
        <v>#REF!</v>
      </c>
      <c r="F89" s="26"/>
      <c r="G89" s="26" t="e">
        <f t="shared" si="39"/>
        <v>#REF!</v>
      </c>
      <c r="H89" s="26" t="e">
        <f t="shared" si="40"/>
        <v>#REF!</v>
      </c>
      <c r="I89" s="12" t="e">
        <f t="shared" si="41"/>
        <v>#REF!</v>
      </c>
      <c r="J89" s="26"/>
      <c r="K89" s="26" t="e">
        <f t="shared" si="42"/>
        <v>#REF!</v>
      </c>
      <c r="L89" s="26" t="e">
        <f t="shared" si="43"/>
        <v>#REF!</v>
      </c>
      <c r="M89" s="12" t="e">
        <f t="shared" si="44"/>
        <v>#REF!</v>
      </c>
      <c r="N89" s="12"/>
      <c r="O89" s="26" t="e">
        <f t="shared" si="45"/>
        <v>#REF!</v>
      </c>
      <c r="P89" s="26" t="e">
        <f t="shared" si="46"/>
        <v>#REF!</v>
      </c>
      <c r="Q89" s="12" t="e">
        <f t="shared" si="47"/>
        <v>#REF!</v>
      </c>
      <c r="R89" s="12"/>
      <c r="S89" s="26" t="e">
        <f t="shared" si="48"/>
        <v>#REF!</v>
      </c>
      <c r="T89" s="26" t="e">
        <f t="shared" si="49"/>
        <v>#REF!</v>
      </c>
      <c r="U89" s="12" t="e">
        <f t="shared" si="50"/>
        <v>#REF!</v>
      </c>
      <c r="V89" s="12"/>
      <c r="W89" s="44" t="e">
        <f t="shared" si="51"/>
        <v>#REF!</v>
      </c>
      <c r="X89" s="26" t="e">
        <f t="shared" si="52"/>
        <v>#REF!</v>
      </c>
      <c r="Y89" s="12" t="e">
        <f t="shared" si="53"/>
        <v>#REF!</v>
      </c>
    </row>
    <row r="90" spans="1:25" ht="16.5" customHeight="1" x14ac:dyDescent="0.25">
      <c r="A90" s="16" t="s">
        <v>224</v>
      </c>
      <c r="B90" s="17" t="s">
        <v>225</v>
      </c>
      <c r="C90" s="26" t="e">
        <f t="shared" si="36"/>
        <v>#REF!</v>
      </c>
      <c r="D90" s="26" t="e">
        <f t="shared" si="37"/>
        <v>#REF!</v>
      </c>
      <c r="E90" s="12" t="e">
        <f t="shared" si="38"/>
        <v>#REF!</v>
      </c>
      <c r="F90" s="26"/>
      <c r="G90" s="26" t="e">
        <f t="shared" si="39"/>
        <v>#REF!</v>
      </c>
      <c r="H90" s="26" t="e">
        <f t="shared" si="40"/>
        <v>#REF!</v>
      </c>
      <c r="I90" s="12" t="e">
        <f t="shared" si="41"/>
        <v>#REF!</v>
      </c>
      <c r="J90" s="26"/>
      <c r="K90" s="26" t="e">
        <f t="shared" si="42"/>
        <v>#REF!</v>
      </c>
      <c r="L90" s="26" t="e">
        <f t="shared" si="43"/>
        <v>#REF!</v>
      </c>
      <c r="M90" s="12" t="e">
        <f t="shared" si="44"/>
        <v>#REF!</v>
      </c>
      <c r="N90" s="12"/>
      <c r="O90" s="26" t="e">
        <f t="shared" si="45"/>
        <v>#REF!</v>
      </c>
      <c r="P90" s="26" t="e">
        <f t="shared" si="46"/>
        <v>#REF!</v>
      </c>
      <c r="Q90" s="12" t="e">
        <f t="shared" si="47"/>
        <v>#REF!</v>
      </c>
      <c r="R90" s="12"/>
      <c r="S90" s="26" t="e">
        <f t="shared" si="48"/>
        <v>#REF!</v>
      </c>
      <c r="T90" s="26" t="e">
        <f t="shared" si="49"/>
        <v>#REF!</v>
      </c>
      <c r="U90" s="12" t="e">
        <f t="shared" si="50"/>
        <v>#REF!</v>
      </c>
      <c r="V90" s="12"/>
      <c r="W90" s="44" t="e">
        <f t="shared" si="51"/>
        <v>#REF!</v>
      </c>
      <c r="X90" s="26" t="e">
        <f t="shared" si="52"/>
        <v>#REF!</v>
      </c>
      <c r="Y90" s="12" t="e">
        <f t="shared" si="53"/>
        <v>#REF!</v>
      </c>
    </row>
    <row r="91" spans="1:25" ht="16.5" customHeight="1" x14ac:dyDescent="0.25">
      <c r="A91" s="16" t="s">
        <v>226</v>
      </c>
      <c r="B91" s="32" t="s">
        <v>227</v>
      </c>
      <c r="C91" s="26" t="e">
        <f t="shared" si="36"/>
        <v>#REF!</v>
      </c>
      <c r="D91" s="26" t="e">
        <f t="shared" si="37"/>
        <v>#REF!</v>
      </c>
      <c r="E91" s="12" t="e">
        <f t="shared" si="38"/>
        <v>#REF!</v>
      </c>
      <c r="F91" s="26"/>
      <c r="G91" s="26" t="e">
        <f t="shared" si="39"/>
        <v>#REF!</v>
      </c>
      <c r="H91" s="26" t="e">
        <f t="shared" si="40"/>
        <v>#REF!</v>
      </c>
      <c r="I91" s="12" t="e">
        <f t="shared" si="41"/>
        <v>#REF!</v>
      </c>
      <c r="J91" s="26"/>
      <c r="K91" s="26" t="e">
        <f t="shared" si="42"/>
        <v>#REF!</v>
      </c>
      <c r="L91" s="26" t="e">
        <f t="shared" si="43"/>
        <v>#REF!</v>
      </c>
      <c r="M91" s="12" t="e">
        <f t="shared" si="44"/>
        <v>#REF!</v>
      </c>
      <c r="N91" s="12"/>
      <c r="O91" s="26" t="e">
        <f t="shared" si="45"/>
        <v>#REF!</v>
      </c>
      <c r="P91" s="26" t="e">
        <f t="shared" si="46"/>
        <v>#REF!</v>
      </c>
      <c r="Q91" s="12" t="e">
        <f t="shared" si="47"/>
        <v>#REF!</v>
      </c>
      <c r="R91" s="12"/>
      <c r="S91" s="26" t="e">
        <f t="shared" si="48"/>
        <v>#REF!</v>
      </c>
      <c r="T91" s="26" t="e">
        <f t="shared" si="49"/>
        <v>#REF!</v>
      </c>
      <c r="U91" s="12" t="e">
        <f t="shared" si="50"/>
        <v>#REF!</v>
      </c>
      <c r="V91" s="12"/>
      <c r="W91" s="44" t="e">
        <f t="shared" si="51"/>
        <v>#REF!</v>
      </c>
      <c r="X91" s="26" t="e">
        <f t="shared" si="52"/>
        <v>#REF!</v>
      </c>
      <c r="Y91" s="12" t="e">
        <f t="shared" si="53"/>
        <v>#REF!</v>
      </c>
    </row>
    <row r="92" spans="1:25" ht="16.5" customHeight="1" x14ac:dyDescent="0.25">
      <c r="A92" s="16" t="s">
        <v>228</v>
      </c>
      <c r="B92" s="32" t="s">
        <v>229</v>
      </c>
      <c r="C92" s="26" t="e">
        <f t="shared" si="36"/>
        <v>#REF!</v>
      </c>
      <c r="D92" s="26" t="e">
        <f t="shared" si="37"/>
        <v>#REF!</v>
      </c>
      <c r="E92" s="12" t="e">
        <f t="shared" si="38"/>
        <v>#REF!</v>
      </c>
      <c r="F92" s="26"/>
      <c r="G92" s="26" t="e">
        <f t="shared" si="39"/>
        <v>#REF!</v>
      </c>
      <c r="H92" s="26" t="e">
        <f t="shared" si="40"/>
        <v>#REF!</v>
      </c>
      <c r="I92" s="12" t="e">
        <f t="shared" si="41"/>
        <v>#REF!</v>
      </c>
      <c r="J92" s="26"/>
      <c r="K92" s="26" t="e">
        <f t="shared" si="42"/>
        <v>#REF!</v>
      </c>
      <c r="L92" s="26" t="e">
        <f t="shared" si="43"/>
        <v>#REF!</v>
      </c>
      <c r="M92" s="12" t="e">
        <f t="shared" si="44"/>
        <v>#REF!</v>
      </c>
      <c r="N92" s="12"/>
      <c r="O92" s="26" t="e">
        <f t="shared" si="45"/>
        <v>#REF!</v>
      </c>
      <c r="P92" s="26" t="e">
        <f t="shared" si="46"/>
        <v>#REF!</v>
      </c>
      <c r="Q92" s="12" t="e">
        <f t="shared" si="47"/>
        <v>#REF!</v>
      </c>
      <c r="R92" s="12"/>
      <c r="S92" s="26" t="e">
        <f t="shared" si="48"/>
        <v>#REF!</v>
      </c>
      <c r="T92" s="26" t="e">
        <f t="shared" si="49"/>
        <v>#REF!</v>
      </c>
      <c r="U92" s="12" t="e">
        <f t="shared" si="50"/>
        <v>#REF!</v>
      </c>
      <c r="V92" s="12"/>
      <c r="W92" s="44" t="e">
        <f t="shared" si="51"/>
        <v>#REF!</v>
      </c>
      <c r="X92" s="26" t="e">
        <f t="shared" si="52"/>
        <v>#REF!</v>
      </c>
      <c r="Y92" s="12" t="e">
        <f t="shared" si="53"/>
        <v>#REF!</v>
      </c>
    </row>
    <row r="93" spans="1:25" ht="16.5" customHeight="1" x14ac:dyDescent="0.25">
      <c r="A93" s="16" t="s">
        <v>232</v>
      </c>
      <c r="B93" s="32" t="s">
        <v>233</v>
      </c>
      <c r="C93" s="26" t="e">
        <f t="shared" si="36"/>
        <v>#REF!</v>
      </c>
      <c r="D93" s="26" t="e">
        <f t="shared" si="37"/>
        <v>#REF!</v>
      </c>
      <c r="E93" s="12" t="e">
        <f t="shared" si="38"/>
        <v>#REF!</v>
      </c>
      <c r="F93" s="26"/>
      <c r="G93" s="26" t="e">
        <f t="shared" si="39"/>
        <v>#REF!</v>
      </c>
      <c r="H93" s="26" t="e">
        <f t="shared" si="40"/>
        <v>#REF!</v>
      </c>
      <c r="I93" s="12" t="e">
        <f t="shared" si="41"/>
        <v>#REF!</v>
      </c>
      <c r="J93" s="26"/>
      <c r="K93" s="26" t="e">
        <f t="shared" si="42"/>
        <v>#REF!</v>
      </c>
      <c r="L93" s="26" t="e">
        <f t="shared" si="43"/>
        <v>#REF!</v>
      </c>
      <c r="M93" s="12" t="e">
        <f t="shared" si="44"/>
        <v>#REF!</v>
      </c>
      <c r="N93" s="12"/>
      <c r="O93" s="26" t="e">
        <f t="shared" si="45"/>
        <v>#REF!</v>
      </c>
      <c r="P93" s="26" t="e">
        <f t="shared" si="46"/>
        <v>#REF!</v>
      </c>
      <c r="Q93" s="12" t="e">
        <f t="shared" si="47"/>
        <v>#REF!</v>
      </c>
      <c r="R93" s="12"/>
      <c r="S93" s="26" t="e">
        <f t="shared" si="48"/>
        <v>#REF!</v>
      </c>
      <c r="T93" s="26" t="e">
        <f t="shared" si="49"/>
        <v>#REF!</v>
      </c>
      <c r="U93" s="12" t="e">
        <f t="shared" si="50"/>
        <v>#REF!</v>
      </c>
      <c r="V93" s="12"/>
      <c r="W93" s="44" t="e">
        <f t="shared" si="51"/>
        <v>#REF!</v>
      </c>
      <c r="X93" s="26" t="e">
        <f t="shared" si="52"/>
        <v>#REF!</v>
      </c>
      <c r="Y93" s="12" t="e">
        <f t="shared" si="53"/>
        <v>#REF!</v>
      </c>
    </row>
    <row r="94" spans="1:25" ht="16.5" customHeight="1" x14ac:dyDescent="0.25">
      <c r="A94" s="16" t="s">
        <v>234</v>
      </c>
      <c r="B94" s="32" t="s">
        <v>235</v>
      </c>
      <c r="C94" s="26" t="e">
        <f t="shared" si="36"/>
        <v>#REF!</v>
      </c>
      <c r="D94" s="26" t="e">
        <f t="shared" si="37"/>
        <v>#REF!</v>
      </c>
      <c r="E94" s="12" t="e">
        <f t="shared" si="38"/>
        <v>#REF!</v>
      </c>
      <c r="F94" s="26"/>
      <c r="G94" s="26" t="e">
        <f t="shared" si="39"/>
        <v>#REF!</v>
      </c>
      <c r="H94" s="26" t="e">
        <f t="shared" si="40"/>
        <v>#REF!</v>
      </c>
      <c r="I94" s="12" t="e">
        <f t="shared" si="41"/>
        <v>#REF!</v>
      </c>
      <c r="J94" s="26"/>
      <c r="K94" s="26" t="e">
        <f t="shared" si="42"/>
        <v>#REF!</v>
      </c>
      <c r="L94" s="26" t="e">
        <f t="shared" si="43"/>
        <v>#REF!</v>
      </c>
      <c r="M94" s="12" t="e">
        <f t="shared" si="44"/>
        <v>#REF!</v>
      </c>
      <c r="N94" s="12"/>
      <c r="O94" s="26" t="e">
        <f t="shared" si="45"/>
        <v>#REF!</v>
      </c>
      <c r="P94" s="26" t="e">
        <f t="shared" si="46"/>
        <v>#REF!</v>
      </c>
      <c r="Q94" s="12" t="e">
        <f t="shared" si="47"/>
        <v>#REF!</v>
      </c>
      <c r="R94" s="12"/>
      <c r="S94" s="26" t="e">
        <f t="shared" si="48"/>
        <v>#REF!</v>
      </c>
      <c r="T94" s="26" t="e">
        <f t="shared" si="49"/>
        <v>#REF!</v>
      </c>
      <c r="U94" s="12" t="e">
        <f t="shared" si="50"/>
        <v>#REF!</v>
      </c>
      <c r="V94" s="12"/>
      <c r="W94" s="44" t="e">
        <f t="shared" si="51"/>
        <v>#REF!</v>
      </c>
      <c r="X94" s="26" t="e">
        <f t="shared" si="52"/>
        <v>#REF!</v>
      </c>
      <c r="Y94" s="12" t="e">
        <f t="shared" si="53"/>
        <v>#REF!</v>
      </c>
    </row>
    <row r="95" spans="1:25" ht="16.5" customHeight="1" x14ac:dyDescent="0.25">
      <c r="A95" s="16" t="s">
        <v>236</v>
      </c>
      <c r="B95" s="32" t="s">
        <v>237</v>
      </c>
      <c r="C95" s="26" t="e">
        <f t="shared" si="36"/>
        <v>#REF!</v>
      </c>
      <c r="D95" s="26" t="e">
        <f t="shared" si="37"/>
        <v>#REF!</v>
      </c>
      <c r="E95" s="12" t="e">
        <f t="shared" si="38"/>
        <v>#REF!</v>
      </c>
      <c r="F95" s="26"/>
      <c r="G95" s="26" t="e">
        <f t="shared" si="39"/>
        <v>#REF!</v>
      </c>
      <c r="H95" s="26" t="e">
        <f t="shared" si="40"/>
        <v>#REF!</v>
      </c>
      <c r="I95" s="12" t="e">
        <f t="shared" si="41"/>
        <v>#REF!</v>
      </c>
      <c r="J95" s="26"/>
      <c r="K95" s="26" t="e">
        <f t="shared" si="42"/>
        <v>#REF!</v>
      </c>
      <c r="L95" s="26" t="e">
        <f t="shared" si="43"/>
        <v>#REF!</v>
      </c>
      <c r="M95" s="12" t="e">
        <f t="shared" si="44"/>
        <v>#REF!</v>
      </c>
      <c r="N95" s="12"/>
      <c r="O95" s="26" t="e">
        <f t="shared" si="45"/>
        <v>#REF!</v>
      </c>
      <c r="P95" s="26" t="e">
        <f t="shared" si="46"/>
        <v>#REF!</v>
      </c>
      <c r="Q95" s="12" t="e">
        <f t="shared" si="47"/>
        <v>#REF!</v>
      </c>
      <c r="R95" s="12"/>
      <c r="S95" s="26" t="e">
        <f t="shared" si="48"/>
        <v>#REF!</v>
      </c>
      <c r="T95" s="26" t="e">
        <f t="shared" si="49"/>
        <v>#REF!</v>
      </c>
      <c r="U95" s="12" t="e">
        <f t="shared" si="50"/>
        <v>#REF!</v>
      </c>
      <c r="V95" s="12"/>
      <c r="W95" s="44" t="e">
        <f t="shared" si="51"/>
        <v>#REF!</v>
      </c>
      <c r="X95" s="26" t="e">
        <f t="shared" si="52"/>
        <v>#REF!</v>
      </c>
      <c r="Y95" s="12" t="e">
        <f t="shared" si="53"/>
        <v>#REF!</v>
      </c>
    </row>
    <row r="96" spans="1:25" ht="16.5" customHeight="1" x14ac:dyDescent="0.25">
      <c r="A96" s="16" t="s">
        <v>242</v>
      </c>
      <c r="B96" s="32" t="s">
        <v>243</v>
      </c>
      <c r="C96" s="26" t="e">
        <f t="shared" si="36"/>
        <v>#REF!</v>
      </c>
      <c r="D96" s="26" t="e">
        <f t="shared" si="37"/>
        <v>#REF!</v>
      </c>
      <c r="E96" s="12" t="e">
        <f t="shared" si="38"/>
        <v>#REF!</v>
      </c>
      <c r="F96" s="26"/>
      <c r="G96" s="26" t="e">
        <f t="shared" si="39"/>
        <v>#REF!</v>
      </c>
      <c r="H96" s="26" t="e">
        <f t="shared" si="40"/>
        <v>#REF!</v>
      </c>
      <c r="I96" s="12" t="e">
        <f t="shared" si="41"/>
        <v>#REF!</v>
      </c>
      <c r="J96" s="26"/>
      <c r="K96" s="26" t="e">
        <f t="shared" si="42"/>
        <v>#REF!</v>
      </c>
      <c r="L96" s="26" t="e">
        <f t="shared" si="43"/>
        <v>#REF!</v>
      </c>
      <c r="M96" s="12" t="e">
        <f t="shared" si="44"/>
        <v>#REF!</v>
      </c>
      <c r="N96" s="12"/>
      <c r="O96" s="26" t="e">
        <f t="shared" si="45"/>
        <v>#REF!</v>
      </c>
      <c r="P96" s="26" t="e">
        <f t="shared" si="46"/>
        <v>#REF!</v>
      </c>
      <c r="Q96" s="12" t="e">
        <f t="shared" si="47"/>
        <v>#REF!</v>
      </c>
      <c r="R96" s="12"/>
      <c r="S96" s="26" t="e">
        <f t="shared" si="48"/>
        <v>#REF!</v>
      </c>
      <c r="T96" s="26" t="e">
        <f t="shared" si="49"/>
        <v>#REF!</v>
      </c>
      <c r="U96" s="12" t="e">
        <f t="shared" si="50"/>
        <v>#REF!</v>
      </c>
      <c r="V96" s="12"/>
      <c r="W96" s="44" t="e">
        <f t="shared" si="51"/>
        <v>#REF!</v>
      </c>
      <c r="X96" s="26" t="e">
        <f t="shared" si="52"/>
        <v>#REF!</v>
      </c>
      <c r="Y96" s="12" t="e">
        <f t="shared" si="53"/>
        <v>#REF!</v>
      </c>
    </row>
    <row r="97" spans="1:25" ht="16.5" customHeight="1" x14ac:dyDescent="0.25">
      <c r="A97" s="16" t="s">
        <v>244</v>
      </c>
      <c r="B97" s="32" t="s">
        <v>245</v>
      </c>
      <c r="C97" s="26" t="e">
        <f t="shared" si="36"/>
        <v>#REF!</v>
      </c>
      <c r="D97" s="26" t="e">
        <f t="shared" si="37"/>
        <v>#REF!</v>
      </c>
      <c r="E97" s="12" t="e">
        <f t="shared" si="38"/>
        <v>#REF!</v>
      </c>
      <c r="F97" s="26"/>
      <c r="G97" s="26" t="e">
        <f t="shared" si="39"/>
        <v>#REF!</v>
      </c>
      <c r="H97" s="26" t="e">
        <f t="shared" si="40"/>
        <v>#REF!</v>
      </c>
      <c r="I97" s="12" t="e">
        <f t="shared" si="41"/>
        <v>#REF!</v>
      </c>
      <c r="J97" s="26"/>
      <c r="K97" s="26" t="e">
        <f t="shared" si="42"/>
        <v>#REF!</v>
      </c>
      <c r="L97" s="26" t="e">
        <f t="shared" si="43"/>
        <v>#REF!</v>
      </c>
      <c r="M97" s="12" t="e">
        <f t="shared" si="44"/>
        <v>#REF!</v>
      </c>
      <c r="N97" s="12"/>
      <c r="O97" s="26" t="e">
        <f t="shared" si="45"/>
        <v>#REF!</v>
      </c>
      <c r="P97" s="26" t="e">
        <f t="shared" si="46"/>
        <v>#REF!</v>
      </c>
      <c r="Q97" s="12" t="e">
        <f t="shared" si="47"/>
        <v>#REF!</v>
      </c>
      <c r="R97" s="12"/>
      <c r="S97" s="26" t="e">
        <f t="shared" si="48"/>
        <v>#REF!</v>
      </c>
      <c r="T97" s="26" t="e">
        <f t="shared" si="49"/>
        <v>#REF!</v>
      </c>
      <c r="U97" s="12" t="e">
        <f t="shared" si="50"/>
        <v>#REF!</v>
      </c>
      <c r="V97" s="12"/>
      <c r="W97" s="44" t="e">
        <f t="shared" si="51"/>
        <v>#REF!</v>
      </c>
      <c r="X97" s="26" t="e">
        <f t="shared" si="52"/>
        <v>#REF!</v>
      </c>
      <c r="Y97" s="12" t="e">
        <f t="shared" si="53"/>
        <v>#REF!</v>
      </c>
    </row>
    <row r="98" spans="1:25" ht="16.5" customHeight="1" x14ac:dyDescent="0.25">
      <c r="A98" s="16" t="s">
        <v>246</v>
      </c>
      <c r="B98" s="17" t="s">
        <v>310</v>
      </c>
      <c r="C98" s="26" t="e">
        <f t="shared" si="36"/>
        <v>#REF!</v>
      </c>
      <c r="D98" s="26" t="e">
        <f t="shared" si="37"/>
        <v>#REF!</v>
      </c>
      <c r="E98" s="12" t="e">
        <f t="shared" si="38"/>
        <v>#REF!</v>
      </c>
      <c r="F98" s="26"/>
      <c r="G98" s="26" t="e">
        <f t="shared" si="39"/>
        <v>#REF!</v>
      </c>
      <c r="H98" s="26" t="e">
        <f t="shared" si="40"/>
        <v>#REF!</v>
      </c>
      <c r="I98" s="12" t="e">
        <f t="shared" si="41"/>
        <v>#REF!</v>
      </c>
      <c r="J98" s="26"/>
      <c r="K98" s="26" t="e">
        <f t="shared" si="42"/>
        <v>#REF!</v>
      </c>
      <c r="L98" s="26" t="e">
        <f t="shared" si="43"/>
        <v>#REF!</v>
      </c>
      <c r="M98" s="12" t="e">
        <f t="shared" si="44"/>
        <v>#REF!</v>
      </c>
      <c r="N98" s="12"/>
      <c r="O98" s="26" t="e">
        <f t="shared" si="45"/>
        <v>#REF!</v>
      </c>
      <c r="P98" s="26" t="e">
        <f t="shared" si="46"/>
        <v>#REF!</v>
      </c>
      <c r="Q98" s="12" t="e">
        <f t="shared" si="47"/>
        <v>#REF!</v>
      </c>
      <c r="R98" s="12"/>
      <c r="S98" s="26" t="e">
        <f t="shared" si="48"/>
        <v>#REF!</v>
      </c>
      <c r="T98" s="26" t="e">
        <f t="shared" si="49"/>
        <v>#REF!</v>
      </c>
      <c r="U98" s="12" t="e">
        <f t="shared" si="50"/>
        <v>#REF!</v>
      </c>
      <c r="V98" s="12"/>
      <c r="W98" s="44" t="e">
        <f t="shared" si="51"/>
        <v>#REF!</v>
      </c>
      <c r="X98" s="26" t="e">
        <f t="shared" si="52"/>
        <v>#REF!</v>
      </c>
      <c r="Y98" s="12" t="e">
        <f t="shared" si="53"/>
        <v>#REF!</v>
      </c>
    </row>
    <row r="99" spans="1:25" ht="16.5" customHeight="1" x14ac:dyDescent="0.25">
      <c r="A99" s="16" t="s">
        <v>14</v>
      </c>
      <c r="B99" s="17" t="s">
        <v>15</v>
      </c>
      <c r="C99" s="26" t="e">
        <f t="shared" si="36"/>
        <v>#REF!</v>
      </c>
      <c r="D99" s="26" t="e">
        <f t="shared" si="37"/>
        <v>#REF!</v>
      </c>
      <c r="E99" s="12" t="e">
        <f t="shared" si="38"/>
        <v>#REF!</v>
      </c>
      <c r="F99" s="26"/>
      <c r="G99" s="26" t="e">
        <f t="shared" si="39"/>
        <v>#REF!</v>
      </c>
      <c r="H99" s="26" t="e">
        <f t="shared" si="40"/>
        <v>#REF!</v>
      </c>
      <c r="I99" s="12" t="e">
        <f t="shared" si="41"/>
        <v>#REF!</v>
      </c>
      <c r="J99" s="26"/>
      <c r="K99" s="26" t="e">
        <f t="shared" si="42"/>
        <v>#REF!</v>
      </c>
      <c r="L99" s="26" t="e">
        <f t="shared" si="43"/>
        <v>#REF!</v>
      </c>
      <c r="M99" s="12" t="e">
        <f t="shared" si="44"/>
        <v>#REF!</v>
      </c>
      <c r="N99" s="12"/>
      <c r="O99" s="26" t="e">
        <f t="shared" si="45"/>
        <v>#REF!</v>
      </c>
      <c r="P99" s="26" t="e">
        <f t="shared" si="46"/>
        <v>#REF!</v>
      </c>
      <c r="Q99" s="12" t="e">
        <f t="shared" si="47"/>
        <v>#REF!</v>
      </c>
      <c r="R99" s="12"/>
      <c r="S99" s="26" t="e">
        <f t="shared" si="48"/>
        <v>#REF!</v>
      </c>
      <c r="T99" s="26" t="e">
        <f t="shared" si="49"/>
        <v>#REF!</v>
      </c>
      <c r="U99" s="12" t="e">
        <f t="shared" si="50"/>
        <v>#REF!</v>
      </c>
      <c r="V99" s="12"/>
      <c r="W99" s="44" t="e">
        <f t="shared" si="51"/>
        <v>#REF!</v>
      </c>
      <c r="X99" s="26" t="e">
        <f t="shared" si="52"/>
        <v>#REF!</v>
      </c>
      <c r="Y99" s="12" t="e">
        <f t="shared" si="53"/>
        <v>#REF!</v>
      </c>
    </row>
    <row r="100" spans="1:25" ht="16.5" customHeight="1" x14ac:dyDescent="0.25">
      <c r="A100" s="16" t="s">
        <v>34</v>
      </c>
      <c r="B100" s="32" t="s">
        <v>35</v>
      </c>
      <c r="C100" s="26" t="e">
        <f t="shared" ref="C100:C123" si="54">VLOOKUP(A100,MedicaidR,7,FALSE)</f>
        <v>#REF!</v>
      </c>
      <c r="D100" s="26" t="e">
        <f t="shared" ref="D100:D123" si="55">VLOOKUP(A100,Pop,14,FALSE)</f>
        <v>#REF!</v>
      </c>
      <c r="E100" s="12" t="e">
        <f t="shared" ref="E100:E123" si="56">+C100/D100</f>
        <v>#REF!</v>
      </c>
      <c r="F100" s="26"/>
      <c r="G100" s="26" t="e">
        <f t="shared" ref="G100:G123" si="57">VLOOKUP(A100,MedicaidR,8,FALSE)</f>
        <v>#REF!</v>
      </c>
      <c r="H100" s="26" t="e">
        <f t="shared" ref="H100:H123" si="58">VLOOKUP(A100,Pop,15,FALSE)</f>
        <v>#REF!</v>
      </c>
      <c r="I100" s="12" t="e">
        <f t="shared" ref="I100:I123" si="59">+G100/H100</f>
        <v>#REF!</v>
      </c>
      <c r="J100" s="26"/>
      <c r="K100" s="26" t="e">
        <f t="shared" ref="K100:K123" si="60">VLOOKUP(A100,MedicaidR,9,FALSE)</f>
        <v>#REF!</v>
      </c>
      <c r="L100" s="26" t="e">
        <f t="shared" ref="L100:L123" si="61">VLOOKUP(A100,Pop,16,FALSE)</f>
        <v>#REF!</v>
      </c>
      <c r="M100" s="12" t="e">
        <f t="shared" ref="M100:M123" si="62">+K100/L100</f>
        <v>#REF!</v>
      </c>
      <c r="N100" s="12"/>
      <c r="O100" s="26" t="e">
        <f t="shared" ref="O100:O123" si="63">VLOOKUP(A100,MedicaidR,3,FALSE)</f>
        <v>#REF!</v>
      </c>
      <c r="P100" s="26" t="e">
        <f t="shared" ref="P100:P123" si="64">VLOOKUP(A100,Pop,8,FALSE)</f>
        <v>#REF!</v>
      </c>
      <c r="Q100" s="12" t="e">
        <f t="shared" ref="Q100:Q123" si="65">+O100/P100</f>
        <v>#REF!</v>
      </c>
      <c r="R100" s="12"/>
      <c r="S100" s="26" t="e">
        <f t="shared" ref="S100:S123" si="66">VLOOKUP(A100,MedicaidR,4,FALSE)</f>
        <v>#REF!</v>
      </c>
      <c r="T100" s="26" t="e">
        <f t="shared" ref="T100:T123" si="67">VLOOKUP(A100,Pop,9,FALSE)</f>
        <v>#REF!</v>
      </c>
      <c r="U100" s="12" t="e">
        <f t="shared" ref="U100:U123" si="68">+S100/T100</f>
        <v>#REF!</v>
      </c>
      <c r="V100" s="12"/>
      <c r="W100" s="44" t="e">
        <f t="shared" ref="W100:W123" si="69">VLOOKUP(A100,MedicaidR,5,FALSE)</f>
        <v>#REF!</v>
      </c>
      <c r="X100" s="26" t="e">
        <f t="shared" ref="X100:X123" si="70">VLOOKUP(A100,Pop,10,FALSE)</f>
        <v>#REF!</v>
      </c>
      <c r="Y100" s="12" t="e">
        <f t="shared" ref="Y100:Y123" si="71">+W100/X100</f>
        <v>#REF!</v>
      </c>
    </row>
    <row r="101" spans="1:25" ht="16.5" customHeight="1" x14ac:dyDescent="0.25">
      <c r="A101" s="16" t="s">
        <v>52</v>
      </c>
      <c r="B101" s="32" t="s">
        <v>53</v>
      </c>
      <c r="C101" s="26" t="e">
        <f t="shared" si="54"/>
        <v>#REF!</v>
      </c>
      <c r="D101" s="26" t="e">
        <f t="shared" si="55"/>
        <v>#REF!</v>
      </c>
      <c r="E101" s="12" t="e">
        <f t="shared" si="56"/>
        <v>#REF!</v>
      </c>
      <c r="F101" s="26"/>
      <c r="G101" s="26" t="e">
        <f t="shared" si="57"/>
        <v>#REF!</v>
      </c>
      <c r="H101" s="26" t="e">
        <f t="shared" si="58"/>
        <v>#REF!</v>
      </c>
      <c r="I101" s="12" t="e">
        <f t="shared" si="59"/>
        <v>#REF!</v>
      </c>
      <c r="J101" s="26"/>
      <c r="K101" s="26" t="e">
        <f t="shared" si="60"/>
        <v>#REF!</v>
      </c>
      <c r="L101" s="26" t="e">
        <f t="shared" si="61"/>
        <v>#REF!</v>
      </c>
      <c r="M101" s="12" t="e">
        <f t="shared" si="62"/>
        <v>#REF!</v>
      </c>
      <c r="N101" s="12"/>
      <c r="O101" s="26" t="e">
        <f t="shared" si="63"/>
        <v>#REF!</v>
      </c>
      <c r="P101" s="26" t="e">
        <f t="shared" si="64"/>
        <v>#REF!</v>
      </c>
      <c r="Q101" s="12" t="e">
        <f t="shared" si="65"/>
        <v>#REF!</v>
      </c>
      <c r="R101" s="12"/>
      <c r="S101" s="26" t="e">
        <f t="shared" si="66"/>
        <v>#REF!</v>
      </c>
      <c r="T101" s="26" t="e">
        <f t="shared" si="67"/>
        <v>#REF!</v>
      </c>
      <c r="U101" s="12" t="e">
        <f t="shared" si="68"/>
        <v>#REF!</v>
      </c>
      <c r="V101" s="12"/>
      <c r="W101" s="44" t="e">
        <f t="shared" si="69"/>
        <v>#REF!</v>
      </c>
      <c r="X101" s="26" t="e">
        <f t="shared" si="70"/>
        <v>#REF!</v>
      </c>
      <c r="Y101" s="12" t="e">
        <f t="shared" si="71"/>
        <v>#REF!</v>
      </c>
    </row>
    <row r="102" spans="1:25" ht="16.5" customHeight="1" x14ac:dyDescent="0.25">
      <c r="A102" s="16" t="s">
        <v>54</v>
      </c>
      <c r="B102" s="17" t="s">
        <v>55</v>
      </c>
      <c r="C102" s="26" t="e">
        <f t="shared" si="54"/>
        <v>#REF!</v>
      </c>
      <c r="D102" s="26" t="e">
        <f t="shared" si="55"/>
        <v>#REF!</v>
      </c>
      <c r="E102" s="12" t="e">
        <f t="shared" si="56"/>
        <v>#REF!</v>
      </c>
      <c r="F102" s="26"/>
      <c r="G102" s="26" t="e">
        <f t="shared" si="57"/>
        <v>#REF!</v>
      </c>
      <c r="H102" s="26" t="e">
        <f t="shared" si="58"/>
        <v>#REF!</v>
      </c>
      <c r="I102" s="12" t="e">
        <f t="shared" si="59"/>
        <v>#REF!</v>
      </c>
      <c r="J102" s="26"/>
      <c r="K102" s="26" t="e">
        <f t="shared" si="60"/>
        <v>#REF!</v>
      </c>
      <c r="L102" s="26" t="e">
        <f t="shared" si="61"/>
        <v>#REF!</v>
      </c>
      <c r="M102" s="12" t="e">
        <f t="shared" si="62"/>
        <v>#REF!</v>
      </c>
      <c r="N102" s="12"/>
      <c r="O102" s="26" t="e">
        <f t="shared" si="63"/>
        <v>#REF!</v>
      </c>
      <c r="P102" s="26" t="e">
        <f t="shared" si="64"/>
        <v>#REF!</v>
      </c>
      <c r="Q102" s="12" t="e">
        <f t="shared" si="65"/>
        <v>#REF!</v>
      </c>
      <c r="R102" s="12"/>
      <c r="S102" s="26" t="e">
        <f t="shared" si="66"/>
        <v>#REF!</v>
      </c>
      <c r="T102" s="26" t="e">
        <f t="shared" si="67"/>
        <v>#REF!</v>
      </c>
      <c r="U102" s="12" t="e">
        <f t="shared" si="68"/>
        <v>#REF!</v>
      </c>
      <c r="V102" s="12"/>
      <c r="W102" s="44" t="e">
        <f t="shared" si="69"/>
        <v>#REF!</v>
      </c>
      <c r="X102" s="26" t="e">
        <f t="shared" si="70"/>
        <v>#REF!</v>
      </c>
      <c r="Y102" s="12" t="e">
        <f t="shared" si="71"/>
        <v>#REF!</v>
      </c>
    </row>
    <row r="103" spans="1:25" ht="16.5" customHeight="1" x14ac:dyDescent="0.25">
      <c r="A103" s="16" t="s">
        <v>66</v>
      </c>
      <c r="B103" s="32" t="s">
        <v>67</v>
      </c>
      <c r="C103" s="26" t="e">
        <f t="shared" si="54"/>
        <v>#REF!</v>
      </c>
      <c r="D103" s="26" t="e">
        <f t="shared" si="55"/>
        <v>#REF!</v>
      </c>
      <c r="E103" s="12" t="e">
        <f t="shared" si="56"/>
        <v>#REF!</v>
      </c>
      <c r="F103" s="26"/>
      <c r="G103" s="26" t="e">
        <f t="shared" si="57"/>
        <v>#REF!</v>
      </c>
      <c r="H103" s="26" t="e">
        <f t="shared" si="58"/>
        <v>#REF!</v>
      </c>
      <c r="I103" s="12" t="e">
        <f t="shared" si="59"/>
        <v>#REF!</v>
      </c>
      <c r="J103" s="26"/>
      <c r="K103" s="26" t="e">
        <f t="shared" si="60"/>
        <v>#REF!</v>
      </c>
      <c r="L103" s="26" t="e">
        <f t="shared" si="61"/>
        <v>#REF!</v>
      </c>
      <c r="M103" s="12" t="e">
        <f t="shared" si="62"/>
        <v>#REF!</v>
      </c>
      <c r="N103" s="12"/>
      <c r="O103" s="26" t="e">
        <f t="shared" si="63"/>
        <v>#REF!</v>
      </c>
      <c r="P103" s="26" t="e">
        <f t="shared" si="64"/>
        <v>#REF!</v>
      </c>
      <c r="Q103" s="12" t="e">
        <f t="shared" si="65"/>
        <v>#REF!</v>
      </c>
      <c r="R103" s="12"/>
      <c r="S103" s="26" t="e">
        <f t="shared" si="66"/>
        <v>#REF!</v>
      </c>
      <c r="T103" s="26" t="e">
        <f t="shared" si="67"/>
        <v>#REF!</v>
      </c>
      <c r="U103" s="12" t="e">
        <f t="shared" si="68"/>
        <v>#REF!</v>
      </c>
      <c r="V103" s="12"/>
      <c r="W103" s="44" t="e">
        <f t="shared" si="69"/>
        <v>#REF!</v>
      </c>
      <c r="X103" s="26" t="e">
        <f t="shared" si="70"/>
        <v>#REF!</v>
      </c>
      <c r="Y103" s="12" t="e">
        <f t="shared" si="71"/>
        <v>#REF!</v>
      </c>
    </row>
    <row r="104" spans="1:25" ht="16.5" customHeight="1" x14ac:dyDescent="0.25">
      <c r="A104" s="16" t="s">
        <v>82</v>
      </c>
      <c r="B104" s="32" t="s">
        <v>311</v>
      </c>
      <c r="C104" s="26" t="e">
        <f t="shared" si="54"/>
        <v>#REF!</v>
      </c>
      <c r="D104" s="26" t="e">
        <f t="shared" si="55"/>
        <v>#REF!</v>
      </c>
      <c r="E104" s="12" t="e">
        <f t="shared" si="56"/>
        <v>#REF!</v>
      </c>
      <c r="F104" s="26"/>
      <c r="G104" s="26" t="e">
        <f t="shared" si="57"/>
        <v>#REF!</v>
      </c>
      <c r="H104" s="26" t="e">
        <f t="shared" si="58"/>
        <v>#REF!</v>
      </c>
      <c r="I104" s="12" t="e">
        <f t="shared" si="59"/>
        <v>#REF!</v>
      </c>
      <c r="J104" s="26"/>
      <c r="K104" s="26" t="e">
        <f t="shared" si="60"/>
        <v>#REF!</v>
      </c>
      <c r="L104" s="26" t="e">
        <f t="shared" si="61"/>
        <v>#REF!</v>
      </c>
      <c r="M104" s="12" t="e">
        <f t="shared" si="62"/>
        <v>#REF!</v>
      </c>
      <c r="N104" s="12"/>
      <c r="O104" s="26" t="e">
        <f t="shared" si="63"/>
        <v>#REF!</v>
      </c>
      <c r="P104" s="26" t="e">
        <f t="shared" si="64"/>
        <v>#REF!</v>
      </c>
      <c r="Q104" s="12" t="e">
        <f t="shared" si="65"/>
        <v>#REF!</v>
      </c>
      <c r="R104" s="12"/>
      <c r="S104" s="26" t="e">
        <f t="shared" si="66"/>
        <v>#REF!</v>
      </c>
      <c r="T104" s="26" t="e">
        <f t="shared" si="67"/>
        <v>#REF!</v>
      </c>
      <c r="U104" s="12" t="e">
        <f t="shared" si="68"/>
        <v>#REF!</v>
      </c>
      <c r="V104" s="12"/>
      <c r="W104" s="44" t="e">
        <f t="shared" si="69"/>
        <v>#REF!</v>
      </c>
      <c r="X104" s="26" t="e">
        <f t="shared" si="70"/>
        <v>#REF!</v>
      </c>
      <c r="Y104" s="12" t="e">
        <f t="shared" si="71"/>
        <v>#REF!</v>
      </c>
    </row>
    <row r="105" spans="1:25" ht="16.5" customHeight="1" x14ac:dyDescent="0.25">
      <c r="A105" s="16" t="s">
        <v>88</v>
      </c>
      <c r="B105" s="32" t="s">
        <v>89</v>
      </c>
      <c r="C105" s="26" t="e">
        <f t="shared" si="54"/>
        <v>#REF!</v>
      </c>
      <c r="D105" s="26" t="e">
        <f t="shared" si="55"/>
        <v>#REF!</v>
      </c>
      <c r="E105" s="12" t="e">
        <f t="shared" si="56"/>
        <v>#REF!</v>
      </c>
      <c r="F105" s="26"/>
      <c r="G105" s="26" t="e">
        <f t="shared" si="57"/>
        <v>#REF!</v>
      </c>
      <c r="H105" s="26" t="e">
        <f t="shared" si="58"/>
        <v>#REF!</v>
      </c>
      <c r="I105" s="12" t="e">
        <f t="shared" si="59"/>
        <v>#REF!</v>
      </c>
      <c r="J105" s="26"/>
      <c r="K105" s="26" t="e">
        <f t="shared" si="60"/>
        <v>#REF!</v>
      </c>
      <c r="L105" s="26" t="e">
        <f t="shared" si="61"/>
        <v>#REF!</v>
      </c>
      <c r="M105" s="12" t="e">
        <f t="shared" si="62"/>
        <v>#REF!</v>
      </c>
      <c r="N105" s="12"/>
      <c r="O105" s="26" t="e">
        <f t="shared" si="63"/>
        <v>#REF!</v>
      </c>
      <c r="P105" s="26" t="e">
        <f t="shared" si="64"/>
        <v>#REF!</v>
      </c>
      <c r="Q105" s="12" t="e">
        <f t="shared" si="65"/>
        <v>#REF!</v>
      </c>
      <c r="R105" s="12"/>
      <c r="S105" s="26" t="e">
        <f t="shared" si="66"/>
        <v>#REF!</v>
      </c>
      <c r="T105" s="26" t="e">
        <f t="shared" si="67"/>
        <v>#REF!</v>
      </c>
      <c r="U105" s="12" t="e">
        <f t="shared" si="68"/>
        <v>#REF!</v>
      </c>
      <c r="V105" s="12"/>
      <c r="W105" s="44" t="e">
        <f t="shared" si="69"/>
        <v>#REF!</v>
      </c>
      <c r="X105" s="26" t="e">
        <f t="shared" si="70"/>
        <v>#REF!</v>
      </c>
      <c r="Y105" s="12" t="e">
        <f t="shared" si="71"/>
        <v>#REF!</v>
      </c>
    </row>
    <row r="106" spans="1:25" ht="16.5" customHeight="1" x14ac:dyDescent="0.25">
      <c r="A106" s="16" t="s">
        <v>90</v>
      </c>
      <c r="B106" s="32" t="s">
        <v>91</v>
      </c>
      <c r="C106" s="26" t="e">
        <f t="shared" si="54"/>
        <v>#REF!</v>
      </c>
      <c r="D106" s="26" t="e">
        <f t="shared" si="55"/>
        <v>#REF!</v>
      </c>
      <c r="E106" s="12" t="e">
        <f t="shared" si="56"/>
        <v>#REF!</v>
      </c>
      <c r="F106" s="26"/>
      <c r="G106" s="26" t="e">
        <f t="shared" si="57"/>
        <v>#REF!</v>
      </c>
      <c r="H106" s="26" t="e">
        <f t="shared" si="58"/>
        <v>#REF!</v>
      </c>
      <c r="I106" s="12" t="e">
        <f t="shared" si="59"/>
        <v>#REF!</v>
      </c>
      <c r="J106" s="26"/>
      <c r="K106" s="26" t="e">
        <f t="shared" si="60"/>
        <v>#REF!</v>
      </c>
      <c r="L106" s="26" t="e">
        <f t="shared" si="61"/>
        <v>#REF!</v>
      </c>
      <c r="M106" s="12" t="e">
        <f t="shared" si="62"/>
        <v>#REF!</v>
      </c>
      <c r="N106" s="12"/>
      <c r="O106" s="26" t="e">
        <f t="shared" si="63"/>
        <v>#REF!</v>
      </c>
      <c r="P106" s="26" t="e">
        <f t="shared" si="64"/>
        <v>#REF!</v>
      </c>
      <c r="Q106" s="12" t="e">
        <f t="shared" si="65"/>
        <v>#REF!</v>
      </c>
      <c r="R106" s="12"/>
      <c r="S106" s="26" t="e">
        <f t="shared" si="66"/>
        <v>#REF!</v>
      </c>
      <c r="T106" s="26" t="e">
        <f t="shared" si="67"/>
        <v>#REF!</v>
      </c>
      <c r="U106" s="12" t="e">
        <f t="shared" si="68"/>
        <v>#REF!</v>
      </c>
      <c r="V106" s="12"/>
      <c r="W106" s="44" t="e">
        <f t="shared" si="69"/>
        <v>#REF!</v>
      </c>
      <c r="X106" s="26" t="e">
        <f t="shared" si="70"/>
        <v>#REF!</v>
      </c>
      <c r="Y106" s="12" t="e">
        <f t="shared" si="71"/>
        <v>#REF!</v>
      </c>
    </row>
    <row r="107" spans="1:25" ht="16.5" customHeight="1" x14ac:dyDescent="0.25">
      <c r="A107" s="16" t="s">
        <v>106</v>
      </c>
      <c r="B107" s="17" t="s">
        <v>107</v>
      </c>
      <c r="C107" s="26" t="e">
        <f t="shared" si="54"/>
        <v>#REF!</v>
      </c>
      <c r="D107" s="26" t="e">
        <f t="shared" si="55"/>
        <v>#REF!</v>
      </c>
      <c r="E107" s="12" t="e">
        <f t="shared" si="56"/>
        <v>#REF!</v>
      </c>
      <c r="F107" s="26"/>
      <c r="G107" s="26" t="e">
        <f t="shared" si="57"/>
        <v>#REF!</v>
      </c>
      <c r="H107" s="26" t="e">
        <f t="shared" si="58"/>
        <v>#REF!</v>
      </c>
      <c r="I107" s="12" t="e">
        <f t="shared" si="59"/>
        <v>#REF!</v>
      </c>
      <c r="J107" s="26"/>
      <c r="K107" s="26" t="e">
        <f t="shared" si="60"/>
        <v>#REF!</v>
      </c>
      <c r="L107" s="26" t="e">
        <f t="shared" si="61"/>
        <v>#REF!</v>
      </c>
      <c r="M107" s="12" t="e">
        <f t="shared" si="62"/>
        <v>#REF!</v>
      </c>
      <c r="N107" s="12"/>
      <c r="O107" s="26" t="e">
        <f t="shared" si="63"/>
        <v>#REF!</v>
      </c>
      <c r="P107" s="26" t="e">
        <f t="shared" si="64"/>
        <v>#REF!</v>
      </c>
      <c r="Q107" s="12" t="e">
        <f t="shared" si="65"/>
        <v>#REF!</v>
      </c>
      <c r="R107" s="12"/>
      <c r="S107" s="26" t="e">
        <f t="shared" si="66"/>
        <v>#REF!</v>
      </c>
      <c r="T107" s="26" t="e">
        <f t="shared" si="67"/>
        <v>#REF!</v>
      </c>
      <c r="U107" s="12" t="e">
        <f t="shared" si="68"/>
        <v>#REF!</v>
      </c>
      <c r="V107" s="12"/>
      <c r="W107" s="44" t="e">
        <f t="shared" si="69"/>
        <v>#REF!</v>
      </c>
      <c r="X107" s="26" t="e">
        <f t="shared" si="70"/>
        <v>#REF!</v>
      </c>
      <c r="Y107" s="12" t="e">
        <f t="shared" si="71"/>
        <v>#REF!</v>
      </c>
    </row>
    <row r="108" spans="1:25" ht="16.5" customHeight="1" x14ac:dyDescent="0.25">
      <c r="A108" s="16" t="s">
        <v>116</v>
      </c>
      <c r="B108" s="32" t="s">
        <v>117</v>
      </c>
      <c r="C108" s="26" t="e">
        <f t="shared" si="54"/>
        <v>#REF!</v>
      </c>
      <c r="D108" s="26" t="e">
        <f t="shared" si="55"/>
        <v>#REF!</v>
      </c>
      <c r="E108" s="12" t="e">
        <f t="shared" si="56"/>
        <v>#REF!</v>
      </c>
      <c r="F108" s="26"/>
      <c r="G108" s="26" t="e">
        <f t="shared" si="57"/>
        <v>#REF!</v>
      </c>
      <c r="H108" s="26" t="e">
        <f t="shared" si="58"/>
        <v>#REF!</v>
      </c>
      <c r="I108" s="12" t="e">
        <f t="shared" si="59"/>
        <v>#REF!</v>
      </c>
      <c r="J108" s="26"/>
      <c r="K108" s="26" t="e">
        <f t="shared" si="60"/>
        <v>#REF!</v>
      </c>
      <c r="L108" s="26" t="e">
        <f t="shared" si="61"/>
        <v>#REF!</v>
      </c>
      <c r="M108" s="12" t="e">
        <f t="shared" si="62"/>
        <v>#REF!</v>
      </c>
      <c r="N108" s="12"/>
      <c r="O108" s="26" t="e">
        <f t="shared" si="63"/>
        <v>#REF!</v>
      </c>
      <c r="P108" s="26" t="e">
        <f t="shared" si="64"/>
        <v>#REF!</v>
      </c>
      <c r="Q108" s="12" t="e">
        <f t="shared" si="65"/>
        <v>#REF!</v>
      </c>
      <c r="R108" s="12"/>
      <c r="S108" s="26" t="e">
        <f t="shared" si="66"/>
        <v>#REF!</v>
      </c>
      <c r="T108" s="26" t="e">
        <f t="shared" si="67"/>
        <v>#REF!</v>
      </c>
      <c r="U108" s="12" t="e">
        <f t="shared" si="68"/>
        <v>#REF!</v>
      </c>
      <c r="V108" s="12"/>
      <c r="W108" s="44" t="e">
        <f t="shared" si="69"/>
        <v>#REF!</v>
      </c>
      <c r="X108" s="26" t="e">
        <f t="shared" si="70"/>
        <v>#REF!</v>
      </c>
      <c r="Y108" s="12" t="e">
        <f t="shared" si="71"/>
        <v>#REF!</v>
      </c>
    </row>
    <row r="109" spans="1:25" ht="16.5" customHeight="1" x14ac:dyDescent="0.25">
      <c r="A109" s="16" t="s">
        <v>138</v>
      </c>
      <c r="B109" s="32" t="s">
        <v>139</v>
      </c>
      <c r="C109" s="26" t="e">
        <f t="shared" si="54"/>
        <v>#REF!</v>
      </c>
      <c r="D109" s="26" t="e">
        <f t="shared" si="55"/>
        <v>#REF!</v>
      </c>
      <c r="E109" s="12" t="e">
        <f t="shared" si="56"/>
        <v>#REF!</v>
      </c>
      <c r="F109" s="26"/>
      <c r="G109" s="26" t="e">
        <f t="shared" si="57"/>
        <v>#REF!</v>
      </c>
      <c r="H109" s="26" t="e">
        <f t="shared" si="58"/>
        <v>#REF!</v>
      </c>
      <c r="I109" s="12" t="e">
        <f t="shared" si="59"/>
        <v>#REF!</v>
      </c>
      <c r="J109" s="26"/>
      <c r="K109" s="26" t="e">
        <f t="shared" si="60"/>
        <v>#REF!</v>
      </c>
      <c r="L109" s="26" t="e">
        <f t="shared" si="61"/>
        <v>#REF!</v>
      </c>
      <c r="M109" s="12" t="e">
        <f t="shared" si="62"/>
        <v>#REF!</v>
      </c>
      <c r="N109" s="12"/>
      <c r="O109" s="26" t="e">
        <f t="shared" si="63"/>
        <v>#REF!</v>
      </c>
      <c r="P109" s="26" t="e">
        <f t="shared" si="64"/>
        <v>#REF!</v>
      </c>
      <c r="Q109" s="12" t="e">
        <f t="shared" si="65"/>
        <v>#REF!</v>
      </c>
      <c r="R109" s="12"/>
      <c r="S109" s="26" t="e">
        <f t="shared" si="66"/>
        <v>#REF!</v>
      </c>
      <c r="T109" s="26" t="e">
        <f t="shared" si="67"/>
        <v>#REF!</v>
      </c>
      <c r="U109" s="12" t="e">
        <f t="shared" si="68"/>
        <v>#REF!</v>
      </c>
      <c r="V109" s="12"/>
      <c r="W109" s="44" t="e">
        <f t="shared" si="69"/>
        <v>#REF!</v>
      </c>
      <c r="X109" s="26" t="e">
        <f t="shared" si="70"/>
        <v>#REF!</v>
      </c>
      <c r="Y109" s="12" t="e">
        <f t="shared" si="71"/>
        <v>#REF!</v>
      </c>
    </row>
    <row r="110" spans="1:25" ht="16.5" customHeight="1" x14ac:dyDescent="0.25">
      <c r="A110" s="16" t="s">
        <v>142</v>
      </c>
      <c r="B110" s="17" t="s">
        <v>143</v>
      </c>
      <c r="C110" s="26" t="e">
        <f t="shared" si="54"/>
        <v>#REF!</v>
      </c>
      <c r="D110" s="26" t="e">
        <f t="shared" si="55"/>
        <v>#REF!</v>
      </c>
      <c r="E110" s="12" t="e">
        <f t="shared" si="56"/>
        <v>#REF!</v>
      </c>
      <c r="F110" s="26"/>
      <c r="G110" s="26" t="e">
        <f t="shared" si="57"/>
        <v>#REF!</v>
      </c>
      <c r="H110" s="26" t="e">
        <f t="shared" si="58"/>
        <v>#REF!</v>
      </c>
      <c r="I110" s="12" t="e">
        <f t="shared" si="59"/>
        <v>#REF!</v>
      </c>
      <c r="J110" s="26"/>
      <c r="K110" s="26" t="e">
        <f t="shared" si="60"/>
        <v>#REF!</v>
      </c>
      <c r="L110" s="26" t="e">
        <f t="shared" si="61"/>
        <v>#REF!</v>
      </c>
      <c r="M110" s="12" t="e">
        <f t="shared" si="62"/>
        <v>#REF!</v>
      </c>
      <c r="N110" s="12"/>
      <c r="O110" s="26" t="e">
        <f t="shared" si="63"/>
        <v>#REF!</v>
      </c>
      <c r="P110" s="26" t="e">
        <f t="shared" si="64"/>
        <v>#REF!</v>
      </c>
      <c r="Q110" s="12" t="e">
        <f t="shared" si="65"/>
        <v>#REF!</v>
      </c>
      <c r="R110" s="12"/>
      <c r="S110" s="26" t="e">
        <f t="shared" si="66"/>
        <v>#REF!</v>
      </c>
      <c r="T110" s="26" t="e">
        <f t="shared" si="67"/>
        <v>#REF!</v>
      </c>
      <c r="U110" s="12" t="e">
        <f t="shared" si="68"/>
        <v>#REF!</v>
      </c>
      <c r="V110" s="12"/>
      <c r="W110" s="44" t="e">
        <f t="shared" si="69"/>
        <v>#REF!</v>
      </c>
      <c r="X110" s="26" t="e">
        <f t="shared" si="70"/>
        <v>#REF!</v>
      </c>
      <c r="Y110" s="12" t="e">
        <f t="shared" si="71"/>
        <v>#REF!</v>
      </c>
    </row>
    <row r="111" spans="1:25" ht="16.5" customHeight="1" x14ac:dyDescent="0.25">
      <c r="A111" s="16" t="s">
        <v>144</v>
      </c>
      <c r="B111" s="17" t="s">
        <v>145</v>
      </c>
      <c r="C111" s="26" t="e">
        <f t="shared" si="54"/>
        <v>#REF!</v>
      </c>
      <c r="D111" s="26" t="e">
        <f t="shared" si="55"/>
        <v>#REF!</v>
      </c>
      <c r="E111" s="12" t="e">
        <f t="shared" si="56"/>
        <v>#REF!</v>
      </c>
      <c r="F111" s="26"/>
      <c r="G111" s="26" t="e">
        <f t="shared" si="57"/>
        <v>#REF!</v>
      </c>
      <c r="H111" s="26" t="e">
        <f t="shared" si="58"/>
        <v>#REF!</v>
      </c>
      <c r="I111" s="12" t="e">
        <f t="shared" si="59"/>
        <v>#REF!</v>
      </c>
      <c r="J111" s="26"/>
      <c r="K111" s="26" t="e">
        <f t="shared" si="60"/>
        <v>#REF!</v>
      </c>
      <c r="L111" s="26" t="e">
        <f t="shared" si="61"/>
        <v>#REF!</v>
      </c>
      <c r="M111" s="12" t="e">
        <f t="shared" si="62"/>
        <v>#REF!</v>
      </c>
      <c r="N111" s="12"/>
      <c r="O111" s="26" t="e">
        <f t="shared" si="63"/>
        <v>#REF!</v>
      </c>
      <c r="P111" s="26" t="e">
        <f t="shared" si="64"/>
        <v>#REF!</v>
      </c>
      <c r="Q111" s="12" t="e">
        <f t="shared" si="65"/>
        <v>#REF!</v>
      </c>
      <c r="R111" s="12"/>
      <c r="S111" s="26" t="e">
        <f t="shared" si="66"/>
        <v>#REF!</v>
      </c>
      <c r="T111" s="26" t="e">
        <f t="shared" si="67"/>
        <v>#REF!</v>
      </c>
      <c r="U111" s="12" t="e">
        <f t="shared" si="68"/>
        <v>#REF!</v>
      </c>
      <c r="V111" s="12"/>
      <c r="W111" s="44" t="e">
        <f t="shared" si="69"/>
        <v>#REF!</v>
      </c>
      <c r="X111" s="26" t="e">
        <f t="shared" si="70"/>
        <v>#REF!</v>
      </c>
      <c r="Y111" s="12" t="e">
        <f t="shared" si="71"/>
        <v>#REF!</v>
      </c>
    </row>
    <row r="112" spans="1:25" ht="16.5" customHeight="1" x14ac:dyDescent="0.25">
      <c r="A112" s="16" t="s">
        <v>158</v>
      </c>
      <c r="B112" s="17" t="s">
        <v>159</v>
      </c>
      <c r="C112" s="26" t="e">
        <f t="shared" si="54"/>
        <v>#REF!</v>
      </c>
      <c r="D112" s="26" t="e">
        <f t="shared" si="55"/>
        <v>#REF!</v>
      </c>
      <c r="E112" s="12" t="e">
        <f t="shared" si="56"/>
        <v>#REF!</v>
      </c>
      <c r="F112" s="26"/>
      <c r="G112" s="26" t="e">
        <f t="shared" si="57"/>
        <v>#REF!</v>
      </c>
      <c r="H112" s="26" t="e">
        <f t="shared" si="58"/>
        <v>#REF!</v>
      </c>
      <c r="I112" s="12" t="e">
        <f t="shared" si="59"/>
        <v>#REF!</v>
      </c>
      <c r="J112" s="26"/>
      <c r="K112" s="26" t="e">
        <f t="shared" si="60"/>
        <v>#REF!</v>
      </c>
      <c r="L112" s="26" t="e">
        <f t="shared" si="61"/>
        <v>#REF!</v>
      </c>
      <c r="M112" s="12" t="e">
        <f t="shared" si="62"/>
        <v>#REF!</v>
      </c>
      <c r="N112" s="12"/>
      <c r="O112" s="26" t="e">
        <f t="shared" si="63"/>
        <v>#REF!</v>
      </c>
      <c r="P112" s="26" t="e">
        <f t="shared" si="64"/>
        <v>#REF!</v>
      </c>
      <c r="Q112" s="12" t="e">
        <f t="shared" si="65"/>
        <v>#REF!</v>
      </c>
      <c r="R112" s="12"/>
      <c r="S112" s="26" t="e">
        <f t="shared" si="66"/>
        <v>#REF!</v>
      </c>
      <c r="T112" s="26" t="e">
        <f t="shared" si="67"/>
        <v>#REF!</v>
      </c>
      <c r="U112" s="12" t="e">
        <f t="shared" si="68"/>
        <v>#REF!</v>
      </c>
      <c r="V112" s="12"/>
      <c r="W112" s="44" t="e">
        <f t="shared" si="69"/>
        <v>#REF!</v>
      </c>
      <c r="X112" s="26" t="e">
        <f t="shared" si="70"/>
        <v>#REF!</v>
      </c>
      <c r="Y112" s="12" t="e">
        <f t="shared" si="71"/>
        <v>#REF!</v>
      </c>
    </row>
    <row r="113" spans="1:25" ht="16.5" customHeight="1" x14ac:dyDescent="0.25">
      <c r="A113" s="16" t="s">
        <v>160</v>
      </c>
      <c r="B113" s="17" t="s">
        <v>161</v>
      </c>
      <c r="C113" s="26" t="e">
        <f t="shared" si="54"/>
        <v>#REF!</v>
      </c>
      <c r="D113" s="26" t="e">
        <f t="shared" si="55"/>
        <v>#REF!</v>
      </c>
      <c r="E113" s="12" t="e">
        <f t="shared" si="56"/>
        <v>#REF!</v>
      </c>
      <c r="F113" s="26"/>
      <c r="G113" s="26" t="e">
        <f t="shared" si="57"/>
        <v>#REF!</v>
      </c>
      <c r="H113" s="26" t="e">
        <f t="shared" si="58"/>
        <v>#REF!</v>
      </c>
      <c r="I113" s="12" t="e">
        <f t="shared" si="59"/>
        <v>#REF!</v>
      </c>
      <c r="J113" s="26"/>
      <c r="K113" s="26" t="e">
        <f t="shared" si="60"/>
        <v>#REF!</v>
      </c>
      <c r="L113" s="26" t="e">
        <f t="shared" si="61"/>
        <v>#REF!</v>
      </c>
      <c r="M113" s="12" t="e">
        <f t="shared" si="62"/>
        <v>#REF!</v>
      </c>
      <c r="N113" s="12"/>
      <c r="O113" s="26" t="e">
        <f t="shared" si="63"/>
        <v>#REF!</v>
      </c>
      <c r="P113" s="26" t="e">
        <f t="shared" si="64"/>
        <v>#REF!</v>
      </c>
      <c r="Q113" s="12" t="e">
        <f t="shared" si="65"/>
        <v>#REF!</v>
      </c>
      <c r="R113" s="12"/>
      <c r="S113" s="26" t="e">
        <f t="shared" si="66"/>
        <v>#REF!</v>
      </c>
      <c r="T113" s="26" t="e">
        <f t="shared" si="67"/>
        <v>#REF!</v>
      </c>
      <c r="U113" s="12" t="e">
        <f t="shared" si="68"/>
        <v>#REF!</v>
      </c>
      <c r="V113" s="12"/>
      <c r="W113" s="44" t="e">
        <f t="shared" si="69"/>
        <v>#REF!</v>
      </c>
      <c r="X113" s="26" t="e">
        <f t="shared" si="70"/>
        <v>#REF!</v>
      </c>
      <c r="Y113" s="12" t="e">
        <f t="shared" si="71"/>
        <v>#REF!</v>
      </c>
    </row>
    <row r="114" spans="1:25" ht="16.5" customHeight="1" x14ac:dyDescent="0.25">
      <c r="A114" s="16" t="s">
        <v>166</v>
      </c>
      <c r="B114" s="32" t="s">
        <v>167</v>
      </c>
      <c r="C114" s="26" t="e">
        <f t="shared" si="54"/>
        <v>#REF!</v>
      </c>
      <c r="D114" s="26" t="e">
        <f t="shared" si="55"/>
        <v>#REF!</v>
      </c>
      <c r="E114" s="12" t="e">
        <f t="shared" si="56"/>
        <v>#REF!</v>
      </c>
      <c r="F114" s="26"/>
      <c r="G114" s="26" t="e">
        <f t="shared" si="57"/>
        <v>#REF!</v>
      </c>
      <c r="H114" s="26" t="e">
        <f t="shared" si="58"/>
        <v>#REF!</v>
      </c>
      <c r="I114" s="12" t="e">
        <f t="shared" si="59"/>
        <v>#REF!</v>
      </c>
      <c r="J114" s="26"/>
      <c r="K114" s="26" t="e">
        <f t="shared" si="60"/>
        <v>#REF!</v>
      </c>
      <c r="L114" s="26" t="e">
        <f t="shared" si="61"/>
        <v>#REF!</v>
      </c>
      <c r="M114" s="12" t="e">
        <f t="shared" si="62"/>
        <v>#REF!</v>
      </c>
      <c r="N114" s="12"/>
      <c r="O114" s="26" t="e">
        <f t="shared" si="63"/>
        <v>#REF!</v>
      </c>
      <c r="P114" s="26" t="e">
        <f t="shared" si="64"/>
        <v>#REF!</v>
      </c>
      <c r="Q114" s="12" t="e">
        <f t="shared" si="65"/>
        <v>#REF!</v>
      </c>
      <c r="R114" s="12"/>
      <c r="S114" s="26" t="e">
        <f t="shared" si="66"/>
        <v>#REF!</v>
      </c>
      <c r="T114" s="26" t="e">
        <f t="shared" si="67"/>
        <v>#REF!</v>
      </c>
      <c r="U114" s="12" t="e">
        <f t="shared" si="68"/>
        <v>#REF!</v>
      </c>
      <c r="V114" s="12"/>
      <c r="W114" s="44" t="e">
        <f t="shared" si="69"/>
        <v>#REF!</v>
      </c>
      <c r="X114" s="26" t="e">
        <f t="shared" si="70"/>
        <v>#REF!</v>
      </c>
      <c r="Y114" s="12" t="e">
        <f t="shared" si="71"/>
        <v>#REF!</v>
      </c>
    </row>
    <row r="115" spans="1:25" ht="16.5" customHeight="1" x14ac:dyDescent="0.25">
      <c r="A115" s="16" t="s">
        <v>176</v>
      </c>
      <c r="B115" s="32" t="s">
        <v>177</v>
      </c>
      <c r="C115" s="26" t="e">
        <f t="shared" si="54"/>
        <v>#REF!</v>
      </c>
      <c r="D115" s="26" t="e">
        <f t="shared" si="55"/>
        <v>#REF!</v>
      </c>
      <c r="E115" s="12" t="e">
        <f t="shared" si="56"/>
        <v>#REF!</v>
      </c>
      <c r="F115" s="26"/>
      <c r="G115" s="26" t="e">
        <f t="shared" si="57"/>
        <v>#REF!</v>
      </c>
      <c r="H115" s="26" t="e">
        <f t="shared" si="58"/>
        <v>#REF!</v>
      </c>
      <c r="I115" s="12" t="e">
        <f t="shared" si="59"/>
        <v>#REF!</v>
      </c>
      <c r="J115" s="26"/>
      <c r="K115" s="26" t="e">
        <f t="shared" si="60"/>
        <v>#REF!</v>
      </c>
      <c r="L115" s="26" t="e">
        <f t="shared" si="61"/>
        <v>#REF!</v>
      </c>
      <c r="M115" s="12" t="e">
        <f t="shared" si="62"/>
        <v>#REF!</v>
      </c>
      <c r="N115" s="12"/>
      <c r="O115" s="26" t="e">
        <f t="shared" si="63"/>
        <v>#REF!</v>
      </c>
      <c r="P115" s="26" t="e">
        <f t="shared" si="64"/>
        <v>#REF!</v>
      </c>
      <c r="Q115" s="12" t="e">
        <f t="shared" si="65"/>
        <v>#REF!</v>
      </c>
      <c r="R115" s="12"/>
      <c r="S115" s="26" t="e">
        <f t="shared" si="66"/>
        <v>#REF!</v>
      </c>
      <c r="T115" s="26" t="e">
        <f t="shared" si="67"/>
        <v>#REF!</v>
      </c>
      <c r="U115" s="12" t="e">
        <f t="shared" si="68"/>
        <v>#REF!</v>
      </c>
      <c r="V115" s="12"/>
      <c r="W115" s="44" t="e">
        <f t="shared" si="69"/>
        <v>#REF!</v>
      </c>
      <c r="X115" s="26" t="e">
        <f t="shared" si="70"/>
        <v>#REF!</v>
      </c>
      <c r="Y115" s="12" t="e">
        <f t="shared" si="71"/>
        <v>#REF!</v>
      </c>
    </row>
    <row r="116" spans="1:25" ht="16.5" customHeight="1" x14ac:dyDescent="0.25">
      <c r="A116" s="16" t="s">
        <v>180</v>
      </c>
      <c r="B116" s="32" t="s">
        <v>181</v>
      </c>
      <c r="C116" s="26" t="e">
        <f t="shared" si="54"/>
        <v>#REF!</v>
      </c>
      <c r="D116" s="26" t="e">
        <f t="shared" si="55"/>
        <v>#REF!</v>
      </c>
      <c r="E116" s="12" t="e">
        <f t="shared" si="56"/>
        <v>#REF!</v>
      </c>
      <c r="F116" s="26"/>
      <c r="G116" s="26" t="e">
        <f t="shared" si="57"/>
        <v>#REF!</v>
      </c>
      <c r="H116" s="26" t="e">
        <f t="shared" si="58"/>
        <v>#REF!</v>
      </c>
      <c r="I116" s="12" t="e">
        <f t="shared" si="59"/>
        <v>#REF!</v>
      </c>
      <c r="J116" s="26"/>
      <c r="K116" s="26" t="e">
        <f t="shared" si="60"/>
        <v>#REF!</v>
      </c>
      <c r="L116" s="26" t="e">
        <f t="shared" si="61"/>
        <v>#REF!</v>
      </c>
      <c r="M116" s="12" t="e">
        <f t="shared" si="62"/>
        <v>#REF!</v>
      </c>
      <c r="N116" s="12"/>
      <c r="O116" s="26" t="e">
        <f t="shared" si="63"/>
        <v>#REF!</v>
      </c>
      <c r="P116" s="26" t="e">
        <f t="shared" si="64"/>
        <v>#REF!</v>
      </c>
      <c r="Q116" s="12" t="e">
        <f t="shared" si="65"/>
        <v>#REF!</v>
      </c>
      <c r="R116" s="12"/>
      <c r="S116" s="26" t="e">
        <f t="shared" si="66"/>
        <v>#REF!</v>
      </c>
      <c r="T116" s="26" t="e">
        <f t="shared" si="67"/>
        <v>#REF!</v>
      </c>
      <c r="U116" s="12" t="e">
        <f t="shared" si="68"/>
        <v>#REF!</v>
      </c>
      <c r="V116" s="12"/>
      <c r="W116" s="44" t="e">
        <f t="shared" si="69"/>
        <v>#REF!</v>
      </c>
      <c r="X116" s="26" t="e">
        <f t="shared" si="70"/>
        <v>#REF!</v>
      </c>
      <c r="Y116" s="12" t="e">
        <f t="shared" si="71"/>
        <v>#REF!</v>
      </c>
    </row>
    <row r="117" spans="1:25" ht="16.5" customHeight="1" x14ac:dyDescent="0.25">
      <c r="A117" s="16" t="s">
        <v>192</v>
      </c>
      <c r="B117" s="17" t="s">
        <v>193</v>
      </c>
      <c r="C117" s="26" t="e">
        <f t="shared" si="54"/>
        <v>#REF!</v>
      </c>
      <c r="D117" s="26" t="e">
        <f t="shared" si="55"/>
        <v>#REF!</v>
      </c>
      <c r="E117" s="12" t="e">
        <f t="shared" si="56"/>
        <v>#REF!</v>
      </c>
      <c r="F117" s="26"/>
      <c r="G117" s="26" t="e">
        <f t="shared" si="57"/>
        <v>#REF!</v>
      </c>
      <c r="H117" s="26" t="e">
        <f t="shared" si="58"/>
        <v>#REF!</v>
      </c>
      <c r="I117" s="12" t="e">
        <f t="shared" si="59"/>
        <v>#REF!</v>
      </c>
      <c r="J117" s="26"/>
      <c r="K117" s="26" t="e">
        <f t="shared" si="60"/>
        <v>#REF!</v>
      </c>
      <c r="L117" s="26" t="e">
        <f t="shared" si="61"/>
        <v>#REF!</v>
      </c>
      <c r="M117" s="12" t="e">
        <f t="shared" si="62"/>
        <v>#REF!</v>
      </c>
      <c r="N117" s="12"/>
      <c r="O117" s="26" t="e">
        <f t="shared" si="63"/>
        <v>#REF!</v>
      </c>
      <c r="P117" s="26" t="e">
        <f t="shared" si="64"/>
        <v>#REF!</v>
      </c>
      <c r="Q117" s="12" t="e">
        <f t="shared" si="65"/>
        <v>#REF!</v>
      </c>
      <c r="R117" s="12"/>
      <c r="S117" s="26" t="e">
        <f t="shared" si="66"/>
        <v>#REF!</v>
      </c>
      <c r="T117" s="26" t="e">
        <f t="shared" si="67"/>
        <v>#REF!</v>
      </c>
      <c r="U117" s="12" t="e">
        <f t="shared" si="68"/>
        <v>#REF!</v>
      </c>
      <c r="V117" s="12"/>
      <c r="W117" s="44" t="e">
        <f t="shared" si="69"/>
        <v>#REF!</v>
      </c>
      <c r="X117" s="26" t="e">
        <f t="shared" si="70"/>
        <v>#REF!</v>
      </c>
      <c r="Y117" s="12" t="e">
        <f t="shared" si="71"/>
        <v>#REF!</v>
      </c>
    </row>
    <row r="118" spans="1:25" ht="16.5" customHeight="1" x14ac:dyDescent="0.25">
      <c r="A118" s="16" t="s">
        <v>196</v>
      </c>
      <c r="B118" s="32" t="s">
        <v>312</v>
      </c>
      <c r="C118" s="26" t="e">
        <f t="shared" si="54"/>
        <v>#REF!</v>
      </c>
      <c r="D118" s="26" t="e">
        <f t="shared" si="55"/>
        <v>#REF!</v>
      </c>
      <c r="E118" s="12" t="e">
        <f t="shared" si="56"/>
        <v>#REF!</v>
      </c>
      <c r="F118" s="26"/>
      <c r="G118" s="26" t="e">
        <f t="shared" si="57"/>
        <v>#REF!</v>
      </c>
      <c r="H118" s="26" t="e">
        <f t="shared" si="58"/>
        <v>#REF!</v>
      </c>
      <c r="I118" s="12" t="e">
        <f t="shared" si="59"/>
        <v>#REF!</v>
      </c>
      <c r="J118" s="26"/>
      <c r="K118" s="26" t="e">
        <f t="shared" si="60"/>
        <v>#REF!</v>
      </c>
      <c r="L118" s="26" t="e">
        <f t="shared" si="61"/>
        <v>#REF!</v>
      </c>
      <c r="M118" s="12" t="e">
        <f t="shared" si="62"/>
        <v>#REF!</v>
      </c>
      <c r="N118" s="12"/>
      <c r="O118" s="26" t="e">
        <f t="shared" si="63"/>
        <v>#REF!</v>
      </c>
      <c r="P118" s="26" t="e">
        <f t="shared" si="64"/>
        <v>#REF!</v>
      </c>
      <c r="Q118" s="12" t="e">
        <f t="shared" si="65"/>
        <v>#REF!</v>
      </c>
      <c r="R118" s="12"/>
      <c r="S118" s="26" t="e">
        <f t="shared" si="66"/>
        <v>#REF!</v>
      </c>
      <c r="T118" s="26" t="e">
        <f t="shared" si="67"/>
        <v>#REF!</v>
      </c>
      <c r="U118" s="12" t="e">
        <f t="shared" si="68"/>
        <v>#REF!</v>
      </c>
      <c r="V118" s="12"/>
      <c r="W118" s="44" t="e">
        <f t="shared" si="69"/>
        <v>#REF!</v>
      </c>
      <c r="X118" s="26" t="e">
        <f t="shared" si="70"/>
        <v>#REF!</v>
      </c>
      <c r="Y118" s="12" t="e">
        <f t="shared" si="71"/>
        <v>#REF!</v>
      </c>
    </row>
    <row r="119" spans="1:25" ht="16.5" customHeight="1" x14ac:dyDescent="0.25">
      <c r="A119" s="16" t="s">
        <v>200</v>
      </c>
      <c r="B119" s="32" t="s">
        <v>313</v>
      </c>
      <c r="C119" s="26" t="e">
        <f t="shared" si="54"/>
        <v>#REF!</v>
      </c>
      <c r="D119" s="26" t="e">
        <f t="shared" si="55"/>
        <v>#REF!</v>
      </c>
      <c r="E119" s="12" t="e">
        <f t="shared" si="56"/>
        <v>#REF!</v>
      </c>
      <c r="F119" s="26"/>
      <c r="G119" s="26" t="e">
        <f t="shared" si="57"/>
        <v>#REF!</v>
      </c>
      <c r="H119" s="26" t="e">
        <f t="shared" si="58"/>
        <v>#REF!</v>
      </c>
      <c r="I119" s="12" t="e">
        <f t="shared" si="59"/>
        <v>#REF!</v>
      </c>
      <c r="J119" s="26"/>
      <c r="K119" s="26" t="e">
        <f t="shared" si="60"/>
        <v>#REF!</v>
      </c>
      <c r="L119" s="26" t="e">
        <f t="shared" si="61"/>
        <v>#REF!</v>
      </c>
      <c r="M119" s="12" t="e">
        <f t="shared" si="62"/>
        <v>#REF!</v>
      </c>
      <c r="N119" s="12"/>
      <c r="O119" s="26" t="e">
        <f t="shared" si="63"/>
        <v>#REF!</v>
      </c>
      <c r="P119" s="26" t="e">
        <f t="shared" si="64"/>
        <v>#REF!</v>
      </c>
      <c r="Q119" s="12" t="e">
        <f t="shared" si="65"/>
        <v>#REF!</v>
      </c>
      <c r="R119" s="12"/>
      <c r="S119" s="26" t="e">
        <f t="shared" si="66"/>
        <v>#REF!</v>
      </c>
      <c r="T119" s="26" t="e">
        <f t="shared" si="67"/>
        <v>#REF!</v>
      </c>
      <c r="U119" s="12" t="e">
        <f t="shared" si="68"/>
        <v>#REF!</v>
      </c>
      <c r="V119" s="12"/>
      <c r="W119" s="44" t="e">
        <f t="shared" si="69"/>
        <v>#REF!</v>
      </c>
      <c r="X119" s="26" t="e">
        <f t="shared" si="70"/>
        <v>#REF!</v>
      </c>
      <c r="Y119" s="12" t="e">
        <f t="shared" si="71"/>
        <v>#REF!</v>
      </c>
    </row>
    <row r="120" spans="1:25" ht="16.5" customHeight="1" x14ac:dyDescent="0.25">
      <c r="A120" s="16" t="s">
        <v>222</v>
      </c>
      <c r="B120" s="17" t="s">
        <v>223</v>
      </c>
      <c r="C120" s="26" t="e">
        <f t="shared" si="54"/>
        <v>#REF!</v>
      </c>
      <c r="D120" s="26" t="e">
        <f t="shared" si="55"/>
        <v>#REF!</v>
      </c>
      <c r="E120" s="12" t="e">
        <f t="shared" si="56"/>
        <v>#REF!</v>
      </c>
      <c r="F120" s="26"/>
      <c r="G120" s="26" t="e">
        <f t="shared" si="57"/>
        <v>#REF!</v>
      </c>
      <c r="H120" s="26" t="e">
        <f t="shared" si="58"/>
        <v>#REF!</v>
      </c>
      <c r="I120" s="12" t="e">
        <f t="shared" si="59"/>
        <v>#REF!</v>
      </c>
      <c r="J120" s="26"/>
      <c r="K120" s="26" t="e">
        <f t="shared" si="60"/>
        <v>#REF!</v>
      </c>
      <c r="L120" s="26" t="e">
        <f t="shared" si="61"/>
        <v>#REF!</v>
      </c>
      <c r="M120" s="12" t="e">
        <f t="shared" si="62"/>
        <v>#REF!</v>
      </c>
      <c r="N120" s="12"/>
      <c r="O120" s="26" t="e">
        <f t="shared" si="63"/>
        <v>#REF!</v>
      </c>
      <c r="P120" s="26" t="e">
        <f t="shared" si="64"/>
        <v>#REF!</v>
      </c>
      <c r="Q120" s="12" t="e">
        <f t="shared" si="65"/>
        <v>#REF!</v>
      </c>
      <c r="R120" s="12"/>
      <c r="S120" s="26" t="e">
        <f t="shared" si="66"/>
        <v>#REF!</v>
      </c>
      <c r="T120" s="26" t="e">
        <f t="shared" si="67"/>
        <v>#REF!</v>
      </c>
      <c r="U120" s="12" t="e">
        <f t="shared" si="68"/>
        <v>#REF!</v>
      </c>
      <c r="V120" s="12"/>
      <c r="W120" s="44" t="e">
        <f t="shared" si="69"/>
        <v>#REF!</v>
      </c>
      <c r="X120" s="26" t="e">
        <f t="shared" si="70"/>
        <v>#REF!</v>
      </c>
      <c r="Y120" s="12" t="e">
        <f t="shared" si="71"/>
        <v>#REF!</v>
      </c>
    </row>
    <row r="121" spans="1:25" ht="16.5" customHeight="1" x14ac:dyDescent="0.25">
      <c r="A121" s="16" t="s">
        <v>230</v>
      </c>
      <c r="B121" s="17" t="s">
        <v>231</v>
      </c>
      <c r="C121" s="26" t="e">
        <f t="shared" si="54"/>
        <v>#REF!</v>
      </c>
      <c r="D121" s="26" t="e">
        <f t="shared" si="55"/>
        <v>#REF!</v>
      </c>
      <c r="E121" s="12" t="e">
        <f t="shared" si="56"/>
        <v>#REF!</v>
      </c>
      <c r="F121" s="26"/>
      <c r="G121" s="26" t="e">
        <f t="shared" si="57"/>
        <v>#REF!</v>
      </c>
      <c r="H121" s="26" t="e">
        <f t="shared" si="58"/>
        <v>#REF!</v>
      </c>
      <c r="I121" s="12" t="e">
        <f t="shared" si="59"/>
        <v>#REF!</v>
      </c>
      <c r="J121" s="26"/>
      <c r="K121" s="26" t="e">
        <f t="shared" si="60"/>
        <v>#REF!</v>
      </c>
      <c r="L121" s="26" t="e">
        <f t="shared" si="61"/>
        <v>#REF!</v>
      </c>
      <c r="M121" s="12" t="e">
        <f t="shared" si="62"/>
        <v>#REF!</v>
      </c>
      <c r="N121" s="12"/>
      <c r="O121" s="26" t="e">
        <f t="shared" si="63"/>
        <v>#REF!</v>
      </c>
      <c r="P121" s="26" t="e">
        <f t="shared" si="64"/>
        <v>#REF!</v>
      </c>
      <c r="Q121" s="12" t="e">
        <f t="shared" si="65"/>
        <v>#REF!</v>
      </c>
      <c r="R121" s="12"/>
      <c r="S121" s="26" t="e">
        <f t="shared" si="66"/>
        <v>#REF!</v>
      </c>
      <c r="T121" s="26" t="e">
        <f t="shared" si="67"/>
        <v>#REF!</v>
      </c>
      <c r="U121" s="12" t="e">
        <f t="shared" si="68"/>
        <v>#REF!</v>
      </c>
      <c r="V121" s="12"/>
      <c r="W121" s="44" t="e">
        <f t="shared" si="69"/>
        <v>#REF!</v>
      </c>
      <c r="X121" s="26" t="e">
        <f t="shared" si="70"/>
        <v>#REF!</v>
      </c>
      <c r="Y121" s="12" t="e">
        <f t="shared" si="71"/>
        <v>#REF!</v>
      </c>
    </row>
    <row r="122" spans="1:25" ht="16.5" customHeight="1" x14ac:dyDescent="0.25">
      <c r="A122" s="16" t="s">
        <v>238</v>
      </c>
      <c r="B122" s="17" t="s">
        <v>239</v>
      </c>
      <c r="C122" s="26" t="e">
        <f t="shared" si="54"/>
        <v>#REF!</v>
      </c>
      <c r="D122" s="26" t="e">
        <f t="shared" si="55"/>
        <v>#REF!</v>
      </c>
      <c r="E122" s="12" t="e">
        <f t="shared" si="56"/>
        <v>#REF!</v>
      </c>
      <c r="F122" s="26"/>
      <c r="G122" s="26" t="e">
        <f t="shared" si="57"/>
        <v>#REF!</v>
      </c>
      <c r="H122" s="26" t="e">
        <f t="shared" si="58"/>
        <v>#REF!</v>
      </c>
      <c r="I122" s="12" t="e">
        <f t="shared" si="59"/>
        <v>#REF!</v>
      </c>
      <c r="J122" s="26"/>
      <c r="K122" s="26" t="e">
        <f t="shared" si="60"/>
        <v>#REF!</v>
      </c>
      <c r="L122" s="26" t="e">
        <f t="shared" si="61"/>
        <v>#REF!</v>
      </c>
      <c r="M122" s="12" t="e">
        <f t="shared" si="62"/>
        <v>#REF!</v>
      </c>
      <c r="N122" s="12"/>
      <c r="O122" s="26" t="e">
        <f t="shared" si="63"/>
        <v>#REF!</v>
      </c>
      <c r="P122" s="26" t="e">
        <f t="shared" si="64"/>
        <v>#REF!</v>
      </c>
      <c r="Q122" s="12" t="e">
        <f t="shared" si="65"/>
        <v>#REF!</v>
      </c>
      <c r="R122" s="12"/>
      <c r="S122" s="26" t="e">
        <f t="shared" si="66"/>
        <v>#REF!</v>
      </c>
      <c r="T122" s="26" t="e">
        <f t="shared" si="67"/>
        <v>#REF!</v>
      </c>
      <c r="U122" s="12" t="e">
        <f t="shared" si="68"/>
        <v>#REF!</v>
      </c>
      <c r="V122" s="12"/>
      <c r="W122" s="44" t="e">
        <f t="shared" si="69"/>
        <v>#REF!</v>
      </c>
      <c r="X122" s="26" t="e">
        <f t="shared" si="70"/>
        <v>#REF!</v>
      </c>
      <c r="Y122" s="12" t="e">
        <f t="shared" si="71"/>
        <v>#REF!</v>
      </c>
    </row>
    <row r="123" spans="1:25" ht="16.5" customHeight="1" x14ac:dyDescent="0.25">
      <c r="A123" s="16" t="s">
        <v>240</v>
      </c>
      <c r="B123" s="32" t="s">
        <v>241</v>
      </c>
      <c r="C123" s="26" t="e">
        <f t="shared" si="54"/>
        <v>#REF!</v>
      </c>
      <c r="D123" s="26" t="e">
        <f t="shared" si="55"/>
        <v>#REF!</v>
      </c>
      <c r="E123" s="12" t="e">
        <f t="shared" si="56"/>
        <v>#REF!</v>
      </c>
      <c r="F123" s="26"/>
      <c r="G123" s="26" t="e">
        <f t="shared" si="57"/>
        <v>#REF!</v>
      </c>
      <c r="H123" s="26" t="e">
        <f t="shared" si="58"/>
        <v>#REF!</v>
      </c>
      <c r="I123" s="12" t="e">
        <f t="shared" si="59"/>
        <v>#REF!</v>
      </c>
      <c r="J123" s="26"/>
      <c r="K123" s="26" t="e">
        <f t="shared" si="60"/>
        <v>#REF!</v>
      </c>
      <c r="L123" s="26" t="e">
        <f t="shared" si="61"/>
        <v>#REF!</v>
      </c>
      <c r="M123" s="12" t="e">
        <f t="shared" si="62"/>
        <v>#REF!</v>
      </c>
      <c r="N123" s="12"/>
      <c r="O123" s="26" t="e">
        <f t="shared" si="63"/>
        <v>#REF!</v>
      </c>
      <c r="P123" s="26" t="e">
        <f t="shared" si="64"/>
        <v>#REF!</v>
      </c>
      <c r="Q123" s="12" t="e">
        <f t="shared" si="65"/>
        <v>#REF!</v>
      </c>
      <c r="R123" s="12"/>
      <c r="S123" s="26" t="e">
        <f t="shared" si="66"/>
        <v>#REF!</v>
      </c>
      <c r="T123" s="26" t="e">
        <f t="shared" si="67"/>
        <v>#REF!</v>
      </c>
      <c r="U123" s="12" t="e">
        <f t="shared" si="68"/>
        <v>#REF!</v>
      </c>
      <c r="V123" s="12"/>
      <c r="W123" s="44" t="e">
        <f t="shared" si="69"/>
        <v>#REF!</v>
      </c>
      <c r="X123" s="26" t="e">
        <f t="shared" si="70"/>
        <v>#REF!</v>
      </c>
      <c r="Y123" s="12" t="e">
        <f t="shared" si="71"/>
        <v>#REF!</v>
      </c>
    </row>
    <row r="124" spans="1:25" x14ac:dyDescent="0.2">
      <c r="C124" s="28" t="e">
        <f>SUM(C4:C123)</f>
        <v>#REF!</v>
      </c>
      <c r="D124" s="28"/>
      <c r="E124" s="28"/>
      <c r="F124" s="28"/>
      <c r="G124" s="28"/>
      <c r="H124" s="28"/>
      <c r="I124" s="28"/>
      <c r="J124" s="28"/>
      <c r="K124" s="28"/>
      <c r="L124" s="28"/>
    </row>
    <row r="125" spans="1:25" x14ac:dyDescent="0.2">
      <c r="C125" s="28" t="e">
        <f>+C124/12</f>
        <v>#REF!</v>
      </c>
      <c r="D125" s="28"/>
      <c r="E125" s="28"/>
      <c r="F125" s="28"/>
      <c r="G125" s="28"/>
      <c r="H125" s="28"/>
      <c r="I125" s="28"/>
      <c r="J125" s="28"/>
      <c r="K125" s="28"/>
      <c r="L125" s="28"/>
    </row>
    <row r="126" spans="1:25" ht="12.75" customHeight="1" x14ac:dyDescent="0.2">
      <c r="A126" s="2132" t="s">
        <v>570</v>
      </c>
      <c r="B126" s="2132"/>
      <c r="C126" s="2133"/>
      <c r="D126" s="19"/>
      <c r="E126" s="19"/>
      <c r="F126" s="19"/>
      <c r="G126" s="19"/>
      <c r="H126" s="19"/>
      <c r="I126" s="19"/>
      <c r="J126" s="19"/>
      <c r="K126" s="19"/>
      <c r="L126" s="19"/>
    </row>
    <row r="127" spans="1:25" x14ac:dyDescent="0.2">
      <c r="A127" s="18" t="s">
        <v>571</v>
      </c>
    </row>
  </sheetData>
  <autoFilter ref="A3:Y127"/>
  <mergeCells count="8">
    <mergeCell ref="S2:U2"/>
    <mergeCell ref="O1:Y1"/>
    <mergeCell ref="A126:C126"/>
    <mergeCell ref="C2:E2"/>
    <mergeCell ref="G2:I2"/>
    <mergeCell ref="K2:M2"/>
    <mergeCell ref="C1:M1"/>
    <mergeCell ref="O2:Q2"/>
  </mergeCells>
  <conditionalFormatting sqref="Q4:R123 E4:E123">
    <cfRule type="cellIs" dxfId="5" priority="21" stopIfTrue="1" operator="greaterThan">
      <formula>"&gt;1"</formula>
    </cfRule>
  </conditionalFormatting>
  <conditionalFormatting sqref="Y4:Y123 M4:N123 U4:V123 Q4:R123 I4:I123 E4:E123">
    <cfRule type="cellIs" dxfId="4" priority="19" stopIfTrue="1" operator="greaterThan">
      <formula>1</formula>
    </cfRule>
  </conditionalFormatting>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M135"/>
  <sheetViews>
    <sheetView workbookViewId="0">
      <pane ySplit="3" topLeftCell="A4" activePane="bottomLeft" state="frozen"/>
      <selection pane="bottomLeft" activeCell="A4" sqref="A4:XFD123"/>
    </sheetView>
  </sheetViews>
  <sheetFormatPr defaultRowHeight="15.75" x14ac:dyDescent="0.25"/>
  <cols>
    <col min="1" max="1" width="8.75" style="518" customWidth="1"/>
    <col min="2" max="2" width="33.875" style="270" customWidth="1"/>
    <col min="3" max="3" width="11.625" style="270" customWidth="1"/>
    <col min="4" max="4" width="12.125" style="270" customWidth="1"/>
    <col min="5" max="5" width="16.75" style="518" customWidth="1"/>
    <col min="6" max="6" width="24.5" style="270" customWidth="1"/>
    <col min="7" max="7" width="26" style="270" customWidth="1"/>
    <col min="8" max="8" width="9" style="270"/>
    <col min="9" max="9" width="29.875" style="270" customWidth="1"/>
    <col min="10" max="10" width="25.625" style="270" customWidth="1"/>
    <col min="11" max="16384" width="9" style="270"/>
  </cols>
  <sheetData>
    <row r="1" spans="1:10" x14ac:dyDescent="0.25">
      <c r="A1" s="63" t="s">
        <v>1342</v>
      </c>
    </row>
    <row r="2" spans="1:10" x14ac:dyDescent="0.25">
      <c r="A2" s="63"/>
    </row>
    <row r="3" spans="1:10" ht="63" x14ac:dyDescent="0.25">
      <c r="A3" s="521" t="s">
        <v>4</v>
      </c>
      <c r="B3" s="522" t="s">
        <v>5</v>
      </c>
      <c r="C3" s="515" t="s">
        <v>251</v>
      </c>
      <c r="D3" s="523" t="s">
        <v>305</v>
      </c>
      <c r="E3" s="1860" t="s">
        <v>1313</v>
      </c>
      <c r="F3" s="1853" t="s">
        <v>1272</v>
      </c>
      <c r="G3" s="1853" t="s">
        <v>1344</v>
      </c>
      <c r="H3" s="519" t="s">
        <v>1340</v>
      </c>
      <c r="I3" s="517" t="s">
        <v>1341</v>
      </c>
      <c r="J3" s="1853" t="s">
        <v>1273</v>
      </c>
    </row>
    <row r="4" spans="1:10" x14ac:dyDescent="0.25">
      <c r="A4" s="524" t="s">
        <v>10</v>
      </c>
      <c r="B4" s="484" t="s">
        <v>11</v>
      </c>
      <c r="C4" s="484" t="s">
        <v>264</v>
      </c>
      <c r="D4" s="525" t="s">
        <v>10</v>
      </c>
      <c r="E4" s="518" t="s">
        <v>713</v>
      </c>
      <c r="F4" s="270" t="s">
        <v>648</v>
      </c>
      <c r="H4" s="520" t="s">
        <v>607</v>
      </c>
      <c r="I4" s="514" t="s">
        <v>710</v>
      </c>
      <c r="J4" s="270" t="s">
        <v>1274</v>
      </c>
    </row>
    <row r="5" spans="1:10" x14ac:dyDescent="0.25">
      <c r="A5" s="524" t="s">
        <v>12</v>
      </c>
      <c r="B5" s="484" t="s">
        <v>13</v>
      </c>
      <c r="C5" s="484" t="s">
        <v>265</v>
      </c>
      <c r="D5" s="525" t="s">
        <v>12</v>
      </c>
      <c r="E5" s="518" t="s">
        <v>715</v>
      </c>
      <c r="F5" s="270" t="s">
        <v>639</v>
      </c>
      <c r="G5" s="270" t="s">
        <v>657</v>
      </c>
      <c r="H5" s="520" t="s">
        <v>929</v>
      </c>
      <c r="I5" s="514" t="s">
        <v>711</v>
      </c>
      <c r="J5" s="270" t="s">
        <v>1275</v>
      </c>
    </row>
    <row r="6" spans="1:10" x14ac:dyDescent="0.25">
      <c r="A6" s="524" t="s">
        <v>16</v>
      </c>
      <c r="B6" s="484" t="s">
        <v>600</v>
      </c>
      <c r="C6" s="484" t="s">
        <v>265</v>
      </c>
      <c r="D6" s="525" t="s">
        <v>16</v>
      </c>
      <c r="E6" s="518" t="s">
        <v>713</v>
      </c>
      <c r="F6" s="270" t="s">
        <v>648</v>
      </c>
      <c r="H6" s="520" t="s">
        <v>929</v>
      </c>
      <c r="I6" s="514" t="s">
        <v>711</v>
      </c>
      <c r="J6" s="270" t="s">
        <v>1277</v>
      </c>
    </row>
    <row r="7" spans="1:10" x14ac:dyDescent="0.25">
      <c r="A7" s="524" t="s">
        <v>18</v>
      </c>
      <c r="B7" s="484" t="s">
        <v>19</v>
      </c>
      <c r="C7" s="484" t="s">
        <v>266</v>
      </c>
      <c r="D7" s="525" t="s">
        <v>18</v>
      </c>
      <c r="E7" s="518" t="s">
        <v>714</v>
      </c>
      <c r="F7" s="270" t="s">
        <v>639</v>
      </c>
      <c r="G7" s="270" t="s">
        <v>658</v>
      </c>
      <c r="H7" s="520" t="s">
        <v>929</v>
      </c>
      <c r="I7" s="514" t="s">
        <v>711</v>
      </c>
      <c r="J7" s="270" t="s">
        <v>1278</v>
      </c>
    </row>
    <row r="8" spans="1:10" x14ac:dyDescent="0.25">
      <c r="A8" s="524" t="s">
        <v>20</v>
      </c>
      <c r="B8" s="484" t="s">
        <v>21</v>
      </c>
      <c r="C8" s="484" t="s">
        <v>265</v>
      </c>
      <c r="D8" s="525" t="s">
        <v>20</v>
      </c>
      <c r="E8" s="518" t="s">
        <v>713</v>
      </c>
      <c r="F8" s="270" t="s">
        <v>648</v>
      </c>
      <c r="H8" s="520" t="s">
        <v>607</v>
      </c>
      <c r="I8" s="514" t="s">
        <v>710</v>
      </c>
      <c r="J8" s="270" t="s">
        <v>1274</v>
      </c>
    </row>
    <row r="9" spans="1:10" x14ac:dyDescent="0.25">
      <c r="A9" s="524" t="s">
        <v>22</v>
      </c>
      <c r="B9" s="484" t="s">
        <v>23</v>
      </c>
      <c r="C9" s="484" t="s">
        <v>265</v>
      </c>
      <c r="D9" s="525" t="s">
        <v>22</v>
      </c>
      <c r="E9" s="518" t="s">
        <v>714</v>
      </c>
      <c r="F9" s="270" t="s">
        <v>648</v>
      </c>
      <c r="H9" s="520" t="s">
        <v>929</v>
      </c>
      <c r="I9" s="514" t="s">
        <v>711</v>
      </c>
      <c r="J9" s="270" t="s">
        <v>1277</v>
      </c>
    </row>
    <row r="10" spans="1:10" x14ac:dyDescent="0.25">
      <c r="A10" s="524" t="s">
        <v>24</v>
      </c>
      <c r="B10" s="484" t="s">
        <v>25</v>
      </c>
      <c r="C10" s="484" t="s">
        <v>267</v>
      </c>
      <c r="D10" s="525" t="s">
        <v>24</v>
      </c>
      <c r="E10" s="526" t="s">
        <v>715</v>
      </c>
      <c r="F10" s="270" t="s">
        <v>639</v>
      </c>
      <c r="G10" s="270" t="s">
        <v>1279</v>
      </c>
      <c r="H10" s="520" t="s">
        <v>608</v>
      </c>
      <c r="I10" s="514" t="s">
        <v>712</v>
      </c>
      <c r="J10" s="270" t="s">
        <v>1276</v>
      </c>
    </row>
    <row r="11" spans="1:10" x14ac:dyDescent="0.25">
      <c r="A11" s="524" t="s">
        <v>26</v>
      </c>
      <c r="B11" s="484" t="s">
        <v>298</v>
      </c>
      <c r="C11" s="484" t="s">
        <v>265</v>
      </c>
      <c r="D11" s="525" t="s">
        <v>26</v>
      </c>
      <c r="E11" s="518" t="s">
        <v>715</v>
      </c>
      <c r="F11" s="270" t="s">
        <v>648</v>
      </c>
      <c r="H11" s="520" t="s">
        <v>929</v>
      </c>
      <c r="I11" s="514" t="s">
        <v>711</v>
      </c>
      <c r="J11" s="270" t="s">
        <v>1276</v>
      </c>
    </row>
    <row r="12" spans="1:10" x14ac:dyDescent="0.25">
      <c r="A12" s="524" t="s">
        <v>27</v>
      </c>
      <c r="B12" s="484" t="s">
        <v>28</v>
      </c>
      <c r="C12" s="484" t="s">
        <v>265</v>
      </c>
      <c r="D12" s="525" t="s">
        <v>27</v>
      </c>
      <c r="E12" s="518" t="s">
        <v>714</v>
      </c>
      <c r="F12" s="270" t="s">
        <v>648</v>
      </c>
      <c r="H12" s="520" t="s">
        <v>607</v>
      </c>
      <c r="I12" s="514" t="s">
        <v>710</v>
      </c>
      <c r="J12" s="270" t="s">
        <v>1274</v>
      </c>
    </row>
    <row r="13" spans="1:10" x14ac:dyDescent="0.25">
      <c r="A13" s="524" t="s">
        <v>29</v>
      </c>
      <c r="B13" s="484" t="s">
        <v>941</v>
      </c>
      <c r="C13" s="484" t="s">
        <v>265</v>
      </c>
      <c r="D13" s="525" t="s">
        <v>29</v>
      </c>
      <c r="E13" s="518" t="s">
        <v>715</v>
      </c>
      <c r="F13" s="270" t="s">
        <v>648</v>
      </c>
      <c r="H13" s="520" t="s">
        <v>929</v>
      </c>
      <c r="I13" s="514" t="s">
        <v>711</v>
      </c>
      <c r="J13" s="270" t="s">
        <v>1277</v>
      </c>
    </row>
    <row r="14" spans="1:10" x14ac:dyDescent="0.25">
      <c r="A14" s="524" t="s">
        <v>30</v>
      </c>
      <c r="B14" s="484" t="s">
        <v>31</v>
      </c>
      <c r="C14" s="484" t="s">
        <v>268</v>
      </c>
      <c r="D14" s="525" t="s">
        <v>30</v>
      </c>
      <c r="E14" s="518" t="s">
        <v>714</v>
      </c>
      <c r="F14" s="270" t="s">
        <v>648</v>
      </c>
      <c r="H14" s="520" t="s">
        <v>929</v>
      </c>
      <c r="I14" s="514" t="s">
        <v>711</v>
      </c>
      <c r="J14" s="270" t="s">
        <v>1278</v>
      </c>
    </row>
    <row r="15" spans="1:10" x14ac:dyDescent="0.25">
      <c r="A15" s="524" t="s">
        <v>32</v>
      </c>
      <c r="B15" s="484" t="s">
        <v>33</v>
      </c>
      <c r="C15" s="484" t="s">
        <v>265</v>
      </c>
      <c r="D15" s="525" t="s">
        <v>32</v>
      </c>
      <c r="E15" s="518" t="s">
        <v>714</v>
      </c>
      <c r="F15" s="270" t="s">
        <v>648</v>
      </c>
      <c r="H15" s="520" t="s">
        <v>607</v>
      </c>
      <c r="I15" s="514" t="s">
        <v>710</v>
      </c>
      <c r="J15" s="270" t="s">
        <v>1274</v>
      </c>
    </row>
    <row r="16" spans="1:10" x14ac:dyDescent="0.25">
      <c r="A16" s="524" t="s">
        <v>36</v>
      </c>
      <c r="B16" s="484" t="s">
        <v>37</v>
      </c>
      <c r="C16" s="484" t="s">
        <v>264</v>
      </c>
      <c r="D16" s="525" t="s">
        <v>36</v>
      </c>
      <c r="E16" s="518" t="s">
        <v>713</v>
      </c>
      <c r="F16" s="270" t="s">
        <v>648</v>
      </c>
      <c r="H16" s="520" t="s">
        <v>607</v>
      </c>
      <c r="I16" s="514" t="s">
        <v>710</v>
      </c>
      <c r="J16" s="270" t="s">
        <v>1274</v>
      </c>
    </row>
    <row r="17" spans="1:10" x14ac:dyDescent="0.25">
      <c r="A17" s="524" t="s">
        <v>38</v>
      </c>
      <c r="B17" s="484" t="s">
        <v>39</v>
      </c>
      <c r="C17" s="484" t="s">
        <v>268</v>
      </c>
      <c r="D17" s="525" t="s">
        <v>38</v>
      </c>
      <c r="E17" s="518" t="s">
        <v>713</v>
      </c>
      <c r="F17" s="270" t="s">
        <v>648</v>
      </c>
      <c r="H17" s="520" t="s">
        <v>929</v>
      </c>
      <c r="I17" s="514" t="s">
        <v>711</v>
      </c>
      <c r="J17" s="270" t="s">
        <v>1278</v>
      </c>
    </row>
    <row r="18" spans="1:10" x14ac:dyDescent="0.25">
      <c r="A18" s="524" t="s">
        <v>40</v>
      </c>
      <c r="B18" s="484" t="s">
        <v>41</v>
      </c>
      <c r="C18" s="484" t="s">
        <v>266</v>
      </c>
      <c r="D18" s="525" t="s">
        <v>40</v>
      </c>
      <c r="E18" s="518" t="s">
        <v>713</v>
      </c>
      <c r="F18" s="270" t="s">
        <v>648</v>
      </c>
      <c r="H18" s="520" t="s">
        <v>929</v>
      </c>
      <c r="I18" s="514" t="s">
        <v>711</v>
      </c>
      <c r="J18" s="270" t="s">
        <v>1278</v>
      </c>
    </row>
    <row r="19" spans="1:10" x14ac:dyDescent="0.25">
      <c r="A19" s="524" t="s">
        <v>42</v>
      </c>
      <c r="B19" s="484" t="s">
        <v>43</v>
      </c>
      <c r="C19" s="484" t="s">
        <v>265</v>
      </c>
      <c r="D19" s="525" t="s">
        <v>42</v>
      </c>
      <c r="E19" s="518" t="s">
        <v>713</v>
      </c>
      <c r="F19" s="270" t="s">
        <v>648</v>
      </c>
      <c r="H19" s="520" t="s">
        <v>929</v>
      </c>
      <c r="I19" s="514" t="s">
        <v>711</v>
      </c>
      <c r="J19" s="270" t="s">
        <v>1280</v>
      </c>
    </row>
    <row r="20" spans="1:10" x14ac:dyDescent="0.25">
      <c r="A20" s="524" t="s">
        <v>44</v>
      </c>
      <c r="B20" s="484" t="s">
        <v>45</v>
      </c>
      <c r="C20" s="484" t="s">
        <v>266</v>
      </c>
      <c r="D20" s="525" t="s">
        <v>44</v>
      </c>
      <c r="E20" s="518" t="s">
        <v>713</v>
      </c>
      <c r="F20" s="270" t="s">
        <v>648</v>
      </c>
      <c r="H20" s="520" t="s">
        <v>929</v>
      </c>
      <c r="I20" s="514" t="s">
        <v>711</v>
      </c>
      <c r="J20" s="270" t="s">
        <v>1277</v>
      </c>
    </row>
    <row r="21" spans="1:10" x14ac:dyDescent="0.25">
      <c r="A21" s="524" t="s">
        <v>46</v>
      </c>
      <c r="B21" s="484" t="s">
        <v>47</v>
      </c>
      <c r="C21" s="484" t="s">
        <v>268</v>
      </c>
      <c r="D21" s="525" t="s">
        <v>46</v>
      </c>
      <c r="E21" s="518" t="s">
        <v>713</v>
      </c>
      <c r="F21" s="270" t="s">
        <v>648</v>
      </c>
      <c r="H21" s="520" t="s">
        <v>929</v>
      </c>
      <c r="I21" s="514" t="s">
        <v>711</v>
      </c>
      <c r="J21" s="270" t="s">
        <v>1278</v>
      </c>
    </row>
    <row r="22" spans="1:10" x14ac:dyDescent="0.25">
      <c r="A22" s="524" t="s">
        <v>48</v>
      </c>
      <c r="B22" s="484" t="s">
        <v>269</v>
      </c>
      <c r="C22" s="484" t="s">
        <v>266</v>
      </c>
      <c r="D22" s="525" t="s">
        <v>48</v>
      </c>
      <c r="E22" s="518" t="s">
        <v>714</v>
      </c>
      <c r="F22" s="270" t="s">
        <v>648</v>
      </c>
      <c r="H22" s="520" t="s">
        <v>929</v>
      </c>
      <c r="I22" s="514" t="s">
        <v>711</v>
      </c>
      <c r="J22" s="270" t="s">
        <v>1281</v>
      </c>
    </row>
    <row r="23" spans="1:10" x14ac:dyDescent="0.25">
      <c r="A23" s="524" t="s">
        <v>50</v>
      </c>
      <c r="B23" s="484" t="s">
        <v>51</v>
      </c>
      <c r="C23" s="484" t="s">
        <v>265</v>
      </c>
      <c r="D23" s="525" t="s">
        <v>50</v>
      </c>
      <c r="E23" s="518" t="s">
        <v>713</v>
      </c>
      <c r="F23" s="270" t="s">
        <v>648</v>
      </c>
      <c r="H23" s="520" t="s">
        <v>929</v>
      </c>
      <c r="I23" s="514" t="s">
        <v>711</v>
      </c>
      <c r="J23" s="270" t="s">
        <v>1278</v>
      </c>
    </row>
    <row r="24" spans="1:10" x14ac:dyDescent="0.25">
      <c r="A24" s="524" t="s">
        <v>56</v>
      </c>
      <c r="B24" s="484" t="s">
        <v>295</v>
      </c>
      <c r="C24" s="484" t="s">
        <v>266</v>
      </c>
      <c r="D24" s="525" t="s">
        <v>56</v>
      </c>
      <c r="E24" s="518" t="s">
        <v>715</v>
      </c>
      <c r="F24" s="270" t="s">
        <v>648</v>
      </c>
      <c r="H24" s="520" t="s">
        <v>608</v>
      </c>
      <c r="I24" s="514" t="s">
        <v>712</v>
      </c>
      <c r="J24" s="270" t="s">
        <v>1276</v>
      </c>
    </row>
    <row r="25" spans="1:10" x14ac:dyDescent="0.25">
      <c r="A25" s="524" t="s">
        <v>58</v>
      </c>
      <c r="B25" s="484" t="s">
        <v>59</v>
      </c>
      <c r="C25" s="484" t="s">
        <v>267</v>
      </c>
      <c r="D25" s="525" t="s">
        <v>58</v>
      </c>
      <c r="E25" s="518" t="s">
        <v>714</v>
      </c>
      <c r="F25" s="270" t="s">
        <v>648</v>
      </c>
      <c r="H25" s="520" t="s">
        <v>1282</v>
      </c>
      <c r="I25" s="514" t="s">
        <v>710</v>
      </c>
      <c r="J25" s="270" t="s">
        <v>1274</v>
      </c>
    </row>
    <row r="26" spans="1:10" x14ac:dyDescent="0.25">
      <c r="A26" s="524" t="s">
        <v>60</v>
      </c>
      <c r="B26" s="484" t="s">
        <v>61</v>
      </c>
      <c r="C26" s="484" t="s">
        <v>265</v>
      </c>
      <c r="D26" s="525" t="s">
        <v>60</v>
      </c>
      <c r="E26" s="518" t="s">
        <v>714</v>
      </c>
      <c r="F26" s="270" t="s">
        <v>648</v>
      </c>
      <c r="H26" s="520" t="s">
        <v>607</v>
      </c>
      <c r="I26" s="514" t="s">
        <v>710</v>
      </c>
      <c r="J26" s="270" t="s">
        <v>1274</v>
      </c>
    </row>
    <row r="27" spans="1:10" x14ac:dyDescent="0.25">
      <c r="A27" s="524" t="s">
        <v>62</v>
      </c>
      <c r="B27" s="484" t="s">
        <v>63</v>
      </c>
      <c r="C27" s="484" t="s">
        <v>267</v>
      </c>
      <c r="D27" s="525" t="s">
        <v>62</v>
      </c>
      <c r="E27" s="518" t="s">
        <v>713</v>
      </c>
      <c r="F27" s="270" t="s">
        <v>648</v>
      </c>
      <c r="H27" s="520" t="s">
        <v>929</v>
      </c>
      <c r="I27" s="514" t="s">
        <v>711</v>
      </c>
      <c r="J27" s="270" t="s">
        <v>1277</v>
      </c>
    </row>
    <row r="28" spans="1:10" x14ac:dyDescent="0.25">
      <c r="A28" s="524" t="s">
        <v>64</v>
      </c>
      <c r="B28" s="484" t="s">
        <v>65</v>
      </c>
      <c r="C28" s="484" t="s">
        <v>266</v>
      </c>
      <c r="D28" s="525" t="s">
        <v>64</v>
      </c>
      <c r="E28" s="518" t="s">
        <v>714</v>
      </c>
      <c r="F28" s="270" t="s">
        <v>648</v>
      </c>
      <c r="H28" s="520" t="s">
        <v>929</v>
      </c>
      <c r="I28" s="514" t="s">
        <v>711</v>
      </c>
      <c r="J28" s="270" t="s">
        <v>1281</v>
      </c>
    </row>
    <row r="29" spans="1:10" x14ac:dyDescent="0.25">
      <c r="A29" s="524" t="s">
        <v>68</v>
      </c>
      <c r="B29" s="484" t="s">
        <v>69</v>
      </c>
      <c r="C29" s="484" t="s">
        <v>268</v>
      </c>
      <c r="D29" s="525" t="s">
        <v>68</v>
      </c>
      <c r="E29" s="518" t="s">
        <v>713</v>
      </c>
      <c r="F29" s="270" t="s">
        <v>648</v>
      </c>
      <c r="H29" s="520" t="s">
        <v>607</v>
      </c>
      <c r="I29" s="514" t="s">
        <v>710</v>
      </c>
      <c r="J29" s="270" t="s">
        <v>1274</v>
      </c>
    </row>
    <row r="30" spans="1:10" x14ac:dyDescent="0.25">
      <c r="A30" s="524" t="s">
        <v>70</v>
      </c>
      <c r="B30" s="484" t="s">
        <v>71</v>
      </c>
      <c r="C30" s="484" t="s">
        <v>264</v>
      </c>
      <c r="D30" s="525" t="s">
        <v>70</v>
      </c>
      <c r="E30" s="518" t="s">
        <v>713</v>
      </c>
      <c r="F30" s="270" t="s">
        <v>639</v>
      </c>
      <c r="G30" s="270" t="s">
        <v>658</v>
      </c>
      <c r="H30" s="520" t="s">
        <v>929</v>
      </c>
      <c r="I30" s="514" t="s">
        <v>711</v>
      </c>
      <c r="J30" s="270" t="s">
        <v>1277</v>
      </c>
    </row>
    <row r="31" spans="1:10" x14ac:dyDescent="0.25">
      <c r="A31" s="524" t="s">
        <v>72</v>
      </c>
      <c r="B31" s="484" t="s">
        <v>73</v>
      </c>
      <c r="C31" s="484" t="s">
        <v>266</v>
      </c>
      <c r="D31" s="525" t="s">
        <v>72</v>
      </c>
      <c r="E31" s="518" t="s">
        <v>714</v>
      </c>
      <c r="F31" s="270" t="s">
        <v>648</v>
      </c>
      <c r="H31" s="520" t="s">
        <v>929</v>
      </c>
      <c r="I31" s="514" t="s">
        <v>711</v>
      </c>
      <c r="J31" s="270" t="s">
        <v>1281</v>
      </c>
    </row>
    <row r="32" spans="1:10" x14ac:dyDescent="0.25">
      <c r="A32" s="524" t="s">
        <v>74</v>
      </c>
      <c r="B32" s="484" t="s">
        <v>774</v>
      </c>
      <c r="C32" s="484" t="s">
        <v>267</v>
      </c>
      <c r="D32" s="525" t="s">
        <v>74</v>
      </c>
      <c r="E32" s="518" t="s">
        <v>715</v>
      </c>
      <c r="F32" s="270" t="s">
        <v>639</v>
      </c>
      <c r="G32" s="270" t="s">
        <v>1119</v>
      </c>
      <c r="H32" s="520" t="s">
        <v>608</v>
      </c>
      <c r="I32" s="514" t="s">
        <v>712</v>
      </c>
      <c r="J32" s="270" t="s">
        <v>1276</v>
      </c>
    </row>
    <row r="33" spans="1:10" x14ac:dyDescent="0.25">
      <c r="A33" s="524" t="s">
        <v>76</v>
      </c>
      <c r="B33" s="484" t="s">
        <v>77</v>
      </c>
      <c r="C33" s="484" t="s">
        <v>267</v>
      </c>
      <c r="D33" s="525" t="s">
        <v>76</v>
      </c>
      <c r="E33" s="518" t="s">
        <v>713</v>
      </c>
      <c r="F33" s="270" t="s">
        <v>639</v>
      </c>
      <c r="G33" s="270" t="s">
        <v>658</v>
      </c>
      <c r="H33" s="520" t="s">
        <v>608</v>
      </c>
      <c r="I33" s="514" t="s">
        <v>712</v>
      </c>
      <c r="J33" s="270" t="s">
        <v>1276</v>
      </c>
    </row>
    <row r="34" spans="1:10" x14ac:dyDescent="0.25">
      <c r="A34" s="524" t="s">
        <v>78</v>
      </c>
      <c r="B34" s="484" t="s">
        <v>79</v>
      </c>
      <c r="C34" s="484" t="s">
        <v>268</v>
      </c>
      <c r="D34" s="525" t="s">
        <v>78</v>
      </c>
      <c r="E34" s="518" t="s">
        <v>714</v>
      </c>
      <c r="F34" s="270" t="s">
        <v>648</v>
      </c>
      <c r="H34" s="520" t="s">
        <v>607</v>
      </c>
      <c r="I34" s="514" t="s">
        <v>710</v>
      </c>
      <c r="J34" s="270" t="s">
        <v>1274</v>
      </c>
    </row>
    <row r="35" spans="1:10" x14ac:dyDescent="0.25">
      <c r="A35" s="524" t="s">
        <v>80</v>
      </c>
      <c r="B35" s="484" t="s">
        <v>81</v>
      </c>
      <c r="C35" s="484" t="s">
        <v>266</v>
      </c>
      <c r="D35" s="525" t="s">
        <v>80</v>
      </c>
      <c r="E35" s="518" t="s">
        <v>713</v>
      </c>
      <c r="F35" s="270" t="s">
        <v>648</v>
      </c>
      <c r="H35" s="520" t="s">
        <v>929</v>
      </c>
      <c r="I35" s="514" t="s">
        <v>711</v>
      </c>
      <c r="J35" s="270" t="s">
        <v>1283</v>
      </c>
    </row>
    <row r="36" spans="1:10" x14ac:dyDescent="0.25">
      <c r="A36" s="524" t="s">
        <v>84</v>
      </c>
      <c r="B36" s="484" t="s">
        <v>308</v>
      </c>
      <c r="C36" s="484" t="s">
        <v>265</v>
      </c>
      <c r="D36" s="525" t="s">
        <v>84</v>
      </c>
      <c r="E36" s="518" t="s">
        <v>713</v>
      </c>
      <c r="F36" s="270" t="s">
        <v>648</v>
      </c>
      <c r="H36" s="520" t="s">
        <v>607</v>
      </c>
      <c r="I36" s="514" t="s">
        <v>710</v>
      </c>
      <c r="J36" s="270" t="s">
        <v>1274</v>
      </c>
    </row>
    <row r="37" spans="1:10" x14ac:dyDescent="0.25">
      <c r="A37" s="524" t="s">
        <v>86</v>
      </c>
      <c r="B37" s="484" t="s">
        <v>87</v>
      </c>
      <c r="C37" s="484" t="s">
        <v>267</v>
      </c>
      <c r="D37" s="525" t="s">
        <v>86</v>
      </c>
      <c r="E37" s="518" t="s">
        <v>713</v>
      </c>
      <c r="F37" s="270" t="s">
        <v>648</v>
      </c>
      <c r="H37" s="520" t="s">
        <v>929</v>
      </c>
      <c r="I37" s="514" t="s">
        <v>711</v>
      </c>
      <c r="J37" s="270" t="s">
        <v>1281</v>
      </c>
    </row>
    <row r="38" spans="1:10" x14ac:dyDescent="0.25">
      <c r="A38" s="524" t="s">
        <v>92</v>
      </c>
      <c r="B38" s="484" t="s">
        <v>93</v>
      </c>
      <c r="C38" s="484" t="s">
        <v>268</v>
      </c>
      <c r="D38" s="525" t="s">
        <v>92</v>
      </c>
      <c r="E38" s="518" t="s">
        <v>713</v>
      </c>
      <c r="F38" s="270" t="s">
        <v>648</v>
      </c>
      <c r="H38" s="520" t="s">
        <v>929</v>
      </c>
      <c r="I38" s="514" t="s">
        <v>711</v>
      </c>
      <c r="J38" s="270" t="s">
        <v>1278</v>
      </c>
    </row>
    <row r="39" spans="1:10" x14ac:dyDescent="0.25">
      <c r="A39" s="524" t="s">
        <v>94</v>
      </c>
      <c r="B39" s="484" t="s">
        <v>95</v>
      </c>
      <c r="C39" s="484" t="s">
        <v>264</v>
      </c>
      <c r="D39" s="525" t="s">
        <v>94</v>
      </c>
      <c r="E39" s="518" t="s">
        <v>713</v>
      </c>
      <c r="F39" s="270" t="s">
        <v>648</v>
      </c>
      <c r="H39" s="520" t="s">
        <v>929</v>
      </c>
      <c r="I39" s="514" t="s">
        <v>711</v>
      </c>
      <c r="J39" s="270" t="s">
        <v>1286</v>
      </c>
    </row>
    <row r="40" spans="1:10" x14ac:dyDescent="0.25">
      <c r="A40" s="524" t="s">
        <v>96</v>
      </c>
      <c r="B40" s="484" t="s">
        <v>97</v>
      </c>
      <c r="C40" s="484" t="s">
        <v>266</v>
      </c>
      <c r="D40" s="525" t="s">
        <v>96</v>
      </c>
      <c r="E40" s="518" t="s">
        <v>714</v>
      </c>
      <c r="F40" s="270" t="s">
        <v>648</v>
      </c>
      <c r="H40" s="520" t="s">
        <v>929</v>
      </c>
      <c r="I40" s="514" t="s">
        <v>711</v>
      </c>
      <c r="J40" s="270" t="s">
        <v>1277</v>
      </c>
    </row>
    <row r="41" spans="1:10" x14ac:dyDescent="0.25">
      <c r="A41" s="524" t="s">
        <v>98</v>
      </c>
      <c r="B41" s="484" t="s">
        <v>99</v>
      </c>
      <c r="C41" s="484" t="s">
        <v>268</v>
      </c>
      <c r="D41" s="525" t="s">
        <v>98</v>
      </c>
      <c r="E41" s="518" t="s">
        <v>713</v>
      </c>
      <c r="F41" s="270" t="s">
        <v>648</v>
      </c>
      <c r="H41" s="520" t="s">
        <v>929</v>
      </c>
      <c r="I41" s="514" t="s">
        <v>711</v>
      </c>
      <c r="J41" s="270" t="s">
        <v>1287</v>
      </c>
    </row>
    <row r="42" spans="1:10" x14ac:dyDescent="0.25">
      <c r="A42" s="524" t="s">
        <v>100</v>
      </c>
      <c r="B42" s="484" t="s">
        <v>101</v>
      </c>
      <c r="C42" s="484" t="s">
        <v>267</v>
      </c>
      <c r="D42" s="525" t="s">
        <v>100</v>
      </c>
      <c r="E42" s="518" t="s">
        <v>714</v>
      </c>
      <c r="F42" s="270" t="s">
        <v>648</v>
      </c>
      <c r="H42" s="520" t="s">
        <v>929</v>
      </c>
      <c r="I42" s="514" t="s">
        <v>711</v>
      </c>
      <c r="J42" s="270" t="s">
        <v>1288</v>
      </c>
    </row>
    <row r="43" spans="1:10" x14ac:dyDescent="0.25">
      <c r="A43" s="524" t="s">
        <v>102</v>
      </c>
      <c r="B43" s="484" t="s">
        <v>282</v>
      </c>
      <c r="C43" s="484" t="s">
        <v>264</v>
      </c>
      <c r="D43" s="525" t="s">
        <v>102</v>
      </c>
      <c r="E43" s="518" t="s">
        <v>713</v>
      </c>
      <c r="F43" s="270" t="s">
        <v>648</v>
      </c>
      <c r="H43" s="520" t="s">
        <v>929</v>
      </c>
      <c r="I43" s="514" t="s">
        <v>711</v>
      </c>
      <c r="J43" s="270" t="s">
        <v>1278</v>
      </c>
    </row>
    <row r="44" spans="1:10" x14ac:dyDescent="0.25">
      <c r="A44" s="524" t="s">
        <v>104</v>
      </c>
      <c r="B44" s="484" t="s">
        <v>602</v>
      </c>
      <c r="C44" s="484" t="s">
        <v>265</v>
      </c>
      <c r="D44" s="525" t="s">
        <v>104</v>
      </c>
      <c r="E44" s="518" t="s">
        <v>713</v>
      </c>
      <c r="F44" s="270" t="s">
        <v>648</v>
      </c>
      <c r="H44" s="520" t="s">
        <v>607</v>
      </c>
      <c r="I44" s="514" t="s">
        <v>710</v>
      </c>
      <c r="J44" s="270" t="s">
        <v>1274</v>
      </c>
    </row>
    <row r="45" spans="1:10" x14ac:dyDescent="0.25">
      <c r="A45" s="524" t="s">
        <v>108</v>
      </c>
      <c r="B45" s="484" t="s">
        <v>109</v>
      </c>
      <c r="C45" s="484" t="s">
        <v>266</v>
      </c>
      <c r="D45" s="525" t="s">
        <v>108</v>
      </c>
      <c r="E45" s="518" t="s">
        <v>713</v>
      </c>
      <c r="F45" s="270" t="s">
        <v>639</v>
      </c>
      <c r="G45" s="270" t="s">
        <v>1120</v>
      </c>
      <c r="H45" s="520" t="s">
        <v>608</v>
      </c>
      <c r="I45" s="514" t="s">
        <v>712</v>
      </c>
      <c r="J45" s="270" t="s">
        <v>1276</v>
      </c>
    </row>
    <row r="46" spans="1:10" x14ac:dyDescent="0.25">
      <c r="A46" s="524" t="s">
        <v>110</v>
      </c>
      <c r="B46" s="484" t="s">
        <v>111</v>
      </c>
      <c r="C46" s="484" t="s">
        <v>266</v>
      </c>
      <c r="D46" s="525" t="s">
        <v>110</v>
      </c>
      <c r="E46" s="518" t="s">
        <v>715</v>
      </c>
      <c r="F46" s="270" t="s">
        <v>648</v>
      </c>
      <c r="H46" s="520" t="s">
        <v>608</v>
      </c>
      <c r="I46" s="514" t="s">
        <v>712</v>
      </c>
      <c r="J46" s="270" t="s">
        <v>1276</v>
      </c>
    </row>
    <row r="47" spans="1:10" x14ac:dyDescent="0.25">
      <c r="A47" s="524" t="s">
        <v>112</v>
      </c>
      <c r="B47" s="484" t="s">
        <v>300</v>
      </c>
      <c r="C47" s="484" t="s">
        <v>265</v>
      </c>
      <c r="D47" s="525" t="s">
        <v>112</v>
      </c>
      <c r="E47" s="518" t="s">
        <v>715</v>
      </c>
      <c r="F47" s="270" t="s">
        <v>648</v>
      </c>
      <c r="H47" s="520" t="s">
        <v>607</v>
      </c>
      <c r="I47" s="514" t="s">
        <v>710</v>
      </c>
      <c r="J47" s="270" t="s">
        <v>1274</v>
      </c>
    </row>
    <row r="48" spans="1:10" x14ac:dyDescent="0.25">
      <c r="A48" s="524" t="s">
        <v>114</v>
      </c>
      <c r="B48" s="484" t="s">
        <v>115</v>
      </c>
      <c r="C48" s="484" t="s">
        <v>265</v>
      </c>
      <c r="D48" s="525" t="s">
        <v>114</v>
      </c>
      <c r="E48" s="518" t="s">
        <v>714</v>
      </c>
      <c r="F48" s="270" t="s">
        <v>648</v>
      </c>
      <c r="H48" s="520" t="s">
        <v>607</v>
      </c>
      <c r="I48" s="514" t="s">
        <v>710</v>
      </c>
      <c r="J48" s="270" t="s">
        <v>1274</v>
      </c>
    </row>
    <row r="49" spans="1:10" x14ac:dyDescent="0.25">
      <c r="A49" s="524" t="s">
        <v>118</v>
      </c>
      <c r="B49" s="484" t="s">
        <v>119</v>
      </c>
      <c r="C49" s="484" t="s">
        <v>264</v>
      </c>
      <c r="D49" s="525" t="s">
        <v>118</v>
      </c>
      <c r="E49" s="518" t="s">
        <v>713</v>
      </c>
      <c r="F49" s="270" t="s">
        <v>648</v>
      </c>
      <c r="H49" s="520" t="s">
        <v>929</v>
      </c>
      <c r="I49" s="514" t="s">
        <v>711</v>
      </c>
      <c r="J49" s="270" t="s">
        <v>1278</v>
      </c>
    </row>
    <row r="50" spans="1:10" x14ac:dyDescent="0.25">
      <c r="A50" s="524" t="s">
        <v>120</v>
      </c>
      <c r="B50" s="484" t="s">
        <v>121</v>
      </c>
      <c r="C50" s="484" t="s">
        <v>264</v>
      </c>
      <c r="D50" s="525" t="s">
        <v>120</v>
      </c>
      <c r="E50" s="518" t="s">
        <v>713</v>
      </c>
      <c r="F50" s="270" t="s">
        <v>639</v>
      </c>
      <c r="G50" s="270" t="s">
        <v>657</v>
      </c>
      <c r="H50" s="520" t="s">
        <v>608</v>
      </c>
      <c r="I50" s="514" t="s">
        <v>712</v>
      </c>
      <c r="J50" s="270" t="s">
        <v>1276</v>
      </c>
    </row>
    <row r="51" spans="1:10" x14ac:dyDescent="0.25">
      <c r="A51" s="524" t="s">
        <v>122</v>
      </c>
      <c r="B51" s="484" t="s">
        <v>271</v>
      </c>
      <c r="C51" s="484" t="s">
        <v>266</v>
      </c>
      <c r="D51" s="525" t="s">
        <v>122</v>
      </c>
      <c r="E51" s="518" t="s">
        <v>714</v>
      </c>
      <c r="F51" s="270" t="s">
        <v>639</v>
      </c>
      <c r="G51" s="270" t="s">
        <v>658</v>
      </c>
      <c r="H51" s="520" t="s">
        <v>929</v>
      </c>
      <c r="I51" s="514" t="s">
        <v>711</v>
      </c>
      <c r="J51" s="270" t="s">
        <v>1277</v>
      </c>
    </row>
    <row r="52" spans="1:10" x14ac:dyDescent="0.25">
      <c r="A52" s="524" t="s">
        <v>124</v>
      </c>
      <c r="B52" s="484" t="s">
        <v>125</v>
      </c>
      <c r="C52" s="484" t="s">
        <v>267</v>
      </c>
      <c r="D52" s="525" t="s">
        <v>124</v>
      </c>
      <c r="E52" s="518" t="s">
        <v>714</v>
      </c>
      <c r="F52" s="270" t="s">
        <v>648</v>
      </c>
      <c r="H52" s="520" t="s">
        <v>929</v>
      </c>
      <c r="I52" s="514" t="s">
        <v>711</v>
      </c>
      <c r="J52" s="270" t="s">
        <v>1281</v>
      </c>
    </row>
    <row r="53" spans="1:10" x14ac:dyDescent="0.25">
      <c r="A53" s="524" t="s">
        <v>126</v>
      </c>
      <c r="B53" s="484" t="s">
        <v>127</v>
      </c>
      <c r="C53" s="484" t="s">
        <v>266</v>
      </c>
      <c r="D53" s="525" t="s">
        <v>126</v>
      </c>
      <c r="E53" s="518" t="s">
        <v>714</v>
      </c>
      <c r="F53" s="270" t="s">
        <v>648</v>
      </c>
      <c r="H53" s="520" t="s">
        <v>929</v>
      </c>
      <c r="I53" s="514" t="s">
        <v>711</v>
      </c>
      <c r="J53" s="270" t="s">
        <v>1286</v>
      </c>
    </row>
    <row r="54" spans="1:10" x14ac:dyDescent="0.25">
      <c r="A54" s="524" t="s">
        <v>128</v>
      </c>
      <c r="B54" s="484" t="s">
        <v>129</v>
      </c>
      <c r="C54" s="484" t="s">
        <v>266</v>
      </c>
      <c r="D54" s="525" t="s">
        <v>128</v>
      </c>
      <c r="E54" s="518" t="s">
        <v>714</v>
      </c>
      <c r="F54" s="270" t="s">
        <v>648</v>
      </c>
      <c r="H54" s="520" t="s">
        <v>929</v>
      </c>
      <c r="I54" s="514" t="s">
        <v>711</v>
      </c>
      <c r="J54" s="270" t="s">
        <v>1281</v>
      </c>
    </row>
    <row r="55" spans="1:10" x14ac:dyDescent="0.25">
      <c r="A55" s="524" t="s">
        <v>130</v>
      </c>
      <c r="B55" s="484" t="s">
        <v>131</v>
      </c>
      <c r="C55" s="484" t="s">
        <v>268</v>
      </c>
      <c r="D55" s="525" t="s">
        <v>130</v>
      </c>
      <c r="E55" s="518" t="s">
        <v>713</v>
      </c>
      <c r="F55" s="270" t="s">
        <v>648</v>
      </c>
      <c r="H55" s="520" t="s">
        <v>607</v>
      </c>
      <c r="I55" s="514" t="s">
        <v>710</v>
      </c>
      <c r="J55" s="270" t="s">
        <v>1274</v>
      </c>
    </row>
    <row r="56" spans="1:10" x14ac:dyDescent="0.25">
      <c r="A56" s="524" t="s">
        <v>132</v>
      </c>
      <c r="B56" s="484" t="s">
        <v>133</v>
      </c>
      <c r="C56" s="484" t="s">
        <v>267</v>
      </c>
      <c r="D56" s="525" t="s">
        <v>132</v>
      </c>
      <c r="E56" s="518" t="s">
        <v>715</v>
      </c>
      <c r="F56" s="270" t="s">
        <v>639</v>
      </c>
      <c r="G56" s="270" t="s">
        <v>658</v>
      </c>
      <c r="H56" s="520" t="s">
        <v>608</v>
      </c>
      <c r="I56" s="514" t="s">
        <v>712</v>
      </c>
      <c r="J56" s="270" t="s">
        <v>1276</v>
      </c>
    </row>
    <row r="57" spans="1:10" x14ac:dyDescent="0.25">
      <c r="A57" s="524" t="s">
        <v>134</v>
      </c>
      <c r="B57" s="484" t="s">
        <v>135</v>
      </c>
      <c r="C57" s="484" t="s">
        <v>267</v>
      </c>
      <c r="D57" s="525" t="s">
        <v>134</v>
      </c>
      <c r="E57" s="518" t="s">
        <v>713</v>
      </c>
      <c r="F57" s="270" t="s">
        <v>639</v>
      </c>
      <c r="G57" s="270" t="s">
        <v>658</v>
      </c>
      <c r="H57" s="520" t="s">
        <v>608</v>
      </c>
      <c r="I57" s="514" t="s">
        <v>712</v>
      </c>
      <c r="J57" s="270" t="s">
        <v>1276</v>
      </c>
    </row>
    <row r="58" spans="1:10" x14ac:dyDescent="0.25">
      <c r="A58" s="524" t="s">
        <v>136</v>
      </c>
      <c r="B58" s="484" t="s">
        <v>137</v>
      </c>
      <c r="C58" s="484" t="s">
        <v>266</v>
      </c>
      <c r="D58" s="525" t="s">
        <v>136</v>
      </c>
      <c r="E58" s="518" t="s">
        <v>714</v>
      </c>
      <c r="F58" s="270" t="s">
        <v>639</v>
      </c>
      <c r="G58" s="270" t="s">
        <v>658</v>
      </c>
      <c r="H58" s="520" t="s">
        <v>929</v>
      </c>
      <c r="I58" s="514" t="s">
        <v>711</v>
      </c>
      <c r="J58" s="270" t="s">
        <v>1278</v>
      </c>
    </row>
    <row r="59" spans="1:10" x14ac:dyDescent="0.25">
      <c r="A59" s="524" t="s">
        <v>140</v>
      </c>
      <c r="B59" s="484" t="s">
        <v>141</v>
      </c>
      <c r="C59" s="484" t="s">
        <v>267</v>
      </c>
      <c r="D59" s="525" t="s">
        <v>140</v>
      </c>
      <c r="E59" s="518" t="s">
        <v>714</v>
      </c>
      <c r="F59" s="270" t="s">
        <v>648</v>
      </c>
      <c r="H59" s="520" t="s">
        <v>607</v>
      </c>
      <c r="I59" s="514" t="s">
        <v>710</v>
      </c>
      <c r="J59" s="270" t="s">
        <v>1274</v>
      </c>
    </row>
    <row r="60" spans="1:10" x14ac:dyDescent="0.25">
      <c r="A60" s="524" t="s">
        <v>146</v>
      </c>
      <c r="B60" s="484" t="s">
        <v>147</v>
      </c>
      <c r="C60" s="484" t="s">
        <v>264</v>
      </c>
      <c r="D60" s="525" t="s">
        <v>146</v>
      </c>
      <c r="E60" s="518" t="s">
        <v>714</v>
      </c>
      <c r="F60" s="270" t="s">
        <v>648</v>
      </c>
      <c r="H60" s="520" t="s">
        <v>929</v>
      </c>
      <c r="I60" s="514" t="s">
        <v>711</v>
      </c>
      <c r="J60" s="270" t="s">
        <v>1281</v>
      </c>
    </row>
    <row r="61" spans="1:10" x14ac:dyDescent="0.25">
      <c r="A61" s="524" t="s">
        <v>148</v>
      </c>
      <c r="B61" s="484" t="s">
        <v>149</v>
      </c>
      <c r="C61" s="484" t="s">
        <v>265</v>
      </c>
      <c r="D61" s="525" t="s">
        <v>148</v>
      </c>
      <c r="E61" s="518" t="s">
        <v>713</v>
      </c>
      <c r="F61" s="270" t="s">
        <v>648</v>
      </c>
      <c r="H61" s="520" t="s">
        <v>929</v>
      </c>
      <c r="I61" s="514" t="s">
        <v>711</v>
      </c>
      <c r="J61" s="270" t="s">
        <v>1277</v>
      </c>
    </row>
    <row r="62" spans="1:10" x14ac:dyDescent="0.25">
      <c r="A62" s="524" t="s">
        <v>150</v>
      </c>
      <c r="B62" s="484" t="s">
        <v>151</v>
      </c>
      <c r="C62" s="484" t="s">
        <v>266</v>
      </c>
      <c r="D62" s="525" t="s">
        <v>150</v>
      </c>
      <c r="E62" s="518" t="s">
        <v>714</v>
      </c>
      <c r="F62" s="270" t="s">
        <v>639</v>
      </c>
      <c r="G62" s="270" t="s">
        <v>658</v>
      </c>
      <c r="H62" s="520" t="s">
        <v>929</v>
      </c>
      <c r="I62" s="514" t="s">
        <v>711</v>
      </c>
      <c r="J62" s="270" t="s">
        <v>1281</v>
      </c>
    </row>
    <row r="63" spans="1:10" x14ac:dyDescent="0.25">
      <c r="A63" s="524" t="s">
        <v>152</v>
      </c>
      <c r="B63" s="484" t="s">
        <v>153</v>
      </c>
      <c r="C63" s="484" t="s">
        <v>268</v>
      </c>
      <c r="D63" s="525" t="s">
        <v>152</v>
      </c>
      <c r="E63" s="518" t="s">
        <v>713</v>
      </c>
      <c r="F63" s="270" t="s">
        <v>648</v>
      </c>
      <c r="H63" s="520" t="s">
        <v>608</v>
      </c>
      <c r="I63" s="514" t="s">
        <v>712</v>
      </c>
      <c r="J63" s="270" t="s">
        <v>1276</v>
      </c>
    </row>
    <row r="64" spans="1:10" x14ac:dyDescent="0.25">
      <c r="A64" s="524" t="s">
        <v>154</v>
      </c>
      <c r="B64" s="484" t="s">
        <v>155</v>
      </c>
      <c r="C64" s="484" t="s">
        <v>265</v>
      </c>
      <c r="D64" s="525" t="s">
        <v>154</v>
      </c>
      <c r="E64" s="518" t="s">
        <v>714</v>
      </c>
      <c r="F64" s="270" t="s">
        <v>648</v>
      </c>
      <c r="H64" s="520" t="s">
        <v>607</v>
      </c>
      <c r="I64" s="514" t="s">
        <v>710</v>
      </c>
      <c r="J64" s="270" t="s">
        <v>1274</v>
      </c>
    </row>
    <row r="65" spans="1:10" x14ac:dyDescent="0.25">
      <c r="A65" s="524" t="s">
        <v>156</v>
      </c>
      <c r="B65" s="484" t="s">
        <v>157</v>
      </c>
      <c r="C65" s="484" t="s">
        <v>266</v>
      </c>
      <c r="D65" s="525" t="s">
        <v>156</v>
      </c>
      <c r="E65" s="518" t="s">
        <v>714</v>
      </c>
      <c r="F65" s="270" t="s">
        <v>639</v>
      </c>
      <c r="G65" s="270" t="s">
        <v>658</v>
      </c>
      <c r="H65" s="520" t="s">
        <v>929</v>
      </c>
      <c r="I65" s="514" t="s">
        <v>711</v>
      </c>
      <c r="J65" s="270" t="s">
        <v>1277</v>
      </c>
    </row>
    <row r="66" spans="1:10" x14ac:dyDescent="0.25">
      <c r="A66" s="524" t="s">
        <v>162</v>
      </c>
      <c r="B66" s="484" t="s">
        <v>163</v>
      </c>
      <c r="C66" s="484" t="s">
        <v>264</v>
      </c>
      <c r="D66" s="525" t="s">
        <v>162</v>
      </c>
      <c r="E66" s="518" t="s">
        <v>713</v>
      </c>
      <c r="F66" s="270" t="s">
        <v>648</v>
      </c>
      <c r="H66" s="520" t="s">
        <v>929</v>
      </c>
      <c r="I66" s="514" t="s">
        <v>711</v>
      </c>
      <c r="J66" s="270" t="s">
        <v>1283</v>
      </c>
    </row>
    <row r="67" spans="1:10" x14ac:dyDescent="0.25">
      <c r="A67" s="524" t="s">
        <v>164</v>
      </c>
      <c r="B67" s="484" t="s">
        <v>165</v>
      </c>
      <c r="C67" s="484" t="s">
        <v>266</v>
      </c>
      <c r="D67" s="525" t="s">
        <v>164</v>
      </c>
      <c r="E67" s="518" t="s">
        <v>714</v>
      </c>
      <c r="F67" s="270" t="s">
        <v>648</v>
      </c>
      <c r="H67" s="520" t="s">
        <v>607</v>
      </c>
      <c r="I67" s="514" t="s">
        <v>710</v>
      </c>
      <c r="J67" s="270" t="s">
        <v>1274</v>
      </c>
    </row>
    <row r="68" spans="1:10" x14ac:dyDescent="0.25">
      <c r="A68" s="524" t="s">
        <v>168</v>
      </c>
      <c r="B68" s="484" t="s">
        <v>169</v>
      </c>
      <c r="C68" s="484" t="s">
        <v>266</v>
      </c>
      <c r="D68" s="525" t="s">
        <v>168</v>
      </c>
      <c r="E68" s="518" t="s">
        <v>714</v>
      </c>
      <c r="F68" s="270" t="s">
        <v>648</v>
      </c>
      <c r="H68" s="520" t="s">
        <v>929</v>
      </c>
      <c r="I68" s="514" t="s">
        <v>711</v>
      </c>
      <c r="J68" s="270" t="s">
        <v>1285</v>
      </c>
    </row>
    <row r="69" spans="1:10" x14ac:dyDescent="0.25">
      <c r="A69" s="524" t="s">
        <v>170</v>
      </c>
      <c r="B69" s="484" t="s">
        <v>171</v>
      </c>
      <c r="C69" s="484" t="s">
        <v>267</v>
      </c>
      <c r="D69" s="525" t="s">
        <v>170</v>
      </c>
      <c r="E69" s="518" t="s">
        <v>713</v>
      </c>
      <c r="F69" s="270" t="s">
        <v>648</v>
      </c>
      <c r="H69" s="520" t="s">
        <v>607</v>
      </c>
      <c r="I69" s="514" t="s">
        <v>710</v>
      </c>
      <c r="J69" s="270" t="s">
        <v>1274</v>
      </c>
    </row>
    <row r="70" spans="1:10" x14ac:dyDescent="0.25">
      <c r="A70" s="524" t="s">
        <v>172</v>
      </c>
      <c r="B70" s="484" t="s">
        <v>173</v>
      </c>
      <c r="C70" s="484" t="s">
        <v>267</v>
      </c>
      <c r="D70" s="525" t="s">
        <v>172</v>
      </c>
      <c r="E70" s="518" t="s">
        <v>713</v>
      </c>
      <c r="F70" s="270" t="s">
        <v>648</v>
      </c>
      <c r="H70" s="520" t="s">
        <v>607</v>
      </c>
      <c r="I70" s="514" t="s">
        <v>710</v>
      </c>
      <c r="J70" s="270" t="s">
        <v>1274</v>
      </c>
    </row>
    <row r="71" spans="1:10" x14ac:dyDescent="0.25">
      <c r="A71" s="524" t="s">
        <v>174</v>
      </c>
      <c r="B71" s="484" t="s">
        <v>175</v>
      </c>
      <c r="C71" s="484" t="s">
        <v>268</v>
      </c>
      <c r="D71" s="525" t="s">
        <v>174</v>
      </c>
      <c r="E71" s="518" t="s">
        <v>713</v>
      </c>
      <c r="F71" s="270" t="s">
        <v>648</v>
      </c>
      <c r="H71" s="520" t="s">
        <v>607</v>
      </c>
      <c r="I71" s="514" t="s">
        <v>710</v>
      </c>
      <c r="J71" s="270" t="s">
        <v>1274</v>
      </c>
    </row>
    <row r="72" spans="1:10" x14ac:dyDescent="0.25">
      <c r="A72" s="524" t="s">
        <v>178</v>
      </c>
      <c r="B72" s="484" t="s">
        <v>179</v>
      </c>
      <c r="C72" s="484" t="s">
        <v>265</v>
      </c>
      <c r="D72" s="525" t="s">
        <v>178</v>
      </c>
      <c r="E72" s="518" t="s">
        <v>713</v>
      </c>
      <c r="F72" s="270" t="s">
        <v>648</v>
      </c>
      <c r="H72" s="520" t="s">
        <v>929</v>
      </c>
      <c r="I72" s="514" t="s">
        <v>711</v>
      </c>
      <c r="J72" s="270" t="s">
        <v>1293</v>
      </c>
    </row>
    <row r="73" spans="1:10" x14ac:dyDescent="0.25">
      <c r="A73" s="524" t="s">
        <v>182</v>
      </c>
      <c r="B73" s="484" t="s">
        <v>183</v>
      </c>
      <c r="C73" s="484" t="s">
        <v>266</v>
      </c>
      <c r="D73" s="525" t="s">
        <v>182</v>
      </c>
      <c r="E73" s="518" t="s">
        <v>713</v>
      </c>
      <c r="F73" s="270" t="s">
        <v>648</v>
      </c>
      <c r="H73" s="520" t="s">
        <v>929</v>
      </c>
      <c r="I73" s="514" t="s">
        <v>711</v>
      </c>
      <c r="J73" s="270" t="s">
        <v>1294</v>
      </c>
    </row>
    <row r="74" spans="1:10" x14ac:dyDescent="0.25">
      <c r="A74" s="524" t="s">
        <v>184</v>
      </c>
      <c r="B74" s="484" t="s">
        <v>185</v>
      </c>
      <c r="C74" s="484" t="s">
        <v>266</v>
      </c>
      <c r="D74" s="525" t="s">
        <v>184</v>
      </c>
      <c r="E74" s="518" t="s">
        <v>713</v>
      </c>
      <c r="F74" s="270" t="s">
        <v>648</v>
      </c>
      <c r="H74" s="520" t="s">
        <v>929</v>
      </c>
      <c r="I74" s="514" t="s">
        <v>711</v>
      </c>
      <c r="J74" s="270" t="s">
        <v>1295</v>
      </c>
    </row>
    <row r="75" spans="1:10" x14ac:dyDescent="0.25">
      <c r="A75" s="524" t="s">
        <v>186</v>
      </c>
      <c r="B75" s="484" t="s">
        <v>187</v>
      </c>
      <c r="C75" s="484" t="s">
        <v>264</v>
      </c>
      <c r="D75" s="525" t="s">
        <v>186</v>
      </c>
      <c r="E75" s="518" t="s">
        <v>713</v>
      </c>
      <c r="F75" s="270" t="s">
        <v>639</v>
      </c>
      <c r="G75" s="270" t="s">
        <v>658</v>
      </c>
      <c r="H75" s="520" t="s">
        <v>608</v>
      </c>
      <c r="I75" s="514" t="s">
        <v>712</v>
      </c>
      <c r="J75" s="270" t="s">
        <v>1276</v>
      </c>
    </row>
    <row r="76" spans="1:10" x14ac:dyDescent="0.25">
      <c r="A76" s="524" t="s">
        <v>188</v>
      </c>
      <c r="B76" s="484" t="s">
        <v>189</v>
      </c>
      <c r="C76" s="484" t="s">
        <v>267</v>
      </c>
      <c r="D76" s="525" t="s">
        <v>188</v>
      </c>
      <c r="E76" s="518" t="s">
        <v>715</v>
      </c>
      <c r="F76" s="270" t="s">
        <v>639</v>
      </c>
      <c r="G76" s="270" t="s">
        <v>1296</v>
      </c>
      <c r="H76" s="520" t="s">
        <v>608</v>
      </c>
      <c r="I76" s="514" t="s">
        <v>712</v>
      </c>
      <c r="J76" s="270" t="s">
        <v>1276</v>
      </c>
    </row>
    <row r="77" spans="1:10" x14ac:dyDescent="0.25">
      <c r="A77" s="524" t="s">
        <v>190</v>
      </c>
      <c r="B77" s="484" t="s">
        <v>191</v>
      </c>
      <c r="C77" s="484" t="s">
        <v>268</v>
      </c>
      <c r="D77" s="525" t="s">
        <v>190</v>
      </c>
      <c r="E77" s="518" t="s">
        <v>713</v>
      </c>
      <c r="F77" s="270" t="s">
        <v>648</v>
      </c>
      <c r="H77" s="520" t="s">
        <v>929</v>
      </c>
      <c r="I77" s="514" t="s">
        <v>711</v>
      </c>
      <c r="J77" s="270" t="s">
        <v>1278</v>
      </c>
    </row>
    <row r="78" spans="1:10" x14ac:dyDescent="0.25">
      <c r="A78" s="524" t="s">
        <v>194</v>
      </c>
      <c r="B78" s="484" t="s">
        <v>195</v>
      </c>
      <c r="C78" s="484" t="s">
        <v>267</v>
      </c>
      <c r="D78" s="525" t="s">
        <v>194</v>
      </c>
      <c r="E78" s="518" t="s">
        <v>714</v>
      </c>
      <c r="F78" s="270" t="s">
        <v>648</v>
      </c>
      <c r="H78" s="520" t="s">
        <v>607</v>
      </c>
      <c r="I78" s="514" t="s">
        <v>710</v>
      </c>
      <c r="J78" s="270" t="s">
        <v>1274</v>
      </c>
    </row>
    <row r="79" spans="1:10" x14ac:dyDescent="0.25">
      <c r="A79" s="524" t="s">
        <v>198</v>
      </c>
      <c r="B79" s="484" t="s">
        <v>199</v>
      </c>
      <c r="C79" s="484" t="s">
        <v>266</v>
      </c>
      <c r="D79" s="525" t="s">
        <v>198</v>
      </c>
      <c r="E79" s="518" t="s">
        <v>714</v>
      </c>
      <c r="F79" s="270" t="s">
        <v>648</v>
      </c>
      <c r="H79" s="520" t="s">
        <v>929</v>
      </c>
      <c r="I79" s="514" t="s">
        <v>711</v>
      </c>
      <c r="J79" s="270" t="s">
        <v>1277</v>
      </c>
    </row>
    <row r="80" spans="1:10" x14ac:dyDescent="0.25">
      <c r="A80" s="524" t="s">
        <v>202</v>
      </c>
      <c r="B80" s="484" t="s">
        <v>611</v>
      </c>
      <c r="C80" s="484" t="s">
        <v>265</v>
      </c>
      <c r="D80" s="525" t="s">
        <v>202</v>
      </c>
      <c r="E80" s="518" t="s">
        <v>715</v>
      </c>
      <c r="F80" s="270" t="s">
        <v>639</v>
      </c>
      <c r="G80" s="270" t="s">
        <v>657</v>
      </c>
      <c r="H80" s="520" t="s">
        <v>608</v>
      </c>
      <c r="I80" s="514" t="s">
        <v>712</v>
      </c>
      <c r="J80" s="270" t="s">
        <v>1276</v>
      </c>
    </row>
    <row r="81" spans="1:13" x14ac:dyDescent="0.25">
      <c r="A81" s="524" t="s">
        <v>204</v>
      </c>
      <c r="B81" s="484" t="s">
        <v>293</v>
      </c>
      <c r="C81" s="484" t="s">
        <v>265</v>
      </c>
      <c r="D81" s="525" t="s">
        <v>204</v>
      </c>
      <c r="E81" s="518" t="s">
        <v>713</v>
      </c>
      <c r="F81" s="270" t="s">
        <v>648</v>
      </c>
      <c r="H81" s="520" t="s">
        <v>607</v>
      </c>
      <c r="I81" s="514" t="s">
        <v>710</v>
      </c>
      <c r="J81" s="270" t="s">
        <v>1274</v>
      </c>
    </row>
    <row r="82" spans="1:13" x14ac:dyDescent="0.25">
      <c r="A82" s="524" t="s">
        <v>206</v>
      </c>
      <c r="B82" s="484" t="s">
        <v>294</v>
      </c>
      <c r="C82" s="484" t="s">
        <v>267</v>
      </c>
      <c r="D82" s="525" t="s">
        <v>206</v>
      </c>
      <c r="E82" s="518" t="s">
        <v>715</v>
      </c>
      <c r="F82" s="270" t="s">
        <v>639</v>
      </c>
      <c r="G82" s="270" t="s">
        <v>694</v>
      </c>
      <c r="H82" s="520" t="s">
        <v>929</v>
      </c>
      <c r="I82" s="514" t="s">
        <v>711</v>
      </c>
      <c r="J82" s="270" t="s">
        <v>1298</v>
      </c>
      <c r="L82" s="64" t="s">
        <v>1314</v>
      </c>
      <c r="M82" s="64" t="s">
        <v>1315</v>
      </c>
    </row>
    <row r="83" spans="1:13" x14ac:dyDescent="0.25">
      <c r="A83" s="524" t="s">
        <v>208</v>
      </c>
      <c r="B83" s="484" t="s">
        <v>209</v>
      </c>
      <c r="C83" s="484" t="s">
        <v>268</v>
      </c>
      <c r="D83" s="525" t="s">
        <v>208</v>
      </c>
      <c r="E83" s="518" t="s">
        <v>713</v>
      </c>
      <c r="F83" s="270" t="s">
        <v>648</v>
      </c>
      <c r="H83" s="520" t="s">
        <v>929</v>
      </c>
      <c r="I83" s="514" t="s">
        <v>711</v>
      </c>
      <c r="J83" s="270" t="s">
        <v>1278</v>
      </c>
      <c r="L83" s="270" t="s">
        <v>1316</v>
      </c>
      <c r="M83" s="270" t="s">
        <v>1317</v>
      </c>
    </row>
    <row r="84" spans="1:13" x14ac:dyDescent="0.25">
      <c r="A84" s="524" t="s">
        <v>210</v>
      </c>
      <c r="B84" s="484" t="s">
        <v>211</v>
      </c>
      <c r="C84" s="484" t="s">
        <v>268</v>
      </c>
      <c r="D84" s="525" t="s">
        <v>210</v>
      </c>
      <c r="E84" s="518" t="s">
        <v>713</v>
      </c>
      <c r="F84" s="270" t="s">
        <v>648</v>
      </c>
      <c r="H84" s="520" t="s">
        <v>929</v>
      </c>
      <c r="I84" s="514" t="s">
        <v>711</v>
      </c>
      <c r="J84" s="270" t="s">
        <v>1281</v>
      </c>
      <c r="L84" s="270" t="s">
        <v>1318</v>
      </c>
      <c r="M84" s="270" t="s">
        <v>1319</v>
      </c>
    </row>
    <row r="85" spans="1:13" x14ac:dyDescent="0.25">
      <c r="A85" s="524" t="s">
        <v>212</v>
      </c>
      <c r="B85" s="484" t="s">
        <v>213</v>
      </c>
      <c r="C85" s="484" t="s">
        <v>267</v>
      </c>
      <c r="D85" s="525" t="s">
        <v>212</v>
      </c>
      <c r="E85" s="518" t="s">
        <v>713</v>
      </c>
      <c r="F85" s="270" t="s">
        <v>648</v>
      </c>
      <c r="H85" s="520" t="s">
        <v>607</v>
      </c>
      <c r="I85" s="514" t="s">
        <v>710</v>
      </c>
      <c r="J85" s="270" t="s">
        <v>1274</v>
      </c>
      <c r="L85" s="270" t="s">
        <v>1320</v>
      </c>
      <c r="M85" s="270" t="s">
        <v>1321</v>
      </c>
    </row>
    <row r="86" spans="1:13" x14ac:dyDescent="0.25">
      <c r="A86" s="524" t="s">
        <v>214</v>
      </c>
      <c r="B86" s="484" t="s">
        <v>215</v>
      </c>
      <c r="C86" s="484" t="s">
        <v>268</v>
      </c>
      <c r="D86" s="525" t="s">
        <v>214</v>
      </c>
      <c r="E86" s="518" t="s">
        <v>713</v>
      </c>
      <c r="F86" s="270" t="s">
        <v>648</v>
      </c>
      <c r="H86" s="520" t="s">
        <v>607</v>
      </c>
      <c r="I86" s="514" t="s">
        <v>710</v>
      </c>
      <c r="J86" s="270" t="s">
        <v>1274</v>
      </c>
      <c r="L86" s="270" t="s">
        <v>1322</v>
      </c>
      <c r="M86" s="270" t="s">
        <v>1323</v>
      </c>
    </row>
    <row r="87" spans="1:13" x14ac:dyDescent="0.25">
      <c r="A87" s="524" t="s">
        <v>216</v>
      </c>
      <c r="B87" s="484" t="s">
        <v>217</v>
      </c>
      <c r="C87" s="484" t="s">
        <v>264</v>
      </c>
      <c r="D87" s="525" t="s">
        <v>216</v>
      </c>
      <c r="E87" s="518" t="s">
        <v>713</v>
      </c>
      <c r="F87" s="270" t="s">
        <v>648</v>
      </c>
      <c r="H87" s="520" t="s">
        <v>607</v>
      </c>
      <c r="I87" s="514" t="s">
        <v>710</v>
      </c>
      <c r="J87" s="270" t="s">
        <v>1274</v>
      </c>
      <c r="L87" s="270" t="s">
        <v>1324</v>
      </c>
      <c r="M87" s="270" t="s">
        <v>1325</v>
      </c>
    </row>
    <row r="88" spans="1:13" x14ac:dyDescent="0.25">
      <c r="A88" s="524" t="s">
        <v>218</v>
      </c>
      <c r="B88" s="484" t="s">
        <v>219</v>
      </c>
      <c r="C88" s="484" t="s">
        <v>267</v>
      </c>
      <c r="D88" s="525" t="s">
        <v>218</v>
      </c>
      <c r="E88" s="518" t="s">
        <v>715</v>
      </c>
      <c r="F88" s="270" t="s">
        <v>639</v>
      </c>
      <c r="G88" s="270" t="s">
        <v>658</v>
      </c>
      <c r="H88" s="520" t="s">
        <v>608</v>
      </c>
      <c r="I88" s="514" t="s">
        <v>712</v>
      </c>
      <c r="J88" s="270" t="s">
        <v>1276</v>
      </c>
      <c r="L88" s="270" t="s">
        <v>1326</v>
      </c>
      <c r="M88" s="270" t="s">
        <v>1327</v>
      </c>
    </row>
    <row r="89" spans="1:13" x14ac:dyDescent="0.25">
      <c r="A89" s="524" t="s">
        <v>220</v>
      </c>
      <c r="B89" s="484" t="s">
        <v>221</v>
      </c>
      <c r="C89" s="484" t="s">
        <v>267</v>
      </c>
      <c r="D89" s="525" t="s">
        <v>220</v>
      </c>
      <c r="E89" s="518" t="s">
        <v>713</v>
      </c>
      <c r="F89" s="270" t="s">
        <v>648</v>
      </c>
      <c r="H89" s="520" t="s">
        <v>929</v>
      </c>
      <c r="I89" s="514" t="s">
        <v>711</v>
      </c>
      <c r="J89" s="270" t="s">
        <v>1286</v>
      </c>
      <c r="L89" s="270" t="s">
        <v>1328</v>
      </c>
      <c r="M89" s="270" t="s">
        <v>1329</v>
      </c>
    </row>
    <row r="90" spans="1:13" x14ac:dyDescent="0.25">
      <c r="A90" s="524" t="s">
        <v>224</v>
      </c>
      <c r="B90" s="484" t="s">
        <v>225</v>
      </c>
      <c r="C90" s="484" t="s">
        <v>264</v>
      </c>
      <c r="D90" s="525" t="s">
        <v>224</v>
      </c>
      <c r="E90" s="518" t="s">
        <v>713</v>
      </c>
      <c r="F90" s="270" t="s">
        <v>648</v>
      </c>
      <c r="H90" s="520" t="s">
        <v>607</v>
      </c>
      <c r="I90" s="514" t="s">
        <v>710</v>
      </c>
      <c r="J90" s="270" t="s">
        <v>1274</v>
      </c>
      <c r="L90" s="270" t="s">
        <v>1332</v>
      </c>
      <c r="M90" s="270" t="s">
        <v>1333</v>
      </c>
    </row>
    <row r="91" spans="1:13" x14ac:dyDescent="0.25">
      <c r="A91" s="524" t="s">
        <v>226</v>
      </c>
      <c r="B91" s="484" t="s">
        <v>227</v>
      </c>
      <c r="C91" s="484" t="s">
        <v>264</v>
      </c>
      <c r="D91" s="525" t="s">
        <v>226</v>
      </c>
      <c r="E91" s="518" t="s">
        <v>713</v>
      </c>
      <c r="F91" s="270" t="s">
        <v>648</v>
      </c>
      <c r="H91" s="520" t="s">
        <v>607</v>
      </c>
      <c r="I91" s="514" t="s">
        <v>710</v>
      </c>
      <c r="J91" s="270" t="s">
        <v>1274</v>
      </c>
      <c r="L91" s="270" t="s">
        <v>1334</v>
      </c>
      <c r="M91" s="270" t="s">
        <v>1335</v>
      </c>
    </row>
    <row r="92" spans="1:13" x14ac:dyDescent="0.25">
      <c r="A92" s="524" t="s">
        <v>228</v>
      </c>
      <c r="B92" s="484" t="s">
        <v>229</v>
      </c>
      <c r="C92" s="484" t="s">
        <v>268</v>
      </c>
      <c r="D92" s="525" t="s">
        <v>228</v>
      </c>
      <c r="E92" s="518" t="s">
        <v>713</v>
      </c>
      <c r="F92" s="270" t="s">
        <v>648</v>
      </c>
      <c r="H92" s="520" t="s">
        <v>607</v>
      </c>
      <c r="I92" s="514" t="s">
        <v>710</v>
      </c>
      <c r="J92" s="270" t="s">
        <v>1274</v>
      </c>
      <c r="L92" s="270" t="s">
        <v>1336</v>
      </c>
      <c r="M92" s="270" t="s">
        <v>1337</v>
      </c>
    </row>
    <row r="93" spans="1:13" x14ac:dyDescent="0.25">
      <c r="A93" s="524" t="s">
        <v>232</v>
      </c>
      <c r="B93" s="484" t="s">
        <v>233</v>
      </c>
      <c r="C93" s="484" t="s">
        <v>267</v>
      </c>
      <c r="D93" s="525" t="s">
        <v>232</v>
      </c>
      <c r="E93" s="518" t="s">
        <v>713</v>
      </c>
      <c r="F93" s="270" t="s">
        <v>639</v>
      </c>
      <c r="G93" s="270" t="s">
        <v>658</v>
      </c>
      <c r="H93" s="520" t="s">
        <v>929</v>
      </c>
      <c r="I93" s="514" t="s">
        <v>711</v>
      </c>
      <c r="J93" s="270" t="s">
        <v>1301</v>
      </c>
    </row>
    <row r="94" spans="1:13" x14ac:dyDescent="0.25">
      <c r="A94" s="524" t="s">
        <v>234</v>
      </c>
      <c r="B94" s="484" t="s">
        <v>235</v>
      </c>
      <c r="C94" s="484" t="s">
        <v>268</v>
      </c>
      <c r="D94" s="525" t="s">
        <v>234</v>
      </c>
      <c r="E94" s="518" t="s">
        <v>713</v>
      </c>
      <c r="F94" s="270" t="s">
        <v>648</v>
      </c>
      <c r="H94" s="520" t="s">
        <v>607</v>
      </c>
      <c r="I94" s="514" t="s">
        <v>710</v>
      </c>
      <c r="J94" s="270" t="s">
        <v>1274</v>
      </c>
    </row>
    <row r="95" spans="1:13" x14ac:dyDescent="0.25">
      <c r="A95" s="524" t="s">
        <v>236</v>
      </c>
      <c r="B95" s="484" t="s">
        <v>237</v>
      </c>
      <c r="C95" s="484" t="s">
        <v>266</v>
      </c>
      <c r="D95" s="525" t="s">
        <v>236</v>
      </c>
      <c r="E95" s="518" t="s">
        <v>713</v>
      </c>
      <c r="F95" s="270" t="s">
        <v>648</v>
      </c>
      <c r="H95" s="520" t="s">
        <v>607</v>
      </c>
      <c r="I95" s="514" t="s">
        <v>710</v>
      </c>
      <c r="J95" s="270" t="s">
        <v>1274</v>
      </c>
    </row>
    <row r="96" spans="1:13" x14ac:dyDescent="0.25">
      <c r="A96" s="524" t="s">
        <v>242</v>
      </c>
      <c r="B96" s="484" t="s">
        <v>243</v>
      </c>
      <c r="C96" s="484" t="s">
        <v>268</v>
      </c>
      <c r="D96" s="525" t="s">
        <v>242</v>
      </c>
      <c r="E96" s="518" t="s">
        <v>715</v>
      </c>
      <c r="F96" s="270" t="s">
        <v>648</v>
      </c>
      <c r="H96" s="520" t="s">
        <v>607</v>
      </c>
      <c r="I96" s="514" t="s">
        <v>710</v>
      </c>
      <c r="J96" s="270" t="s">
        <v>1274</v>
      </c>
    </row>
    <row r="97" spans="1:10" x14ac:dyDescent="0.25">
      <c r="A97" s="524" t="s">
        <v>244</v>
      </c>
      <c r="B97" s="484" t="s">
        <v>245</v>
      </c>
      <c r="C97" s="484" t="s">
        <v>268</v>
      </c>
      <c r="D97" s="525" t="s">
        <v>244</v>
      </c>
      <c r="E97" s="518" t="s">
        <v>713</v>
      </c>
      <c r="F97" s="270" t="s">
        <v>648</v>
      </c>
      <c r="H97" s="520" t="s">
        <v>929</v>
      </c>
      <c r="I97" s="514" t="s">
        <v>711</v>
      </c>
      <c r="J97" s="270" t="s">
        <v>1278</v>
      </c>
    </row>
    <row r="98" spans="1:10" x14ac:dyDescent="0.25">
      <c r="A98" s="524" t="s">
        <v>246</v>
      </c>
      <c r="B98" s="484" t="s">
        <v>247</v>
      </c>
      <c r="C98" s="484" t="s">
        <v>264</v>
      </c>
      <c r="D98" s="525" t="s">
        <v>246</v>
      </c>
      <c r="E98" s="518" t="s">
        <v>713</v>
      </c>
      <c r="F98" s="270" t="s">
        <v>648</v>
      </c>
      <c r="H98" s="520" t="s">
        <v>929</v>
      </c>
      <c r="I98" s="514" t="s">
        <v>711</v>
      </c>
      <c r="J98" s="270" t="s">
        <v>1280</v>
      </c>
    </row>
    <row r="99" spans="1:10" x14ac:dyDescent="0.25">
      <c r="A99" s="524" t="s">
        <v>14</v>
      </c>
      <c r="B99" s="484" t="s">
        <v>15</v>
      </c>
      <c r="C99" s="484" t="s">
        <v>267</v>
      </c>
      <c r="D99" s="525" t="s">
        <v>14</v>
      </c>
      <c r="E99" s="526" t="s">
        <v>715</v>
      </c>
      <c r="F99" s="270" t="s">
        <v>639</v>
      </c>
      <c r="G99" s="270" t="s">
        <v>1121</v>
      </c>
      <c r="H99" s="520" t="s">
        <v>929</v>
      </c>
      <c r="I99" s="514" t="s">
        <v>711</v>
      </c>
      <c r="J99" s="270" t="s">
        <v>1276</v>
      </c>
    </row>
    <row r="100" spans="1:10" x14ac:dyDescent="0.25">
      <c r="A100" s="524" t="s">
        <v>34</v>
      </c>
      <c r="B100" s="484" t="s">
        <v>35</v>
      </c>
      <c r="C100" s="484" t="s">
        <v>268</v>
      </c>
      <c r="D100" s="525" t="s">
        <v>34</v>
      </c>
      <c r="E100" s="518" t="s">
        <v>713</v>
      </c>
      <c r="F100" s="270" t="s">
        <v>648</v>
      </c>
      <c r="H100" s="520" t="s">
        <v>607</v>
      </c>
      <c r="I100" s="514" t="s">
        <v>710</v>
      </c>
      <c r="J100" s="270" t="s">
        <v>1274</v>
      </c>
    </row>
    <row r="101" spans="1:10" x14ac:dyDescent="0.25">
      <c r="A101" s="524" t="s">
        <v>52</v>
      </c>
      <c r="B101" s="484" t="s">
        <v>53</v>
      </c>
      <c r="C101" s="484" t="s">
        <v>265</v>
      </c>
      <c r="D101" s="525" t="s">
        <v>52</v>
      </c>
      <c r="E101" s="518" t="s">
        <v>715</v>
      </c>
      <c r="F101" s="270" t="s">
        <v>639</v>
      </c>
      <c r="G101" s="270" t="s">
        <v>657</v>
      </c>
      <c r="H101" s="520" t="s">
        <v>608</v>
      </c>
      <c r="I101" s="514" t="s">
        <v>712</v>
      </c>
      <c r="J101" s="270" t="s">
        <v>1276</v>
      </c>
    </row>
    <row r="102" spans="1:10" x14ac:dyDescent="0.25">
      <c r="A102" s="524" t="s">
        <v>54</v>
      </c>
      <c r="B102" s="484" t="s">
        <v>55</v>
      </c>
      <c r="C102" s="484" t="s">
        <v>264</v>
      </c>
      <c r="D102" s="525" t="s">
        <v>54</v>
      </c>
      <c r="E102" s="518" t="s">
        <v>715</v>
      </c>
      <c r="F102" s="270" t="s">
        <v>639</v>
      </c>
      <c r="G102" s="270" t="s">
        <v>1121</v>
      </c>
      <c r="H102" s="520" t="s">
        <v>608</v>
      </c>
      <c r="I102" s="514" t="s">
        <v>712</v>
      </c>
      <c r="J102" s="270" t="s">
        <v>1276</v>
      </c>
    </row>
    <row r="103" spans="1:10" x14ac:dyDescent="0.25">
      <c r="A103" s="524" t="s">
        <v>66</v>
      </c>
      <c r="B103" s="484" t="s">
        <v>67</v>
      </c>
      <c r="C103" s="484" t="s">
        <v>265</v>
      </c>
      <c r="D103" s="525" t="s">
        <v>66</v>
      </c>
      <c r="E103" s="518" t="s">
        <v>715</v>
      </c>
      <c r="F103" s="270" t="s">
        <v>639</v>
      </c>
      <c r="G103" s="270" t="s">
        <v>657</v>
      </c>
      <c r="H103" s="520" t="s">
        <v>608</v>
      </c>
      <c r="I103" s="514" t="s">
        <v>712</v>
      </c>
      <c r="J103" s="270" t="s">
        <v>1276</v>
      </c>
    </row>
    <row r="104" spans="1:10" x14ac:dyDescent="0.25">
      <c r="A104" s="524" t="s">
        <v>82</v>
      </c>
      <c r="B104" s="484" t="s">
        <v>311</v>
      </c>
      <c r="C104" s="484" t="s">
        <v>264</v>
      </c>
      <c r="D104" s="525" t="s">
        <v>82</v>
      </c>
      <c r="E104" s="518" t="s">
        <v>713</v>
      </c>
      <c r="F104" s="270" t="s">
        <v>639</v>
      </c>
      <c r="G104" s="270" t="s">
        <v>1121</v>
      </c>
      <c r="H104" s="520" t="s">
        <v>607</v>
      </c>
      <c r="I104" s="514" t="s">
        <v>710</v>
      </c>
      <c r="J104" s="270" t="s">
        <v>1274</v>
      </c>
    </row>
    <row r="105" spans="1:10" x14ac:dyDescent="0.25">
      <c r="A105" s="524" t="s">
        <v>88</v>
      </c>
      <c r="B105" s="484" t="s">
        <v>89</v>
      </c>
      <c r="C105" s="484" t="s">
        <v>267</v>
      </c>
      <c r="D105" s="525" t="s">
        <v>88</v>
      </c>
      <c r="E105" s="518" t="s">
        <v>713</v>
      </c>
      <c r="F105" s="270" t="s">
        <v>648</v>
      </c>
      <c r="H105" s="520" t="s">
        <v>929</v>
      </c>
      <c r="I105" s="514" t="s">
        <v>711</v>
      </c>
      <c r="J105" s="270" t="s">
        <v>1284</v>
      </c>
    </row>
    <row r="106" spans="1:10" x14ac:dyDescent="0.25">
      <c r="A106" s="524" t="s">
        <v>90</v>
      </c>
      <c r="B106" s="484" t="s">
        <v>91</v>
      </c>
      <c r="C106" s="484" t="s">
        <v>268</v>
      </c>
      <c r="D106" s="525" t="s">
        <v>90</v>
      </c>
      <c r="E106" s="518" t="s">
        <v>714</v>
      </c>
      <c r="F106" s="270" t="s">
        <v>639</v>
      </c>
      <c r="G106" s="270" t="s">
        <v>1121</v>
      </c>
      <c r="H106" s="520" t="s">
        <v>929</v>
      </c>
      <c r="I106" s="514" t="s">
        <v>711</v>
      </c>
      <c r="J106" s="270" t="s">
        <v>1285</v>
      </c>
    </row>
    <row r="107" spans="1:10" x14ac:dyDescent="0.25">
      <c r="A107" s="524" t="s">
        <v>106</v>
      </c>
      <c r="B107" s="484" t="s">
        <v>107</v>
      </c>
      <c r="C107" s="484" t="s">
        <v>264</v>
      </c>
      <c r="D107" s="525" t="s">
        <v>106</v>
      </c>
      <c r="E107" s="518" t="s">
        <v>715</v>
      </c>
      <c r="F107" s="270" t="s">
        <v>639</v>
      </c>
      <c r="G107" s="270" t="s">
        <v>657</v>
      </c>
      <c r="H107" s="520" t="s">
        <v>608</v>
      </c>
      <c r="I107" s="514" t="s">
        <v>712</v>
      </c>
      <c r="J107" s="270" t="s">
        <v>1276</v>
      </c>
    </row>
    <row r="108" spans="1:10" x14ac:dyDescent="0.25">
      <c r="A108" s="524" t="s">
        <v>116</v>
      </c>
      <c r="B108" s="484" t="s">
        <v>117</v>
      </c>
      <c r="C108" s="484" t="s">
        <v>266</v>
      </c>
      <c r="D108" s="525" t="s">
        <v>116</v>
      </c>
      <c r="E108" s="518" t="s">
        <v>713</v>
      </c>
      <c r="F108" s="270" t="s">
        <v>639</v>
      </c>
      <c r="G108" s="270" t="s">
        <v>1121</v>
      </c>
      <c r="H108" s="520" t="s">
        <v>929</v>
      </c>
      <c r="I108" s="514" t="s">
        <v>711</v>
      </c>
      <c r="J108" s="270" t="s">
        <v>1289</v>
      </c>
    </row>
    <row r="109" spans="1:10" x14ac:dyDescent="0.25">
      <c r="A109" s="524" t="s">
        <v>138</v>
      </c>
      <c r="B109" s="484" t="s">
        <v>139</v>
      </c>
      <c r="C109" s="484" t="s">
        <v>265</v>
      </c>
      <c r="D109" s="525" t="s">
        <v>138</v>
      </c>
      <c r="E109" s="518" t="s">
        <v>715</v>
      </c>
      <c r="F109" s="270" t="s">
        <v>639</v>
      </c>
      <c r="G109" s="270" t="s">
        <v>657</v>
      </c>
      <c r="H109" s="520" t="s">
        <v>608</v>
      </c>
      <c r="I109" s="514" t="s">
        <v>712</v>
      </c>
      <c r="J109" s="270" t="s">
        <v>1276</v>
      </c>
    </row>
    <row r="110" spans="1:10" x14ac:dyDescent="0.25">
      <c r="A110" s="524" t="s">
        <v>142</v>
      </c>
      <c r="B110" s="484" t="s">
        <v>143</v>
      </c>
      <c r="C110" s="484" t="s">
        <v>267</v>
      </c>
      <c r="D110" s="525" t="s">
        <v>142</v>
      </c>
      <c r="E110" s="518" t="s">
        <v>713</v>
      </c>
      <c r="F110" s="270" t="s">
        <v>639</v>
      </c>
      <c r="G110" s="270" t="s">
        <v>1290</v>
      </c>
      <c r="H110" s="520" t="s">
        <v>929</v>
      </c>
      <c r="I110" s="514" t="s">
        <v>711</v>
      </c>
      <c r="J110" s="270" t="s">
        <v>1276</v>
      </c>
    </row>
    <row r="111" spans="1:10" x14ac:dyDescent="0.25">
      <c r="A111" s="524" t="s">
        <v>144</v>
      </c>
      <c r="B111" s="484" t="s">
        <v>145</v>
      </c>
      <c r="C111" s="484" t="s">
        <v>267</v>
      </c>
      <c r="D111" s="525" t="s">
        <v>144</v>
      </c>
      <c r="E111" s="518" t="s">
        <v>714</v>
      </c>
      <c r="F111" s="270" t="s">
        <v>639</v>
      </c>
      <c r="G111" s="270" t="s">
        <v>1290</v>
      </c>
      <c r="H111" s="520" t="s">
        <v>929</v>
      </c>
      <c r="I111" s="514" t="s">
        <v>711</v>
      </c>
      <c r="J111" s="270" t="s">
        <v>1291</v>
      </c>
    </row>
    <row r="112" spans="1:10" x14ac:dyDescent="0.25">
      <c r="A112" s="524" t="s">
        <v>158</v>
      </c>
      <c r="B112" s="484" t="s">
        <v>159</v>
      </c>
      <c r="C112" s="484" t="s">
        <v>264</v>
      </c>
      <c r="D112" s="525" t="s">
        <v>158</v>
      </c>
      <c r="E112" s="518" t="s">
        <v>715</v>
      </c>
      <c r="F112" s="270" t="s">
        <v>639</v>
      </c>
      <c r="G112" s="270" t="s">
        <v>657</v>
      </c>
      <c r="H112" s="520" t="s">
        <v>608</v>
      </c>
      <c r="I112" s="514" t="s">
        <v>712</v>
      </c>
      <c r="J112" s="270" t="s">
        <v>1276</v>
      </c>
    </row>
    <row r="113" spans="1:13" x14ac:dyDescent="0.25">
      <c r="A113" s="524" t="s">
        <v>160</v>
      </c>
      <c r="B113" s="484" t="s">
        <v>161</v>
      </c>
      <c r="C113" s="484" t="s">
        <v>264</v>
      </c>
      <c r="D113" s="525" t="s">
        <v>160</v>
      </c>
      <c r="E113" s="518" t="s">
        <v>715</v>
      </c>
      <c r="F113" s="270" t="s">
        <v>639</v>
      </c>
      <c r="G113" s="270" t="s">
        <v>657</v>
      </c>
      <c r="H113" s="520" t="s">
        <v>608</v>
      </c>
      <c r="I113" s="514" t="s">
        <v>712</v>
      </c>
      <c r="J113" s="270" t="s">
        <v>1276</v>
      </c>
    </row>
    <row r="114" spans="1:13" x14ac:dyDescent="0.25">
      <c r="A114" s="524" t="s">
        <v>166</v>
      </c>
      <c r="B114" s="484" t="s">
        <v>167</v>
      </c>
      <c r="C114" s="484" t="s">
        <v>268</v>
      </c>
      <c r="D114" s="525" t="s">
        <v>166</v>
      </c>
      <c r="E114" s="518" t="s">
        <v>714</v>
      </c>
      <c r="F114" s="270" t="s">
        <v>639</v>
      </c>
      <c r="G114" s="270" t="s">
        <v>1121</v>
      </c>
      <c r="H114" s="520" t="s">
        <v>929</v>
      </c>
      <c r="I114" s="514" t="s">
        <v>711</v>
      </c>
      <c r="J114" s="270" t="s">
        <v>1281</v>
      </c>
    </row>
    <row r="115" spans="1:13" x14ac:dyDescent="0.25">
      <c r="A115" s="524" t="s">
        <v>176</v>
      </c>
      <c r="B115" s="484" t="s">
        <v>177</v>
      </c>
      <c r="C115" s="484" t="s">
        <v>266</v>
      </c>
      <c r="D115" s="525" t="s">
        <v>176</v>
      </c>
      <c r="E115" s="518" t="s">
        <v>715</v>
      </c>
      <c r="F115" s="270" t="s">
        <v>639</v>
      </c>
      <c r="G115" s="270" t="s">
        <v>1121</v>
      </c>
      <c r="H115" s="520" t="s">
        <v>929</v>
      </c>
      <c r="I115" s="514" t="s">
        <v>711</v>
      </c>
      <c r="J115" s="270" t="s">
        <v>1292</v>
      </c>
    </row>
    <row r="116" spans="1:13" x14ac:dyDescent="0.25">
      <c r="A116" s="524" t="s">
        <v>180</v>
      </c>
      <c r="B116" s="484" t="s">
        <v>181</v>
      </c>
      <c r="C116" s="484" t="s">
        <v>264</v>
      </c>
      <c r="D116" s="525" t="s">
        <v>180</v>
      </c>
      <c r="E116" s="518" t="s">
        <v>715</v>
      </c>
      <c r="F116" s="270" t="s">
        <v>639</v>
      </c>
      <c r="G116" s="270" t="s">
        <v>657</v>
      </c>
      <c r="H116" s="520" t="s">
        <v>608</v>
      </c>
      <c r="I116" s="514" t="s">
        <v>712</v>
      </c>
      <c r="J116" s="270" t="s">
        <v>1276</v>
      </c>
    </row>
    <row r="117" spans="1:13" x14ac:dyDescent="0.25">
      <c r="A117" s="524" t="s">
        <v>192</v>
      </c>
      <c r="B117" s="484" t="s">
        <v>193</v>
      </c>
      <c r="C117" s="484" t="s">
        <v>268</v>
      </c>
      <c r="D117" s="525" t="s">
        <v>192</v>
      </c>
      <c r="E117" s="518" t="s">
        <v>714</v>
      </c>
      <c r="F117" s="270" t="s">
        <v>648</v>
      </c>
      <c r="H117" s="520" t="s">
        <v>607</v>
      </c>
      <c r="I117" s="514" t="s">
        <v>710</v>
      </c>
      <c r="J117" s="270" t="s">
        <v>1274</v>
      </c>
    </row>
    <row r="118" spans="1:13" x14ac:dyDescent="0.25">
      <c r="A118" s="524" t="s">
        <v>196</v>
      </c>
      <c r="B118" s="484" t="s">
        <v>312</v>
      </c>
      <c r="C118" s="484" t="s">
        <v>266</v>
      </c>
      <c r="D118" s="525" t="s">
        <v>196</v>
      </c>
      <c r="E118" s="518" t="s">
        <v>715</v>
      </c>
      <c r="F118" s="270" t="s">
        <v>639</v>
      </c>
      <c r="G118" s="270" t="s">
        <v>1297</v>
      </c>
      <c r="H118" s="520" t="s">
        <v>608</v>
      </c>
      <c r="I118" s="514" t="s">
        <v>712</v>
      </c>
      <c r="J118" s="270" t="s">
        <v>1276</v>
      </c>
    </row>
    <row r="119" spans="1:13" x14ac:dyDescent="0.25">
      <c r="A119" s="524" t="s">
        <v>200</v>
      </c>
      <c r="B119" s="484" t="s">
        <v>313</v>
      </c>
      <c r="C119" s="484" t="s">
        <v>265</v>
      </c>
      <c r="D119" s="525" t="s">
        <v>200</v>
      </c>
      <c r="E119" s="518" t="s">
        <v>715</v>
      </c>
      <c r="F119" s="270" t="s">
        <v>639</v>
      </c>
      <c r="G119" s="270" t="s">
        <v>657</v>
      </c>
      <c r="H119" s="520" t="s">
        <v>608</v>
      </c>
      <c r="I119" s="514" t="s">
        <v>712</v>
      </c>
      <c r="J119" s="270" t="s">
        <v>1276</v>
      </c>
    </row>
    <row r="120" spans="1:13" x14ac:dyDescent="0.25">
      <c r="A120" s="524" t="s">
        <v>222</v>
      </c>
      <c r="B120" s="484" t="s">
        <v>223</v>
      </c>
      <c r="C120" s="484" t="s">
        <v>264</v>
      </c>
      <c r="D120" s="525" t="s">
        <v>222</v>
      </c>
      <c r="E120" s="518" t="s">
        <v>715</v>
      </c>
      <c r="F120" s="270" t="s">
        <v>639</v>
      </c>
      <c r="G120" s="270" t="s">
        <v>657</v>
      </c>
      <c r="H120" s="520" t="s">
        <v>929</v>
      </c>
      <c r="I120" s="514" t="s">
        <v>711</v>
      </c>
      <c r="J120" s="270" t="s">
        <v>1299</v>
      </c>
      <c r="L120" s="270" t="s">
        <v>1330</v>
      </c>
      <c r="M120" s="270" t="s">
        <v>1331</v>
      </c>
    </row>
    <row r="121" spans="1:13" x14ac:dyDescent="0.25">
      <c r="A121" s="524" t="s">
        <v>230</v>
      </c>
      <c r="B121" s="484" t="s">
        <v>231</v>
      </c>
      <c r="C121" s="484" t="s">
        <v>264</v>
      </c>
      <c r="D121" s="525" t="s">
        <v>230</v>
      </c>
      <c r="E121" s="518" t="s">
        <v>715</v>
      </c>
      <c r="F121" s="270" t="s">
        <v>639</v>
      </c>
      <c r="G121" s="270" t="s">
        <v>1300</v>
      </c>
      <c r="H121" s="520" t="s">
        <v>608</v>
      </c>
      <c r="I121" s="514" t="s">
        <v>712</v>
      </c>
      <c r="J121" s="270" t="s">
        <v>1276</v>
      </c>
      <c r="L121" s="270" t="s">
        <v>1338</v>
      </c>
      <c r="M121" s="270" t="s">
        <v>1339</v>
      </c>
    </row>
    <row r="122" spans="1:13" x14ac:dyDescent="0.25">
      <c r="A122" s="524" t="s">
        <v>238</v>
      </c>
      <c r="B122" s="484" t="s">
        <v>239</v>
      </c>
      <c r="C122" s="484" t="s">
        <v>264</v>
      </c>
      <c r="D122" s="525" t="s">
        <v>238</v>
      </c>
      <c r="E122" s="518" t="s">
        <v>714</v>
      </c>
      <c r="F122" s="270" t="s">
        <v>639</v>
      </c>
      <c r="G122" s="270" t="s">
        <v>657</v>
      </c>
      <c r="H122" s="520" t="s">
        <v>929</v>
      </c>
      <c r="I122" s="514" t="s">
        <v>711</v>
      </c>
      <c r="J122" s="270" t="s">
        <v>1276</v>
      </c>
    </row>
    <row r="123" spans="1:13" x14ac:dyDescent="0.25">
      <c r="A123" s="524" t="s">
        <v>240</v>
      </c>
      <c r="B123" s="484" t="s">
        <v>241</v>
      </c>
      <c r="C123" s="484" t="s">
        <v>267</v>
      </c>
      <c r="D123" s="525" t="s">
        <v>240</v>
      </c>
      <c r="E123" s="518" t="s">
        <v>713</v>
      </c>
      <c r="F123" s="270" t="s">
        <v>639</v>
      </c>
      <c r="G123" s="270" t="s">
        <v>1121</v>
      </c>
      <c r="H123" s="520" t="s">
        <v>608</v>
      </c>
      <c r="I123" s="514" t="s">
        <v>712</v>
      </c>
      <c r="J123" s="270" t="s">
        <v>1276</v>
      </c>
    </row>
    <row r="124" spans="1:13" x14ac:dyDescent="0.25">
      <c r="A124" s="524"/>
      <c r="B124" s="484"/>
      <c r="C124" s="484"/>
      <c r="D124" s="525"/>
    </row>
    <row r="125" spans="1:13" x14ac:dyDescent="0.25">
      <c r="A125" s="524"/>
      <c r="B125" s="484"/>
      <c r="C125" s="484"/>
      <c r="D125" s="316"/>
      <c r="E125" s="518" t="s">
        <v>1302</v>
      </c>
      <c r="F125" s="270" t="s">
        <v>1306</v>
      </c>
      <c r="I125" s="270" t="s">
        <v>1309</v>
      </c>
    </row>
    <row r="126" spans="1:13" x14ac:dyDescent="0.25">
      <c r="A126" s="524"/>
      <c r="B126" s="484"/>
      <c r="C126" s="484"/>
      <c r="D126" s="316"/>
      <c r="E126" s="518" t="s">
        <v>1303</v>
      </c>
      <c r="F126" s="270" t="s">
        <v>1307</v>
      </c>
      <c r="I126" s="270" t="s">
        <v>1310</v>
      </c>
    </row>
    <row r="127" spans="1:13" x14ac:dyDescent="0.25">
      <c r="A127" s="524"/>
      <c r="B127" s="484"/>
      <c r="C127" s="484"/>
      <c r="D127" s="316"/>
      <c r="E127" s="518" t="s">
        <v>1304</v>
      </c>
      <c r="F127" s="270" t="s">
        <v>1308</v>
      </c>
      <c r="I127" s="270" t="s">
        <v>1311</v>
      </c>
    </row>
    <row r="128" spans="1:13" x14ac:dyDescent="0.25">
      <c r="E128" s="518" t="s">
        <v>1305</v>
      </c>
      <c r="I128" s="270" t="s">
        <v>1312</v>
      </c>
    </row>
    <row r="130" spans="1:2" x14ac:dyDescent="0.25">
      <c r="A130" s="527" t="s">
        <v>1343</v>
      </c>
    </row>
    <row r="131" spans="1:2" x14ac:dyDescent="0.25">
      <c r="A131" s="516" t="s">
        <v>661</v>
      </c>
    </row>
    <row r="132" spans="1:2" x14ac:dyDescent="0.25">
      <c r="A132" s="516" t="s">
        <v>1262</v>
      </c>
    </row>
    <row r="133" spans="1:2" x14ac:dyDescent="0.25">
      <c r="A133" s="516"/>
    </row>
    <row r="134" spans="1:2" s="414" customFormat="1" x14ac:dyDescent="0.25">
      <c r="A134" s="414" t="s">
        <v>248</v>
      </c>
    </row>
    <row r="135" spans="1:2" s="414" customFormat="1" x14ac:dyDescent="0.25">
      <c r="A135" s="415" t="s">
        <v>249</v>
      </c>
      <c r="B135" s="416" t="s">
        <v>250</v>
      </c>
    </row>
  </sheetData>
  <autoFilter ref="A3:I123"/>
  <sortState ref="A4:M123">
    <sortCondition ref="A4:A123"/>
  </sortState>
  <dataValidations count="1">
    <dataValidation type="list" allowBlank="1" showInputMessage="1" showErrorMessage="1" sqref="G4:G123">
      <formula1>$H$204:$H$208</formula1>
    </dataValidation>
  </dataValidations>
  <hyperlinks>
    <hyperlink ref="B135" r:id="rId1"/>
  </hyperlink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3" sqref="E3"/>
    </sheetView>
  </sheetViews>
  <sheetFormatPr defaultRowHeight="12.75" x14ac:dyDescent="0.2"/>
  <cols>
    <col min="1" max="1" width="12.25" style="18" customWidth="1"/>
    <col min="2" max="2" width="23.625" style="28" customWidth="1"/>
    <col min="3" max="4" width="9.875" style="18" customWidth="1"/>
    <col min="5" max="5" width="9.75" style="18" customWidth="1"/>
    <col min="6" max="6" width="2.25" style="18" customWidth="1"/>
    <col min="7" max="7" width="10.25" style="18" customWidth="1"/>
    <col min="8" max="8" width="9.875" style="18" customWidth="1"/>
    <col min="9" max="9" width="9.625" style="18" customWidth="1"/>
    <col min="10" max="10" width="2.625" style="18" customWidth="1"/>
    <col min="11" max="11" width="9.625" style="18" customWidth="1"/>
    <col min="12" max="12" width="9.75" style="18" customWidth="1"/>
    <col min="13" max="13" width="10" style="18" customWidth="1"/>
    <col min="14" max="14" width="2.625" style="40" customWidth="1"/>
    <col min="15" max="15" width="10" style="18" bestFit="1" customWidth="1"/>
    <col min="16" max="17" width="10" style="18" customWidth="1"/>
    <col min="18" max="18" width="3.5" style="18" customWidth="1"/>
    <col min="19" max="19" width="9.75" style="18" customWidth="1"/>
    <col min="20" max="20" width="10.25" style="18" customWidth="1"/>
    <col min="21" max="21" width="10.375" style="18" customWidth="1"/>
    <col min="22" max="22" width="2.625" style="18" customWidth="1"/>
    <col min="23" max="23" width="10.25" style="18" customWidth="1"/>
    <col min="24" max="24" width="10.5" style="18" customWidth="1"/>
    <col min="25" max="25" width="10.25" style="18" customWidth="1"/>
    <col min="26" max="16384" width="9" style="18"/>
  </cols>
  <sheetData>
    <row r="1" spans="1:25" ht="15.75" x14ac:dyDescent="0.25">
      <c r="C1" s="2135" t="s">
        <v>574</v>
      </c>
      <c r="D1" s="2135"/>
      <c r="E1" s="2135"/>
      <c r="F1" s="2135"/>
      <c r="G1" s="2135"/>
      <c r="H1" s="2135"/>
      <c r="I1" s="2135"/>
      <c r="J1" s="2135"/>
      <c r="K1" s="2135"/>
      <c r="L1" s="2135"/>
      <c r="M1" s="2135"/>
      <c r="N1" s="37"/>
      <c r="O1" s="2131" t="s">
        <v>575</v>
      </c>
      <c r="P1" s="2131"/>
      <c r="Q1" s="2131"/>
      <c r="R1" s="2131"/>
      <c r="S1" s="2131"/>
      <c r="T1" s="2131"/>
      <c r="U1" s="2131"/>
      <c r="V1" s="2131"/>
      <c r="W1" s="2131"/>
      <c r="X1" s="2131"/>
      <c r="Y1" s="2131"/>
    </row>
    <row r="2" spans="1:25" x14ac:dyDescent="0.2">
      <c r="C2" s="2136" t="s">
        <v>2</v>
      </c>
      <c r="D2" s="2136"/>
      <c r="E2" s="2136"/>
      <c r="F2" s="33"/>
      <c r="G2" s="2136" t="s">
        <v>445</v>
      </c>
      <c r="H2" s="2136"/>
      <c r="I2" s="2136"/>
      <c r="J2" s="24"/>
      <c r="K2" s="2136" t="s">
        <v>447</v>
      </c>
      <c r="L2" s="2136"/>
      <c r="M2" s="2136"/>
      <c r="N2" s="24"/>
      <c r="O2" s="2136" t="s">
        <v>2</v>
      </c>
      <c r="P2" s="2136"/>
      <c r="Q2" s="2136"/>
      <c r="R2" s="24"/>
      <c r="S2" s="2136" t="s">
        <v>445</v>
      </c>
      <c r="T2" s="2136"/>
      <c r="U2" s="2136"/>
      <c r="V2" s="24"/>
      <c r="W2" s="2136" t="s">
        <v>447</v>
      </c>
      <c r="X2" s="2136"/>
      <c r="Y2" s="2136"/>
    </row>
    <row r="3" spans="1:25" s="21" customFormat="1" ht="71.25" customHeight="1" x14ac:dyDescent="0.25">
      <c r="A3" s="20" t="s">
        <v>305</v>
      </c>
      <c r="B3" s="31" t="s">
        <v>306</v>
      </c>
      <c r="C3" s="23" t="s">
        <v>578</v>
      </c>
      <c r="D3" s="23" t="s">
        <v>579</v>
      </c>
      <c r="E3" s="34" t="s">
        <v>580</v>
      </c>
      <c r="F3" s="38"/>
      <c r="G3" s="35" t="s">
        <v>578</v>
      </c>
      <c r="H3" s="23" t="s">
        <v>579</v>
      </c>
      <c r="I3" s="34" t="s">
        <v>580</v>
      </c>
      <c r="J3" s="38"/>
      <c r="K3" s="35" t="s">
        <v>578</v>
      </c>
      <c r="L3" s="23" t="s">
        <v>579</v>
      </c>
      <c r="M3" s="34" t="s">
        <v>580</v>
      </c>
      <c r="N3" s="38"/>
      <c r="O3" s="23" t="s">
        <v>578</v>
      </c>
      <c r="P3" s="23" t="s">
        <v>579</v>
      </c>
      <c r="Q3" s="34" t="s">
        <v>580</v>
      </c>
      <c r="R3" s="41"/>
      <c r="S3" s="23" t="s">
        <v>578</v>
      </c>
      <c r="T3" s="23" t="s">
        <v>579</v>
      </c>
      <c r="U3" s="34" t="s">
        <v>580</v>
      </c>
      <c r="V3" s="38"/>
      <c r="W3" s="23" t="s">
        <v>578</v>
      </c>
      <c r="X3" s="23" t="s">
        <v>579</v>
      </c>
      <c r="Y3" s="34" t="s">
        <v>580</v>
      </c>
    </row>
    <row r="4" spans="1:25" ht="16.5" customHeight="1" x14ac:dyDescent="0.25">
      <c r="A4" s="16" t="s">
        <v>10</v>
      </c>
      <c r="B4" s="17" t="s">
        <v>11</v>
      </c>
      <c r="C4" s="25">
        <f t="shared" ref="C4:C35" si="0">VLOOKUP(A4,SNAPClient_Demo,10,FALSE)</f>
        <v>4250</v>
      </c>
      <c r="D4" s="25" t="e">
        <f t="shared" ref="D4:D35" si="1">VLOOKUP(A4,Pop,14,FALSE)</f>
        <v>#REF!</v>
      </c>
      <c r="E4" s="27" t="e">
        <f t="shared" ref="E4:E35" si="2">+C4/D4</f>
        <v>#REF!</v>
      </c>
      <c r="F4" s="27"/>
      <c r="G4" s="25">
        <f t="shared" ref="G4:G35" si="3">VLOOKUP(A4,SNAPClient_Demo,11,FALSE)</f>
        <v>156</v>
      </c>
      <c r="H4" s="25" t="e">
        <f t="shared" ref="H4:H35" si="4">VLOOKUP(A4,Pop,15,FALSE)</f>
        <v>#REF!</v>
      </c>
      <c r="I4" s="27" t="e">
        <f t="shared" ref="I4:I35" si="5">+G4/H4</f>
        <v>#REF!</v>
      </c>
      <c r="J4" s="27"/>
      <c r="K4" s="25">
        <f t="shared" ref="K4:K35" si="6">VLOOKUP(A4,SNAPClient_Demo,12,FALSE)</f>
        <v>98</v>
      </c>
      <c r="L4" s="25" t="e">
        <f t="shared" ref="L4:L35" si="7">VLOOKUP(A4,Pop,16,FALSE)</f>
        <v>#REF!</v>
      </c>
      <c r="M4" s="27" t="e">
        <f t="shared" ref="M4:M35" si="8">+K4/L4</f>
        <v>#REF!</v>
      </c>
      <c r="N4" s="39"/>
      <c r="O4" s="36" t="str">
        <f t="shared" ref="O4:O35" si="9">VLOOKUP(A4,SNAPClient_Demo,3,FALSE)</f>
        <v>Eastern</v>
      </c>
      <c r="P4" s="26" t="e">
        <f t="shared" ref="P4:P35" si="10">VLOOKUP(A4,Pop,8,FALSE)</f>
        <v>#REF!</v>
      </c>
      <c r="Q4" s="27" t="e">
        <f t="shared" ref="Q4:Q35" si="11">+O4/P4</f>
        <v>#VALUE!</v>
      </c>
      <c r="R4" s="27"/>
      <c r="S4" s="26">
        <f t="shared" ref="S4:S35" si="12">VLOOKUP(A4,SNAPClient_Demo,4,FALSE)</f>
        <v>3891</v>
      </c>
      <c r="T4" s="26" t="e">
        <f t="shared" ref="T4:T35" si="13">VLOOKUP(A4,Pop,9,FALSE)</f>
        <v>#REF!</v>
      </c>
      <c r="U4" s="27" t="e">
        <f t="shared" ref="U4:U35" si="14">+S4/T4</f>
        <v>#REF!</v>
      </c>
      <c r="V4" s="27"/>
      <c r="W4" s="26">
        <f t="shared" ref="W4:W35" si="15">VLOOKUP(A4,SNAPClient_Demo,5,FALSE)</f>
        <v>4936</v>
      </c>
      <c r="X4" s="26" t="e">
        <f t="shared" ref="X4:X35" si="16">VLOOKUP(A4,Pop,10,FALSE)</f>
        <v>#REF!</v>
      </c>
      <c r="Y4" s="27" t="e">
        <f t="shared" ref="Y4:Y35" si="17">+W4/X4</f>
        <v>#REF!</v>
      </c>
    </row>
    <row r="5" spans="1:25" ht="16.5" customHeight="1" x14ac:dyDescent="0.25">
      <c r="A5" s="16" t="s">
        <v>12</v>
      </c>
      <c r="B5" s="17" t="s">
        <v>13</v>
      </c>
      <c r="C5" s="25">
        <f t="shared" si="0"/>
        <v>2470</v>
      </c>
      <c r="D5" s="25" t="e">
        <f t="shared" si="1"/>
        <v>#REF!</v>
      </c>
      <c r="E5" s="27" t="e">
        <f t="shared" si="2"/>
        <v>#REF!</v>
      </c>
      <c r="F5" s="27"/>
      <c r="G5" s="25">
        <f t="shared" si="3"/>
        <v>830</v>
      </c>
      <c r="H5" s="25" t="e">
        <f t="shared" si="4"/>
        <v>#REF!</v>
      </c>
      <c r="I5" s="27" t="e">
        <f t="shared" si="5"/>
        <v>#REF!</v>
      </c>
      <c r="J5" s="27"/>
      <c r="K5" s="25">
        <f t="shared" si="6"/>
        <v>125</v>
      </c>
      <c r="L5" s="25" t="e">
        <f t="shared" si="7"/>
        <v>#REF!</v>
      </c>
      <c r="M5" s="27" t="e">
        <f t="shared" si="8"/>
        <v>#REF!</v>
      </c>
      <c r="N5" s="39"/>
      <c r="O5" s="36" t="str">
        <f t="shared" si="9"/>
        <v>Piedmont</v>
      </c>
      <c r="P5" s="26" t="e">
        <f t="shared" si="10"/>
        <v>#REF!</v>
      </c>
      <c r="Q5" s="27" t="e">
        <f t="shared" si="11"/>
        <v>#VALUE!</v>
      </c>
      <c r="R5" s="27"/>
      <c r="S5" s="26">
        <f t="shared" si="12"/>
        <v>4064</v>
      </c>
      <c r="T5" s="26" t="e">
        <f t="shared" si="13"/>
        <v>#REF!</v>
      </c>
      <c r="U5" s="27" t="e">
        <f t="shared" si="14"/>
        <v>#REF!</v>
      </c>
      <c r="V5" s="27"/>
      <c r="W5" s="26">
        <f t="shared" si="15"/>
        <v>5320</v>
      </c>
      <c r="X5" s="26" t="e">
        <f t="shared" si="16"/>
        <v>#REF!</v>
      </c>
      <c r="Y5" s="27" t="e">
        <f t="shared" si="17"/>
        <v>#REF!</v>
      </c>
    </row>
    <row r="6" spans="1:25" ht="16.5" customHeight="1" x14ac:dyDescent="0.25">
      <c r="A6" s="16" t="s">
        <v>16</v>
      </c>
      <c r="B6" s="17" t="s">
        <v>297</v>
      </c>
      <c r="C6" s="25">
        <f t="shared" si="0"/>
        <v>494</v>
      </c>
      <c r="D6" s="25" t="e">
        <f t="shared" si="1"/>
        <v>#REF!</v>
      </c>
      <c r="E6" s="27" t="e">
        <f t="shared" si="2"/>
        <v>#REF!</v>
      </c>
      <c r="F6" s="27"/>
      <c r="G6" s="25">
        <f t="shared" si="3"/>
        <v>231</v>
      </c>
      <c r="H6" s="25" t="e">
        <f t="shared" si="4"/>
        <v>#REF!</v>
      </c>
      <c r="I6" s="27" t="e">
        <f t="shared" si="5"/>
        <v>#REF!</v>
      </c>
      <c r="J6" s="27"/>
      <c r="K6" s="25">
        <f t="shared" si="6"/>
        <v>215</v>
      </c>
      <c r="L6" s="25" t="e">
        <f t="shared" si="7"/>
        <v>#REF!</v>
      </c>
      <c r="M6" s="27" t="e">
        <f t="shared" si="8"/>
        <v>#REF!</v>
      </c>
      <c r="N6" s="39"/>
      <c r="O6" s="36" t="str">
        <f t="shared" si="9"/>
        <v>Piedmont</v>
      </c>
      <c r="P6" s="26" t="e">
        <f t="shared" si="10"/>
        <v>#REF!</v>
      </c>
      <c r="Q6" s="27" t="e">
        <f t="shared" si="11"/>
        <v>#VALUE!</v>
      </c>
      <c r="R6" s="27"/>
      <c r="S6" s="26">
        <f t="shared" si="12"/>
        <v>1896</v>
      </c>
      <c r="T6" s="26" t="e">
        <f t="shared" si="13"/>
        <v>#REF!</v>
      </c>
      <c r="U6" s="27" t="e">
        <f t="shared" si="14"/>
        <v>#REF!</v>
      </c>
      <c r="V6" s="27"/>
      <c r="W6" s="26">
        <f t="shared" si="15"/>
        <v>2832</v>
      </c>
      <c r="X6" s="26" t="e">
        <f t="shared" si="16"/>
        <v>#REF!</v>
      </c>
      <c r="Y6" s="27" t="e">
        <f t="shared" si="17"/>
        <v>#REF!</v>
      </c>
    </row>
    <row r="7" spans="1:25" ht="16.5" customHeight="1" x14ac:dyDescent="0.25">
      <c r="A7" s="16" t="s">
        <v>18</v>
      </c>
      <c r="B7" s="17" t="s">
        <v>19</v>
      </c>
      <c r="C7" s="25">
        <f t="shared" si="0"/>
        <v>891</v>
      </c>
      <c r="D7" s="25" t="e">
        <f t="shared" si="1"/>
        <v>#REF!</v>
      </c>
      <c r="E7" s="27" t="e">
        <f t="shared" si="2"/>
        <v>#REF!</v>
      </c>
      <c r="F7" s="27"/>
      <c r="G7" s="25">
        <f t="shared" si="3"/>
        <v>99</v>
      </c>
      <c r="H7" s="25" t="e">
        <f t="shared" si="4"/>
        <v>#REF!</v>
      </c>
      <c r="I7" s="27" t="e">
        <f t="shared" si="5"/>
        <v>#REF!</v>
      </c>
      <c r="J7" s="27"/>
      <c r="K7" s="25">
        <f t="shared" si="6"/>
        <v>22</v>
      </c>
      <c r="L7" s="25" t="e">
        <f t="shared" si="7"/>
        <v>#REF!</v>
      </c>
      <c r="M7" s="27" t="e">
        <f t="shared" si="8"/>
        <v>#REF!</v>
      </c>
      <c r="N7" s="39"/>
      <c r="O7" s="36" t="str">
        <f t="shared" si="9"/>
        <v>Central</v>
      </c>
      <c r="P7" s="26" t="e">
        <f t="shared" si="10"/>
        <v>#REF!</v>
      </c>
      <c r="Q7" s="27" t="e">
        <f t="shared" si="11"/>
        <v>#VALUE!</v>
      </c>
      <c r="R7" s="27"/>
      <c r="S7" s="26">
        <f t="shared" si="12"/>
        <v>947</v>
      </c>
      <c r="T7" s="26" t="e">
        <f t="shared" si="13"/>
        <v>#REF!</v>
      </c>
      <c r="U7" s="27" t="e">
        <f t="shared" si="14"/>
        <v>#REF!</v>
      </c>
      <c r="V7" s="27"/>
      <c r="W7" s="26">
        <f t="shared" si="15"/>
        <v>1445</v>
      </c>
      <c r="X7" s="26" t="e">
        <f t="shared" si="16"/>
        <v>#REF!</v>
      </c>
      <c r="Y7" s="27" t="e">
        <f t="shared" si="17"/>
        <v>#REF!</v>
      </c>
    </row>
    <row r="8" spans="1:25" ht="16.5" customHeight="1" x14ac:dyDescent="0.25">
      <c r="A8" s="16" t="s">
        <v>20</v>
      </c>
      <c r="B8" s="17" t="s">
        <v>21</v>
      </c>
      <c r="C8" s="25">
        <f t="shared" si="0"/>
        <v>1357</v>
      </c>
      <c r="D8" s="25" t="e">
        <f t="shared" si="1"/>
        <v>#REF!</v>
      </c>
      <c r="E8" s="27" t="e">
        <f t="shared" si="2"/>
        <v>#REF!</v>
      </c>
      <c r="F8" s="27"/>
      <c r="G8" s="25">
        <f t="shared" si="3"/>
        <v>218</v>
      </c>
      <c r="H8" s="25" t="e">
        <f t="shared" si="4"/>
        <v>#REF!</v>
      </c>
      <c r="I8" s="27" t="e">
        <f t="shared" si="5"/>
        <v>#REF!</v>
      </c>
      <c r="J8" s="27"/>
      <c r="K8" s="25">
        <f t="shared" si="6"/>
        <v>115</v>
      </c>
      <c r="L8" s="25" t="e">
        <f t="shared" si="7"/>
        <v>#REF!</v>
      </c>
      <c r="M8" s="27" t="e">
        <f t="shared" si="8"/>
        <v>#REF!</v>
      </c>
      <c r="N8" s="39"/>
      <c r="O8" s="36" t="str">
        <f t="shared" si="9"/>
        <v>Piedmont</v>
      </c>
      <c r="P8" s="26" t="e">
        <f t="shared" si="10"/>
        <v>#REF!</v>
      </c>
      <c r="Q8" s="27" t="e">
        <f t="shared" si="11"/>
        <v>#VALUE!</v>
      </c>
      <c r="R8" s="27"/>
      <c r="S8" s="26">
        <f t="shared" si="12"/>
        <v>2181</v>
      </c>
      <c r="T8" s="26" t="e">
        <f t="shared" si="13"/>
        <v>#REF!</v>
      </c>
      <c r="U8" s="27" t="e">
        <f t="shared" si="14"/>
        <v>#REF!</v>
      </c>
      <c r="V8" s="27"/>
      <c r="W8" s="26">
        <f t="shared" si="15"/>
        <v>2824</v>
      </c>
      <c r="X8" s="26" t="e">
        <f t="shared" si="16"/>
        <v>#REF!</v>
      </c>
      <c r="Y8" s="27" t="e">
        <f t="shared" si="17"/>
        <v>#REF!</v>
      </c>
    </row>
    <row r="9" spans="1:25" ht="16.5" customHeight="1" x14ac:dyDescent="0.25">
      <c r="A9" s="16" t="s">
        <v>22</v>
      </c>
      <c r="B9" s="17" t="s">
        <v>23</v>
      </c>
      <c r="C9" s="25">
        <f t="shared" si="0"/>
        <v>1247</v>
      </c>
      <c r="D9" s="25" t="e">
        <f t="shared" si="1"/>
        <v>#REF!</v>
      </c>
      <c r="E9" s="27" t="e">
        <f t="shared" si="2"/>
        <v>#REF!</v>
      </c>
      <c r="F9" s="27"/>
      <c r="G9" s="25">
        <f t="shared" si="3"/>
        <v>88</v>
      </c>
      <c r="H9" s="25" t="e">
        <f t="shared" si="4"/>
        <v>#REF!</v>
      </c>
      <c r="I9" s="27" t="e">
        <f t="shared" si="5"/>
        <v>#REF!</v>
      </c>
      <c r="J9" s="27"/>
      <c r="K9" s="25">
        <f t="shared" si="6"/>
        <v>69</v>
      </c>
      <c r="L9" s="25" t="e">
        <f t="shared" si="7"/>
        <v>#REF!</v>
      </c>
      <c r="M9" s="27" t="e">
        <f t="shared" si="8"/>
        <v>#REF!</v>
      </c>
      <c r="N9" s="39"/>
      <c r="O9" s="36" t="str">
        <f t="shared" si="9"/>
        <v>Piedmont</v>
      </c>
      <c r="P9" s="26" t="e">
        <f t="shared" si="10"/>
        <v>#REF!</v>
      </c>
      <c r="Q9" s="27" t="e">
        <f t="shared" si="11"/>
        <v>#VALUE!</v>
      </c>
      <c r="R9" s="27"/>
      <c r="S9" s="26">
        <f t="shared" si="12"/>
        <v>1312</v>
      </c>
      <c r="T9" s="26" t="e">
        <f t="shared" si="13"/>
        <v>#REF!</v>
      </c>
      <c r="U9" s="27" t="e">
        <f t="shared" si="14"/>
        <v>#REF!</v>
      </c>
      <c r="V9" s="27"/>
      <c r="W9" s="26">
        <f t="shared" si="15"/>
        <v>1971</v>
      </c>
      <c r="X9" s="26" t="e">
        <f t="shared" si="16"/>
        <v>#REF!</v>
      </c>
      <c r="Y9" s="27" t="e">
        <f t="shared" si="17"/>
        <v>#REF!</v>
      </c>
    </row>
    <row r="10" spans="1:25" ht="16.5" customHeight="1" x14ac:dyDescent="0.25">
      <c r="A10" s="16" t="s">
        <v>24</v>
      </c>
      <c r="B10" s="17" t="s">
        <v>25</v>
      </c>
      <c r="C10" s="25">
        <f t="shared" si="0"/>
        <v>3519</v>
      </c>
      <c r="D10" s="25" t="e">
        <f t="shared" si="1"/>
        <v>#REF!</v>
      </c>
      <c r="E10" s="27" t="e">
        <f t="shared" si="2"/>
        <v>#REF!</v>
      </c>
      <c r="F10" s="27"/>
      <c r="G10" s="25">
        <f t="shared" si="3"/>
        <v>1615</v>
      </c>
      <c r="H10" s="25" t="e">
        <f t="shared" si="4"/>
        <v>#REF!</v>
      </c>
      <c r="I10" s="27" t="e">
        <f t="shared" si="5"/>
        <v>#REF!</v>
      </c>
      <c r="J10" s="27"/>
      <c r="K10" s="25">
        <f t="shared" si="6"/>
        <v>45</v>
      </c>
      <c r="L10" s="25" t="e">
        <f t="shared" si="7"/>
        <v>#REF!</v>
      </c>
      <c r="M10" s="27" t="e">
        <f t="shared" si="8"/>
        <v>#REF!</v>
      </c>
      <c r="N10" s="39"/>
      <c r="O10" s="36" t="str">
        <f t="shared" si="9"/>
        <v>Northern</v>
      </c>
      <c r="P10" s="26" t="e">
        <f t="shared" si="10"/>
        <v>#REF!</v>
      </c>
      <c r="Q10" s="27" t="e">
        <f t="shared" si="11"/>
        <v>#VALUE!</v>
      </c>
      <c r="R10" s="27"/>
      <c r="S10" s="26">
        <f t="shared" si="12"/>
        <v>5145</v>
      </c>
      <c r="T10" s="26" t="e">
        <f t="shared" si="13"/>
        <v>#REF!</v>
      </c>
      <c r="U10" s="27" t="e">
        <f t="shared" si="14"/>
        <v>#REF!</v>
      </c>
      <c r="V10" s="27"/>
      <c r="W10" s="26">
        <f t="shared" si="15"/>
        <v>6674</v>
      </c>
      <c r="X10" s="26" t="e">
        <f t="shared" si="16"/>
        <v>#REF!</v>
      </c>
      <c r="Y10" s="27" t="e">
        <f t="shared" si="17"/>
        <v>#REF!</v>
      </c>
    </row>
    <row r="11" spans="1:25" ht="16.5" customHeight="1" x14ac:dyDescent="0.25">
      <c r="A11" s="16" t="s">
        <v>26</v>
      </c>
      <c r="B11" s="17" t="s">
        <v>298</v>
      </c>
      <c r="C11" s="25">
        <f t="shared" si="0"/>
        <v>3058</v>
      </c>
      <c r="D11" s="25" t="e">
        <f t="shared" si="1"/>
        <v>#REF!</v>
      </c>
      <c r="E11" s="27" t="e">
        <f t="shared" si="2"/>
        <v>#REF!</v>
      </c>
      <c r="F11" s="27"/>
      <c r="G11" s="25">
        <f t="shared" si="3"/>
        <v>529</v>
      </c>
      <c r="H11" s="25" t="e">
        <f t="shared" si="4"/>
        <v>#REF!</v>
      </c>
      <c r="I11" s="27" t="e">
        <f t="shared" si="5"/>
        <v>#REF!</v>
      </c>
      <c r="J11" s="27"/>
      <c r="K11" s="25">
        <f t="shared" si="6"/>
        <v>113</v>
      </c>
      <c r="L11" s="25" t="e">
        <f t="shared" si="7"/>
        <v>#REF!</v>
      </c>
      <c r="M11" s="27" t="e">
        <f t="shared" si="8"/>
        <v>#REF!</v>
      </c>
      <c r="N11" s="39"/>
      <c r="O11" s="36" t="str">
        <f t="shared" si="9"/>
        <v>Piedmont</v>
      </c>
      <c r="P11" s="26" t="e">
        <f t="shared" si="10"/>
        <v>#REF!</v>
      </c>
      <c r="Q11" s="27" t="e">
        <f t="shared" si="11"/>
        <v>#VALUE!</v>
      </c>
      <c r="R11" s="27"/>
      <c r="S11" s="26">
        <f t="shared" si="12"/>
        <v>8097</v>
      </c>
      <c r="T11" s="26" t="e">
        <f t="shared" si="13"/>
        <v>#REF!</v>
      </c>
      <c r="U11" s="27" t="e">
        <f t="shared" si="14"/>
        <v>#REF!</v>
      </c>
      <c r="V11" s="27"/>
      <c r="W11" s="26">
        <f t="shared" si="15"/>
        <v>11445</v>
      </c>
      <c r="X11" s="26" t="e">
        <f t="shared" si="16"/>
        <v>#REF!</v>
      </c>
      <c r="Y11" s="27" t="e">
        <f t="shared" si="17"/>
        <v>#REF!</v>
      </c>
    </row>
    <row r="12" spans="1:25" ht="16.5" customHeight="1" x14ac:dyDescent="0.25">
      <c r="A12" s="16" t="s">
        <v>27</v>
      </c>
      <c r="B12" s="17" t="s">
        <v>28</v>
      </c>
      <c r="C12" s="25">
        <f t="shared" si="0"/>
        <v>26</v>
      </c>
      <c r="D12" s="25" t="e">
        <f t="shared" si="1"/>
        <v>#REF!</v>
      </c>
      <c r="E12" s="27" t="e">
        <f t="shared" si="2"/>
        <v>#REF!</v>
      </c>
      <c r="F12" s="27"/>
      <c r="G12" s="25">
        <f t="shared" si="3"/>
        <v>21</v>
      </c>
      <c r="H12" s="25" t="e">
        <f t="shared" si="4"/>
        <v>#REF!</v>
      </c>
      <c r="I12" s="27" t="e">
        <f t="shared" si="5"/>
        <v>#REF!</v>
      </c>
      <c r="J12" s="27"/>
      <c r="K12" s="25">
        <f t="shared" si="6"/>
        <v>19</v>
      </c>
      <c r="L12" s="25" t="e">
        <f t="shared" si="7"/>
        <v>#REF!</v>
      </c>
      <c r="M12" s="27" t="e">
        <f t="shared" si="8"/>
        <v>#REF!</v>
      </c>
      <c r="N12" s="39"/>
      <c r="O12" s="36" t="str">
        <f t="shared" si="9"/>
        <v>Piedmont</v>
      </c>
      <c r="P12" s="26" t="e">
        <f t="shared" si="10"/>
        <v>#REF!</v>
      </c>
      <c r="Q12" s="27" t="e">
        <f t="shared" si="11"/>
        <v>#VALUE!</v>
      </c>
      <c r="R12" s="27"/>
      <c r="S12" s="26">
        <f t="shared" si="12"/>
        <v>223</v>
      </c>
      <c r="T12" s="26" t="e">
        <f t="shared" si="13"/>
        <v>#REF!</v>
      </c>
      <c r="U12" s="27" t="e">
        <f t="shared" si="14"/>
        <v>#REF!</v>
      </c>
      <c r="V12" s="27"/>
      <c r="W12" s="26">
        <f t="shared" si="15"/>
        <v>301</v>
      </c>
      <c r="X12" s="26" t="e">
        <f t="shared" si="16"/>
        <v>#REF!</v>
      </c>
      <c r="Y12" s="27" t="e">
        <f t="shared" si="17"/>
        <v>#REF!</v>
      </c>
    </row>
    <row r="13" spans="1:25" ht="16.5" customHeight="1" x14ac:dyDescent="0.25">
      <c r="A13" s="16" t="s">
        <v>29</v>
      </c>
      <c r="B13" s="17" t="s">
        <v>307</v>
      </c>
      <c r="C13" s="25">
        <f t="shared" si="0"/>
        <v>1368</v>
      </c>
      <c r="D13" s="25" t="e">
        <f t="shared" si="1"/>
        <v>#REF!</v>
      </c>
      <c r="E13" s="27" t="e">
        <f t="shared" si="2"/>
        <v>#REF!</v>
      </c>
      <c r="F13" s="27"/>
      <c r="G13" s="25">
        <f t="shared" si="3"/>
        <v>232</v>
      </c>
      <c r="H13" s="25" t="e">
        <f t="shared" si="4"/>
        <v>#REF!</v>
      </c>
      <c r="I13" s="27" t="e">
        <f t="shared" si="5"/>
        <v>#REF!</v>
      </c>
      <c r="J13" s="27"/>
      <c r="K13" s="25">
        <f t="shared" si="6"/>
        <v>131</v>
      </c>
      <c r="L13" s="25" t="e">
        <f t="shared" si="7"/>
        <v>#REF!</v>
      </c>
      <c r="M13" s="27" t="e">
        <f t="shared" si="8"/>
        <v>#REF!</v>
      </c>
      <c r="N13" s="39"/>
      <c r="O13" s="36" t="str">
        <f t="shared" si="9"/>
        <v>Piedmont</v>
      </c>
      <c r="P13" s="26" t="e">
        <f t="shared" si="10"/>
        <v>#REF!</v>
      </c>
      <c r="Q13" s="27" t="e">
        <f t="shared" si="11"/>
        <v>#VALUE!</v>
      </c>
      <c r="R13" s="27"/>
      <c r="S13" s="26">
        <f t="shared" si="12"/>
        <v>3787</v>
      </c>
      <c r="T13" s="26" t="e">
        <f t="shared" si="13"/>
        <v>#REF!</v>
      </c>
      <c r="U13" s="27" t="e">
        <f t="shared" si="14"/>
        <v>#REF!</v>
      </c>
      <c r="V13" s="27"/>
      <c r="W13" s="26">
        <f t="shared" si="15"/>
        <v>5325</v>
      </c>
      <c r="X13" s="26" t="e">
        <f t="shared" si="16"/>
        <v>#REF!</v>
      </c>
      <c r="Y13" s="27" t="e">
        <f t="shared" si="17"/>
        <v>#REF!</v>
      </c>
    </row>
    <row r="14" spans="1:25" ht="16.5" customHeight="1" x14ac:dyDescent="0.25">
      <c r="A14" s="16" t="s">
        <v>30</v>
      </c>
      <c r="B14" s="32" t="s">
        <v>31</v>
      </c>
      <c r="C14" s="25">
        <f t="shared" si="0"/>
        <v>21</v>
      </c>
      <c r="D14" s="25" t="e">
        <f t="shared" si="1"/>
        <v>#REF!</v>
      </c>
      <c r="E14" s="27" t="e">
        <f t="shared" si="2"/>
        <v>#REF!</v>
      </c>
      <c r="F14" s="27"/>
      <c r="G14" s="25">
        <f t="shared" si="3"/>
        <v>7</v>
      </c>
      <c r="H14" s="25" t="e">
        <f t="shared" si="4"/>
        <v>#REF!</v>
      </c>
      <c r="I14" s="27" t="e">
        <f t="shared" si="5"/>
        <v>#REF!</v>
      </c>
      <c r="J14" s="27"/>
      <c r="K14" s="25">
        <f t="shared" si="6"/>
        <v>1</v>
      </c>
      <c r="L14" s="25" t="e">
        <f t="shared" si="7"/>
        <v>#REF!</v>
      </c>
      <c r="M14" s="27" t="e">
        <f t="shared" si="8"/>
        <v>#REF!</v>
      </c>
      <c r="N14" s="39"/>
      <c r="O14" s="36" t="str">
        <f t="shared" si="9"/>
        <v>Western</v>
      </c>
      <c r="P14" s="26" t="e">
        <f t="shared" si="10"/>
        <v>#REF!</v>
      </c>
      <c r="Q14" s="27" t="e">
        <f t="shared" si="11"/>
        <v>#VALUE!</v>
      </c>
      <c r="R14" s="27"/>
      <c r="S14" s="26">
        <f t="shared" si="12"/>
        <v>275</v>
      </c>
      <c r="T14" s="26" t="e">
        <f t="shared" si="13"/>
        <v>#REF!</v>
      </c>
      <c r="U14" s="27" t="e">
        <f t="shared" si="14"/>
        <v>#REF!</v>
      </c>
      <c r="V14" s="27"/>
      <c r="W14" s="26">
        <f t="shared" si="15"/>
        <v>487</v>
      </c>
      <c r="X14" s="26" t="e">
        <f t="shared" si="16"/>
        <v>#REF!</v>
      </c>
      <c r="Y14" s="27" t="e">
        <f t="shared" si="17"/>
        <v>#REF!</v>
      </c>
    </row>
    <row r="15" spans="1:25" ht="16.5" customHeight="1" x14ac:dyDescent="0.25">
      <c r="A15" s="16" t="s">
        <v>32</v>
      </c>
      <c r="B15" s="17" t="s">
        <v>33</v>
      </c>
      <c r="C15" s="25">
        <f t="shared" si="0"/>
        <v>110</v>
      </c>
      <c r="D15" s="25" t="e">
        <f t="shared" si="1"/>
        <v>#REF!</v>
      </c>
      <c r="E15" s="27" t="e">
        <f t="shared" si="2"/>
        <v>#REF!</v>
      </c>
      <c r="F15" s="27"/>
      <c r="G15" s="25">
        <f t="shared" si="3"/>
        <v>143</v>
      </c>
      <c r="H15" s="25" t="e">
        <f t="shared" si="4"/>
        <v>#REF!</v>
      </c>
      <c r="I15" s="27" t="e">
        <f t="shared" si="5"/>
        <v>#REF!</v>
      </c>
      <c r="J15" s="27"/>
      <c r="K15" s="25">
        <f t="shared" si="6"/>
        <v>42</v>
      </c>
      <c r="L15" s="25" t="e">
        <f t="shared" si="7"/>
        <v>#REF!</v>
      </c>
      <c r="M15" s="27" t="e">
        <f t="shared" si="8"/>
        <v>#REF!</v>
      </c>
      <c r="N15" s="39"/>
      <c r="O15" s="36" t="str">
        <f t="shared" si="9"/>
        <v>Piedmont</v>
      </c>
      <c r="P15" s="26" t="e">
        <f t="shared" si="10"/>
        <v>#REF!</v>
      </c>
      <c r="Q15" s="27" t="e">
        <f t="shared" si="11"/>
        <v>#VALUE!</v>
      </c>
      <c r="R15" s="27"/>
      <c r="S15" s="26">
        <f t="shared" si="12"/>
        <v>1143</v>
      </c>
      <c r="T15" s="26" t="e">
        <f t="shared" si="13"/>
        <v>#REF!</v>
      </c>
      <c r="U15" s="27" t="e">
        <f t="shared" si="14"/>
        <v>#REF!</v>
      </c>
      <c r="V15" s="27"/>
      <c r="W15" s="26">
        <f t="shared" si="15"/>
        <v>1473</v>
      </c>
      <c r="X15" s="26" t="e">
        <f t="shared" si="16"/>
        <v>#REF!</v>
      </c>
      <c r="Y15" s="27" t="e">
        <f t="shared" si="17"/>
        <v>#REF!</v>
      </c>
    </row>
    <row r="16" spans="1:25" ht="16.5" customHeight="1" x14ac:dyDescent="0.25">
      <c r="A16" s="16" t="s">
        <v>36</v>
      </c>
      <c r="B16" s="17" t="s">
        <v>37</v>
      </c>
      <c r="C16" s="25">
        <f t="shared" si="0"/>
        <v>3459</v>
      </c>
      <c r="D16" s="25" t="e">
        <f t="shared" si="1"/>
        <v>#REF!</v>
      </c>
      <c r="E16" s="27" t="e">
        <f t="shared" si="2"/>
        <v>#REF!</v>
      </c>
      <c r="F16" s="27"/>
      <c r="G16" s="25">
        <f t="shared" si="3"/>
        <v>91</v>
      </c>
      <c r="H16" s="25" t="e">
        <f t="shared" si="4"/>
        <v>#REF!</v>
      </c>
      <c r="I16" s="27" t="e">
        <f t="shared" si="5"/>
        <v>#REF!</v>
      </c>
      <c r="J16" s="27"/>
      <c r="K16" s="25">
        <f t="shared" si="6"/>
        <v>35</v>
      </c>
      <c r="L16" s="25" t="e">
        <f t="shared" si="7"/>
        <v>#REF!</v>
      </c>
      <c r="M16" s="27" t="e">
        <f t="shared" si="8"/>
        <v>#REF!</v>
      </c>
      <c r="N16" s="39"/>
      <c r="O16" s="36" t="str">
        <f t="shared" si="9"/>
        <v>Eastern</v>
      </c>
      <c r="P16" s="26" t="e">
        <f t="shared" si="10"/>
        <v>#REF!</v>
      </c>
      <c r="Q16" s="27" t="e">
        <f t="shared" si="11"/>
        <v>#VALUE!</v>
      </c>
      <c r="R16" s="27"/>
      <c r="S16" s="26">
        <f t="shared" si="12"/>
        <v>1719</v>
      </c>
      <c r="T16" s="26" t="e">
        <f t="shared" si="13"/>
        <v>#REF!</v>
      </c>
      <c r="U16" s="27" t="e">
        <f t="shared" si="14"/>
        <v>#REF!</v>
      </c>
      <c r="V16" s="27"/>
      <c r="W16" s="26">
        <f t="shared" si="15"/>
        <v>2630</v>
      </c>
      <c r="X16" s="26" t="e">
        <f t="shared" si="16"/>
        <v>#REF!</v>
      </c>
      <c r="Y16" s="27" t="e">
        <f t="shared" si="17"/>
        <v>#REF!</v>
      </c>
    </row>
    <row r="17" spans="1:25" ht="16.5" customHeight="1" x14ac:dyDescent="0.25">
      <c r="A17" s="16" t="s">
        <v>38</v>
      </c>
      <c r="B17" s="32" t="s">
        <v>39</v>
      </c>
      <c r="C17" s="25">
        <f t="shared" si="0"/>
        <v>20</v>
      </c>
      <c r="D17" s="25" t="e">
        <f t="shared" si="1"/>
        <v>#REF!</v>
      </c>
      <c r="E17" s="27" t="e">
        <f t="shared" si="2"/>
        <v>#REF!</v>
      </c>
      <c r="F17" s="27"/>
      <c r="G17" s="25">
        <f t="shared" si="3"/>
        <v>17</v>
      </c>
      <c r="H17" s="25" t="e">
        <f t="shared" si="4"/>
        <v>#REF!</v>
      </c>
      <c r="I17" s="27" t="e">
        <f t="shared" si="5"/>
        <v>#REF!</v>
      </c>
      <c r="J17" s="27"/>
      <c r="K17" s="25">
        <f t="shared" si="6"/>
        <v>10</v>
      </c>
      <c r="L17" s="25" t="e">
        <f t="shared" si="7"/>
        <v>#REF!</v>
      </c>
      <c r="M17" s="27" t="e">
        <f t="shared" si="8"/>
        <v>#REF!</v>
      </c>
      <c r="N17" s="39"/>
      <c r="O17" s="36" t="str">
        <f t="shared" si="9"/>
        <v>Western</v>
      </c>
      <c r="P17" s="26" t="e">
        <f t="shared" si="10"/>
        <v>#REF!</v>
      </c>
      <c r="Q17" s="27" t="e">
        <f t="shared" si="11"/>
        <v>#VALUE!</v>
      </c>
      <c r="R17" s="27"/>
      <c r="S17" s="26">
        <f t="shared" si="12"/>
        <v>2005</v>
      </c>
      <c r="T17" s="26" t="e">
        <f t="shared" si="13"/>
        <v>#REF!</v>
      </c>
      <c r="U17" s="27" t="e">
        <f t="shared" si="14"/>
        <v>#REF!</v>
      </c>
      <c r="V17" s="27"/>
      <c r="W17" s="26">
        <f t="shared" si="15"/>
        <v>3964</v>
      </c>
      <c r="X17" s="26" t="e">
        <f t="shared" si="16"/>
        <v>#REF!</v>
      </c>
      <c r="Y17" s="27" t="e">
        <f t="shared" si="17"/>
        <v>#REF!</v>
      </c>
    </row>
    <row r="18" spans="1:25" ht="16.5" customHeight="1" x14ac:dyDescent="0.25">
      <c r="A18" s="16" t="s">
        <v>40</v>
      </c>
      <c r="B18" s="32" t="s">
        <v>41</v>
      </c>
      <c r="C18" s="25">
        <f t="shared" si="0"/>
        <v>1871</v>
      </c>
      <c r="D18" s="25" t="e">
        <f t="shared" si="1"/>
        <v>#REF!</v>
      </c>
      <c r="E18" s="27" t="e">
        <f t="shared" si="2"/>
        <v>#REF!</v>
      </c>
      <c r="F18" s="27"/>
      <c r="G18" s="25">
        <f t="shared" si="3"/>
        <v>132</v>
      </c>
      <c r="H18" s="25" t="e">
        <f t="shared" si="4"/>
        <v>#REF!</v>
      </c>
      <c r="I18" s="27" t="e">
        <f t="shared" si="5"/>
        <v>#REF!</v>
      </c>
      <c r="J18" s="27"/>
      <c r="K18" s="25">
        <f t="shared" si="6"/>
        <v>90</v>
      </c>
      <c r="L18" s="25" t="e">
        <f t="shared" si="7"/>
        <v>#REF!</v>
      </c>
      <c r="M18" s="27" t="e">
        <f t="shared" si="8"/>
        <v>#REF!</v>
      </c>
      <c r="N18" s="39"/>
      <c r="O18" s="36" t="str">
        <f t="shared" si="9"/>
        <v>Central</v>
      </c>
      <c r="P18" s="26" t="e">
        <f t="shared" si="10"/>
        <v>#REF!</v>
      </c>
      <c r="Q18" s="27" t="e">
        <f t="shared" si="11"/>
        <v>#VALUE!</v>
      </c>
      <c r="R18" s="27"/>
      <c r="S18" s="26">
        <f t="shared" si="12"/>
        <v>1565</v>
      </c>
      <c r="T18" s="26" t="e">
        <f t="shared" si="13"/>
        <v>#REF!</v>
      </c>
      <c r="U18" s="27" t="e">
        <f t="shared" si="14"/>
        <v>#REF!</v>
      </c>
      <c r="V18" s="27"/>
      <c r="W18" s="26">
        <f t="shared" si="15"/>
        <v>2469</v>
      </c>
      <c r="X18" s="26" t="e">
        <f t="shared" si="16"/>
        <v>#REF!</v>
      </c>
      <c r="Y18" s="27" t="e">
        <f t="shared" si="17"/>
        <v>#REF!</v>
      </c>
    </row>
    <row r="19" spans="1:25" ht="16.5" customHeight="1" x14ac:dyDescent="0.25">
      <c r="A19" s="16" t="s">
        <v>42</v>
      </c>
      <c r="B19" s="17" t="s">
        <v>43</v>
      </c>
      <c r="C19" s="25">
        <f t="shared" si="0"/>
        <v>2657</v>
      </c>
      <c r="D19" s="25" t="e">
        <f t="shared" si="1"/>
        <v>#REF!</v>
      </c>
      <c r="E19" s="27" t="e">
        <f t="shared" si="2"/>
        <v>#REF!</v>
      </c>
      <c r="F19" s="27"/>
      <c r="G19" s="25">
        <f t="shared" si="3"/>
        <v>244</v>
      </c>
      <c r="H19" s="25" t="e">
        <f t="shared" si="4"/>
        <v>#REF!</v>
      </c>
      <c r="I19" s="27" t="e">
        <f t="shared" si="5"/>
        <v>#REF!</v>
      </c>
      <c r="J19" s="27"/>
      <c r="K19" s="25">
        <f t="shared" si="6"/>
        <v>115</v>
      </c>
      <c r="L19" s="25" t="e">
        <f t="shared" si="7"/>
        <v>#REF!</v>
      </c>
      <c r="M19" s="27" t="e">
        <f t="shared" si="8"/>
        <v>#REF!</v>
      </c>
      <c r="N19" s="39"/>
      <c r="O19" s="36" t="str">
        <f t="shared" si="9"/>
        <v>Piedmont</v>
      </c>
      <c r="P19" s="26" t="e">
        <f t="shared" si="10"/>
        <v>#REF!</v>
      </c>
      <c r="Q19" s="27" t="e">
        <f t="shared" si="11"/>
        <v>#VALUE!</v>
      </c>
      <c r="R19" s="27"/>
      <c r="S19" s="26">
        <f t="shared" si="12"/>
        <v>4135</v>
      </c>
      <c r="T19" s="26" t="e">
        <f t="shared" si="13"/>
        <v>#REF!</v>
      </c>
      <c r="U19" s="27" t="e">
        <f t="shared" si="14"/>
        <v>#REF!</v>
      </c>
      <c r="V19" s="27"/>
      <c r="W19" s="26">
        <f t="shared" si="15"/>
        <v>6163</v>
      </c>
      <c r="X19" s="26" t="e">
        <f t="shared" si="16"/>
        <v>#REF!</v>
      </c>
      <c r="Y19" s="27" t="e">
        <f t="shared" si="17"/>
        <v>#REF!</v>
      </c>
    </row>
    <row r="20" spans="1:25" ht="16.5" customHeight="1" x14ac:dyDescent="0.25">
      <c r="A20" s="16" t="s">
        <v>44</v>
      </c>
      <c r="B20" s="17" t="s">
        <v>45</v>
      </c>
      <c r="C20" s="25">
        <f t="shared" si="0"/>
        <v>2362</v>
      </c>
      <c r="D20" s="25" t="e">
        <f t="shared" si="1"/>
        <v>#REF!</v>
      </c>
      <c r="E20" s="27" t="e">
        <f t="shared" si="2"/>
        <v>#REF!</v>
      </c>
      <c r="F20" s="27"/>
      <c r="G20" s="25">
        <f t="shared" si="3"/>
        <v>230</v>
      </c>
      <c r="H20" s="25" t="e">
        <f t="shared" si="4"/>
        <v>#REF!</v>
      </c>
      <c r="I20" s="27" t="e">
        <f t="shared" si="5"/>
        <v>#REF!</v>
      </c>
      <c r="J20" s="27"/>
      <c r="K20" s="25">
        <f t="shared" si="6"/>
        <v>80</v>
      </c>
      <c r="L20" s="25" t="e">
        <f t="shared" si="7"/>
        <v>#REF!</v>
      </c>
      <c r="M20" s="27" t="e">
        <f t="shared" si="8"/>
        <v>#REF!</v>
      </c>
      <c r="N20" s="39"/>
      <c r="O20" s="36" t="str">
        <f t="shared" si="9"/>
        <v>Central</v>
      </c>
      <c r="P20" s="26" t="e">
        <f t="shared" si="10"/>
        <v>#REF!</v>
      </c>
      <c r="Q20" s="27" t="e">
        <f t="shared" si="11"/>
        <v>#VALUE!</v>
      </c>
      <c r="R20" s="27"/>
      <c r="S20" s="26">
        <f t="shared" si="12"/>
        <v>2863</v>
      </c>
      <c r="T20" s="26" t="e">
        <f t="shared" si="13"/>
        <v>#REF!</v>
      </c>
      <c r="U20" s="27" t="e">
        <f t="shared" si="14"/>
        <v>#REF!</v>
      </c>
      <c r="V20" s="27"/>
      <c r="W20" s="26">
        <f t="shared" si="15"/>
        <v>3709</v>
      </c>
      <c r="X20" s="26" t="e">
        <f t="shared" si="16"/>
        <v>#REF!</v>
      </c>
      <c r="Y20" s="27" t="e">
        <f t="shared" si="17"/>
        <v>#REF!</v>
      </c>
    </row>
    <row r="21" spans="1:25" ht="16.5" customHeight="1" x14ac:dyDescent="0.25">
      <c r="A21" s="16" t="s">
        <v>46</v>
      </c>
      <c r="B21" s="32" t="s">
        <v>47</v>
      </c>
      <c r="C21" s="25">
        <f t="shared" si="0"/>
        <v>104</v>
      </c>
      <c r="D21" s="25" t="e">
        <f t="shared" si="1"/>
        <v>#REF!</v>
      </c>
      <c r="E21" s="27" t="e">
        <f t="shared" si="2"/>
        <v>#REF!</v>
      </c>
      <c r="F21" s="27"/>
      <c r="G21" s="25">
        <f t="shared" si="3"/>
        <v>158</v>
      </c>
      <c r="H21" s="25" t="e">
        <f t="shared" si="4"/>
        <v>#REF!</v>
      </c>
      <c r="I21" s="27" t="e">
        <f t="shared" si="5"/>
        <v>#REF!</v>
      </c>
      <c r="J21" s="27"/>
      <c r="K21" s="25">
        <f t="shared" si="6"/>
        <v>3</v>
      </c>
      <c r="L21" s="25" t="e">
        <f t="shared" si="7"/>
        <v>#REF!</v>
      </c>
      <c r="M21" s="27" t="e">
        <f t="shared" si="8"/>
        <v>#REF!</v>
      </c>
      <c r="N21" s="39"/>
      <c r="O21" s="36" t="str">
        <f t="shared" si="9"/>
        <v>Western</v>
      </c>
      <c r="P21" s="26" t="e">
        <f t="shared" si="10"/>
        <v>#REF!</v>
      </c>
      <c r="Q21" s="27" t="e">
        <f t="shared" si="11"/>
        <v>#VALUE!</v>
      </c>
      <c r="R21" s="27"/>
      <c r="S21" s="26">
        <f t="shared" si="12"/>
        <v>2513</v>
      </c>
      <c r="T21" s="26" t="e">
        <f t="shared" si="13"/>
        <v>#REF!</v>
      </c>
      <c r="U21" s="27" t="e">
        <f t="shared" si="14"/>
        <v>#REF!</v>
      </c>
      <c r="V21" s="27"/>
      <c r="W21" s="26">
        <f t="shared" si="15"/>
        <v>4090</v>
      </c>
      <c r="X21" s="26" t="e">
        <f t="shared" si="16"/>
        <v>#REF!</v>
      </c>
      <c r="Y21" s="27" t="e">
        <f t="shared" si="17"/>
        <v>#REF!</v>
      </c>
    </row>
    <row r="22" spans="1:25" ht="16.5" customHeight="1" x14ac:dyDescent="0.25">
      <c r="A22" s="16" t="s">
        <v>48</v>
      </c>
      <c r="B22" s="17" t="s">
        <v>269</v>
      </c>
      <c r="C22" s="25">
        <f t="shared" si="0"/>
        <v>748</v>
      </c>
      <c r="D22" s="25" t="e">
        <f t="shared" si="1"/>
        <v>#REF!</v>
      </c>
      <c r="E22" s="27" t="e">
        <f t="shared" si="2"/>
        <v>#REF!</v>
      </c>
      <c r="F22" s="27"/>
      <c r="G22" s="25">
        <f t="shared" si="3"/>
        <v>49</v>
      </c>
      <c r="H22" s="25" t="e">
        <f t="shared" si="4"/>
        <v>#REF!</v>
      </c>
      <c r="I22" s="27" t="e">
        <f t="shared" si="5"/>
        <v>#REF!</v>
      </c>
      <c r="J22" s="27"/>
      <c r="K22" s="25">
        <f t="shared" si="6"/>
        <v>9</v>
      </c>
      <c r="L22" s="25" t="e">
        <f t="shared" si="7"/>
        <v>#REF!</v>
      </c>
      <c r="M22" s="27" t="e">
        <f t="shared" si="8"/>
        <v>#REF!</v>
      </c>
      <c r="N22" s="39"/>
      <c r="O22" s="36" t="str">
        <f t="shared" si="9"/>
        <v>Central</v>
      </c>
      <c r="P22" s="26" t="e">
        <f t="shared" si="10"/>
        <v>#REF!</v>
      </c>
      <c r="Q22" s="27" t="e">
        <f t="shared" si="11"/>
        <v>#VALUE!</v>
      </c>
      <c r="R22" s="27"/>
      <c r="S22" s="26">
        <f t="shared" si="12"/>
        <v>474</v>
      </c>
      <c r="T22" s="26" t="e">
        <f t="shared" si="13"/>
        <v>#REF!</v>
      </c>
      <c r="U22" s="27" t="e">
        <f t="shared" si="14"/>
        <v>#REF!</v>
      </c>
      <c r="V22" s="27"/>
      <c r="W22" s="26">
        <f t="shared" si="15"/>
        <v>812</v>
      </c>
      <c r="X22" s="26" t="e">
        <f t="shared" si="16"/>
        <v>#REF!</v>
      </c>
      <c r="Y22" s="27" t="e">
        <f t="shared" si="17"/>
        <v>#REF!</v>
      </c>
    </row>
    <row r="23" spans="1:25" ht="16.5" customHeight="1" x14ac:dyDescent="0.25">
      <c r="A23" s="16" t="s">
        <v>50</v>
      </c>
      <c r="B23" s="32" t="s">
        <v>51</v>
      </c>
      <c r="C23" s="25">
        <f t="shared" si="0"/>
        <v>1506</v>
      </c>
      <c r="D23" s="25" t="e">
        <f t="shared" si="1"/>
        <v>#REF!</v>
      </c>
      <c r="E23" s="27" t="e">
        <f t="shared" si="2"/>
        <v>#REF!</v>
      </c>
      <c r="F23" s="27"/>
      <c r="G23" s="25">
        <f t="shared" si="3"/>
        <v>90</v>
      </c>
      <c r="H23" s="25" t="e">
        <f t="shared" si="4"/>
        <v>#REF!</v>
      </c>
      <c r="I23" s="27" t="e">
        <f t="shared" si="5"/>
        <v>#REF!</v>
      </c>
      <c r="J23" s="27"/>
      <c r="K23" s="25">
        <f t="shared" si="6"/>
        <v>57</v>
      </c>
      <c r="L23" s="25" t="e">
        <f t="shared" si="7"/>
        <v>#REF!</v>
      </c>
      <c r="M23" s="27" t="e">
        <f t="shared" si="8"/>
        <v>#REF!</v>
      </c>
      <c r="N23" s="39"/>
      <c r="O23" s="36" t="str">
        <f t="shared" si="9"/>
        <v>Piedmont</v>
      </c>
      <c r="P23" s="26" t="e">
        <f t="shared" si="10"/>
        <v>#REF!</v>
      </c>
      <c r="Q23" s="27" t="e">
        <f t="shared" si="11"/>
        <v>#VALUE!</v>
      </c>
      <c r="R23" s="27"/>
      <c r="S23" s="26">
        <f t="shared" si="12"/>
        <v>1167</v>
      </c>
      <c r="T23" s="26" t="e">
        <f t="shared" si="13"/>
        <v>#REF!</v>
      </c>
      <c r="U23" s="27" t="e">
        <f t="shared" si="14"/>
        <v>#REF!</v>
      </c>
      <c r="V23" s="27"/>
      <c r="W23" s="26">
        <f t="shared" si="15"/>
        <v>1672</v>
      </c>
      <c r="X23" s="26" t="e">
        <f t="shared" si="16"/>
        <v>#REF!</v>
      </c>
      <c r="Y23" s="27" t="e">
        <f t="shared" si="17"/>
        <v>#REF!</v>
      </c>
    </row>
    <row r="24" spans="1:25" ht="16.5" customHeight="1" x14ac:dyDescent="0.25">
      <c r="A24" s="16" t="s">
        <v>56</v>
      </c>
      <c r="B24" s="17" t="s">
        <v>295</v>
      </c>
      <c r="C24" s="25">
        <f t="shared" si="0"/>
        <v>16961</v>
      </c>
      <c r="D24" s="25" t="e">
        <f t="shared" si="1"/>
        <v>#REF!</v>
      </c>
      <c r="E24" s="27" t="e">
        <f t="shared" si="2"/>
        <v>#REF!</v>
      </c>
      <c r="F24" s="27"/>
      <c r="G24" s="25">
        <f t="shared" si="3"/>
        <v>3492</v>
      </c>
      <c r="H24" s="25" t="e">
        <f t="shared" si="4"/>
        <v>#REF!</v>
      </c>
      <c r="I24" s="27" t="e">
        <f t="shared" si="5"/>
        <v>#REF!</v>
      </c>
      <c r="J24" s="27"/>
      <c r="K24" s="25">
        <f t="shared" si="6"/>
        <v>590</v>
      </c>
      <c r="L24" s="25" t="e">
        <f t="shared" si="7"/>
        <v>#REF!</v>
      </c>
      <c r="M24" s="27" t="e">
        <f t="shared" si="8"/>
        <v>#REF!</v>
      </c>
      <c r="N24" s="39"/>
      <c r="O24" s="36" t="str">
        <f t="shared" si="9"/>
        <v>Central</v>
      </c>
      <c r="P24" s="26" t="e">
        <f t="shared" si="10"/>
        <v>#REF!</v>
      </c>
      <c r="Q24" s="27" t="e">
        <f t="shared" si="11"/>
        <v>#VALUE!</v>
      </c>
      <c r="R24" s="27"/>
      <c r="S24" s="26">
        <f t="shared" si="12"/>
        <v>21743</v>
      </c>
      <c r="T24" s="26" t="e">
        <f t="shared" si="13"/>
        <v>#REF!</v>
      </c>
      <c r="U24" s="27" t="e">
        <f t="shared" si="14"/>
        <v>#REF!</v>
      </c>
      <c r="V24" s="27"/>
      <c r="W24" s="26">
        <f t="shared" si="15"/>
        <v>24980</v>
      </c>
      <c r="X24" s="26" t="e">
        <f t="shared" si="16"/>
        <v>#REF!</v>
      </c>
      <c r="Y24" s="27" t="e">
        <f t="shared" si="17"/>
        <v>#REF!</v>
      </c>
    </row>
    <row r="25" spans="1:25" ht="16.5" customHeight="1" x14ac:dyDescent="0.25">
      <c r="A25" s="16" t="s">
        <v>58</v>
      </c>
      <c r="B25" s="17" t="s">
        <v>59</v>
      </c>
      <c r="C25" s="25">
        <f t="shared" si="0"/>
        <v>132</v>
      </c>
      <c r="D25" s="25" t="e">
        <f t="shared" si="1"/>
        <v>#REF!</v>
      </c>
      <c r="E25" s="27" t="e">
        <f t="shared" si="2"/>
        <v>#REF!</v>
      </c>
      <c r="F25" s="27"/>
      <c r="G25" s="25">
        <f t="shared" si="3"/>
        <v>20</v>
      </c>
      <c r="H25" s="25" t="e">
        <f t="shared" si="4"/>
        <v>#REF!</v>
      </c>
      <c r="I25" s="27" t="e">
        <f t="shared" si="5"/>
        <v>#REF!</v>
      </c>
      <c r="J25" s="27"/>
      <c r="K25" s="25">
        <f t="shared" si="6"/>
        <v>6</v>
      </c>
      <c r="L25" s="25" t="e">
        <f t="shared" si="7"/>
        <v>#REF!</v>
      </c>
      <c r="M25" s="27" t="e">
        <f t="shared" si="8"/>
        <v>#REF!</v>
      </c>
      <c r="N25" s="39"/>
      <c r="O25" s="36" t="str">
        <f t="shared" si="9"/>
        <v>Northern</v>
      </c>
      <c r="P25" s="26" t="e">
        <f t="shared" si="10"/>
        <v>#REF!</v>
      </c>
      <c r="Q25" s="27" t="e">
        <f t="shared" si="11"/>
        <v>#VALUE!</v>
      </c>
      <c r="R25" s="27"/>
      <c r="S25" s="26">
        <f t="shared" si="12"/>
        <v>384</v>
      </c>
      <c r="T25" s="26" t="e">
        <f t="shared" si="13"/>
        <v>#REF!</v>
      </c>
      <c r="U25" s="27" t="e">
        <f t="shared" si="14"/>
        <v>#REF!</v>
      </c>
      <c r="V25" s="27"/>
      <c r="W25" s="26">
        <f t="shared" si="15"/>
        <v>537</v>
      </c>
      <c r="X25" s="26" t="e">
        <f t="shared" si="16"/>
        <v>#REF!</v>
      </c>
      <c r="Y25" s="27" t="e">
        <f t="shared" si="17"/>
        <v>#REF!</v>
      </c>
    </row>
    <row r="26" spans="1:25" ht="16.5" customHeight="1" x14ac:dyDescent="0.25">
      <c r="A26" s="16" t="s">
        <v>60</v>
      </c>
      <c r="B26" s="17" t="s">
        <v>61</v>
      </c>
      <c r="C26" s="25">
        <f t="shared" si="0"/>
        <v>6</v>
      </c>
      <c r="D26" s="25" t="e">
        <f t="shared" si="1"/>
        <v>#REF!</v>
      </c>
      <c r="E26" s="27" t="e">
        <f t="shared" si="2"/>
        <v>#REF!</v>
      </c>
      <c r="F26" s="27"/>
      <c r="G26" s="25">
        <f t="shared" si="3"/>
        <v>0</v>
      </c>
      <c r="H26" s="25" t="e">
        <f t="shared" si="4"/>
        <v>#REF!</v>
      </c>
      <c r="I26" s="27" t="e">
        <f t="shared" si="5"/>
        <v>#REF!</v>
      </c>
      <c r="J26" s="27"/>
      <c r="K26" s="25">
        <f t="shared" si="6"/>
        <v>0</v>
      </c>
      <c r="L26" s="25" t="e">
        <f t="shared" si="7"/>
        <v>#REF!</v>
      </c>
      <c r="M26" s="27" t="e">
        <f t="shared" si="8"/>
        <v>#REF!</v>
      </c>
      <c r="N26" s="39"/>
      <c r="O26" s="36" t="str">
        <f t="shared" si="9"/>
        <v>Piedmont</v>
      </c>
      <c r="P26" s="26" t="e">
        <f t="shared" si="10"/>
        <v>#REF!</v>
      </c>
      <c r="Q26" s="27" t="e">
        <f t="shared" si="11"/>
        <v>#VALUE!</v>
      </c>
      <c r="R26" s="27"/>
      <c r="S26" s="26">
        <f t="shared" si="12"/>
        <v>325</v>
      </c>
      <c r="T26" s="26" t="e">
        <f t="shared" si="13"/>
        <v>#REF!</v>
      </c>
      <c r="U26" s="27" t="e">
        <f t="shared" si="14"/>
        <v>#REF!</v>
      </c>
      <c r="V26" s="27"/>
      <c r="W26" s="26">
        <f t="shared" si="15"/>
        <v>465</v>
      </c>
      <c r="X26" s="26" t="e">
        <f t="shared" si="16"/>
        <v>#REF!</v>
      </c>
      <c r="Y26" s="27" t="e">
        <f t="shared" si="17"/>
        <v>#REF!</v>
      </c>
    </row>
    <row r="27" spans="1:25" ht="16.5" customHeight="1" x14ac:dyDescent="0.25">
      <c r="A27" s="16" t="s">
        <v>62</v>
      </c>
      <c r="B27" s="17" t="s">
        <v>63</v>
      </c>
      <c r="C27" s="25">
        <f t="shared" si="0"/>
        <v>2388</v>
      </c>
      <c r="D27" s="25" t="e">
        <f t="shared" si="1"/>
        <v>#REF!</v>
      </c>
      <c r="E27" s="27" t="e">
        <f t="shared" si="2"/>
        <v>#REF!</v>
      </c>
      <c r="F27" s="27"/>
      <c r="G27" s="25">
        <f t="shared" si="3"/>
        <v>621</v>
      </c>
      <c r="H27" s="25" t="e">
        <f t="shared" si="4"/>
        <v>#REF!</v>
      </c>
      <c r="I27" s="27" t="e">
        <f t="shared" si="5"/>
        <v>#REF!</v>
      </c>
      <c r="J27" s="27"/>
      <c r="K27" s="25">
        <f t="shared" si="6"/>
        <v>111</v>
      </c>
      <c r="L27" s="25" t="e">
        <f t="shared" si="7"/>
        <v>#REF!</v>
      </c>
      <c r="M27" s="27" t="e">
        <f t="shared" si="8"/>
        <v>#REF!</v>
      </c>
      <c r="N27" s="39"/>
      <c r="O27" s="36" t="str">
        <f t="shared" si="9"/>
        <v>Northern</v>
      </c>
      <c r="P27" s="26" t="e">
        <f t="shared" si="10"/>
        <v>#REF!</v>
      </c>
      <c r="Q27" s="27" t="e">
        <f t="shared" si="11"/>
        <v>#VALUE!</v>
      </c>
      <c r="R27" s="27"/>
      <c r="S27" s="26">
        <f t="shared" si="12"/>
        <v>3514</v>
      </c>
      <c r="T27" s="26" t="e">
        <f t="shared" si="13"/>
        <v>#REF!</v>
      </c>
      <c r="U27" s="27" t="e">
        <f t="shared" si="14"/>
        <v>#REF!</v>
      </c>
      <c r="V27" s="27"/>
      <c r="W27" s="26">
        <f t="shared" si="15"/>
        <v>4323</v>
      </c>
      <c r="X27" s="26" t="e">
        <f t="shared" si="16"/>
        <v>#REF!</v>
      </c>
      <c r="Y27" s="27" t="e">
        <f t="shared" si="17"/>
        <v>#REF!</v>
      </c>
    </row>
    <row r="28" spans="1:25" ht="16.5" customHeight="1" x14ac:dyDescent="0.25">
      <c r="A28" s="16" t="s">
        <v>64</v>
      </c>
      <c r="B28" s="17" t="s">
        <v>65</v>
      </c>
      <c r="C28" s="25">
        <f t="shared" si="0"/>
        <v>1383</v>
      </c>
      <c r="D28" s="25" t="e">
        <f t="shared" si="1"/>
        <v>#REF!</v>
      </c>
      <c r="E28" s="27" t="e">
        <f t="shared" si="2"/>
        <v>#REF!</v>
      </c>
      <c r="F28" s="27"/>
      <c r="G28" s="25">
        <f t="shared" si="3"/>
        <v>93</v>
      </c>
      <c r="H28" s="25" t="e">
        <f t="shared" si="4"/>
        <v>#REF!</v>
      </c>
      <c r="I28" s="27" t="e">
        <f t="shared" si="5"/>
        <v>#REF!</v>
      </c>
      <c r="J28" s="27"/>
      <c r="K28" s="25">
        <f t="shared" si="6"/>
        <v>55</v>
      </c>
      <c r="L28" s="25" t="e">
        <f t="shared" si="7"/>
        <v>#REF!</v>
      </c>
      <c r="M28" s="27" t="e">
        <f t="shared" si="8"/>
        <v>#REF!</v>
      </c>
      <c r="N28" s="39"/>
      <c r="O28" s="36" t="str">
        <f t="shared" si="9"/>
        <v>Central</v>
      </c>
      <c r="P28" s="26" t="e">
        <f t="shared" si="10"/>
        <v>#REF!</v>
      </c>
      <c r="Q28" s="27" t="e">
        <f t="shared" si="11"/>
        <v>#VALUE!</v>
      </c>
      <c r="R28" s="27"/>
      <c r="S28" s="26">
        <f t="shared" si="12"/>
        <v>1113</v>
      </c>
      <c r="T28" s="26" t="e">
        <f t="shared" si="13"/>
        <v>#REF!</v>
      </c>
      <c r="U28" s="27" t="e">
        <f t="shared" si="14"/>
        <v>#REF!</v>
      </c>
      <c r="V28" s="27"/>
      <c r="W28" s="26">
        <f t="shared" si="15"/>
        <v>1636</v>
      </c>
      <c r="X28" s="26" t="e">
        <f t="shared" si="16"/>
        <v>#REF!</v>
      </c>
      <c r="Y28" s="27" t="e">
        <f t="shared" si="17"/>
        <v>#REF!</v>
      </c>
    </row>
    <row r="29" spans="1:25" ht="16.5" customHeight="1" x14ac:dyDescent="0.25">
      <c r="A29" s="16" t="s">
        <v>68</v>
      </c>
      <c r="B29" s="17" t="s">
        <v>69</v>
      </c>
      <c r="C29" s="25">
        <f t="shared" si="0"/>
        <v>47</v>
      </c>
      <c r="D29" s="25" t="e">
        <f t="shared" si="1"/>
        <v>#REF!</v>
      </c>
      <c r="E29" s="27" t="e">
        <f t="shared" si="2"/>
        <v>#REF!</v>
      </c>
      <c r="F29" s="27"/>
      <c r="G29" s="25">
        <f t="shared" si="3"/>
        <v>6</v>
      </c>
      <c r="H29" s="25" t="e">
        <f t="shared" si="4"/>
        <v>#REF!</v>
      </c>
      <c r="I29" s="27" t="e">
        <f t="shared" si="5"/>
        <v>#REF!</v>
      </c>
      <c r="J29" s="27"/>
      <c r="K29" s="25">
        <f t="shared" si="6"/>
        <v>3</v>
      </c>
      <c r="L29" s="25" t="e">
        <f t="shared" si="7"/>
        <v>#REF!</v>
      </c>
      <c r="M29" s="27" t="e">
        <f t="shared" si="8"/>
        <v>#REF!</v>
      </c>
      <c r="N29" s="39"/>
      <c r="O29" s="36" t="str">
        <f t="shared" si="9"/>
        <v>Western</v>
      </c>
      <c r="P29" s="26" t="e">
        <f t="shared" si="10"/>
        <v>#REF!</v>
      </c>
      <c r="Q29" s="27" t="e">
        <f t="shared" si="11"/>
        <v>#VALUE!</v>
      </c>
      <c r="R29" s="27"/>
      <c r="S29" s="26">
        <f t="shared" si="12"/>
        <v>1490</v>
      </c>
      <c r="T29" s="26" t="e">
        <f t="shared" si="13"/>
        <v>#REF!</v>
      </c>
      <c r="U29" s="27" t="e">
        <f t="shared" si="14"/>
        <v>#REF!</v>
      </c>
      <c r="V29" s="27"/>
      <c r="W29" s="26">
        <f t="shared" si="15"/>
        <v>2668</v>
      </c>
      <c r="X29" s="26" t="e">
        <f t="shared" si="16"/>
        <v>#REF!</v>
      </c>
      <c r="Y29" s="27" t="e">
        <f t="shared" si="17"/>
        <v>#REF!</v>
      </c>
    </row>
    <row r="30" spans="1:25" ht="16.5" customHeight="1" x14ac:dyDescent="0.25">
      <c r="A30" s="16" t="s">
        <v>70</v>
      </c>
      <c r="B30" s="32" t="s">
        <v>71</v>
      </c>
      <c r="C30" s="25">
        <f t="shared" si="0"/>
        <v>2308</v>
      </c>
      <c r="D30" s="25" t="e">
        <f t="shared" si="1"/>
        <v>#REF!</v>
      </c>
      <c r="E30" s="27" t="e">
        <f t="shared" si="2"/>
        <v>#REF!</v>
      </c>
      <c r="F30" s="27"/>
      <c r="G30" s="25">
        <f t="shared" si="3"/>
        <v>132</v>
      </c>
      <c r="H30" s="25" t="e">
        <f t="shared" si="4"/>
        <v>#REF!</v>
      </c>
      <c r="I30" s="27" t="e">
        <f t="shared" si="5"/>
        <v>#REF!</v>
      </c>
      <c r="J30" s="27"/>
      <c r="K30" s="25">
        <f t="shared" si="6"/>
        <v>18</v>
      </c>
      <c r="L30" s="25" t="e">
        <f t="shared" si="7"/>
        <v>#REF!</v>
      </c>
      <c r="M30" s="27" t="e">
        <f t="shared" si="8"/>
        <v>#REF!</v>
      </c>
      <c r="N30" s="39"/>
      <c r="O30" s="36" t="str">
        <f t="shared" si="9"/>
        <v>Eastern</v>
      </c>
      <c r="P30" s="26" t="e">
        <f t="shared" si="10"/>
        <v>#REF!</v>
      </c>
      <c r="Q30" s="27" t="e">
        <f t="shared" si="11"/>
        <v>#VALUE!</v>
      </c>
      <c r="R30" s="27"/>
      <c r="S30" s="26">
        <f t="shared" si="12"/>
        <v>2497</v>
      </c>
      <c r="T30" s="26" t="e">
        <f t="shared" si="13"/>
        <v>#REF!</v>
      </c>
      <c r="U30" s="27" t="e">
        <f t="shared" si="14"/>
        <v>#REF!</v>
      </c>
      <c r="V30" s="27"/>
      <c r="W30" s="26">
        <f t="shared" si="15"/>
        <v>3542</v>
      </c>
      <c r="X30" s="26" t="e">
        <f t="shared" si="16"/>
        <v>#REF!</v>
      </c>
      <c r="Y30" s="27" t="e">
        <f t="shared" si="17"/>
        <v>#REF!</v>
      </c>
    </row>
    <row r="31" spans="1:25" ht="16.5" customHeight="1" x14ac:dyDescent="0.25">
      <c r="A31" s="16" t="s">
        <v>72</v>
      </c>
      <c r="B31" s="32" t="s">
        <v>73</v>
      </c>
      <c r="C31" s="25">
        <f t="shared" si="0"/>
        <v>1651</v>
      </c>
      <c r="D31" s="25" t="e">
        <f t="shared" si="1"/>
        <v>#REF!</v>
      </c>
      <c r="E31" s="27" t="e">
        <f t="shared" si="2"/>
        <v>#REF!</v>
      </c>
      <c r="F31" s="27"/>
      <c r="G31" s="25">
        <f t="shared" si="3"/>
        <v>61</v>
      </c>
      <c r="H31" s="25" t="e">
        <f t="shared" si="4"/>
        <v>#REF!</v>
      </c>
      <c r="I31" s="27" t="e">
        <f t="shared" si="5"/>
        <v>#REF!</v>
      </c>
      <c r="J31" s="27"/>
      <c r="K31" s="25">
        <f t="shared" si="6"/>
        <v>27</v>
      </c>
      <c r="L31" s="25" t="e">
        <f t="shared" si="7"/>
        <v>#REF!</v>
      </c>
      <c r="M31" s="27" t="e">
        <f t="shared" si="8"/>
        <v>#REF!</v>
      </c>
      <c r="N31" s="39"/>
      <c r="O31" s="36" t="str">
        <f t="shared" si="9"/>
        <v>Central</v>
      </c>
      <c r="P31" s="26" t="e">
        <f t="shared" si="10"/>
        <v>#REF!</v>
      </c>
      <c r="Q31" s="27" t="e">
        <f t="shared" si="11"/>
        <v>#VALUE!</v>
      </c>
      <c r="R31" s="27"/>
      <c r="S31" s="26">
        <f t="shared" si="12"/>
        <v>1272</v>
      </c>
      <c r="T31" s="26" t="e">
        <f t="shared" si="13"/>
        <v>#REF!</v>
      </c>
      <c r="U31" s="27" t="e">
        <f t="shared" si="14"/>
        <v>#REF!</v>
      </c>
      <c r="V31" s="27"/>
      <c r="W31" s="26">
        <f t="shared" si="15"/>
        <v>1750</v>
      </c>
      <c r="X31" s="26" t="e">
        <f t="shared" si="16"/>
        <v>#REF!</v>
      </c>
      <c r="Y31" s="27" t="e">
        <f t="shared" si="17"/>
        <v>#REF!</v>
      </c>
    </row>
    <row r="32" spans="1:25" ht="16.5" customHeight="1" x14ac:dyDescent="0.25">
      <c r="A32" s="16" t="s">
        <v>74</v>
      </c>
      <c r="B32" s="17" t="s">
        <v>302</v>
      </c>
      <c r="C32" s="25">
        <f t="shared" si="0"/>
        <v>15220</v>
      </c>
      <c r="D32" s="25" t="e">
        <f t="shared" si="1"/>
        <v>#REF!</v>
      </c>
      <c r="E32" s="27" t="e">
        <f t="shared" si="2"/>
        <v>#REF!</v>
      </c>
      <c r="F32" s="27"/>
      <c r="G32" s="25">
        <f t="shared" si="3"/>
        <v>15757</v>
      </c>
      <c r="H32" s="25" t="e">
        <f t="shared" si="4"/>
        <v>#REF!</v>
      </c>
      <c r="I32" s="27" t="e">
        <f t="shared" si="5"/>
        <v>#REF!</v>
      </c>
      <c r="J32" s="27"/>
      <c r="K32" s="25">
        <f t="shared" si="6"/>
        <v>383</v>
      </c>
      <c r="L32" s="25" t="e">
        <f t="shared" si="7"/>
        <v>#REF!</v>
      </c>
      <c r="M32" s="27" t="e">
        <f t="shared" si="8"/>
        <v>#REF!</v>
      </c>
      <c r="N32" s="39"/>
      <c r="O32" s="36" t="str">
        <f t="shared" si="9"/>
        <v>Northern</v>
      </c>
      <c r="P32" s="26" t="e">
        <f t="shared" si="10"/>
        <v>#REF!</v>
      </c>
      <c r="Q32" s="27" t="e">
        <f t="shared" si="11"/>
        <v>#VALUE!</v>
      </c>
      <c r="R32" s="27"/>
      <c r="S32" s="26">
        <f t="shared" si="12"/>
        <v>35402</v>
      </c>
      <c r="T32" s="26" t="e">
        <f t="shared" si="13"/>
        <v>#REF!</v>
      </c>
      <c r="U32" s="27" t="e">
        <f t="shared" si="14"/>
        <v>#REF!</v>
      </c>
      <c r="V32" s="27"/>
      <c r="W32" s="26">
        <f t="shared" si="15"/>
        <v>37691</v>
      </c>
      <c r="X32" s="26" t="e">
        <f t="shared" si="16"/>
        <v>#REF!</v>
      </c>
      <c r="Y32" s="27" t="e">
        <f t="shared" si="17"/>
        <v>#REF!</v>
      </c>
    </row>
    <row r="33" spans="1:25" ht="16.5" customHeight="1" x14ac:dyDescent="0.25">
      <c r="A33" s="16" t="s">
        <v>76</v>
      </c>
      <c r="B33" s="17" t="s">
        <v>77</v>
      </c>
      <c r="C33" s="25">
        <f t="shared" si="0"/>
        <v>1332</v>
      </c>
      <c r="D33" s="25" t="e">
        <f t="shared" si="1"/>
        <v>#REF!</v>
      </c>
      <c r="E33" s="27" t="e">
        <f t="shared" si="2"/>
        <v>#REF!</v>
      </c>
      <c r="F33" s="27"/>
      <c r="G33" s="25">
        <f t="shared" si="3"/>
        <v>410</v>
      </c>
      <c r="H33" s="25" t="e">
        <f t="shared" si="4"/>
        <v>#REF!</v>
      </c>
      <c r="I33" s="27" t="e">
        <f t="shared" si="5"/>
        <v>#REF!</v>
      </c>
      <c r="J33" s="27"/>
      <c r="K33" s="25">
        <f t="shared" si="6"/>
        <v>163</v>
      </c>
      <c r="L33" s="25" t="e">
        <f t="shared" si="7"/>
        <v>#REF!</v>
      </c>
      <c r="M33" s="27" t="e">
        <f t="shared" si="8"/>
        <v>#REF!</v>
      </c>
      <c r="N33" s="39"/>
      <c r="O33" s="36" t="str">
        <f t="shared" si="9"/>
        <v>Northern</v>
      </c>
      <c r="P33" s="26" t="e">
        <f t="shared" si="10"/>
        <v>#REF!</v>
      </c>
      <c r="Q33" s="27" t="e">
        <f t="shared" si="11"/>
        <v>#VALUE!</v>
      </c>
      <c r="R33" s="27"/>
      <c r="S33" s="26">
        <f t="shared" si="12"/>
        <v>2534</v>
      </c>
      <c r="T33" s="26" t="e">
        <f t="shared" si="13"/>
        <v>#REF!</v>
      </c>
      <c r="U33" s="27" t="e">
        <f t="shared" si="14"/>
        <v>#REF!</v>
      </c>
      <c r="V33" s="27"/>
      <c r="W33" s="26">
        <f t="shared" si="15"/>
        <v>3122</v>
      </c>
      <c r="X33" s="26" t="e">
        <f t="shared" si="16"/>
        <v>#REF!</v>
      </c>
      <c r="Y33" s="27" t="e">
        <f t="shared" si="17"/>
        <v>#REF!</v>
      </c>
    </row>
    <row r="34" spans="1:25" ht="16.5" customHeight="1" x14ac:dyDescent="0.25">
      <c r="A34" s="16" t="s">
        <v>78</v>
      </c>
      <c r="B34" s="32" t="s">
        <v>79</v>
      </c>
      <c r="C34" s="25">
        <f t="shared" si="0"/>
        <v>100</v>
      </c>
      <c r="D34" s="25" t="e">
        <f t="shared" si="1"/>
        <v>#REF!</v>
      </c>
      <c r="E34" s="27" t="e">
        <f t="shared" si="2"/>
        <v>#REF!</v>
      </c>
      <c r="F34" s="27"/>
      <c r="G34" s="25">
        <f t="shared" si="3"/>
        <v>117</v>
      </c>
      <c r="H34" s="25" t="e">
        <f t="shared" si="4"/>
        <v>#REF!</v>
      </c>
      <c r="I34" s="27" t="e">
        <f t="shared" si="5"/>
        <v>#REF!</v>
      </c>
      <c r="J34" s="27"/>
      <c r="K34" s="25">
        <f t="shared" si="6"/>
        <v>12</v>
      </c>
      <c r="L34" s="25" t="e">
        <f t="shared" si="7"/>
        <v>#REF!</v>
      </c>
      <c r="M34" s="27" t="e">
        <f t="shared" si="8"/>
        <v>#REF!</v>
      </c>
      <c r="N34" s="39"/>
      <c r="O34" s="36" t="str">
        <f t="shared" si="9"/>
        <v>Western</v>
      </c>
      <c r="P34" s="26" t="e">
        <f t="shared" si="10"/>
        <v>#REF!</v>
      </c>
      <c r="Q34" s="27" t="e">
        <f t="shared" si="11"/>
        <v>#VALUE!</v>
      </c>
      <c r="R34" s="27"/>
      <c r="S34" s="26">
        <f t="shared" si="12"/>
        <v>1025</v>
      </c>
      <c r="T34" s="26" t="e">
        <f t="shared" si="13"/>
        <v>#REF!</v>
      </c>
      <c r="U34" s="27" t="e">
        <f t="shared" si="14"/>
        <v>#REF!</v>
      </c>
      <c r="V34" s="27"/>
      <c r="W34" s="26">
        <f t="shared" si="15"/>
        <v>1450</v>
      </c>
      <c r="X34" s="26" t="e">
        <f t="shared" si="16"/>
        <v>#REF!</v>
      </c>
      <c r="Y34" s="27" t="e">
        <f t="shared" si="17"/>
        <v>#REF!</v>
      </c>
    </row>
    <row r="35" spans="1:25" ht="16.5" customHeight="1" x14ac:dyDescent="0.25">
      <c r="A35" s="16" t="s">
        <v>80</v>
      </c>
      <c r="B35" s="17" t="s">
        <v>81</v>
      </c>
      <c r="C35" s="25">
        <f t="shared" si="0"/>
        <v>768</v>
      </c>
      <c r="D35" s="25" t="e">
        <f t="shared" si="1"/>
        <v>#REF!</v>
      </c>
      <c r="E35" s="27" t="e">
        <f t="shared" si="2"/>
        <v>#REF!</v>
      </c>
      <c r="F35" s="27"/>
      <c r="G35" s="25">
        <f t="shared" si="3"/>
        <v>115</v>
      </c>
      <c r="H35" s="25" t="e">
        <f t="shared" si="4"/>
        <v>#REF!</v>
      </c>
      <c r="I35" s="27" t="e">
        <f t="shared" si="5"/>
        <v>#REF!</v>
      </c>
      <c r="J35" s="27"/>
      <c r="K35" s="25">
        <f t="shared" si="6"/>
        <v>76</v>
      </c>
      <c r="L35" s="25" t="e">
        <f t="shared" si="7"/>
        <v>#REF!</v>
      </c>
      <c r="M35" s="27" t="e">
        <f t="shared" si="8"/>
        <v>#REF!</v>
      </c>
      <c r="N35" s="39"/>
      <c r="O35" s="36" t="str">
        <f t="shared" si="9"/>
        <v>Central</v>
      </c>
      <c r="P35" s="26" t="e">
        <f t="shared" si="10"/>
        <v>#REF!</v>
      </c>
      <c r="Q35" s="27" t="e">
        <f t="shared" si="11"/>
        <v>#VALUE!</v>
      </c>
      <c r="R35" s="27"/>
      <c r="S35" s="26">
        <f t="shared" si="12"/>
        <v>1078</v>
      </c>
      <c r="T35" s="26" t="e">
        <f t="shared" si="13"/>
        <v>#REF!</v>
      </c>
      <c r="U35" s="27" t="e">
        <f t="shared" si="14"/>
        <v>#REF!</v>
      </c>
      <c r="V35" s="27"/>
      <c r="W35" s="26">
        <f t="shared" si="15"/>
        <v>1359</v>
      </c>
      <c r="X35" s="26" t="e">
        <f t="shared" si="16"/>
        <v>#REF!</v>
      </c>
      <c r="Y35" s="27" t="e">
        <f t="shared" si="17"/>
        <v>#REF!</v>
      </c>
    </row>
    <row r="36" spans="1:25" ht="16.5" customHeight="1" x14ac:dyDescent="0.25">
      <c r="A36" s="16" t="s">
        <v>84</v>
      </c>
      <c r="B36" s="32" t="s">
        <v>308</v>
      </c>
      <c r="C36" s="25">
        <f t="shared" ref="C36:C67" si="18">VLOOKUP(A36,SNAPClient_Demo,10,FALSE)</f>
        <v>1500</v>
      </c>
      <c r="D36" s="25" t="e">
        <f t="shared" ref="D36:D67" si="19">VLOOKUP(A36,Pop,14,FALSE)</f>
        <v>#REF!</v>
      </c>
      <c r="E36" s="27" t="e">
        <f t="shared" ref="E36:E67" si="20">+C36/D36</f>
        <v>#REF!</v>
      </c>
      <c r="F36" s="27"/>
      <c r="G36" s="25">
        <f t="shared" ref="G36:G67" si="21">VLOOKUP(A36,SNAPClient_Demo,11,FALSE)</f>
        <v>291</v>
      </c>
      <c r="H36" s="25" t="e">
        <f t="shared" ref="H36:H67" si="22">VLOOKUP(A36,Pop,15,FALSE)</f>
        <v>#REF!</v>
      </c>
      <c r="I36" s="27" t="e">
        <f t="shared" ref="I36:I67" si="23">+G36/H36</f>
        <v>#REF!</v>
      </c>
      <c r="J36" s="27"/>
      <c r="K36" s="25">
        <f t="shared" ref="K36:K67" si="24">VLOOKUP(A36,SNAPClient_Demo,12,FALSE)</f>
        <v>43</v>
      </c>
      <c r="L36" s="25" t="e">
        <f t="shared" ref="L36:L67" si="25">VLOOKUP(A36,Pop,16,FALSE)</f>
        <v>#REF!</v>
      </c>
      <c r="M36" s="27" t="e">
        <f t="shared" ref="M36:M67" si="26">+K36/L36</f>
        <v>#REF!</v>
      </c>
      <c r="N36" s="39"/>
      <c r="O36" s="36" t="str">
        <f t="shared" ref="O36:O67" si="27">VLOOKUP(A36,SNAPClient_Demo,3,FALSE)</f>
        <v>Piedmont</v>
      </c>
      <c r="P36" s="26" t="e">
        <f t="shared" ref="P36:P67" si="28">VLOOKUP(A36,Pop,8,FALSE)</f>
        <v>#REF!</v>
      </c>
      <c r="Q36" s="27" t="e">
        <f t="shared" ref="Q36:Q67" si="29">+O36/P36</f>
        <v>#VALUE!</v>
      </c>
      <c r="R36" s="27"/>
      <c r="S36" s="26">
        <f t="shared" ref="S36:S67" si="30">VLOOKUP(A36,SNAPClient_Demo,4,FALSE)</f>
        <v>4126</v>
      </c>
      <c r="T36" s="26" t="e">
        <f t="shared" ref="T36:T67" si="31">VLOOKUP(A36,Pop,9,FALSE)</f>
        <v>#REF!</v>
      </c>
      <c r="U36" s="27" t="e">
        <f t="shared" ref="U36:U67" si="32">+S36/T36</f>
        <v>#REF!</v>
      </c>
      <c r="V36" s="27"/>
      <c r="W36" s="26">
        <f t="shared" ref="W36:W67" si="33">VLOOKUP(A36,SNAPClient_Demo,5,FALSE)</f>
        <v>5978</v>
      </c>
      <c r="X36" s="26" t="e">
        <f t="shared" ref="X36:X67" si="34">VLOOKUP(A36,Pop,10,FALSE)</f>
        <v>#REF!</v>
      </c>
      <c r="Y36" s="27" t="e">
        <f t="shared" ref="Y36:Y67" si="35">+W36/X36</f>
        <v>#REF!</v>
      </c>
    </row>
    <row r="37" spans="1:25" ht="16.5" customHeight="1" x14ac:dyDescent="0.25">
      <c r="A37" s="16" t="s">
        <v>86</v>
      </c>
      <c r="B37" s="17" t="s">
        <v>87</v>
      </c>
      <c r="C37" s="25">
        <f t="shared" si="18"/>
        <v>743</v>
      </c>
      <c r="D37" s="25" t="e">
        <f t="shared" si="19"/>
        <v>#REF!</v>
      </c>
      <c r="E37" s="27" t="e">
        <f t="shared" si="20"/>
        <v>#REF!</v>
      </c>
      <c r="F37" s="27"/>
      <c r="G37" s="25">
        <f t="shared" si="21"/>
        <v>340</v>
      </c>
      <c r="H37" s="25" t="e">
        <f t="shared" si="22"/>
        <v>#REF!</v>
      </c>
      <c r="I37" s="27" t="e">
        <f t="shared" si="23"/>
        <v>#REF!</v>
      </c>
      <c r="J37" s="27"/>
      <c r="K37" s="25">
        <f t="shared" si="24"/>
        <v>134</v>
      </c>
      <c r="L37" s="25" t="e">
        <f t="shared" si="25"/>
        <v>#REF!</v>
      </c>
      <c r="M37" s="27" t="e">
        <f t="shared" si="26"/>
        <v>#REF!</v>
      </c>
      <c r="N37" s="39"/>
      <c r="O37" s="36" t="str">
        <f t="shared" si="27"/>
        <v>Northern</v>
      </c>
      <c r="P37" s="26" t="e">
        <f t="shared" si="28"/>
        <v>#REF!</v>
      </c>
      <c r="Q37" s="27" t="e">
        <f t="shared" si="29"/>
        <v>#VALUE!</v>
      </c>
      <c r="R37" s="27"/>
      <c r="S37" s="26">
        <f t="shared" si="30"/>
        <v>4249</v>
      </c>
      <c r="T37" s="26" t="e">
        <f t="shared" si="31"/>
        <v>#REF!</v>
      </c>
      <c r="U37" s="27" t="e">
        <f t="shared" si="32"/>
        <v>#REF!</v>
      </c>
      <c r="V37" s="27"/>
      <c r="W37" s="26">
        <f t="shared" si="33"/>
        <v>5053</v>
      </c>
      <c r="X37" s="26" t="e">
        <f t="shared" si="34"/>
        <v>#REF!</v>
      </c>
      <c r="Y37" s="27" t="e">
        <f t="shared" si="35"/>
        <v>#REF!</v>
      </c>
    </row>
    <row r="38" spans="1:25" ht="16.5" customHeight="1" x14ac:dyDescent="0.25">
      <c r="A38" s="16" t="s">
        <v>92</v>
      </c>
      <c r="B38" s="17" t="s">
        <v>93</v>
      </c>
      <c r="C38" s="25">
        <f t="shared" si="18"/>
        <v>57</v>
      </c>
      <c r="D38" s="25" t="e">
        <f t="shared" si="19"/>
        <v>#REF!</v>
      </c>
      <c r="E38" s="27" t="e">
        <f t="shared" si="20"/>
        <v>#REF!</v>
      </c>
      <c r="F38" s="27"/>
      <c r="G38" s="25">
        <f t="shared" si="21"/>
        <v>26</v>
      </c>
      <c r="H38" s="25" t="e">
        <f t="shared" si="22"/>
        <v>#REF!</v>
      </c>
      <c r="I38" s="27" t="e">
        <f t="shared" si="23"/>
        <v>#REF!</v>
      </c>
      <c r="J38" s="27"/>
      <c r="K38" s="25">
        <f t="shared" si="24"/>
        <v>13</v>
      </c>
      <c r="L38" s="25" t="e">
        <f t="shared" si="25"/>
        <v>#REF!</v>
      </c>
      <c r="M38" s="27" t="e">
        <f t="shared" si="26"/>
        <v>#REF!</v>
      </c>
      <c r="N38" s="39"/>
      <c r="O38" s="36" t="str">
        <f t="shared" si="27"/>
        <v>Western</v>
      </c>
      <c r="P38" s="26" t="e">
        <f t="shared" si="28"/>
        <v>#REF!</v>
      </c>
      <c r="Q38" s="27" t="e">
        <f t="shared" si="29"/>
        <v>#VALUE!</v>
      </c>
      <c r="R38" s="27"/>
      <c r="S38" s="26">
        <f t="shared" si="30"/>
        <v>1161</v>
      </c>
      <c r="T38" s="26" t="e">
        <f t="shared" si="31"/>
        <v>#REF!</v>
      </c>
      <c r="U38" s="27" t="e">
        <f t="shared" si="32"/>
        <v>#REF!</v>
      </c>
      <c r="V38" s="27"/>
      <c r="W38" s="26">
        <f t="shared" si="33"/>
        <v>1883</v>
      </c>
      <c r="X38" s="26" t="e">
        <f t="shared" si="34"/>
        <v>#REF!</v>
      </c>
      <c r="Y38" s="27" t="e">
        <f t="shared" si="35"/>
        <v>#REF!</v>
      </c>
    </row>
    <row r="39" spans="1:25" ht="16.5" customHeight="1" x14ac:dyDescent="0.25">
      <c r="A39" s="16" t="s">
        <v>94</v>
      </c>
      <c r="B39" s="17" t="s">
        <v>95</v>
      </c>
      <c r="C39" s="25">
        <f t="shared" si="18"/>
        <v>880</v>
      </c>
      <c r="D39" s="25" t="e">
        <f t="shared" si="19"/>
        <v>#REF!</v>
      </c>
      <c r="E39" s="27" t="e">
        <f t="shared" si="20"/>
        <v>#REF!</v>
      </c>
      <c r="F39" s="27"/>
      <c r="G39" s="25">
        <f t="shared" si="21"/>
        <v>156</v>
      </c>
      <c r="H39" s="25" t="e">
        <f t="shared" si="22"/>
        <v>#REF!</v>
      </c>
      <c r="I39" s="27" t="e">
        <f t="shared" si="23"/>
        <v>#REF!</v>
      </c>
      <c r="J39" s="27"/>
      <c r="K39" s="25">
        <f t="shared" si="24"/>
        <v>93</v>
      </c>
      <c r="L39" s="25" t="e">
        <f t="shared" si="25"/>
        <v>#REF!</v>
      </c>
      <c r="M39" s="27" t="e">
        <f t="shared" si="26"/>
        <v>#REF!</v>
      </c>
      <c r="N39" s="39"/>
      <c r="O39" s="36" t="str">
        <f t="shared" si="27"/>
        <v>Eastern</v>
      </c>
      <c r="P39" s="26" t="e">
        <f t="shared" si="28"/>
        <v>#REF!</v>
      </c>
      <c r="Q39" s="27" t="e">
        <f t="shared" si="29"/>
        <v>#VALUE!</v>
      </c>
      <c r="R39" s="27"/>
      <c r="S39" s="26">
        <f t="shared" si="30"/>
        <v>2209</v>
      </c>
      <c r="T39" s="26" t="e">
        <f t="shared" si="31"/>
        <v>#REF!</v>
      </c>
      <c r="U39" s="27" t="e">
        <f t="shared" si="32"/>
        <v>#REF!</v>
      </c>
      <c r="V39" s="27"/>
      <c r="W39" s="26">
        <f t="shared" si="33"/>
        <v>3390</v>
      </c>
      <c r="X39" s="26" t="e">
        <f t="shared" si="34"/>
        <v>#REF!</v>
      </c>
      <c r="Y39" s="27" t="e">
        <f t="shared" si="35"/>
        <v>#REF!</v>
      </c>
    </row>
    <row r="40" spans="1:25" ht="16.5" customHeight="1" x14ac:dyDescent="0.25">
      <c r="A40" s="16" t="s">
        <v>96</v>
      </c>
      <c r="B40" s="17" t="s">
        <v>97</v>
      </c>
      <c r="C40" s="25">
        <f t="shared" si="18"/>
        <v>746</v>
      </c>
      <c r="D40" s="25" t="e">
        <f t="shared" si="19"/>
        <v>#REF!</v>
      </c>
      <c r="E40" s="27" t="e">
        <f t="shared" si="20"/>
        <v>#REF!</v>
      </c>
      <c r="F40" s="27"/>
      <c r="G40" s="25">
        <f t="shared" si="21"/>
        <v>66</v>
      </c>
      <c r="H40" s="25" t="e">
        <f t="shared" si="22"/>
        <v>#REF!</v>
      </c>
      <c r="I40" s="27" t="e">
        <f t="shared" si="23"/>
        <v>#REF!</v>
      </c>
      <c r="J40" s="27"/>
      <c r="K40" s="25">
        <f t="shared" si="24"/>
        <v>16</v>
      </c>
      <c r="L40" s="25" t="e">
        <f t="shared" si="25"/>
        <v>#REF!</v>
      </c>
      <c r="M40" s="27" t="e">
        <f t="shared" si="26"/>
        <v>#REF!</v>
      </c>
      <c r="N40" s="39"/>
      <c r="O40" s="36" t="str">
        <f t="shared" si="27"/>
        <v>Central</v>
      </c>
      <c r="P40" s="26" t="e">
        <f t="shared" si="28"/>
        <v>#REF!</v>
      </c>
      <c r="Q40" s="27" t="e">
        <f t="shared" si="29"/>
        <v>#VALUE!</v>
      </c>
      <c r="R40" s="27"/>
      <c r="S40" s="26">
        <f t="shared" si="30"/>
        <v>705</v>
      </c>
      <c r="T40" s="26" t="e">
        <f t="shared" si="31"/>
        <v>#REF!</v>
      </c>
      <c r="U40" s="27" t="e">
        <f t="shared" si="32"/>
        <v>#REF!</v>
      </c>
      <c r="V40" s="27"/>
      <c r="W40" s="26">
        <f t="shared" si="33"/>
        <v>1033</v>
      </c>
      <c r="X40" s="26" t="e">
        <f t="shared" si="34"/>
        <v>#REF!</v>
      </c>
      <c r="Y40" s="27" t="e">
        <f t="shared" si="35"/>
        <v>#REF!</v>
      </c>
    </row>
    <row r="41" spans="1:25" ht="16.5" customHeight="1" x14ac:dyDescent="0.25">
      <c r="A41" s="16" t="s">
        <v>98</v>
      </c>
      <c r="B41" s="17" t="s">
        <v>99</v>
      </c>
      <c r="C41" s="25">
        <f t="shared" si="18"/>
        <v>164</v>
      </c>
      <c r="D41" s="25" t="e">
        <f t="shared" si="19"/>
        <v>#REF!</v>
      </c>
      <c r="E41" s="27" t="e">
        <f t="shared" si="20"/>
        <v>#REF!</v>
      </c>
      <c r="F41" s="27"/>
      <c r="G41" s="25">
        <f t="shared" si="21"/>
        <v>64</v>
      </c>
      <c r="H41" s="25" t="e">
        <f t="shared" si="22"/>
        <v>#REF!</v>
      </c>
      <c r="I41" s="27" t="e">
        <f t="shared" si="23"/>
        <v>#REF!</v>
      </c>
      <c r="J41" s="27"/>
      <c r="K41" s="25">
        <f t="shared" si="24"/>
        <v>2</v>
      </c>
      <c r="L41" s="25" t="e">
        <f t="shared" si="25"/>
        <v>#REF!</v>
      </c>
      <c r="M41" s="27" t="e">
        <f t="shared" si="26"/>
        <v>#REF!</v>
      </c>
      <c r="N41" s="39"/>
      <c r="O41" s="36" t="str">
        <f t="shared" si="27"/>
        <v>Western</v>
      </c>
      <c r="P41" s="26" t="e">
        <f t="shared" si="28"/>
        <v>#REF!</v>
      </c>
      <c r="Q41" s="27" t="e">
        <f t="shared" si="29"/>
        <v>#VALUE!</v>
      </c>
      <c r="R41" s="27"/>
      <c r="S41" s="26">
        <f t="shared" si="30"/>
        <v>1360</v>
      </c>
      <c r="T41" s="26" t="e">
        <f t="shared" si="31"/>
        <v>#REF!</v>
      </c>
      <c r="U41" s="27" t="e">
        <f t="shared" si="32"/>
        <v>#REF!</v>
      </c>
      <c r="V41" s="27"/>
      <c r="W41" s="26">
        <f t="shared" si="33"/>
        <v>2110</v>
      </c>
      <c r="X41" s="26" t="e">
        <f t="shared" si="34"/>
        <v>#REF!</v>
      </c>
      <c r="Y41" s="27" t="e">
        <f t="shared" si="35"/>
        <v>#REF!</v>
      </c>
    </row>
    <row r="42" spans="1:25" ht="16.5" customHeight="1" x14ac:dyDescent="0.25">
      <c r="A42" s="16" t="s">
        <v>100</v>
      </c>
      <c r="B42" s="17" t="s">
        <v>101</v>
      </c>
      <c r="C42" s="25">
        <f t="shared" si="18"/>
        <v>475</v>
      </c>
      <c r="D42" s="25" t="e">
        <f t="shared" si="19"/>
        <v>#REF!</v>
      </c>
      <c r="E42" s="27" t="e">
        <f t="shared" si="20"/>
        <v>#REF!</v>
      </c>
      <c r="F42" s="27"/>
      <c r="G42" s="25">
        <f t="shared" si="21"/>
        <v>165</v>
      </c>
      <c r="H42" s="25" t="e">
        <f t="shared" si="22"/>
        <v>#REF!</v>
      </c>
      <c r="I42" s="27" t="e">
        <f t="shared" si="23"/>
        <v>#REF!</v>
      </c>
      <c r="J42" s="27"/>
      <c r="K42" s="25">
        <f t="shared" si="24"/>
        <v>80</v>
      </c>
      <c r="L42" s="25" t="e">
        <f t="shared" si="25"/>
        <v>#REF!</v>
      </c>
      <c r="M42" s="27" t="e">
        <f t="shared" si="26"/>
        <v>#REF!</v>
      </c>
      <c r="N42" s="39"/>
      <c r="O42" s="36" t="str">
        <f t="shared" si="27"/>
        <v>Northern</v>
      </c>
      <c r="P42" s="26" t="e">
        <f t="shared" si="28"/>
        <v>#REF!</v>
      </c>
      <c r="Q42" s="27" t="e">
        <f t="shared" si="29"/>
        <v>#VALUE!</v>
      </c>
      <c r="R42" s="27"/>
      <c r="S42" s="26">
        <f t="shared" si="30"/>
        <v>1323</v>
      </c>
      <c r="T42" s="26" t="e">
        <f t="shared" si="31"/>
        <v>#REF!</v>
      </c>
      <c r="U42" s="27" t="e">
        <f t="shared" si="32"/>
        <v>#REF!</v>
      </c>
      <c r="V42" s="27"/>
      <c r="W42" s="26">
        <f t="shared" si="33"/>
        <v>1641</v>
      </c>
      <c r="X42" s="26" t="e">
        <f t="shared" si="34"/>
        <v>#REF!</v>
      </c>
      <c r="Y42" s="27" t="e">
        <f t="shared" si="35"/>
        <v>#REF!</v>
      </c>
    </row>
    <row r="43" spans="1:25" ht="16.5" customHeight="1" x14ac:dyDescent="0.25">
      <c r="A43" s="16" t="s">
        <v>102</v>
      </c>
      <c r="B43" s="32" t="s">
        <v>103</v>
      </c>
      <c r="C43" s="25">
        <f t="shared" si="18"/>
        <v>4550</v>
      </c>
      <c r="D43" s="25" t="e">
        <f t="shared" si="19"/>
        <v>#REF!</v>
      </c>
      <c r="E43" s="27" t="e">
        <f t="shared" si="20"/>
        <v>#REF!</v>
      </c>
      <c r="F43" s="27"/>
      <c r="G43" s="25">
        <f t="shared" si="21"/>
        <v>127</v>
      </c>
      <c r="H43" s="25" t="e">
        <f t="shared" si="22"/>
        <v>#REF!</v>
      </c>
      <c r="I43" s="27" t="e">
        <f t="shared" si="23"/>
        <v>#REF!</v>
      </c>
      <c r="J43" s="27"/>
      <c r="K43" s="25">
        <f t="shared" si="24"/>
        <v>13</v>
      </c>
      <c r="L43" s="25" t="e">
        <f t="shared" si="25"/>
        <v>#REF!</v>
      </c>
      <c r="M43" s="27" t="e">
        <f t="shared" si="26"/>
        <v>#REF!</v>
      </c>
      <c r="N43" s="39"/>
      <c r="O43" s="36" t="str">
        <f t="shared" si="27"/>
        <v>Eastern</v>
      </c>
      <c r="P43" s="26" t="e">
        <f t="shared" si="28"/>
        <v>#REF!</v>
      </c>
      <c r="Q43" s="27" t="e">
        <f t="shared" si="29"/>
        <v>#VALUE!</v>
      </c>
      <c r="R43" s="27"/>
      <c r="S43" s="26">
        <f t="shared" si="30"/>
        <v>2313</v>
      </c>
      <c r="T43" s="26" t="e">
        <f t="shared" si="31"/>
        <v>#REF!</v>
      </c>
      <c r="U43" s="27" t="e">
        <f t="shared" si="32"/>
        <v>#REF!</v>
      </c>
      <c r="V43" s="27"/>
      <c r="W43" s="26">
        <f t="shared" si="33"/>
        <v>3106</v>
      </c>
      <c r="X43" s="26" t="e">
        <f t="shared" si="34"/>
        <v>#REF!</v>
      </c>
      <c r="Y43" s="27" t="e">
        <f t="shared" si="35"/>
        <v>#REF!</v>
      </c>
    </row>
    <row r="44" spans="1:25" ht="16.5" customHeight="1" x14ac:dyDescent="0.25">
      <c r="A44" s="16" t="s">
        <v>104</v>
      </c>
      <c r="B44" s="32" t="s">
        <v>309</v>
      </c>
      <c r="C44" s="25">
        <f t="shared" si="18"/>
        <v>4846</v>
      </c>
      <c r="D44" s="25" t="e">
        <f t="shared" si="19"/>
        <v>#REF!</v>
      </c>
      <c r="E44" s="27" t="e">
        <f t="shared" si="20"/>
        <v>#REF!</v>
      </c>
      <c r="F44" s="27"/>
      <c r="G44" s="25">
        <f t="shared" si="21"/>
        <v>192</v>
      </c>
      <c r="H44" s="25" t="e">
        <f t="shared" si="22"/>
        <v>#REF!</v>
      </c>
      <c r="I44" s="27" t="e">
        <f t="shared" si="23"/>
        <v>#REF!</v>
      </c>
      <c r="J44" s="27"/>
      <c r="K44" s="25">
        <f t="shared" si="24"/>
        <v>70</v>
      </c>
      <c r="L44" s="25" t="e">
        <f t="shared" si="25"/>
        <v>#REF!</v>
      </c>
      <c r="M44" s="27" t="e">
        <f t="shared" si="26"/>
        <v>#REF!</v>
      </c>
      <c r="N44" s="39"/>
      <c r="O44" s="36" t="str">
        <f t="shared" si="27"/>
        <v>Piedmont</v>
      </c>
      <c r="P44" s="26" t="e">
        <f t="shared" si="28"/>
        <v>#REF!</v>
      </c>
      <c r="Q44" s="27" t="e">
        <f t="shared" si="29"/>
        <v>#VALUE!</v>
      </c>
      <c r="R44" s="27"/>
      <c r="S44" s="26">
        <f t="shared" si="30"/>
        <v>3344</v>
      </c>
      <c r="T44" s="26" t="e">
        <f t="shared" si="31"/>
        <v>#REF!</v>
      </c>
      <c r="U44" s="27" t="e">
        <f t="shared" si="32"/>
        <v>#REF!</v>
      </c>
      <c r="V44" s="27"/>
      <c r="W44" s="26">
        <f t="shared" si="33"/>
        <v>4882</v>
      </c>
      <c r="X44" s="26" t="e">
        <f t="shared" si="34"/>
        <v>#REF!</v>
      </c>
      <c r="Y44" s="27" t="e">
        <f t="shared" si="35"/>
        <v>#REF!</v>
      </c>
    </row>
    <row r="45" spans="1:25" ht="16.5" customHeight="1" x14ac:dyDescent="0.25">
      <c r="A45" s="16" t="s">
        <v>108</v>
      </c>
      <c r="B45" s="17" t="s">
        <v>109</v>
      </c>
      <c r="C45" s="25">
        <f t="shared" si="18"/>
        <v>1959</v>
      </c>
      <c r="D45" s="25" t="e">
        <f t="shared" si="19"/>
        <v>#REF!</v>
      </c>
      <c r="E45" s="27" t="e">
        <f t="shared" si="20"/>
        <v>#REF!</v>
      </c>
      <c r="F45" s="27"/>
      <c r="G45" s="25">
        <f t="shared" si="21"/>
        <v>304</v>
      </c>
      <c r="H45" s="25" t="e">
        <f t="shared" si="22"/>
        <v>#REF!</v>
      </c>
      <c r="I45" s="27" t="e">
        <f t="shared" si="23"/>
        <v>#REF!</v>
      </c>
      <c r="J45" s="27"/>
      <c r="K45" s="25">
        <f t="shared" si="24"/>
        <v>60</v>
      </c>
      <c r="L45" s="25" t="e">
        <f t="shared" si="25"/>
        <v>#REF!</v>
      </c>
      <c r="M45" s="27" t="e">
        <f t="shared" si="26"/>
        <v>#REF!</v>
      </c>
      <c r="N45" s="39"/>
      <c r="O45" s="36" t="str">
        <f t="shared" si="27"/>
        <v>Central</v>
      </c>
      <c r="P45" s="26" t="e">
        <f t="shared" si="28"/>
        <v>#REF!</v>
      </c>
      <c r="Q45" s="27" t="e">
        <f t="shared" si="29"/>
        <v>#VALUE!</v>
      </c>
      <c r="R45" s="27"/>
      <c r="S45" s="26">
        <f t="shared" si="30"/>
        <v>3329</v>
      </c>
      <c r="T45" s="26" t="e">
        <f t="shared" si="31"/>
        <v>#REF!</v>
      </c>
      <c r="U45" s="27" t="e">
        <f t="shared" si="32"/>
        <v>#REF!</v>
      </c>
      <c r="V45" s="27"/>
      <c r="W45" s="26">
        <f t="shared" si="33"/>
        <v>4463</v>
      </c>
      <c r="X45" s="26" t="e">
        <f t="shared" si="34"/>
        <v>#REF!</v>
      </c>
      <c r="Y45" s="27" t="e">
        <f t="shared" si="35"/>
        <v>#REF!</v>
      </c>
    </row>
    <row r="46" spans="1:25" ht="16.5" customHeight="1" x14ac:dyDescent="0.25">
      <c r="A46" s="16" t="s">
        <v>110</v>
      </c>
      <c r="B46" s="17" t="s">
        <v>111</v>
      </c>
      <c r="C46" s="25">
        <f t="shared" si="18"/>
        <v>25465</v>
      </c>
      <c r="D46" s="25" t="e">
        <f t="shared" si="19"/>
        <v>#REF!</v>
      </c>
      <c r="E46" s="27" t="e">
        <f t="shared" si="20"/>
        <v>#REF!</v>
      </c>
      <c r="F46" s="27"/>
      <c r="G46" s="25">
        <f t="shared" si="21"/>
        <v>2936</v>
      </c>
      <c r="H46" s="25" t="e">
        <f t="shared" si="22"/>
        <v>#REF!</v>
      </c>
      <c r="I46" s="27" t="e">
        <f t="shared" si="23"/>
        <v>#REF!</v>
      </c>
      <c r="J46" s="27"/>
      <c r="K46" s="25">
        <f t="shared" si="24"/>
        <v>264</v>
      </c>
      <c r="L46" s="25" t="e">
        <f t="shared" si="25"/>
        <v>#REF!</v>
      </c>
      <c r="M46" s="27" t="e">
        <f t="shared" si="26"/>
        <v>#REF!</v>
      </c>
      <c r="N46" s="39"/>
      <c r="O46" s="36" t="str">
        <f t="shared" si="27"/>
        <v>Central</v>
      </c>
      <c r="P46" s="26" t="e">
        <f t="shared" si="28"/>
        <v>#REF!</v>
      </c>
      <c r="Q46" s="27" t="e">
        <f t="shared" si="29"/>
        <v>#VALUE!</v>
      </c>
      <c r="R46" s="27"/>
      <c r="S46" s="26">
        <f t="shared" si="30"/>
        <v>20976</v>
      </c>
      <c r="T46" s="26" t="e">
        <f t="shared" si="31"/>
        <v>#REF!</v>
      </c>
      <c r="U46" s="27" t="e">
        <f t="shared" si="32"/>
        <v>#REF!</v>
      </c>
      <c r="V46" s="27"/>
      <c r="W46" s="26">
        <f t="shared" si="33"/>
        <v>25303</v>
      </c>
      <c r="X46" s="26" t="e">
        <f t="shared" si="34"/>
        <v>#REF!</v>
      </c>
      <c r="Y46" s="27" t="e">
        <f t="shared" si="35"/>
        <v>#REF!</v>
      </c>
    </row>
    <row r="47" spans="1:25" ht="16.5" customHeight="1" x14ac:dyDescent="0.25">
      <c r="A47" s="16" t="s">
        <v>112</v>
      </c>
      <c r="B47" s="32" t="s">
        <v>300</v>
      </c>
      <c r="C47" s="25">
        <f t="shared" si="18"/>
        <v>7541</v>
      </c>
      <c r="D47" s="25" t="e">
        <f t="shared" si="19"/>
        <v>#REF!</v>
      </c>
      <c r="E47" s="27" t="e">
        <f t="shared" si="20"/>
        <v>#REF!</v>
      </c>
      <c r="F47" s="27"/>
      <c r="G47" s="25">
        <f t="shared" si="21"/>
        <v>268</v>
      </c>
      <c r="H47" s="25" t="e">
        <f t="shared" si="22"/>
        <v>#REF!</v>
      </c>
      <c r="I47" s="27" t="e">
        <f t="shared" si="23"/>
        <v>#REF!</v>
      </c>
      <c r="J47" s="27"/>
      <c r="K47" s="25">
        <f t="shared" si="24"/>
        <v>94</v>
      </c>
      <c r="L47" s="25" t="e">
        <f t="shared" si="25"/>
        <v>#REF!</v>
      </c>
      <c r="M47" s="27" t="e">
        <f t="shared" si="26"/>
        <v>#REF!</v>
      </c>
      <c r="N47" s="39"/>
      <c r="O47" s="36" t="str">
        <f t="shared" si="27"/>
        <v>Piedmont</v>
      </c>
      <c r="P47" s="26" t="e">
        <f t="shared" si="28"/>
        <v>#REF!</v>
      </c>
      <c r="Q47" s="27" t="e">
        <f t="shared" si="29"/>
        <v>#VALUE!</v>
      </c>
      <c r="R47" s="27"/>
      <c r="S47" s="26">
        <f t="shared" si="30"/>
        <v>8026</v>
      </c>
      <c r="T47" s="26" t="e">
        <f t="shared" si="31"/>
        <v>#REF!</v>
      </c>
      <c r="U47" s="27" t="e">
        <f t="shared" si="32"/>
        <v>#REF!</v>
      </c>
      <c r="V47" s="27"/>
      <c r="W47" s="26">
        <f t="shared" si="33"/>
        <v>12361</v>
      </c>
      <c r="X47" s="26" t="e">
        <f t="shared" si="34"/>
        <v>#REF!</v>
      </c>
      <c r="Y47" s="27" t="e">
        <f t="shared" si="35"/>
        <v>#REF!</v>
      </c>
    </row>
    <row r="48" spans="1:25" ht="16.5" customHeight="1" x14ac:dyDescent="0.25">
      <c r="A48" s="16" t="s">
        <v>114</v>
      </c>
      <c r="B48" s="32" t="s">
        <v>115</v>
      </c>
      <c r="C48" s="25">
        <f t="shared" si="18"/>
        <v>0</v>
      </c>
      <c r="D48" s="25" t="e">
        <f t="shared" si="19"/>
        <v>#REF!</v>
      </c>
      <c r="E48" s="27" t="e">
        <f t="shared" si="20"/>
        <v>#REF!</v>
      </c>
      <c r="F48" s="27"/>
      <c r="G48" s="25">
        <f t="shared" si="21"/>
        <v>0</v>
      </c>
      <c r="H48" s="25" t="e">
        <f t="shared" si="22"/>
        <v>#REF!</v>
      </c>
      <c r="I48" s="27" t="e">
        <f t="shared" si="23"/>
        <v>#REF!</v>
      </c>
      <c r="J48" s="27"/>
      <c r="K48" s="25">
        <f t="shared" si="24"/>
        <v>0</v>
      </c>
      <c r="L48" s="25" t="e">
        <f t="shared" si="25"/>
        <v>#REF!</v>
      </c>
      <c r="M48" s="27" t="e">
        <f t="shared" si="26"/>
        <v>#REF!</v>
      </c>
      <c r="N48" s="39"/>
      <c r="O48" s="36" t="str">
        <f t="shared" si="27"/>
        <v>Piedmont</v>
      </c>
      <c r="P48" s="26" t="e">
        <f t="shared" si="28"/>
        <v>#REF!</v>
      </c>
      <c r="Q48" s="27" t="e">
        <f t="shared" si="29"/>
        <v>#VALUE!</v>
      </c>
      <c r="R48" s="27"/>
      <c r="S48" s="26">
        <f t="shared" si="30"/>
        <v>77</v>
      </c>
      <c r="T48" s="26" t="e">
        <f t="shared" si="31"/>
        <v>#REF!</v>
      </c>
      <c r="U48" s="27" t="e">
        <f t="shared" si="32"/>
        <v>#REF!</v>
      </c>
      <c r="V48" s="27"/>
      <c r="W48" s="26">
        <f t="shared" si="33"/>
        <v>127</v>
      </c>
      <c r="X48" s="26" t="e">
        <f t="shared" si="34"/>
        <v>#REF!</v>
      </c>
      <c r="Y48" s="27" t="e">
        <f t="shared" si="35"/>
        <v>#REF!</v>
      </c>
    </row>
    <row r="49" spans="1:25" ht="16.5" customHeight="1" x14ac:dyDescent="0.25">
      <c r="A49" s="16" t="s">
        <v>118</v>
      </c>
      <c r="B49" s="17" t="s">
        <v>119</v>
      </c>
      <c r="C49" s="25">
        <f t="shared" si="18"/>
        <v>2626</v>
      </c>
      <c r="D49" s="25" t="e">
        <f t="shared" si="19"/>
        <v>#REF!</v>
      </c>
      <c r="E49" s="27" t="e">
        <f t="shared" si="20"/>
        <v>#REF!</v>
      </c>
      <c r="F49" s="27"/>
      <c r="G49" s="25">
        <f t="shared" si="21"/>
        <v>134</v>
      </c>
      <c r="H49" s="25" t="e">
        <f t="shared" si="22"/>
        <v>#REF!</v>
      </c>
      <c r="I49" s="27" t="e">
        <f t="shared" si="23"/>
        <v>#REF!</v>
      </c>
      <c r="J49" s="27"/>
      <c r="K49" s="25">
        <f t="shared" si="24"/>
        <v>79</v>
      </c>
      <c r="L49" s="25" t="e">
        <f t="shared" si="25"/>
        <v>#REF!</v>
      </c>
      <c r="M49" s="27" t="e">
        <f t="shared" si="26"/>
        <v>#REF!</v>
      </c>
      <c r="N49" s="39"/>
      <c r="O49" s="36" t="str">
        <f t="shared" si="27"/>
        <v>Eastern</v>
      </c>
      <c r="P49" s="26" t="e">
        <f t="shared" si="28"/>
        <v>#REF!</v>
      </c>
      <c r="Q49" s="27" t="e">
        <f t="shared" si="29"/>
        <v>#VALUE!</v>
      </c>
      <c r="R49" s="27"/>
      <c r="S49" s="26">
        <f t="shared" si="30"/>
        <v>2209</v>
      </c>
      <c r="T49" s="26" t="e">
        <f t="shared" si="31"/>
        <v>#REF!</v>
      </c>
      <c r="U49" s="27" t="e">
        <f t="shared" si="32"/>
        <v>#REF!</v>
      </c>
      <c r="V49" s="27"/>
      <c r="W49" s="26">
        <f t="shared" si="33"/>
        <v>3086</v>
      </c>
      <c r="X49" s="26" t="e">
        <f t="shared" si="34"/>
        <v>#REF!</v>
      </c>
      <c r="Y49" s="27" t="e">
        <f t="shared" si="35"/>
        <v>#REF!</v>
      </c>
    </row>
    <row r="50" spans="1:25" ht="16.5" customHeight="1" x14ac:dyDescent="0.25">
      <c r="A50" s="16" t="s">
        <v>120</v>
      </c>
      <c r="B50" s="17" t="s">
        <v>121</v>
      </c>
      <c r="C50" s="25">
        <f t="shared" si="18"/>
        <v>2725</v>
      </c>
      <c r="D50" s="25" t="e">
        <f t="shared" si="19"/>
        <v>#REF!</v>
      </c>
      <c r="E50" s="27" t="e">
        <f t="shared" si="20"/>
        <v>#REF!</v>
      </c>
      <c r="F50" s="27"/>
      <c r="G50" s="25">
        <f t="shared" si="21"/>
        <v>379</v>
      </c>
      <c r="H50" s="25" t="e">
        <f t="shared" si="22"/>
        <v>#REF!</v>
      </c>
      <c r="I50" s="27" t="e">
        <f t="shared" si="23"/>
        <v>#REF!</v>
      </c>
      <c r="J50" s="27"/>
      <c r="K50" s="25">
        <f t="shared" si="24"/>
        <v>172</v>
      </c>
      <c r="L50" s="25" t="e">
        <f t="shared" si="25"/>
        <v>#REF!</v>
      </c>
      <c r="M50" s="27" t="e">
        <f t="shared" si="26"/>
        <v>#REF!</v>
      </c>
      <c r="N50" s="39"/>
      <c r="O50" s="36" t="str">
        <f t="shared" si="27"/>
        <v>Eastern</v>
      </c>
      <c r="P50" s="26" t="e">
        <f t="shared" si="28"/>
        <v>#REF!</v>
      </c>
      <c r="Q50" s="27" t="e">
        <f t="shared" si="29"/>
        <v>#VALUE!</v>
      </c>
      <c r="R50" s="27"/>
      <c r="S50" s="26">
        <f t="shared" si="30"/>
        <v>3114</v>
      </c>
      <c r="T50" s="26" t="e">
        <f t="shared" si="31"/>
        <v>#REF!</v>
      </c>
      <c r="U50" s="27" t="e">
        <f t="shared" si="32"/>
        <v>#REF!</v>
      </c>
      <c r="V50" s="27"/>
      <c r="W50" s="26">
        <f t="shared" si="33"/>
        <v>3702</v>
      </c>
      <c r="X50" s="26" t="e">
        <f t="shared" si="34"/>
        <v>#REF!</v>
      </c>
      <c r="Y50" s="27" t="e">
        <f t="shared" si="35"/>
        <v>#REF!</v>
      </c>
    </row>
    <row r="51" spans="1:25" ht="16.5" customHeight="1" x14ac:dyDescent="0.25">
      <c r="A51" s="16" t="s">
        <v>122</v>
      </c>
      <c r="B51" s="17" t="s">
        <v>271</v>
      </c>
      <c r="C51" s="25">
        <f t="shared" si="18"/>
        <v>687</v>
      </c>
      <c r="D51" s="25" t="e">
        <f t="shared" si="19"/>
        <v>#REF!</v>
      </c>
      <c r="E51" s="27" t="e">
        <f t="shared" si="20"/>
        <v>#REF!</v>
      </c>
      <c r="F51" s="27"/>
      <c r="G51" s="25">
        <f t="shared" si="21"/>
        <v>67</v>
      </c>
      <c r="H51" s="25" t="e">
        <f t="shared" si="22"/>
        <v>#REF!</v>
      </c>
      <c r="I51" s="27" t="e">
        <f t="shared" si="23"/>
        <v>#REF!</v>
      </c>
      <c r="J51" s="27"/>
      <c r="K51" s="25">
        <f t="shared" si="24"/>
        <v>47</v>
      </c>
      <c r="L51" s="25" t="e">
        <f t="shared" si="25"/>
        <v>#REF!</v>
      </c>
      <c r="M51" s="27" t="e">
        <f t="shared" si="26"/>
        <v>#REF!</v>
      </c>
      <c r="N51" s="39"/>
      <c r="O51" s="36" t="str">
        <f t="shared" si="27"/>
        <v>Central</v>
      </c>
      <c r="P51" s="26" t="e">
        <f t="shared" si="28"/>
        <v>#REF!</v>
      </c>
      <c r="Q51" s="27" t="e">
        <f t="shared" si="29"/>
        <v>#VALUE!</v>
      </c>
      <c r="R51" s="27"/>
      <c r="S51" s="26">
        <f t="shared" si="30"/>
        <v>666</v>
      </c>
      <c r="T51" s="26" t="e">
        <f t="shared" si="31"/>
        <v>#REF!</v>
      </c>
      <c r="U51" s="27" t="e">
        <f t="shared" si="32"/>
        <v>#REF!</v>
      </c>
      <c r="V51" s="27"/>
      <c r="W51" s="26">
        <f t="shared" si="33"/>
        <v>938</v>
      </c>
      <c r="X51" s="26" t="e">
        <f t="shared" si="34"/>
        <v>#REF!</v>
      </c>
      <c r="Y51" s="27" t="e">
        <f t="shared" si="35"/>
        <v>#REF!</v>
      </c>
    </row>
    <row r="52" spans="1:25" ht="16.5" customHeight="1" x14ac:dyDescent="0.25">
      <c r="A52" s="16" t="s">
        <v>124</v>
      </c>
      <c r="B52" s="17" t="s">
        <v>125</v>
      </c>
      <c r="C52" s="25">
        <f t="shared" si="18"/>
        <v>1479</v>
      </c>
      <c r="D52" s="25" t="e">
        <f t="shared" si="19"/>
        <v>#REF!</v>
      </c>
      <c r="E52" s="27" t="e">
        <f t="shared" si="20"/>
        <v>#REF!</v>
      </c>
      <c r="F52" s="27"/>
      <c r="G52" s="25">
        <f t="shared" si="21"/>
        <v>174</v>
      </c>
      <c r="H52" s="25" t="e">
        <f t="shared" si="22"/>
        <v>#REF!</v>
      </c>
      <c r="I52" s="27" t="e">
        <f t="shared" si="23"/>
        <v>#REF!</v>
      </c>
      <c r="J52" s="27"/>
      <c r="K52" s="25">
        <f t="shared" si="24"/>
        <v>118</v>
      </c>
      <c r="L52" s="25" t="e">
        <f t="shared" si="25"/>
        <v>#REF!</v>
      </c>
      <c r="M52" s="27" t="e">
        <f t="shared" si="26"/>
        <v>#REF!</v>
      </c>
      <c r="N52" s="39"/>
      <c r="O52" s="36" t="str">
        <f t="shared" si="27"/>
        <v>Northern</v>
      </c>
      <c r="P52" s="26" t="e">
        <f t="shared" si="28"/>
        <v>#REF!</v>
      </c>
      <c r="Q52" s="27" t="e">
        <f t="shared" si="29"/>
        <v>#VALUE!</v>
      </c>
      <c r="R52" s="27"/>
      <c r="S52" s="26">
        <f t="shared" si="30"/>
        <v>1782</v>
      </c>
      <c r="T52" s="26" t="e">
        <f t="shared" si="31"/>
        <v>#REF!</v>
      </c>
      <c r="U52" s="27" t="e">
        <f t="shared" si="32"/>
        <v>#REF!</v>
      </c>
      <c r="V52" s="27"/>
      <c r="W52" s="26">
        <f t="shared" si="33"/>
        <v>2158</v>
      </c>
      <c r="X52" s="26" t="e">
        <f t="shared" si="34"/>
        <v>#REF!</v>
      </c>
      <c r="Y52" s="27" t="e">
        <f t="shared" si="35"/>
        <v>#REF!</v>
      </c>
    </row>
    <row r="53" spans="1:25" ht="16.5" customHeight="1" x14ac:dyDescent="0.25">
      <c r="A53" s="16" t="s">
        <v>126</v>
      </c>
      <c r="B53" s="17" t="s">
        <v>127</v>
      </c>
      <c r="C53" s="25">
        <f t="shared" si="18"/>
        <v>921</v>
      </c>
      <c r="D53" s="25" t="e">
        <f t="shared" si="19"/>
        <v>#REF!</v>
      </c>
      <c r="E53" s="27" t="e">
        <f t="shared" si="20"/>
        <v>#REF!</v>
      </c>
      <c r="F53" s="27"/>
      <c r="G53" s="25">
        <f t="shared" si="21"/>
        <v>89</v>
      </c>
      <c r="H53" s="25" t="e">
        <f t="shared" si="22"/>
        <v>#REF!</v>
      </c>
      <c r="I53" s="27" t="e">
        <f t="shared" si="23"/>
        <v>#REF!</v>
      </c>
      <c r="J53" s="27"/>
      <c r="K53" s="25">
        <f t="shared" si="24"/>
        <v>21</v>
      </c>
      <c r="L53" s="25" t="e">
        <f t="shared" si="25"/>
        <v>#REF!</v>
      </c>
      <c r="M53" s="27" t="e">
        <f t="shared" si="26"/>
        <v>#REF!</v>
      </c>
      <c r="N53" s="39"/>
      <c r="O53" s="36" t="str">
        <f t="shared" si="27"/>
        <v>Central</v>
      </c>
      <c r="P53" s="26" t="e">
        <f t="shared" si="28"/>
        <v>#REF!</v>
      </c>
      <c r="Q53" s="27" t="e">
        <f t="shared" si="29"/>
        <v>#VALUE!</v>
      </c>
      <c r="R53" s="27"/>
      <c r="S53" s="26">
        <f t="shared" si="30"/>
        <v>1051</v>
      </c>
      <c r="T53" s="26" t="e">
        <f t="shared" si="31"/>
        <v>#REF!</v>
      </c>
      <c r="U53" s="27" t="e">
        <f t="shared" si="32"/>
        <v>#REF!</v>
      </c>
      <c r="V53" s="27"/>
      <c r="W53" s="26">
        <f t="shared" si="33"/>
        <v>1305</v>
      </c>
      <c r="X53" s="26" t="e">
        <f t="shared" si="34"/>
        <v>#REF!</v>
      </c>
      <c r="Y53" s="27" t="e">
        <f t="shared" si="35"/>
        <v>#REF!</v>
      </c>
    </row>
    <row r="54" spans="1:25" ht="16.5" customHeight="1" x14ac:dyDescent="0.25">
      <c r="A54" s="16" t="s">
        <v>128</v>
      </c>
      <c r="B54" s="17" t="s">
        <v>129</v>
      </c>
      <c r="C54" s="25">
        <f t="shared" si="18"/>
        <v>1485</v>
      </c>
      <c r="D54" s="25" t="e">
        <f t="shared" si="19"/>
        <v>#REF!</v>
      </c>
      <c r="E54" s="27" t="e">
        <f t="shared" si="20"/>
        <v>#REF!</v>
      </c>
      <c r="F54" s="27"/>
      <c r="G54" s="25">
        <f t="shared" si="21"/>
        <v>73</v>
      </c>
      <c r="H54" s="25" t="e">
        <f t="shared" si="22"/>
        <v>#REF!</v>
      </c>
      <c r="I54" s="27" t="e">
        <f t="shared" si="23"/>
        <v>#REF!</v>
      </c>
      <c r="J54" s="27"/>
      <c r="K54" s="25">
        <f t="shared" si="24"/>
        <v>58</v>
      </c>
      <c r="L54" s="25" t="e">
        <f t="shared" si="25"/>
        <v>#REF!</v>
      </c>
      <c r="M54" s="27" t="e">
        <f t="shared" si="26"/>
        <v>#REF!</v>
      </c>
      <c r="N54" s="39"/>
      <c r="O54" s="36" t="str">
        <f t="shared" si="27"/>
        <v>Central</v>
      </c>
      <c r="P54" s="26" t="e">
        <f t="shared" si="28"/>
        <v>#REF!</v>
      </c>
      <c r="Q54" s="27" t="e">
        <f t="shared" si="29"/>
        <v>#VALUE!</v>
      </c>
      <c r="R54" s="27"/>
      <c r="S54" s="26">
        <f t="shared" si="30"/>
        <v>871</v>
      </c>
      <c r="T54" s="26" t="e">
        <f t="shared" si="31"/>
        <v>#REF!</v>
      </c>
      <c r="U54" s="27" t="e">
        <f t="shared" si="32"/>
        <v>#REF!</v>
      </c>
      <c r="V54" s="27"/>
      <c r="W54" s="26">
        <f t="shared" si="33"/>
        <v>1195</v>
      </c>
      <c r="X54" s="26" t="e">
        <f t="shared" si="34"/>
        <v>#REF!</v>
      </c>
      <c r="Y54" s="27" t="e">
        <f t="shared" si="35"/>
        <v>#REF!</v>
      </c>
    </row>
    <row r="55" spans="1:25" ht="16.5" customHeight="1" x14ac:dyDescent="0.25">
      <c r="A55" s="16" t="s">
        <v>130</v>
      </c>
      <c r="B55" s="32" t="s">
        <v>131</v>
      </c>
      <c r="C55" s="25">
        <f t="shared" si="18"/>
        <v>45</v>
      </c>
      <c r="D55" s="25" t="e">
        <f t="shared" si="19"/>
        <v>#REF!</v>
      </c>
      <c r="E55" s="27" t="e">
        <f t="shared" si="20"/>
        <v>#REF!</v>
      </c>
      <c r="F55" s="27"/>
      <c r="G55" s="25">
        <f t="shared" si="21"/>
        <v>25</v>
      </c>
      <c r="H55" s="25" t="e">
        <f t="shared" si="22"/>
        <v>#REF!</v>
      </c>
      <c r="I55" s="27" t="e">
        <f t="shared" si="23"/>
        <v>#REF!</v>
      </c>
      <c r="J55" s="27"/>
      <c r="K55" s="25">
        <f t="shared" si="24"/>
        <v>1</v>
      </c>
      <c r="L55" s="25" t="e">
        <f t="shared" si="25"/>
        <v>#REF!</v>
      </c>
      <c r="M55" s="27" t="e">
        <f t="shared" si="26"/>
        <v>#REF!</v>
      </c>
      <c r="N55" s="39"/>
      <c r="O55" s="36" t="str">
        <f t="shared" si="27"/>
        <v>Western</v>
      </c>
      <c r="P55" s="26" t="e">
        <f t="shared" si="28"/>
        <v>#REF!</v>
      </c>
      <c r="Q55" s="27" t="e">
        <f t="shared" si="29"/>
        <v>#VALUE!</v>
      </c>
      <c r="R55" s="27"/>
      <c r="S55" s="26">
        <f t="shared" si="30"/>
        <v>2472</v>
      </c>
      <c r="T55" s="26" t="e">
        <f t="shared" si="31"/>
        <v>#REF!</v>
      </c>
      <c r="U55" s="27" t="e">
        <f t="shared" si="32"/>
        <v>#REF!</v>
      </c>
      <c r="V55" s="27"/>
      <c r="W55" s="26">
        <f t="shared" si="33"/>
        <v>4650</v>
      </c>
      <c r="X55" s="26" t="e">
        <f t="shared" si="34"/>
        <v>#REF!</v>
      </c>
      <c r="Y55" s="27" t="e">
        <f t="shared" si="35"/>
        <v>#REF!</v>
      </c>
    </row>
    <row r="56" spans="1:25" ht="16.5" customHeight="1" x14ac:dyDescent="0.25">
      <c r="A56" s="16" t="s">
        <v>132</v>
      </c>
      <c r="B56" s="17" t="s">
        <v>133</v>
      </c>
      <c r="C56" s="25">
        <f t="shared" si="18"/>
        <v>2475</v>
      </c>
      <c r="D56" s="25" t="e">
        <f t="shared" si="19"/>
        <v>#REF!</v>
      </c>
      <c r="E56" s="27" t="e">
        <f t="shared" si="20"/>
        <v>#REF!</v>
      </c>
      <c r="F56" s="27"/>
      <c r="G56" s="25">
        <f t="shared" si="21"/>
        <v>2734</v>
      </c>
      <c r="H56" s="25" t="e">
        <f t="shared" si="22"/>
        <v>#REF!</v>
      </c>
      <c r="I56" s="27" t="e">
        <f t="shared" si="23"/>
        <v>#REF!</v>
      </c>
      <c r="J56" s="27"/>
      <c r="K56" s="25">
        <f t="shared" si="24"/>
        <v>69</v>
      </c>
      <c r="L56" s="25" t="e">
        <f t="shared" si="25"/>
        <v>#REF!</v>
      </c>
      <c r="M56" s="27" t="e">
        <f t="shared" si="26"/>
        <v>#REF!</v>
      </c>
      <c r="N56" s="39"/>
      <c r="O56" s="36" t="str">
        <f t="shared" si="27"/>
        <v>Northern</v>
      </c>
      <c r="P56" s="26" t="e">
        <f t="shared" si="28"/>
        <v>#REF!</v>
      </c>
      <c r="Q56" s="27" t="e">
        <f t="shared" si="29"/>
        <v>#VALUE!</v>
      </c>
      <c r="R56" s="27"/>
      <c r="S56" s="26">
        <f t="shared" si="30"/>
        <v>7013</v>
      </c>
      <c r="T56" s="26" t="e">
        <f t="shared" si="31"/>
        <v>#REF!</v>
      </c>
      <c r="U56" s="27" t="e">
        <f t="shared" si="32"/>
        <v>#REF!</v>
      </c>
      <c r="V56" s="27"/>
      <c r="W56" s="26">
        <f t="shared" si="33"/>
        <v>7327</v>
      </c>
      <c r="X56" s="26" t="e">
        <f t="shared" si="34"/>
        <v>#REF!</v>
      </c>
      <c r="Y56" s="27" t="e">
        <f t="shared" si="35"/>
        <v>#REF!</v>
      </c>
    </row>
    <row r="57" spans="1:25" ht="16.5" customHeight="1" x14ac:dyDescent="0.25">
      <c r="A57" s="16" t="s">
        <v>134</v>
      </c>
      <c r="B57" s="17" t="s">
        <v>135</v>
      </c>
      <c r="C57" s="25">
        <f t="shared" si="18"/>
        <v>1660</v>
      </c>
      <c r="D57" s="25" t="e">
        <f t="shared" si="19"/>
        <v>#REF!</v>
      </c>
      <c r="E57" s="27" t="e">
        <f t="shared" si="20"/>
        <v>#REF!</v>
      </c>
      <c r="F57" s="27"/>
      <c r="G57" s="25">
        <f t="shared" si="21"/>
        <v>166</v>
      </c>
      <c r="H57" s="25" t="e">
        <f t="shared" si="22"/>
        <v>#REF!</v>
      </c>
      <c r="I57" s="27" t="e">
        <f t="shared" si="23"/>
        <v>#REF!</v>
      </c>
      <c r="J57" s="27"/>
      <c r="K57" s="25">
        <f t="shared" si="24"/>
        <v>83</v>
      </c>
      <c r="L57" s="25" t="e">
        <f t="shared" si="25"/>
        <v>#REF!</v>
      </c>
      <c r="M57" s="27" t="e">
        <f t="shared" si="26"/>
        <v>#REF!</v>
      </c>
      <c r="N57" s="39"/>
      <c r="O57" s="36" t="str">
        <f t="shared" si="27"/>
        <v>Northern</v>
      </c>
      <c r="P57" s="26" t="e">
        <f t="shared" si="28"/>
        <v>#REF!</v>
      </c>
      <c r="Q57" s="27" t="e">
        <f t="shared" si="29"/>
        <v>#VALUE!</v>
      </c>
      <c r="R57" s="27"/>
      <c r="S57" s="26">
        <f t="shared" si="30"/>
        <v>2476</v>
      </c>
      <c r="T57" s="26" t="e">
        <f t="shared" si="31"/>
        <v>#REF!</v>
      </c>
      <c r="U57" s="27" t="e">
        <f t="shared" si="32"/>
        <v>#REF!</v>
      </c>
      <c r="V57" s="27"/>
      <c r="W57" s="26">
        <f t="shared" si="33"/>
        <v>3536</v>
      </c>
      <c r="X57" s="26" t="e">
        <f t="shared" si="34"/>
        <v>#REF!</v>
      </c>
      <c r="Y57" s="27" t="e">
        <f t="shared" si="35"/>
        <v>#REF!</v>
      </c>
    </row>
    <row r="58" spans="1:25" ht="16.5" customHeight="1" x14ac:dyDescent="0.25">
      <c r="A58" s="16" t="s">
        <v>136</v>
      </c>
      <c r="B58" s="32" t="s">
        <v>137</v>
      </c>
      <c r="C58" s="25">
        <f t="shared" si="18"/>
        <v>1569</v>
      </c>
      <c r="D58" s="25" t="e">
        <f t="shared" si="19"/>
        <v>#REF!</v>
      </c>
      <c r="E58" s="27" t="e">
        <f t="shared" si="20"/>
        <v>#REF!</v>
      </c>
      <c r="F58" s="27"/>
      <c r="G58" s="25">
        <f t="shared" si="21"/>
        <v>304</v>
      </c>
      <c r="H58" s="25" t="e">
        <f t="shared" si="22"/>
        <v>#REF!</v>
      </c>
      <c r="I58" s="27" t="e">
        <f t="shared" si="23"/>
        <v>#REF!</v>
      </c>
      <c r="J58" s="27"/>
      <c r="K58" s="25">
        <f t="shared" si="24"/>
        <v>43</v>
      </c>
      <c r="L58" s="25" t="e">
        <f t="shared" si="25"/>
        <v>#REF!</v>
      </c>
      <c r="M58" s="27" t="e">
        <f t="shared" si="26"/>
        <v>#REF!</v>
      </c>
      <c r="N58" s="39"/>
      <c r="O58" s="36" t="str">
        <f t="shared" si="27"/>
        <v>Central</v>
      </c>
      <c r="P58" s="26" t="e">
        <f t="shared" si="28"/>
        <v>#REF!</v>
      </c>
      <c r="Q58" s="27" t="e">
        <f t="shared" si="29"/>
        <v>#VALUE!</v>
      </c>
      <c r="R58" s="27"/>
      <c r="S58" s="26">
        <f t="shared" si="30"/>
        <v>1286</v>
      </c>
      <c r="T58" s="26" t="e">
        <f t="shared" si="31"/>
        <v>#REF!</v>
      </c>
      <c r="U58" s="27" t="e">
        <f t="shared" si="32"/>
        <v>#REF!</v>
      </c>
      <c r="V58" s="27"/>
      <c r="W58" s="26">
        <f t="shared" si="33"/>
        <v>1832</v>
      </c>
      <c r="X58" s="26" t="e">
        <f t="shared" si="34"/>
        <v>#REF!</v>
      </c>
      <c r="Y58" s="27" t="e">
        <f t="shared" si="35"/>
        <v>#REF!</v>
      </c>
    </row>
    <row r="59" spans="1:25" ht="16.5" customHeight="1" x14ac:dyDescent="0.25">
      <c r="A59" s="16" t="s">
        <v>140</v>
      </c>
      <c r="B59" s="17" t="s">
        <v>141</v>
      </c>
      <c r="C59" s="25">
        <f t="shared" si="18"/>
        <v>392</v>
      </c>
      <c r="D59" s="25" t="e">
        <f t="shared" si="19"/>
        <v>#REF!</v>
      </c>
      <c r="E59" s="27" t="e">
        <f t="shared" si="20"/>
        <v>#REF!</v>
      </c>
      <c r="F59" s="27"/>
      <c r="G59" s="25">
        <f t="shared" si="21"/>
        <v>49</v>
      </c>
      <c r="H59" s="25" t="e">
        <f t="shared" si="22"/>
        <v>#REF!</v>
      </c>
      <c r="I59" s="27" t="e">
        <f t="shared" si="23"/>
        <v>#REF!</v>
      </c>
      <c r="J59" s="27"/>
      <c r="K59" s="25">
        <f t="shared" si="24"/>
        <v>5</v>
      </c>
      <c r="L59" s="25" t="e">
        <f t="shared" si="25"/>
        <v>#REF!</v>
      </c>
      <c r="M59" s="27" t="e">
        <f t="shared" si="26"/>
        <v>#REF!</v>
      </c>
      <c r="N59" s="39"/>
      <c r="O59" s="36" t="str">
        <f t="shared" si="27"/>
        <v>Northern</v>
      </c>
      <c r="P59" s="26" t="e">
        <f t="shared" si="28"/>
        <v>#REF!</v>
      </c>
      <c r="Q59" s="27" t="e">
        <f t="shared" si="29"/>
        <v>#VALUE!</v>
      </c>
      <c r="R59" s="27"/>
      <c r="S59" s="26">
        <f t="shared" si="30"/>
        <v>920</v>
      </c>
      <c r="T59" s="26" t="e">
        <f t="shared" si="31"/>
        <v>#REF!</v>
      </c>
      <c r="U59" s="27" t="e">
        <f t="shared" si="32"/>
        <v>#REF!</v>
      </c>
      <c r="V59" s="27"/>
      <c r="W59" s="26">
        <f t="shared" si="33"/>
        <v>1252</v>
      </c>
      <c r="X59" s="26" t="e">
        <f t="shared" si="34"/>
        <v>#REF!</v>
      </c>
      <c r="Y59" s="27" t="e">
        <f t="shared" si="35"/>
        <v>#REF!</v>
      </c>
    </row>
    <row r="60" spans="1:25" ht="16.5" customHeight="1" x14ac:dyDescent="0.25">
      <c r="A60" s="16" t="s">
        <v>146</v>
      </c>
      <c r="B60" s="17" t="s">
        <v>147</v>
      </c>
      <c r="C60" s="25">
        <f t="shared" si="18"/>
        <v>266</v>
      </c>
      <c r="D60" s="25" t="e">
        <f t="shared" si="19"/>
        <v>#REF!</v>
      </c>
      <c r="E60" s="27" t="e">
        <f t="shared" si="20"/>
        <v>#REF!</v>
      </c>
      <c r="F60" s="27"/>
      <c r="G60" s="25">
        <f t="shared" si="21"/>
        <v>25</v>
      </c>
      <c r="H60" s="25" t="e">
        <f t="shared" si="22"/>
        <v>#REF!</v>
      </c>
      <c r="I60" s="27" t="e">
        <f t="shared" si="23"/>
        <v>#REF!</v>
      </c>
      <c r="J60" s="27"/>
      <c r="K60" s="25">
        <f t="shared" si="24"/>
        <v>16</v>
      </c>
      <c r="L60" s="25" t="e">
        <f t="shared" si="25"/>
        <v>#REF!</v>
      </c>
      <c r="M60" s="27" t="e">
        <f t="shared" si="26"/>
        <v>#REF!</v>
      </c>
      <c r="N60" s="39"/>
      <c r="O60" s="36" t="str">
        <f t="shared" si="27"/>
        <v>Eastern</v>
      </c>
      <c r="P60" s="26" t="e">
        <f t="shared" si="28"/>
        <v>#REF!</v>
      </c>
      <c r="Q60" s="27" t="e">
        <f t="shared" si="29"/>
        <v>#VALUE!</v>
      </c>
      <c r="R60" s="27"/>
      <c r="S60" s="26">
        <f t="shared" si="30"/>
        <v>468</v>
      </c>
      <c r="T60" s="26" t="e">
        <f t="shared" si="31"/>
        <v>#REF!</v>
      </c>
      <c r="U60" s="27" t="e">
        <f t="shared" si="32"/>
        <v>#REF!</v>
      </c>
      <c r="V60" s="27"/>
      <c r="W60" s="26">
        <f t="shared" si="33"/>
        <v>796</v>
      </c>
      <c r="X60" s="26" t="e">
        <f t="shared" si="34"/>
        <v>#REF!</v>
      </c>
      <c r="Y60" s="27" t="e">
        <f t="shared" si="35"/>
        <v>#REF!</v>
      </c>
    </row>
    <row r="61" spans="1:25" ht="16.5" customHeight="1" x14ac:dyDescent="0.25">
      <c r="A61" s="16" t="s">
        <v>148</v>
      </c>
      <c r="B61" s="17" t="s">
        <v>149</v>
      </c>
      <c r="C61" s="25">
        <f t="shared" si="18"/>
        <v>4208</v>
      </c>
      <c r="D61" s="25" t="e">
        <f t="shared" si="19"/>
        <v>#REF!</v>
      </c>
      <c r="E61" s="27" t="e">
        <f t="shared" si="20"/>
        <v>#REF!</v>
      </c>
      <c r="F61" s="27"/>
      <c r="G61" s="25">
        <f t="shared" si="21"/>
        <v>106</v>
      </c>
      <c r="H61" s="25" t="e">
        <f t="shared" si="22"/>
        <v>#REF!</v>
      </c>
      <c r="I61" s="27" t="e">
        <f t="shared" si="23"/>
        <v>#REF!</v>
      </c>
      <c r="J61" s="27"/>
      <c r="K61" s="25">
        <f t="shared" si="24"/>
        <v>31</v>
      </c>
      <c r="L61" s="25" t="e">
        <f t="shared" si="25"/>
        <v>#REF!</v>
      </c>
      <c r="M61" s="27" t="e">
        <f t="shared" si="26"/>
        <v>#REF!</v>
      </c>
      <c r="N61" s="39"/>
      <c r="O61" s="36" t="str">
        <f t="shared" si="27"/>
        <v>Piedmont</v>
      </c>
      <c r="P61" s="26" t="e">
        <f t="shared" si="28"/>
        <v>#REF!</v>
      </c>
      <c r="Q61" s="27" t="e">
        <f t="shared" si="29"/>
        <v>#VALUE!</v>
      </c>
      <c r="R61" s="27"/>
      <c r="S61" s="26">
        <f t="shared" si="30"/>
        <v>2764</v>
      </c>
      <c r="T61" s="26" t="e">
        <f t="shared" si="31"/>
        <v>#REF!</v>
      </c>
      <c r="U61" s="27" t="e">
        <f t="shared" si="32"/>
        <v>#REF!</v>
      </c>
      <c r="V61" s="27"/>
      <c r="W61" s="26">
        <f t="shared" si="33"/>
        <v>3951</v>
      </c>
      <c r="X61" s="26" t="e">
        <f t="shared" si="34"/>
        <v>#REF!</v>
      </c>
      <c r="Y61" s="27" t="e">
        <f t="shared" si="35"/>
        <v>#REF!</v>
      </c>
    </row>
    <row r="62" spans="1:25" ht="16.5" customHeight="1" x14ac:dyDescent="0.25">
      <c r="A62" s="16" t="s">
        <v>150</v>
      </c>
      <c r="B62" s="32" t="s">
        <v>151</v>
      </c>
      <c r="C62" s="25">
        <f t="shared" si="18"/>
        <v>700</v>
      </c>
      <c r="D62" s="25" t="e">
        <f t="shared" si="19"/>
        <v>#REF!</v>
      </c>
      <c r="E62" s="27" t="e">
        <f t="shared" si="20"/>
        <v>#REF!</v>
      </c>
      <c r="F62" s="27"/>
      <c r="G62" s="25">
        <f t="shared" si="21"/>
        <v>32</v>
      </c>
      <c r="H62" s="25" t="e">
        <f t="shared" si="22"/>
        <v>#REF!</v>
      </c>
      <c r="I62" s="27" t="e">
        <f t="shared" si="23"/>
        <v>#REF!</v>
      </c>
      <c r="J62" s="27"/>
      <c r="K62" s="25">
        <f t="shared" si="24"/>
        <v>14</v>
      </c>
      <c r="L62" s="25" t="e">
        <f t="shared" si="25"/>
        <v>#REF!</v>
      </c>
      <c r="M62" s="27" t="e">
        <f t="shared" si="26"/>
        <v>#REF!</v>
      </c>
      <c r="N62" s="39"/>
      <c r="O62" s="36" t="str">
        <f t="shared" si="27"/>
        <v>Central</v>
      </c>
      <c r="P62" s="26" t="e">
        <f t="shared" si="28"/>
        <v>#REF!</v>
      </c>
      <c r="Q62" s="27" t="e">
        <f t="shared" si="29"/>
        <v>#VALUE!</v>
      </c>
      <c r="R62" s="27"/>
      <c r="S62" s="26">
        <f t="shared" si="30"/>
        <v>816</v>
      </c>
      <c r="T62" s="26" t="e">
        <f t="shared" si="31"/>
        <v>#REF!</v>
      </c>
      <c r="U62" s="27" t="e">
        <f t="shared" si="32"/>
        <v>#REF!</v>
      </c>
      <c r="V62" s="27"/>
      <c r="W62" s="26">
        <f t="shared" si="33"/>
        <v>1259</v>
      </c>
      <c r="X62" s="26" t="e">
        <f t="shared" si="34"/>
        <v>#REF!</v>
      </c>
      <c r="Y62" s="27" t="e">
        <f t="shared" si="35"/>
        <v>#REF!</v>
      </c>
    </row>
    <row r="63" spans="1:25" ht="16.5" customHeight="1" x14ac:dyDescent="0.25">
      <c r="A63" s="16" t="s">
        <v>152</v>
      </c>
      <c r="B63" s="17" t="s">
        <v>153</v>
      </c>
      <c r="C63" s="25">
        <f t="shared" si="18"/>
        <v>876</v>
      </c>
      <c r="D63" s="25" t="e">
        <f t="shared" si="19"/>
        <v>#REF!</v>
      </c>
      <c r="E63" s="27" t="e">
        <f t="shared" si="20"/>
        <v>#REF!</v>
      </c>
      <c r="F63" s="27"/>
      <c r="G63" s="25">
        <f t="shared" si="21"/>
        <v>294</v>
      </c>
      <c r="H63" s="25" t="e">
        <f t="shared" si="22"/>
        <v>#REF!</v>
      </c>
      <c r="I63" s="27" t="e">
        <f t="shared" si="23"/>
        <v>#REF!</v>
      </c>
      <c r="J63" s="27"/>
      <c r="K63" s="25">
        <f t="shared" si="24"/>
        <v>117</v>
      </c>
      <c r="L63" s="25" t="e">
        <f t="shared" si="25"/>
        <v>#REF!</v>
      </c>
      <c r="M63" s="27" t="e">
        <f t="shared" si="26"/>
        <v>#REF!</v>
      </c>
      <c r="N63" s="39"/>
      <c r="O63" s="36" t="str">
        <f t="shared" si="27"/>
        <v>Western</v>
      </c>
      <c r="P63" s="26" t="e">
        <f t="shared" si="28"/>
        <v>#REF!</v>
      </c>
      <c r="Q63" s="27" t="e">
        <f t="shared" si="29"/>
        <v>#VALUE!</v>
      </c>
      <c r="R63" s="27"/>
      <c r="S63" s="26">
        <f t="shared" si="30"/>
        <v>3995</v>
      </c>
      <c r="T63" s="26" t="e">
        <f t="shared" si="31"/>
        <v>#REF!</v>
      </c>
      <c r="U63" s="27" t="e">
        <f t="shared" si="32"/>
        <v>#REF!</v>
      </c>
      <c r="V63" s="27"/>
      <c r="W63" s="26">
        <f t="shared" si="33"/>
        <v>5943</v>
      </c>
      <c r="X63" s="26" t="e">
        <f t="shared" si="34"/>
        <v>#REF!</v>
      </c>
      <c r="Y63" s="27" t="e">
        <f t="shared" si="35"/>
        <v>#REF!</v>
      </c>
    </row>
    <row r="64" spans="1:25" ht="16.5" customHeight="1" x14ac:dyDescent="0.25">
      <c r="A64" s="16" t="s">
        <v>154</v>
      </c>
      <c r="B64" s="32" t="s">
        <v>155</v>
      </c>
      <c r="C64" s="25">
        <f t="shared" si="18"/>
        <v>581</v>
      </c>
      <c r="D64" s="25" t="e">
        <f t="shared" si="19"/>
        <v>#REF!</v>
      </c>
      <c r="E64" s="27" t="e">
        <f t="shared" si="20"/>
        <v>#REF!</v>
      </c>
      <c r="F64" s="27"/>
      <c r="G64" s="25">
        <f t="shared" si="21"/>
        <v>78</v>
      </c>
      <c r="H64" s="25" t="e">
        <f t="shared" si="22"/>
        <v>#REF!</v>
      </c>
      <c r="I64" s="27" t="e">
        <f t="shared" si="23"/>
        <v>#REF!</v>
      </c>
      <c r="J64" s="27"/>
      <c r="K64" s="25">
        <f t="shared" si="24"/>
        <v>16</v>
      </c>
      <c r="L64" s="25" t="e">
        <f t="shared" si="25"/>
        <v>#REF!</v>
      </c>
      <c r="M64" s="27" t="e">
        <f t="shared" si="26"/>
        <v>#REF!</v>
      </c>
      <c r="N64" s="39"/>
      <c r="O64" s="36" t="str">
        <f t="shared" si="27"/>
        <v>Piedmont</v>
      </c>
      <c r="P64" s="26" t="e">
        <f t="shared" si="28"/>
        <v>#REF!</v>
      </c>
      <c r="Q64" s="27" t="e">
        <f t="shared" si="29"/>
        <v>#VALUE!</v>
      </c>
      <c r="R64" s="27"/>
      <c r="S64" s="26">
        <f t="shared" si="30"/>
        <v>1127</v>
      </c>
      <c r="T64" s="26" t="e">
        <f t="shared" si="31"/>
        <v>#REF!</v>
      </c>
      <c r="U64" s="27" t="e">
        <f t="shared" si="32"/>
        <v>#REF!</v>
      </c>
      <c r="V64" s="27"/>
      <c r="W64" s="26">
        <f t="shared" si="33"/>
        <v>1667</v>
      </c>
      <c r="X64" s="26" t="e">
        <f t="shared" si="34"/>
        <v>#REF!</v>
      </c>
      <c r="Y64" s="27" t="e">
        <f t="shared" si="35"/>
        <v>#REF!</v>
      </c>
    </row>
    <row r="65" spans="1:25" ht="16.5" customHeight="1" x14ac:dyDescent="0.25">
      <c r="A65" s="16" t="s">
        <v>156</v>
      </c>
      <c r="B65" s="17" t="s">
        <v>157</v>
      </c>
      <c r="C65" s="25">
        <f t="shared" si="18"/>
        <v>357</v>
      </c>
      <c r="D65" s="25" t="e">
        <f t="shared" si="19"/>
        <v>#REF!</v>
      </c>
      <c r="E65" s="27" t="e">
        <f t="shared" si="20"/>
        <v>#REF!</v>
      </c>
      <c r="F65" s="27"/>
      <c r="G65" s="25">
        <f t="shared" si="21"/>
        <v>70</v>
      </c>
      <c r="H65" s="25" t="e">
        <f t="shared" si="22"/>
        <v>#REF!</v>
      </c>
      <c r="I65" s="27" t="e">
        <f t="shared" si="23"/>
        <v>#REF!</v>
      </c>
      <c r="J65" s="27"/>
      <c r="K65" s="25">
        <f t="shared" si="24"/>
        <v>21</v>
      </c>
      <c r="L65" s="25" t="e">
        <f t="shared" si="25"/>
        <v>#REF!</v>
      </c>
      <c r="M65" s="27" t="e">
        <f t="shared" si="26"/>
        <v>#REF!</v>
      </c>
      <c r="N65" s="39"/>
      <c r="O65" s="36" t="str">
        <f t="shared" si="27"/>
        <v>Central</v>
      </c>
      <c r="P65" s="26" t="e">
        <f t="shared" si="28"/>
        <v>#REF!</v>
      </c>
      <c r="Q65" s="27" t="e">
        <f t="shared" si="29"/>
        <v>#VALUE!</v>
      </c>
      <c r="R65" s="27"/>
      <c r="S65" s="26">
        <f t="shared" si="30"/>
        <v>817</v>
      </c>
      <c r="T65" s="26" t="e">
        <f t="shared" si="31"/>
        <v>#REF!</v>
      </c>
      <c r="U65" s="27" t="e">
        <f t="shared" si="32"/>
        <v>#REF!</v>
      </c>
      <c r="V65" s="27"/>
      <c r="W65" s="26">
        <f t="shared" si="33"/>
        <v>1052</v>
      </c>
      <c r="X65" s="26" t="e">
        <f t="shared" si="34"/>
        <v>#REF!</v>
      </c>
      <c r="Y65" s="27" t="e">
        <f t="shared" si="35"/>
        <v>#REF!</v>
      </c>
    </row>
    <row r="66" spans="1:25" ht="16.5" customHeight="1" x14ac:dyDescent="0.25">
      <c r="A66" s="16" t="s">
        <v>162</v>
      </c>
      <c r="B66" s="32" t="s">
        <v>163</v>
      </c>
      <c r="C66" s="25">
        <f t="shared" si="18"/>
        <v>2309</v>
      </c>
      <c r="D66" s="25" t="e">
        <f t="shared" si="19"/>
        <v>#REF!</v>
      </c>
      <c r="E66" s="27" t="e">
        <f t="shared" si="20"/>
        <v>#REF!</v>
      </c>
      <c r="F66" s="27"/>
      <c r="G66" s="25">
        <f t="shared" si="21"/>
        <v>44</v>
      </c>
      <c r="H66" s="25" t="e">
        <f t="shared" si="22"/>
        <v>#REF!</v>
      </c>
      <c r="I66" s="27" t="e">
        <f t="shared" si="23"/>
        <v>#REF!</v>
      </c>
      <c r="J66" s="27"/>
      <c r="K66" s="25">
        <f t="shared" si="24"/>
        <v>7</v>
      </c>
      <c r="L66" s="25" t="e">
        <f t="shared" si="25"/>
        <v>#REF!</v>
      </c>
      <c r="M66" s="27" t="e">
        <f t="shared" si="26"/>
        <v>#REF!</v>
      </c>
      <c r="N66" s="39"/>
      <c r="O66" s="36" t="str">
        <f t="shared" si="27"/>
        <v>Eastern</v>
      </c>
      <c r="P66" s="26" t="e">
        <f t="shared" si="28"/>
        <v>#REF!</v>
      </c>
      <c r="Q66" s="27" t="e">
        <f t="shared" si="29"/>
        <v>#VALUE!</v>
      </c>
      <c r="R66" s="27"/>
      <c r="S66" s="26">
        <f t="shared" si="30"/>
        <v>1413</v>
      </c>
      <c r="T66" s="26" t="e">
        <f t="shared" si="31"/>
        <v>#REF!</v>
      </c>
      <c r="U66" s="27" t="e">
        <f t="shared" si="32"/>
        <v>#REF!</v>
      </c>
      <c r="V66" s="27"/>
      <c r="W66" s="26">
        <f t="shared" si="33"/>
        <v>1985</v>
      </c>
      <c r="X66" s="26" t="e">
        <f t="shared" si="34"/>
        <v>#REF!</v>
      </c>
      <c r="Y66" s="27" t="e">
        <f t="shared" si="35"/>
        <v>#REF!</v>
      </c>
    </row>
    <row r="67" spans="1:25" ht="16.5" customHeight="1" x14ac:dyDescent="0.25">
      <c r="A67" s="16" t="s">
        <v>164</v>
      </c>
      <c r="B67" s="17" t="s">
        <v>165</v>
      </c>
      <c r="C67" s="25">
        <f t="shared" si="18"/>
        <v>1282</v>
      </c>
      <c r="D67" s="25" t="e">
        <f t="shared" si="19"/>
        <v>#REF!</v>
      </c>
      <c r="E67" s="27" t="e">
        <f t="shared" si="20"/>
        <v>#REF!</v>
      </c>
      <c r="F67" s="27"/>
      <c r="G67" s="25">
        <f t="shared" si="21"/>
        <v>110</v>
      </c>
      <c r="H67" s="25" t="e">
        <f t="shared" si="22"/>
        <v>#REF!</v>
      </c>
      <c r="I67" s="27" t="e">
        <f t="shared" si="23"/>
        <v>#REF!</v>
      </c>
      <c r="J67" s="27"/>
      <c r="K67" s="25">
        <f t="shared" si="24"/>
        <v>31</v>
      </c>
      <c r="L67" s="25" t="e">
        <f t="shared" si="25"/>
        <v>#REF!</v>
      </c>
      <c r="M67" s="27" t="e">
        <f t="shared" si="26"/>
        <v>#REF!</v>
      </c>
      <c r="N67" s="39"/>
      <c r="O67" s="36" t="str">
        <f t="shared" si="27"/>
        <v>Central</v>
      </c>
      <c r="P67" s="26" t="e">
        <f t="shared" si="28"/>
        <v>#REF!</v>
      </c>
      <c r="Q67" s="27" t="e">
        <f t="shared" si="29"/>
        <v>#VALUE!</v>
      </c>
      <c r="R67" s="27"/>
      <c r="S67" s="26">
        <f t="shared" si="30"/>
        <v>941</v>
      </c>
      <c r="T67" s="26" t="e">
        <f t="shared" si="31"/>
        <v>#REF!</v>
      </c>
      <c r="U67" s="27" t="e">
        <f t="shared" si="32"/>
        <v>#REF!</v>
      </c>
      <c r="V67" s="27"/>
      <c r="W67" s="26">
        <f t="shared" si="33"/>
        <v>1347</v>
      </c>
      <c r="X67" s="26" t="e">
        <f t="shared" si="34"/>
        <v>#REF!</v>
      </c>
      <c r="Y67" s="27" t="e">
        <f t="shared" si="35"/>
        <v>#REF!</v>
      </c>
    </row>
    <row r="68" spans="1:25" ht="16.5" customHeight="1" x14ac:dyDescent="0.25">
      <c r="A68" s="16" t="s">
        <v>168</v>
      </c>
      <c r="B68" s="32" t="s">
        <v>169</v>
      </c>
      <c r="C68" s="25">
        <f t="shared" ref="C68:C99" si="36">VLOOKUP(A68,SNAPClient_Demo,10,FALSE)</f>
        <v>2421</v>
      </c>
      <c r="D68" s="25" t="e">
        <f t="shared" ref="D68:D99" si="37">VLOOKUP(A68,Pop,14,FALSE)</f>
        <v>#REF!</v>
      </c>
      <c r="E68" s="27" t="e">
        <f t="shared" ref="E68:E99" si="38">+C68/D68</f>
        <v>#REF!</v>
      </c>
      <c r="F68" s="27"/>
      <c r="G68" s="25">
        <f t="shared" ref="G68:G99" si="39">VLOOKUP(A68,SNAPClient_Demo,11,FALSE)</f>
        <v>183</v>
      </c>
      <c r="H68" s="25" t="e">
        <f t="shared" ref="H68:H99" si="40">VLOOKUP(A68,Pop,15,FALSE)</f>
        <v>#REF!</v>
      </c>
      <c r="I68" s="27" t="e">
        <f t="shared" ref="I68:I99" si="41">+G68/H68</f>
        <v>#REF!</v>
      </c>
      <c r="J68" s="27"/>
      <c r="K68" s="25">
        <f t="shared" ref="K68:K99" si="42">VLOOKUP(A68,SNAPClient_Demo,12,FALSE)</f>
        <v>32</v>
      </c>
      <c r="L68" s="25" t="e">
        <f t="shared" ref="L68:L99" si="43">VLOOKUP(A68,Pop,16,FALSE)</f>
        <v>#REF!</v>
      </c>
      <c r="M68" s="27" t="e">
        <f t="shared" ref="M68:M99" si="44">+K68/L68</f>
        <v>#REF!</v>
      </c>
      <c r="N68" s="39"/>
      <c r="O68" s="36" t="str">
        <f t="shared" ref="O68:O99" si="45">VLOOKUP(A68,SNAPClient_Demo,3,FALSE)</f>
        <v>Central</v>
      </c>
      <c r="P68" s="26" t="e">
        <f t="shared" ref="P68:P99" si="46">VLOOKUP(A68,Pop,8,FALSE)</f>
        <v>#REF!</v>
      </c>
      <c r="Q68" s="27" t="e">
        <f t="shared" ref="Q68:Q99" si="47">+O68/P68</f>
        <v>#VALUE!</v>
      </c>
      <c r="R68" s="27"/>
      <c r="S68" s="26">
        <f t="shared" ref="S68:S99" si="48">VLOOKUP(A68,SNAPClient_Demo,4,FALSE)</f>
        <v>1853</v>
      </c>
      <c r="T68" s="26" t="e">
        <f t="shared" ref="T68:T99" si="49">VLOOKUP(A68,Pop,9,FALSE)</f>
        <v>#REF!</v>
      </c>
      <c r="U68" s="27" t="e">
        <f t="shared" ref="U68:U99" si="50">+S68/T68</f>
        <v>#REF!</v>
      </c>
      <c r="V68" s="27"/>
      <c r="W68" s="26">
        <f t="shared" ref="W68:W99" si="51">VLOOKUP(A68,SNAPClient_Demo,5,FALSE)</f>
        <v>2544</v>
      </c>
      <c r="X68" s="26" t="e">
        <f t="shared" ref="X68:X99" si="52">VLOOKUP(A68,Pop,10,FALSE)</f>
        <v>#REF!</v>
      </c>
      <c r="Y68" s="27" t="e">
        <f t="shared" ref="Y68:Y99" si="53">+W68/X68</f>
        <v>#REF!</v>
      </c>
    </row>
    <row r="69" spans="1:25" ht="16.5" customHeight="1" x14ac:dyDescent="0.25">
      <c r="A69" s="16" t="s">
        <v>170</v>
      </c>
      <c r="B69" s="17" t="s">
        <v>171</v>
      </c>
      <c r="C69" s="25">
        <f t="shared" si="36"/>
        <v>1256</v>
      </c>
      <c r="D69" s="25" t="e">
        <f t="shared" si="37"/>
        <v>#REF!</v>
      </c>
      <c r="E69" s="27" t="e">
        <f t="shared" si="38"/>
        <v>#REF!</v>
      </c>
      <c r="F69" s="27"/>
      <c r="G69" s="25">
        <f t="shared" si="39"/>
        <v>178</v>
      </c>
      <c r="H69" s="25" t="e">
        <f t="shared" si="40"/>
        <v>#REF!</v>
      </c>
      <c r="I69" s="27" t="e">
        <f t="shared" si="41"/>
        <v>#REF!</v>
      </c>
      <c r="J69" s="27"/>
      <c r="K69" s="25">
        <f t="shared" si="42"/>
        <v>82</v>
      </c>
      <c r="L69" s="25" t="e">
        <f t="shared" si="43"/>
        <v>#REF!</v>
      </c>
      <c r="M69" s="27" t="e">
        <f t="shared" si="44"/>
        <v>#REF!</v>
      </c>
      <c r="N69" s="39"/>
      <c r="O69" s="36" t="str">
        <f t="shared" si="45"/>
        <v>Northern</v>
      </c>
      <c r="P69" s="26" t="e">
        <f t="shared" si="46"/>
        <v>#REF!</v>
      </c>
      <c r="Q69" s="27" t="e">
        <f t="shared" si="47"/>
        <v>#VALUE!</v>
      </c>
      <c r="R69" s="27"/>
      <c r="S69" s="26">
        <f t="shared" si="48"/>
        <v>2056</v>
      </c>
      <c r="T69" s="26" t="e">
        <f t="shared" si="49"/>
        <v>#REF!</v>
      </c>
      <c r="U69" s="27" t="e">
        <f t="shared" si="50"/>
        <v>#REF!</v>
      </c>
      <c r="V69" s="27"/>
      <c r="W69" s="26">
        <f t="shared" si="51"/>
        <v>2674</v>
      </c>
      <c r="X69" s="26" t="e">
        <f t="shared" si="52"/>
        <v>#REF!</v>
      </c>
      <c r="Y69" s="27" t="e">
        <f t="shared" si="53"/>
        <v>#REF!</v>
      </c>
    </row>
    <row r="70" spans="1:25" ht="16.5" customHeight="1" x14ac:dyDescent="0.25">
      <c r="A70" s="16" t="s">
        <v>172</v>
      </c>
      <c r="B70" s="17" t="s">
        <v>173</v>
      </c>
      <c r="C70" s="25">
        <f t="shared" si="36"/>
        <v>162</v>
      </c>
      <c r="D70" s="25" t="e">
        <f t="shared" si="37"/>
        <v>#REF!</v>
      </c>
      <c r="E70" s="27" t="e">
        <f t="shared" si="38"/>
        <v>#REF!</v>
      </c>
      <c r="F70" s="27"/>
      <c r="G70" s="25">
        <f t="shared" si="39"/>
        <v>50</v>
      </c>
      <c r="H70" s="25" t="e">
        <f t="shared" si="40"/>
        <v>#REF!</v>
      </c>
      <c r="I70" s="27" t="e">
        <f t="shared" si="41"/>
        <v>#REF!</v>
      </c>
      <c r="J70" s="27"/>
      <c r="K70" s="25">
        <f t="shared" si="42"/>
        <v>14</v>
      </c>
      <c r="L70" s="25" t="e">
        <f t="shared" si="43"/>
        <v>#REF!</v>
      </c>
      <c r="M70" s="27" t="e">
        <f t="shared" si="44"/>
        <v>#REF!</v>
      </c>
      <c r="N70" s="39"/>
      <c r="O70" s="36" t="str">
        <f t="shared" si="45"/>
        <v>Northern</v>
      </c>
      <c r="P70" s="26" t="e">
        <f t="shared" si="46"/>
        <v>#REF!</v>
      </c>
      <c r="Q70" s="27" t="e">
        <f t="shared" si="47"/>
        <v>#VALUE!</v>
      </c>
      <c r="R70" s="27"/>
      <c r="S70" s="26">
        <f t="shared" si="48"/>
        <v>2044</v>
      </c>
      <c r="T70" s="26" t="e">
        <f t="shared" si="49"/>
        <v>#REF!</v>
      </c>
      <c r="U70" s="27" t="e">
        <f t="shared" si="50"/>
        <v>#REF!</v>
      </c>
      <c r="V70" s="27"/>
      <c r="W70" s="26">
        <f t="shared" si="51"/>
        <v>2961</v>
      </c>
      <c r="X70" s="26" t="e">
        <f t="shared" si="52"/>
        <v>#REF!</v>
      </c>
      <c r="Y70" s="27" t="e">
        <f t="shared" si="53"/>
        <v>#REF!</v>
      </c>
    </row>
    <row r="71" spans="1:25" ht="16.5" customHeight="1" x14ac:dyDescent="0.25">
      <c r="A71" s="16" t="s">
        <v>174</v>
      </c>
      <c r="B71" s="17" t="s">
        <v>175</v>
      </c>
      <c r="C71" s="25">
        <f t="shared" si="36"/>
        <v>350</v>
      </c>
      <c r="D71" s="25" t="e">
        <f t="shared" si="37"/>
        <v>#REF!</v>
      </c>
      <c r="E71" s="27" t="e">
        <f t="shared" si="38"/>
        <v>#REF!</v>
      </c>
      <c r="F71" s="27"/>
      <c r="G71" s="25">
        <f t="shared" si="39"/>
        <v>131</v>
      </c>
      <c r="H71" s="25" t="e">
        <f t="shared" si="40"/>
        <v>#REF!</v>
      </c>
      <c r="I71" s="27" t="e">
        <f t="shared" si="41"/>
        <v>#REF!</v>
      </c>
      <c r="J71" s="27"/>
      <c r="K71" s="25">
        <f t="shared" si="42"/>
        <v>31</v>
      </c>
      <c r="L71" s="25" t="e">
        <f t="shared" si="43"/>
        <v>#REF!</v>
      </c>
      <c r="M71" s="27" t="e">
        <f t="shared" si="44"/>
        <v>#REF!</v>
      </c>
      <c r="N71" s="39"/>
      <c r="O71" s="36" t="str">
        <f t="shared" si="45"/>
        <v>Western</v>
      </c>
      <c r="P71" s="26" t="e">
        <f t="shared" si="46"/>
        <v>#REF!</v>
      </c>
      <c r="Q71" s="27" t="e">
        <f t="shared" si="47"/>
        <v>#VALUE!</v>
      </c>
      <c r="R71" s="27"/>
      <c r="S71" s="26">
        <f t="shared" si="48"/>
        <v>1497</v>
      </c>
      <c r="T71" s="26" t="e">
        <f t="shared" si="49"/>
        <v>#REF!</v>
      </c>
      <c r="U71" s="27" t="e">
        <f t="shared" si="50"/>
        <v>#REF!</v>
      </c>
      <c r="V71" s="27"/>
      <c r="W71" s="26">
        <f t="shared" si="51"/>
        <v>2452</v>
      </c>
      <c r="X71" s="26" t="e">
        <f t="shared" si="52"/>
        <v>#REF!</v>
      </c>
      <c r="Y71" s="27" t="e">
        <f t="shared" si="53"/>
        <v>#REF!</v>
      </c>
    </row>
    <row r="72" spans="1:25" ht="16.5" customHeight="1" x14ac:dyDescent="0.25">
      <c r="A72" s="16" t="s">
        <v>178</v>
      </c>
      <c r="B72" s="32" t="s">
        <v>179</v>
      </c>
      <c r="C72" s="25">
        <f t="shared" si="36"/>
        <v>4198</v>
      </c>
      <c r="D72" s="25" t="e">
        <f t="shared" si="37"/>
        <v>#REF!</v>
      </c>
      <c r="E72" s="27" t="e">
        <f t="shared" si="38"/>
        <v>#REF!</v>
      </c>
      <c r="F72" s="27"/>
      <c r="G72" s="25">
        <f t="shared" si="39"/>
        <v>404</v>
      </c>
      <c r="H72" s="25" t="e">
        <f t="shared" si="40"/>
        <v>#REF!</v>
      </c>
      <c r="I72" s="27" t="e">
        <f t="shared" si="41"/>
        <v>#REF!</v>
      </c>
      <c r="J72" s="27"/>
      <c r="K72" s="25">
        <f t="shared" si="42"/>
        <v>89</v>
      </c>
      <c r="L72" s="25" t="e">
        <f t="shared" si="43"/>
        <v>#REF!</v>
      </c>
      <c r="M72" s="27" t="e">
        <f t="shared" si="44"/>
        <v>#REF!</v>
      </c>
      <c r="N72" s="39"/>
      <c r="O72" s="36" t="str">
        <f t="shared" si="45"/>
        <v>Piedmont</v>
      </c>
      <c r="P72" s="26" t="e">
        <f t="shared" si="46"/>
        <v>#REF!</v>
      </c>
      <c r="Q72" s="27" t="e">
        <f t="shared" si="47"/>
        <v>#VALUE!</v>
      </c>
      <c r="R72" s="27"/>
      <c r="S72" s="26">
        <f t="shared" si="48"/>
        <v>5163</v>
      </c>
      <c r="T72" s="26" t="e">
        <f t="shared" si="49"/>
        <v>#REF!</v>
      </c>
      <c r="U72" s="27" t="e">
        <f t="shared" si="50"/>
        <v>#REF!</v>
      </c>
      <c r="V72" s="27"/>
      <c r="W72" s="26">
        <f t="shared" si="51"/>
        <v>7503</v>
      </c>
      <c r="X72" s="26" t="e">
        <f t="shared" si="52"/>
        <v>#REF!</v>
      </c>
      <c r="Y72" s="27" t="e">
        <f t="shared" si="53"/>
        <v>#REF!</v>
      </c>
    </row>
    <row r="73" spans="1:25" ht="16.5" customHeight="1" x14ac:dyDescent="0.25">
      <c r="A73" s="16" t="s">
        <v>182</v>
      </c>
      <c r="B73" s="17" t="s">
        <v>183</v>
      </c>
      <c r="C73" s="25">
        <f t="shared" si="36"/>
        <v>327</v>
      </c>
      <c r="D73" s="25" t="e">
        <f t="shared" si="37"/>
        <v>#REF!</v>
      </c>
      <c r="E73" s="27" t="e">
        <f t="shared" si="38"/>
        <v>#REF!</v>
      </c>
      <c r="F73" s="27"/>
      <c r="G73" s="25">
        <f t="shared" si="39"/>
        <v>45</v>
      </c>
      <c r="H73" s="25" t="e">
        <f t="shared" si="40"/>
        <v>#REF!</v>
      </c>
      <c r="I73" s="27" t="e">
        <f t="shared" si="41"/>
        <v>#REF!</v>
      </c>
      <c r="J73" s="27"/>
      <c r="K73" s="25">
        <f t="shared" si="42"/>
        <v>9</v>
      </c>
      <c r="L73" s="25" t="e">
        <f t="shared" si="43"/>
        <v>#REF!</v>
      </c>
      <c r="M73" s="27" t="e">
        <f t="shared" si="44"/>
        <v>#REF!</v>
      </c>
      <c r="N73" s="39"/>
      <c r="O73" s="36" t="str">
        <f t="shared" si="45"/>
        <v>Central</v>
      </c>
      <c r="P73" s="26" t="e">
        <f t="shared" si="46"/>
        <v>#REF!</v>
      </c>
      <c r="Q73" s="27" t="e">
        <f t="shared" si="47"/>
        <v>#VALUE!</v>
      </c>
      <c r="R73" s="27"/>
      <c r="S73" s="26">
        <f t="shared" si="48"/>
        <v>806</v>
      </c>
      <c r="T73" s="26" t="e">
        <f t="shared" si="49"/>
        <v>#REF!</v>
      </c>
      <c r="U73" s="27" t="e">
        <f t="shared" si="50"/>
        <v>#REF!</v>
      </c>
      <c r="V73" s="27"/>
      <c r="W73" s="26">
        <f t="shared" si="51"/>
        <v>1107</v>
      </c>
      <c r="X73" s="26" t="e">
        <f t="shared" si="52"/>
        <v>#REF!</v>
      </c>
      <c r="Y73" s="27" t="e">
        <f t="shared" si="53"/>
        <v>#REF!</v>
      </c>
    </row>
    <row r="74" spans="1:25" ht="16.5" customHeight="1" x14ac:dyDescent="0.25">
      <c r="A74" s="16" t="s">
        <v>184</v>
      </c>
      <c r="B74" s="17" t="s">
        <v>185</v>
      </c>
      <c r="C74" s="25">
        <f t="shared" si="36"/>
        <v>2836</v>
      </c>
      <c r="D74" s="25" t="e">
        <f t="shared" si="37"/>
        <v>#REF!</v>
      </c>
      <c r="E74" s="27" t="e">
        <f t="shared" si="38"/>
        <v>#REF!</v>
      </c>
      <c r="F74" s="27"/>
      <c r="G74" s="25">
        <f t="shared" si="39"/>
        <v>109</v>
      </c>
      <c r="H74" s="25" t="e">
        <f t="shared" si="40"/>
        <v>#REF!</v>
      </c>
      <c r="I74" s="27" t="e">
        <f t="shared" si="41"/>
        <v>#REF!</v>
      </c>
      <c r="J74" s="27"/>
      <c r="K74" s="25">
        <f t="shared" si="42"/>
        <v>67</v>
      </c>
      <c r="L74" s="25" t="e">
        <f t="shared" si="43"/>
        <v>#REF!</v>
      </c>
      <c r="M74" s="27" t="e">
        <f t="shared" si="44"/>
        <v>#REF!</v>
      </c>
      <c r="N74" s="39"/>
      <c r="O74" s="36" t="str">
        <f t="shared" si="45"/>
        <v>Central</v>
      </c>
      <c r="P74" s="26" t="e">
        <f t="shared" si="46"/>
        <v>#REF!</v>
      </c>
      <c r="Q74" s="27" t="e">
        <f t="shared" si="47"/>
        <v>#VALUE!</v>
      </c>
      <c r="R74" s="27"/>
      <c r="S74" s="26">
        <f t="shared" si="48"/>
        <v>1853</v>
      </c>
      <c r="T74" s="26" t="e">
        <f t="shared" si="49"/>
        <v>#REF!</v>
      </c>
      <c r="U74" s="27" t="e">
        <f t="shared" si="50"/>
        <v>#REF!</v>
      </c>
      <c r="V74" s="27"/>
      <c r="W74" s="26">
        <f t="shared" si="51"/>
        <v>2696</v>
      </c>
      <c r="X74" s="26" t="e">
        <f t="shared" si="52"/>
        <v>#REF!</v>
      </c>
      <c r="Y74" s="27" t="e">
        <f t="shared" si="53"/>
        <v>#REF!</v>
      </c>
    </row>
    <row r="75" spans="1:25" ht="16.5" customHeight="1" x14ac:dyDescent="0.25">
      <c r="A75" s="16" t="s">
        <v>186</v>
      </c>
      <c r="B75" s="17" t="s">
        <v>187</v>
      </c>
      <c r="C75" s="25">
        <f t="shared" si="36"/>
        <v>1922</v>
      </c>
      <c r="D75" s="25" t="e">
        <f t="shared" si="37"/>
        <v>#REF!</v>
      </c>
      <c r="E75" s="27" t="e">
        <f t="shared" si="38"/>
        <v>#REF!</v>
      </c>
      <c r="F75" s="27"/>
      <c r="G75" s="25">
        <f t="shared" si="39"/>
        <v>139</v>
      </c>
      <c r="H75" s="25" t="e">
        <f t="shared" si="40"/>
        <v>#REF!</v>
      </c>
      <c r="I75" s="27" t="e">
        <f t="shared" si="41"/>
        <v>#REF!</v>
      </c>
      <c r="J75" s="27"/>
      <c r="K75" s="25">
        <f t="shared" si="42"/>
        <v>40</v>
      </c>
      <c r="L75" s="25" t="e">
        <f t="shared" si="43"/>
        <v>#REF!</v>
      </c>
      <c r="M75" s="27" t="e">
        <f t="shared" si="44"/>
        <v>#REF!</v>
      </c>
      <c r="N75" s="39"/>
      <c r="O75" s="36" t="str">
        <f t="shared" si="45"/>
        <v>Eastern</v>
      </c>
      <c r="P75" s="26" t="e">
        <f t="shared" si="46"/>
        <v>#REF!</v>
      </c>
      <c r="Q75" s="27" t="e">
        <f t="shared" si="47"/>
        <v>#VALUE!</v>
      </c>
      <c r="R75" s="27"/>
      <c r="S75" s="26">
        <f t="shared" si="48"/>
        <v>2055</v>
      </c>
      <c r="T75" s="26" t="e">
        <f t="shared" si="49"/>
        <v>#REF!</v>
      </c>
      <c r="U75" s="27" t="e">
        <f t="shared" si="50"/>
        <v>#REF!</v>
      </c>
      <c r="V75" s="27"/>
      <c r="W75" s="26">
        <f t="shared" si="51"/>
        <v>2510</v>
      </c>
      <c r="X75" s="26" t="e">
        <f t="shared" si="52"/>
        <v>#REF!</v>
      </c>
      <c r="Y75" s="27" t="e">
        <f t="shared" si="53"/>
        <v>#REF!</v>
      </c>
    </row>
    <row r="76" spans="1:25" ht="16.5" customHeight="1" x14ac:dyDescent="0.25">
      <c r="A76" s="16" t="s">
        <v>188</v>
      </c>
      <c r="B76" s="17" t="s">
        <v>189</v>
      </c>
      <c r="C76" s="25">
        <f t="shared" si="36"/>
        <v>14366</v>
      </c>
      <c r="D76" s="25" t="e">
        <f t="shared" si="37"/>
        <v>#REF!</v>
      </c>
      <c r="E76" s="27" t="e">
        <f t="shared" si="38"/>
        <v>#REF!</v>
      </c>
      <c r="F76" s="27"/>
      <c r="G76" s="25">
        <f t="shared" si="39"/>
        <v>5170</v>
      </c>
      <c r="H76" s="25" t="e">
        <f t="shared" si="40"/>
        <v>#REF!</v>
      </c>
      <c r="I76" s="27" t="e">
        <f t="shared" si="41"/>
        <v>#REF!</v>
      </c>
      <c r="J76" s="27"/>
      <c r="K76" s="25">
        <f t="shared" si="42"/>
        <v>613</v>
      </c>
      <c r="L76" s="25" t="e">
        <f t="shared" si="43"/>
        <v>#REF!</v>
      </c>
      <c r="M76" s="27" t="e">
        <f t="shared" si="44"/>
        <v>#REF!</v>
      </c>
      <c r="N76" s="39"/>
      <c r="O76" s="36" t="str">
        <f t="shared" si="45"/>
        <v>Northern</v>
      </c>
      <c r="P76" s="26" t="e">
        <f t="shared" si="46"/>
        <v>#REF!</v>
      </c>
      <c r="Q76" s="27" t="e">
        <f t="shared" si="47"/>
        <v>#VALUE!</v>
      </c>
      <c r="R76" s="27"/>
      <c r="S76" s="26">
        <f t="shared" si="48"/>
        <v>22427</v>
      </c>
      <c r="T76" s="26" t="e">
        <f t="shared" si="49"/>
        <v>#REF!</v>
      </c>
      <c r="U76" s="27" t="e">
        <f t="shared" si="50"/>
        <v>#REF!</v>
      </c>
      <c r="V76" s="27"/>
      <c r="W76" s="26">
        <f t="shared" si="51"/>
        <v>22350</v>
      </c>
      <c r="X76" s="26" t="e">
        <f t="shared" si="52"/>
        <v>#REF!</v>
      </c>
      <c r="Y76" s="27" t="e">
        <f t="shared" si="53"/>
        <v>#REF!</v>
      </c>
    </row>
    <row r="77" spans="1:25" ht="16.5" customHeight="1" x14ac:dyDescent="0.25">
      <c r="A77" s="16" t="s">
        <v>190</v>
      </c>
      <c r="B77" s="17" t="s">
        <v>191</v>
      </c>
      <c r="C77" s="25">
        <f t="shared" si="36"/>
        <v>752</v>
      </c>
      <c r="D77" s="25" t="e">
        <f t="shared" si="37"/>
        <v>#REF!</v>
      </c>
      <c r="E77" s="27" t="e">
        <f t="shared" si="38"/>
        <v>#REF!</v>
      </c>
      <c r="F77" s="27"/>
      <c r="G77" s="25">
        <f t="shared" si="39"/>
        <v>216</v>
      </c>
      <c r="H77" s="25" t="e">
        <f t="shared" si="40"/>
        <v>#REF!</v>
      </c>
      <c r="I77" s="27" t="e">
        <f t="shared" si="41"/>
        <v>#REF!</v>
      </c>
      <c r="J77" s="27"/>
      <c r="K77" s="25">
        <f t="shared" si="42"/>
        <v>89</v>
      </c>
      <c r="L77" s="25" t="e">
        <f t="shared" si="43"/>
        <v>#REF!</v>
      </c>
      <c r="M77" s="27" t="e">
        <f t="shared" si="44"/>
        <v>#REF!</v>
      </c>
      <c r="N77" s="39"/>
      <c r="O77" s="36" t="str">
        <f t="shared" si="45"/>
        <v>Western</v>
      </c>
      <c r="P77" s="26" t="e">
        <f t="shared" si="46"/>
        <v>#REF!</v>
      </c>
      <c r="Q77" s="27" t="e">
        <f t="shared" si="47"/>
        <v>#VALUE!</v>
      </c>
      <c r="R77" s="27"/>
      <c r="S77" s="26">
        <f t="shared" si="48"/>
        <v>2707</v>
      </c>
      <c r="T77" s="26" t="e">
        <f t="shared" si="49"/>
        <v>#REF!</v>
      </c>
      <c r="U77" s="27" t="e">
        <f t="shared" si="50"/>
        <v>#REF!</v>
      </c>
      <c r="V77" s="27"/>
      <c r="W77" s="26">
        <f t="shared" si="51"/>
        <v>4606</v>
      </c>
      <c r="X77" s="26" t="e">
        <f t="shared" si="52"/>
        <v>#REF!</v>
      </c>
      <c r="Y77" s="27" t="e">
        <f t="shared" si="53"/>
        <v>#REF!</v>
      </c>
    </row>
    <row r="78" spans="1:25" ht="16.5" customHeight="1" x14ac:dyDescent="0.25">
      <c r="A78" s="16" t="s">
        <v>194</v>
      </c>
      <c r="B78" s="17" t="s">
        <v>195</v>
      </c>
      <c r="C78" s="25">
        <f t="shared" si="36"/>
        <v>78</v>
      </c>
      <c r="D78" s="25" t="e">
        <f t="shared" si="37"/>
        <v>#REF!</v>
      </c>
      <c r="E78" s="27" t="e">
        <f t="shared" si="38"/>
        <v>#REF!</v>
      </c>
      <c r="F78" s="27"/>
      <c r="G78" s="25">
        <f t="shared" si="39"/>
        <v>16</v>
      </c>
      <c r="H78" s="25" t="e">
        <f t="shared" si="40"/>
        <v>#REF!</v>
      </c>
      <c r="I78" s="27" t="e">
        <f t="shared" si="41"/>
        <v>#REF!</v>
      </c>
      <c r="J78" s="27"/>
      <c r="K78" s="25">
        <f t="shared" si="42"/>
        <v>4</v>
      </c>
      <c r="L78" s="25" t="e">
        <f t="shared" si="43"/>
        <v>#REF!</v>
      </c>
      <c r="M78" s="27" t="e">
        <f t="shared" si="44"/>
        <v>#REF!</v>
      </c>
      <c r="N78" s="39"/>
      <c r="O78" s="36" t="str">
        <f t="shared" si="45"/>
        <v>Northern</v>
      </c>
      <c r="P78" s="26" t="e">
        <f t="shared" si="46"/>
        <v>#REF!</v>
      </c>
      <c r="Q78" s="27" t="e">
        <f t="shared" si="47"/>
        <v>#VALUE!</v>
      </c>
      <c r="R78" s="27"/>
      <c r="S78" s="26">
        <f t="shared" si="48"/>
        <v>268</v>
      </c>
      <c r="T78" s="26" t="e">
        <f t="shared" si="49"/>
        <v>#REF!</v>
      </c>
      <c r="U78" s="27" t="e">
        <f t="shared" si="50"/>
        <v>#REF!</v>
      </c>
      <c r="V78" s="27"/>
      <c r="W78" s="26">
        <f t="shared" si="51"/>
        <v>332</v>
      </c>
      <c r="X78" s="26" t="e">
        <f t="shared" si="52"/>
        <v>#REF!</v>
      </c>
      <c r="Y78" s="27" t="e">
        <f t="shared" si="53"/>
        <v>#REF!</v>
      </c>
    </row>
    <row r="79" spans="1:25" ht="16.5" customHeight="1" x14ac:dyDescent="0.25">
      <c r="A79" s="16" t="s">
        <v>198</v>
      </c>
      <c r="B79" s="32" t="s">
        <v>199</v>
      </c>
      <c r="C79" s="25">
        <f t="shared" si="36"/>
        <v>975</v>
      </c>
      <c r="D79" s="25" t="e">
        <f t="shared" si="37"/>
        <v>#REF!</v>
      </c>
      <c r="E79" s="27" t="e">
        <f t="shared" si="38"/>
        <v>#REF!</v>
      </c>
      <c r="F79" s="27"/>
      <c r="G79" s="25">
        <f t="shared" si="39"/>
        <v>128</v>
      </c>
      <c r="H79" s="25" t="e">
        <f t="shared" si="40"/>
        <v>#REF!</v>
      </c>
      <c r="I79" s="27" t="e">
        <f t="shared" si="41"/>
        <v>#REF!</v>
      </c>
      <c r="J79" s="27"/>
      <c r="K79" s="25">
        <f t="shared" si="42"/>
        <v>23</v>
      </c>
      <c r="L79" s="25" t="e">
        <f t="shared" si="43"/>
        <v>#REF!</v>
      </c>
      <c r="M79" s="27" t="e">
        <f t="shared" si="44"/>
        <v>#REF!</v>
      </c>
      <c r="N79" s="39"/>
      <c r="O79" s="36" t="str">
        <f t="shared" si="45"/>
        <v>Central</v>
      </c>
      <c r="P79" s="26" t="e">
        <f t="shared" si="46"/>
        <v>#REF!</v>
      </c>
      <c r="Q79" s="27" t="e">
        <f t="shared" si="47"/>
        <v>#VALUE!</v>
      </c>
      <c r="R79" s="27"/>
      <c r="S79" s="26">
        <f t="shared" si="48"/>
        <v>788</v>
      </c>
      <c r="T79" s="26" t="e">
        <f t="shared" si="49"/>
        <v>#REF!</v>
      </c>
      <c r="U79" s="27" t="e">
        <f t="shared" si="50"/>
        <v>#REF!</v>
      </c>
      <c r="V79" s="27"/>
      <c r="W79" s="26">
        <f t="shared" si="51"/>
        <v>1190</v>
      </c>
      <c r="X79" s="26" t="e">
        <f t="shared" si="52"/>
        <v>#REF!</v>
      </c>
      <c r="Y79" s="27" t="e">
        <f t="shared" si="53"/>
        <v>#REF!</v>
      </c>
    </row>
    <row r="80" spans="1:25" ht="16.5" customHeight="1" x14ac:dyDescent="0.25">
      <c r="A80" s="16" t="s">
        <v>202</v>
      </c>
      <c r="B80" s="17" t="s">
        <v>203</v>
      </c>
      <c r="C80" s="25">
        <f t="shared" si="36"/>
        <v>1940</v>
      </c>
      <c r="D80" s="25" t="e">
        <f t="shared" si="37"/>
        <v>#REF!</v>
      </c>
      <c r="E80" s="27" t="e">
        <f t="shared" si="38"/>
        <v>#REF!</v>
      </c>
      <c r="F80" s="27"/>
      <c r="G80" s="25">
        <f t="shared" si="39"/>
        <v>630</v>
      </c>
      <c r="H80" s="25" t="e">
        <f t="shared" si="40"/>
        <v>#REF!</v>
      </c>
      <c r="I80" s="27" t="e">
        <f t="shared" si="41"/>
        <v>#REF!</v>
      </c>
      <c r="J80" s="27"/>
      <c r="K80" s="25">
        <f t="shared" si="42"/>
        <v>249</v>
      </c>
      <c r="L80" s="25" t="e">
        <f t="shared" si="43"/>
        <v>#REF!</v>
      </c>
      <c r="M80" s="27" t="e">
        <f t="shared" si="44"/>
        <v>#REF!</v>
      </c>
      <c r="N80" s="39"/>
      <c r="O80" s="36" t="str">
        <f t="shared" si="45"/>
        <v>Piedmont</v>
      </c>
      <c r="P80" s="26" t="e">
        <f t="shared" si="46"/>
        <v>#REF!</v>
      </c>
      <c r="Q80" s="27" t="e">
        <f t="shared" si="47"/>
        <v>#VALUE!</v>
      </c>
      <c r="R80" s="27"/>
      <c r="S80" s="26">
        <f t="shared" si="48"/>
        <v>5166</v>
      </c>
      <c r="T80" s="26" t="e">
        <f t="shared" si="49"/>
        <v>#REF!</v>
      </c>
      <c r="U80" s="27" t="e">
        <f t="shared" si="50"/>
        <v>#REF!</v>
      </c>
      <c r="V80" s="27"/>
      <c r="W80" s="26">
        <f t="shared" si="51"/>
        <v>6637</v>
      </c>
      <c r="X80" s="26" t="e">
        <f t="shared" si="52"/>
        <v>#REF!</v>
      </c>
      <c r="Y80" s="27" t="e">
        <f t="shared" si="53"/>
        <v>#REF!</v>
      </c>
    </row>
    <row r="81" spans="1:25" ht="16.5" customHeight="1" x14ac:dyDescent="0.25">
      <c r="A81" s="16" t="s">
        <v>204</v>
      </c>
      <c r="B81" s="17" t="s">
        <v>205</v>
      </c>
      <c r="C81" s="25">
        <f t="shared" si="36"/>
        <v>434</v>
      </c>
      <c r="D81" s="25" t="e">
        <f t="shared" si="37"/>
        <v>#REF!</v>
      </c>
      <c r="E81" s="27" t="e">
        <f t="shared" si="38"/>
        <v>#REF!</v>
      </c>
      <c r="F81" s="27"/>
      <c r="G81" s="25">
        <f t="shared" si="39"/>
        <v>92</v>
      </c>
      <c r="H81" s="25" t="e">
        <f t="shared" si="40"/>
        <v>#REF!</v>
      </c>
      <c r="I81" s="27" t="e">
        <f t="shared" si="41"/>
        <v>#REF!</v>
      </c>
      <c r="J81" s="27"/>
      <c r="K81" s="25">
        <f t="shared" si="42"/>
        <v>24</v>
      </c>
      <c r="L81" s="25" t="e">
        <f t="shared" si="43"/>
        <v>#REF!</v>
      </c>
      <c r="M81" s="27" t="e">
        <f t="shared" si="44"/>
        <v>#REF!</v>
      </c>
      <c r="N81" s="39"/>
      <c r="O81" s="36" t="str">
        <f t="shared" si="45"/>
        <v>Piedmont</v>
      </c>
      <c r="P81" s="26" t="e">
        <f t="shared" si="46"/>
        <v>#REF!</v>
      </c>
      <c r="Q81" s="27" t="e">
        <f t="shared" si="47"/>
        <v>#VALUE!</v>
      </c>
      <c r="R81" s="27"/>
      <c r="S81" s="26">
        <f t="shared" si="48"/>
        <v>2243</v>
      </c>
      <c r="T81" s="26" t="e">
        <f t="shared" si="49"/>
        <v>#REF!</v>
      </c>
      <c r="U81" s="27" t="e">
        <f t="shared" si="50"/>
        <v>#REF!</v>
      </c>
      <c r="V81" s="27"/>
      <c r="W81" s="26">
        <f t="shared" si="51"/>
        <v>3136</v>
      </c>
      <c r="X81" s="26" t="e">
        <f t="shared" si="52"/>
        <v>#REF!</v>
      </c>
      <c r="Y81" s="27" t="e">
        <f t="shared" si="53"/>
        <v>#REF!</v>
      </c>
    </row>
    <row r="82" spans="1:25" ht="16.5" customHeight="1" x14ac:dyDescent="0.25">
      <c r="A82" s="16" t="s">
        <v>206</v>
      </c>
      <c r="B82" s="32" t="s">
        <v>207</v>
      </c>
      <c r="C82" s="25">
        <f t="shared" si="36"/>
        <v>1439</v>
      </c>
      <c r="D82" s="25" t="e">
        <f t="shared" si="37"/>
        <v>#REF!</v>
      </c>
      <c r="E82" s="27" t="e">
        <f t="shared" si="38"/>
        <v>#REF!</v>
      </c>
      <c r="F82" s="27"/>
      <c r="G82" s="25">
        <f t="shared" si="39"/>
        <v>1469</v>
      </c>
      <c r="H82" s="25" t="e">
        <f t="shared" si="40"/>
        <v>#REF!</v>
      </c>
      <c r="I82" s="27" t="e">
        <f t="shared" si="41"/>
        <v>#REF!</v>
      </c>
      <c r="J82" s="27"/>
      <c r="K82" s="25">
        <f t="shared" si="42"/>
        <v>105</v>
      </c>
      <c r="L82" s="25" t="e">
        <f t="shared" si="43"/>
        <v>#REF!</v>
      </c>
      <c r="M82" s="27" t="e">
        <f t="shared" si="44"/>
        <v>#REF!</v>
      </c>
      <c r="N82" s="39"/>
      <c r="O82" s="36" t="str">
        <f t="shared" si="45"/>
        <v>Northern</v>
      </c>
      <c r="P82" s="26" t="e">
        <f t="shared" si="46"/>
        <v>#REF!</v>
      </c>
      <c r="Q82" s="27" t="e">
        <f t="shared" si="47"/>
        <v>#VALUE!</v>
      </c>
      <c r="R82" s="27"/>
      <c r="S82" s="26">
        <f t="shared" si="48"/>
        <v>7502</v>
      </c>
      <c r="T82" s="26" t="e">
        <f t="shared" si="49"/>
        <v>#REF!</v>
      </c>
      <c r="U82" s="27" t="e">
        <f t="shared" si="50"/>
        <v>#REF!</v>
      </c>
      <c r="V82" s="27"/>
      <c r="W82" s="26">
        <f t="shared" si="51"/>
        <v>9083</v>
      </c>
      <c r="X82" s="26" t="e">
        <f t="shared" si="52"/>
        <v>#REF!</v>
      </c>
      <c r="Y82" s="27" t="e">
        <f t="shared" si="53"/>
        <v>#REF!</v>
      </c>
    </row>
    <row r="83" spans="1:25" ht="16.5" customHeight="1" x14ac:dyDescent="0.25">
      <c r="A83" s="16" t="s">
        <v>208</v>
      </c>
      <c r="B83" s="32" t="s">
        <v>209</v>
      </c>
      <c r="C83" s="25">
        <f t="shared" si="36"/>
        <v>66</v>
      </c>
      <c r="D83" s="25" t="e">
        <f t="shared" si="37"/>
        <v>#REF!</v>
      </c>
      <c r="E83" s="27" t="e">
        <f t="shared" si="38"/>
        <v>#REF!</v>
      </c>
      <c r="F83" s="27"/>
      <c r="G83" s="25">
        <f t="shared" si="39"/>
        <v>13</v>
      </c>
      <c r="H83" s="25" t="e">
        <f t="shared" si="40"/>
        <v>#REF!</v>
      </c>
      <c r="I83" s="27" t="e">
        <f t="shared" si="41"/>
        <v>#REF!</v>
      </c>
      <c r="J83" s="27"/>
      <c r="K83" s="25">
        <f t="shared" si="42"/>
        <v>6</v>
      </c>
      <c r="L83" s="25" t="e">
        <f t="shared" si="43"/>
        <v>#REF!</v>
      </c>
      <c r="M83" s="27" t="e">
        <f t="shared" si="44"/>
        <v>#REF!</v>
      </c>
      <c r="N83" s="39"/>
      <c r="O83" s="36" t="str">
        <f t="shared" si="45"/>
        <v>Western</v>
      </c>
      <c r="P83" s="26" t="e">
        <f t="shared" si="46"/>
        <v>#REF!</v>
      </c>
      <c r="Q83" s="27" t="e">
        <f t="shared" si="47"/>
        <v>#VALUE!</v>
      </c>
      <c r="R83" s="27"/>
      <c r="S83" s="26">
        <f t="shared" si="48"/>
        <v>2778</v>
      </c>
      <c r="T83" s="26" t="e">
        <f t="shared" si="49"/>
        <v>#REF!</v>
      </c>
      <c r="U83" s="27" t="e">
        <f t="shared" si="50"/>
        <v>#REF!</v>
      </c>
      <c r="V83" s="27"/>
      <c r="W83" s="26">
        <f t="shared" si="51"/>
        <v>4703</v>
      </c>
      <c r="X83" s="26" t="e">
        <f t="shared" si="52"/>
        <v>#REF!</v>
      </c>
      <c r="Y83" s="27" t="e">
        <f t="shared" si="53"/>
        <v>#REF!</v>
      </c>
    </row>
    <row r="84" spans="1:25" ht="16.5" customHeight="1" x14ac:dyDescent="0.25">
      <c r="A84" s="16" t="s">
        <v>210</v>
      </c>
      <c r="B84" s="32" t="s">
        <v>211</v>
      </c>
      <c r="C84" s="25">
        <f t="shared" si="36"/>
        <v>90</v>
      </c>
      <c r="D84" s="25" t="e">
        <f t="shared" si="37"/>
        <v>#REF!</v>
      </c>
      <c r="E84" s="27" t="e">
        <f t="shared" si="38"/>
        <v>#REF!</v>
      </c>
      <c r="F84" s="27"/>
      <c r="G84" s="25">
        <f t="shared" si="39"/>
        <v>56</v>
      </c>
      <c r="H84" s="25" t="e">
        <f t="shared" si="40"/>
        <v>#REF!</v>
      </c>
      <c r="I84" s="27" t="e">
        <f t="shared" si="41"/>
        <v>#REF!</v>
      </c>
      <c r="J84" s="27"/>
      <c r="K84" s="25">
        <f t="shared" si="42"/>
        <v>2</v>
      </c>
      <c r="L84" s="25" t="e">
        <f t="shared" si="43"/>
        <v>#REF!</v>
      </c>
      <c r="M84" s="27" t="e">
        <f t="shared" si="44"/>
        <v>#REF!</v>
      </c>
      <c r="N84" s="39"/>
      <c r="O84" s="36" t="str">
        <f t="shared" si="45"/>
        <v>Western</v>
      </c>
      <c r="P84" s="26" t="e">
        <f t="shared" si="46"/>
        <v>#REF!</v>
      </c>
      <c r="Q84" s="27" t="e">
        <f t="shared" si="47"/>
        <v>#VALUE!</v>
      </c>
      <c r="R84" s="27"/>
      <c r="S84" s="26">
        <f t="shared" si="48"/>
        <v>1824</v>
      </c>
      <c r="T84" s="26" t="e">
        <f t="shared" si="49"/>
        <v>#REF!</v>
      </c>
      <c r="U84" s="27" t="e">
        <f t="shared" si="50"/>
        <v>#REF!</v>
      </c>
      <c r="V84" s="27"/>
      <c r="W84" s="26">
        <f t="shared" si="51"/>
        <v>2945</v>
      </c>
      <c r="X84" s="26" t="e">
        <f t="shared" si="52"/>
        <v>#REF!</v>
      </c>
      <c r="Y84" s="27" t="e">
        <f t="shared" si="53"/>
        <v>#REF!</v>
      </c>
    </row>
    <row r="85" spans="1:25" ht="16.5" customHeight="1" x14ac:dyDescent="0.25">
      <c r="A85" s="16" t="s">
        <v>212</v>
      </c>
      <c r="B85" s="32" t="s">
        <v>213</v>
      </c>
      <c r="C85" s="25">
        <f t="shared" si="36"/>
        <v>344</v>
      </c>
      <c r="D85" s="25" t="e">
        <f t="shared" si="37"/>
        <v>#REF!</v>
      </c>
      <c r="E85" s="27" t="e">
        <f t="shared" si="38"/>
        <v>#REF!</v>
      </c>
      <c r="F85" s="27"/>
      <c r="G85" s="25">
        <f t="shared" si="39"/>
        <v>580</v>
      </c>
      <c r="H85" s="25" t="e">
        <f t="shared" si="40"/>
        <v>#REF!</v>
      </c>
      <c r="I85" s="27" t="e">
        <f t="shared" si="41"/>
        <v>#REF!</v>
      </c>
      <c r="J85" s="27"/>
      <c r="K85" s="25">
        <f t="shared" si="42"/>
        <v>26</v>
      </c>
      <c r="L85" s="25" t="e">
        <f t="shared" si="43"/>
        <v>#REF!</v>
      </c>
      <c r="M85" s="27" t="e">
        <f t="shared" si="44"/>
        <v>#REF!</v>
      </c>
      <c r="N85" s="39"/>
      <c r="O85" s="36" t="str">
        <f t="shared" si="45"/>
        <v>Northern</v>
      </c>
      <c r="P85" s="26" t="e">
        <f t="shared" si="46"/>
        <v>#REF!</v>
      </c>
      <c r="Q85" s="27" t="e">
        <f t="shared" si="47"/>
        <v>#VALUE!</v>
      </c>
      <c r="R85" s="27"/>
      <c r="S85" s="26">
        <f t="shared" si="48"/>
        <v>3178</v>
      </c>
      <c r="T85" s="26" t="e">
        <f t="shared" si="49"/>
        <v>#REF!</v>
      </c>
      <c r="U85" s="27" t="e">
        <f t="shared" si="50"/>
        <v>#REF!</v>
      </c>
      <c r="V85" s="27"/>
      <c r="W85" s="26">
        <f t="shared" si="51"/>
        <v>4104</v>
      </c>
      <c r="X85" s="26" t="e">
        <f t="shared" si="52"/>
        <v>#REF!</v>
      </c>
      <c r="Y85" s="27" t="e">
        <f t="shared" si="53"/>
        <v>#REF!</v>
      </c>
    </row>
    <row r="86" spans="1:25" ht="16.5" customHeight="1" x14ac:dyDescent="0.25">
      <c r="A86" s="16" t="s">
        <v>214</v>
      </c>
      <c r="B86" s="32" t="s">
        <v>215</v>
      </c>
      <c r="C86" s="25">
        <f t="shared" si="36"/>
        <v>215</v>
      </c>
      <c r="D86" s="25" t="e">
        <f t="shared" si="37"/>
        <v>#REF!</v>
      </c>
      <c r="E86" s="27" t="e">
        <f t="shared" si="38"/>
        <v>#REF!</v>
      </c>
      <c r="F86" s="27"/>
      <c r="G86" s="25">
        <f t="shared" si="39"/>
        <v>74</v>
      </c>
      <c r="H86" s="25" t="e">
        <f t="shared" si="40"/>
        <v>#REF!</v>
      </c>
      <c r="I86" s="27" t="e">
        <f t="shared" si="41"/>
        <v>#REF!</v>
      </c>
      <c r="J86" s="27"/>
      <c r="K86" s="25">
        <f t="shared" si="42"/>
        <v>14</v>
      </c>
      <c r="L86" s="25" t="e">
        <f t="shared" si="43"/>
        <v>#REF!</v>
      </c>
      <c r="M86" s="27" t="e">
        <f t="shared" si="44"/>
        <v>#REF!</v>
      </c>
      <c r="N86" s="39"/>
      <c r="O86" s="36" t="str">
        <f t="shared" si="45"/>
        <v>Western</v>
      </c>
      <c r="P86" s="26" t="e">
        <f t="shared" si="46"/>
        <v>#REF!</v>
      </c>
      <c r="Q86" s="27" t="e">
        <f t="shared" si="47"/>
        <v>#VALUE!</v>
      </c>
      <c r="R86" s="27"/>
      <c r="S86" s="26">
        <f t="shared" si="48"/>
        <v>2973</v>
      </c>
      <c r="T86" s="26" t="e">
        <f t="shared" si="49"/>
        <v>#REF!</v>
      </c>
      <c r="U86" s="27" t="e">
        <f t="shared" si="50"/>
        <v>#REF!</v>
      </c>
      <c r="V86" s="27"/>
      <c r="W86" s="26">
        <f t="shared" si="51"/>
        <v>5039</v>
      </c>
      <c r="X86" s="26" t="e">
        <f t="shared" si="52"/>
        <v>#REF!</v>
      </c>
      <c r="Y86" s="27" t="e">
        <f t="shared" si="53"/>
        <v>#REF!</v>
      </c>
    </row>
    <row r="87" spans="1:25" ht="16.5" customHeight="1" x14ac:dyDescent="0.25">
      <c r="A87" s="16" t="s">
        <v>216</v>
      </c>
      <c r="B87" s="32" t="s">
        <v>217</v>
      </c>
      <c r="C87" s="25">
        <f t="shared" si="36"/>
        <v>2215</v>
      </c>
      <c r="D87" s="25" t="e">
        <f t="shared" si="37"/>
        <v>#REF!</v>
      </c>
      <c r="E87" s="27" t="e">
        <f t="shared" si="38"/>
        <v>#REF!</v>
      </c>
      <c r="F87" s="27"/>
      <c r="G87" s="25">
        <f t="shared" si="39"/>
        <v>51</v>
      </c>
      <c r="H87" s="25" t="e">
        <f t="shared" si="40"/>
        <v>#REF!</v>
      </c>
      <c r="I87" s="27" t="e">
        <f t="shared" si="41"/>
        <v>#REF!</v>
      </c>
      <c r="J87" s="27"/>
      <c r="K87" s="25">
        <f t="shared" si="42"/>
        <v>9</v>
      </c>
      <c r="L87" s="25" t="e">
        <f t="shared" si="43"/>
        <v>#REF!</v>
      </c>
      <c r="M87" s="27" t="e">
        <f t="shared" si="44"/>
        <v>#REF!</v>
      </c>
      <c r="N87" s="39"/>
      <c r="O87" s="36" t="str">
        <f t="shared" si="45"/>
        <v>Eastern</v>
      </c>
      <c r="P87" s="26" t="e">
        <f t="shared" si="46"/>
        <v>#REF!</v>
      </c>
      <c r="Q87" s="27" t="e">
        <f t="shared" si="47"/>
        <v>#VALUE!</v>
      </c>
      <c r="R87" s="27"/>
      <c r="S87" s="26">
        <f t="shared" si="48"/>
        <v>1550</v>
      </c>
      <c r="T87" s="26" t="e">
        <f t="shared" si="49"/>
        <v>#REF!</v>
      </c>
      <c r="U87" s="27" t="e">
        <f t="shared" si="50"/>
        <v>#REF!</v>
      </c>
      <c r="V87" s="27"/>
      <c r="W87" s="26">
        <f t="shared" si="51"/>
        <v>2195</v>
      </c>
      <c r="X87" s="26" t="e">
        <f t="shared" si="52"/>
        <v>#REF!</v>
      </c>
      <c r="Y87" s="27" t="e">
        <f t="shared" si="53"/>
        <v>#REF!</v>
      </c>
    </row>
    <row r="88" spans="1:25" ht="16.5" customHeight="1" x14ac:dyDescent="0.25">
      <c r="A88" s="16" t="s">
        <v>218</v>
      </c>
      <c r="B88" s="17" t="s">
        <v>219</v>
      </c>
      <c r="C88" s="25">
        <f t="shared" si="36"/>
        <v>4877</v>
      </c>
      <c r="D88" s="25" t="e">
        <f t="shared" si="37"/>
        <v>#REF!</v>
      </c>
      <c r="E88" s="27" t="e">
        <f t="shared" si="38"/>
        <v>#REF!</v>
      </c>
      <c r="F88" s="27"/>
      <c r="G88" s="25">
        <f t="shared" si="39"/>
        <v>1070</v>
      </c>
      <c r="H88" s="25" t="e">
        <f t="shared" si="40"/>
        <v>#REF!</v>
      </c>
      <c r="I88" s="27" t="e">
        <f t="shared" si="41"/>
        <v>#REF!</v>
      </c>
      <c r="J88" s="27"/>
      <c r="K88" s="25">
        <f t="shared" si="42"/>
        <v>236</v>
      </c>
      <c r="L88" s="25" t="e">
        <f t="shared" si="43"/>
        <v>#REF!</v>
      </c>
      <c r="M88" s="27" t="e">
        <f t="shared" si="44"/>
        <v>#REF!</v>
      </c>
      <c r="N88" s="39"/>
      <c r="O88" s="36" t="str">
        <f t="shared" si="45"/>
        <v>Northern</v>
      </c>
      <c r="P88" s="26" t="e">
        <f t="shared" si="46"/>
        <v>#REF!</v>
      </c>
      <c r="Q88" s="27" t="e">
        <f t="shared" si="47"/>
        <v>#VALUE!</v>
      </c>
      <c r="R88" s="27"/>
      <c r="S88" s="26">
        <f t="shared" si="48"/>
        <v>8132</v>
      </c>
      <c r="T88" s="26" t="e">
        <f t="shared" si="49"/>
        <v>#REF!</v>
      </c>
      <c r="U88" s="27" t="e">
        <f t="shared" si="50"/>
        <v>#REF!</v>
      </c>
      <c r="V88" s="27"/>
      <c r="W88" s="26">
        <f t="shared" si="51"/>
        <v>9211</v>
      </c>
      <c r="X88" s="26" t="e">
        <f t="shared" si="52"/>
        <v>#REF!</v>
      </c>
      <c r="Y88" s="27" t="e">
        <f t="shared" si="53"/>
        <v>#REF!</v>
      </c>
    </row>
    <row r="89" spans="1:25" ht="16.5" customHeight="1" x14ac:dyDescent="0.25">
      <c r="A89" s="16" t="s">
        <v>220</v>
      </c>
      <c r="B89" s="17" t="s">
        <v>221</v>
      </c>
      <c r="C89" s="25">
        <f t="shared" si="36"/>
        <v>4264</v>
      </c>
      <c r="D89" s="25" t="e">
        <f t="shared" si="37"/>
        <v>#REF!</v>
      </c>
      <c r="E89" s="27" t="e">
        <f t="shared" si="38"/>
        <v>#REF!</v>
      </c>
      <c r="F89" s="27"/>
      <c r="G89" s="25">
        <f t="shared" si="39"/>
        <v>1402</v>
      </c>
      <c r="H89" s="25" t="e">
        <f t="shared" si="40"/>
        <v>#REF!</v>
      </c>
      <c r="I89" s="27" t="e">
        <f t="shared" si="41"/>
        <v>#REF!</v>
      </c>
      <c r="J89" s="27"/>
      <c r="K89" s="25">
        <f t="shared" si="42"/>
        <v>329</v>
      </c>
      <c r="L89" s="25" t="e">
        <f t="shared" si="43"/>
        <v>#REF!</v>
      </c>
      <c r="M89" s="27" t="e">
        <f t="shared" si="44"/>
        <v>#REF!</v>
      </c>
      <c r="N89" s="39"/>
      <c r="O89" s="36" t="str">
        <f t="shared" si="45"/>
        <v>Northern</v>
      </c>
      <c r="P89" s="26" t="e">
        <f t="shared" si="46"/>
        <v>#REF!</v>
      </c>
      <c r="Q89" s="27" t="e">
        <f t="shared" si="47"/>
        <v>#VALUE!</v>
      </c>
      <c r="R89" s="27"/>
      <c r="S89" s="26">
        <f t="shared" si="48"/>
        <v>6969</v>
      </c>
      <c r="T89" s="26" t="e">
        <f t="shared" si="49"/>
        <v>#REF!</v>
      </c>
      <c r="U89" s="27" t="e">
        <f t="shared" si="50"/>
        <v>#REF!</v>
      </c>
      <c r="V89" s="27"/>
      <c r="W89" s="26">
        <f t="shared" si="51"/>
        <v>7309</v>
      </c>
      <c r="X89" s="26" t="e">
        <f t="shared" si="52"/>
        <v>#REF!</v>
      </c>
      <c r="Y89" s="27" t="e">
        <f t="shared" si="53"/>
        <v>#REF!</v>
      </c>
    </row>
    <row r="90" spans="1:25" ht="16.5" customHeight="1" x14ac:dyDescent="0.25">
      <c r="A90" s="16" t="s">
        <v>224</v>
      </c>
      <c r="B90" s="17" t="s">
        <v>225</v>
      </c>
      <c r="C90" s="25">
        <f t="shared" si="36"/>
        <v>871</v>
      </c>
      <c r="D90" s="25" t="e">
        <f t="shared" si="37"/>
        <v>#REF!</v>
      </c>
      <c r="E90" s="27" t="e">
        <f t="shared" si="38"/>
        <v>#REF!</v>
      </c>
      <c r="F90" s="27"/>
      <c r="G90" s="25">
        <f t="shared" si="39"/>
        <v>31</v>
      </c>
      <c r="H90" s="25" t="e">
        <f t="shared" si="40"/>
        <v>#REF!</v>
      </c>
      <c r="I90" s="27" t="e">
        <f t="shared" si="41"/>
        <v>#REF!</v>
      </c>
      <c r="J90" s="27"/>
      <c r="K90" s="25">
        <f t="shared" si="42"/>
        <v>19</v>
      </c>
      <c r="L90" s="25" t="e">
        <f t="shared" si="43"/>
        <v>#REF!</v>
      </c>
      <c r="M90" s="27" t="e">
        <f t="shared" si="44"/>
        <v>#REF!</v>
      </c>
      <c r="N90" s="39"/>
      <c r="O90" s="36" t="str">
        <f t="shared" si="45"/>
        <v>Eastern</v>
      </c>
      <c r="P90" s="26" t="e">
        <f t="shared" si="46"/>
        <v>#REF!</v>
      </c>
      <c r="Q90" s="27" t="e">
        <f t="shared" si="47"/>
        <v>#VALUE!</v>
      </c>
      <c r="R90" s="27"/>
      <c r="S90" s="26">
        <f t="shared" si="48"/>
        <v>517</v>
      </c>
      <c r="T90" s="26" t="e">
        <f t="shared" si="49"/>
        <v>#REF!</v>
      </c>
      <c r="U90" s="27" t="e">
        <f t="shared" si="50"/>
        <v>#REF!</v>
      </c>
      <c r="V90" s="27"/>
      <c r="W90" s="26">
        <f t="shared" si="51"/>
        <v>818</v>
      </c>
      <c r="X90" s="26" t="e">
        <f t="shared" si="52"/>
        <v>#REF!</v>
      </c>
      <c r="Y90" s="27" t="e">
        <f t="shared" si="53"/>
        <v>#REF!</v>
      </c>
    </row>
    <row r="91" spans="1:25" ht="16.5" customHeight="1" x14ac:dyDescent="0.25">
      <c r="A91" s="16" t="s">
        <v>226</v>
      </c>
      <c r="B91" s="32" t="s">
        <v>227</v>
      </c>
      <c r="C91" s="25">
        <f t="shared" si="36"/>
        <v>1761</v>
      </c>
      <c r="D91" s="25" t="e">
        <f t="shared" si="37"/>
        <v>#REF!</v>
      </c>
      <c r="E91" s="27" t="e">
        <f t="shared" si="38"/>
        <v>#REF!</v>
      </c>
      <c r="F91" s="27"/>
      <c r="G91" s="25">
        <f t="shared" si="39"/>
        <v>25</v>
      </c>
      <c r="H91" s="25" t="e">
        <f t="shared" si="40"/>
        <v>#REF!</v>
      </c>
      <c r="I91" s="27" t="e">
        <f t="shared" si="41"/>
        <v>#REF!</v>
      </c>
      <c r="J91" s="27"/>
      <c r="K91" s="25">
        <f t="shared" si="42"/>
        <v>13</v>
      </c>
      <c r="L91" s="25" t="e">
        <f t="shared" si="43"/>
        <v>#REF!</v>
      </c>
      <c r="M91" s="27" t="e">
        <f t="shared" si="44"/>
        <v>#REF!</v>
      </c>
      <c r="N91" s="39"/>
      <c r="O91" s="36" t="str">
        <f t="shared" si="45"/>
        <v>Eastern</v>
      </c>
      <c r="P91" s="26" t="e">
        <f t="shared" si="46"/>
        <v>#REF!</v>
      </c>
      <c r="Q91" s="27" t="e">
        <f t="shared" si="47"/>
        <v>#VALUE!</v>
      </c>
      <c r="R91" s="27"/>
      <c r="S91" s="26">
        <f t="shared" si="48"/>
        <v>1089</v>
      </c>
      <c r="T91" s="26" t="e">
        <f t="shared" si="49"/>
        <v>#REF!</v>
      </c>
      <c r="U91" s="27" t="e">
        <f t="shared" si="50"/>
        <v>#REF!</v>
      </c>
      <c r="V91" s="27"/>
      <c r="W91" s="26">
        <f t="shared" si="51"/>
        <v>1501</v>
      </c>
      <c r="X91" s="26" t="e">
        <f t="shared" si="52"/>
        <v>#REF!</v>
      </c>
      <c r="Y91" s="27" t="e">
        <f t="shared" si="53"/>
        <v>#REF!</v>
      </c>
    </row>
    <row r="92" spans="1:25" ht="16.5" customHeight="1" x14ac:dyDescent="0.25">
      <c r="A92" s="16" t="s">
        <v>228</v>
      </c>
      <c r="B92" s="32" t="s">
        <v>229</v>
      </c>
      <c r="C92" s="25">
        <f t="shared" si="36"/>
        <v>467</v>
      </c>
      <c r="D92" s="25" t="e">
        <f t="shared" si="37"/>
        <v>#REF!</v>
      </c>
      <c r="E92" s="27" t="e">
        <f t="shared" si="38"/>
        <v>#REF!</v>
      </c>
      <c r="F92" s="27"/>
      <c r="G92" s="25">
        <f t="shared" si="39"/>
        <v>95</v>
      </c>
      <c r="H92" s="25" t="e">
        <f t="shared" si="40"/>
        <v>#REF!</v>
      </c>
      <c r="I92" s="27" t="e">
        <f t="shared" si="41"/>
        <v>#REF!</v>
      </c>
      <c r="J92" s="27"/>
      <c r="K92" s="25">
        <f t="shared" si="42"/>
        <v>54</v>
      </c>
      <c r="L92" s="25" t="e">
        <f t="shared" si="43"/>
        <v>#REF!</v>
      </c>
      <c r="M92" s="27" t="e">
        <f t="shared" si="44"/>
        <v>#REF!</v>
      </c>
      <c r="N92" s="39"/>
      <c r="O92" s="36" t="str">
        <f t="shared" si="45"/>
        <v>Western</v>
      </c>
      <c r="P92" s="26" t="e">
        <f t="shared" si="46"/>
        <v>#REF!</v>
      </c>
      <c r="Q92" s="27" t="e">
        <f t="shared" si="47"/>
        <v>#VALUE!</v>
      </c>
      <c r="R92" s="27"/>
      <c r="S92" s="26">
        <f t="shared" si="48"/>
        <v>4023</v>
      </c>
      <c r="T92" s="26" t="e">
        <f t="shared" si="49"/>
        <v>#REF!</v>
      </c>
      <c r="U92" s="27" t="e">
        <f t="shared" si="50"/>
        <v>#REF!</v>
      </c>
      <c r="V92" s="27"/>
      <c r="W92" s="26">
        <f t="shared" si="51"/>
        <v>6786</v>
      </c>
      <c r="X92" s="26" t="e">
        <f t="shared" si="52"/>
        <v>#REF!</v>
      </c>
      <c r="Y92" s="27" t="e">
        <f t="shared" si="53"/>
        <v>#REF!</v>
      </c>
    </row>
    <row r="93" spans="1:25" ht="16.5" customHeight="1" x14ac:dyDescent="0.25">
      <c r="A93" s="16" t="s">
        <v>232</v>
      </c>
      <c r="B93" s="32" t="s">
        <v>233</v>
      </c>
      <c r="C93" s="25">
        <f t="shared" si="36"/>
        <v>718</v>
      </c>
      <c r="D93" s="25" t="e">
        <f t="shared" si="37"/>
        <v>#REF!</v>
      </c>
      <c r="E93" s="27" t="e">
        <f t="shared" si="38"/>
        <v>#REF!</v>
      </c>
      <c r="F93" s="27"/>
      <c r="G93" s="25">
        <f t="shared" si="39"/>
        <v>276</v>
      </c>
      <c r="H93" s="25" t="e">
        <f t="shared" si="40"/>
        <v>#REF!</v>
      </c>
      <c r="I93" s="27" t="e">
        <f t="shared" si="41"/>
        <v>#REF!</v>
      </c>
      <c r="J93" s="27"/>
      <c r="K93" s="25">
        <f t="shared" si="42"/>
        <v>145</v>
      </c>
      <c r="L93" s="25" t="e">
        <f t="shared" si="43"/>
        <v>#REF!</v>
      </c>
      <c r="M93" s="27" t="e">
        <f t="shared" si="44"/>
        <v>#REF!</v>
      </c>
      <c r="N93" s="39"/>
      <c r="O93" s="36" t="str">
        <f t="shared" si="45"/>
        <v>Northern</v>
      </c>
      <c r="P93" s="26" t="e">
        <f t="shared" si="46"/>
        <v>#REF!</v>
      </c>
      <c r="Q93" s="27" t="e">
        <f t="shared" si="47"/>
        <v>#VALUE!</v>
      </c>
      <c r="R93" s="27"/>
      <c r="S93" s="26">
        <f t="shared" si="48"/>
        <v>2786</v>
      </c>
      <c r="T93" s="26" t="e">
        <f t="shared" si="49"/>
        <v>#REF!</v>
      </c>
      <c r="U93" s="27" t="e">
        <f t="shared" si="50"/>
        <v>#REF!</v>
      </c>
      <c r="V93" s="27"/>
      <c r="W93" s="26">
        <f t="shared" si="51"/>
        <v>3818</v>
      </c>
      <c r="X93" s="26" t="e">
        <f t="shared" si="52"/>
        <v>#REF!</v>
      </c>
      <c r="Y93" s="27" t="e">
        <f t="shared" si="53"/>
        <v>#REF!</v>
      </c>
    </row>
    <row r="94" spans="1:25" ht="16.5" customHeight="1" x14ac:dyDescent="0.25">
      <c r="A94" s="16" t="s">
        <v>234</v>
      </c>
      <c r="B94" s="17" t="s">
        <v>235</v>
      </c>
      <c r="C94" s="25">
        <f t="shared" si="36"/>
        <v>267</v>
      </c>
      <c r="D94" s="25" t="e">
        <f t="shared" si="37"/>
        <v>#REF!</v>
      </c>
      <c r="E94" s="27" t="e">
        <f t="shared" si="38"/>
        <v>#REF!</v>
      </c>
      <c r="F94" s="27"/>
      <c r="G94" s="25">
        <f t="shared" si="39"/>
        <v>152</v>
      </c>
      <c r="H94" s="25" t="e">
        <f t="shared" si="40"/>
        <v>#REF!</v>
      </c>
      <c r="I94" s="27" t="e">
        <f t="shared" si="41"/>
        <v>#REF!</v>
      </c>
      <c r="J94" s="27"/>
      <c r="K94" s="25">
        <f t="shared" si="42"/>
        <v>53</v>
      </c>
      <c r="L94" s="25" t="e">
        <f t="shared" si="43"/>
        <v>#REF!</v>
      </c>
      <c r="M94" s="27" t="e">
        <f t="shared" si="44"/>
        <v>#REF!</v>
      </c>
      <c r="N94" s="39"/>
      <c r="O94" s="36" t="str">
        <f t="shared" si="45"/>
        <v>Western</v>
      </c>
      <c r="P94" s="26" t="e">
        <f t="shared" si="46"/>
        <v>#REF!</v>
      </c>
      <c r="Q94" s="27" t="e">
        <f t="shared" si="47"/>
        <v>#VALUE!</v>
      </c>
      <c r="R94" s="27"/>
      <c r="S94" s="26">
        <f t="shared" si="48"/>
        <v>3878</v>
      </c>
      <c r="T94" s="26" t="e">
        <f t="shared" si="49"/>
        <v>#REF!</v>
      </c>
      <c r="U94" s="27" t="e">
        <f t="shared" si="50"/>
        <v>#REF!</v>
      </c>
      <c r="V94" s="27"/>
      <c r="W94" s="26">
        <f t="shared" si="51"/>
        <v>6144</v>
      </c>
      <c r="X94" s="26" t="e">
        <f t="shared" si="52"/>
        <v>#REF!</v>
      </c>
      <c r="Y94" s="27" t="e">
        <f t="shared" si="53"/>
        <v>#REF!</v>
      </c>
    </row>
    <row r="95" spans="1:25" ht="16.5" customHeight="1" x14ac:dyDescent="0.25">
      <c r="A95" s="16" t="s">
        <v>236</v>
      </c>
      <c r="B95" s="32" t="s">
        <v>237</v>
      </c>
      <c r="C95" s="25">
        <f t="shared" si="36"/>
        <v>1865</v>
      </c>
      <c r="D95" s="25" t="e">
        <f t="shared" si="37"/>
        <v>#REF!</v>
      </c>
      <c r="E95" s="27" t="e">
        <f t="shared" si="38"/>
        <v>#REF!</v>
      </c>
      <c r="F95" s="27"/>
      <c r="G95" s="25">
        <f t="shared" si="39"/>
        <v>241</v>
      </c>
      <c r="H95" s="25" t="e">
        <f t="shared" si="40"/>
        <v>#REF!</v>
      </c>
      <c r="I95" s="27" t="e">
        <f t="shared" si="41"/>
        <v>#REF!</v>
      </c>
      <c r="J95" s="27"/>
      <c r="K95" s="25">
        <f t="shared" si="42"/>
        <v>103</v>
      </c>
      <c r="L95" s="25" t="e">
        <f t="shared" si="43"/>
        <v>#REF!</v>
      </c>
      <c r="M95" s="27" t="e">
        <f t="shared" si="44"/>
        <v>#REF!</v>
      </c>
      <c r="N95" s="39"/>
      <c r="O95" s="36" t="str">
        <f t="shared" si="45"/>
        <v>Central</v>
      </c>
      <c r="P95" s="26" t="e">
        <f t="shared" si="46"/>
        <v>#REF!</v>
      </c>
      <c r="Q95" s="27" t="e">
        <f t="shared" si="47"/>
        <v>#VALUE!</v>
      </c>
      <c r="R95" s="27"/>
      <c r="S95" s="26">
        <f t="shared" si="48"/>
        <v>1829</v>
      </c>
      <c r="T95" s="26" t="e">
        <f t="shared" si="49"/>
        <v>#REF!</v>
      </c>
      <c r="U95" s="27" t="e">
        <f t="shared" si="50"/>
        <v>#REF!</v>
      </c>
      <c r="V95" s="27"/>
      <c r="W95" s="26">
        <f t="shared" si="51"/>
        <v>2485</v>
      </c>
      <c r="X95" s="26" t="e">
        <f t="shared" si="52"/>
        <v>#REF!</v>
      </c>
      <c r="Y95" s="27" t="e">
        <f t="shared" si="53"/>
        <v>#REF!</v>
      </c>
    </row>
    <row r="96" spans="1:25" ht="16.5" customHeight="1" x14ac:dyDescent="0.25">
      <c r="A96" s="16" t="s">
        <v>242</v>
      </c>
      <c r="B96" s="32" t="s">
        <v>243</v>
      </c>
      <c r="C96" s="25">
        <f t="shared" si="36"/>
        <v>256</v>
      </c>
      <c r="D96" s="25" t="e">
        <f t="shared" si="37"/>
        <v>#REF!</v>
      </c>
      <c r="E96" s="27" t="e">
        <f t="shared" si="38"/>
        <v>#REF!</v>
      </c>
      <c r="F96" s="27"/>
      <c r="G96" s="25">
        <f t="shared" si="39"/>
        <v>54</v>
      </c>
      <c r="H96" s="25" t="e">
        <f t="shared" si="40"/>
        <v>#REF!</v>
      </c>
      <c r="I96" s="27" t="e">
        <f t="shared" si="41"/>
        <v>#REF!</v>
      </c>
      <c r="J96" s="27"/>
      <c r="K96" s="25">
        <f t="shared" si="42"/>
        <v>33</v>
      </c>
      <c r="L96" s="25" t="e">
        <f t="shared" si="43"/>
        <v>#REF!</v>
      </c>
      <c r="M96" s="27" t="e">
        <f t="shared" si="44"/>
        <v>#REF!</v>
      </c>
      <c r="N96" s="39"/>
      <c r="O96" s="36" t="str">
        <f t="shared" si="45"/>
        <v>Western</v>
      </c>
      <c r="P96" s="26" t="e">
        <f t="shared" si="46"/>
        <v>#REF!</v>
      </c>
      <c r="Q96" s="27" t="e">
        <f t="shared" si="47"/>
        <v>#VALUE!</v>
      </c>
      <c r="R96" s="27"/>
      <c r="S96" s="26">
        <f t="shared" si="48"/>
        <v>4067</v>
      </c>
      <c r="T96" s="26" t="e">
        <f t="shared" si="49"/>
        <v>#REF!</v>
      </c>
      <c r="U96" s="27" t="e">
        <f t="shared" si="50"/>
        <v>#REF!</v>
      </c>
      <c r="V96" s="27"/>
      <c r="W96" s="26">
        <f t="shared" si="51"/>
        <v>6841</v>
      </c>
      <c r="X96" s="26" t="e">
        <f t="shared" si="52"/>
        <v>#REF!</v>
      </c>
      <c r="Y96" s="27" t="e">
        <f t="shared" si="53"/>
        <v>#REF!</v>
      </c>
    </row>
    <row r="97" spans="1:25" ht="16.5" customHeight="1" x14ac:dyDescent="0.25">
      <c r="A97" s="16" t="s">
        <v>244</v>
      </c>
      <c r="B97" s="32" t="s">
        <v>245</v>
      </c>
      <c r="C97" s="25">
        <f t="shared" si="36"/>
        <v>343</v>
      </c>
      <c r="D97" s="25" t="e">
        <f t="shared" si="37"/>
        <v>#REF!</v>
      </c>
      <c r="E97" s="27" t="e">
        <f t="shared" si="38"/>
        <v>#REF!</v>
      </c>
      <c r="F97" s="27"/>
      <c r="G97" s="25">
        <f t="shared" si="39"/>
        <v>93</v>
      </c>
      <c r="H97" s="25" t="e">
        <f t="shared" si="40"/>
        <v>#REF!</v>
      </c>
      <c r="I97" s="27" t="e">
        <f t="shared" si="41"/>
        <v>#REF!</v>
      </c>
      <c r="J97" s="27"/>
      <c r="K97" s="25">
        <f t="shared" si="42"/>
        <v>40</v>
      </c>
      <c r="L97" s="25" t="e">
        <f t="shared" si="43"/>
        <v>#REF!</v>
      </c>
      <c r="M97" s="27" t="e">
        <f t="shared" si="44"/>
        <v>#REF!</v>
      </c>
      <c r="N97" s="39"/>
      <c r="O97" s="36" t="str">
        <f t="shared" si="45"/>
        <v>Western</v>
      </c>
      <c r="P97" s="26" t="e">
        <f t="shared" si="46"/>
        <v>#REF!</v>
      </c>
      <c r="Q97" s="27" t="e">
        <f t="shared" si="47"/>
        <v>#VALUE!</v>
      </c>
      <c r="R97" s="27"/>
      <c r="S97" s="26">
        <f t="shared" si="48"/>
        <v>2181</v>
      </c>
      <c r="T97" s="26" t="e">
        <f t="shared" si="49"/>
        <v>#REF!</v>
      </c>
      <c r="U97" s="27" t="e">
        <f t="shared" si="50"/>
        <v>#REF!</v>
      </c>
      <c r="V97" s="27"/>
      <c r="W97" s="26">
        <f t="shared" si="51"/>
        <v>3420</v>
      </c>
      <c r="X97" s="26" t="e">
        <f t="shared" si="52"/>
        <v>#REF!</v>
      </c>
      <c r="Y97" s="27" t="e">
        <f t="shared" si="53"/>
        <v>#REF!</v>
      </c>
    </row>
    <row r="98" spans="1:25" ht="16.5" customHeight="1" x14ac:dyDescent="0.25">
      <c r="A98" s="16" t="s">
        <v>246</v>
      </c>
      <c r="B98" s="17" t="s">
        <v>310</v>
      </c>
      <c r="C98" s="25">
        <f t="shared" si="36"/>
        <v>1770</v>
      </c>
      <c r="D98" s="25" t="e">
        <f t="shared" si="37"/>
        <v>#REF!</v>
      </c>
      <c r="E98" s="27" t="e">
        <f t="shared" si="38"/>
        <v>#REF!</v>
      </c>
      <c r="F98" s="27"/>
      <c r="G98" s="25">
        <f t="shared" si="39"/>
        <v>359</v>
      </c>
      <c r="H98" s="25" t="e">
        <f t="shared" si="40"/>
        <v>#REF!</v>
      </c>
      <c r="I98" s="27" t="e">
        <f t="shared" si="41"/>
        <v>#REF!</v>
      </c>
      <c r="J98" s="27"/>
      <c r="K98" s="25">
        <f t="shared" si="42"/>
        <v>121</v>
      </c>
      <c r="L98" s="25" t="e">
        <f t="shared" si="43"/>
        <v>#REF!</v>
      </c>
      <c r="M98" s="27" t="e">
        <f t="shared" si="44"/>
        <v>#REF!</v>
      </c>
      <c r="N98" s="39"/>
      <c r="O98" s="36" t="str">
        <f t="shared" si="45"/>
        <v>Eastern</v>
      </c>
      <c r="P98" s="26" t="e">
        <f t="shared" si="46"/>
        <v>#REF!</v>
      </c>
      <c r="Q98" s="27" t="e">
        <f t="shared" si="47"/>
        <v>#VALUE!</v>
      </c>
      <c r="R98" s="27"/>
      <c r="S98" s="26">
        <f t="shared" si="48"/>
        <v>2266</v>
      </c>
      <c r="T98" s="26" t="e">
        <f t="shared" si="49"/>
        <v>#REF!</v>
      </c>
      <c r="U98" s="27" t="e">
        <f t="shared" si="50"/>
        <v>#REF!</v>
      </c>
      <c r="V98" s="27"/>
      <c r="W98" s="26">
        <f t="shared" si="51"/>
        <v>2768</v>
      </c>
      <c r="X98" s="26" t="e">
        <f t="shared" si="52"/>
        <v>#REF!</v>
      </c>
      <c r="Y98" s="27" t="e">
        <f t="shared" si="53"/>
        <v>#REF!</v>
      </c>
    </row>
    <row r="99" spans="1:25" ht="16.5" customHeight="1" x14ac:dyDescent="0.25">
      <c r="A99" s="16" t="s">
        <v>14</v>
      </c>
      <c r="B99" s="17" t="s">
        <v>15</v>
      </c>
      <c r="C99" s="25">
        <f t="shared" si="36"/>
        <v>5551</v>
      </c>
      <c r="D99" s="25" t="e">
        <f t="shared" si="37"/>
        <v>#REF!</v>
      </c>
      <c r="E99" s="27" t="e">
        <f t="shared" si="38"/>
        <v>#REF!</v>
      </c>
      <c r="F99" s="27"/>
      <c r="G99" s="25">
        <f t="shared" si="39"/>
        <v>922</v>
      </c>
      <c r="H99" s="25" t="e">
        <f t="shared" si="40"/>
        <v>#REF!</v>
      </c>
      <c r="I99" s="27" t="e">
        <f t="shared" si="41"/>
        <v>#REF!</v>
      </c>
      <c r="J99" s="27"/>
      <c r="K99" s="25">
        <f t="shared" si="42"/>
        <v>44</v>
      </c>
      <c r="L99" s="25" t="e">
        <f t="shared" si="43"/>
        <v>#REF!</v>
      </c>
      <c r="M99" s="27" t="e">
        <f t="shared" si="44"/>
        <v>#REF!</v>
      </c>
      <c r="N99" s="39"/>
      <c r="O99" s="36" t="str">
        <f t="shared" si="45"/>
        <v>Northern</v>
      </c>
      <c r="P99" s="26" t="e">
        <f t="shared" si="46"/>
        <v>#REF!</v>
      </c>
      <c r="Q99" s="27" t="e">
        <f t="shared" si="47"/>
        <v>#VALUE!</v>
      </c>
      <c r="R99" s="27"/>
      <c r="S99" s="26">
        <f t="shared" si="48"/>
        <v>6223</v>
      </c>
      <c r="T99" s="26" t="e">
        <f t="shared" si="49"/>
        <v>#REF!</v>
      </c>
      <c r="U99" s="27" t="e">
        <f t="shared" si="50"/>
        <v>#REF!</v>
      </c>
      <c r="V99" s="27"/>
      <c r="W99" s="26">
        <f t="shared" si="51"/>
        <v>7274</v>
      </c>
      <c r="X99" s="26" t="e">
        <f t="shared" si="52"/>
        <v>#REF!</v>
      </c>
      <c r="Y99" s="27" t="e">
        <f t="shared" si="53"/>
        <v>#REF!</v>
      </c>
    </row>
    <row r="100" spans="1:25" ht="16.5" customHeight="1" x14ac:dyDescent="0.25">
      <c r="A100" s="16" t="s">
        <v>34</v>
      </c>
      <c r="B100" s="17" t="s">
        <v>35</v>
      </c>
      <c r="C100" s="25">
        <f t="shared" ref="C100:C123" si="54">VLOOKUP(A100,SNAPClient_Demo,10,FALSE)</f>
        <v>650</v>
      </c>
      <c r="D100" s="25" t="e">
        <f t="shared" ref="D100:D123" si="55">VLOOKUP(A100,Pop,14,FALSE)</f>
        <v>#REF!</v>
      </c>
      <c r="E100" s="27" t="e">
        <f t="shared" ref="E100:E123" si="56">+C100/D100</f>
        <v>#REF!</v>
      </c>
      <c r="F100" s="27"/>
      <c r="G100" s="25">
        <f t="shared" ref="G100:G123" si="57">VLOOKUP(A100,SNAPClient_Demo,11,FALSE)</f>
        <v>150</v>
      </c>
      <c r="H100" s="25" t="e">
        <f t="shared" ref="H100:H123" si="58">VLOOKUP(A100,Pop,15,FALSE)</f>
        <v>#REF!</v>
      </c>
      <c r="I100" s="27" t="e">
        <f t="shared" ref="I100:I123" si="59">+G100/H100</f>
        <v>#REF!</v>
      </c>
      <c r="J100" s="27"/>
      <c r="K100" s="25">
        <f t="shared" ref="K100:K123" si="60">VLOOKUP(A100,SNAPClient_Demo,12,FALSE)</f>
        <v>106</v>
      </c>
      <c r="L100" s="25" t="e">
        <f t="shared" ref="L100:L123" si="61">VLOOKUP(A100,Pop,16,FALSE)</f>
        <v>#REF!</v>
      </c>
      <c r="M100" s="27" t="e">
        <f t="shared" ref="M100:M123" si="62">+K100/L100</f>
        <v>#REF!</v>
      </c>
      <c r="N100" s="39"/>
      <c r="O100" s="36" t="str">
        <f t="shared" ref="O100:O123" si="63">VLOOKUP(A100,SNAPClient_Demo,3,FALSE)</f>
        <v>Western</v>
      </c>
      <c r="P100" s="26" t="e">
        <f t="shared" ref="P100:P123" si="64">VLOOKUP(A100,Pop,8,FALSE)</f>
        <v>#REF!</v>
      </c>
      <c r="Q100" s="27" t="e">
        <f t="shared" ref="Q100:Q123" si="65">+O100/P100</f>
        <v>#VALUE!</v>
      </c>
      <c r="R100" s="27"/>
      <c r="S100" s="26">
        <f t="shared" ref="S100:S123" si="66">VLOOKUP(A100,SNAPClient_Demo,4,FALSE)</f>
        <v>2299</v>
      </c>
      <c r="T100" s="26" t="e">
        <f t="shared" ref="T100:T123" si="67">VLOOKUP(A100,Pop,9,FALSE)</f>
        <v>#REF!</v>
      </c>
      <c r="U100" s="27" t="e">
        <f t="shared" ref="U100:U123" si="68">+S100/T100</f>
        <v>#REF!</v>
      </c>
      <c r="V100" s="27"/>
      <c r="W100" s="26">
        <f t="shared" ref="W100:W123" si="69">VLOOKUP(A100,SNAPClient_Demo,5,FALSE)</f>
        <v>3688</v>
      </c>
      <c r="X100" s="26" t="e">
        <f t="shared" ref="X100:X123" si="70">VLOOKUP(A100,Pop,10,FALSE)</f>
        <v>#REF!</v>
      </c>
      <c r="Y100" s="27" t="e">
        <f t="shared" ref="Y100:Y123" si="71">+W100/X100</f>
        <v>#REF!</v>
      </c>
    </row>
    <row r="101" spans="1:25" ht="16.5" customHeight="1" x14ac:dyDescent="0.25">
      <c r="A101" s="16" t="s">
        <v>52</v>
      </c>
      <c r="B101" s="17" t="s">
        <v>53</v>
      </c>
      <c r="C101" s="25">
        <f t="shared" si="54"/>
        <v>4150</v>
      </c>
      <c r="D101" s="25" t="e">
        <f t="shared" si="55"/>
        <v>#REF!</v>
      </c>
      <c r="E101" s="27" t="e">
        <f t="shared" si="56"/>
        <v>#REF!</v>
      </c>
      <c r="F101" s="27"/>
      <c r="G101" s="25">
        <f t="shared" si="57"/>
        <v>584</v>
      </c>
      <c r="H101" s="25" t="e">
        <f t="shared" si="58"/>
        <v>#REF!</v>
      </c>
      <c r="I101" s="27" t="e">
        <f t="shared" si="59"/>
        <v>#REF!</v>
      </c>
      <c r="J101" s="27"/>
      <c r="K101" s="25">
        <f t="shared" si="60"/>
        <v>158</v>
      </c>
      <c r="L101" s="25" t="e">
        <f t="shared" si="61"/>
        <v>#REF!</v>
      </c>
      <c r="M101" s="27" t="e">
        <f t="shared" si="62"/>
        <v>#REF!</v>
      </c>
      <c r="N101" s="39"/>
      <c r="O101" s="36" t="str">
        <f t="shared" si="63"/>
        <v>Piedmont</v>
      </c>
      <c r="P101" s="26" t="e">
        <f t="shared" si="64"/>
        <v>#REF!</v>
      </c>
      <c r="Q101" s="27" t="e">
        <f t="shared" si="65"/>
        <v>#VALUE!</v>
      </c>
      <c r="R101" s="27"/>
      <c r="S101" s="26">
        <f t="shared" si="66"/>
        <v>2783</v>
      </c>
      <c r="T101" s="26" t="e">
        <f t="shared" si="67"/>
        <v>#REF!</v>
      </c>
      <c r="U101" s="27" t="e">
        <f t="shared" si="68"/>
        <v>#REF!</v>
      </c>
      <c r="V101" s="27"/>
      <c r="W101" s="26">
        <f t="shared" si="69"/>
        <v>4336</v>
      </c>
      <c r="X101" s="26" t="e">
        <f t="shared" si="70"/>
        <v>#REF!</v>
      </c>
      <c r="Y101" s="27" t="e">
        <f t="shared" si="71"/>
        <v>#REF!</v>
      </c>
    </row>
    <row r="102" spans="1:25" ht="16.5" customHeight="1" x14ac:dyDescent="0.25">
      <c r="A102" s="16" t="s">
        <v>54</v>
      </c>
      <c r="B102" s="17" t="s">
        <v>55</v>
      </c>
      <c r="C102" s="25">
        <f t="shared" si="54"/>
        <v>19030</v>
      </c>
      <c r="D102" s="25" t="e">
        <f t="shared" si="55"/>
        <v>#REF!</v>
      </c>
      <c r="E102" s="27" t="e">
        <f t="shared" si="56"/>
        <v>#REF!</v>
      </c>
      <c r="F102" s="27"/>
      <c r="G102" s="25">
        <f t="shared" si="57"/>
        <v>1326</v>
      </c>
      <c r="H102" s="25" t="e">
        <f t="shared" si="58"/>
        <v>#REF!</v>
      </c>
      <c r="I102" s="27" t="e">
        <f t="shared" si="59"/>
        <v>#REF!</v>
      </c>
      <c r="J102" s="27"/>
      <c r="K102" s="25">
        <f t="shared" si="60"/>
        <v>335</v>
      </c>
      <c r="L102" s="25" t="e">
        <f t="shared" si="61"/>
        <v>#REF!</v>
      </c>
      <c r="M102" s="27" t="e">
        <f t="shared" si="62"/>
        <v>#REF!</v>
      </c>
      <c r="N102" s="39"/>
      <c r="O102" s="36" t="str">
        <f t="shared" si="63"/>
        <v>Eastern</v>
      </c>
      <c r="P102" s="26" t="e">
        <f t="shared" si="64"/>
        <v>#REF!</v>
      </c>
      <c r="Q102" s="27" t="e">
        <f t="shared" si="65"/>
        <v>#VALUE!</v>
      </c>
      <c r="R102" s="27"/>
      <c r="S102" s="26">
        <f t="shared" si="66"/>
        <v>15016</v>
      </c>
      <c r="T102" s="26" t="e">
        <f t="shared" si="67"/>
        <v>#REF!</v>
      </c>
      <c r="U102" s="27" t="e">
        <f t="shared" si="68"/>
        <v>#REF!</v>
      </c>
      <c r="V102" s="27"/>
      <c r="W102" s="26">
        <f t="shared" si="69"/>
        <v>17682</v>
      </c>
      <c r="X102" s="26" t="e">
        <f t="shared" si="70"/>
        <v>#REF!</v>
      </c>
      <c r="Y102" s="27" t="e">
        <f t="shared" si="71"/>
        <v>#REF!</v>
      </c>
    </row>
    <row r="103" spans="1:25" ht="16.5" customHeight="1" x14ac:dyDescent="0.25">
      <c r="A103" s="16" t="s">
        <v>66</v>
      </c>
      <c r="B103" s="32" t="s">
        <v>67</v>
      </c>
      <c r="C103" s="25">
        <f t="shared" si="54"/>
        <v>11205</v>
      </c>
      <c r="D103" s="25" t="e">
        <f t="shared" si="55"/>
        <v>#REF!</v>
      </c>
      <c r="E103" s="27" t="e">
        <f t="shared" si="56"/>
        <v>#REF!</v>
      </c>
      <c r="F103" s="27"/>
      <c r="G103" s="25">
        <f t="shared" si="57"/>
        <v>357</v>
      </c>
      <c r="H103" s="25" t="e">
        <f t="shared" si="58"/>
        <v>#REF!</v>
      </c>
      <c r="I103" s="27" t="e">
        <f t="shared" si="59"/>
        <v>#REF!</v>
      </c>
      <c r="J103" s="27"/>
      <c r="K103" s="25">
        <f t="shared" si="60"/>
        <v>35</v>
      </c>
      <c r="L103" s="25" t="e">
        <f t="shared" si="61"/>
        <v>#REF!</v>
      </c>
      <c r="M103" s="27" t="e">
        <f t="shared" si="62"/>
        <v>#REF!</v>
      </c>
      <c r="N103" s="39"/>
      <c r="O103" s="36" t="str">
        <f t="shared" si="63"/>
        <v>Piedmont</v>
      </c>
      <c r="P103" s="26" t="e">
        <f t="shared" si="64"/>
        <v>#REF!</v>
      </c>
      <c r="Q103" s="27" t="e">
        <f t="shared" si="65"/>
        <v>#VALUE!</v>
      </c>
      <c r="R103" s="27"/>
      <c r="S103" s="26">
        <f t="shared" si="66"/>
        <v>6576</v>
      </c>
      <c r="T103" s="26" t="e">
        <f t="shared" si="67"/>
        <v>#REF!</v>
      </c>
      <c r="U103" s="27" t="e">
        <f t="shared" si="68"/>
        <v>#REF!</v>
      </c>
      <c r="V103" s="27"/>
      <c r="W103" s="26">
        <f t="shared" si="69"/>
        <v>9871</v>
      </c>
      <c r="X103" s="26" t="e">
        <f t="shared" si="70"/>
        <v>#REF!</v>
      </c>
      <c r="Y103" s="27" t="e">
        <f t="shared" si="71"/>
        <v>#REF!</v>
      </c>
    </row>
    <row r="104" spans="1:25" ht="16.5" customHeight="1" x14ac:dyDescent="0.25">
      <c r="A104" s="16" t="s">
        <v>82</v>
      </c>
      <c r="B104" s="32" t="s">
        <v>311</v>
      </c>
      <c r="C104" s="25">
        <f t="shared" si="54"/>
        <v>2764</v>
      </c>
      <c r="D104" s="25" t="e">
        <f t="shared" si="55"/>
        <v>#REF!</v>
      </c>
      <c r="E104" s="27" t="e">
        <f t="shared" si="56"/>
        <v>#REF!</v>
      </c>
      <c r="F104" s="27"/>
      <c r="G104" s="25">
        <f t="shared" si="57"/>
        <v>31</v>
      </c>
      <c r="H104" s="25" t="e">
        <f t="shared" si="58"/>
        <v>#REF!</v>
      </c>
      <c r="I104" s="27" t="e">
        <f t="shared" si="59"/>
        <v>#REF!</v>
      </c>
      <c r="J104" s="27"/>
      <c r="K104" s="25">
        <f t="shared" si="60"/>
        <v>17</v>
      </c>
      <c r="L104" s="25" t="e">
        <f t="shared" si="61"/>
        <v>#REF!</v>
      </c>
      <c r="M104" s="27" t="e">
        <f t="shared" si="62"/>
        <v>#REF!</v>
      </c>
      <c r="N104" s="39"/>
      <c r="O104" s="36" t="str">
        <f t="shared" si="63"/>
        <v>Eastern</v>
      </c>
      <c r="P104" s="26" t="e">
        <f t="shared" si="64"/>
        <v>#REF!</v>
      </c>
      <c r="Q104" s="27" t="e">
        <f t="shared" si="65"/>
        <v>#VALUE!</v>
      </c>
      <c r="R104" s="27"/>
      <c r="S104" s="26">
        <f t="shared" si="66"/>
        <v>1372</v>
      </c>
      <c r="T104" s="26" t="e">
        <f t="shared" si="67"/>
        <v>#REF!</v>
      </c>
      <c r="U104" s="27" t="e">
        <f t="shared" si="68"/>
        <v>#REF!</v>
      </c>
      <c r="V104" s="27"/>
      <c r="W104" s="26">
        <f t="shared" si="69"/>
        <v>1914</v>
      </c>
      <c r="X104" s="26" t="e">
        <f t="shared" si="70"/>
        <v>#REF!</v>
      </c>
      <c r="Y104" s="27" t="e">
        <f t="shared" si="71"/>
        <v>#REF!</v>
      </c>
    </row>
    <row r="105" spans="1:25" ht="16.5" customHeight="1" x14ac:dyDescent="0.25">
      <c r="A105" s="16" t="s">
        <v>88</v>
      </c>
      <c r="B105" s="17" t="s">
        <v>89</v>
      </c>
      <c r="C105" s="25">
        <f t="shared" si="54"/>
        <v>2788</v>
      </c>
      <c r="D105" s="25" t="e">
        <f t="shared" si="55"/>
        <v>#REF!</v>
      </c>
      <c r="E105" s="27" t="e">
        <f t="shared" si="56"/>
        <v>#REF!</v>
      </c>
      <c r="F105" s="27"/>
      <c r="G105" s="25">
        <f t="shared" si="57"/>
        <v>659</v>
      </c>
      <c r="H105" s="25" t="e">
        <f t="shared" si="58"/>
        <v>#REF!</v>
      </c>
      <c r="I105" s="27" t="e">
        <f t="shared" si="59"/>
        <v>#REF!</v>
      </c>
      <c r="J105" s="27"/>
      <c r="K105" s="25">
        <f t="shared" si="60"/>
        <v>101</v>
      </c>
      <c r="L105" s="25" t="e">
        <f t="shared" si="61"/>
        <v>#REF!</v>
      </c>
      <c r="M105" s="27" t="e">
        <f t="shared" si="62"/>
        <v>#REF!</v>
      </c>
      <c r="N105" s="39"/>
      <c r="O105" s="36" t="str">
        <f t="shared" si="63"/>
        <v>Northern</v>
      </c>
      <c r="P105" s="26" t="e">
        <f t="shared" si="64"/>
        <v>#REF!</v>
      </c>
      <c r="Q105" s="27" t="e">
        <f t="shared" si="65"/>
        <v>#VALUE!</v>
      </c>
      <c r="R105" s="27"/>
      <c r="S105" s="26">
        <f t="shared" si="66"/>
        <v>2795</v>
      </c>
      <c r="T105" s="26" t="e">
        <f t="shared" si="67"/>
        <v>#REF!</v>
      </c>
      <c r="U105" s="27" t="e">
        <f t="shared" si="68"/>
        <v>#REF!</v>
      </c>
      <c r="V105" s="27"/>
      <c r="W105" s="26">
        <f t="shared" si="69"/>
        <v>3921</v>
      </c>
      <c r="X105" s="26" t="e">
        <f t="shared" si="70"/>
        <v>#REF!</v>
      </c>
      <c r="Y105" s="27" t="e">
        <f t="shared" si="71"/>
        <v>#REF!</v>
      </c>
    </row>
    <row r="106" spans="1:25" ht="16.5" customHeight="1" x14ac:dyDescent="0.25">
      <c r="A106" s="16" t="s">
        <v>90</v>
      </c>
      <c r="B106" s="17" t="s">
        <v>91</v>
      </c>
      <c r="C106" s="25">
        <f t="shared" si="54"/>
        <v>302</v>
      </c>
      <c r="D106" s="25" t="e">
        <f t="shared" si="55"/>
        <v>#REF!</v>
      </c>
      <c r="E106" s="27" t="e">
        <f t="shared" si="56"/>
        <v>#REF!</v>
      </c>
      <c r="F106" s="27"/>
      <c r="G106" s="25">
        <f t="shared" si="57"/>
        <v>38</v>
      </c>
      <c r="H106" s="25" t="e">
        <f t="shared" si="58"/>
        <v>#REF!</v>
      </c>
      <c r="I106" s="27" t="e">
        <f t="shared" si="59"/>
        <v>#REF!</v>
      </c>
      <c r="J106" s="27"/>
      <c r="K106" s="25">
        <f t="shared" si="60"/>
        <v>6</v>
      </c>
      <c r="L106" s="25" t="e">
        <f t="shared" si="61"/>
        <v>#REF!</v>
      </c>
      <c r="M106" s="27" t="e">
        <f t="shared" si="62"/>
        <v>#REF!</v>
      </c>
      <c r="N106" s="39"/>
      <c r="O106" s="36" t="str">
        <f t="shared" si="63"/>
        <v>Western</v>
      </c>
      <c r="P106" s="26" t="e">
        <f t="shared" si="64"/>
        <v>#REF!</v>
      </c>
      <c r="Q106" s="27" t="e">
        <f t="shared" si="65"/>
        <v>#VALUE!</v>
      </c>
      <c r="R106" s="27"/>
      <c r="S106" s="26">
        <f t="shared" si="66"/>
        <v>1039</v>
      </c>
      <c r="T106" s="26" t="e">
        <f t="shared" si="67"/>
        <v>#REF!</v>
      </c>
      <c r="U106" s="27" t="e">
        <f t="shared" si="68"/>
        <v>#REF!</v>
      </c>
      <c r="V106" s="27"/>
      <c r="W106" s="26">
        <f t="shared" si="69"/>
        <v>1531</v>
      </c>
      <c r="X106" s="26" t="e">
        <f t="shared" si="70"/>
        <v>#REF!</v>
      </c>
      <c r="Y106" s="27" t="e">
        <f t="shared" si="71"/>
        <v>#REF!</v>
      </c>
    </row>
    <row r="107" spans="1:25" ht="16.5" customHeight="1" x14ac:dyDescent="0.25">
      <c r="A107" s="16" t="s">
        <v>106</v>
      </c>
      <c r="B107" s="17" t="s">
        <v>107</v>
      </c>
      <c r="C107" s="25">
        <f t="shared" si="54"/>
        <v>20308</v>
      </c>
      <c r="D107" s="25" t="e">
        <f t="shared" si="55"/>
        <v>#REF!</v>
      </c>
      <c r="E107" s="27" t="e">
        <f t="shared" si="56"/>
        <v>#REF!</v>
      </c>
      <c r="F107" s="27"/>
      <c r="G107" s="25">
        <f t="shared" si="57"/>
        <v>864</v>
      </c>
      <c r="H107" s="25" t="e">
        <f t="shared" si="58"/>
        <v>#REF!</v>
      </c>
      <c r="I107" s="27" t="e">
        <f t="shared" si="59"/>
        <v>#REF!</v>
      </c>
      <c r="J107" s="27"/>
      <c r="K107" s="25">
        <f t="shared" si="60"/>
        <v>236</v>
      </c>
      <c r="L107" s="25" t="e">
        <f t="shared" si="61"/>
        <v>#REF!</v>
      </c>
      <c r="M107" s="27" t="e">
        <f t="shared" si="62"/>
        <v>#REF!</v>
      </c>
      <c r="N107" s="39"/>
      <c r="O107" s="36" t="str">
        <f t="shared" si="63"/>
        <v>Eastern</v>
      </c>
      <c r="P107" s="26" t="e">
        <f t="shared" si="64"/>
        <v>#REF!</v>
      </c>
      <c r="Q107" s="27" t="e">
        <f t="shared" si="65"/>
        <v>#VALUE!</v>
      </c>
      <c r="R107" s="27"/>
      <c r="S107" s="26">
        <f t="shared" si="66"/>
        <v>13462</v>
      </c>
      <c r="T107" s="26" t="e">
        <f t="shared" si="67"/>
        <v>#REF!</v>
      </c>
      <c r="U107" s="27" t="e">
        <f t="shared" si="68"/>
        <v>#REF!</v>
      </c>
      <c r="V107" s="27"/>
      <c r="W107" s="26">
        <f t="shared" si="69"/>
        <v>16991</v>
      </c>
      <c r="X107" s="26" t="e">
        <f t="shared" si="70"/>
        <v>#REF!</v>
      </c>
      <c r="Y107" s="27" t="e">
        <f t="shared" si="71"/>
        <v>#REF!</v>
      </c>
    </row>
    <row r="108" spans="1:25" ht="16.5" customHeight="1" x14ac:dyDescent="0.25">
      <c r="A108" s="16" t="s">
        <v>116</v>
      </c>
      <c r="B108" s="32" t="s">
        <v>117</v>
      </c>
      <c r="C108" s="25">
        <f t="shared" si="54"/>
        <v>5021</v>
      </c>
      <c r="D108" s="25" t="e">
        <f t="shared" si="55"/>
        <v>#REF!</v>
      </c>
      <c r="E108" s="27" t="e">
        <f t="shared" si="56"/>
        <v>#REF!</v>
      </c>
      <c r="F108" s="27"/>
      <c r="G108" s="25">
        <f t="shared" si="57"/>
        <v>226</v>
      </c>
      <c r="H108" s="25" t="e">
        <f t="shared" si="58"/>
        <v>#REF!</v>
      </c>
      <c r="I108" s="27" t="e">
        <f t="shared" si="59"/>
        <v>#REF!</v>
      </c>
      <c r="J108" s="27"/>
      <c r="K108" s="25">
        <f t="shared" si="60"/>
        <v>55</v>
      </c>
      <c r="L108" s="25" t="e">
        <f t="shared" si="61"/>
        <v>#REF!</v>
      </c>
      <c r="M108" s="27" t="e">
        <f t="shared" si="62"/>
        <v>#REF!</v>
      </c>
      <c r="N108" s="39"/>
      <c r="O108" s="36" t="str">
        <f t="shared" si="63"/>
        <v>Central</v>
      </c>
      <c r="P108" s="26" t="e">
        <f t="shared" si="64"/>
        <v>#REF!</v>
      </c>
      <c r="Q108" s="27" t="e">
        <f t="shared" si="65"/>
        <v>#VALUE!</v>
      </c>
      <c r="R108" s="27"/>
      <c r="S108" s="26">
        <f t="shared" si="66"/>
        <v>4189</v>
      </c>
      <c r="T108" s="26" t="e">
        <f t="shared" si="67"/>
        <v>#REF!</v>
      </c>
      <c r="U108" s="27" t="e">
        <f t="shared" si="68"/>
        <v>#REF!</v>
      </c>
      <c r="V108" s="27"/>
      <c r="W108" s="26">
        <f t="shared" si="69"/>
        <v>5327</v>
      </c>
      <c r="X108" s="26" t="e">
        <f t="shared" si="70"/>
        <v>#REF!</v>
      </c>
      <c r="Y108" s="27" t="e">
        <f t="shared" si="71"/>
        <v>#REF!</v>
      </c>
    </row>
    <row r="109" spans="1:25" ht="16.5" customHeight="1" x14ac:dyDescent="0.25">
      <c r="A109" s="16" t="s">
        <v>138</v>
      </c>
      <c r="B109" s="17" t="s">
        <v>139</v>
      </c>
      <c r="C109" s="25">
        <f t="shared" si="54"/>
        <v>10414</v>
      </c>
      <c r="D109" s="25" t="e">
        <f t="shared" si="55"/>
        <v>#REF!</v>
      </c>
      <c r="E109" s="27" t="e">
        <f t="shared" si="56"/>
        <v>#REF!</v>
      </c>
      <c r="F109" s="27"/>
      <c r="G109" s="25">
        <f t="shared" si="57"/>
        <v>419</v>
      </c>
      <c r="H109" s="25" t="e">
        <f t="shared" si="58"/>
        <v>#REF!</v>
      </c>
      <c r="I109" s="27" t="e">
        <f t="shared" si="59"/>
        <v>#REF!</v>
      </c>
      <c r="J109" s="27"/>
      <c r="K109" s="25">
        <f t="shared" si="60"/>
        <v>175</v>
      </c>
      <c r="L109" s="25" t="e">
        <f t="shared" si="61"/>
        <v>#REF!</v>
      </c>
      <c r="M109" s="27" t="e">
        <f t="shared" si="62"/>
        <v>#REF!</v>
      </c>
      <c r="N109" s="39"/>
      <c r="O109" s="36" t="str">
        <f t="shared" si="63"/>
        <v>Piedmont</v>
      </c>
      <c r="P109" s="26" t="e">
        <f t="shared" si="64"/>
        <v>#REF!</v>
      </c>
      <c r="Q109" s="27" t="e">
        <f t="shared" si="65"/>
        <v>#VALUE!</v>
      </c>
      <c r="R109" s="27"/>
      <c r="S109" s="26">
        <f t="shared" si="66"/>
        <v>7368</v>
      </c>
      <c r="T109" s="26" t="e">
        <f t="shared" si="67"/>
        <v>#REF!</v>
      </c>
      <c r="U109" s="27" t="e">
        <f t="shared" si="68"/>
        <v>#REF!</v>
      </c>
      <c r="V109" s="27"/>
      <c r="W109" s="26">
        <f t="shared" si="69"/>
        <v>10189</v>
      </c>
      <c r="X109" s="26" t="e">
        <f t="shared" si="70"/>
        <v>#REF!</v>
      </c>
      <c r="Y109" s="27" t="e">
        <f t="shared" si="71"/>
        <v>#REF!</v>
      </c>
    </row>
    <row r="110" spans="1:25" ht="16.5" customHeight="1" x14ac:dyDescent="0.25">
      <c r="A110" s="16" t="s">
        <v>142</v>
      </c>
      <c r="B110" s="32" t="s">
        <v>143</v>
      </c>
      <c r="C110" s="25">
        <f t="shared" si="54"/>
        <v>1431</v>
      </c>
      <c r="D110" s="25" t="e">
        <f t="shared" si="55"/>
        <v>#REF!</v>
      </c>
      <c r="E110" s="27" t="e">
        <f t="shared" si="56"/>
        <v>#REF!</v>
      </c>
      <c r="F110" s="27"/>
      <c r="G110" s="25">
        <f t="shared" si="57"/>
        <v>915</v>
      </c>
      <c r="H110" s="25" t="e">
        <f t="shared" si="58"/>
        <v>#REF!</v>
      </c>
      <c r="I110" s="27" t="e">
        <f t="shared" si="59"/>
        <v>#REF!</v>
      </c>
      <c r="J110" s="27"/>
      <c r="K110" s="25">
        <f t="shared" si="60"/>
        <v>46</v>
      </c>
      <c r="L110" s="25" t="e">
        <f t="shared" si="61"/>
        <v>#REF!</v>
      </c>
      <c r="M110" s="27" t="e">
        <f t="shared" si="62"/>
        <v>#REF!</v>
      </c>
      <c r="N110" s="39"/>
      <c r="O110" s="36" t="str">
        <f t="shared" si="63"/>
        <v>Northern</v>
      </c>
      <c r="P110" s="26" t="e">
        <f t="shared" si="64"/>
        <v>#REF!</v>
      </c>
      <c r="Q110" s="27" t="e">
        <f t="shared" si="65"/>
        <v>#VALUE!</v>
      </c>
      <c r="R110" s="27"/>
      <c r="S110" s="26">
        <f t="shared" si="66"/>
        <v>3846</v>
      </c>
      <c r="T110" s="26" t="e">
        <f t="shared" si="67"/>
        <v>#REF!</v>
      </c>
      <c r="U110" s="27" t="e">
        <f t="shared" si="68"/>
        <v>#REF!</v>
      </c>
      <c r="V110" s="27"/>
      <c r="W110" s="26">
        <f t="shared" si="69"/>
        <v>3466</v>
      </c>
      <c r="X110" s="26" t="e">
        <f t="shared" si="70"/>
        <v>#REF!</v>
      </c>
      <c r="Y110" s="27" t="e">
        <f t="shared" si="71"/>
        <v>#REF!</v>
      </c>
    </row>
    <row r="111" spans="1:25" ht="16.5" customHeight="1" x14ac:dyDescent="0.25">
      <c r="A111" s="16" t="s">
        <v>144</v>
      </c>
      <c r="B111" s="17" t="s">
        <v>145</v>
      </c>
      <c r="C111" s="25">
        <f t="shared" si="54"/>
        <v>287</v>
      </c>
      <c r="D111" s="25" t="e">
        <f t="shared" si="55"/>
        <v>#REF!</v>
      </c>
      <c r="E111" s="27" t="e">
        <f t="shared" si="56"/>
        <v>#REF!</v>
      </c>
      <c r="F111" s="27"/>
      <c r="G111" s="25">
        <f t="shared" si="57"/>
        <v>565</v>
      </c>
      <c r="H111" s="25" t="e">
        <f t="shared" si="58"/>
        <v>#REF!</v>
      </c>
      <c r="I111" s="27" t="e">
        <f t="shared" si="59"/>
        <v>#REF!</v>
      </c>
      <c r="J111" s="27"/>
      <c r="K111" s="25">
        <f t="shared" si="60"/>
        <v>6</v>
      </c>
      <c r="L111" s="25" t="e">
        <f t="shared" si="61"/>
        <v>#REF!</v>
      </c>
      <c r="M111" s="27" t="e">
        <f t="shared" si="62"/>
        <v>#REF!</v>
      </c>
      <c r="N111" s="39"/>
      <c r="O111" s="36" t="str">
        <f t="shared" si="63"/>
        <v>Northern</v>
      </c>
      <c r="P111" s="26" t="e">
        <f t="shared" si="64"/>
        <v>#REF!</v>
      </c>
      <c r="Q111" s="27" t="e">
        <f t="shared" si="65"/>
        <v>#VALUE!</v>
      </c>
      <c r="R111" s="27"/>
      <c r="S111" s="26">
        <f t="shared" si="66"/>
        <v>1084</v>
      </c>
      <c r="T111" s="26" t="e">
        <f t="shared" si="67"/>
        <v>#REF!</v>
      </c>
      <c r="U111" s="27" t="e">
        <f t="shared" si="68"/>
        <v>#REF!</v>
      </c>
      <c r="V111" s="27"/>
      <c r="W111" s="26">
        <f t="shared" si="69"/>
        <v>998</v>
      </c>
      <c r="X111" s="26" t="e">
        <f t="shared" si="70"/>
        <v>#REF!</v>
      </c>
      <c r="Y111" s="27" t="e">
        <f t="shared" si="71"/>
        <v>#REF!</v>
      </c>
    </row>
    <row r="112" spans="1:25" ht="16.5" customHeight="1" x14ac:dyDescent="0.25">
      <c r="A112" s="16" t="s">
        <v>158</v>
      </c>
      <c r="B112" s="17" t="s">
        <v>159</v>
      </c>
      <c r="C112" s="25">
        <f t="shared" si="54"/>
        <v>32339</v>
      </c>
      <c r="D112" s="25" t="e">
        <f t="shared" si="55"/>
        <v>#REF!</v>
      </c>
      <c r="E112" s="27" t="e">
        <f t="shared" si="56"/>
        <v>#REF!</v>
      </c>
      <c r="F112" s="27"/>
      <c r="G112" s="25">
        <f t="shared" si="57"/>
        <v>2607</v>
      </c>
      <c r="H112" s="25" t="e">
        <f t="shared" si="58"/>
        <v>#REF!</v>
      </c>
      <c r="I112" s="27" t="e">
        <f t="shared" si="59"/>
        <v>#REF!</v>
      </c>
      <c r="J112" s="27"/>
      <c r="K112" s="25">
        <f t="shared" si="60"/>
        <v>543</v>
      </c>
      <c r="L112" s="25" t="e">
        <f t="shared" si="61"/>
        <v>#REF!</v>
      </c>
      <c r="M112" s="27" t="e">
        <f t="shared" si="62"/>
        <v>#REF!</v>
      </c>
      <c r="N112" s="39"/>
      <c r="O112" s="36" t="str">
        <f t="shared" si="63"/>
        <v>Eastern</v>
      </c>
      <c r="P112" s="26" t="e">
        <f t="shared" si="64"/>
        <v>#REF!</v>
      </c>
      <c r="Q112" s="27" t="e">
        <f t="shared" si="65"/>
        <v>#VALUE!</v>
      </c>
      <c r="R112" s="27"/>
      <c r="S112" s="26">
        <f t="shared" si="66"/>
        <v>21106</v>
      </c>
      <c r="T112" s="26" t="e">
        <f t="shared" si="67"/>
        <v>#REF!</v>
      </c>
      <c r="U112" s="27" t="e">
        <f t="shared" si="68"/>
        <v>#REF!</v>
      </c>
      <c r="V112" s="27"/>
      <c r="W112" s="26">
        <f t="shared" si="69"/>
        <v>26755</v>
      </c>
      <c r="X112" s="26" t="e">
        <f t="shared" si="70"/>
        <v>#REF!</v>
      </c>
      <c r="Y112" s="27" t="e">
        <f t="shared" si="71"/>
        <v>#REF!</v>
      </c>
    </row>
    <row r="113" spans="1:25" ht="16.5" customHeight="1" x14ac:dyDescent="0.25">
      <c r="A113" s="16" t="s">
        <v>160</v>
      </c>
      <c r="B113" s="17" t="s">
        <v>161</v>
      </c>
      <c r="C113" s="25">
        <f t="shared" si="54"/>
        <v>45723</v>
      </c>
      <c r="D113" s="25" t="e">
        <f t="shared" si="55"/>
        <v>#REF!</v>
      </c>
      <c r="E113" s="27" t="e">
        <f t="shared" si="56"/>
        <v>#REF!</v>
      </c>
      <c r="F113" s="27"/>
      <c r="G113" s="25">
        <f t="shared" si="57"/>
        <v>2147</v>
      </c>
      <c r="H113" s="25" t="e">
        <f t="shared" si="58"/>
        <v>#REF!</v>
      </c>
      <c r="I113" s="27" t="e">
        <f t="shared" si="59"/>
        <v>#REF!</v>
      </c>
      <c r="J113" s="27"/>
      <c r="K113" s="25">
        <f t="shared" si="60"/>
        <v>425</v>
      </c>
      <c r="L113" s="25" t="e">
        <f t="shared" si="61"/>
        <v>#REF!</v>
      </c>
      <c r="M113" s="27" t="e">
        <f t="shared" si="62"/>
        <v>#REF!</v>
      </c>
      <c r="N113" s="39"/>
      <c r="O113" s="36" t="str">
        <f t="shared" si="63"/>
        <v>Eastern</v>
      </c>
      <c r="P113" s="26" t="e">
        <f t="shared" si="64"/>
        <v>#REF!</v>
      </c>
      <c r="Q113" s="27" t="e">
        <f t="shared" si="65"/>
        <v>#VALUE!</v>
      </c>
      <c r="R113" s="27"/>
      <c r="S113" s="26">
        <f t="shared" si="66"/>
        <v>26582</v>
      </c>
      <c r="T113" s="26" t="e">
        <f t="shared" si="67"/>
        <v>#REF!</v>
      </c>
      <c r="U113" s="27" t="e">
        <f t="shared" si="68"/>
        <v>#REF!</v>
      </c>
      <c r="V113" s="27"/>
      <c r="W113" s="26">
        <f t="shared" si="69"/>
        <v>35383</v>
      </c>
      <c r="X113" s="26" t="e">
        <f t="shared" si="70"/>
        <v>#REF!</v>
      </c>
      <c r="Y113" s="27" t="e">
        <f t="shared" si="71"/>
        <v>#REF!</v>
      </c>
    </row>
    <row r="114" spans="1:25" ht="16.5" customHeight="1" x14ac:dyDescent="0.25">
      <c r="A114" s="16" t="s">
        <v>166</v>
      </c>
      <c r="B114" s="32" t="s">
        <v>167</v>
      </c>
      <c r="C114" s="25">
        <f t="shared" si="54"/>
        <v>124</v>
      </c>
      <c r="D114" s="25" t="e">
        <f t="shared" si="55"/>
        <v>#REF!</v>
      </c>
      <c r="E114" s="27" t="e">
        <f t="shared" si="56"/>
        <v>#REF!</v>
      </c>
      <c r="F114" s="27"/>
      <c r="G114" s="25">
        <f t="shared" si="57"/>
        <v>50</v>
      </c>
      <c r="H114" s="25" t="e">
        <f t="shared" si="58"/>
        <v>#REF!</v>
      </c>
      <c r="I114" s="27" t="e">
        <f t="shared" si="59"/>
        <v>#REF!</v>
      </c>
      <c r="J114" s="27"/>
      <c r="K114" s="25">
        <f t="shared" si="60"/>
        <v>36</v>
      </c>
      <c r="L114" s="25" t="e">
        <f t="shared" si="61"/>
        <v>#REF!</v>
      </c>
      <c r="M114" s="27" t="e">
        <f t="shared" si="62"/>
        <v>#REF!</v>
      </c>
      <c r="N114" s="39"/>
      <c r="O114" s="36" t="str">
        <f t="shared" si="63"/>
        <v>Western</v>
      </c>
      <c r="P114" s="26" t="e">
        <f t="shared" si="64"/>
        <v>#REF!</v>
      </c>
      <c r="Q114" s="27" t="e">
        <f t="shared" si="65"/>
        <v>#VALUE!</v>
      </c>
      <c r="R114" s="27"/>
      <c r="S114" s="26">
        <f t="shared" si="66"/>
        <v>503</v>
      </c>
      <c r="T114" s="26" t="e">
        <f t="shared" si="67"/>
        <v>#REF!</v>
      </c>
      <c r="U114" s="27" t="e">
        <f t="shared" si="68"/>
        <v>#REF!</v>
      </c>
      <c r="V114" s="27"/>
      <c r="W114" s="26">
        <f t="shared" si="69"/>
        <v>853</v>
      </c>
      <c r="X114" s="26" t="e">
        <f t="shared" si="70"/>
        <v>#REF!</v>
      </c>
      <c r="Y114" s="27" t="e">
        <f t="shared" si="71"/>
        <v>#REF!</v>
      </c>
    </row>
    <row r="115" spans="1:25" ht="16.5" customHeight="1" x14ac:dyDescent="0.25">
      <c r="A115" s="16" t="s">
        <v>176</v>
      </c>
      <c r="B115" s="32" t="s">
        <v>177</v>
      </c>
      <c r="C115" s="25">
        <f t="shared" si="54"/>
        <v>11981</v>
      </c>
      <c r="D115" s="25" t="e">
        <f t="shared" si="55"/>
        <v>#REF!</v>
      </c>
      <c r="E115" s="27" t="e">
        <f t="shared" si="56"/>
        <v>#REF!</v>
      </c>
      <c r="F115" s="27"/>
      <c r="G115" s="25">
        <f t="shared" si="57"/>
        <v>333</v>
      </c>
      <c r="H115" s="25" t="e">
        <f t="shared" si="58"/>
        <v>#REF!</v>
      </c>
      <c r="I115" s="27" t="e">
        <f t="shared" si="59"/>
        <v>#REF!</v>
      </c>
      <c r="J115" s="27"/>
      <c r="K115" s="25">
        <f t="shared" si="60"/>
        <v>56</v>
      </c>
      <c r="L115" s="25" t="e">
        <f t="shared" si="61"/>
        <v>#REF!</v>
      </c>
      <c r="M115" s="27" t="e">
        <f t="shared" si="62"/>
        <v>#REF!</v>
      </c>
      <c r="N115" s="39"/>
      <c r="O115" s="36" t="str">
        <f t="shared" si="63"/>
        <v>Central</v>
      </c>
      <c r="P115" s="26" t="e">
        <f t="shared" si="64"/>
        <v>#REF!</v>
      </c>
      <c r="Q115" s="27" t="e">
        <f t="shared" si="65"/>
        <v>#VALUE!</v>
      </c>
      <c r="R115" s="27"/>
      <c r="S115" s="26">
        <f t="shared" si="66"/>
        <v>5385</v>
      </c>
      <c r="T115" s="26" t="e">
        <f t="shared" si="67"/>
        <v>#REF!</v>
      </c>
      <c r="U115" s="27" t="e">
        <f t="shared" si="68"/>
        <v>#REF!</v>
      </c>
      <c r="V115" s="27"/>
      <c r="W115" s="26">
        <f t="shared" si="69"/>
        <v>8647</v>
      </c>
      <c r="X115" s="26" t="e">
        <f t="shared" si="70"/>
        <v>#REF!</v>
      </c>
      <c r="Y115" s="27" t="e">
        <f t="shared" si="71"/>
        <v>#REF!</v>
      </c>
    </row>
    <row r="116" spans="1:25" ht="16.5" customHeight="1" x14ac:dyDescent="0.25">
      <c r="A116" s="16" t="s">
        <v>180</v>
      </c>
      <c r="B116" s="17" t="s">
        <v>181</v>
      </c>
      <c r="C116" s="25">
        <f t="shared" si="54"/>
        <v>23088</v>
      </c>
      <c r="D116" s="25" t="e">
        <f t="shared" si="55"/>
        <v>#REF!</v>
      </c>
      <c r="E116" s="27" t="e">
        <f t="shared" si="56"/>
        <v>#REF!</v>
      </c>
      <c r="F116" s="27"/>
      <c r="G116" s="25">
        <f t="shared" si="57"/>
        <v>411</v>
      </c>
      <c r="H116" s="25" t="e">
        <f t="shared" si="58"/>
        <v>#REF!</v>
      </c>
      <c r="I116" s="27" t="e">
        <f t="shared" si="59"/>
        <v>#REF!</v>
      </c>
      <c r="J116" s="27"/>
      <c r="K116" s="25">
        <f t="shared" si="60"/>
        <v>124</v>
      </c>
      <c r="L116" s="25" t="e">
        <f t="shared" si="61"/>
        <v>#REF!</v>
      </c>
      <c r="M116" s="27" t="e">
        <f t="shared" si="62"/>
        <v>#REF!</v>
      </c>
      <c r="N116" s="39"/>
      <c r="O116" s="36" t="str">
        <f t="shared" si="63"/>
        <v>Eastern</v>
      </c>
      <c r="P116" s="26" t="e">
        <f t="shared" si="64"/>
        <v>#REF!</v>
      </c>
      <c r="Q116" s="27" t="e">
        <f t="shared" si="65"/>
        <v>#VALUE!</v>
      </c>
      <c r="R116" s="27"/>
      <c r="S116" s="26">
        <f t="shared" si="66"/>
        <v>13362</v>
      </c>
      <c r="T116" s="26" t="e">
        <f t="shared" si="67"/>
        <v>#REF!</v>
      </c>
      <c r="U116" s="27" t="e">
        <f t="shared" si="68"/>
        <v>#REF!</v>
      </c>
      <c r="V116" s="27"/>
      <c r="W116" s="26">
        <f t="shared" si="69"/>
        <v>16724</v>
      </c>
      <c r="X116" s="26" t="e">
        <f t="shared" si="70"/>
        <v>#REF!</v>
      </c>
      <c r="Y116" s="27" t="e">
        <f t="shared" si="71"/>
        <v>#REF!</v>
      </c>
    </row>
    <row r="117" spans="1:25" ht="16.5" customHeight="1" x14ac:dyDescent="0.25">
      <c r="A117" s="16" t="s">
        <v>192</v>
      </c>
      <c r="B117" s="17" t="s">
        <v>193</v>
      </c>
      <c r="C117" s="25">
        <f t="shared" si="54"/>
        <v>441</v>
      </c>
      <c r="D117" s="25" t="e">
        <f t="shared" si="55"/>
        <v>#REF!</v>
      </c>
      <c r="E117" s="27" t="e">
        <f t="shared" si="56"/>
        <v>#REF!</v>
      </c>
      <c r="F117" s="27"/>
      <c r="G117" s="25">
        <f t="shared" si="57"/>
        <v>73</v>
      </c>
      <c r="H117" s="25" t="e">
        <f t="shared" si="58"/>
        <v>#REF!</v>
      </c>
      <c r="I117" s="27" t="e">
        <f t="shared" si="59"/>
        <v>#REF!</v>
      </c>
      <c r="J117" s="27"/>
      <c r="K117" s="25">
        <f t="shared" si="60"/>
        <v>44</v>
      </c>
      <c r="L117" s="25" t="e">
        <f t="shared" si="61"/>
        <v>#REF!</v>
      </c>
      <c r="M117" s="27" t="e">
        <f t="shared" si="62"/>
        <v>#REF!</v>
      </c>
      <c r="N117" s="39"/>
      <c r="O117" s="36" t="str">
        <f t="shared" si="63"/>
        <v>Western</v>
      </c>
      <c r="P117" s="26" t="e">
        <f t="shared" si="64"/>
        <v>#REF!</v>
      </c>
      <c r="Q117" s="27" t="e">
        <f t="shared" si="65"/>
        <v>#VALUE!</v>
      </c>
      <c r="R117" s="27"/>
      <c r="S117" s="26">
        <f t="shared" si="66"/>
        <v>1002</v>
      </c>
      <c r="T117" s="26" t="e">
        <f t="shared" si="67"/>
        <v>#REF!</v>
      </c>
      <c r="U117" s="27" t="e">
        <f t="shared" si="68"/>
        <v>#REF!</v>
      </c>
      <c r="V117" s="27"/>
      <c r="W117" s="26">
        <f t="shared" si="69"/>
        <v>1543</v>
      </c>
      <c r="X117" s="26" t="e">
        <f t="shared" si="70"/>
        <v>#REF!</v>
      </c>
      <c r="Y117" s="27" t="e">
        <f t="shared" si="71"/>
        <v>#REF!</v>
      </c>
    </row>
    <row r="118" spans="1:25" ht="16.5" customHeight="1" x14ac:dyDescent="0.25">
      <c r="A118" s="16" t="s">
        <v>196</v>
      </c>
      <c r="B118" s="32" t="s">
        <v>312</v>
      </c>
      <c r="C118" s="25">
        <f t="shared" si="54"/>
        <v>51642</v>
      </c>
      <c r="D118" s="25" t="e">
        <f t="shared" si="55"/>
        <v>#REF!</v>
      </c>
      <c r="E118" s="27" t="e">
        <f t="shared" si="56"/>
        <v>#REF!</v>
      </c>
      <c r="F118" s="27"/>
      <c r="G118" s="25">
        <f t="shared" si="57"/>
        <v>3198</v>
      </c>
      <c r="H118" s="25" t="e">
        <f t="shared" si="58"/>
        <v>#REF!</v>
      </c>
      <c r="I118" s="27" t="e">
        <f t="shared" si="59"/>
        <v>#REF!</v>
      </c>
      <c r="J118" s="27"/>
      <c r="K118" s="25">
        <f t="shared" si="60"/>
        <v>235</v>
      </c>
      <c r="L118" s="25" t="e">
        <f t="shared" si="61"/>
        <v>#REF!</v>
      </c>
      <c r="M118" s="27" t="e">
        <f t="shared" si="62"/>
        <v>#REF!</v>
      </c>
      <c r="N118" s="39"/>
      <c r="O118" s="36" t="str">
        <f t="shared" si="63"/>
        <v>Central</v>
      </c>
      <c r="P118" s="26" t="e">
        <f t="shared" si="64"/>
        <v>#REF!</v>
      </c>
      <c r="Q118" s="27" t="e">
        <f t="shared" si="65"/>
        <v>#VALUE!</v>
      </c>
      <c r="R118" s="27"/>
      <c r="S118" s="26">
        <f t="shared" si="66"/>
        <v>26148</v>
      </c>
      <c r="T118" s="26" t="e">
        <f t="shared" si="67"/>
        <v>#REF!</v>
      </c>
      <c r="U118" s="27" t="e">
        <f t="shared" si="68"/>
        <v>#REF!</v>
      </c>
      <c r="V118" s="27"/>
      <c r="W118" s="26">
        <f t="shared" si="69"/>
        <v>39565</v>
      </c>
      <c r="X118" s="26" t="e">
        <f t="shared" si="70"/>
        <v>#REF!</v>
      </c>
      <c r="Y118" s="27" t="e">
        <f t="shared" si="71"/>
        <v>#REF!</v>
      </c>
    </row>
    <row r="119" spans="1:25" ht="16.5" customHeight="1" x14ac:dyDescent="0.25">
      <c r="A119" s="16" t="s">
        <v>200</v>
      </c>
      <c r="B119" s="32" t="s">
        <v>313</v>
      </c>
      <c r="C119" s="25">
        <f t="shared" si="54"/>
        <v>14435</v>
      </c>
      <c r="D119" s="25" t="e">
        <f t="shared" si="55"/>
        <v>#REF!</v>
      </c>
      <c r="E119" s="27" t="e">
        <f t="shared" si="56"/>
        <v>#REF!</v>
      </c>
      <c r="F119" s="27"/>
      <c r="G119" s="25">
        <f t="shared" si="57"/>
        <v>2208</v>
      </c>
      <c r="H119" s="25" t="e">
        <f t="shared" si="58"/>
        <v>#REF!</v>
      </c>
      <c r="I119" s="27" t="e">
        <f t="shared" si="59"/>
        <v>#REF!</v>
      </c>
      <c r="J119" s="27"/>
      <c r="K119" s="25">
        <f t="shared" si="60"/>
        <v>304</v>
      </c>
      <c r="L119" s="25" t="e">
        <f t="shared" si="61"/>
        <v>#REF!</v>
      </c>
      <c r="M119" s="27" t="e">
        <f t="shared" si="62"/>
        <v>#REF!</v>
      </c>
      <c r="N119" s="39"/>
      <c r="O119" s="36" t="str">
        <f t="shared" si="63"/>
        <v>Piedmont</v>
      </c>
      <c r="P119" s="26" t="e">
        <f t="shared" si="64"/>
        <v>#REF!</v>
      </c>
      <c r="Q119" s="27" t="e">
        <f t="shared" si="65"/>
        <v>#VALUE!</v>
      </c>
      <c r="R119" s="27"/>
      <c r="S119" s="26">
        <f t="shared" si="66"/>
        <v>13246</v>
      </c>
      <c r="T119" s="26" t="e">
        <f t="shared" si="67"/>
        <v>#REF!</v>
      </c>
      <c r="U119" s="27" t="e">
        <f t="shared" si="68"/>
        <v>#REF!</v>
      </c>
      <c r="V119" s="27"/>
      <c r="W119" s="26">
        <f t="shared" si="69"/>
        <v>19007</v>
      </c>
      <c r="X119" s="26" t="e">
        <f t="shared" si="70"/>
        <v>#REF!</v>
      </c>
      <c r="Y119" s="27" t="e">
        <f t="shared" si="71"/>
        <v>#REF!</v>
      </c>
    </row>
    <row r="120" spans="1:25" ht="16.5" customHeight="1" x14ac:dyDescent="0.25">
      <c r="A120" s="16" t="s">
        <v>222</v>
      </c>
      <c r="B120" s="17" t="s">
        <v>223</v>
      </c>
      <c r="C120" s="25">
        <f t="shared" si="54"/>
        <v>12241</v>
      </c>
      <c r="D120" s="25" t="e">
        <f t="shared" si="55"/>
        <v>#REF!</v>
      </c>
      <c r="E120" s="27" t="e">
        <f t="shared" si="56"/>
        <v>#REF!</v>
      </c>
      <c r="F120" s="27"/>
      <c r="G120" s="25">
        <f t="shared" si="57"/>
        <v>334</v>
      </c>
      <c r="H120" s="25" t="e">
        <f t="shared" si="58"/>
        <v>#REF!</v>
      </c>
      <c r="I120" s="27" t="e">
        <f t="shared" si="59"/>
        <v>#REF!</v>
      </c>
      <c r="J120" s="27"/>
      <c r="K120" s="25">
        <f t="shared" si="60"/>
        <v>142</v>
      </c>
      <c r="L120" s="25" t="e">
        <f t="shared" si="61"/>
        <v>#REF!</v>
      </c>
      <c r="M120" s="27" t="e">
        <f t="shared" si="62"/>
        <v>#REF!</v>
      </c>
      <c r="N120" s="39"/>
      <c r="O120" s="36" t="str">
        <f t="shared" si="63"/>
        <v>Eastern</v>
      </c>
      <c r="P120" s="26" t="e">
        <f t="shared" si="64"/>
        <v>#REF!</v>
      </c>
      <c r="Q120" s="27" t="e">
        <f t="shared" si="65"/>
        <v>#VALUE!</v>
      </c>
      <c r="R120" s="27"/>
      <c r="S120" s="26">
        <f t="shared" si="66"/>
        <v>7238</v>
      </c>
      <c r="T120" s="26" t="e">
        <f t="shared" si="67"/>
        <v>#REF!</v>
      </c>
      <c r="U120" s="27" t="e">
        <f t="shared" si="68"/>
        <v>#REF!</v>
      </c>
      <c r="V120" s="27"/>
      <c r="W120" s="26">
        <f t="shared" si="69"/>
        <v>9403</v>
      </c>
      <c r="X120" s="26" t="e">
        <f t="shared" si="70"/>
        <v>#REF!</v>
      </c>
      <c r="Y120" s="27" t="e">
        <f t="shared" si="71"/>
        <v>#REF!</v>
      </c>
    </row>
    <row r="121" spans="1:25" ht="16.5" customHeight="1" x14ac:dyDescent="0.25">
      <c r="A121" s="16" t="s">
        <v>230</v>
      </c>
      <c r="B121" s="17" t="s">
        <v>231</v>
      </c>
      <c r="C121" s="25">
        <f t="shared" si="54"/>
        <v>21882</v>
      </c>
      <c r="D121" s="25" t="e">
        <f t="shared" si="55"/>
        <v>#REF!</v>
      </c>
      <c r="E121" s="27" t="e">
        <f t="shared" si="56"/>
        <v>#REF!</v>
      </c>
      <c r="F121" s="27"/>
      <c r="G121" s="25">
        <f t="shared" si="57"/>
        <v>3747</v>
      </c>
      <c r="H121" s="25" t="e">
        <f t="shared" si="58"/>
        <v>#REF!</v>
      </c>
      <c r="I121" s="27" t="e">
        <f t="shared" si="59"/>
        <v>#REF!</v>
      </c>
      <c r="J121" s="27"/>
      <c r="K121" s="25">
        <f t="shared" si="60"/>
        <v>1003</v>
      </c>
      <c r="L121" s="25" t="e">
        <f t="shared" si="61"/>
        <v>#REF!</v>
      </c>
      <c r="M121" s="27" t="e">
        <f t="shared" si="62"/>
        <v>#REF!</v>
      </c>
      <c r="N121" s="39"/>
      <c r="O121" s="36" t="str">
        <f t="shared" si="63"/>
        <v>Eastern</v>
      </c>
      <c r="P121" s="26" t="e">
        <f t="shared" si="64"/>
        <v>#REF!</v>
      </c>
      <c r="Q121" s="27" t="e">
        <f t="shared" si="65"/>
        <v>#VALUE!</v>
      </c>
      <c r="R121" s="27"/>
      <c r="S121" s="26">
        <f t="shared" si="66"/>
        <v>22260</v>
      </c>
      <c r="T121" s="26" t="e">
        <f t="shared" si="67"/>
        <v>#REF!</v>
      </c>
      <c r="U121" s="27" t="e">
        <f t="shared" si="68"/>
        <v>#REF!</v>
      </c>
      <c r="V121" s="27"/>
      <c r="W121" s="26">
        <f t="shared" si="69"/>
        <v>27783</v>
      </c>
      <c r="X121" s="26" t="e">
        <f t="shared" si="70"/>
        <v>#REF!</v>
      </c>
      <c r="Y121" s="27" t="e">
        <f t="shared" si="71"/>
        <v>#REF!</v>
      </c>
    </row>
    <row r="122" spans="1:25" ht="16.5" customHeight="1" x14ac:dyDescent="0.25">
      <c r="A122" s="16" t="s">
        <v>238</v>
      </c>
      <c r="B122" s="17" t="s">
        <v>239</v>
      </c>
      <c r="C122" s="25">
        <f t="shared" si="54"/>
        <v>957</v>
      </c>
      <c r="D122" s="25" t="e">
        <f t="shared" si="55"/>
        <v>#REF!</v>
      </c>
      <c r="E122" s="27" t="e">
        <f t="shared" si="56"/>
        <v>#REF!</v>
      </c>
      <c r="F122" s="27"/>
      <c r="G122" s="25">
        <f t="shared" si="57"/>
        <v>175</v>
      </c>
      <c r="H122" s="25" t="e">
        <f t="shared" si="58"/>
        <v>#REF!</v>
      </c>
      <c r="I122" s="27" t="e">
        <f t="shared" si="59"/>
        <v>#REF!</v>
      </c>
      <c r="J122" s="27"/>
      <c r="K122" s="25">
        <f t="shared" si="60"/>
        <v>35</v>
      </c>
      <c r="L122" s="25" t="e">
        <f t="shared" si="61"/>
        <v>#REF!</v>
      </c>
      <c r="M122" s="27" t="e">
        <f t="shared" si="62"/>
        <v>#REF!</v>
      </c>
      <c r="N122" s="39"/>
      <c r="O122" s="36" t="str">
        <f t="shared" si="63"/>
        <v>Eastern</v>
      </c>
      <c r="P122" s="26" t="e">
        <f t="shared" si="64"/>
        <v>#REF!</v>
      </c>
      <c r="Q122" s="27" t="e">
        <f t="shared" si="65"/>
        <v>#VALUE!</v>
      </c>
      <c r="R122" s="27"/>
      <c r="S122" s="26">
        <f t="shared" si="66"/>
        <v>856</v>
      </c>
      <c r="T122" s="26" t="e">
        <f t="shared" si="67"/>
        <v>#REF!</v>
      </c>
      <c r="U122" s="27" t="e">
        <f t="shared" si="68"/>
        <v>#REF!</v>
      </c>
      <c r="V122" s="27"/>
      <c r="W122" s="26">
        <f t="shared" si="69"/>
        <v>1114</v>
      </c>
      <c r="X122" s="26" t="e">
        <f t="shared" si="70"/>
        <v>#REF!</v>
      </c>
      <c r="Y122" s="27" t="e">
        <f t="shared" si="71"/>
        <v>#REF!</v>
      </c>
    </row>
    <row r="123" spans="1:25" ht="16.5" customHeight="1" x14ac:dyDescent="0.25">
      <c r="A123" s="16" t="s">
        <v>240</v>
      </c>
      <c r="B123" s="32" t="s">
        <v>241</v>
      </c>
      <c r="C123" s="25">
        <f t="shared" si="54"/>
        <v>1274</v>
      </c>
      <c r="D123" s="25" t="e">
        <f t="shared" si="55"/>
        <v>#REF!</v>
      </c>
      <c r="E123" s="27" t="e">
        <f t="shared" si="56"/>
        <v>#REF!</v>
      </c>
      <c r="F123" s="27"/>
      <c r="G123" s="25">
        <f t="shared" si="57"/>
        <v>271</v>
      </c>
      <c r="H123" s="25" t="e">
        <f t="shared" si="58"/>
        <v>#REF!</v>
      </c>
      <c r="I123" s="27" t="e">
        <f t="shared" si="59"/>
        <v>#REF!</v>
      </c>
      <c r="J123" s="27"/>
      <c r="K123" s="25">
        <f t="shared" si="60"/>
        <v>61</v>
      </c>
      <c r="L123" s="25" t="e">
        <f t="shared" si="61"/>
        <v>#REF!</v>
      </c>
      <c r="M123" s="27" t="e">
        <f t="shared" si="62"/>
        <v>#REF!</v>
      </c>
      <c r="N123" s="39"/>
      <c r="O123" s="36" t="str">
        <f t="shared" si="63"/>
        <v>Northern</v>
      </c>
      <c r="P123" s="26" t="e">
        <f t="shared" si="64"/>
        <v>#REF!</v>
      </c>
      <c r="Q123" s="27" t="e">
        <f t="shared" si="65"/>
        <v>#VALUE!</v>
      </c>
      <c r="R123" s="27"/>
      <c r="S123" s="26">
        <f t="shared" si="66"/>
        <v>2941</v>
      </c>
      <c r="T123" s="26" t="e">
        <f t="shared" si="67"/>
        <v>#REF!</v>
      </c>
      <c r="U123" s="27" t="e">
        <f t="shared" si="68"/>
        <v>#REF!</v>
      </c>
      <c r="V123" s="27"/>
      <c r="W123" s="26">
        <f t="shared" si="69"/>
        <v>3620</v>
      </c>
      <c r="X123" s="26" t="e">
        <f t="shared" si="70"/>
        <v>#REF!</v>
      </c>
      <c r="Y123" s="27" t="e">
        <f t="shared" si="71"/>
        <v>#REF!</v>
      </c>
    </row>
    <row r="124" spans="1:25" x14ac:dyDescent="0.2">
      <c r="C124" s="28">
        <f>SUM(C4:C123)</f>
        <v>503276</v>
      </c>
      <c r="D124" s="28"/>
      <c r="E124" s="28"/>
      <c r="F124" s="28"/>
      <c r="G124" s="28"/>
      <c r="H124" s="28"/>
      <c r="I124" s="28"/>
      <c r="J124" s="28"/>
      <c r="K124" s="28"/>
      <c r="L124" s="28"/>
    </row>
    <row r="125" spans="1:25" x14ac:dyDescent="0.2">
      <c r="C125" s="28">
        <f>+C124/12</f>
        <v>41939.666666666664</v>
      </c>
      <c r="D125" s="28"/>
      <c r="E125" s="28"/>
      <c r="F125" s="28"/>
      <c r="G125" s="28"/>
      <c r="H125" s="28"/>
      <c r="I125" s="28"/>
      <c r="J125" s="28"/>
      <c r="K125" s="28"/>
      <c r="L125" s="28"/>
    </row>
    <row r="126" spans="1:25" ht="12.75" customHeight="1" x14ac:dyDescent="0.2">
      <c r="A126" s="2132" t="s">
        <v>570</v>
      </c>
      <c r="B126" s="2132"/>
      <c r="C126" s="2133"/>
      <c r="D126" s="19"/>
      <c r="E126" s="19"/>
      <c r="F126" s="19"/>
      <c r="G126" s="19"/>
      <c r="H126" s="19"/>
      <c r="I126" s="19"/>
      <c r="J126" s="19"/>
      <c r="K126" s="19"/>
      <c r="L126" s="19"/>
    </row>
    <row r="127" spans="1:25" x14ac:dyDescent="0.2">
      <c r="A127" s="18" t="s">
        <v>571</v>
      </c>
    </row>
  </sheetData>
  <mergeCells count="9">
    <mergeCell ref="C1:M1"/>
    <mergeCell ref="W2:Y2"/>
    <mergeCell ref="O1:Y1"/>
    <mergeCell ref="A126:C126"/>
    <mergeCell ref="C2:E2"/>
    <mergeCell ref="G2:I2"/>
    <mergeCell ref="K2:M2"/>
    <mergeCell ref="O2:Q2"/>
    <mergeCell ref="S2:U2"/>
  </mergeCells>
  <conditionalFormatting sqref="Q4:R123 E4:F123">
    <cfRule type="cellIs" dxfId="3" priority="20" stopIfTrue="1" operator="greaterThan">
      <formula>"&gt;1"</formula>
    </cfRule>
  </conditionalFormatting>
  <conditionalFormatting sqref="Y4:Y123 M4:N123 U4:V123 Q4:R123 I4:J123 E4:F123">
    <cfRule type="cellIs" dxfId="2" priority="19" stopIfTrue="1" operator="greaterThan">
      <formula>1</formula>
    </cfRule>
  </conditionalFormatting>
  <pageMargins left="0.75" right="0.75" top="1" bottom="1" header="0.5" footer="0.5"/>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7" sqref="E7"/>
    </sheetView>
  </sheetViews>
  <sheetFormatPr defaultRowHeight="12.75" x14ac:dyDescent="0.2"/>
  <cols>
    <col min="1" max="1" width="12.25" style="18" customWidth="1"/>
    <col min="2" max="2" width="21.5" style="18" customWidth="1"/>
    <col min="3" max="3" width="10.5" style="18" customWidth="1"/>
    <col min="4" max="4" width="10.625" style="18" customWidth="1"/>
    <col min="5" max="5" width="9.75" style="18" customWidth="1"/>
    <col min="6" max="6" width="2.625" style="18" customWidth="1"/>
    <col min="7" max="7" width="10.25" style="18" customWidth="1"/>
    <col min="8" max="8" width="10.125" style="18" customWidth="1"/>
    <col min="9" max="9" width="10.875" style="18" customWidth="1"/>
    <col min="10" max="10" width="2.625" style="18" customWidth="1"/>
    <col min="11" max="11" width="11.625" style="18" customWidth="1"/>
    <col min="12" max="12" width="11.375" style="18" customWidth="1"/>
    <col min="13" max="13" width="10.25" style="18" customWidth="1"/>
    <col min="14" max="14" width="2.625" style="18" customWidth="1"/>
    <col min="15" max="15" width="10.125" style="18" customWidth="1"/>
    <col min="16" max="17" width="10" style="18" customWidth="1"/>
    <col min="18" max="18" width="2.625" style="18" customWidth="1"/>
    <col min="19" max="19" width="10.625" style="18" customWidth="1"/>
    <col min="20" max="20" width="10.5" style="18" customWidth="1"/>
    <col min="21" max="21" width="10.125" style="18" customWidth="1"/>
    <col min="22" max="22" width="2.625" style="18" customWidth="1"/>
    <col min="23" max="23" width="10.125" style="18" customWidth="1"/>
    <col min="24" max="24" width="11.5" style="18" customWidth="1"/>
    <col min="25" max="25" width="11" style="18" customWidth="1"/>
    <col min="26" max="16384" width="9" style="18"/>
  </cols>
  <sheetData>
    <row r="1" spans="1:25" ht="15.75" x14ac:dyDescent="0.25">
      <c r="C1" s="2134" t="s">
        <v>576</v>
      </c>
      <c r="D1" s="2134"/>
      <c r="E1" s="2134"/>
      <c r="F1" s="2134"/>
      <c r="G1" s="2134"/>
      <c r="H1" s="2134"/>
      <c r="I1" s="2134"/>
      <c r="J1" s="2134"/>
      <c r="K1" s="2134"/>
      <c r="L1" s="2134"/>
      <c r="M1" s="2134"/>
      <c r="O1" s="2134" t="s">
        <v>577</v>
      </c>
      <c r="P1" s="2134"/>
      <c r="Q1" s="2134"/>
      <c r="R1" s="2134"/>
      <c r="S1" s="2134"/>
      <c r="T1" s="2134"/>
      <c r="U1" s="2134"/>
      <c r="V1" s="2134"/>
      <c r="W1" s="2134"/>
      <c r="X1" s="2134"/>
      <c r="Y1" s="2134"/>
    </row>
    <row r="2" spans="1:25" x14ac:dyDescent="0.2">
      <c r="C2" s="2130" t="s">
        <v>2</v>
      </c>
      <c r="D2" s="2130"/>
      <c r="E2" s="2130"/>
      <c r="G2" s="2130" t="s">
        <v>445</v>
      </c>
      <c r="H2" s="2130"/>
      <c r="I2" s="2130"/>
      <c r="K2" s="2130" t="s">
        <v>447</v>
      </c>
      <c r="L2" s="2130"/>
      <c r="M2" s="2130"/>
      <c r="N2" s="46"/>
      <c r="O2" s="2130" t="s">
        <v>2</v>
      </c>
      <c r="P2" s="2130"/>
      <c r="Q2" s="2130"/>
      <c r="S2" s="2130" t="s">
        <v>445</v>
      </c>
      <c r="T2" s="2130"/>
      <c r="U2" s="2130"/>
      <c r="W2" s="2130" t="s">
        <v>447</v>
      </c>
      <c r="X2" s="2130"/>
      <c r="Y2" s="2130"/>
    </row>
    <row r="3" spans="1:25" s="21" customFormat="1" ht="71.25" customHeight="1" x14ac:dyDescent="0.25">
      <c r="A3" s="20" t="s">
        <v>305</v>
      </c>
      <c r="B3" s="20" t="s">
        <v>306</v>
      </c>
      <c r="C3" s="23" t="s">
        <v>578</v>
      </c>
      <c r="D3" s="23" t="s">
        <v>579</v>
      </c>
      <c r="E3" s="34" t="s">
        <v>580</v>
      </c>
      <c r="F3" s="38"/>
      <c r="G3" s="23" t="s">
        <v>578</v>
      </c>
      <c r="H3" s="23" t="s">
        <v>579</v>
      </c>
      <c r="I3" s="34" t="s">
        <v>580</v>
      </c>
      <c r="J3" s="38"/>
      <c r="K3" s="23" t="s">
        <v>578</v>
      </c>
      <c r="L3" s="23" t="s">
        <v>579</v>
      </c>
      <c r="M3" s="34" t="s">
        <v>580</v>
      </c>
      <c r="N3" s="38"/>
      <c r="O3" s="23" t="s">
        <v>578</v>
      </c>
      <c r="P3" s="23" t="s">
        <v>579</v>
      </c>
      <c r="Q3" s="34" t="s">
        <v>580</v>
      </c>
      <c r="R3" s="38"/>
      <c r="S3" s="23" t="s">
        <v>578</v>
      </c>
      <c r="T3" s="23" t="s">
        <v>579</v>
      </c>
      <c r="U3" s="34" t="s">
        <v>580</v>
      </c>
      <c r="V3" s="38"/>
      <c r="W3" s="23" t="s">
        <v>578</v>
      </c>
      <c r="X3" s="23" t="s">
        <v>579</v>
      </c>
      <c r="Y3" s="34" t="s">
        <v>580</v>
      </c>
    </row>
    <row r="4" spans="1:25" ht="16.5" customHeight="1" x14ac:dyDescent="0.25">
      <c r="A4" s="16" t="s">
        <v>10</v>
      </c>
      <c r="B4" s="16" t="s">
        <v>11</v>
      </c>
      <c r="C4" s="25">
        <f t="shared" ref="C4:C35" si="0">VLOOKUP(A4,TANFClient_Demo,7,FALSE)</f>
        <v>496</v>
      </c>
      <c r="D4" s="25" t="e">
        <f t="shared" ref="D4:D35" si="1">VLOOKUP(A4,Pop,14,FALSE)</f>
        <v>#REF!</v>
      </c>
      <c r="E4" s="27" t="e">
        <f t="shared" ref="E4:E35" si="2">+C4/D4</f>
        <v>#REF!</v>
      </c>
      <c r="F4" s="42"/>
      <c r="G4" s="25">
        <f t="shared" ref="G4:G35" si="3">VLOOKUP(A4,TANFClient_Demo,8,FALSE)</f>
        <v>314</v>
      </c>
      <c r="H4" s="25" t="e">
        <f t="shared" ref="H4:H35" si="4">VLOOKUP(A4,Pop,15,FALSE)</f>
        <v>#REF!</v>
      </c>
      <c r="I4" s="27" t="e">
        <f t="shared" ref="I4:I35" si="5">+G4/H4</f>
        <v>#REF!</v>
      </c>
      <c r="J4" s="42"/>
      <c r="K4" s="25">
        <f t="shared" ref="K4:K35" si="6">VLOOKUP(A4,TANFClient_Demo,9,FALSE)</f>
        <v>277</v>
      </c>
      <c r="L4" s="25" t="e">
        <f t="shared" ref="L4:L35" si="7">VLOOKUP(A4,Pop,16,FALSE)</f>
        <v>#REF!</v>
      </c>
      <c r="M4" s="27" t="e">
        <f t="shared" ref="M4:M35" si="8">+K4/L4</f>
        <v>#REF!</v>
      </c>
      <c r="N4" s="27"/>
      <c r="O4" s="26" t="str">
        <f t="shared" ref="O4:O35" si="9">VLOOKUP(A4,TANFClient_Demo,3,FALSE)</f>
        <v>Eastern</v>
      </c>
      <c r="P4" s="26" t="e">
        <f t="shared" ref="P4:P35" si="10">VLOOKUP(A4,Pop,8,FALSE)</f>
        <v>#REF!</v>
      </c>
      <c r="Q4" s="27" t="e">
        <f t="shared" ref="Q4:Q35" si="11">+O4/P4</f>
        <v>#VALUE!</v>
      </c>
      <c r="R4" s="27"/>
      <c r="S4" s="26">
        <f t="shared" ref="S4:S35" si="12">VLOOKUP(A4,TANFClient_Demo,4,FALSE)</f>
        <v>517</v>
      </c>
      <c r="T4" s="26" t="e">
        <f t="shared" ref="T4:T35" si="13">VLOOKUP(A4,Pop,9,FALSE)</f>
        <v>#REF!</v>
      </c>
      <c r="U4" s="27" t="e">
        <f t="shared" ref="U4:U35" si="14">+S4/T4</f>
        <v>#REF!</v>
      </c>
      <c r="V4" s="27"/>
      <c r="W4" s="26">
        <f t="shared" ref="W4:W35" si="15">VLOOKUP(A4,TANFClient_Demo,5,FALSE)</f>
        <v>293</v>
      </c>
      <c r="X4" s="26" t="e">
        <f t="shared" ref="X4:X35" si="16">VLOOKUP(A4,Pop,10,FALSE)</f>
        <v>#REF!</v>
      </c>
      <c r="Y4" s="27" t="e">
        <f t="shared" ref="Y4:Y35" si="17">+W4/X4</f>
        <v>#REF!</v>
      </c>
    </row>
    <row r="5" spans="1:25" ht="16.5" customHeight="1" x14ac:dyDescent="0.25">
      <c r="A5" s="16" t="s">
        <v>12</v>
      </c>
      <c r="B5" s="16" t="s">
        <v>13</v>
      </c>
      <c r="C5" s="25">
        <f t="shared" si="0"/>
        <v>430</v>
      </c>
      <c r="D5" s="25" t="e">
        <f t="shared" si="1"/>
        <v>#REF!</v>
      </c>
      <c r="E5" s="27" t="e">
        <f t="shared" si="2"/>
        <v>#REF!</v>
      </c>
      <c r="F5" s="25"/>
      <c r="G5" s="25">
        <f t="shared" si="3"/>
        <v>277</v>
      </c>
      <c r="H5" s="25" t="e">
        <f t="shared" si="4"/>
        <v>#REF!</v>
      </c>
      <c r="I5" s="27" t="e">
        <f t="shared" si="5"/>
        <v>#REF!</v>
      </c>
      <c r="J5" s="25"/>
      <c r="K5" s="25">
        <f t="shared" si="6"/>
        <v>240</v>
      </c>
      <c r="L5" s="25" t="e">
        <f t="shared" si="7"/>
        <v>#REF!</v>
      </c>
      <c r="M5" s="27" t="e">
        <f t="shared" si="8"/>
        <v>#REF!</v>
      </c>
      <c r="N5" s="27"/>
      <c r="O5" s="26" t="str">
        <f t="shared" si="9"/>
        <v>Piedmont</v>
      </c>
      <c r="P5" s="26" t="e">
        <f t="shared" si="10"/>
        <v>#REF!</v>
      </c>
      <c r="Q5" s="27" t="e">
        <f t="shared" si="11"/>
        <v>#VALUE!</v>
      </c>
      <c r="R5" s="27"/>
      <c r="S5" s="26">
        <f t="shared" si="12"/>
        <v>437</v>
      </c>
      <c r="T5" s="26" t="e">
        <f t="shared" si="13"/>
        <v>#REF!</v>
      </c>
      <c r="U5" s="27" t="e">
        <f t="shared" si="14"/>
        <v>#REF!</v>
      </c>
      <c r="V5" s="27"/>
      <c r="W5" s="26">
        <f t="shared" si="15"/>
        <v>269</v>
      </c>
      <c r="X5" s="26" t="e">
        <f t="shared" si="16"/>
        <v>#REF!</v>
      </c>
      <c r="Y5" s="27" t="e">
        <f t="shared" si="17"/>
        <v>#REF!</v>
      </c>
    </row>
    <row r="6" spans="1:25" ht="16.5" customHeight="1" x14ac:dyDescent="0.25">
      <c r="A6" s="16" t="s">
        <v>16</v>
      </c>
      <c r="B6" s="16" t="s">
        <v>297</v>
      </c>
      <c r="C6" s="25">
        <f t="shared" si="0"/>
        <v>252</v>
      </c>
      <c r="D6" s="25" t="e">
        <f t="shared" si="1"/>
        <v>#REF!</v>
      </c>
      <c r="E6" s="27" t="e">
        <f t="shared" si="2"/>
        <v>#REF!</v>
      </c>
      <c r="F6" s="25"/>
      <c r="G6" s="25">
        <f t="shared" si="3"/>
        <v>187</v>
      </c>
      <c r="H6" s="25" t="e">
        <f t="shared" si="4"/>
        <v>#REF!</v>
      </c>
      <c r="I6" s="27" t="e">
        <f t="shared" si="5"/>
        <v>#REF!</v>
      </c>
      <c r="J6" s="25"/>
      <c r="K6" s="25">
        <f t="shared" si="6"/>
        <v>313</v>
      </c>
      <c r="L6" s="25" t="e">
        <f t="shared" si="7"/>
        <v>#REF!</v>
      </c>
      <c r="M6" s="27" t="e">
        <f t="shared" si="8"/>
        <v>#REF!</v>
      </c>
      <c r="N6" s="27"/>
      <c r="O6" s="26" t="str">
        <f t="shared" si="9"/>
        <v>Piedmont</v>
      </c>
      <c r="P6" s="26" t="e">
        <f t="shared" si="10"/>
        <v>#REF!</v>
      </c>
      <c r="Q6" s="27" t="e">
        <f t="shared" si="11"/>
        <v>#VALUE!</v>
      </c>
      <c r="R6" s="27"/>
      <c r="S6" s="26">
        <f t="shared" si="12"/>
        <v>272</v>
      </c>
      <c r="T6" s="26" t="e">
        <f t="shared" si="13"/>
        <v>#REF!</v>
      </c>
      <c r="U6" s="27" t="e">
        <f t="shared" si="14"/>
        <v>#REF!</v>
      </c>
      <c r="V6" s="27"/>
      <c r="W6" s="26">
        <f t="shared" si="15"/>
        <v>167</v>
      </c>
      <c r="X6" s="26" t="e">
        <f t="shared" si="16"/>
        <v>#REF!</v>
      </c>
      <c r="Y6" s="27" t="e">
        <f t="shared" si="17"/>
        <v>#REF!</v>
      </c>
    </row>
    <row r="7" spans="1:25" ht="16.5" customHeight="1" x14ac:dyDescent="0.25">
      <c r="A7" s="49" t="s">
        <v>18</v>
      </c>
      <c r="B7" s="48" t="s">
        <v>19</v>
      </c>
      <c r="C7" s="25">
        <f t="shared" si="0"/>
        <v>120</v>
      </c>
      <c r="D7" s="25" t="e">
        <f t="shared" si="1"/>
        <v>#REF!</v>
      </c>
      <c r="E7" s="27" t="e">
        <f t="shared" si="2"/>
        <v>#REF!</v>
      </c>
      <c r="F7" s="25"/>
      <c r="G7" s="25">
        <f t="shared" si="3"/>
        <v>85</v>
      </c>
      <c r="H7" s="25" t="e">
        <f t="shared" si="4"/>
        <v>#REF!</v>
      </c>
      <c r="I7" s="27" t="e">
        <f t="shared" si="5"/>
        <v>#REF!</v>
      </c>
      <c r="J7" s="25"/>
      <c r="K7" s="25">
        <f t="shared" si="6"/>
        <v>99</v>
      </c>
      <c r="L7" s="25" t="e">
        <f t="shared" si="7"/>
        <v>#REF!</v>
      </c>
      <c r="M7" s="27" t="e">
        <f t="shared" si="8"/>
        <v>#REF!</v>
      </c>
      <c r="N7" s="27"/>
      <c r="O7" s="26" t="str">
        <f t="shared" si="9"/>
        <v>Central</v>
      </c>
      <c r="P7" s="26" t="e">
        <f t="shared" si="10"/>
        <v>#REF!</v>
      </c>
      <c r="Q7" s="27" t="e">
        <f t="shared" si="11"/>
        <v>#VALUE!</v>
      </c>
      <c r="R7" s="27"/>
      <c r="S7" s="26">
        <f t="shared" si="12"/>
        <v>126</v>
      </c>
      <c r="T7" s="26" t="e">
        <f t="shared" si="13"/>
        <v>#REF!</v>
      </c>
      <c r="U7" s="27" t="e">
        <f t="shared" si="14"/>
        <v>#REF!</v>
      </c>
      <c r="V7" s="27"/>
      <c r="W7" s="26">
        <f t="shared" si="15"/>
        <v>77</v>
      </c>
      <c r="X7" s="26" t="e">
        <f t="shared" si="16"/>
        <v>#REF!</v>
      </c>
      <c r="Y7" s="27" t="e">
        <f t="shared" si="17"/>
        <v>#REF!</v>
      </c>
    </row>
    <row r="8" spans="1:25" ht="16.5" customHeight="1" x14ac:dyDescent="0.25">
      <c r="A8" s="16" t="s">
        <v>20</v>
      </c>
      <c r="B8" s="16" t="s">
        <v>21</v>
      </c>
      <c r="C8" s="25">
        <f t="shared" si="0"/>
        <v>236</v>
      </c>
      <c r="D8" s="25" t="e">
        <f t="shared" si="1"/>
        <v>#REF!</v>
      </c>
      <c r="E8" s="27" t="e">
        <f t="shared" si="2"/>
        <v>#REF!</v>
      </c>
      <c r="F8" s="25"/>
      <c r="G8" s="25">
        <f t="shared" si="3"/>
        <v>171</v>
      </c>
      <c r="H8" s="25" t="e">
        <f t="shared" si="4"/>
        <v>#REF!</v>
      </c>
      <c r="I8" s="27" t="e">
        <f t="shared" si="5"/>
        <v>#REF!</v>
      </c>
      <c r="J8" s="25"/>
      <c r="K8" s="25">
        <f t="shared" si="6"/>
        <v>253</v>
      </c>
      <c r="L8" s="25" t="e">
        <f t="shared" si="7"/>
        <v>#REF!</v>
      </c>
      <c r="M8" s="27" t="e">
        <f t="shared" si="8"/>
        <v>#REF!</v>
      </c>
      <c r="N8" s="27"/>
      <c r="O8" s="26" t="str">
        <f t="shared" si="9"/>
        <v>Piedmont</v>
      </c>
      <c r="P8" s="26" t="e">
        <f t="shared" si="10"/>
        <v>#REF!</v>
      </c>
      <c r="Q8" s="27" t="e">
        <f t="shared" si="11"/>
        <v>#VALUE!</v>
      </c>
      <c r="R8" s="27"/>
      <c r="S8" s="26">
        <f t="shared" si="12"/>
        <v>267</v>
      </c>
      <c r="T8" s="26" t="e">
        <f t="shared" si="13"/>
        <v>#REF!</v>
      </c>
      <c r="U8" s="27" t="e">
        <f t="shared" si="14"/>
        <v>#REF!</v>
      </c>
      <c r="V8" s="27"/>
      <c r="W8" s="26">
        <f t="shared" si="15"/>
        <v>140</v>
      </c>
      <c r="X8" s="26" t="e">
        <f t="shared" si="16"/>
        <v>#REF!</v>
      </c>
      <c r="Y8" s="27" t="e">
        <f t="shared" si="17"/>
        <v>#REF!</v>
      </c>
    </row>
    <row r="9" spans="1:25" ht="16.5" customHeight="1" x14ac:dyDescent="0.25">
      <c r="A9" s="16" t="s">
        <v>22</v>
      </c>
      <c r="B9" s="16" t="s">
        <v>23</v>
      </c>
      <c r="C9" s="25">
        <f t="shared" si="0"/>
        <v>229</v>
      </c>
      <c r="D9" s="25" t="e">
        <f t="shared" si="1"/>
        <v>#REF!</v>
      </c>
      <c r="E9" s="27" t="e">
        <f t="shared" si="2"/>
        <v>#REF!</v>
      </c>
      <c r="F9" s="25"/>
      <c r="G9" s="25">
        <f t="shared" si="3"/>
        <v>166</v>
      </c>
      <c r="H9" s="25" t="e">
        <f t="shared" si="4"/>
        <v>#REF!</v>
      </c>
      <c r="I9" s="27" t="e">
        <f t="shared" si="5"/>
        <v>#REF!</v>
      </c>
      <c r="J9" s="25"/>
      <c r="K9" s="25">
        <f t="shared" si="6"/>
        <v>185</v>
      </c>
      <c r="L9" s="25" t="e">
        <f t="shared" si="7"/>
        <v>#REF!</v>
      </c>
      <c r="M9" s="27" t="e">
        <f t="shared" si="8"/>
        <v>#REF!</v>
      </c>
      <c r="N9" s="27"/>
      <c r="O9" s="26" t="str">
        <f t="shared" si="9"/>
        <v>Piedmont</v>
      </c>
      <c r="P9" s="26" t="e">
        <f t="shared" si="10"/>
        <v>#REF!</v>
      </c>
      <c r="Q9" s="27" t="e">
        <f t="shared" si="11"/>
        <v>#VALUE!</v>
      </c>
      <c r="R9" s="27"/>
      <c r="S9" s="26">
        <f t="shared" si="12"/>
        <v>249</v>
      </c>
      <c r="T9" s="26" t="e">
        <f t="shared" si="13"/>
        <v>#REF!</v>
      </c>
      <c r="U9" s="27" t="e">
        <f t="shared" si="14"/>
        <v>#REF!</v>
      </c>
      <c r="V9" s="27"/>
      <c r="W9" s="26">
        <f t="shared" si="15"/>
        <v>146</v>
      </c>
      <c r="X9" s="26" t="e">
        <f t="shared" si="16"/>
        <v>#REF!</v>
      </c>
      <c r="Y9" s="27" t="e">
        <f t="shared" si="17"/>
        <v>#REF!</v>
      </c>
    </row>
    <row r="10" spans="1:25" ht="16.5" customHeight="1" x14ac:dyDescent="0.25">
      <c r="A10" s="16" t="s">
        <v>24</v>
      </c>
      <c r="B10" s="16" t="s">
        <v>25</v>
      </c>
      <c r="C10" s="25">
        <f t="shared" si="0"/>
        <v>620</v>
      </c>
      <c r="D10" s="25" t="e">
        <f t="shared" si="1"/>
        <v>#REF!</v>
      </c>
      <c r="E10" s="27" t="e">
        <f t="shared" si="2"/>
        <v>#REF!</v>
      </c>
      <c r="F10" s="25"/>
      <c r="G10" s="25">
        <f t="shared" si="3"/>
        <v>388</v>
      </c>
      <c r="H10" s="25" t="e">
        <f t="shared" si="4"/>
        <v>#REF!</v>
      </c>
      <c r="I10" s="27" t="e">
        <f t="shared" si="5"/>
        <v>#REF!</v>
      </c>
      <c r="J10" s="25"/>
      <c r="K10" s="25">
        <f t="shared" si="6"/>
        <v>264</v>
      </c>
      <c r="L10" s="25" t="e">
        <f t="shared" si="7"/>
        <v>#REF!</v>
      </c>
      <c r="M10" s="27" t="e">
        <f t="shared" si="8"/>
        <v>#REF!</v>
      </c>
      <c r="N10" s="27"/>
      <c r="O10" s="26" t="str">
        <f t="shared" si="9"/>
        <v>Northern</v>
      </c>
      <c r="P10" s="26" t="e">
        <f t="shared" si="10"/>
        <v>#REF!</v>
      </c>
      <c r="Q10" s="27" t="e">
        <f t="shared" si="11"/>
        <v>#VALUE!</v>
      </c>
      <c r="R10" s="27"/>
      <c r="S10" s="26">
        <f t="shared" si="12"/>
        <v>595</v>
      </c>
      <c r="T10" s="26" t="e">
        <f t="shared" si="13"/>
        <v>#REF!</v>
      </c>
      <c r="U10" s="27" t="e">
        <f t="shared" si="14"/>
        <v>#REF!</v>
      </c>
      <c r="V10" s="27"/>
      <c r="W10" s="26">
        <f t="shared" si="15"/>
        <v>409</v>
      </c>
      <c r="X10" s="26" t="e">
        <f t="shared" si="16"/>
        <v>#REF!</v>
      </c>
      <c r="Y10" s="27" t="e">
        <f t="shared" si="17"/>
        <v>#REF!</v>
      </c>
    </row>
    <row r="11" spans="1:25" ht="16.5" customHeight="1" x14ac:dyDescent="0.25">
      <c r="A11" s="16" t="s">
        <v>26</v>
      </c>
      <c r="B11" s="16" t="s">
        <v>298</v>
      </c>
      <c r="C11" s="25">
        <f t="shared" si="0"/>
        <v>1180</v>
      </c>
      <c r="D11" s="25" t="e">
        <f t="shared" si="1"/>
        <v>#REF!</v>
      </c>
      <c r="E11" s="27" t="e">
        <f t="shared" si="2"/>
        <v>#REF!</v>
      </c>
      <c r="F11" s="25"/>
      <c r="G11" s="25">
        <f t="shared" si="3"/>
        <v>736</v>
      </c>
      <c r="H11" s="25" t="e">
        <f t="shared" si="4"/>
        <v>#REF!</v>
      </c>
      <c r="I11" s="27" t="e">
        <f t="shared" si="5"/>
        <v>#REF!</v>
      </c>
      <c r="J11" s="25"/>
      <c r="K11" s="25">
        <f t="shared" si="6"/>
        <v>1307</v>
      </c>
      <c r="L11" s="25" t="e">
        <f t="shared" si="7"/>
        <v>#REF!</v>
      </c>
      <c r="M11" s="27" t="e">
        <f t="shared" si="8"/>
        <v>#REF!</v>
      </c>
      <c r="N11" s="27"/>
      <c r="O11" s="26" t="str">
        <f t="shared" si="9"/>
        <v>Piedmont</v>
      </c>
      <c r="P11" s="26" t="e">
        <f t="shared" si="10"/>
        <v>#REF!</v>
      </c>
      <c r="Q11" s="27" t="e">
        <f t="shared" si="11"/>
        <v>#VALUE!</v>
      </c>
      <c r="R11" s="27"/>
      <c r="S11" s="26">
        <f t="shared" si="12"/>
        <v>1221</v>
      </c>
      <c r="T11" s="26" t="e">
        <f t="shared" si="13"/>
        <v>#REF!</v>
      </c>
      <c r="U11" s="27" t="e">
        <f t="shared" si="14"/>
        <v>#REF!</v>
      </c>
      <c r="V11" s="27"/>
      <c r="W11" s="26">
        <f t="shared" si="15"/>
        <v>695</v>
      </c>
      <c r="X11" s="26" t="e">
        <f t="shared" si="16"/>
        <v>#REF!</v>
      </c>
      <c r="Y11" s="27" t="e">
        <f t="shared" si="17"/>
        <v>#REF!</v>
      </c>
    </row>
    <row r="12" spans="1:25" ht="16.5" customHeight="1" x14ac:dyDescent="0.25">
      <c r="A12" s="16" t="s">
        <v>27</v>
      </c>
      <c r="B12" s="16" t="s">
        <v>28</v>
      </c>
      <c r="C12" s="25">
        <f t="shared" si="0"/>
        <v>8</v>
      </c>
      <c r="D12" s="25" t="e">
        <f t="shared" si="1"/>
        <v>#REF!</v>
      </c>
      <c r="E12" s="27" t="e">
        <f t="shared" si="2"/>
        <v>#REF!</v>
      </c>
      <c r="F12" s="25"/>
      <c r="G12" s="25">
        <f t="shared" si="3"/>
        <v>5</v>
      </c>
      <c r="H12" s="25" t="e">
        <f t="shared" si="4"/>
        <v>#REF!</v>
      </c>
      <c r="I12" s="27" t="e">
        <f t="shared" si="5"/>
        <v>#REF!</v>
      </c>
      <c r="J12" s="25"/>
      <c r="K12" s="25">
        <f t="shared" si="6"/>
        <v>9</v>
      </c>
      <c r="L12" s="25" t="e">
        <f t="shared" si="7"/>
        <v>#REF!</v>
      </c>
      <c r="M12" s="27" t="e">
        <f t="shared" si="8"/>
        <v>#REF!</v>
      </c>
      <c r="N12" s="27"/>
      <c r="O12" s="26" t="str">
        <f t="shared" si="9"/>
        <v>Piedmont</v>
      </c>
      <c r="P12" s="26" t="e">
        <f t="shared" si="10"/>
        <v>#REF!</v>
      </c>
      <c r="Q12" s="27" t="e">
        <f t="shared" si="11"/>
        <v>#VALUE!</v>
      </c>
      <c r="R12" s="27"/>
      <c r="S12" s="26">
        <f t="shared" si="12"/>
        <v>11</v>
      </c>
      <c r="T12" s="26" t="e">
        <f t="shared" si="13"/>
        <v>#REF!</v>
      </c>
      <c r="U12" s="27" t="e">
        <f t="shared" si="14"/>
        <v>#REF!</v>
      </c>
      <c r="V12" s="27"/>
      <c r="W12" s="26">
        <f t="shared" si="15"/>
        <v>2</v>
      </c>
      <c r="X12" s="26" t="e">
        <f t="shared" si="16"/>
        <v>#REF!</v>
      </c>
      <c r="Y12" s="27" t="e">
        <f t="shared" si="17"/>
        <v>#REF!</v>
      </c>
    </row>
    <row r="13" spans="1:25" ht="16.5" customHeight="1" x14ac:dyDescent="0.25">
      <c r="A13" s="16" t="s">
        <v>29</v>
      </c>
      <c r="B13" s="16" t="s">
        <v>307</v>
      </c>
      <c r="C13" s="25">
        <f t="shared" si="0"/>
        <v>499</v>
      </c>
      <c r="D13" s="25" t="e">
        <f t="shared" si="1"/>
        <v>#REF!</v>
      </c>
      <c r="E13" s="27" t="e">
        <f t="shared" si="2"/>
        <v>#REF!</v>
      </c>
      <c r="F13" s="25"/>
      <c r="G13" s="25">
        <f t="shared" si="3"/>
        <v>360</v>
      </c>
      <c r="H13" s="25" t="e">
        <f t="shared" si="4"/>
        <v>#REF!</v>
      </c>
      <c r="I13" s="27" t="e">
        <f t="shared" si="5"/>
        <v>#REF!</v>
      </c>
      <c r="J13" s="25"/>
      <c r="K13" s="25">
        <f t="shared" si="6"/>
        <v>590</v>
      </c>
      <c r="L13" s="25" t="e">
        <f t="shared" si="7"/>
        <v>#REF!</v>
      </c>
      <c r="M13" s="27" t="e">
        <f t="shared" si="8"/>
        <v>#REF!</v>
      </c>
      <c r="N13" s="27"/>
      <c r="O13" s="26" t="str">
        <f t="shared" si="9"/>
        <v>Piedmont</v>
      </c>
      <c r="P13" s="26" t="e">
        <f t="shared" si="10"/>
        <v>#REF!</v>
      </c>
      <c r="Q13" s="27" t="e">
        <f t="shared" si="11"/>
        <v>#VALUE!</v>
      </c>
      <c r="R13" s="27"/>
      <c r="S13" s="26">
        <f t="shared" si="12"/>
        <v>554</v>
      </c>
      <c r="T13" s="26" t="e">
        <f t="shared" si="13"/>
        <v>#REF!</v>
      </c>
      <c r="U13" s="27" t="e">
        <f t="shared" si="14"/>
        <v>#REF!</v>
      </c>
      <c r="V13" s="27"/>
      <c r="W13" s="26">
        <f t="shared" si="15"/>
        <v>305</v>
      </c>
      <c r="X13" s="26" t="e">
        <f t="shared" si="16"/>
        <v>#REF!</v>
      </c>
      <c r="Y13" s="27" t="e">
        <f t="shared" si="17"/>
        <v>#REF!</v>
      </c>
    </row>
    <row r="14" spans="1:25" ht="16.5" customHeight="1" x14ac:dyDescent="0.25">
      <c r="A14" s="16" t="s">
        <v>30</v>
      </c>
      <c r="B14" s="16" t="s">
        <v>31</v>
      </c>
      <c r="C14" s="25">
        <f t="shared" si="0"/>
        <v>43</v>
      </c>
      <c r="D14" s="25" t="e">
        <f t="shared" si="1"/>
        <v>#REF!</v>
      </c>
      <c r="E14" s="27" t="e">
        <f t="shared" si="2"/>
        <v>#REF!</v>
      </c>
      <c r="F14" s="25"/>
      <c r="G14" s="25">
        <f t="shared" si="3"/>
        <v>22</v>
      </c>
      <c r="H14" s="25" t="e">
        <f t="shared" si="4"/>
        <v>#REF!</v>
      </c>
      <c r="I14" s="27" t="e">
        <f t="shared" si="5"/>
        <v>#REF!</v>
      </c>
      <c r="J14" s="25"/>
      <c r="K14" s="25">
        <f t="shared" si="6"/>
        <v>53</v>
      </c>
      <c r="L14" s="25" t="e">
        <f t="shared" si="7"/>
        <v>#REF!</v>
      </c>
      <c r="M14" s="27" t="e">
        <f t="shared" si="8"/>
        <v>#REF!</v>
      </c>
      <c r="N14" s="27"/>
      <c r="O14" s="26" t="str">
        <f t="shared" si="9"/>
        <v>Western</v>
      </c>
      <c r="P14" s="26" t="e">
        <f t="shared" si="10"/>
        <v>#REF!</v>
      </c>
      <c r="Q14" s="27" t="e">
        <f t="shared" si="11"/>
        <v>#VALUE!</v>
      </c>
      <c r="R14" s="27"/>
      <c r="S14" s="26">
        <f t="shared" si="12"/>
        <v>41</v>
      </c>
      <c r="T14" s="26" t="e">
        <f t="shared" si="13"/>
        <v>#REF!</v>
      </c>
      <c r="U14" s="27" t="e">
        <f t="shared" si="14"/>
        <v>#REF!</v>
      </c>
      <c r="V14" s="27"/>
      <c r="W14" s="26">
        <f t="shared" si="15"/>
        <v>24</v>
      </c>
      <c r="X14" s="26" t="e">
        <f t="shared" si="16"/>
        <v>#REF!</v>
      </c>
      <c r="Y14" s="27" t="e">
        <f t="shared" si="17"/>
        <v>#REF!</v>
      </c>
    </row>
    <row r="15" spans="1:25" ht="16.5" customHeight="1" x14ac:dyDescent="0.25">
      <c r="A15" s="16" t="s">
        <v>32</v>
      </c>
      <c r="B15" s="16" t="s">
        <v>33</v>
      </c>
      <c r="C15" s="25">
        <f t="shared" si="0"/>
        <v>92</v>
      </c>
      <c r="D15" s="25" t="e">
        <f t="shared" si="1"/>
        <v>#REF!</v>
      </c>
      <c r="E15" s="27" t="e">
        <f t="shared" si="2"/>
        <v>#REF!</v>
      </c>
      <c r="F15" s="25"/>
      <c r="G15" s="25">
        <f t="shared" si="3"/>
        <v>74</v>
      </c>
      <c r="H15" s="25" t="e">
        <f t="shared" si="4"/>
        <v>#REF!</v>
      </c>
      <c r="I15" s="27" t="e">
        <f t="shared" si="5"/>
        <v>#REF!</v>
      </c>
      <c r="J15" s="25"/>
      <c r="K15" s="25">
        <f t="shared" si="6"/>
        <v>140</v>
      </c>
      <c r="L15" s="25" t="e">
        <f t="shared" si="7"/>
        <v>#REF!</v>
      </c>
      <c r="M15" s="27" t="e">
        <f t="shared" si="8"/>
        <v>#REF!</v>
      </c>
      <c r="N15" s="27"/>
      <c r="O15" s="26" t="str">
        <f t="shared" si="9"/>
        <v>Piedmont</v>
      </c>
      <c r="P15" s="26" t="e">
        <f t="shared" si="10"/>
        <v>#REF!</v>
      </c>
      <c r="Q15" s="27" t="e">
        <f t="shared" si="11"/>
        <v>#VALUE!</v>
      </c>
      <c r="R15" s="27"/>
      <c r="S15" s="26">
        <f t="shared" si="12"/>
        <v>103</v>
      </c>
      <c r="T15" s="26" t="e">
        <f t="shared" si="13"/>
        <v>#REF!</v>
      </c>
      <c r="U15" s="27" t="e">
        <f t="shared" si="14"/>
        <v>#REF!</v>
      </c>
      <c r="V15" s="27"/>
      <c r="W15" s="26">
        <f t="shared" si="15"/>
        <v>61</v>
      </c>
      <c r="X15" s="26" t="e">
        <f t="shared" si="16"/>
        <v>#REF!</v>
      </c>
      <c r="Y15" s="27" t="e">
        <f t="shared" si="17"/>
        <v>#REF!</v>
      </c>
    </row>
    <row r="16" spans="1:25" ht="16.5" customHeight="1" x14ac:dyDescent="0.25">
      <c r="A16" s="16" t="s">
        <v>36</v>
      </c>
      <c r="B16" s="16" t="s">
        <v>37</v>
      </c>
      <c r="C16" s="25">
        <f t="shared" si="0"/>
        <v>280</v>
      </c>
      <c r="D16" s="25" t="e">
        <f t="shared" si="1"/>
        <v>#REF!</v>
      </c>
      <c r="E16" s="27" t="e">
        <f t="shared" si="2"/>
        <v>#REF!</v>
      </c>
      <c r="F16" s="25"/>
      <c r="G16" s="25">
        <f t="shared" si="3"/>
        <v>162</v>
      </c>
      <c r="H16" s="25" t="e">
        <f t="shared" si="4"/>
        <v>#REF!</v>
      </c>
      <c r="I16" s="27" t="e">
        <f t="shared" si="5"/>
        <v>#REF!</v>
      </c>
      <c r="J16" s="25"/>
      <c r="K16" s="25">
        <f t="shared" si="6"/>
        <v>67</v>
      </c>
      <c r="L16" s="25" t="e">
        <f t="shared" si="7"/>
        <v>#REF!</v>
      </c>
      <c r="M16" s="27" t="e">
        <f t="shared" si="8"/>
        <v>#REF!</v>
      </c>
      <c r="N16" s="27"/>
      <c r="O16" s="26" t="str">
        <f t="shared" si="9"/>
        <v>Eastern</v>
      </c>
      <c r="P16" s="26" t="e">
        <f t="shared" si="10"/>
        <v>#REF!</v>
      </c>
      <c r="Q16" s="27" t="e">
        <f t="shared" si="11"/>
        <v>#VALUE!</v>
      </c>
      <c r="R16" s="27"/>
      <c r="S16" s="26">
        <f t="shared" si="12"/>
        <v>295</v>
      </c>
      <c r="T16" s="26" t="e">
        <f t="shared" si="13"/>
        <v>#REF!</v>
      </c>
      <c r="U16" s="27" t="e">
        <f t="shared" si="14"/>
        <v>#REF!</v>
      </c>
      <c r="V16" s="27"/>
      <c r="W16" s="26">
        <f t="shared" si="15"/>
        <v>147</v>
      </c>
      <c r="X16" s="26" t="e">
        <f t="shared" si="16"/>
        <v>#REF!</v>
      </c>
      <c r="Y16" s="27" t="e">
        <f t="shared" si="17"/>
        <v>#REF!</v>
      </c>
    </row>
    <row r="17" spans="1:25" ht="16.5" customHeight="1" x14ac:dyDescent="0.25">
      <c r="A17" s="16" t="s">
        <v>38</v>
      </c>
      <c r="B17" s="16" t="s">
        <v>39</v>
      </c>
      <c r="C17" s="25">
        <f t="shared" si="0"/>
        <v>362</v>
      </c>
      <c r="D17" s="25" t="e">
        <f t="shared" si="1"/>
        <v>#REF!</v>
      </c>
      <c r="E17" s="27" t="e">
        <f t="shared" si="2"/>
        <v>#REF!</v>
      </c>
      <c r="F17" s="25"/>
      <c r="G17" s="25">
        <f t="shared" si="3"/>
        <v>278</v>
      </c>
      <c r="H17" s="25" t="e">
        <f t="shared" si="4"/>
        <v>#REF!</v>
      </c>
      <c r="I17" s="27" t="e">
        <f t="shared" si="5"/>
        <v>#REF!</v>
      </c>
      <c r="J17" s="25"/>
      <c r="K17" s="25">
        <f t="shared" si="6"/>
        <v>614</v>
      </c>
      <c r="L17" s="25" t="e">
        <f t="shared" si="7"/>
        <v>#REF!</v>
      </c>
      <c r="M17" s="27" t="e">
        <f t="shared" si="8"/>
        <v>#REF!</v>
      </c>
      <c r="N17" s="27"/>
      <c r="O17" s="26" t="str">
        <f t="shared" si="9"/>
        <v>Western</v>
      </c>
      <c r="P17" s="26" t="e">
        <f t="shared" si="10"/>
        <v>#REF!</v>
      </c>
      <c r="Q17" s="27" t="e">
        <f t="shared" si="11"/>
        <v>#VALUE!</v>
      </c>
      <c r="R17" s="27"/>
      <c r="S17" s="26">
        <f t="shared" si="12"/>
        <v>363</v>
      </c>
      <c r="T17" s="26" t="e">
        <f t="shared" si="13"/>
        <v>#REF!</v>
      </c>
      <c r="U17" s="27" t="e">
        <f t="shared" si="14"/>
        <v>#REF!</v>
      </c>
      <c r="V17" s="27"/>
      <c r="W17" s="26">
        <f t="shared" si="15"/>
        <v>276</v>
      </c>
      <c r="X17" s="26" t="e">
        <f t="shared" si="16"/>
        <v>#REF!</v>
      </c>
      <c r="Y17" s="27" t="e">
        <f t="shared" si="17"/>
        <v>#REF!</v>
      </c>
    </row>
    <row r="18" spans="1:25" ht="16.5" customHeight="1" x14ac:dyDescent="0.25">
      <c r="A18" s="16" t="s">
        <v>40</v>
      </c>
      <c r="B18" s="16" t="s">
        <v>41</v>
      </c>
      <c r="C18" s="25">
        <f t="shared" si="0"/>
        <v>184</v>
      </c>
      <c r="D18" s="25" t="e">
        <f t="shared" si="1"/>
        <v>#REF!</v>
      </c>
      <c r="E18" s="27" t="e">
        <f t="shared" si="2"/>
        <v>#REF!</v>
      </c>
      <c r="F18" s="25"/>
      <c r="G18" s="25">
        <f t="shared" si="3"/>
        <v>118</v>
      </c>
      <c r="H18" s="25" t="e">
        <f t="shared" si="4"/>
        <v>#REF!</v>
      </c>
      <c r="I18" s="27" t="e">
        <f t="shared" si="5"/>
        <v>#REF!</v>
      </c>
      <c r="J18" s="25"/>
      <c r="K18" s="25">
        <f t="shared" si="6"/>
        <v>108</v>
      </c>
      <c r="L18" s="25" t="e">
        <f t="shared" si="7"/>
        <v>#REF!</v>
      </c>
      <c r="M18" s="27" t="e">
        <f t="shared" si="8"/>
        <v>#REF!</v>
      </c>
      <c r="N18" s="27"/>
      <c r="O18" s="26" t="str">
        <f t="shared" si="9"/>
        <v>Central</v>
      </c>
      <c r="P18" s="26" t="e">
        <f t="shared" si="10"/>
        <v>#REF!</v>
      </c>
      <c r="Q18" s="27" t="e">
        <f t="shared" si="11"/>
        <v>#VALUE!</v>
      </c>
      <c r="R18" s="27"/>
      <c r="S18" s="26">
        <f t="shared" si="12"/>
        <v>190</v>
      </c>
      <c r="T18" s="26" t="e">
        <f t="shared" si="13"/>
        <v>#REF!</v>
      </c>
      <c r="U18" s="27" t="e">
        <f t="shared" si="14"/>
        <v>#REF!</v>
      </c>
      <c r="V18" s="27"/>
      <c r="W18" s="26">
        <f t="shared" si="15"/>
        <v>112</v>
      </c>
      <c r="X18" s="26" t="e">
        <f t="shared" si="16"/>
        <v>#REF!</v>
      </c>
      <c r="Y18" s="27" t="e">
        <f t="shared" si="17"/>
        <v>#REF!</v>
      </c>
    </row>
    <row r="19" spans="1:25" ht="16.5" customHeight="1" x14ac:dyDescent="0.25">
      <c r="A19" s="16" t="s">
        <v>42</v>
      </c>
      <c r="B19" s="16" t="s">
        <v>43</v>
      </c>
      <c r="C19" s="25">
        <f t="shared" si="0"/>
        <v>644</v>
      </c>
      <c r="D19" s="25" t="e">
        <f t="shared" si="1"/>
        <v>#REF!</v>
      </c>
      <c r="E19" s="27" t="e">
        <f t="shared" si="2"/>
        <v>#REF!</v>
      </c>
      <c r="F19" s="25"/>
      <c r="G19" s="25">
        <f t="shared" si="3"/>
        <v>382</v>
      </c>
      <c r="H19" s="25" t="e">
        <f t="shared" si="4"/>
        <v>#REF!</v>
      </c>
      <c r="I19" s="27" t="e">
        <f t="shared" si="5"/>
        <v>#REF!</v>
      </c>
      <c r="J19" s="25"/>
      <c r="K19" s="25">
        <f t="shared" si="6"/>
        <v>635</v>
      </c>
      <c r="L19" s="25" t="e">
        <f t="shared" si="7"/>
        <v>#REF!</v>
      </c>
      <c r="M19" s="27" t="e">
        <f t="shared" si="8"/>
        <v>#REF!</v>
      </c>
      <c r="N19" s="27"/>
      <c r="O19" s="26" t="str">
        <f t="shared" si="9"/>
        <v>Piedmont</v>
      </c>
      <c r="P19" s="26" t="e">
        <f t="shared" si="10"/>
        <v>#REF!</v>
      </c>
      <c r="Q19" s="27" t="e">
        <f t="shared" si="11"/>
        <v>#VALUE!</v>
      </c>
      <c r="R19" s="27"/>
      <c r="S19" s="26">
        <f t="shared" si="12"/>
        <v>616</v>
      </c>
      <c r="T19" s="26" t="e">
        <f t="shared" si="13"/>
        <v>#REF!</v>
      </c>
      <c r="U19" s="27" t="e">
        <f t="shared" si="14"/>
        <v>#REF!</v>
      </c>
      <c r="V19" s="27"/>
      <c r="W19" s="26">
        <f t="shared" si="15"/>
        <v>410</v>
      </c>
      <c r="X19" s="26" t="e">
        <f t="shared" si="16"/>
        <v>#REF!</v>
      </c>
      <c r="Y19" s="27" t="e">
        <f t="shared" si="17"/>
        <v>#REF!</v>
      </c>
    </row>
    <row r="20" spans="1:25" ht="16.5" customHeight="1" x14ac:dyDescent="0.25">
      <c r="A20" s="16" t="s">
        <v>44</v>
      </c>
      <c r="B20" s="16" t="s">
        <v>45</v>
      </c>
      <c r="C20" s="25">
        <f t="shared" si="0"/>
        <v>422</v>
      </c>
      <c r="D20" s="25" t="e">
        <f t="shared" si="1"/>
        <v>#REF!</v>
      </c>
      <c r="E20" s="27" t="e">
        <f t="shared" si="2"/>
        <v>#REF!</v>
      </c>
      <c r="F20" s="25"/>
      <c r="G20" s="25">
        <f t="shared" si="3"/>
        <v>287</v>
      </c>
      <c r="H20" s="25" t="e">
        <f t="shared" si="4"/>
        <v>#REF!</v>
      </c>
      <c r="I20" s="27" t="e">
        <f t="shared" si="5"/>
        <v>#REF!</v>
      </c>
      <c r="J20" s="25"/>
      <c r="K20" s="25">
        <f t="shared" si="6"/>
        <v>319</v>
      </c>
      <c r="L20" s="25" t="e">
        <f t="shared" si="7"/>
        <v>#REF!</v>
      </c>
      <c r="M20" s="27" t="e">
        <f t="shared" si="8"/>
        <v>#REF!</v>
      </c>
      <c r="N20" s="27"/>
      <c r="O20" s="26" t="str">
        <f t="shared" si="9"/>
        <v>Central</v>
      </c>
      <c r="P20" s="26" t="e">
        <f t="shared" si="10"/>
        <v>#REF!</v>
      </c>
      <c r="Q20" s="27" t="e">
        <f t="shared" si="11"/>
        <v>#VALUE!</v>
      </c>
      <c r="R20" s="27"/>
      <c r="S20" s="26">
        <f t="shared" si="12"/>
        <v>441</v>
      </c>
      <c r="T20" s="26" t="e">
        <f t="shared" si="13"/>
        <v>#REF!</v>
      </c>
      <c r="U20" s="27" t="e">
        <f t="shared" si="14"/>
        <v>#REF!</v>
      </c>
      <c r="V20" s="27"/>
      <c r="W20" s="26">
        <f t="shared" si="15"/>
        <v>267</v>
      </c>
      <c r="X20" s="26" t="e">
        <f t="shared" si="16"/>
        <v>#REF!</v>
      </c>
      <c r="Y20" s="27" t="e">
        <f t="shared" si="17"/>
        <v>#REF!</v>
      </c>
    </row>
    <row r="21" spans="1:25" ht="16.5" customHeight="1" x14ac:dyDescent="0.25">
      <c r="A21" s="16" t="s">
        <v>46</v>
      </c>
      <c r="B21" s="16" t="s">
        <v>47</v>
      </c>
      <c r="C21" s="25">
        <f t="shared" si="0"/>
        <v>242</v>
      </c>
      <c r="D21" s="25" t="e">
        <f t="shared" si="1"/>
        <v>#REF!</v>
      </c>
      <c r="E21" s="27" t="e">
        <f t="shared" si="2"/>
        <v>#REF!</v>
      </c>
      <c r="F21" s="25"/>
      <c r="G21" s="25">
        <f t="shared" si="3"/>
        <v>186</v>
      </c>
      <c r="H21" s="25" t="e">
        <f t="shared" si="4"/>
        <v>#REF!</v>
      </c>
      <c r="I21" s="27" t="e">
        <f t="shared" si="5"/>
        <v>#REF!</v>
      </c>
      <c r="J21" s="25"/>
      <c r="K21" s="25">
        <f t="shared" si="6"/>
        <v>383</v>
      </c>
      <c r="L21" s="25" t="e">
        <f t="shared" si="7"/>
        <v>#REF!</v>
      </c>
      <c r="M21" s="27" t="e">
        <f t="shared" si="8"/>
        <v>#REF!</v>
      </c>
      <c r="N21" s="27"/>
      <c r="O21" s="26" t="str">
        <f t="shared" si="9"/>
        <v>Western</v>
      </c>
      <c r="P21" s="26" t="e">
        <f t="shared" si="10"/>
        <v>#REF!</v>
      </c>
      <c r="Q21" s="27" t="e">
        <f t="shared" si="11"/>
        <v>#VALUE!</v>
      </c>
      <c r="R21" s="27"/>
      <c r="S21" s="26">
        <f t="shared" si="12"/>
        <v>285</v>
      </c>
      <c r="T21" s="26" t="e">
        <f t="shared" si="13"/>
        <v>#REF!</v>
      </c>
      <c r="U21" s="27" t="e">
        <f t="shared" si="14"/>
        <v>#REF!</v>
      </c>
      <c r="V21" s="27"/>
      <c r="W21" s="26">
        <f t="shared" si="15"/>
        <v>143</v>
      </c>
      <c r="X21" s="26" t="e">
        <f t="shared" si="16"/>
        <v>#REF!</v>
      </c>
      <c r="Y21" s="27" t="e">
        <f t="shared" si="17"/>
        <v>#REF!</v>
      </c>
    </row>
    <row r="22" spans="1:25" ht="16.5" customHeight="1" x14ac:dyDescent="0.25">
      <c r="A22" s="16" t="s">
        <v>48</v>
      </c>
      <c r="B22" s="16" t="s">
        <v>269</v>
      </c>
      <c r="C22" s="25">
        <f t="shared" si="0"/>
        <v>50</v>
      </c>
      <c r="D22" s="25" t="e">
        <f t="shared" si="1"/>
        <v>#REF!</v>
      </c>
      <c r="E22" s="27" t="e">
        <f t="shared" si="2"/>
        <v>#REF!</v>
      </c>
      <c r="F22" s="25"/>
      <c r="G22" s="25">
        <f t="shared" si="3"/>
        <v>26</v>
      </c>
      <c r="H22" s="25" t="e">
        <f t="shared" si="4"/>
        <v>#REF!</v>
      </c>
      <c r="I22" s="27" t="e">
        <f t="shared" si="5"/>
        <v>#REF!</v>
      </c>
      <c r="J22" s="25"/>
      <c r="K22" s="25">
        <f t="shared" si="6"/>
        <v>29</v>
      </c>
      <c r="L22" s="25" t="e">
        <f t="shared" si="7"/>
        <v>#REF!</v>
      </c>
      <c r="M22" s="27" t="e">
        <f t="shared" si="8"/>
        <v>#REF!</v>
      </c>
      <c r="N22" s="27"/>
      <c r="O22" s="26" t="str">
        <f t="shared" si="9"/>
        <v>Central</v>
      </c>
      <c r="P22" s="26" t="e">
        <f t="shared" si="10"/>
        <v>#REF!</v>
      </c>
      <c r="Q22" s="27" t="e">
        <f t="shared" si="11"/>
        <v>#VALUE!</v>
      </c>
      <c r="R22" s="27"/>
      <c r="S22" s="26">
        <f t="shared" si="12"/>
        <v>50</v>
      </c>
      <c r="T22" s="26" t="e">
        <f t="shared" si="13"/>
        <v>#REF!</v>
      </c>
      <c r="U22" s="27" t="e">
        <f t="shared" si="14"/>
        <v>#REF!</v>
      </c>
      <c r="V22" s="27"/>
      <c r="W22" s="26">
        <f t="shared" si="15"/>
        <v>26</v>
      </c>
      <c r="X22" s="26" t="e">
        <f t="shared" si="16"/>
        <v>#REF!</v>
      </c>
      <c r="Y22" s="27" t="e">
        <f t="shared" si="17"/>
        <v>#REF!</v>
      </c>
    </row>
    <row r="23" spans="1:25" ht="16.5" customHeight="1" x14ac:dyDescent="0.25">
      <c r="A23" s="16" t="s">
        <v>50</v>
      </c>
      <c r="B23" s="16" t="s">
        <v>51</v>
      </c>
      <c r="C23" s="25">
        <f t="shared" si="0"/>
        <v>185</v>
      </c>
      <c r="D23" s="25" t="e">
        <f t="shared" si="1"/>
        <v>#REF!</v>
      </c>
      <c r="E23" s="27" t="e">
        <f t="shared" si="2"/>
        <v>#REF!</v>
      </c>
      <c r="F23" s="25"/>
      <c r="G23" s="25">
        <f t="shared" si="3"/>
        <v>148</v>
      </c>
      <c r="H23" s="25" t="e">
        <f t="shared" si="4"/>
        <v>#REF!</v>
      </c>
      <c r="I23" s="27" t="e">
        <f t="shared" si="5"/>
        <v>#REF!</v>
      </c>
      <c r="J23" s="25"/>
      <c r="K23" s="25">
        <f t="shared" si="6"/>
        <v>132</v>
      </c>
      <c r="L23" s="25" t="e">
        <f t="shared" si="7"/>
        <v>#REF!</v>
      </c>
      <c r="M23" s="27" t="e">
        <f t="shared" si="8"/>
        <v>#REF!</v>
      </c>
      <c r="N23" s="27"/>
      <c r="O23" s="26" t="str">
        <f t="shared" si="9"/>
        <v>Piedmont</v>
      </c>
      <c r="P23" s="26" t="e">
        <f t="shared" si="10"/>
        <v>#REF!</v>
      </c>
      <c r="Q23" s="27" t="e">
        <f t="shared" si="11"/>
        <v>#VALUE!</v>
      </c>
      <c r="R23" s="27"/>
      <c r="S23" s="26">
        <f t="shared" si="12"/>
        <v>201</v>
      </c>
      <c r="T23" s="26" t="e">
        <f t="shared" si="13"/>
        <v>#REF!</v>
      </c>
      <c r="U23" s="27" t="e">
        <f t="shared" si="14"/>
        <v>#REF!</v>
      </c>
      <c r="V23" s="27"/>
      <c r="W23" s="26">
        <f t="shared" si="15"/>
        <v>132</v>
      </c>
      <c r="X23" s="26" t="e">
        <f t="shared" si="16"/>
        <v>#REF!</v>
      </c>
      <c r="Y23" s="27" t="e">
        <f t="shared" si="17"/>
        <v>#REF!</v>
      </c>
    </row>
    <row r="24" spans="1:25" ht="16.5" customHeight="1" x14ac:dyDescent="0.25">
      <c r="A24" s="16" t="s">
        <v>56</v>
      </c>
      <c r="B24" s="16" t="s">
        <v>295</v>
      </c>
      <c r="C24" s="25">
        <f t="shared" si="0"/>
        <v>2226</v>
      </c>
      <c r="D24" s="25" t="e">
        <f t="shared" si="1"/>
        <v>#REF!</v>
      </c>
      <c r="E24" s="27" t="e">
        <f t="shared" si="2"/>
        <v>#REF!</v>
      </c>
      <c r="F24" s="25"/>
      <c r="G24" s="25">
        <f t="shared" si="3"/>
        <v>1430</v>
      </c>
      <c r="H24" s="25" t="e">
        <f t="shared" si="4"/>
        <v>#REF!</v>
      </c>
      <c r="I24" s="27" t="e">
        <f t="shared" si="5"/>
        <v>#REF!</v>
      </c>
      <c r="J24" s="25"/>
      <c r="K24" s="25">
        <f t="shared" si="6"/>
        <v>1160</v>
      </c>
      <c r="L24" s="25" t="e">
        <f t="shared" si="7"/>
        <v>#REF!</v>
      </c>
      <c r="M24" s="27" t="e">
        <f t="shared" si="8"/>
        <v>#REF!</v>
      </c>
      <c r="N24" s="27"/>
      <c r="O24" s="26" t="str">
        <f t="shared" si="9"/>
        <v>Central</v>
      </c>
      <c r="P24" s="26" t="e">
        <f t="shared" si="10"/>
        <v>#REF!</v>
      </c>
      <c r="Q24" s="27" t="e">
        <f t="shared" si="11"/>
        <v>#VALUE!</v>
      </c>
      <c r="R24" s="27"/>
      <c r="S24" s="26">
        <f t="shared" si="12"/>
        <v>2342</v>
      </c>
      <c r="T24" s="26" t="e">
        <f t="shared" si="13"/>
        <v>#REF!</v>
      </c>
      <c r="U24" s="27" t="e">
        <f t="shared" si="14"/>
        <v>#REF!</v>
      </c>
      <c r="V24" s="27"/>
      <c r="W24" s="26">
        <f t="shared" si="15"/>
        <v>1313</v>
      </c>
      <c r="X24" s="26" t="e">
        <f t="shared" si="16"/>
        <v>#REF!</v>
      </c>
      <c r="Y24" s="27" t="e">
        <f t="shared" si="17"/>
        <v>#REF!</v>
      </c>
    </row>
    <row r="25" spans="1:25" ht="16.5" customHeight="1" x14ac:dyDescent="0.25">
      <c r="A25" s="16" t="s">
        <v>58</v>
      </c>
      <c r="B25" s="16" t="s">
        <v>59</v>
      </c>
      <c r="C25" s="25">
        <f t="shared" si="0"/>
        <v>30</v>
      </c>
      <c r="D25" s="25" t="e">
        <f t="shared" si="1"/>
        <v>#REF!</v>
      </c>
      <c r="E25" s="27" t="e">
        <f t="shared" si="2"/>
        <v>#REF!</v>
      </c>
      <c r="F25" s="25"/>
      <c r="G25" s="25">
        <f t="shared" si="3"/>
        <v>18</v>
      </c>
      <c r="H25" s="25" t="e">
        <f t="shared" si="4"/>
        <v>#REF!</v>
      </c>
      <c r="I25" s="27" t="e">
        <f t="shared" si="5"/>
        <v>#REF!</v>
      </c>
      <c r="J25" s="25"/>
      <c r="K25" s="25">
        <f t="shared" si="6"/>
        <v>38</v>
      </c>
      <c r="L25" s="25" t="e">
        <f t="shared" si="7"/>
        <v>#REF!</v>
      </c>
      <c r="M25" s="27" t="e">
        <f t="shared" si="8"/>
        <v>#REF!</v>
      </c>
      <c r="N25" s="27"/>
      <c r="O25" s="26" t="str">
        <f t="shared" si="9"/>
        <v>Northern</v>
      </c>
      <c r="P25" s="26" t="e">
        <f t="shared" si="10"/>
        <v>#REF!</v>
      </c>
      <c r="Q25" s="27" t="e">
        <f t="shared" si="11"/>
        <v>#VALUE!</v>
      </c>
      <c r="R25" s="27"/>
      <c r="S25" s="26">
        <f t="shared" si="12"/>
        <v>34</v>
      </c>
      <c r="T25" s="26" t="e">
        <f t="shared" si="13"/>
        <v>#REF!</v>
      </c>
      <c r="U25" s="27" t="e">
        <f t="shared" si="14"/>
        <v>#REF!</v>
      </c>
      <c r="V25" s="27"/>
      <c r="W25" s="26">
        <f t="shared" si="15"/>
        <v>14</v>
      </c>
      <c r="X25" s="26" t="e">
        <f t="shared" si="16"/>
        <v>#REF!</v>
      </c>
      <c r="Y25" s="27" t="e">
        <f t="shared" si="17"/>
        <v>#REF!</v>
      </c>
    </row>
    <row r="26" spans="1:25" ht="16.5" customHeight="1" x14ac:dyDescent="0.25">
      <c r="A26" s="16" t="s">
        <v>60</v>
      </c>
      <c r="B26" s="16" t="s">
        <v>61</v>
      </c>
      <c r="C26" s="25">
        <f t="shared" si="0"/>
        <v>44</v>
      </c>
      <c r="D26" s="25" t="e">
        <f t="shared" si="1"/>
        <v>#REF!</v>
      </c>
      <c r="E26" s="27" t="e">
        <f t="shared" si="2"/>
        <v>#REF!</v>
      </c>
      <c r="F26" s="25"/>
      <c r="G26" s="25">
        <f t="shared" si="3"/>
        <v>22</v>
      </c>
      <c r="H26" s="25" t="e">
        <f t="shared" si="4"/>
        <v>#REF!</v>
      </c>
      <c r="I26" s="27" t="e">
        <f t="shared" si="5"/>
        <v>#REF!</v>
      </c>
      <c r="J26" s="25"/>
      <c r="K26" s="25">
        <f t="shared" si="6"/>
        <v>62</v>
      </c>
      <c r="L26" s="25" t="e">
        <f t="shared" si="7"/>
        <v>#REF!</v>
      </c>
      <c r="M26" s="27" t="e">
        <f t="shared" si="8"/>
        <v>#REF!</v>
      </c>
      <c r="N26" s="27"/>
      <c r="O26" s="26" t="str">
        <f t="shared" si="9"/>
        <v>Piedmont</v>
      </c>
      <c r="P26" s="26" t="e">
        <f t="shared" si="10"/>
        <v>#REF!</v>
      </c>
      <c r="Q26" s="27" t="e">
        <f t="shared" si="11"/>
        <v>#VALUE!</v>
      </c>
      <c r="R26" s="27"/>
      <c r="S26" s="26">
        <f t="shared" si="12"/>
        <v>43</v>
      </c>
      <c r="T26" s="26" t="e">
        <f t="shared" si="13"/>
        <v>#REF!</v>
      </c>
      <c r="U26" s="27" t="e">
        <f t="shared" si="14"/>
        <v>#REF!</v>
      </c>
      <c r="V26" s="27"/>
      <c r="W26" s="26">
        <f t="shared" si="15"/>
        <v>23</v>
      </c>
      <c r="X26" s="26" t="e">
        <f t="shared" si="16"/>
        <v>#REF!</v>
      </c>
      <c r="Y26" s="27" t="e">
        <f t="shared" si="17"/>
        <v>#REF!</v>
      </c>
    </row>
    <row r="27" spans="1:25" ht="16.5" customHeight="1" x14ac:dyDescent="0.25">
      <c r="A27" s="16" t="s">
        <v>62</v>
      </c>
      <c r="B27" s="16" t="s">
        <v>63</v>
      </c>
      <c r="C27" s="25">
        <f t="shared" si="0"/>
        <v>403</v>
      </c>
      <c r="D27" s="25" t="e">
        <f t="shared" si="1"/>
        <v>#REF!</v>
      </c>
      <c r="E27" s="27" t="e">
        <f t="shared" si="2"/>
        <v>#REF!</v>
      </c>
      <c r="F27" s="25"/>
      <c r="G27" s="25">
        <f t="shared" si="3"/>
        <v>238</v>
      </c>
      <c r="H27" s="25" t="e">
        <f t="shared" si="4"/>
        <v>#REF!</v>
      </c>
      <c r="I27" s="27" t="e">
        <f t="shared" si="5"/>
        <v>#REF!</v>
      </c>
      <c r="J27" s="25"/>
      <c r="K27" s="25">
        <f t="shared" si="6"/>
        <v>311</v>
      </c>
      <c r="L27" s="25" t="e">
        <f t="shared" si="7"/>
        <v>#REF!</v>
      </c>
      <c r="M27" s="27" t="e">
        <f t="shared" si="8"/>
        <v>#REF!</v>
      </c>
      <c r="N27" s="27"/>
      <c r="O27" s="26" t="str">
        <f t="shared" si="9"/>
        <v>Northern</v>
      </c>
      <c r="P27" s="26" t="e">
        <f t="shared" si="10"/>
        <v>#REF!</v>
      </c>
      <c r="Q27" s="27" t="e">
        <f t="shared" si="11"/>
        <v>#VALUE!</v>
      </c>
      <c r="R27" s="27"/>
      <c r="S27" s="26">
        <f t="shared" si="12"/>
        <v>399</v>
      </c>
      <c r="T27" s="26" t="e">
        <f t="shared" si="13"/>
        <v>#REF!</v>
      </c>
      <c r="U27" s="27" t="e">
        <f t="shared" si="14"/>
        <v>#REF!</v>
      </c>
      <c r="V27" s="27"/>
      <c r="W27" s="26">
        <f t="shared" si="15"/>
        <v>242</v>
      </c>
      <c r="X27" s="26" t="e">
        <f t="shared" si="16"/>
        <v>#REF!</v>
      </c>
      <c r="Y27" s="27" t="e">
        <f t="shared" si="17"/>
        <v>#REF!</v>
      </c>
    </row>
    <row r="28" spans="1:25" ht="16.5" customHeight="1" x14ac:dyDescent="0.25">
      <c r="A28" s="16" t="s">
        <v>64</v>
      </c>
      <c r="B28" s="16" t="s">
        <v>65</v>
      </c>
      <c r="C28" s="25">
        <f t="shared" si="0"/>
        <v>156</v>
      </c>
      <c r="D28" s="25" t="e">
        <f t="shared" si="1"/>
        <v>#REF!</v>
      </c>
      <c r="E28" s="27" t="e">
        <f t="shared" si="2"/>
        <v>#REF!</v>
      </c>
      <c r="F28" s="25"/>
      <c r="G28" s="25">
        <f t="shared" si="3"/>
        <v>133</v>
      </c>
      <c r="H28" s="25" t="e">
        <f t="shared" si="4"/>
        <v>#REF!</v>
      </c>
      <c r="I28" s="27" t="e">
        <f t="shared" si="5"/>
        <v>#REF!</v>
      </c>
      <c r="J28" s="25"/>
      <c r="K28" s="25">
        <f t="shared" si="6"/>
        <v>109</v>
      </c>
      <c r="L28" s="25" t="e">
        <f t="shared" si="7"/>
        <v>#REF!</v>
      </c>
      <c r="M28" s="27" t="e">
        <f t="shared" si="8"/>
        <v>#REF!</v>
      </c>
      <c r="N28" s="27"/>
      <c r="O28" s="26" t="str">
        <f t="shared" si="9"/>
        <v>Central</v>
      </c>
      <c r="P28" s="26" t="e">
        <f t="shared" si="10"/>
        <v>#REF!</v>
      </c>
      <c r="Q28" s="27" t="e">
        <f t="shared" si="11"/>
        <v>#VALUE!</v>
      </c>
      <c r="R28" s="27"/>
      <c r="S28" s="26">
        <f t="shared" si="12"/>
        <v>178</v>
      </c>
      <c r="T28" s="26" t="e">
        <f t="shared" si="13"/>
        <v>#REF!</v>
      </c>
      <c r="U28" s="27" t="e">
        <f t="shared" si="14"/>
        <v>#REF!</v>
      </c>
      <c r="V28" s="27"/>
      <c r="W28" s="26">
        <f t="shared" si="15"/>
        <v>110</v>
      </c>
      <c r="X28" s="26" t="e">
        <f t="shared" si="16"/>
        <v>#REF!</v>
      </c>
      <c r="Y28" s="27" t="e">
        <f t="shared" si="17"/>
        <v>#REF!</v>
      </c>
    </row>
    <row r="29" spans="1:25" ht="16.5" customHeight="1" x14ac:dyDescent="0.25">
      <c r="A29" s="16" t="s">
        <v>68</v>
      </c>
      <c r="B29" s="16" t="s">
        <v>69</v>
      </c>
      <c r="C29" s="25">
        <f t="shared" si="0"/>
        <v>180</v>
      </c>
      <c r="D29" s="25" t="e">
        <f t="shared" si="1"/>
        <v>#REF!</v>
      </c>
      <c r="E29" s="27" t="e">
        <f t="shared" si="2"/>
        <v>#REF!</v>
      </c>
      <c r="F29" s="25"/>
      <c r="G29" s="25">
        <f t="shared" si="3"/>
        <v>113</v>
      </c>
      <c r="H29" s="25" t="e">
        <f t="shared" si="4"/>
        <v>#REF!</v>
      </c>
      <c r="I29" s="27" t="e">
        <f t="shared" si="5"/>
        <v>#REF!</v>
      </c>
      <c r="J29" s="25"/>
      <c r="K29" s="25">
        <f t="shared" si="6"/>
        <v>282</v>
      </c>
      <c r="L29" s="25" t="e">
        <f t="shared" si="7"/>
        <v>#REF!</v>
      </c>
      <c r="M29" s="27" t="e">
        <f t="shared" si="8"/>
        <v>#REF!</v>
      </c>
      <c r="N29" s="27"/>
      <c r="O29" s="26" t="str">
        <f t="shared" si="9"/>
        <v>Western</v>
      </c>
      <c r="P29" s="26" t="e">
        <f t="shared" si="10"/>
        <v>#REF!</v>
      </c>
      <c r="Q29" s="27" t="e">
        <f t="shared" si="11"/>
        <v>#VALUE!</v>
      </c>
      <c r="R29" s="27"/>
      <c r="S29" s="26">
        <f t="shared" si="12"/>
        <v>162</v>
      </c>
      <c r="T29" s="26" t="e">
        <f t="shared" si="13"/>
        <v>#REF!</v>
      </c>
      <c r="U29" s="27" t="e">
        <f t="shared" si="14"/>
        <v>#REF!</v>
      </c>
      <c r="V29" s="27"/>
      <c r="W29" s="26">
        <f t="shared" si="15"/>
        <v>131</v>
      </c>
      <c r="X29" s="26" t="e">
        <f t="shared" si="16"/>
        <v>#REF!</v>
      </c>
      <c r="Y29" s="27" t="e">
        <f t="shared" si="17"/>
        <v>#REF!</v>
      </c>
    </row>
    <row r="30" spans="1:25" ht="16.5" customHeight="1" x14ac:dyDescent="0.25">
      <c r="A30" s="16" t="s">
        <v>70</v>
      </c>
      <c r="B30" s="16" t="s">
        <v>71</v>
      </c>
      <c r="C30" s="25">
        <f t="shared" si="0"/>
        <v>329</v>
      </c>
      <c r="D30" s="25" t="e">
        <f t="shared" si="1"/>
        <v>#REF!</v>
      </c>
      <c r="E30" s="27" t="e">
        <f t="shared" si="2"/>
        <v>#REF!</v>
      </c>
      <c r="F30" s="25"/>
      <c r="G30" s="25">
        <f t="shared" si="3"/>
        <v>232</v>
      </c>
      <c r="H30" s="25" t="e">
        <f t="shared" si="4"/>
        <v>#REF!</v>
      </c>
      <c r="I30" s="27" t="e">
        <f t="shared" si="5"/>
        <v>#REF!</v>
      </c>
      <c r="J30" s="25"/>
      <c r="K30" s="25">
        <f t="shared" si="6"/>
        <v>225</v>
      </c>
      <c r="L30" s="25" t="e">
        <f t="shared" si="7"/>
        <v>#REF!</v>
      </c>
      <c r="M30" s="27" t="e">
        <f t="shared" si="8"/>
        <v>#REF!</v>
      </c>
      <c r="N30" s="27"/>
      <c r="O30" s="26" t="str">
        <f t="shared" si="9"/>
        <v>Eastern</v>
      </c>
      <c r="P30" s="26" t="e">
        <f t="shared" si="10"/>
        <v>#REF!</v>
      </c>
      <c r="Q30" s="27" t="e">
        <f t="shared" si="11"/>
        <v>#VALUE!</v>
      </c>
      <c r="R30" s="27"/>
      <c r="S30" s="26">
        <f t="shared" si="12"/>
        <v>371</v>
      </c>
      <c r="T30" s="26" t="e">
        <f t="shared" si="13"/>
        <v>#REF!</v>
      </c>
      <c r="U30" s="27" t="e">
        <f t="shared" si="14"/>
        <v>#REF!</v>
      </c>
      <c r="V30" s="27"/>
      <c r="W30" s="26">
        <f t="shared" si="15"/>
        <v>190</v>
      </c>
      <c r="X30" s="26" t="e">
        <f t="shared" si="16"/>
        <v>#REF!</v>
      </c>
      <c r="Y30" s="27" t="e">
        <f t="shared" si="17"/>
        <v>#REF!</v>
      </c>
    </row>
    <row r="31" spans="1:25" ht="16.5" customHeight="1" x14ac:dyDescent="0.25">
      <c r="A31" s="16" t="s">
        <v>72</v>
      </c>
      <c r="B31" s="16" t="s">
        <v>73</v>
      </c>
      <c r="C31" s="25">
        <f t="shared" si="0"/>
        <v>216</v>
      </c>
      <c r="D31" s="25" t="e">
        <f t="shared" si="1"/>
        <v>#REF!</v>
      </c>
      <c r="E31" s="27" t="e">
        <f t="shared" si="2"/>
        <v>#REF!</v>
      </c>
      <c r="F31" s="25"/>
      <c r="G31" s="25">
        <f t="shared" si="3"/>
        <v>131</v>
      </c>
      <c r="H31" s="25" t="e">
        <f t="shared" si="4"/>
        <v>#REF!</v>
      </c>
      <c r="I31" s="27" t="e">
        <f t="shared" si="5"/>
        <v>#REF!</v>
      </c>
      <c r="J31" s="25"/>
      <c r="K31" s="25">
        <f t="shared" si="6"/>
        <v>66</v>
      </c>
      <c r="L31" s="25" t="e">
        <f t="shared" si="7"/>
        <v>#REF!</v>
      </c>
      <c r="M31" s="27" t="e">
        <f t="shared" si="8"/>
        <v>#REF!</v>
      </c>
      <c r="N31" s="27"/>
      <c r="O31" s="26" t="str">
        <f t="shared" si="9"/>
        <v>Central</v>
      </c>
      <c r="P31" s="26" t="e">
        <f t="shared" si="10"/>
        <v>#REF!</v>
      </c>
      <c r="Q31" s="27" t="e">
        <f t="shared" si="11"/>
        <v>#VALUE!</v>
      </c>
      <c r="R31" s="27"/>
      <c r="S31" s="26">
        <f t="shared" si="12"/>
        <v>225</v>
      </c>
      <c r="T31" s="26" t="e">
        <f t="shared" si="13"/>
        <v>#REF!</v>
      </c>
      <c r="U31" s="27" t="e">
        <f t="shared" si="14"/>
        <v>#REF!</v>
      </c>
      <c r="V31" s="27"/>
      <c r="W31" s="26">
        <f t="shared" si="15"/>
        <v>121</v>
      </c>
      <c r="X31" s="26" t="e">
        <f t="shared" si="16"/>
        <v>#REF!</v>
      </c>
      <c r="Y31" s="27" t="e">
        <f t="shared" si="17"/>
        <v>#REF!</v>
      </c>
    </row>
    <row r="32" spans="1:25" ht="16.5" customHeight="1" x14ac:dyDescent="0.25">
      <c r="A32" s="16" t="s">
        <v>74</v>
      </c>
      <c r="B32" s="16" t="s">
        <v>302</v>
      </c>
      <c r="C32" s="25">
        <f t="shared" si="0"/>
        <v>3771</v>
      </c>
      <c r="D32" s="25" t="e">
        <f t="shared" si="1"/>
        <v>#REF!</v>
      </c>
      <c r="E32" s="27" t="e">
        <f t="shared" si="2"/>
        <v>#REF!</v>
      </c>
      <c r="F32" s="25"/>
      <c r="G32" s="25">
        <f t="shared" si="3"/>
        <v>2499</v>
      </c>
      <c r="H32" s="25" t="e">
        <f t="shared" si="4"/>
        <v>#REF!</v>
      </c>
      <c r="I32" s="27" t="e">
        <f t="shared" si="5"/>
        <v>#REF!</v>
      </c>
      <c r="J32" s="25"/>
      <c r="K32" s="25">
        <f t="shared" si="6"/>
        <v>1997</v>
      </c>
      <c r="L32" s="25" t="e">
        <f t="shared" si="7"/>
        <v>#REF!</v>
      </c>
      <c r="M32" s="27" t="e">
        <f t="shared" si="8"/>
        <v>#REF!</v>
      </c>
      <c r="N32" s="27"/>
      <c r="O32" s="26" t="str">
        <f t="shared" si="9"/>
        <v>Northern</v>
      </c>
      <c r="P32" s="26" t="e">
        <f t="shared" si="10"/>
        <v>#REF!</v>
      </c>
      <c r="Q32" s="27" t="e">
        <f t="shared" si="11"/>
        <v>#VALUE!</v>
      </c>
      <c r="R32" s="27"/>
      <c r="S32" s="26">
        <f t="shared" si="12"/>
        <v>3759</v>
      </c>
      <c r="T32" s="26" t="e">
        <f t="shared" si="13"/>
        <v>#REF!</v>
      </c>
      <c r="U32" s="27" t="e">
        <f t="shared" si="14"/>
        <v>#REF!</v>
      </c>
      <c r="V32" s="27"/>
      <c r="W32" s="26">
        <f t="shared" si="15"/>
        <v>2491</v>
      </c>
      <c r="X32" s="26" t="e">
        <f t="shared" si="16"/>
        <v>#REF!</v>
      </c>
      <c r="Y32" s="27" t="e">
        <f t="shared" si="17"/>
        <v>#REF!</v>
      </c>
    </row>
    <row r="33" spans="1:25" ht="16.5" customHeight="1" x14ac:dyDescent="0.25">
      <c r="A33" s="16" t="s">
        <v>76</v>
      </c>
      <c r="B33" s="16" t="s">
        <v>77</v>
      </c>
      <c r="C33" s="25">
        <f t="shared" si="0"/>
        <v>229</v>
      </c>
      <c r="D33" s="25" t="e">
        <f t="shared" si="1"/>
        <v>#REF!</v>
      </c>
      <c r="E33" s="27" t="e">
        <f t="shared" si="2"/>
        <v>#REF!</v>
      </c>
      <c r="F33" s="25"/>
      <c r="G33" s="25">
        <f t="shared" si="3"/>
        <v>154</v>
      </c>
      <c r="H33" s="25" t="e">
        <f t="shared" si="4"/>
        <v>#REF!</v>
      </c>
      <c r="I33" s="27" t="e">
        <f t="shared" si="5"/>
        <v>#REF!</v>
      </c>
      <c r="J33" s="25"/>
      <c r="K33" s="25">
        <f t="shared" si="6"/>
        <v>182</v>
      </c>
      <c r="L33" s="25" t="e">
        <f t="shared" si="7"/>
        <v>#REF!</v>
      </c>
      <c r="M33" s="27" t="e">
        <f t="shared" si="8"/>
        <v>#REF!</v>
      </c>
      <c r="N33" s="27"/>
      <c r="O33" s="26" t="str">
        <f t="shared" si="9"/>
        <v>Northern</v>
      </c>
      <c r="P33" s="26" t="e">
        <f t="shared" si="10"/>
        <v>#REF!</v>
      </c>
      <c r="Q33" s="27" t="e">
        <f t="shared" si="11"/>
        <v>#VALUE!</v>
      </c>
      <c r="R33" s="27"/>
      <c r="S33" s="26">
        <f t="shared" si="12"/>
        <v>242</v>
      </c>
      <c r="T33" s="26" t="e">
        <f t="shared" si="13"/>
        <v>#REF!</v>
      </c>
      <c r="U33" s="27" t="e">
        <f t="shared" si="14"/>
        <v>#REF!</v>
      </c>
      <c r="V33" s="27"/>
      <c r="W33" s="26">
        <f t="shared" si="15"/>
        <v>141</v>
      </c>
      <c r="X33" s="26" t="e">
        <f t="shared" si="16"/>
        <v>#REF!</v>
      </c>
      <c r="Y33" s="27" t="e">
        <f t="shared" si="17"/>
        <v>#REF!</v>
      </c>
    </row>
    <row r="34" spans="1:25" ht="16.5" customHeight="1" x14ac:dyDescent="0.25">
      <c r="A34" s="16" t="s">
        <v>78</v>
      </c>
      <c r="B34" s="16" t="s">
        <v>79</v>
      </c>
      <c r="C34" s="25">
        <f t="shared" si="0"/>
        <v>97</v>
      </c>
      <c r="D34" s="25" t="e">
        <f t="shared" si="1"/>
        <v>#REF!</v>
      </c>
      <c r="E34" s="27" t="e">
        <f t="shared" si="2"/>
        <v>#REF!</v>
      </c>
      <c r="F34" s="25"/>
      <c r="G34" s="25">
        <f t="shared" si="3"/>
        <v>88</v>
      </c>
      <c r="H34" s="25" t="e">
        <f t="shared" si="4"/>
        <v>#REF!</v>
      </c>
      <c r="I34" s="27" t="e">
        <f t="shared" si="5"/>
        <v>#REF!</v>
      </c>
      <c r="J34" s="25"/>
      <c r="K34" s="25">
        <f t="shared" si="6"/>
        <v>160</v>
      </c>
      <c r="L34" s="25" t="e">
        <f t="shared" si="7"/>
        <v>#REF!</v>
      </c>
      <c r="M34" s="27" t="e">
        <f t="shared" si="8"/>
        <v>#REF!</v>
      </c>
      <c r="N34" s="27"/>
      <c r="O34" s="26" t="str">
        <f t="shared" si="9"/>
        <v>Western</v>
      </c>
      <c r="P34" s="26" t="e">
        <f t="shared" si="10"/>
        <v>#REF!</v>
      </c>
      <c r="Q34" s="27" t="e">
        <f t="shared" si="11"/>
        <v>#VALUE!</v>
      </c>
      <c r="R34" s="27"/>
      <c r="S34" s="26">
        <f t="shared" si="12"/>
        <v>123</v>
      </c>
      <c r="T34" s="26" t="e">
        <f t="shared" si="13"/>
        <v>#REF!</v>
      </c>
      <c r="U34" s="27" t="e">
        <f t="shared" si="14"/>
        <v>#REF!</v>
      </c>
      <c r="V34" s="27"/>
      <c r="W34" s="26">
        <f t="shared" si="15"/>
        <v>62</v>
      </c>
      <c r="X34" s="26" t="e">
        <f t="shared" si="16"/>
        <v>#REF!</v>
      </c>
      <c r="Y34" s="27" t="e">
        <f t="shared" si="17"/>
        <v>#REF!</v>
      </c>
    </row>
    <row r="35" spans="1:25" ht="16.5" customHeight="1" x14ac:dyDescent="0.25">
      <c r="A35" s="16" t="s">
        <v>80</v>
      </c>
      <c r="B35" s="16" t="s">
        <v>81</v>
      </c>
      <c r="C35" s="25">
        <f t="shared" si="0"/>
        <v>130</v>
      </c>
      <c r="D35" s="25" t="e">
        <f t="shared" si="1"/>
        <v>#REF!</v>
      </c>
      <c r="E35" s="27" t="e">
        <f t="shared" si="2"/>
        <v>#REF!</v>
      </c>
      <c r="F35" s="25"/>
      <c r="G35" s="25">
        <f t="shared" si="3"/>
        <v>84</v>
      </c>
      <c r="H35" s="25" t="e">
        <f t="shared" si="4"/>
        <v>#REF!</v>
      </c>
      <c r="I35" s="27" t="e">
        <f t="shared" si="5"/>
        <v>#REF!</v>
      </c>
      <c r="J35" s="25"/>
      <c r="K35" s="25">
        <f t="shared" si="6"/>
        <v>127</v>
      </c>
      <c r="L35" s="25" t="e">
        <f t="shared" si="7"/>
        <v>#REF!</v>
      </c>
      <c r="M35" s="27" t="e">
        <f t="shared" si="8"/>
        <v>#REF!</v>
      </c>
      <c r="N35" s="27"/>
      <c r="O35" s="26" t="str">
        <f t="shared" si="9"/>
        <v>Central</v>
      </c>
      <c r="P35" s="26" t="e">
        <f t="shared" si="10"/>
        <v>#REF!</v>
      </c>
      <c r="Q35" s="27" t="e">
        <f t="shared" si="11"/>
        <v>#VALUE!</v>
      </c>
      <c r="R35" s="27"/>
      <c r="S35" s="26">
        <f t="shared" si="12"/>
        <v>151</v>
      </c>
      <c r="T35" s="26" t="e">
        <f t="shared" si="13"/>
        <v>#REF!</v>
      </c>
      <c r="U35" s="27" t="e">
        <f t="shared" si="14"/>
        <v>#REF!</v>
      </c>
      <c r="V35" s="27"/>
      <c r="W35" s="26">
        <f t="shared" si="15"/>
        <v>62</v>
      </c>
      <c r="X35" s="26" t="e">
        <f t="shared" si="16"/>
        <v>#REF!</v>
      </c>
      <c r="Y35" s="27" t="e">
        <f t="shared" si="17"/>
        <v>#REF!</v>
      </c>
    </row>
    <row r="36" spans="1:25" ht="16.5" customHeight="1" x14ac:dyDescent="0.25">
      <c r="A36" s="16" t="s">
        <v>84</v>
      </c>
      <c r="B36" s="16" t="s">
        <v>308</v>
      </c>
      <c r="C36" s="25">
        <f t="shared" ref="C36:C67" si="18">VLOOKUP(A36,TANFClient_Demo,7,FALSE)</f>
        <v>504</v>
      </c>
      <c r="D36" s="25" t="e">
        <f t="shared" ref="D36:D67" si="19">VLOOKUP(A36,Pop,14,FALSE)</f>
        <v>#REF!</v>
      </c>
      <c r="E36" s="27" t="e">
        <f t="shared" ref="E36:E67" si="20">+C36/D36</f>
        <v>#REF!</v>
      </c>
      <c r="F36" s="25"/>
      <c r="G36" s="25">
        <f t="shared" ref="G36:G67" si="21">VLOOKUP(A36,TANFClient_Demo,8,FALSE)</f>
        <v>356</v>
      </c>
      <c r="H36" s="25" t="e">
        <f t="shared" ref="H36:H67" si="22">VLOOKUP(A36,Pop,15,FALSE)</f>
        <v>#REF!</v>
      </c>
      <c r="I36" s="27" t="e">
        <f t="shared" ref="I36:I67" si="23">+G36/H36</f>
        <v>#REF!</v>
      </c>
      <c r="J36" s="25"/>
      <c r="K36" s="25">
        <f t="shared" ref="K36:K67" si="24">VLOOKUP(A36,TANFClient_Demo,9,FALSE)</f>
        <v>572</v>
      </c>
      <c r="L36" s="25" t="e">
        <f t="shared" ref="L36:L67" si="25">VLOOKUP(A36,Pop,16,FALSE)</f>
        <v>#REF!</v>
      </c>
      <c r="M36" s="27" t="e">
        <f t="shared" ref="M36:M67" si="26">+K36/L36</f>
        <v>#REF!</v>
      </c>
      <c r="N36" s="27"/>
      <c r="O36" s="26" t="str">
        <f t="shared" ref="O36:O67" si="27">VLOOKUP(A36,TANFClient_Demo,3,FALSE)</f>
        <v>Piedmont</v>
      </c>
      <c r="P36" s="26" t="e">
        <f t="shared" ref="P36:P67" si="28">VLOOKUP(A36,Pop,8,FALSE)</f>
        <v>#REF!</v>
      </c>
      <c r="Q36" s="27" t="e">
        <f t="shared" ref="Q36:Q67" si="29">+O36/P36</f>
        <v>#VALUE!</v>
      </c>
      <c r="R36" s="27"/>
      <c r="S36" s="26">
        <f t="shared" ref="S36:S67" si="30">VLOOKUP(A36,TANFClient_Demo,4,FALSE)</f>
        <v>563</v>
      </c>
      <c r="T36" s="26" t="e">
        <f t="shared" ref="T36:T67" si="31">VLOOKUP(A36,Pop,9,FALSE)</f>
        <v>#REF!</v>
      </c>
      <c r="U36" s="27" t="e">
        <f t="shared" ref="U36:U67" si="32">+S36/T36</f>
        <v>#REF!</v>
      </c>
      <c r="V36" s="27"/>
      <c r="W36" s="26">
        <f t="shared" ref="W36:W67" si="33">VLOOKUP(A36,TANFClient_Demo,5,FALSE)</f>
        <v>295</v>
      </c>
      <c r="X36" s="26" t="e">
        <f t="shared" ref="X36:X67" si="34">VLOOKUP(A36,Pop,10,FALSE)</f>
        <v>#REF!</v>
      </c>
      <c r="Y36" s="27" t="e">
        <f t="shared" ref="Y36:Y67" si="35">+W36/X36</f>
        <v>#REF!</v>
      </c>
    </row>
    <row r="37" spans="1:25" ht="16.5" customHeight="1" x14ac:dyDescent="0.25">
      <c r="A37" s="16" t="s">
        <v>86</v>
      </c>
      <c r="B37" s="16" t="s">
        <v>87</v>
      </c>
      <c r="C37" s="25">
        <f t="shared" si="18"/>
        <v>232</v>
      </c>
      <c r="D37" s="25" t="e">
        <f t="shared" si="19"/>
        <v>#REF!</v>
      </c>
      <c r="E37" s="27" t="e">
        <f t="shared" si="20"/>
        <v>#REF!</v>
      </c>
      <c r="F37" s="25"/>
      <c r="G37" s="25">
        <f t="shared" si="21"/>
        <v>149</v>
      </c>
      <c r="H37" s="25" t="e">
        <f t="shared" si="22"/>
        <v>#REF!</v>
      </c>
      <c r="I37" s="27" t="e">
        <f t="shared" si="23"/>
        <v>#REF!</v>
      </c>
      <c r="J37" s="25"/>
      <c r="K37" s="25">
        <f t="shared" si="24"/>
        <v>251</v>
      </c>
      <c r="L37" s="25" t="e">
        <f t="shared" si="25"/>
        <v>#REF!</v>
      </c>
      <c r="M37" s="27" t="e">
        <f t="shared" si="26"/>
        <v>#REF!</v>
      </c>
      <c r="N37" s="27"/>
      <c r="O37" s="26" t="str">
        <f t="shared" si="27"/>
        <v>Northern</v>
      </c>
      <c r="P37" s="26" t="e">
        <f t="shared" si="28"/>
        <v>#REF!</v>
      </c>
      <c r="Q37" s="27" t="e">
        <f t="shared" si="29"/>
        <v>#VALUE!</v>
      </c>
      <c r="R37" s="27"/>
      <c r="S37" s="26">
        <f t="shared" si="30"/>
        <v>245</v>
      </c>
      <c r="T37" s="26" t="e">
        <f t="shared" si="31"/>
        <v>#REF!</v>
      </c>
      <c r="U37" s="27" t="e">
        <f t="shared" si="32"/>
        <v>#REF!</v>
      </c>
      <c r="V37" s="27"/>
      <c r="W37" s="26">
        <f t="shared" si="33"/>
        <v>136</v>
      </c>
      <c r="X37" s="26" t="e">
        <f t="shared" si="34"/>
        <v>#REF!</v>
      </c>
      <c r="Y37" s="27" t="e">
        <f t="shared" si="35"/>
        <v>#REF!</v>
      </c>
    </row>
    <row r="38" spans="1:25" ht="16.5" customHeight="1" x14ac:dyDescent="0.25">
      <c r="A38" s="16" t="s">
        <v>92</v>
      </c>
      <c r="B38" s="16" t="s">
        <v>93</v>
      </c>
      <c r="C38" s="25">
        <f t="shared" si="18"/>
        <v>111</v>
      </c>
      <c r="D38" s="25" t="e">
        <f t="shared" si="19"/>
        <v>#REF!</v>
      </c>
      <c r="E38" s="27" t="e">
        <f t="shared" si="20"/>
        <v>#REF!</v>
      </c>
      <c r="F38" s="25"/>
      <c r="G38" s="25">
        <f t="shared" si="21"/>
        <v>63</v>
      </c>
      <c r="H38" s="25" t="e">
        <f t="shared" si="22"/>
        <v>#REF!</v>
      </c>
      <c r="I38" s="27" t="e">
        <f t="shared" si="23"/>
        <v>#REF!</v>
      </c>
      <c r="J38" s="25"/>
      <c r="K38" s="25">
        <f t="shared" si="24"/>
        <v>151</v>
      </c>
      <c r="L38" s="25" t="e">
        <f t="shared" si="25"/>
        <v>#REF!</v>
      </c>
      <c r="M38" s="27" t="e">
        <f t="shared" si="26"/>
        <v>#REF!</v>
      </c>
      <c r="N38" s="27"/>
      <c r="O38" s="26" t="str">
        <f t="shared" si="27"/>
        <v>Western</v>
      </c>
      <c r="P38" s="26" t="e">
        <f t="shared" si="28"/>
        <v>#REF!</v>
      </c>
      <c r="Q38" s="27" t="e">
        <f t="shared" si="29"/>
        <v>#VALUE!</v>
      </c>
      <c r="R38" s="27"/>
      <c r="S38" s="26">
        <f t="shared" si="30"/>
        <v>114</v>
      </c>
      <c r="T38" s="26" t="e">
        <f t="shared" si="31"/>
        <v>#REF!</v>
      </c>
      <c r="U38" s="27" t="e">
        <f t="shared" si="32"/>
        <v>#REF!</v>
      </c>
      <c r="V38" s="27"/>
      <c r="W38" s="26">
        <f t="shared" si="33"/>
        <v>60</v>
      </c>
      <c r="X38" s="26" t="e">
        <f t="shared" si="34"/>
        <v>#REF!</v>
      </c>
      <c r="Y38" s="27" t="e">
        <f t="shared" si="35"/>
        <v>#REF!</v>
      </c>
    </row>
    <row r="39" spans="1:25" ht="16.5" customHeight="1" x14ac:dyDescent="0.25">
      <c r="A39" s="16" t="s">
        <v>94</v>
      </c>
      <c r="B39" s="16" t="s">
        <v>95</v>
      </c>
      <c r="C39" s="25">
        <f t="shared" si="18"/>
        <v>305</v>
      </c>
      <c r="D39" s="25" t="e">
        <f t="shared" si="19"/>
        <v>#REF!</v>
      </c>
      <c r="E39" s="27" t="e">
        <f t="shared" si="20"/>
        <v>#REF!</v>
      </c>
      <c r="F39" s="25"/>
      <c r="G39" s="25">
        <f t="shared" si="21"/>
        <v>230</v>
      </c>
      <c r="H39" s="25" t="e">
        <f t="shared" si="22"/>
        <v>#REF!</v>
      </c>
      <c r="I39" s="27" t="e">
        <f t="shared" si="23"/>
        <v>#REF!</v>
      </c>
      <c r="J39" s="25"/>
      <c r="K39" s="25">
        <f t="shared" si="24"/>
        <v>369</v>
      </c>
      <c r="L39" s="25" t="e">
        <f t="shared" si="25"/>
        <v>#REF!</v>
      </c>
      <c r="M39" s="27" t="e">
        <f t="shared" si="26"/>
        <v>#REF!</v>
      </c>
      <c r="N39" s="27"/>
      <c r="O39" s="26" t="str">
        <f t="shared" si="27"/>
        <v>Eastern</v>
      </c>
      <c r="P39" s="26" t="e">
        <f t="shared" si="28"/>
        <v>#REF!</v>
      </c>
      <c r="Q39" s="27" t="e">
        <f t="shared" si="29"/>
        <v>#VALUE!</v>
      </c>
      <c r="R39" s="27"/>
      <c r="S39" s="26">
        <f t="shared" si="30"/>
        <v>345</v>
      </c>
      <c r="T39" s="26" t="e">
        <f t="shared" si="31"/>
        <v>#REF!</v>
      </c>
      <c r="U39" s="27" t="e">
        <f t="shared" si="32"/>
        <v>#REF!</v>
      </c>
      <c r="V39" s="27"/>
      <c r="W39" s="26">
        <f t="shared" si="33"/>
        <v>190</v>
      </c>
      <c r="X39" s="26" t="e">
        <f t="shared" si="34"/>
        <v>#REF!</v>
      </c>
      <c r="Y39" s="27" t="e">
        <f t="shared" si="35"/>
        <v>#REF!</v>
      </c>
    </row>
    <row r="40" spans="1:25" ht="16.5" customHeight="1" x14ac:dyDescent="0.25">
      <c r="A40" s="16" t="s">
        <v>96</v>
      </c>
      <c r="B40" s="16" t="s">
        <v>97</v>
      </c>
      <c r="C40" s="25">
        <f t="shared" si="18"/>
        <v>78</v>
      </c>
      <c r="D40" s="25" t="e">
        <f t="shared" si="19"/>
        <v>#REF!</v>
      </c>
      <c r="E40" s="27" t="e">
        <f t="shared" si="20"/>
        <v>#REF!</v>
      </c>
      <c r="F40" s="25"/>
      <c r="G40" s="25">
        <f t="shared" si="21"/>
        <v>49</v>
      </c>
      <c r="H40" s="25" t="e">
        <f t="shared" si="22"/>
        <v>#REF!</v>
      </c>
      <c r="I40" s="27" t="e">
        <f t="shared" si="23"/>
        <v>#REF!</v>
      </c>
      <c r="J40" s="25"/>
      <c r="K40" s="25">
        <f t="shared" si="24"/>
        <v>88</v>
      </c>
      <c r="L40" s="25" t="e">
        <f t="shared" si="25"/>
        <v>#REF!</v>
      </c>
      <c r="M40" s="27" t="e">
        <f t="shared" si="26"/>
        <v>#REF!</v>
      </c>
      <c r="N40" s="27"/>
      <c r="O40" s="26" t="str">
        <f t="shared" si="27"/>
        <v>Central</v>
      </c>
      <c r="P40" s="26" t="e">
        <f t="shared" si="28"/>
        <v>#REF!</v>
      </c>
      <c r="Q40" s="27" t="e">
        <f t="shared" si="29"/>
        <v>#VALUE!</v>
      </c>
      <c r="R40" s="27"/>
      <c r="S40" s="26">
        <f t="shared" si="30"/>
        <v>77</v>
      </c>
      <c r="T40" s="26" t="e">
        <f t="shared" si="31"/>
        <v>#REF!</v>
      </c>
      <c r="U40" s="27" t="e">
        <f t="shared" si="32"/>
        <v>#REF!</v>
      </c>
      <c r="V40" s="27"/>
      <c r="W40" s="26">
        <f t="shared" si="33"/>
        <v>50</v>
      </c>
      <c r="X40" s="26" t="e">
        <f t="shared" si="34"/>
        <v>#REF!</v>
      </c>
      <c r="Y40" s="27" t="e">
        <f t="shared" si="35"/>
        <v>#REF!</v>
      </c>
    </row>
    <row r="41" spans="1:25" ht="16.5" customHeight="1" x14ac:dyDescent="0.25">
      <c r="A41" s="16" t="s">
        <v>98</v>
      </c>
      <c r="B41" s="16" t="s">
        <v>99</v>
      </c>
      <c r="C41" s="25">
        <f t="shared" si="18"/>
        <v>105</v>
      </c>
      <c r="D41" s="25" t="e">
        <f t="shared" si="19"/>
        <v>#REF!</v>
      </c>
      <c r="E41" s="27" t="e">
        <f t="shared" si="20"/>
        <v>#REF!</v>
      </c>
      <c r="F41" s="25"/>
      <c r="G41" s="25">
        <f t="shared" si="21"/>
        <v>91</v>
      </c>
      <c r="H41" s="25" t="e">
        <f t="shared" si="22"/>
        <v>#REF!</v>
      </c>
      <c r="I41" s="27" t="e">
        <f t="shared" si="23"/>
        <v>#REF!</v>
      </c>
      <c r="J41" s="25"/>
      <c r="K41" s="25">
        <f t="shared" si="24"/>
        <v>165</v>
      </c>
      <c r="L41" s="25" t="e">
        <f t="shared" si="25"/>
        <v>#REF!</v>
      </c>
      <c r="M41" s="27" t="e">
        <f t="shared" si="26"/>
        <v>#REF!</v>
      </c>
      <c r="N41" s="27"/>
      <c r="O41" s="26" t="str">
        <f t="shared" si="27"/>
        <v>Western</v>
      </c>
      <c r="P41" s="26" t="e">
        <f t="shared" si="28"/>
        <v>#REF!</v>
      </c>
      <c r="Q41" s="27" t="e">
        <f t="shared" si="29"/>
        <v>#VALUE!</v>
      </c>
      <c r="R41" s="27"/>
      <c r="S41" s="26">
        <f t="shared" si="30"/>
        <v>127</v>
      </c>
      <c r="T41" s="26" t="e">
        <f t="shared" si="31"/>
        <v>#REF!</v>
      </c>
      <c r="U41" s="27" t="e">
        <f t="shared" si="32"/>
        <v>#REF!</v>
      </c>
      <c r="V41" s="27"/>
      <c r="W41" s="26">
        <f t="shared" si="33"/>
        <v>68</v>
      </c>
      <c r="X41" s="26" t="e">
        <f t="shared" si="34"/>
        <v>#REF!</v>
      </c>
      <c r="Y41" s="27" t="e">
        <f t="shared" si="35"/>
        <v>#REF!</v>
      </c>
    </row>
    <row r="42" spans="1:25" ht="16.5" customHeight="1" x14ac:dyDescent="0.25">
      <c r="A42" s="16" t="s">
        <v>100</v>
      </c>
      <c r="B42" s="16" t="s">
        <v>101</v>
      </c>
      <c r="C42" s="25">
        <f t="shared" si="18"/>
        <v>132</v>
      </c>
      <c r="D42" s="25" t="e">
        <f t="shared" si="19"/>
        <v>#REF!</v>
      </c>
      <c r="E42" s="27" t="e">
        <f t="shared" si="20"/>
        <v>#REF!</v>
      </c>
      <c r="F42" s="25"/>
      <c r="G42" s="25">
        <f t="shared" si="21"/>
        <v>114</v>
      </c>
      <c r="H42" s="25" t="e">
        <f t="shared" si="22"/>
        <v>#REF!</v>
      </c>
      <c r="I42" s="27" t="e">
        <f t="shared" si="23"/>
        <v>#REF!</v>
      </c>
      <c r="J42" s="25"/>
      <c r="K42" s="25">
        <f t="shared" si="24"/>
        <v>153</v>
      </c>
      <c r="L42" s="25" t="e">
        <f t="shared" si="25"/>
        <v>#REF!</v>
      </c>
      <c r="M42" s="27" t="e">
        <f t="shared" si="26"/>
        <v>#REF!</v>
      </c>
      <c r="N42" s="27"/>
      <c r="O42" s="26" t="str">
        <f t="shared" si="27"/>
        <v>Northern</v>
      </c>
      <c r="P42" s="26" t="e">
        <f t="shared" si="28"/>
        <v>#REF!</v>
      </c>
      <c r="Q42" s="27" t="e">
        <f t="shared" si="29"/>
        <v>#VALUE!</v>
      </c>
      <c r="R42" s="27"/>
      <c r="S42" s="26">
        <f t="shared" si="30"/>
        <v>159</v>
      </c>
      <c r="T42" s="26" t="e">
        <f t="shared" si="31"/>
        <v>#REF!</v>
      </c>
      <c r="U42" s="27" t="e">
        <f t="shared" si="32"/>
        <v>#REF!</v>
      </c>
      <c r="V42" s="27"/>
      <c r="W42" s="26">
        <f t="shared" si="33"/>
        <v>87</v>
      </c>
      <c r="X42" s="26" t="e">
        <f t="shared" si="34"/>
        <v>#REF!</v>
      </c>
      <c r="Y42" s="27" t="e">
        <f t="shared" si="35"/>
        <v>#REF!</v>
      </c>
    </row>
    <row r="43" spans="1:25" ht="16.5" customHeight="1" x14ac:dyDescent="0.25">
      <c r="A43" s="16" t="s">
        <v>102</v>
      </c>
      <c r="B43" s="16" t="s">
        <v>103</v>
      </c>
      <c r="C43" s="25">
        <f t="shared" si="18"/>
        <v>417</v>
      </c>
      <c r="D43" s="25" t="e">
        <f t="shared" si="19"/>
        <v>#REF!</v>
      </c>
      <c r="E43" s="27" t="e">
        <f t="shared" si="20"/>
        <v>#REF!</v>
      </c>
      <c r="F43" s="25"/>
      <c r="G43" s="25">
        <f t="shared" si="21"/>
        <v>290</v>
      </c>
      <c r="H43" s="25" t="e">
        <f t="shared" si="22"/>
        <v>#REF!</v>
      </c>
      <c r="I43" s="27" t="e">
        <f t="shared" si="23"/>
        <v>#REF!</v>
      </c>
      <c r="J43" s="25"/>
      <c r="K43" s="25">
        <f t="shared" si="24"/>
        <v>38</v>
      </c>
      <c r="L43" s="25" t="e">
        <f t="shared" si="25"/>
        <v>#REF!</v>
      </c>
      <c r="M43" s="27" t="e">
        <f t="shared" si="26"/>
        <v>#REF!</v>
      </c>
      <c r="N43" s="27"/>
      <c r="O43" s="26" t="str">
        <f t="shared" si="27"/>
        <v>Eastern</v>
      </c>
      <c r="P43" s="26" t="e">
        <f t="shared" si="28"/>
        <v>#REF!</v>
      </c>
      <c r="Q43" s="27" t="e">
        <f t="shared" si="29"/>
        <v>#VALUE!</v>
      </c>
      <c r="R43" s="27"/>
      <c r="S43" s="26">
        <f t="shared" si="30"/>
        <v>452</v>
      </c>
      <c r="T43" s="26" t="e">
        <f t="shared" si="31"/>
        <v>#REF!</v>
      </c>
      <c r="U43" s="27" t="e">
        <f t="shared" si="32"/>
        <v>#REF!</v>
      </c>
      <c r="V43" s="27"/>
      <c r="W43" s="26">
        <f t="shared" si="33"/>
        <v>251</v>
      </c>
      <c r="X43" s="26" t="e">
        <f t="shared" si="34"/>
        <v>#REF!</v>
      </c>
      <c r="Y43" s="27" t="e">
        <f t="shared" si="35"/>
        <v>#REF!</v>
      </c>
    </row>
    <row r="44" spans="1:25" ht="16.5" customHeight="1" x14ac:dyDescent="0.25">
      <c r="A44" s="16" t="s">
        <v>104</v>
      </c>
      <c r="B44" s="16" t="s">
        <v>309</v>
      </c>
      <c r="C44" s="25">
        <f t="shared" si="18"/>
        <v>520</v>
      </c>
      <c r="D44" s="25" t="e">
        <f t="shared" si="19"/>
        <v>#REF!</v>
      </c>
      <c r="E44" s="27" t="e">
        <f t="shared" si="20"/>
        <v>#REF!</v>
      </c>
      <c r="F44" s="25"/>
      <c r="G44" s="25">
        <f t="shared" si="21"/>
        <v>323</v>
      </c>
      <c r="H44" s="25" t="e">
        <f t="shared" si="22"/>
        <v>#REF!</v>
      </c>
      <c r="I44" s="27" t="e">
        <f t="shared" si="23"/>
        <v>#REF!</v>
      </c>
      <c r="J44" s="25"/>
      <c r="K44" s="25">
        <f t="shared" si="24"/>
        <v>221</v>
      </c>
      <c r="L44" s="25" t="e">
        <f t="shared" si="25"/>
        <v>#REF!</v>
      </c>
      <c r="M44" s="27" t="e">
        <f t="shared" si="26"/>
        <v>#REF!</v>
      </c>
      <c r="N44" s="27"/>
      <c r="O44" s="26" t="str">
        <f t="shared" si="27"/>
        <v>Piedmont</v>
      </c>
      <c r="P44" s="26" t="e">
        <f t="shared" si="28"/>
        <v>#REF!</v>
      </c>
      <c r="Q44" s="27" t="e">
        <f t="shared" si="29"/>
        <v>#VALUE!</v>
      </c>
      <c r="R44" s="27"/>
      <c r="S44" s="26">
        <f t="shared" si="30"/>
        <v>544</v>
      </c>
      <c r="T44" s="26" t="e">
        <f t="shared" si="31"/>
        <v>#REF!</v>
      </c>
      <c r="U44" s="27" t="e">
        <f t="shared" si="32"/>
        <v>#REF!</v>
      </c>
      <c r="V44" s="27"/>
      <c r="W44" s="26">
        <f t="shared" si="33"/>
        <v>297</v>
      </c>
      <c r="X44" s="26" t="e">
        <f t="shared" si="34"/>
        <v>#REF!</v>
      </c>
      <c r="Y44" s="27" t="e">
        <f t="shared" si="35"/>
        <v>#REF!</v>
      </c>
    </row>
    <row r="45" spans="1:25" ht="16.5" customHeight="1" x14ac:dyDescent="0.25">
      <c r="A45" s="16" t="s">
        <v>108</v>
      </c>
      <c r="B45" s="16" t="s">
        <v>109</v>
      </c>
      <c r="C45" s="25">
        <f t="shared" si="18"/>
        <v>326</v>
      </c>
      <c r="D45" s="25" t="e">
        <f t="shared" si="19"/>
        <v>#REF!</v>
      </c>
      <c r="E45" s="27" t="e">
        <f t="shared" si="20"/>
        <v>#REF!</v>
      </c>
      <c r="F45" s="25"/>
      <c r="G45" s="25">
        <f t="shared" si="21"/>
        <v>239</v>
      </c>
      <c r="H45" s="25" t="e">
        <f t="shared" si="22"/>
        <v>#REF!</v>
      </c>
      <c r="I45" s="27" t="e">
        <f t="shared" si="23"/>
        <v>#REF!</v>
      </c>
      <c r="J45" s="25"/>
      <c r="K45" s="25">
        <f t="shared" si="24"/>
        <v>269</v>
      </c>
      <c r="L45" s="25" t="e">
        <f t="shared" si="25"/>
        <v>#REF!</v>
      </c>
      <c r="M45" s="27" t="e">
        <f t="shared" si="26"/>
        <v>#REF!</v>
      </c>
      <c r="N45" s="27"/>
      <c r="O45" s="26" t="str">
        <f t="shared" si="27"/>
        <v>Central</v>
      </c>
      <c r="P45" s="26" t="e">
        <f t="shared" si="28"/>
        <v>#REF!</v>
      </c>
      <c r="Q45" s="27" t="e">
        <f t="shared" si="29"/>
        <v>#VALUE!</v>
      </c>
      <c r="R45" s="27"/>
      <c r="S45" s="26">
        <f t="shared" si="30"/>
        <v>357</v>
      </c>
      <c r="T45" s="26" t="e">
        <f t="shared" si="31"/>
        <v>#REF!</v>
      </c>
      <c r="U45" s="27" t="e">
        <f t="shared" si="32"/>
        <v>#REF!</v>
      </c>
      <c r="V45" s="27"/>
      <c r="W45" s="26">
        <f t="shared" si="33"/>
        <v>207</v>
      </c>
      <c r="X45" s="26" t="e">
        <f t="shared" si="34"/>
        <v>#REF!</v>
      </c>
      <c r="Y45" s="27" t="e">
        <f t="shared" si="35"/>
        <v>#REF!</v>
      </c>
    </row>
    <row r="46" spans="1:25" ht="16.5" customHeight="1" x14ac:dyDescent="0.25">
      <c r="A46" s="16" t="s">
        <v>110</v>
      </c>
      <c r="B46" s="16" t="s">
        <v>111</v>
      </c>
      <c r="C46" s="25">
        <f t="shared" si="18"/>
        <v>3424</v>
      </c>
      <c r="D46" s="25" t="e">
        <f t="shared" si="19"/>
        <v>#REF!</v>
      </c>
      <c r="E46" s="27" t="e">
        <f t="shared" si="20"/>
        <v>#REF!</v>
      </c>
      <c r="F46" s="25"/>
      <c r="G46" s="25">
        <f t="shared" si="21"/>
        <v>2058</v>
      </c>
      <c r="H46" s="25" t="e">
        <f t="shared" si="22"/>
        <v>#REF!</v>
      </c>
      <c r="I46" s="27" t="e">
        <f t="shared" si="23"/>
        <v>#REF!</v>
      </c>
      <c r="J46" s="25"/>
      <c r="K46" s="25">
        <f t="shared" si="24"/>
        <v>939</v>
      </c>
      <c r="L46" s="25" t="e">
        <f t="shared" si="25"/>
        <v>#REF!</v>
      </c>
      <c r="M46" s="27" t="e">
        <f t="shared" si="26"/>
        <v>#REF!</v>
      </c>
      <c r="N46" s="27"/>
      <c r="O46" s="26" t="str">
        <f t="shared" si="27"/>
        <v>Central</v>
      </c>
      <c r="P46" s="26" t="e">
        <f t="shared" si="28"/>
        <v>#REF!</v>
      </c>
      <c r="Q46" s="27" t="e">
        <f t="shared" si="29"/>
        <v>#VALUE!</v>
      </c>
      <c r="R46" s="27"/>
      <c r="S46" s="26">
        <f t="shared" si="30"/>
        <v>3513</v>
      </c>
      <c r="T46" s="26" t="e">
        <f t="shared" si="31"/>
        <v>#REF!</v>
      </c>
      <c r="U46" s="27" t="e">
        <f t="shared" si="32"/>
        <v>#REF!</v>
      </c>
      <c r="V46" s="27"/>
      <c r="W46" s="26">
        <f t="shared" si="33"/>
        <v>1961</v>
      </c>
      <c r="X46" s="26" t="e">
        <f t="shared" si="34"/>
        <v>#REF!</v>
      </c>
      <c r="Y46" s="27" t="e">
        <f t="shared" si="35"/>
        <v>#REF!</v>
      </c>
    </row>
    <row r="47" spans="1:25" ht="16.5" customHeight="1" x14ac:dyDescent="0.25">
      <c r="A47" s="16" t="s">
        <v>112</v>
      </c>
      <c r="B47" s="16" t="s">
        <v>300</v>
      </c>
      <c r="C47" s="25">
        <f t="shared" si="18"/>
        <v>1180</v>
      </c>
      <c r="D47" s="25" t="e">
        <f t="shared" si="19"/>
        <v>#REF!</v>
      </c>
      <c r="E47" s="27" t="e">
        <f t="shared" si="20"/>
        <v>#REF!</v>
      </c>
      <c r="F47" s="25"/>
      <c r="G47" s="25">
        <f t="shared" si="21"/>
        <v>789</v>
      </c>
      <c r="H47" s="25" t="e">
        <f t="shared" si="22"/>
        <v>#REF!</v>
      </c>
      <c r="I47" s="27" t="e">
        <f t="shared" si="23"/>
        <v>#REF!</v>
      </c>
      <c r="J47" s="25"/>
      <c r="K47" s="25">
        <f t="shared" si="24"/>
        <v>759</v>
      </c>
      <c r="L47" s="25" t="e">
        <f t="shared" si="25"/>
        <v>#REF!</v>
      </c>
      <c r="M47" s="27" t="e">
        <f t="shared" si="26"/>
        <v>#REF!</v>
      </c>
      <c r="N47" s="27"/>
      <c r="O47" s="26" t="str">
        <f t="shared" si="27"/>
        <v>Piedmont</v>
      </c>
      <c r="P47" s="26" t="e">
        <f t="shared" si="28"/>
        <v>#REF!</v>
      </c>
      <c r="Q47" s="27" t="e">
        <f t="shared" si="29"/>
        <v>#VALUE!</v>
      </c>
      <c r="R47" s="27"/>
      <c r="S47" s="26">
        <f t="shared" si="30"/>
        <v>1299</v>
      </c>
      <c r="T47" s="26" t="e">
        <f t="shared" si="31"/>
        <v>#REF!</v>
      </c>
      <c r="U47" s="27" t="e">
        <f t="shared" si="32"/>
        <v>#REF!</v>
      </c>
      <c r="V47" s="27"/>
      <c r="W47" s="26">
        <f t="shared" si="33"/>
        <v>670</v>
      </c>
      <c r="X47" s="26" t="e">
        <f t="shared" si="34"/>
        <v>#REF!</v>
      </c>
      <c r="Y47" s="27" t="e">
        <f t="shared" si="35"/>
        <v>#REF!</v>
      </c>
    </row>
    <row r="48" spans="1:25" ht="16.5" customHeight="1" x14ac:dyDescent="0.25">
      <c r="A48" s="16" t="s">
        <v>114</v>
      </c>
      <c r="B48" s="16" t="s">
        <v>115</v>
      </c>
      <c r="C48" s="25">
        <f t="shared" si="18"/>
        <v>6</v>
      </c>
      <c r="D48" s="25" t="e">
        <f t="shared" si="19"/>
        <v>#REF!</v>
      </c>
      <c r="E48" s="27" t="e">
        <f t="shared" si="20"/>
        <v>#REF!</v>
      </c>
      <c r="F48" s="25"/>
      <c r="G48" s="25">
        <f t="shared" si="21"/>
        <v>4</v>
      </c>
      <c r="H48" s="25" t="e">
        <f t="shared" si="22"/>
        <v>#REF!</v>
      </c>
      <c r="I48" s="27" t="e">
        <f t="shared" si="23"/>
        <v>#REF!</v>
      </c>
      <c r="J48" s="25"/>
      <c r="K48" s="25">
        <f t="shared" si="24"/>
        <v>4</v>
      </c>
      <c r="L48" s="25" t="e">
        <f t="shared" si="25"/>
        <v>#REF!</v>
      </c>
      <c r="M48" s="27" t="e">
        <f t="shared" si="26"/>
        <v>#REF!</v>
      </c>
      <c r="N48" s="27"/>
      <c r="O48" s="26" t="str">
        <f t="shared" si="27"/>
        <v>Piedmont</v>
      </c>
      <c r="P48" s="26" t="e">
        <f t="shared" si="28"/>
        <v>#REF!</v>
      </c>
      <c r="Q48" s="27" t="e">
        <f t="shared" si="29"/>
        <v>#VALUE!</v>
      </c>
      <c r="R48" s="27"/>
      <c r="S48" s="26">
        <f t="shared" si="30"/>
        <v>7</v>
      </c>
      <c r="T48" s="26" t="e">
        <f t="shared" si="31"/>
        <v>#REF!</v>
      </c>
      <c r="U48" s="27" t="e">
        <f t="shared" si="32"/>
        <v>#REF!</v>
      </c>
      <c r="V48" s="27"/>
      <c r="W48" s="26">
        <f t="shared" si="33"/>
        <v>3</v>
      </c>
      <c r="X48" s="26" t="e">
        <f t="shared" si="34"/>
        <v>#REF!</v>
      </c>
      <c r="Y48" s="27" t="e">
        <f t="shared" si="35"/>
        <v>#REF!</v>
      </c>
    </row>
    <row r="49" spans="1:25" ht="16.5" customHeight="1" x14ac:dyDescent="0.25">
      <c r="A49" s="16" t="s">
        <v>118</v>
      </c>
      <c r="B49" s="16" t="s">
        <v>119</v>
      </c>
      <c r="C49" s="25">
        <f t="shared" si="18"/>
        <v>279</v>
      </c>
      <c r="D49" s="25" t="e">
        <f t="shared" si="19"/>
        <v>#REF!</v>
      </c>
      <c r="E49" s="27" t="e">
        <f t="shared" si="20"/>
        <v>#REF!</v>
      </c>
      <c r="F49" s="25"/>
      <c r="G49" s="25">
        <f t="shared" si="21"/>
        <v>185</v>
      </c>
      <c r="H49" s="25" t="e">
        <f t="shared" si="22"/>
        <v>#REF!</v>
      </c>
      <c r="I49" s="27" t="e">
        <f t="shared" si="23"/>
        <v>#REF!</v>
      </c>
      <c r="J49" s="25"/>
      <c r="K49" s="25">
        <f t="shared" si="24"/>
        <v>162</v>
      </c>
      <c r="L49" s="25" t="e">
        <f t="shared" si="25"/>
        <v>#REF!</v>
      </c>
      <c r="M49" s="27" t="e">
        <f t="shared" si="26"/>
        <v>#REF!</v>
      </c>
      <c r="N49" s="27"/>
      <c r="O49" s="26" t="str">
        <f t="shared" si="27"/>
        <v>Eastern</v>
      </c>
      <c r="P49" s="26" t="e">
        <f t="shared" si="28"/>
        <v>#REF!</v>
      </c>
      <c r="Q49" s="27" t="e">
        <f t="shared" si="29"/>
        <v>#VALUE!</v>
      </c>
      <c r="R49" s="27"/>
      <c r="S49" s="26">
        <f t="shared" si="30"/>
        <v>302</v>
      </c>
      <c r="T49" s="26" t="e">
        <f t="shared" si="31"/>
        <v>#REF!</v>
      </c>
      <c r="U49" s="27" t="e">
        <f t="shared" si="32"/>
        <v>#REF!</v>
      </c>
      <c r="V49" s="27"/>
      <c r="W49" s="26">
        <f t="shared" si="33"/>
        <v>162</v>
      </c>
      <c r="X49" s="26" t="e">
        <f t="shared" si="34"/>
        <v>#REF!</v>
      </c>
      <c r="Y49" s="27" t="e">
        <f t="shared" si="35"/>
        <v>#REF!</v>
      </c>
    </row>
    <row r="50" spans="1:25" ht="16.5" customHeight="1" x14ac:dyDescent="0.25">
      <c r="A50" s="16" t="s">
        <v>120</v>
      </c>
      <c r="B50" s="16" t="s">
        <v>121</v>
      </c>
      <c r="C50" s="25">
        <f t="shared" si="18"/>
        <v>454</v>
      </c>
      <c r="D50" s="25" t="e">
        <f t="shared" si="19"/>
        <v>#REF!</v>
      </c>
      <c r="E50" s="27" t="e">
        <f t="shared" si="20"/>
        <v>#REF!</v>
      </c>
      <c r="F50" s="25"/>
      <c r="G50" s="25">
        <f t="shared" si="21"/>
        <v>246</v>
      </c>
      <c r="H50" s="25" t="e">
        <f t="shared" si="22"/>
        <v>#REF!</v>
      </c>
      <c r="I50" s="27" t="e">
        <f t="shared" si="23"/>
        <v>#REF!</v>
      </c>
      <c r="J50" s="25"/>
      <c r="K50" s="25">
        <f t="shared" si="24"/>
        <v>255</v>
      </c>
      <c r="L50" s="25" t="e">
        <f t="shared" si="25"/>
        <v>#REF!</v>
      </c>
      <c r="M50" s="27" t="e">
        <f t="shared" si="26"/>
        <v>#REF!</v>
      </c>
      <c r="N50" s="27"/>
      <c r="O50" s="26" t="str">
        <f t="shared" si="27"/>
        <v>Eastern</v>
      </c>
      <c r="P50" s="26" t="e">
        <f t="shared" si="28"/>
        <v>#REF!</v>
      </c>
      <c r="Q50" s="27" t="e">
        <f t="shared" si="29"/>
        <v>#VALUE!</v>
      </c>
      <c r="R50" s="27"/>
      <c r="S50" s="26">
        <f t="shared" si="30"/>
        <v>439</v>
      </c>
      <c r="T50" s="26" t="e">
        <f t="shared" si="31"/>
        <v>#REF!</v>
      </c>
      <c r="U50" s="27" t="e">
        <f t="shared" si="32"/>
        <v>#REF!</v>
      </c>
      <c r="V50" s="27"/>
      <c r="W50" s="26">
        <f t="shared" si="33"/>
        <v>261</v>
      </c>
      <c r="X50" s="26" t="e">
        <f t="shared" si="34"/>
        <v>#REF!</v>
      </c>
      <c r="Y50" s="27" t="e">
        <f t="shared" si="35"/>
        <v>#REF!</v>
      </c>
    </row>
    <row r="51" spans="1:25" ht="16.5" customHeight="1" x14ac:dyDescent="0.25">
      <c r="A51" s="16" t="s">
        <v>122</v>
      </c>
      <c r="B51" s="16" t="s">
        <v>271</v>
      </c>
      <c r="C51" s="25">
        <f t="shared" si="18"/>
        <v>109</v>
      </c>
      <c r="D51" s="25" t="e">
        <f t="shared" si="19"/>
        <v>#REF!</v>
      </c>
      <c r="E51" s="27" t="e">
        <f t="shared" si="20"/>
        <v>#REF!</v>
      </c>
      <c r="F51" s="25"/>
      <c r="G51" s="25">
        <f t="shared" si="21"/>
        <v>71</v>
      </c>
      <c r="H51" s="25" t="e">
        <f t="shared" si="22"/>
        <v>#REF!</v>
      </c>
      <c r="I51" s="27" t="e">
        <f t="shared" si="23"/>
        <v>#REF!</v>
      </c>
      <c r="J51" s="25"/>
      <c r="K51" s="25">
        <f t="shared" si="24"/>
        <v>82</v>
      </c>
      <c r="L51" s="25" t="e">
        <f t="shared" si="25"/>
        <v>#REF!</v>
      </c>
      <c r="M51" s="27" t="e">
        <f t="shared" si="26"/>
        <v>#REF!</v>
      </c>
      <c r="N51" s="27"/>
      <c r="O51" s="26" t="str">
        <f t="shared" si="27"/>
        <v>Central</v>
      </c>
      <c r="P51" s="26" t="e">
        <f t="shared" si="28"/>
        <v>#REF!</v>
      </c>
      <c r="Q51" s="27" t="e">
        <f t="shared" si="29"/>
        <v>#VALUE!</v>
      </c>
      <c r="R51" s="27"/>
      <c r="S51" s="26">
        <f t="shared" si="30"/>
        <v>114</v>
      </c>
      <c r="T51" s="26" t="e">
        <f t="shared" si="31"/>
        <v>#REF!</v>
      </c>
      <c r="U51" s="27" t="e">
        <f t="shared" si="32"/>
        <v>#REF!</v>
      </c>
      <c r="V51" s="27"/>
      <c r="W51" s="26">
        <f t="shared" si="33"/>
        <v>66</v>
      </c>
      <c r="X51" s="26" t="e">
        <f t="shared" si="34"/>
        <v>#REF!</v>
      </c>
      <c r="Y51" s="27" t="e">
        <f t="shared" si="35"/>
        <v>#REF!</v>
      </c>
    </row>
    <row r="52" spans="1:25" ht="16.5" customHeight="1" x14ac:dyDescent="0.25">
      <c r="A52" s="16" t="s">
        <v>124</v>
      </c>
      <c r="B52" s="16" t="s">
        <v>125</v>
      </c>
      <c r="C52" s="25">
        <f t="shared" si="18"/>
        <v>163</v>
      </c>
      <c r="D52" s="25" t="e">
        <f t="shared" si="19"/>
        <v>#REF!</v>
      </c>
      <c r="E52" s="27" t="e">
        <f t="shared" si="20"/>
        <v>#REF!</v>
      </c>
      <c r="F52" s="25"/>
      <c r="G52" s="25">
        <f t="shared" si="21"/>
        <v>95</v>
      </c>
      <c r="H52" s="25" t="e">
        <f t="shared" si="22"/>
        <v>#REF!</v>
      </c>
      <c r="I52" s="27" t="e">
        <f t="shared" si="23"/>
        <v>#REF!</v>
      </c>
      <c r="J52" s="25"/>
      <c r="K52" s="25">
        <f t="shared" si="24"/>
        <v>104</v>
      </c>
      <c r="L52" s="25" t="e">
        <f t="shared" si="25"/>
        <v>#REF!</v>
      </c>
      <c r="M52" s="27" t="e">
        <f t="shared" si="26"/>
        <v>#REF!</v>
      </c>
      <c r="N52" s="27"/>
      <c r="O52" s="26" t="str">
        <f t="shared" si="27"/>
        <v>Northern</v>
      </c>
      <c r="P52" s="26" t="e">
        <f t="shared" si="28"/>
        <v>#REF!</v>
      </c>
      <c r="Q52" s="27" t="e">
        <f t="shared" si="29"/>
        <v>#VALUE!</v>
      </c>
      <c r="R52" s="27"/>
      <c r="S52" s="26">
        <f t="shared" si="30"/>
        <v>175</v>
      </c>
      <c r="T52" s="26" t="e">
        <f t="shared" si="31"/>
        <v>#REF!</v>
      </c>
      <c r="U52" s="27" t="e">
        <f t="shared" si="32"/>
        <v>#REF!</v>
      </c>
      <c r="V52" s="27"/>
      <c r="W52" s="26">
        <f t="shared" si="33"/>
        <v>83</v>
      </c>
      <c r="X52" s="26" t="e">
        <f t="shared" si="34"/>
        <v>#REF!</v>
      </c>
      <c r="Y52" s="27" t="e">
        <f t="shared" si="35"/>
        <v>#REF!</v>
      </c>
    </row>
    <row r="53" spans="1:25" ht="16.5" customHeight="1" x14ac:dyDescent="0.25">
      <c r="A53" s="16" t="s">
        <v>126</v>
      </c>
      <c r="B53" s="16" t="s">
        <v>127</v>
      </c>
      <c r="C53" s="25">
        <f t="shared" si="18"/>
        <v>93</v>
      </c>
      <c r="D53" s="25" t="e">
        <f t="shared" si="19"/>
        <v>#REF!</v>
      </c>
      <c r="E53" s="27" t="e">
        <f t="shared" si="20"/>
        <v>#REF!</v>
      </c>
      <c r="F53" s="25"/>
      <c r="G53" s="25">
        <f t="shared" si="21"/>
        <v>74</v>
      </c>
      <c r="H53" s="25" t="e">
        <f t="shared" si="22"/>
        <v>#REF!</v>
      </c>
      <c r="I53" s="27" t="e">
        <f t="shared" si="23"/>
        <v>#REF!</v>
      </c>
      <c r="J53" s="25"/>
      <c r="K53" s="25">
        <f t="shared" si="24"/>
        <v>78</v>
      </c>
      <c r="L53" s="25" t="e">
        <f t="shared" si="25"/>
        <v>#REF!</v>
      </c>
      <c r="M53" s="27" t="e">
        <f t="shared" si="26"/>
        <v>#REF!</v>
      </c>
      <c r="N53" s="27"/>
      <c r="O53" s="26" t="str">
        <f t="shared" si="27"/>
        <v>Central</v>
      </c>
      <c r="P53" s="26" t="e">
        <f t="shared" si="28"/>
        <v>#REF!</v>
      </c>
      <c r="Q53" s="27" t="e">
        <f t="shared" si="29"/>
        <v>#VALUE!</v>
      </c>
      <c r="R53" s="27"/>
      <c r="S53" s="26">
        <f t="shared" si="30"/>
        <v>108</v>
      </c>
      <c r="T53" s="26" t="e">
        <f t="shared" si="31"/>
        <v>#REF!</v>
      </c>
      <c r="U53" s="27" t="e">
        <f t="shared" si="32"/>
        <v>#REF!</v>
      </c>
      <c r="V53" s="27"/>
      <c r="W53" s="26">
        <f t="shared" si="33"/>
        <v>59</v>
      </c>
      <c r="X53" s="26" t="e">
        <f t="shared" si="34"/>
        <v>#REF!</v>
      </c>
      <c r="Y53" s="27" t="e">
        <f t="shared" si="35"/>
        <v>#REF!</v>
      </c>
    </row>
    <row r="54" spans="1:25" ht="16.5" customHeight="1" x14ac:dyDescent="0.25">
      <c r="A54" s="16" t="s">
        <v>128</v>
      </c>
      <c r="B54" s="16" t="s">
        <v>129</v>
      </c>
      <c r="C54" s="25">
        <f t="shared" si="18"/>
        <v>109</v>
      </c>
      <c r="D54" s="25" t="e">
        <f t="shared" si="19"/>
        <v>#REF!</v>
      </c>
      <c r="E54" s="27" t="e">
        <f t="shared" si="20"/>
        <v>#REF!</v>
      </c>
      <c r="F54" s="25"/>
      <c r="G54" s="25">
        <f t="shared" si="21"/>
        <v>68</v>
      </c>
      <c r="H54" s="25" t="e">
        <f t="shared" si="22"/>
        <v>#REF!</v>
      </c>
      <c r="I54" s="27" t="e">
        <f t="shared" si="23"/>
        <v>#REF!</v>
      </c>
      <c r="J54" s="25"/>
      <c r="K54" s="25">
        <f t="shared" si="24"/>
        <v>53</v>
      </c>
      <c r="L54" s="25" t="e">
        <f t="shared" si="25"/>
        <v>#REF!</v>
      </c>
      <c r="M54" s="27" t="e">
        <f t="shared" si="26"/>
        <v>#REF!</v>
      </c>
      <c r="N54" s="27"/>
      <c r="O54" s="26" t="str">
        <f t="shared" si="27"/>
        <v>Central</v>
      </c>
      <c r="P54" s="26" t="e">
        <f t="shared" si="28"/>
        <v>#REF!</v>
      </c>
      <c r="Q54" s="27" t="e">
        <f t="shared" si="29"/>
        <v>#VALUE!</v>
      </c>
      <c r="R54" s="27"/>
      <c r="S54" s="26">
        <f t="shared" si="30"/>
        <v>118</v>
      </c>
      <c r="T54" s="26" t="e">
        <f t="shared" si="31"/>
        <v>#REF!</v>
      </c>
      <c r="U54" s="27" t="e">
        <f t="shared" si="32"/>
        <v>#REF!</v>
      </c>
      <c r="V54" s="27"/>
      <c r="W54" s="26">
        <f t="shared" si="33"/>
        <v>59</v>
      </c>
      <c r="X54" s="26" t="e">
        <f t="shared" si="34"/>
        <v>#REF!</v>
      </c>
      <c r="Y54" s="27" t="e">
        <f t="shared" si="35"/>
        <v>#REF!</v>
      </c>
    </row>
    <row r="55" spans="1:25" ht="16.5" customHeight="1" x14ac:dyDescent="0.25">
      <c r="A55" s="16" t="s">
        <v>130</v>
      </c>
      <c r="B55" s="16" t="s">
        <v>131</v>
      </c>
      <c r="C55" s="25">
        <f t="shared" si="18"/>
        <v>626</v>
      </c>
      <c r="D55" s="25" t="e">
        <f t="shared" si="19"/>
        <v>#REF!</v>
      </c>
      <c r="E55" s="27" t="e">
        <f t="shared" si="20"/>
        <v>#REF!</v>
      </c>
      <c r="F55" s="25"/>
      <c r="G55" s="25">
        <f t="shared" si="21"/>
        <v>472</v>
      </c>
      <c r="H55" s="25" t="e">
        <f t="shared" si="22"/>
        <v>#REF!</v>
      </c>
      <c r="I55" s="27" t="e">
        <f t="shared" si="23"/>
        <v>#REF!</v>
      </c>
      <c r="J55" s="25"/>
      <c r="K55" s="25">
        <f t="shared" si="24"/>
        <v>1052</v>
      </c>
      <c r="L55" s="25" t="e">
        <f t="shared" si="25"/>
        <v>#REF!</v>
      </c>
      <c r="M55" s="27" t="e">
        <f t="shared" si="26"/>
        <v>#REF!</v>
      </c>
      <c r="N55" s="27"/>
      <c r="O55" s="26" t="str">
        <f t="shared" si="27"/>
        <v>Western</v>
      </c>
      <c r="P55" s="26" t="e">
        <f t="shared" si="28"/>
        <v>#REF!</v>
      </c>
      <c r="Q55" s="27" t="e">
        <f t="shared" si="29"/>
        <v>#VALUE!</v>
      </c>
      <c r="R55" s="27"/>
      <c r="S55" s="26">
        <f t="shared" si="30"/>
        <v>645</v>
      </c>
      <c r="T55" s="26" t="e">
        <f t="shared" si="31"/>
        <v>#REF!</v>
      </c>
      <c r="U55" s="27" t="e">
        <f t="shared" si="32"/>
        <v>#REF!</v>
      </c>
      <c r="V55" s="27"/>
      <c r="W55" s="26">
        <f t="shared" si="33"/>
        <v>449</v>
      </c>
      <c r="X55" s="26" t="e">
        <f t="shared" si="34"/>
        <v>#REF!</v>
      </c>
      <c r="Y55" s="27" t="e">
        <f t="shared" si="35"/>
        <v>#REF!</v>
      </c>
    </row>
    <row r="56" spans="1:25" ht="16.5" customHeight="1" x14ac:dyDescent="0.25">
      <c r="A56" s="16" t="s">
        <v>132</v>
      </c>
      <c r="B56" s="16" t="s">
        <v>133</v>
      </c>
      <c r="C56" s="25">
        <f t="shared" si="18"/>
        <v>743</v>
      </c>
      <c r="D56" s="25" t="e">
        <f t="shared" si="19"/>
        <v>#REF!</v>
      </c>
      <c r="E56" s="27" t="e">
        <f t="shared" si="20"/>
        <v>#REF!</v>
      </c>
      <c r="F56" s="25"/>
      <c r="G56" s="25">
        <f t="shared" si="21"/>
        <v>531</v>
      </c>
      <c r="H56" s="25" t="e">
        <f t="shared" si="22"/>
        <v>#REF!</v>
      </c>
      <c r="I56" s="27" t="e">
        <f t="shared" si="23"/>
        <v>#REF!</v>
      </c>
      <c r="J56" s="25"/>
      <c r="K56" s="25">
        <f t="shared" si="24"/>
        <v>503</v>
      </c>
      <c r="L56" s="25" t="e">
        <f t="shared" si="25"/>
        <v>#REF!</v>
      </c>
      <c r="M56" s="27" t="e">
        <f t="shared" si="26"/>
        <v>#REF!</v>
      </c>
      <c r="N56" s="27"/>
      <c r="O56" s="26" t="str">
        <f t="shared" si="27"/>
        <v>Northern</v>
      </c>
      <c r="P56" s="26" t="e">
        <f t="shared" si="28"/>
        <v>#REF!</v>
      </c>
      <c r="Q56" s="27" t="e">
        <f t="shared" si="29"/>
        <v>#VALUE!</v>
      </c>
      <c r="R56" s="27"/>
      <c r="S56" s="26">
        <f t="shared" si="30"/>
        <v>753</v>
      </c>
      <c r="T56" s="26" t="e">
        <f t="shared" si="31"/>
        <v>#REF!</v>
      </c>
      <c r="U56" s="27" t="e">
        <f t="shared" si="32"/>
        <v>#REF!</v>
      </c>
      <c r="V56" s="27"/>
      <c r="W56" s="26">
        <f t="shared" si="33"/>
        <v>518</v>
      </c>
      <c r="X56" s="26" t="e">
        <f t="shared" si="34"/>
        <v>#REF!</v>
      </c>
      <c r="Y56" s="27" t="e">
        <f t="shared" si="35"/>
        <v>#REF!</v>
      </c>
    </row>
    <row r="57" spans="1:25" ht="16.5" customHeight="1" x14ac:dyDescent="0.25">
      <c r="A57" s="16" t="s">
        <v>134</v>
      </c>
      <c r="B57" s="16" t="s">
        <v>135</v>
      </c>
      <c r="C57" s="25">
        <f t="shared" si="18"/>
        <v>311</v>
      </c>
      <c r="D57" s="25" t="e">
        <f t="shared" si="19"/>
        <v>#REF!</v>
      </c>
      <c r="E57" s="27" t="e">
        <f t="shared" si="20"/>
        <v>#REF!</v>
      </c>
      <c r="F57" s="25"/>
      <c r="G57" s="25">
        <f t="shared" si="21"/>
        <v>175</v>
      </c>
      <c r="H57" s="25" t="e">
        <f t="shared" si="22"/>
        <v>#REF!</v>
      </c>
      <c r="I57" s="27" t="e">
        <f t="shared" si="23"/>
        <v>#REF!</v>
      </c>
      <c r="J57" s="25"/>
      <c r="K57" s="25">
        <f t="shared" si="24"/>
        <v>246</v>
      </c>
      <c r="L57" s="25" t="e">
        <f t="shared" si="25"/>
        <v>#REF!</v>
      </c>
      <c r="M57" s="27" t="e">
        <f t="shared" si="26"/>
        <v>#REF!</v>
      </c>
      <c r="N57" s="27"/>
      <c r="O57" s="26" t="str">
        <f t="shared" si="27"/>
        <v>Northern</v>
      </c>
      <c r="P57" s="26" t="e">
        <f t="shared" si="28"/>
        <v>#REF!</v>
      </c>
      <c r="Q57" s="27" t="e">
        <f t="shared" si="29"/>
        <v>#VALUE!</v>
      </c>
      <c r="R57" s="27"/>
      <c r="S57" s="26">
        <f t="shared" si="30"/>
        <v>312</v>
      </c>
      <c r="T57" s="26" t="e">
        <f t="shared" si="31"/>
        <v>#REF!</v>
      </c>
      <c r="U57" s="27" t="e">
        <f t="shared" si="32"/>
        <v>#REF!</v>
      </c>
      <c r="V57" s="27"/>
      <c r="W57" s="26">
        <f t="shared" si="33"/>
        <v>174</v>
      </c>
      <c r="X57" s="26" t="e">
        <f t="shared" si="34"/>
        <v>#REF!</v>
      </c>
      <c r="Y57" s="27" t="e">
        <f t="shared" si="35"/>
        <v>#REF!</v>
      </c>
    </row>
    <row r="58" spans="1:25" ht="16.5" customHeight="1" x14ac:dyDescent="0.25">
      <c r="A58" s="16" t="s">
        <v>136</v>
      </c>
      <c r="B58" s="16" t="s">
        <v>137</v>
      </c>
      <c r="C58" s="25">
        <f t="shared" si="18"/>
        <v>124</v>
      </c>
      <c r="D58" s="25" t="e">
        <f t="shared" si="19"/>
        <v>#REF!</v>
      </c>
      <c r="E58" s="27" t="e">
        <f t="shared" si="20"/>
        <v>#REF!</v>
      </c>
      <c r="F58" s="25"/>
      <c r="G58" s="25">
        <f t="shared" si="21"/>
        <v>87</v>
      </c>
      <c r="H58" s="25" t="e">
        <f t="shared" si="22"/>
        <v>#REF!</v>
      </c>
      <c r="I58" s="27" t="e">
        <f t="shared" si="23"/>
        <v>#REF!</v>
      </c>
      <c r="J58" s="25"/>
      <c r="K58" s="25">
        <f t="shared" si="24"/>
        <v>55</v>
      </c>
      <c r="L58" s="25" t="e">
        <f t="shared" si="25"/>
        <v>#REF!</v>
      </c>
      <c r="M58" s="27" t="e">
        <f t="shared" si="26"/>
        <v>#REF!</v>
      </c>
      <c r="N58" s="27"/>
      <c r="O58" s="26" t="str">
        <f t="shared" si="27"/>
        <v>Central</v>
      </c>
      <c r="P58" s="26" t="e">
        <f t="shared" si="28"/>
        <v>#REF!</v>
      </c>
      <c r="Q58" s="27" t="e">
        <f t="shared" si="29"/>
        <v>#VALUE!</v>
      </c>
      <c r="R58" s="27"/>
      <c r="S58" s="26">
        <f t="shared" si="30"/>
        <v>134</v>
      </c>
      <c r="T58" s="26" t="e">
        <f t="shared" si="31"/>
        <v>#REF!</v>
      </c>
      <c r="U58" s="27" t="e">
        <f t="shared" si="32"/>
        <v>#REF!</v>
      </c>
      <c r="V58" s="27"/>
      <c r="W58" s="26">
        <f t="shared" si="33"/>
        <v>77</v>
      </c>
      <c r="X58" s="26" t="e">
        <f t="shared" si="34"/>
        <v>#REF!</v>
      </c>
      <c r="Y58" s="27" t="e">
        <f t="shared" si="35"/>
        <v>#REF!</v>
      </c>
    </row>
    <row r="59" spans="1:25" ht="16.5" customHeight="1" x14ac:dyDescent="0.25">
      <c r="A59" s="16" t="s">
        <v>140</v>
      </c>
      <c r="B59" s="16" t="s">
        <v>141</v>
      </c>
      <c r="C59" s="25">
        <f t="shared" si="18"/>
        <v>83</v>
      </c>
      <c r="D59" s="25" t="e">
        <f t="shared" si="19"/>
        <v>#REF!</v>
      </c>
      <c r="E59" s="27" t="e">
        <f t="shared" si="20"/>
        <v>#REF!</v>
      </c>
      <c r="F59" s="25"/>
      <c r="G59" s="25">
        <f t="shared" si="21"/>
        <v>49</v>
      </c>
      <c r="H59" s="25" t="e">
        <f t="shared" si="22"/>
        <v>#REF!</v>
      </c>
      <c r="I59" s="27" t="e">
        <f t="shared" si="23"/>
        <v>#REF!</v>
      </c>
      <c r="J59" s="25"/>
      <c r="K59" s="25">
        <f t="shared" si="24"/>
        <v>91</v>
      </c>
      <c r="L59" s="25" t="e">
        <f t="shared" si="25"/>
        <v>#REF!</v>
      </c>
      <c r="M59" s="27" t="e">
        <f t="shared" si="26"/>
        <v>#REF!</v>
      </c>
      <c r="N59" s="27"/>
      <c r="O59" s="26" t="str">
        <f t="shared" si="27"/>
        <v>Northern</v>
      </c>
      <c r="P59" s="26" t="e">
        <f t="shared" si="28"/>
        <v>#REF!</v>
      </c>
      <c r="Q59" s="27" t="e">
        <f t="shared" si="29"/>
        <v>#VALUE!</v>
      </c>
      <c r="R59" s="27"/>
      <c r="S59" s="26">
        <f t="shared" si="30"/>
        <v>92</v>
      </c>
      <c r="T59" s="26" t="e">
        <f t="shared" si="31"/>
        <v>#REF!</v>
      </c>
      <c r="U59" s="27" t="e">
        <f t="shared" si="32"/>
        <v>#REF!</v>
      </c>
      <c r="V59" s="27"/>
      <c r="W59" s="26">
        <f t="shared" si="33"/>
        <v>40</v>
      </c>
      <c r="X59" s="26" t="e">
        <f t="shared" si="34"/>
        <v>#REF!</v>
      </c>
      <c r="Y59" s="27" t="e">
        <f t="shared" si="35"/>
        <v>#REF!</v>
      </c>
    </row>
    <row r="60" spans="1:25" ht="16.5" customHeight="1" x14ac:dyDescent="0.25">
      <c r="A60" s="16" t="s">
        <v>146</v>
      </c>
      <c r="B60" s="16" t="s">
        <v>147</v>
      </c>
      <c r="C60" s="25">
        <f t="shared" si="18"/>
        <v>47</v>
      </c>
      <c r="D60" s="25" t="e">
        <f t="shared" si="19"/>
        <v>#REF!</v>
      </c>
      <c r="E60" s="27" t="e">
        <f t="shared" si="20"/>
        <v>#REF!</v>
      </c>
      <c r="F60" s="25"/>
      <c r="G60" s="25">
        <f t="shared" si="21"/>
        <v>34</v>
      </c>
      <c r="H60" s="25" t="e">
        <f t="shared" si="22"/>
        <v>#REF!</v>
      </c>
      <c r="I60" s="27" t="e">
        <f t="shared" si="23"/>
        <v>#REF!</v>
      </c>
      <c r="J60" s="25"/>
      <c r="K60" s="25">
        <f t="shared" si="24"/>
        <v>48</v>
      </c>
      <c r="L60" s="25" t="e">
        <f t="shared" si="25"/>
        <v>#REF!</v>
      </c>
      <c r="M60" s="27" t="e">
        <f t="shared" si="26"/>
        <v>#REF!</v>
      </c>
      <c r="N60" s="27"/>
      <c r="O60" s="26" t="str">
        <f t="shared" si="27"/>
        <v>Eastern</v>
      </c>
      <c r="P60" s="26" t="e">
        <f t="shared" si="28"/>
        <v>#REF!</v>
      </c>
      <c r="Q60" s="27" t="e">
        <f t="shared" si="29"/>
        <v>#VALUE!</v>
      </c>
      <c r="R60" s="27"/>
      <c r="S60" s="26">
        <f t="shared" si="30"/>
        <v>52</v>
      </c>
      <c r="T60" s="26" t="e">
        <f t="shared" si="31"/>
        <v>#REF!</v>
      </c>
      <c r="U60" s="27" t="e">
        <f t="shared" si="32"/>
        <v>#REF!</v>
      </c>
      <c r="V60" s="27"/>
      <c r="W60" s="26">
        <f t="shared" si="33"/>
        <v>29</v>
      </c>
      <c r="X60" s="26" t="e">
        <f t="shared" si="34"/>
        <v>#REF!</v>
      </c>
      <c r="Y60" s="27" t="e">
        <f t="shared" si="35"/>
        <v>#REF!</v>
      </c>
    </row>
    <row r="61" spans="1:25" ht="16.5" customHeight="1" x14ac:dyDescent="0.25">
      <c r="A61" s="16" t="s">
        <v>148</v>
      </c>
      <c r="B61" s="16" t="s">
        <v>149</v>
      </c>
      <c r="C61" s="25">
        <f t="shared" si="18"/>
        <v>402</v>
      </c>
      <c r="D61" s="25" t="e">
        <f t="shared" si="19"/>
        <v>#REF!</v>
      </c>
      <c r="E61" s="27" t="e">
        <f t="shared" si="20"/>
        <v>#REF!</v>
      </c>
      <c r="F61" s="25"/>
      <c r="G61" s="25">
        <f t="shared" si="21"/>
        <v>228</v>
      </c>
      <c r="H61" s="25" t="e">
        <f t="shared" si="22"/>
        <v>#REF!</v>
      </c>
      <c r="I61" s="27" t="e">
        <f t="shared" si="23"/>
        <v>#REF!</v>
      </c>
      <c r="J61" s="25"/>
      <c r="K61" s="25">
        <f t="shared" si="24"/>
        <v>160</v>
      </c>
      <c r="L61" s="25" t="e">
        <f t="shared" si="25"/>
        <v>#REF!</v>
      </c>
      <c r="M61" s="27" t="e">
        <f t="shared" si="26"/>
        <v>#REF!</v>
      </c>
      <c r="N61" s="27"/>
      <c r="O61" s="26" t="str">
        <f t="shared" si="27"/>
        <v>Piedmont</v>
      </c>
      <c r="P61" s="26" t="e">
        <f t="shared" si="28"/>
        <v>#REF!</v>
      </c>
      <c r="Q61" s="27" t="e">
        <f t="shared" si="29"/>
        <v>#VALUE!</v>
      </c>
      <c r="R61" s="27"/>
      <c r="S61" s="26">
        <f t="shared" si="30"/>
        <v>427</v>
      </c>
      <c r="T61" s="26" t="e">
        <f t="shared" si="31"/>
        <v>#REF!</v>
      </c>
      <c r="U61" s="27" t="e">
        <f t="shared" si="32"/>
        <v>#REF!</v>
      </c>
      <c r="V61" s="27"/>
      <c r="W61" s="26">
        <f t="shared" si="33"/>
        <v>203</v>
      </c>
      <c r="X61" s="26" t="e">
        <f t="shared" si="34"/>
        <v>#REF!</v>
      </c>
      <c r="Y61" s="27" t="e">
        <f t="shared" si="35"/>
        <v>#REF!</v>
      </c>
    </row>
    <row r="62" spans="1:25" ht="16.5" customHeight="1" x14ac:dyDescent="0.25">
      <c r="A62" s="16" t="s">
        <v>150</v>
      </c>
      <c r="B62" s="16" t="s">
        <v>151</v>
      </c>
      <c r="C62" s="25">
        <f t="shared" si="18"/>
        <v>140</v>
      </c>
      <c r="D62" s="25" t="e">
        <f t="shared" si="19"/>
        <v>#REF!</v>
      </c>
      <c r="E62" s="27" t="e">
        <f t="shared" si="20"/>
        <v>#REF!</v>
      </c>
      <c r="F62" s="25"/>
      <c r="G62" s="25">
        <f t="shared" si="21"/>
        <v>92</v>
      </c>
      <c r="H62" s="25" t="e">
        <f t="shared" si="22"/>
        <v>#REF!</v>
      </c>
      <c r="I62" s="27" t="e">
        <f t="shared" si="23"/>
        <v>#REF!</v>
      </c>
      <c r="J62" s="25"/>
      <c r="K62" s="25">
        <f t="shared" si="24"/>
        <v>146</v>
      </c>
      <c r="L62" s="25" t="e">
        <f t="shared" si="25"/>
        <v>#REF!</v>
      </c>
      <c r="M62" s="27" t="e">
        <f t="shared" si="26"/>
        <v>#REF!</v>
      </c>
      <c r="N62" s="27"/>
      <c r="O62" s="26" t="str">
        <f t="shared" si="27"/>
        <v>Central</v>
      </c>
      <c r="P62" s="26" t="e">
        <f t="shared" si="28"/>
        <v>#REF!</v>
      </c>
      <c r="Q62" s="27" t="e">
        <f t="shared" si="29"/>
        <v>#VALUE!</v>
      </c>
      <c r="R62" s="27"/>
      <c r="S62" s="26">
        <f t="shared" si="30"/>
        <v>129</v>
      </c>
      <c r="T62" s="26" t="e">
        <f t="shared" si="31"/>
        <v>#REF!</v>
      </c>
      <c r="U62" s="27" t="e">
        <f t="shared" si="32"/>
        <v>#REF!</v>
      </c>
      <c r="V62" s="27"/>
      <c r="W62" s="26">
        <f t="shared" si="33"/>
        <v>103</v>
      </c>
      <c r="X62" s="26" t="e">
        <f t="shared" si="34"/>
        <v>#REF!</v>
      </c>
      <c r="Y62" s="27" t="e">
        <f t="shared" si="35"/>
        <v>#REF!</v>
      </c>
    </row>
    <row r="63" spans="1:25" ht="16.5" customHeight="1" x14ac:dyDescent="0.25">
      <c r="A63" s="16" t="s">
        <v>152</v>
      </c>
      <c r="B63" s="16" t="s">
        <v>153</v>
      </c>
      <c r="C63" s="25">
        <f t="shared" si="18"/>
        <v>664</v>
      </c>
      <c r="D63" s="25" t="e">
        <f t="shared" si="19"/>
        <v>#REF!</v>
      </c>
      <c r="E63" s="27" t="e">
        <f t="shared" si="20"/>
        <v>#REF!</v>
      </c>
      <c r="F63" s="25"/>
      <c r="G63" s="25">
        <f t="shared" si="21"/>
        <v>465</v>
      </c>
      <c r="H63" s="25" t="e">
        <f t="shared" si="22"/>
        <v>#REF!</v>
      </c>
      <c r="I63" s="27" t="e">
        <f t="shared" si="23"/>
        <v>#REF!</v>
      </c>
      <c r="J63" s="25"/>
      <c r="K63" s="25">
        <f t="shared" si="24"/>
        <v>884</v>
      </c>
      <c r="L63" s="25" t="e">
        <f t="shared" si="25"/>
        <v>#REF!</v>
      </c>
      <c r="M63" s="27" t="e">
        <f t="shared" si="26"/>
        <v>#REF!</v>
      </c>
      <c r="N63" s="27"/>
      <c r="O63" s="26" t="str">
        <f t="shared" si="27"/>
        <v>Western</v>
      </c>
      <c r="P63" s="26" t="e">
        <f t="shared" si="28"/>
        <v>#REF!</v>
      </c>
      <c r="Q63" s="27" t="e">
        <f t="shared" si="29"/>
        <v>#VALUE!</v>
      </c>
      <c r="R63" s="27"/>
      <c r="S63" s="26">
        <f t="shared" si="30"/>
        <v>717</v>
      </c>
      <c r="T63" s="26" t="e">
        <f t="shared" si="31"/>
        <v>#REF!</v>
      </c>
      <c r="U63" s="27" t="e">
        <f t="shared" si="32"/>
        <v>#REF!</v>
      </c>
      <c r="V63" s="27"/>
      <c r="W63" s="26">
        <f t="shared" si="33"/>
        <v>412</v>
      </c>
      <c r="X63" s="26" t="e">
        <f t="shared" si="34"/>
        <v>#REF!</v>
      </c>
      <c r="Y63" s="27" t="e">
        <f t="shared" si="35"/>
        <v>#REF!</v>
      </c>
    </row>
    <row r="64" spans="1:25" ht="16.5" customHeight="1" x14ac:dyDescent="0.25">
      <c r="A64" s="16" t="s">
        <v>154</v>
      </c>
      <c r="B64" s="16" t="s">
        <v>155</v>
      </c>
      <c r="C64" s="25">
        <f t="shared" si="18"/>
        <v>108</v>
      </c>
      <c r="D64" s="25" t="e">
        <f t="shared" si="19"/>
        <v>#REF!</v>
      </c>
      <c r="E64" s="27" t="e">
        <f t="shared" si="20"/>
        <v>#REF!</v>
      </c>
      <c r="F64" s="25"/>
      <c r="G64" s="25">
        <f t="shared" si="21"/>
        <v>81</v>
      </c>
      <c r="H64" s="25" t="e">
        <f t="shared" si="22"/>
        <v>#REF!</v>
      </c>
      <c r="I64" s="27" t="e">
        <f t="shared" si="23"/>
        <v>#REF!</v>
      </c>
      <c r="J64" s="25"/>
      <c r="K64" s="25">
        <f t="shared" si="24"/>
        <v>110</v>
      </c>
      <c r="L64" s="25" t="e">
        <f t="shared" si="25"/>
        <v>#REF!</v>
      </c>
      <c r="M64" s="27" t="e">
        <f t="shared" si="26"/>
        <v>#REF!</v>
      </c>
      <c r="N64" s="27"/>
      <c r="O64" s="26" t="str">
        <f t="shared" si="27"/>
        <v>Piedmont</v>
      </c>
      <c r="P64" s="26" t="e">
        <f t="shared" si="28"/>
        <v>#REF!</v>
      </c>
      <c r="Q64" s="27" t="e">
        <f t="shared" si="29"/>
        <v>#VALUE!</v>
      </c>
      <c r="R64" s="27"/>
      <c r="S64" s="26">
        <f t="shared" si="30"/>
        <v>125</v>
      </c>
      <c r="T64" s="26" t="e">
        <f t="shared" si="31"/>
        <v>#REF!</v>
      </c>
      <c r="U64" s="27" t="e">
        <f t="shared" si="32"/>
        <v>#REF!</v>
      </c>
      <c r="V64" s="27"/>
      <c r="W64" s="26">
        <f t="shared" si="33"/>
        <v>64</v>
      </c>
      <c r="X64" s="26" t="e">
        <f t="shared" si="34"/>
        <v>#REF!</v>
      </c>
      <c r="Y64" s="27" t="e">
        <f t="shared" si="35"/>
        <v>#REF!</v>
      </c>
    </row>
    <row r="65" spans="1:25" ht="16.5" customHeight="1" x14ac:dyDescent="0.25">
      <c r="A65" s="16" t="s">
        <v>156</v>
      </c>
      <c r="B65" s="16" t="s">
        <v>157</v>
      </c>
      <c r="C65" s="25">
        <f t="shared" si="18"/>
        <v>114</v>
      </c>
      <c r="D65" s="25" t="e">
        <f t="shared" si="19"/>
        <v>#REF!</v>
      </c>
      <c r="E65" s="27" t="e">
        <f t="shared" si="20"/>
        <v>#REF!</v>
      </c>
      <c r="F65" s="25"/>
      <c r="G65" s="25">
        <f t="shared" si="21"/>
        <v>82</v>
      </c>
      <c r="H65" s="25" t="e">
        <f t="shared" si="22"/>
        <v>#REF!</v>
      </c>
      <c r="I65" s="27" t="e">
        <f t="shared" si="23"/>
        <v>#REF!</v>
      </c>
      <c r="J65" s="25"/>
      <c r="K65" s="25">
        <f t="shared" si="24"/>
        <v>111</v>
      </c>
      <c r="L65" s="25" t="e">
        <f t="shared" si="25"/>
        <v>#REF!</v>
      </c>
      <c r="M65" s="27" t="e">
        <f t="shared" si="26"/>
        <v>#REF!</v>
      </c>
      <c r="N65" s="27"/>
      <c r="O65" s="26" t="str">
        <f t="shared" si="27"/>
        <v>Central</v>
      </c>
      <c r="P65" s="26" t="e">
        <f t="shared" si="28"/>
        <v>#REF!</v>
      </c>
      <c r="Q65" s="27" t="e">
        <f t="shared" si="29"/>
        <v>#VALUE!</v>
      </c>
      <c r="R65" s="27"/>
      <c r="S65" s="26">
        <f t="shared" si="30"/>
        <v>122</v>
      </c>
      <c r="T65" s="26" t="e">
        <f t="shared" si="31"/>
        <v>#REF!</v>
      </c>
      <c r="U65" s="27" t="e">
        <f t="shared" si="32"/>
        <v>#REF!</v>
      </c>
      <c r="V65" s="27"/>
      <c r="W65" s="26">
        <f t="shared" si="33"/>
        <v>74</v>
      </c>
      <c r="X65" s="26" t="e">
        <f t="shared" si="34"/>
        <v>#REF!</v>
      </c>
      <c r="Y65" s="27" t="e">
        <f t="shared" si="35"/>
        <v>#REF!</v>
      </c>
    </row>
    <row r="66" spans="1:25" ht="16.5" customHeight="1" x14ac:dyDescent="0.25">
      <c r="A66" s="16" t="s">
        <v>162</v>
      </c>
      <c r="B66" s="16" t="s">
        <v>163</v>
      </c>
      <c r="C66" s="25">
        <f t="shared" si="18"/>
        <v>234</v>
      </c>
      <c r="D66" s="25" t="e">
        <f t="shared" si="19"/>
        <v>#REF!</v>
      </c>
      <c r="E66" s="27" t="e">
        <f t="shared" si="20"/>
        <v>#REF!</v>
      </c>
      <c r="F66" s="25"/>
      <c r="G66" s="25">
        <f t="shared" si="21"/>
        <v>144</v>
      </c>
      <c r="H66" s="25" t="e">
        <f t="shared" si="22"/>
        <v>#REF!</v>
      </c>
      <c r="I66" s="27" t="e">
        <f t="shared" si="23"/>
        <v>#REF!</v>
      </c>
      <c r="J66" s="25"/>
      <c r="K66" s="25">
        <f t="shared" si="24"/>
        <v>78</v>
      </c>
      <c r="L66" s="25" t="e">
        <f t="shared" si="25"/>
        <v>#REF!</v>
      </c>
      <c r="M66" s="27" t="e">
        <f t="shared" si="26"/>
        <v>#REF!</v>
      </c>
      <c r="N66" s="27"/>
      <c r="O66" s="26" t="str">
        <f t="shared" si="27"/>
        <v>Eastern</v>
      </c>
      <c r="P66" s="26" t="e">
        <f t="shared" si="28"/>
        <v>#REF!</v>
      </c>
      <c r="Q66" s="27" t="e">
        <f t="shared" si="29"/>
        <v>#VALUE!</v>
      </c>
      <c r="R66" s="27"/>
      <c r="S66" s="26">
        <f t="shared" si="30"/>
        <v>249</v>
      </c>
      <c r="T66" s="26" t="e">
        <f t="shared" si="31"/>
        <v>#REF!</v>
      </c>
      <c r="U66" s="27" t="e">
        <f t="shared" si="32"/>
        <v>#REF!</v>
      </c>
      <c r="V66" s="27"/>
      <c r="W66" s="26">
        <f t="shared" si="33"/>
        <v>129</v>
      </c>
      <c r="X66" s="26" t="e">
        <f t="shared" si="34"/>
        <v>#REF!</v>
      </c>
      <c r="Y66" s="27" t="e">
        <f t="shared" si="35"/>
        <v>#REF!</v>
      </c>
    </row>
    <row r="67" spans="1:25" ht="16.5" customHeight="1" x14ac:dyDescent="0.25">
      <c r="A67" s="16" t="s">
        <v>164</v>
      </c>
      <c r="B67" s="16" t="s">
        <v>165</v>
      </c>
      <c r="C67" s="25">
        <f t="shared" si="18"/>
        <v>109</v>
      </c>
      <c r="D67" s="25" t="e">
        <f t="shared" si="19"/>
        <v>#REF!</v>
      </c>
      <c r="E67" s="27" t="e">
        <f t="shared" si="20"/>
        <v>#REF!</v>
      </c>
      <c r="F67" s="25"/>
      <c r="G67" s="25">
        <f t="shared" si="21"/>
        <v>68</v>
      </c>
      <c r="H67" s="25" t="e">
        <f t="shared" si="22"/>
        <v>#REF!</v>
      </c>
      <c r="I67" s="27" t="e">
        <f t="shared" si="23"/>
        <v>#REF!</v>
      </c>
      <c r="J67" s="25"/>
      <c r="K67" s="25">
        <f t="shared" si="24"/>
        <v>63</v>
      </c>
      <c r="L67" s="25" t="e">
        <f t="shared" si="25"/>
        <v>#REF!</v>
      </c>
      <c r="M67" s="27" t="e">
        <f t="shared" si="26"/>
        <v>#REF!</v>
      </c>
      <c r="N67" s="27"/>
      <c r="O67" s="26" t="str">
        <f t="shared" si="27"/>
        <v>Central</v>
      </c>
      <c r="P67" s="26" t="e">
        <f t="shared" si="28"/>
        <v>#REF!</v>
      </c>
      <c r="Q67" s="27" t="e">
        <f t="shared" si="29"/>
        <v>#VALUE!</v>
      </c>
      <c r="R67" s="27"/>
      <c r="S67" s="26">
        <f t="shared" si="30"/>
        <v>118</v>
      </c>
      <c r="T67" s="26" t="e">
        <f t="shared" si="31"/>
        <v>#REF!</v>
      </c>
      <c r="U67" s="27" t="e">
        <f t="shared" si="32"/>
        <v>#REF!</v>
      </c>
      <c r="V67" s="27"/>
      <c r="W67" s="26">
        <f t="shared" si="33"/>
        <v>58</v>
      </c>
      <c r="X67" s="26" t="e">
        <f t="shared" si="34"/>
        <v>#REF!</v>
      </c>
      <c r="Y67" s="27" t="e">
        <f t="shared" si="35"/>
        <v>#REF!</v>
      </c>
    </row>
    <row r="68" spans="1:25" ht="16.5" customHeight="1" x14ac:dyDescent="0.25">
      <c r="A68" s="16" t="s">
        <v>168</v>
      </c>
      <c r="B68" s="16" t="s">
        <v>169</v>
      </c>
      <c r="C68" s="25">
        <f t="shared" ref="C68:C99" si="36">VLOOKUP(A68,TANFClient_Demo,7,FALSE)</f>
        <v>317</v>
      </c>
      <c r="D68" s="25" t="e">
        <f t="shared" ref="D68:D99" si="37">VLOOKUP(A68,Pop,14,FALSE)</f>
        <v>#REF!</v>
      </c>
      <c r="E68" s="27" t="e">
        <f t="shared" ref="E68:E99" si="38">+C68/D68</f>
        <v>#REF!</v>
      </c>
      <c r="F68" s="25"/>
      <c r="G68" s="25">
        <f t="shared" ref="G68:G99" si="39">VLOOKUP(A68,TANFClient_Demo,8,FALSE)</f>
        <v>205</v>
      </c>
      <c r="H68" s="25" t="e">
        <f t="shared" ref="H68:H99" si="40">VLOOKUP(A68,Pop,15,FALSE)</f>
        <v>#REF!</v>
      </c>
      <c r="I68" s="27" t="e">
        <f t="shared" ref="I68:I99" si="41">+G68/H68</f>
        <v>#REF!</v>
      </c>
      <c r="J68" s="25"/>
      <c r="K68" s="25">
        <f t="shared" ref="K68:K99" si="42">VLOOKUP(A68,TANFClient_Demo,9,FALSE)</f>
        <v>161</v>
      </c>
      <c r="L68" s="25" t="e">
        <f t="shared" ref="L68:L99" si="43">VLOOKUP(A68,Pop,16,FALSE)</f>
        <v>#REF!</v>
      </c>
      <c r="M68" s="27" t="e">
        <f t="shared" ref="M68:M99" si="44">+K68/L68</f>
        <v>#REF!</v>
      </c>
      <c r="N68" s="27"/>
      <c r="O68" s="26" t="str">
        <f t="shared" ref="O68:O99" si="45">VLOOKUP(A68,TANFClient_Demo,3,FALSE)</f>
        <v>Central</v>
      </c>
      <c r="P68" s="26" t="e">
        <f t="shared" ref="P68:P99" si="46">VLOOKUP(A68,Pop,8,FALSE)</f>
        <v>#REF!</v>
      </c>
      <c r="Q68" s="27" t="e">
        <f t="shared" ref="Q68:Q99" si="47">+O68/P68</f>
        <v>#VALUE!</v>
      </c>
      <c r="R68" s="27"/>
      <c r="S68" s="26">
        <f t="shared" ref="S68:S99" si="48">VLOOKUP(A68,TANFClient_Demo,4,FALSE)</f>
        <v>342</v>
      </c>
      <c r="T68" s="26" t="e">
        <f t="shared" ref="T68:T99" si="49">VLOOKUP(A68,Pop,9,FALSE)</f>
        <v>#REF!</v>
      </c>
      <c r="U68" s="27" t="e">
        <f t="shared" ref="U68:U99" si="50">+S68/T68</f>
        <v>#REF!</v>
      </c>
      <c r="V68" s="27"/>
      <c r="W68" s="26">
        <f t="shared" ref="W68:W99" si="51">VLOOKUP(A68,TANFClient_Demo,5,FALSE)</f>
        <v>180</v>
      </c>
      <c r="X68" s="26" t="e">
        <f t="shared" ref="X68:X99" si="52">VLOOKUP(A68,Pop,10,FALSE)</f>
        <v>#REF!</v>
      </c>
      <c r="Y68" s="27" t="e">
        <f t="shared" ref="Y68:Y99" si="53">+W68/X68</f>
        <v>#REF!</v>
      </c>
    </row>
    <row r="69" spans="1:25" ht="16.5" customHeight="1" x14ac:dyDescent="0.25">
      <c r="A69" s="16" t="s">
        <v>170</v>
      </c>
      <c r="B69" s="16" t="s">
        <v>171</v>
      </c>
      <c r="C69" s="25">
        <f t="shared" si="36"/>
        <v>271</v>
      </c>
      <c r="D69" s="25" t="e">
        <f t="shared" si="37"/>
        <v>#REF!</v>
      </c>
      <c r="E69" s="27" t="e">
        <f t="shared" si="38"/>
        <v>#REF!</v>
      </c>
      <c r="F69" s="25"/>
      <c r="G69" s="25">
        <f t="shared" si="39"/>
        <v>166</v>
      </c>
      <c r="H69" s="25" t="e">
        <f t="shared" si="40"/>
        <v>#REF!</v>
      </c>
      <c r="I69" s="27" t="e">
        <f t="shared" si="41"/>
        <v>#REF!</v>
      </c>
      <c r="J69" s="25"/>
      <c r="K69" s="25">
        <f t="shared" si="42"/>
        <v>216</v>
      </c>
      <c r="L69" s="25" t="e">
        <f t="shared" si="43"/>
        <v>#REF!</v>
      </c>
      <c r="M69" s="27" t="e">
        <f t="shared" si="44"/>
        <v>#REF!</v>
      </c>
      <c r="N69" s="27"/>
      <c r="O69" s="26" t="str">
        <f t="shared" si="45"/>
        <v>Northern</v>
      </c>
      <c r="P69" s="26" t="e">
        <f t="shared" si="46"/>
        <v>#REF!</v>
      </c>
      <c r="Q69" s="27" t="e">
        <f t="shared" si="47"/>
        <v>#VALUE!</v>
      </c>
      <c r="R69" s="27"/>
      <c r="S69" s="26">
        <f t="shared" si="48"/>
        <v>279</v>
      </c>
      <c r="T69" s="26" t="e">
        <f t="shared" si="49"/>
        <v>#REF!</v>
      </c>
      <c r="U69" s="27" t="e">
        <f t="shared" si="50"/>
        <v>#REF!</v>
      </c>
      <c r="V69" s="27"/>
      <c r="W69" s="26">
        <f t="shared" si="51"/>
        <v>158</v>
      </c>
      <c r="X69" s="26" t="e">
        <f t="shared" si="52"/>
        <v>#REF!</v>
      </c>
      <c r="Y69" s="27" t="e">
        <f t="shared" si="53"/>
        <v>#REF!</v>
      </c>
    </row>
    <row r="70" spans="1:25" ht="16.5" customHeight="1" x14ac:dyDescent="0.25">
      <c r="A70" s="16" t="s">
        <v>172</v>
      </c>
      <c r="B70" s="16" t="s">
        <v>173</v>
      </c>
      <c r="C70" s="25">
        <f t="shared" si="36"/>
        <v>136</v>
      </c>
      <c r="D70" s="25" t="e">
        <f t="shared" si="37"/>
        <v>#REF!</v>
      </c>
      <c r="E70" s="27" t="e">
        <f t="shared" si="38"/>
        <v>#REF!</v>
      </c>
      <c r="F70" s="25"/>
      <c r="G70" s="25">
        <f t="shared" si="39"/>
        <v>101</v>
      </c>
      <c r="H70" s="25" t="e">
        <f t="shared" si="40"/>
        <v>#REF!</v>
      </c>
      <c r="I70" s="27" t="e">
        <f t="shared" si="41"/>
        <v>#REF!</v>
      </c>
      <c r="J70" s="25"/>
      <c r="K70" s="25">
        <f t="shared" si="42"/>
        <v>215</v>
      </c>
      <c r="L70" s="25" t="e">
        <f t="shared" si="43"/>
        <v>#REF!</v>
      </c>
      <c r="M70" s="27" t="e">
        <f t="shared" si="44"/>
        <v>#REF!</v>
      </c>
      <c r="N70" s="27"/>
      <c r="O70" s="26" t="str">
        <f t="shared" si="45"/>
        <v>Northern</v>
      </c>
      <c r="P70" s="26" t="e">
        <f t="shared" si="46"/>
        <v>#REF!</v>
      </c>
      <c r="Q70" s="27" t="e">
        <f t="shared" si="47"/>
        <v>#VALUE!</v>
      </c>
      <c r="R70" s="27"/>
      <c r="S70" s="26">
        <f t="shared" si="48"/>
        <v>147</v>
      </c>
      <c r="T70" s="26" t="e">
        <f t="shared" si="49"/>
        <v>#REF!</v>
      </c>
      <c r="U70" s="27" t="e">
        <f t="shared" si="50"/>
        <v>#REF!</v>
      </c>
      <c r="V70" s="27"/>
      <c r="W70" s="26">
        <f t="shared" si="51"/>
        <v>90</v>
      </c>
      <c r="X70" s="26" t="e">
        <f t="shared" si="52"/>
        <v>#REF!</v>
      </c>
      <c r="Y70" s="27" t="e">
        <f t="shared" si="53"/>
        <v>#REF!</v>
      </c>
    </row>
    <row r="71" spans="1:25" ht="16.5" customHeight="1" x14ac:dyDescent="0.25">
      <c r="A71" s="16" t="s">
        <v>174</v>
      </c>
      <c r="B71" s="16" t="s">
        <v>175</v>
      </c>
      <c r="C71" s="25">
        <f t="shared" si="36"/>
        <v>251</v>
      </c>
      <c r="D71" s="25" t="e">
        <f t="shared" si="37"/>
        <v>#REF!</v>
      </c>
      <c r="E71" s="27" t="e">
        <f t="shared" si="38"/>
        <v>#REF!</v>
      </c>
      <c r="F71" s="25"/>
      <c r="G71" s="25">
        <f t="shared" si="39"/>
        <v>187</v>
      </c>
      <c r="H71" s="25" t="e">
        <f t="shared" si="40"/>
        <v>#REF!</v>
      </c>
      <c r="I71" s="27" t="e">
        <f t="shared" si="41"/>
        <v>#REF!</v>
      </c>
      <c r="J71" s="25"/>
      <c r="K71" s="25">
        <f t="shared" si="42"/>
        <v>348</v>
      </c>
      <c r="L71" s="25" t="e">
        <f t="shared" si="43"/>
        <v>#REF!</v>
      </c>
      <c r="M71" s="27" t="e">
        <f t="shared" si="44"/>
        <v>#REF!</v>
      </c>
      <c r="N71" s="27"/>
      <c r="O71" s="26" t="str">
        <f t="shared" si="45"/>
        <v>Western</v>
      </c>
      <c r="P71" s="26" t="e">
        <f t="shared" si="46"/>
        <v>#REF!</v>
      </c>
      <c r="Q71" s="27" t="e">
        <f t="shared" si="47"/>
        <v>#VALUE!</v>
      </c>
      <c r="R71" s="27"/>
      <c r="S71" s="26">
        <f t="shared" si="48"/>
        <v>255</v>
      </c>
      <c r="T71" s="26" t="e">
        <f t="shared" si="49"/>
        <v>#REF!</v>
      </c>
      <c r="U71" s="27" t="e">
        <f t="shared" si="50"/>
        <v>#REF!</v>
      </c>
      <c r="V71" s="27"/>
      <c r="W71" s="26">
        <f t="shared" si="51"/>
        <v>183</v>
      </c>
      <c r="X71" s="26" t="e">
        <f t="shared" si="52"/>
        <v>#REF!</v>
      </c>
      <c r="Y71" s="27" t="e">
        <f t="shared" si="53"/>
        <v>#REF!</v>
      </c>
    </row>
    <row r="72" spans="1:25" ht="16.5" customHeight="1" x14ac:dyDescent="0.25">
      <c r="A72" s="16" t="s">
        <v>178</v>
      </c>
      <c r="B72" s="16" t="s">
        <v>179</v>
      </c>
      <c r="C72" s="25">
        <f t="shared" si="36"/>
        <v>573</v>
      </c>
      <c r="D72" s="25" t="e">
        <f t="shared" si="37"/>
        <v>#REF!</v>
      </c>
      <c r="E72" s="27" t="e">
        <f t="shared" si="38"/>
        <v>#REF!</v>
      </c>
      <c r="F72" s="25"/>
      <c r="G72" s="25">
        <f t="shared" si="39"/>
        <v>367</v>
      </c>
      <c r="H72" s="25" t="e">
        <f t="shared" si="40"/>
        <v>#REF!</v>
      </c>
      <c r="I72" s="27" t="e">
        <f t="shared" si="41"/>
        <v>#REF!</v>
      </c>
      <c r="J72" s="25"/>
      <c r="K72" s="25">
        <f t="shared" si="42"/>
        <v>467</v>
      </c>
      <c r="L72" s="25" t="e">
        <f t="shared" si="43"/>
        <v>#REF!</v>
      </c>
      <c r="M72" s="27" t="e">
        <f t="shared" si="44"/>
        <v>#REF!</v>
      </c>
      <c r="N72" s="27"/>
      <c r="O72" s="26" t="str">
        <f t="shared" si="45"/>
        <v>Piedmont</v>
      </c>
      <c r="P72" s="26" t="e">
        <f t="shared" si="46"/>
        <v>#REF!</v>
      </c>
      <c r="Q72" s="27" t="e">
        <f t="shared" si="47"/>
        <v>#VALUE!</v>
      </c>
      <c r="R72" s="27"/>
      <c r="S72" s="26">
        <f t="shared" si="48"/>
        <v>606</v>
      </c>
      <c r="T72" s="26" t="e">
        <f t="shared" si="49"/>
        <v>#REF!</v>
      </c>
      <c r="U72" s="27" t="e">
        <f t="shared" si="50"/>
        <v>#REF!</v>
      </c>
      <c r="V72" s="27"/>
      <c r="W72" s="26">
        <f t="shared" si="51"/>
        <v>332</v>
      </c>
      <c r="X72" s="26" t="e">
        <f t="shared" si="52"/>
        <v>#REF!</v>
      </c>
      <c r="Y72" s="27" t="e">
        <f t="shared" si="53"/>
        <v>#REF!</v>
      </c>
    </row>
    <row r="73" spans="1:25" ht="16.5" customHeight="1" x14ac:dyDescent="0.25">
      <c r="A73" s="16" t="s">
        <v>182</v>
      </c>
      <c r="B73" s="16" t="s">
        <v>183</v>
      </c>
      <c r="C73" s="25">
        <f t="shared" si="36"/>
        <v>103</v>
      </c>
      <c r="D73" s="25" t="e">
        <f t="shared" si="37"/>
        <v>#REF!</v>
      </c>
      <c r="E73" s="27" t="e">
        <f t="shared" si="38"/>
        <v>#REF!</v>
      </c>
      <c r="F73" s="25"/>
      <c r="G73" s="25">
        <f t="shared" si="39"/>
        <v>73</v>
      </c>
      <c r="H73" s="25" t="e">
        <f t="shared" si="40"/>
        <v>#REF!</v>
      </c>
      <c r="I73" s="27" t="e">
        <f t="shared" si="41"/>
        <v>#REF!</v>
      </c>
      <c r="J73" s="25"/>
      <c r="K73" s="25">
        <f t="shared" si="42"/>
        <v>126</v>
      </c>
      <c r="L73" s="25" t="e">
        <f t="shared" si="43"/>
        <v>#REF!</v>
      </c>
      <c r="M73" s="27" t="e">
        <f t="shared" si="44"/>
        <v>#REF!</v>
      </c>
      <c r="N73" s="27"/>
      <c r="O73" s="26" t="str">
        <f t="shared" si="45"/>
        <v>Central</v>
      </c>
      <c r="P73" s="26" t="e">
        <f t="shared" si="46"/>
        <v>#REF!</v>
      </c>
      <c r="Q73" s="27" t="e">
        <f t="shared" si="47"/>
        <v>#VALUE!</v>
      </c>
      <c r="R73" s="27"/>
      <c r="S73" s="26">
        <f t="shared" si="48"/>
        <v>113</v>
      </c>
      <c r="T73" s="26" t="e">
        <f t="shared" si="49"/>
        <v>#REF!</v>
      </c>
      <c r="U73" s="27" t="e">
        <f t="shared" si="50"/>
        <v>#REF!</v>
      </c>
      <c r="V73" s="27"/>
      <c r="W73" s="26">
        <f t="shared" si="51"/>
        <v>61</v>
      </c>
      <c r="X73" s="26" t="e">
        <f t="shared" si="52"/>
        <v>#REF!</v>
      </c>
      <c r="Y73" s="27" t="e">
        <f t="shared" si="53"/>
        <v>#REF!</v>
      </c>
    </row>
    <row r="74" spans="1:25" ht="16.5" customHeight="1" x14ac:dyDescent="0.25">
      <c r="A74" s="16" t="s">
        <v>184</v>
      </c>
      <c r="B74" s="16" t="s">
        <v>185</v>
      </c>
      <c r="C74" s="25">
        <f t="shared" si="36"/>
        <v>361</v>
      </c>
      <c r="D74" s="25" t="e">
        <f t="shared" si="37"/>
        <v>#REF!</v>
      </c>
      <c r="E74" s="27" t="e">
        <f t="shared" si="38"/>
        <v>#REF!</v>
      </c>
      <c r="F74" s="25"/>
      <c r="G74" s="25">
        <f t="shared" si="39"/>
        <v>202</v>
      </c>
      <c r="H74" s="25" t="e">
        <f t="shared" si="40"/>
        <v>#REF!</v>
      </c>
      <c r="I74" s="27" t="e">
        <f t="shared" si="41"/>
        <v>#REF!</v>
      </c>
      <c r="J74" s="25"/>
      <c r="K74" s="25">
        <f t="shared" si="42"/>
        <v>128</v>
      </c>
      <c r="L74" s="25" t="e">
        <f t="shared" si="43"/>
        <v>#REF!</v>
      </c>
      <c r="M74" s="27" t="e">
        <f t="shared" si="44"/>
        <v>#REF!</v>
      </c>
      <c r="N74" s="27"/>
      <c r="O74" s="26" t="str">
        <f t="shared" si="45"/>
        <v>Central</v>
      </c>
      <c r="P74" s="26" t="e">
        <f t="shared" si="46"/>
        <v>#REF!</v>
      </c>
      <c r="Q74" s="27" t="e">
        <f t="shared" si="47"/>
        <v>#VALUE!</v>
      </c>
      <c r="R74" s="27"/>
      <c r="S74" s="26">
        <f t="shared" si="48"/>
        <v>349</v>
      </c>
      <c r="T74" s="26" t="e">
        <f t="shared" si="49"/>
        <v>#REF!</v>
      </c>
      <c r="U74" s="27" t="e">
        <f t="shared" si="50"/>
        <v>#REF!</v>
      </c>
      <c r="V74" s="27"/>
      <c r="W74" s="26">
        <f t="shared" si="51"/>
        <v>214</v>
      </c>
      <c r="X74" s="26" t="e">
        <f t="shared" si="52"/>
        <v>#REF!</v>
      </c>
      <c r="Y74" s="27" t="e">
        <f t="shared" si="53"/>
        <v>#REF!</v>
      </c>
    </row>
    <row r="75" spans="1:25" ht="16.5" customHeight="1" x14ac:dyDescent="0.25">
      <c r="A75" s="16" t="s">
        <v>186</v>
      </c>
      <c r="B75" s="16" t="s">
        <v>187</v>
      </c>
      <c r="C75" s="25">
        <f t="shared" si="36"/>
        <v>309</v>
      </c>
      <c r="D75" s="25" t="e">
        <f t="shared" si="37"/>
        <v>#REF!</v>
      </c>
      <c r="E75" s="27" t="e">
        <f t="shared" si="38"/>
        <v>#REF!</v>
      </c>
      <c r="F75" s="25"/>
      <c r="G75" s="25">
        <f t="shared" si="39"/>
        <v>201</v>
      </c>
      <c r="H75" s="25" t="e">
        <f t="shared" si="40"/>
        <v>#REF!</v>
      </c>
      <c r="I75" s="27" t="e">
        <f t="shared" si="41"/>
        <v>#REF!</v>
      </c>
      <c r="J75" s="25"/>
      <c r="K75" s="25">
        <f t="shared" si="42"/>
        <v>185</v>
      </c>
      <c r="L75" s="25" t="e">
        <f t="shared" si="43"/>
        <v>#REF!</v>
      </c>
      <c r="M75" s="27" t="e">
        <f t="shared" si="44"/>
        <v>#REF!</v>
      </c>
      <c r="N75" s="27"/>
      <c r="O75" s="26" t="str">
        <f t="shared" si="45"/>
        <v>Eastern</v>
      </c>
      <c r="P75" s="26" t="e">
        <f t="shared" si="46"/>
        <v>#REF!</v>
      </c>
      <c r="Q75" s="27" t="e">
        <f t="shared" si="47"/>
        <v>#VALUE!</v>
      </c>
      <c r="R75" s="27"/>
      <c r="S75" s="26">
        <f t="shared" si="48"/>
        <v>335</v>
      </c>
      <c r="T75" s="26" t="e">
        <f t="shared" si="49"/>
        <v>#REF!</v>
      </c>
      <c r="U75" s="27" t="e">
        <f t="shared" si="50"/>
        <v>#REF!</v>
      </c>
      <c r="V75" s="27"/>
      <c r="W75" s="26">
        <f t="shared" si="51"/>
        <v>175</v>
      </c>
      <c r="X75" s="26" t="e">
        <f t="shared" si="52"/>
        <v>#REF!</v>
      </c>
      <c r="Y75" s="27" t="e">
        <f t="shared" si="53"/>
        <v>#REF!</v>
      </c>
    </row>
    <row r="76" spans="1:25" ht="16.5" customHeight="1" x14ac:dyDescent="0.25">
      <c r="A76" s="16" t="s">
        <v>188</v>
      </c>
      <c r="B76" s="16" t="s">
        <v>189</v>
      </c>
      <c r="C76" s="25">
        <f t="shared" si="36"/>
        <v>3010</v>
      </c>
      <c r="D76" s="25" t="e">
        <f t="shared" si="37"/>
        <v>#REF!</v>
      </c>
      <c r="E76" s="27" t="e">
        <f t="shared" si="38"/>
        <v>#REF!</v>
      </c>
      <c r="F76" s="25"/>
      <c r="G76" s="25">
        <f t="shared" si="39"/>
        <v>1877</v>
      </c>
      <c r="H76" s="25" t="e">
        <f t="shared" si="40"/>
        <v>#REF!</v>
      </c>
      <c r="I76" s="27" t="e">
        <f t="shared" si="41"/>
        <v>#REF!</v>
      </c>
      <c r="J76" s="25"/>
      <c r="K76" s="25">
        <f t="shared" si="42"/>
        <v>1641</v>
      </c>
      <c r="L76" s="25" t="e">
        <f t="shared" si="43"/>
        <v>#REF!</v>
      </c>
      <c r="M76" s="27" t="e">
        <f t="shared" si="44"/>
        <v>#REF!</v>
      </c>
      <c r="N76" s="27"/>
      <c r="O76" s="26" t="str">
        <f t="shared" si="45"/>
        <v>Northern</v>
      </c>
      <c r="P76" s="26" t="e">
        <f t="shared" si="46"/>
        <v>#REF!</v>
      </c>
      <c r="Q76" s="27" t="e">
        <f t="shared" si="47"/>
        <v>#VALUE!</v>
      </c>
      <c r="R76" s="27"/>
      <c r="S76" s="26">
        <f t="shared" si="48"/>
        <v>3053</v>
      </c>
      <c r="T76" s="26" t="e">
        <f t="shared" si="49"/>
        <v>#REF!</v>
      </c>
      <c r="U76" s="27" t="e">
        <f t="shared" si="50"/>
        <v>#REF!</v>
      </c>
      <c r="V76" s="27"/>
      <c r="W76" s="26">
        <f t="shared" si="51"/>
        <v>1832</v>
      </c>
      <c r="X76" s="26" t="e">
        <f t="shared" si="52"/>
        <v>#REF!</v>
      </c>
      <c r="Y76" s="27" t="e">
        <f t="shared" si="53"/>
        <v>#REF!</v>
      </c>
    </row>
    <row r="77" spans="1:25" ht="16.5" customHeight="1" x14ac:dyDescent="0.25">
      <c r="A77" s="16" t="s">
        <v>190</v>
      </c>
      <c r="B77" s="16" t="s">
        <v>191</v>
      </c>
      <c r="C77" s="25">
        <f t="shared" si="36"/>
        <v>372</v>
      </c>
      <c r="D77" s="25" t="e">
        <f t="shared" si="37"/>
        <v>#REF!</v>
      </c>
      <c r="E77" s="27" t="e">
        <f t="shared" si="38"/>
        <v>#REF!</v>
      </c>
      <c r="F77" s="25"/>
      <c r="G77" s="25">
        <f t="shared" si="39"/>
        <v>282</v>
      </c>
      <c r="H77" s="25" t="e">
        <f t="shared" si="40"/>
        <v>#REF!</v>
      </c>
      <c r="I77" s="27" t="e">
        <f t="shared" si="41"/>
        <v>#REF!</v>
      </c>
      <c r="J77" s="25"/>
      <c r="K77" s="25">
        <f t="shared" si="42"/>
        <v>479</v>
      </c>
      <c r="L77" s="25" t="e">
        <f t="shared" si="43"/>
        <v>#REF!</v>
      </c>
      <c r="M77" s="27" t="e">
        <f t="shared" si="44"/>
        <v>#REF!</v>
      </c>
      <c r="N77" s="27"/>
      <c r="O77" s="26" t="str">
        <f t="shared" si="45"/>
        <v>Western</v>
      </c>
      <c r="P77" s="26" t="e">
        <f t="shared" si="46"/>
        <v>#REF!</v>
      </c>
      <c r="Q77" s="27" t="e">
        <f t="shared" si="47"/>
        <v>#VALUE!</v>
      </c>
      <c r="R77" s="27"/>
      <c r="S77" s="26">
        <f t="shared" si="48"/>
        <v>436</v>
      </c>
      <c r="T77" s="26" t="e">
        <f t="shared" si="49"/>
        <v>#REF!</v>
      </c>
      <c r="U77" s="27" t="e">
        <f t="shared" si="50"/>
        <v>#REF!</v>
      </c>
      <c r="V77" s="27"/>
      <c r="W77" s="26">
        <f t="shared" si="51"/>
        <v>218</v>
      </c>
      <c r="X77" s="26" t="e">
        <f t="shared" si="52"/>
        <v>#REF!</v>
      </c>
      <c r="Y77" s="27" t="e">
        <f t="shared" si="53"/>
        <v>#REF!</v>
      </c>
    </row>
    <row r="78" spans="1:25" ht="16.5" customHeight="1" x14ac:dyDescent="0.25">
      <c r="A78" s="16" t="s">
        <v>194</v>
      </c>
      <c r="B78" s="16" t="s">
        <v>195</v>
      </c>
      <c r="C78" s="25">
        <f t="shared" si="36"/>
        <v>30</v>
      </c>
      <c r="D78" s="25" t="e">
        <f t="shared" si="37"/>
        <v>#REF!</v>
      </c>
      <c r="E78" s="27" t="e">
        <f t="shared" si="38"/>
        <v>#REF!</v>
      </c>
      <c r="F78" s="25"/>
      <c r="G78" s="25">
        <f t="shared" si="39"/>
        <v>22</v>
      </c>
      <c r="H78" s="25" t="e">
        <f t="shared" si="40"/>
        <v>#REF!</v>
      </c>
      <c r="I78" s="27" t="e">
        <f t="shared" si="41"/>
        <v>#REF!</v>
      </c>
      <c r="J78" s="25"/>
      <c r="K78" s="25">
        <f t="shared" si="42"/>
        <v>31</v>
      </c>
      <c r="L78" s="25" t="e">
        <f t="shared" si="43"/>
        <v>#REF!</v>
      </c>
      <c r="M78" s="27" t="e">
        <f t="shared" si="44"/>
        <v>#REF!</v>
      </c>
      <c r="N78" s="27"/>
      <c r="O78" s="26" t="str">
        <f t="shared" si="45"/>
        <v>Northern</v>
      </c>
      <c r="P78" s="26" t="e">
        <f t="shared" si="46"/>
        <v>#REF!</v>
      </c>
      <c r="Q78" s="27" t="e">
        <f t="shared" si="47"/>
        <v>#VALUE!</v>
      </c>
      <c r="R78" s="27"/>
      <c r="S78" s="26">
        <f t="shared" si="48"/>
        <v>33</v>
      </c>
      <c r="T78" s="26" t="e">
        <f t="shared" si="49"/>
        <v>#REF!</v>
      </c>
      <c r="U78" s="27" t="e">
        <f t="shared" si="50"/>
        <v>#REF!</v>
      </c>
      <c r="V78" s="27"/>
      <c r="W78" s="26">
        <f t="shared" si="51"/>
        <v>19</v>
      </c>
      <c r="X78" s="26" t="e">
        <f t="shared" si="52"/>
        <v>#REF!</v>
      </c>
      <c r="Y78" s="27" t="e">
        <f t="shared" si="53"/>
        <v>#REF!</v>
      </c>
    </row>
    <row r="79" spans="1:25" ht="16.5" customHeight="1" x14ac:dyDescent="0.25">
      <c r="A79" s="16" t="s">
        <v>198</v>
      </c>
      <c r="B79" s="16" t="s">
        <v>199</v>
      </c>
      <c r="C79" s="25">
        <f t="shared" si="36"/>
        <v>106</v>
      </c>
      <c r="D79" s="25" t="e">
        <f t="shared" si="37"/>
        <v>#REF!</v>
      </c>
      <c r="E79" s="27" t="e">
        <f t="shared" si="38"/>
        <v>#REF!</v>
      </c>
      <c r="F79" s="25"/>
      <c r="G79" s="25">
        <f t="shared" si="39"/>
        <v>77</v>
      </c>
      <c r="H79" s="25" t="e">
        <f t="shared" si="40"/>
        <v>#REF!</v>
      </c>
      <c r="I79" s="27" t="e">
        <f t="shared" si="41"/>
        <v>#REF!</v>
      </c>
      <c r="J79" s="25"/>
      <c r="K79" s="25">
        <f t="shared" si="42"/>
        <v>46</v>
      </c>
      <c r="L79" s="25" t="e">
        <f t="shared" si="43"/>
        <v>#REF!</v>
      </c>
      <c r="M79" s="27" t="e">
        <f t="shared" si="44"/>
        <v>#REF!</v>
      </c>
      <c r="N79" s="27"/>
      <c r="O79" s="26" t="str">
        <f t="shared" si="45"/>
        <v>Central</v>
      </c>
      <c r="P79" s="26" t="e">
        <f t="shared" si="46"/>
        <v>#REF!</v>
      </c>
      <c r="Q79" s="27" t="e">
        <f t="shared" si="47"/>
        <v>#VALUE!</v>
      </c>
      <c r="R79" s="27"/>
      <c r="S79" s="26">
        <f t="shared" si="48"/>
        <v>123</v>
      </c>
      <c r="T79" s="26" t="e">
        <f t="shared" si="49"/>
        <v>#REF!</v>
      </c>
      <c r="U79" s="27" t="e">
        <f t="shared" si="50"/>
        <v>#REF!</v>
      </c>
      <c r="V79" s="27"/>
      <c r="W79" s="26">
        <f t="shared" si="51"/>
        <v>59</v>
      </c>
      <c r="X79" s="26" t="e">
        <f t="shared" si="52"/>
        <v>#REF!</v>
      </c>
      <c r="Y79" s="27" t="e">
        <f t="shared" si="53"/>
        <v>#REF!</v>
      </c>
    </row>
    <row r="80" spans="1:25" ht="16.5" customHeight="1" x14ac:dyDescent="0.25">
      <c r="A80" s="16" t="s">
        <v>202</v>
      </c>
      <c r="B80" s="16" t="s">
        <v>203</v>
      </c>
      <c r="C80" s="25">
        <f t="shared" si="36"/>
        <v>618</v>
      </c>
      <c r="D80" s="25" t="e">
        <f t="shared" si="37"/>
        <v>#REF!</v>
      </c>
      <c r="E80" s="27" t="e">
        <f t="shared" si="38"/>
        <v>#REF!</v>
      </c>
      <c r="F80" s="25"/>
      <c r="G80" s="25">
        <f t="shared" si="39"/>
        <v>438</v>
      </c>
      <c r="H80" s="25" t="e">
        <f t="shared" si="40"/>
        <v>#REF!</v>
      </c>
      <c r="I80" s="27" t="e">
        <f t="shared" si="41"/>
        <v>#REF!</v>
      </c>
      <c r="J80" s="25"/>
      <c r="K80" s="25">
        <f t="shared" si="42"/>
        <v>685</v>
      </c>
      <c r="L80" s="25" t="e">
        <f t="shared" si="43"/>
        <v>#REF!</v>
      </c>
      <c r="M80" s="27" t="e">
        <f t="shared" si="44"/>
        <v>#REF!</v>
      </c>
      <c r="N80" s="27"/>
      <c r="O80" s="26" t="str">
        <f t="shared" si="45"/>
        <v>Piedmont</v>
      </c>
      <c r="P80" s="26" t="e">
        <f t="shared" si="46"/>
        <v>#REF!</v>
      </c>
      <c r="Q80" s="27" t="e">
        <f t="shared" si="47"/>
        <v>#VALUE!</v>
      </c>
      <c r="R80" s="27"/>
      <c r="S80" s="26">
        <f t="shared" si="48"/>
        <v>718</v>
      </c>
      <c r="T80" s="26" t="e">
        <f t="shared" si="49"/>
        <v>#REF!</v>
      </c>
      <c r="U80" s="27" t="e">
        <f t="shared" si="50"/>
        <v>#REF!</v>
      </c>
      <c r="V80" s="27"/>
      <c r="W80" s="26">
        <f t="shared" si="51"/>
        <v>338</v>
      </c>
      <c r="X80" s="26" t="e">
        <f t="shared" si="52"/>
        <v>#REF!</v>
      </c>
      <c r="Y80" s="27" t="e">
        <f t="shared" si="53"/>
        <v>#REF!</v>
      </c>
    </row>
    <row r="81" spans="1:25" ht="16.5" customHeight="1" x14ac:dyDescent="0.25">
      <c r="A81" s="16" t="s">
        <v>204</v>
      </c>
      <c r="B81" s="16" t="s">
        <v>205</v>
      </c>
      <c r="C81" s="25">
        <f t="shared" si="36"/>
        <v>185</v>
      </c>
      <c r="D81" s="25" t="e">
        <f t="shared" si="37"/>
        <v>#REF!</v>
      </c>
      <c r="E81" s="27" t="e">
        <f t="shared" si="38"/>
        <v>#REF!</v>
      </c>
      <c r="F81" s="25"/>
      <c r="G81" s="25">
        <f t="shared" si="39"/>
        <v>118</v>
      </c>
      <c r="H81" s="25" t="e">
        <f t="shared" si="40"/>
        <v>#REF!</v>
      </c>
      <c r="I81" s="27" t="e">
        <f t="shared" si="41"/>
        <v>#REF!</v>
      </c>
      <c r="J81" s="25"/>
      <c r="K81" s="25">
        <f t="shared" si="42"/>
        <v>231</v>
      </c>
      <c r="L81" s="25" t="e">
        <f t="shared" si="43"/>
        <v>#REF!</v>
      </c>
      <c r="M81" s="27" t="e">
        <f t="shared" si="44"/>
        <v>#REF!</v>
      </c>
      <c r="N81" s="27"/>
      <c r="O81" s="26" t="str">
        <f t="shared" si="45"/>
        <v>Piedmont</v>
      </c>
      <c r="P81" s="26" t="e">
        <f t="shared" si="46"/>
        <v>#REF!</v>
      </c>
      <c r="Q81" s="27" t="e">
        <f t="shared" si="47"/>
        <v>#VALUE!</v>
      </c>
      <c r="R81" s="27"/>
      <c r="S81" s="26">
        <f t="shared" si="48"/>
        <v>197</v>
      </c>
      <c r="T81" s="26" t="e">
        <f t="shared" si="49"/>
        <v>#REF!</v>
      </c>
      <c r="U81" s="27" t="e">
        <f t="shared" si="50"/>
        <v>#REF!</v>
      </c>
      <c r="V81" s="27"/>
      <c r="W81" s="26">
        <f t="shared" si="51"/>
        <v>106</v>
      </c>
      <c r="X81" s="26" t="e">
        <f t="shared" si="52"/>
        <v>#REF!</v>
      </c>
      <c r="Y81" s="27" t="e">
        <f t="shared" si="53"/>
        <v>#REF!</v>
      </c>
    </row>
    <row r="82" spans="1:25" ht="16.5" customHeight="1" x14ac:dyDescent="0.25">
      <c r="A82" s="16" t="s">
        <v>206</v>
      </c>
      <c r="B82" s="16" t="s">
        <v>207</v>
      </c>
      <c r="C82" s="25">
        <f t="shared" si="36"/>
        <v>778</v>
      </c>
      <c r="D82" s="25" t="e">
        <f t="shared" si="37"/>
        <v>#REF!</v>
      </c>
      <c r="E82" s="27" t="e">
        <f t="shared" si="38"/>
        <v>#REF!</v>
      </c>
      <c r="F82" s="25"/>
      <c r="G82" s="25">
        <f t="shared" si="39"/>
        <v>554</v>
      </c>
      <c r="H82" s="25" t="e">
        <f t="shared" si="40"/>
        <v>#REF!</v>
      </c>
      <c r="I82" s="27" t="e">
        <f t="shared" si="41"/>
        <v>#REF!</v>
      </c>
      <c r="J82" s="25"/>
      <c r="K82" s="25">
        <f t="shared" si="42"/>
        <v>761</v>
      </c>
      <c r="L82" s="25" t="e">
        <f t="shared" si="43"/>
        <v>#REF!</v>
      </c>
      <c r="M82" s="27" t="e">
        <f t="shared" si="44"/>
        <v>#REF!</v>
      </c>
      <c r="N82" s="27"/>
      <c r="O82" s="26" t="str">
        <f t="shared" si="45"/>
        <v>Northern</v>
      </c>
      <c r="P82" s="26" t="e">
        <f t="shared" si="46"/>
        <v>#REF!</v>
      </c>
      <c r="Q82" s="27" t="e">
        <f t="shared" si="47"/>
        <v>#VALUE!</v>
      </c>
      <c r="R82" s="27"/>
      <c r="S82" s="26">
        <f t="shared" si="48"/>
        <v>826</v>
      </c>
      <c r="T82" s="26" t="e">
        <f t="shared" si="49"/>
        <v>#REF!</v>
      </c>
      <c r="U82" s="27" t="e">
        <f t="shared" si="50"/>
        <v>#REF!</v>
      </c>
      <c r="V82" s="27"/>
      <c r="W82" s="26">
        <f t="shared" si="51"/>
        <v>505</v>
      </c>
      <c r="X82" s="26" t="e">
        <f t="shared" si="52"/>
        <v>#REF!</v>
      </c>
      <c r="Y82" s="27" t="e">
        <f t="shared" si="53"/>
        <v>#REF!</v>
      </c>
    </row>
    <row r="83" spans="1:25" ht="16.5" customHeight="1" x14ac:dyDescent="0.25">
      <c r="A83" s="16" t="s">
        <v>208</v>
      </c>
      <c r="B83" s="29" t="s">
        <v>209</v>
      </c>
      <c r="C83" s="25">
        <f t="shared" si="36"/>
        <v>494</v>
      </c>
      <c r="D83" s="25" t="e">
        <f t="shared" si="37"/>
        <v>#REF!</v>
      </c>
      <c r="E83" s="27" t="e">
        <f t="shared" si="38"/>
        <v>#REF!</v>
      </c>
      <c r="F83" s="25"/>
      <c r="G83" s="25">
        <f t="shared" si="39"/>
        <v>342</v>
      </c>
      <c r="H83" s="25" t="e">
        <f t="shared" si="40"/>
        <v>#REF!</v>
      </c>
      <c r="I83" s="27" t="e">
        <f t="shared" si="41"/>
        <v>#REF!</v>
      </c>
      <c r="J83" s="25"/>
      <c r="K83" s="25">
        <f t="shared" si="42"/>
        <v>746</v>
      </c>
      <c r="L83" s="25" t="e">
        <f t="shared" si="43"/>
        <v>#REF!</v>
      </c>
      <c r="M83" s="27" t="e">
        <f t="shared" si="44"/>
        <v>#REF!</v>
      </c>
      <c r="N83" s="27"/>
      <c r="O83" s="26" t="str">
        <f t="shared" si="45"/>
        <v>Western</v>
      </c>
      <c r="P83" s="26" t="e">
        <f t="shared" si="46"/>
        <v>#REF!</v>
      </c>
      <c r="Q83" s="27" t="e">
        <f t="shared" si="47"/>
        <v>#VALUE!</v>
      </c>
      <c r="R83" s="27"/>
      <c r="S83" s="26">
        <f t="shared" si="48"/>
        <v>497</v>
      </c>
      <c r="T83" s="26" t="e">
        <f t="shared" si="49"/>
        <v>#REF!</v>
      </c>
      <c r="U83" s="27" t="e">
        <f t="shared" si="50"/>
        <v>#REF!</v>
      </c>
      <c r="V83" s="27"/>
      <c r="W83" s="26">
        <f t="shared" si="51"/>
        <v>339</v>
      </c>
      <c r="X83" s="26" t="e">
        <f t="shared" si="52"/>
        <v>#REF!</v>
      </c>
      <c r="Y83" s="27" t="e">
        <f t="shared" si="53"/>
        <v>#REF!</v>
      </c>
    </row>
    <row r="84" spans="1:25" ht="16.5" customHeight="1" x14ac:dyDescent="0.25">
      <c r="A84" s="16" t="s">
        <v>210</v>
      </c>
      <c r="B84" s="16" t="s">
        <v>211</v>
      </c>
      <c r="C84" s="25">
        <f t="shared" si="36"/>
        <v>416</v>
      </c>
      <c r="D84" s="25" t="e">
        <f t="shared" si="37"/>
        <v>#REF!</v>
      </c>
      <c r="E84" s="27" t="e">
        <f t="shared" si="38"/>
        <v>#REF!</v>
      </c>
      <c r="F84" s="25"/>
      <c r="G84" s="25">
        <f t="shared" si="39"/>
        <v>284</v>
      </c>
      <c r="H84" s="25" t="e">
        <f t="shared" si="40"/>
        <v>#REF!</v>
      </c>
      <c r="I84" s="27" t="e">
        <f t="shared" si="41"/>
        <v>#REF!</v>
      </c>
      <c r="J84" s="25"/>
      <c r="K84" s="25">
        <f t="shared" si="42"/>
        <v>631</v>
      </c>
      <c r="L84" s="25" t="e">
        <f t="shared" si="43"/>
        <v>#REF!</v>
      </c>
      <c r="M84" s="27" t="e">
        <f t="shared" si="44"/>
        <v>#REF!</v>
      </c>
      <c r="N84" s="27"/>
      <c r="O84" s="26" t="str">
        <f t="shared" si="45"/>
        <v>Western</v>
      </c>
      <c r="P84" s="26" t="e">
        <f t="shared" si="46"/>
        <v>#REF!</v>
      </c>
      <c r="Q84" s="27" t="e">
        <f t="shared" si="47"/>
        <v>#VALUE!</v>
      </c>
      <c r="R84" s="27"/>
      <c r="S84" s="26">
        <f t="shared" si="48"/>
        <v>439</v>
      </c>
      <c r="T84" s="26" t="e">
        <f t="shared" si="49"/>
        <v>#REF!</v>
      </c>
      <c r="U84" s="27" t="e">
        <f t="shared" si="50"/>
        <v>#REF!</v>
      </c>
      <c r="V84" s="27"/>
      <c r="W84" s="26">
        <f t="shared" si="51"/>
        <v>260</v>
      </c>
      <c r="X84" s="26" t="e">
        <f t="shared" si="52"/>
        <v>#REF!</v>
      </c>
      <c r="Y84" s="27" t="e">
        <f t="shared" si="53"/>
        <v>#REF!</v>
      </c>
    </row>
    <row r="85" spans="1:25" ht="16.5" customHeight="1" x14ac:dyDescent="0.25">
      <c r="A85" s="16" t="s">
        <v>212</v>
      </c>
      <c r="B85" s="16" t="s">
        <v>213</v>
      </c>
      <c r="C85" s="25">
        <f t="shared" si="36"/>
        <v>188</v>
      </c>
      <c r="D85" s="25" t="e">
        <f t="shared" si="37"/>
        <v>#REF!</v>
      </c>
      <c r="E85" s="27" t="e">
        <f t="shared" si="38"/>
        <v>#REF!</v>
      </c>
      <c r="F85" s="25"/>
      <c r="G85" s="25">
        <f t="shared" si="39"/>
        <v>128</v>
      </c>
      <c r="H85" s="25" t="e">
        <f t="shared" si="40"/>
        <v>#REF!</v>
      </c>
      <c r="I85" s="27" t="e">
        <f t="shared" si="41"/>
        <v>#REF!</v>
      </c>
      <c r="J85" s="25"/>
      <c r="K85" s="25">
        <f t="shared" si="42"/>
        <v>260</v>
      </c>
      <c r="L85" s="25" t="e">
        <f t="shared" si="43"/>
        <v>#REF!</v>
      </c>
      <c r="M85" s="27" t="e">
        <f t="shared" si="44"/>
        <v>#REF!</v>
      </c>
      <c r="N85" s="27"/>
      <c r="O85" s="26" t="str">
        <f t="shared" si="45"/>
        <v>Northern</v>
      </c>
      <c r="P85" s="26" t="e">
        <f t="shared" si="46"/>
        <v>#REF!</v>
      </c>
      <c r="Q85" s="27" t="e">
        <f t="shared" si="47"/>
        <v>#VALUE!</v>
      </c>
      <c r="R85" s="27"/>
      <c r="S85" s="26">
        <f t="shared" si="48"/>
        <v>202</v>
      </c>
      <c r="T85" s="26" t="e">
        <f t="shared" si="49"/>
        <v>#REF!</v>
      </c>
      <c r="U85" s="27" t="e">
        <f t="shared" si="50"/>
        <v>#REF!</v>
      </c>
      <c r="V85" s="27"/>
      <c r="W85" s="26">
        <f t="shared" si="51"/>
        <v>114</v>
      </c>
      <c r="X85" s="26" t="e">
        <f t="shared" si="52"/>
        <v>#REF!</v>
      </c>
      <c r="Y85" s="27" t="e">
        <f t="shared" si="53"/>
        <v>#REF!</v>
      </c>
    </row>
    <row r="86" spans="1:25" ht="16.5" customHeight="1" x14ac:dyDescent="0.25">
      <c r="A86" s="16" t="s">
        <v>214</v>
      </c>
      <c r="B86" s="16" t="s">
        <v>215</v>
      </c>
      <c r="C86" s="25">
        <f t="shared" si="36"/>
        <v>513</v>
      </c>
      <c r="D86" s="25" t="e">
        <f t="shared" si="37"/>
        <v>#REF!</v>
      </c>
      <c r="E86" s="27" t="e">
        <f t="shared" si="38"/>
        <v>#REF!</v>
      </c>
      <c r="F86" s="25"/>
      <c r="G86" s="25">
        <f t="shared" si="39"/>
        <v>380</v>
      </c>
      <c r="H86" s="25" t="e">
        <f t="shared" si="40"/>
        <v>#REF!</v>
      </c>
      <c r="I86" s="27" t="e">
        <f t="shared" si="41"/>
        <v>#REF!</v>
      </c>
      <c r="J86" s="25"/>
      <c r="K86" s="25">
        <f t="shared" si="42"/>
        <v>818</v>
      </c>
      <c r="L86" s="25" t="e">
        <f t="shared" si="43"/>
        <v>#REF!</v>
      </c>
      <c r="M86" s="27" t="e">
        <f t="shared" si="44"/>
        <v>#REF!</v>
      </c>
      <c r="N86" s="27"/>
      <c r="O86" s="26" t="str">
        <f t="shared" si="45"/>
        <v>Western</v>
      </c>
      <c r="P86" s="26" t="e">
        <f t="shared" si="46"/>
        <v>#REF!</v>
      </c>
      <c r="Q86" s="27" t="e">
        <f t="shared" si="47"/>
        <v>#VALUE!</v>
      </c>
      <c r="R86" s="27"/>
      <c r="S86" s="26">
        <f t="shared" si="48"/>
        <v>546</v>
      </c>
      <c r="T86" s="26" t="e">
        <f t="shared" si="49"/>
        <v>#REF!</v>
      </c>
      <c r="U86" s="27" t="e">
        <f t="shared" si="50"/>
        <v>#REF!</v>
      </c>
      <c r="V86" s="27"/>
      <c r="W86" s="26">
        <f t="shared" si="51"/>
        <v>347</v>
      </c>
      <c r="X86" s="26" t="e">
        <f t="shared" si="52"/>
        <v>#REF!</v>
      </c>
      <c r="Y86" s="27" t="e">
        <f t="shared" si="53"/>
        <v>#REF!</v>
      </c>
    </row>
    <row r="87" spans="1:25" ht="16.5" customHeight="1" x14ac:dyDescent="0.25">
      <c r="A87" s="16" t="s">
        <v>216</v>
      </c>
      <c r="B87" s="16" t="s">
        <v>217</v>
      </c>
      <c r="C87" s="25">
        <f t="shared" si="36"/>
        <v>235</v>
      </c>
      <c r="D87" s="25" t="e">
        <f t="shared" si="37"/>
        <v>#REF!</v>
      </c>
      <c r="E87" s="27" t="e">
        <f t="shared" si="38"/>
        <v>#REF!</v>
      </c>
      <c r="F87" s="25"/>
      <c r="G87" s="25">
        <f t="shared" si="39"/>
        <v>141</v>
      </c>
      <c r="H87" s="25" t="e">
        <f t="shared" si="40"/>
        <v>#REF!</v>
      </c>
      <c r="I87" s="27" t="e">
        <f t="shared" si="41"/>
        <v>#REF!</v>
      </c>
      <c r="J87" s="25"/>
      <c r="K87" s="25">
        <f t="shared" si="42"/>
        <v>74</v>
      </c>
      <c r="L87" s="25" t="e">
        <f t="shared" si="43"/>
        <v>#REF!</v>
      </c>
      <c r="M87" s="27" t="e">
        <f t="shared" si="44"/>
        <v>#REF!</v>
      </c>
      <c r="N87" s="27"/>
      <c r="O87" s="26" t="str">
        <f t="shared" si="45"/>
        <v>Eastern</v>
      </c>
      <c r="P87" s="26" t="e">
        <f t="shared" si="46"/>
        <v>#REF!</v>
      </c>
      <c r="Q87" s="27" t="e">
        <f t="shared" si="47"/>
        <v>#VALUE!</v>
      </c>
      <c r="R87" s="27"/>
      <c r="S87" s="26">
        <f t="shared" si="48"/>
        <v>225</v>
      </c>
      <c r="T87" s="26" t="e">
        <f t="shared" si="49"/>
        <v>#REF!</v>
      </c>
      <c r="U87" s="27" t="e">
        <f t="shared" si="50"/>
        <v>#REF!</v>
      </c>
      <c r="V87" s="27"/>
      <c r="W87" s="26">
        <f t="shared" si="51"/>
        <v>148</v>
      </c>
      <c r="X87" s="26" t="e">
        <f t="shared" si="52"/>
        <v>#REF!</v>
      </c>
      <c r="Y87" s="27" t="e">
        <f t="shared" si="53"/>
        <v>#REF!</v>
      </c>
    </row>
    <row r="88" spans="1:25" ht="16.5" customHeight="1" x14ac:dyDescent="0.25">
      <c r="A88" s="16" t="s">
        <v>218</v>
      </c>
      <c r="B88" s="16" t="s">
        <v>219</v>
      </c>
      <c r="C88" s="25">
        <f t="shared" si="36"/>
        <v>1161</v>
      </c>
      <c r="D88" s="25" t="e">
        <f t="shared" si="37"/>
        <v>#REF!</v>
      </c>
      <c r="E88" s="27" t="e">
        <f t="shared" si="38"/>
        <v>#REF!</v>
      </c>
      <c r="F88" s="25"/>
      <c r="G88" s="25">
        <f t="shared" si="39"/>
        <v>787</v>
      </c>
      <c r="H88" s="25" t="e">
        <f t="shared" si="40"/>
        <v>#REF!</v>
      </c>
      <c r="I88" s="27" t="e">
        <f t="shared" si="41"/>
        <v>#REF!</v>
      </c>
      <c r="J88" s="25"/>
      <c r="K88" s="25">
        <f t="shared" si="42"/>
        <v>936</v>
      </c>
      <c r="L88" s="25" t="e">
        <f t="shared" si="43"/>
        <v>#REF!</v>
      </c>
      <c r="M88" s="27" t="e">
        <f t="shared" si="44"/>
        <v>#REF!</v>
      </c>
      <c r="N88" s="27"/>
      <c r="O88" s="26" t="str">
        <f t="shared" si="45"/>
        <v>Northern</v>
      </c>
      <c r="P88" s="26" t="e">
        <f t="shared" si="46"/>
        <v>#REF!</v>
      </c>
      <c r="Q88" s="27" t="e">
        <f t="shared" si="47"/>
        <v>#VALUE!</v>
      </c>
      <c r="R88" s="27"/>
      <c r="S88" s="26">
        <f t="shared" si="48"/>
        <v>1236</v>
      </c>
      <c r="T88" s="26" t="e">
        <f t="shared" si="49"/>
        <v>#REF!</v>
      </c>
      <c r="U88" s="27" t="e">
        <f t="shared" si="50"/>
        <v>#REF!</v>
      </c>
      <c r="V88" s="27"/>
      <c r="W88" s="26">
        <f t="shared" si="51"/>
        <v>712</v>
      </c>
      <c r="X88" s="26" t="e">
        <f t="shared" si="52"/>
        <v>#REF!</v>
      </c>
      <c r="Y88" s="27" t="e">
        <f t="shared" si="53"/>
        <v>#REF!</v>
      </c>
    </row>
    <row r="89" spans="1:25" ht="16.5" customHeight="1" x14ac:dyDescent="0.25">
      <c r="A89" s="16" t="s">
        <v>220</v>
      </c>
      <c r="B89" s="16" t="s">
        <v>221</v>
      </c>
      <c r="C89" s="25">
        <f t="shared" si="36"/>
        <v>924</v>
      </c>
      <c r="D89" s="25" t="e">
        <f t="shared" si="37"/>
        <v>#REF!</v>
      </c>
      <c r="E89" s="27" t="e">
        <f t="shared" si="38"/>
        <v>#REF!</v>
      </c>
      <c r="F89" s="25"/>
      <c r="G89" s="25">
        <f t="shared" si="39"/>
        <v>568</v>
      </c>
      <c r="H89" s="25" t="e">
        <f t="shared" si="40"/>
        <v>#REF!</v>
      </c>
      <c r="I89" s="27" t="e">
        <f t="shared" si="41"/>
        <v>#REF!</v>
      </c>
      <c r="J89" s="25"/>
      <c r="K89" s="25">
        <f t="shared" si="42"/>
        <v>501</v>
      </c>
      <c r="L89" s="25" t="e">
        <f t="shared" si="43"/>
        <v>#REF!</v>
      </c>
      <c r="M89" s="27" t="e">
        <f t="shared" si="44"/>
        <v>#REF!</v>
      </c>
      <c r="N89" s="27"/>
      <c r="O89" s="26" t="str">
        <f t="shared" si="45"/>
        <v>Northern</v>
      </c>
      <c r="P89" s="26" t="e">
        <f t="shared" si="46"/>
        <v>#REF!</v>
      </c>
      <c r="Q89" s="27" t="e">
        <f t="shared" si="47"/>
        <v>#VALUE!</v>
      </c>
      <c r="R89" s="27"/>
      <c r="S89" s="26">
        <f t="shared" si="48"/>
        <v>944</v>
      </c>
      <c r="T89" s="26" t="e">
        <f t="shared" si="49"/>
        <v>#REF!</v>
      </c>
      <c r="U89" s="27" t="e">
        <f t="shared" si="50"/>
        <v>#REF!</v>
      </c>
      <c r="V89" s="27"/>
      <c r="W89" s="26">
        <f t="shared" si="51"/>
        <v>547</v>
      </c>
      <c r="X89" s="26" t="e">
        <f t="shared" si="52"/>
        <v>#REF!</v>
      </c>
      <c r="Y89" s="27" t="e">
        <f t="shared" si="53"/>
        <v>#REF!</v>
      </c>
    </row>
    <row r="90" spans="1:25" ht="16.5" customHeight="1" x14ac:dyDescent="0.25">
      <c r="A90" s="16" t="s">
        <v>224</v>
      </c>
      <c r="B90" s="16" t="s">
        <v>225</v>
      </c>
      <c r="C90" s="25">
        <f t="shared" si="36"/>
        <v>99</v>
      </c>
      <c r="D90" s="25" t="e">
        <f t="shared" si="37"/>
        <v>#REF!</v>
      </c>
      <c r="E90" s="27" t="e">
        <f t="shared" si="38"/>
        <v>#REF!</v>
      </c>
      <c r="F90" s="25"/>
      <c r="G90" s="25">
        <f t="shared" si="39"/>
        <v>66</v>
      </c>
      <c r="H90" s="25" t="e">
        <f t="shared" si="40"/>
        <v>#REF!</v>
      </c>
      <c r="I90" s="27" t="e">
        <f t="shared" si="41"/>
        <v>#REF!</v>
      </c>
      <c r="J90" s="25"/>
      <c r="K90" s="25">
        <f t="shared" si="42"/>
        <v>42</v>
      </c>
      <c r="L90" s="25" t="e">
        <f t="shared" si="43"/>
        <v>#REF!</v>
      </c>
      <c r="M90" s="27" t="e">
        <f t="shared" si="44"/>
        <v>#REF!</v>
      </c>
      <c r="N90" s="27"/>
      <c r="O90" s="26" t="str">
        <f t="shared" si="45"/>
        <v>Eastern</v>
      </c>
      <c r="P90" s="26" t="e">
        <f t="shared" si="46"/>
        <v>#REF!</v>
      </c>
      <c r="Q90" s="27" t="e">
        <f t="shared" si="47"/>
        <v>#VALUE!</v>
      </c>
      <c r="R90" s="27"/>
      <c r="S90" s="26">
        <f t="shared" si="48"/>
        <v>102</v>
      </c>
      <c r="T90" s="26" t="e">
        <f t="shared" si="49"/>
        <v>#REF!</v>
      </c>
      <c r="U90" s="27" t="e">
        <f t="shared" si="50"/>
        <v>#REF!</v>
      </c>
      <c r="V90" s="27"/>
      <c r="W90" s="26">
        <f t="shared" si="51"/>
        <v>63</v>
      </c>
      <c r="X90" s="26" t="e">
        <f t="shared" si="52"/>
        <v>#REF!</v>
      </c>
      <c r="Y90" s="27" t="e">
        <f t="shared" si="53"/>
        <v>#REF!</v>
      </c>
    </row>
    <row r="91" spans="1:25" ht="16.5" customHeight="1" x14ac:dyDescent="0.25">
      <c r="A91" s="16" t="s">
        <v>226</v>
      </c>
      <c r="B91" s="16" t="s">
        <v>227</v>
      </c>
      <c r="C91" s="25">
        <f t="shared" si="36"/>
        <v>236</v>
      </c>
      <c r="D91" s="25" t="e">
        <f t="shared" si="37"/>
        <v>#REF!</v>
      </c>
      <c r="E91" s="27" t="e">
        <f t="shared" si="38"/>
        <v>#REF!</v>
      </c>
      <c r="F91" s="25"/>
      <c r="G91" s="25">
        <f t="shared" si="39"/>
        <v>132</v>
      </c>
      <c r="H91" s="25" t="e">
        <f t="shared" si="40"/>
        <v>#REF!</v>
      </c>
      <c r="I91" s="27" t="e">
        <f t="shared" si="41"/>
        <v>#REF!</v>
      </c>
      <c r="J91" s="25"/>
      <c r="K91" s="25">
        <f t="shared" si="42"/>
        <v>74</v>
      </c>
      <c r="L91" s="25" t="e">
        <f t="shared" si="43"/>
        <v>#REF!</v>
      </c>
      <c r="M91" s="27" t="e">
        <f t="shared" si="44"/>
        <v>#REF!</v>
      </c>
      <c r="N91" s="27"/>
      <c r="O91" s="26" t="str">
        <f t="shared" si="45"/>
        <v>Eastern</v>
      </c>
      <c r="P91" s="26" t="e">
        <f t="shared" si="46"/>
        <v>#REF!</v>
      </c>
      <c r="Q91" s="27" t="e">
        <f t="shared" si="47"/>
        <v>#VALUE!</v>
      </c>
      <c r="R91" s="27"/>
      <c r="S91" s="26">
        <f t="shared" si="48"/>
        <v>232</v>
      </c>
      <c r="T91" s="26" t="e">
        <f t="shared" si="49"/>
        <v>#REF!</v>
      </c>
      <c r="U91" s="27" t="e">
        <f t="shared" si="50"/>
        <v>#REF!</v>
      </c>
      <c r="V91" s="27"/>
      <c r="W91" s="26">
        <f t="shared" si="51"/>
        <v>136</v>
      </c>
      <c r="X91" s="26" t="e">
        <f t="shared" si="52"/>
        <v>#REF!</v>
      </c>
      <c r="Y91" s="27" t="e">
        <f t="shared" si="53"/>
        <v>#REF!</v>
      </c>
    </row>
    <row r="92" spans="1:25" ht="16.5" customHeight="1" x14ac:dyDescent="0.25">
      <c r="A92" s="16" t="s">
        <v>228</v>
      </c>
      <c r="B92" s="16" t="s">
        <v>229</v>
      </c>
      <c r="C92" s="25">
        <f t="shared" si="36"/>
        <v>584</v>
      </c>
      <c r="D92" s="25" t="e">
        <f t="shared" si="37"/>
        <v>#REF!</v>
      </c>
      <c r="E92" s="27" t="e">
        <f t="shared" si="38"/>
        <v>#REF!</v>
      </c>
      <c r="F92" s="25"/>
      <c r="G92" s="25">
        <f t="shared" si="39"/>
        <v>406</v>
      </c>
      <c r="H92" s="25" t="e">
        <f t="shared" si="40"/>
        <v>#REF!</v>
      </c>
      <c r="I92" s="27" t="e">
        <f t="shared" si="41"/>
        <v>#REF!</v>
      </c>
      <c r="J92" s="25"/>
      <c r="K92" s="25">
        <f t="shared" si="42"/>
        <v>845</v>
      </c>
      <c r="L92" s="25" t="e">
        <f t="shared" si="43"/>
        <v>#REF!</v>
      </c>
      <c r="M92" s="27" t="e">
        <f t="shared" si="44"/>
        <v>#REF!</v>
      </c>
      <c r="N92" s="27"/>
      <c r="O92" s="26" t="str">
        <f t="shared" si="45"/>
        <v>Western</v>
      </c>
      <c r="P92" s="26" t="e">
        <f t="shared" si="46"/>
        <v>#REF!</v>
      </c>
      <c r="Q92" s="27" t="e">
        <f t="shared" si="47"/>
        <v>#VALUE!</v>
      </c>
      <c r="R92" s="27"/>
      <c r="S92" s="26">
        <f t="shared" si="48"/>
        <v>600</v>
      </c>
      <c r="T92" s="26" t="e">
        <f t="shared" si="49"/>
        <v>#REF!</v>
      </c>
      <c r="U92" s="27" t="e">
        <f t="shared" si="50"/>
        <v>#REF!</v>
      </c>
      <c r="V92" s="27"/>
      <c r="W92" s="26">
        <f t="shared" si="51"/>
        <v>390</v>
      </c>
      <c r="X92" s="26" t="e">
        <f t="shared" si="52"/>
        <v>#REF!</v>
      </c>
      <c r="Y92" s="27" t="e">
        <f t="shared" si="53"/>
        <v>#REF!</v>
      </c>
    </row>
    <row r="93" spans="1:25" ht="16.5" customHeight="1" x14ac:dyDescent="0.25">
      <c r="A93" s="16" t="s">
        <v>232</v>
      </c>
      <c r="B93" s="16" t="s">
        <v>233</v>
      </c>
      <c r="C93" s="25">
        <f t="shared" si="36"/>
        <v>308</v>
      </c>
      <c r="D93" s="25" t="e">
        <f t="shared" si="37"/>
        <v>#REF!</v>
      </c>
      <c r="E93" s="27" t="e">
        <f t="shared" si="38"/>
        <v>#REF!</v>
      </c>
      <c r="F93" s="25"/>
      <c r="G93" s="25">
        <f t="shared" si="39"/>
        <v>221</v>
      </c>
      <c r="H93" s="25" t="e">
        <f t="shared" si="40"/>
        <v>#REF!</v>
      </c>
      <c r="I93" s="27" t="e">
        <f t="shared" si="41"/>
        <v>#REF!</v>
      </c>
      <c r="J93" s="25"/>
      <c r="K93" s="25">
        <f t="shared" si="42"/>
        <v>370</v>
      </c>
      <c r="L93" s="25" t="e">
        <f t="shared" si="43"/>
        <v>#REF!</v>
      </c>
      <c r="M93" s="27" t="e">
        <f t="shared" si="44"/>
        <v>#REF!</v>
      </c>
      <c r="N93" s="27"/>
      <c r="O93" s="26" t="str">
        <f t="shared" si="45"/>
        <v>Northern</v>
      </c>
      <c r="P93" s="26" t="e">
        <f t="shared" si="46"/>
        <v>#REF!</v>
      </c>
      <c r="Q93" s="27" t="e">
        <f t="shared" si="47"/>
        <v>#VALUE!</v>
      </c>
      <c r="R93" s="27"/>
      <c r="S93" s="26">
        <f t="shared" si="48"/>
        <v>340</v>
      </c>
      <c r="T93" s="26" t="e">
        <f t="shared" si="49"/>
        <v>#REF!</v>
      </c>
      <c r="U93" s="27" t="e">
        <f t="shared" si="50"/>
        <v>#REF!</v>
      </c>
      <c r="V93" s="27"/>
      <c r="W93" s="26">
        <f t="shared" si="51"/>
        <v>189</v>
      </c>
      <c r="X93" s="26" t="e">
        <f t="shared" si="52"/>
        <v>#REF!</v>
      </c>
      <c r="Y93" s="27" t="e">
        <f t="shared" si="53"/>
        <v>#REF!</v>
      </c>
    </row>
    <row r="94" spans="1:25" ht="16.5" customHeight="1" x14ac:dyDescent="0.25">
      <c r="A94" s="16" t="s">
        <v>234</v>
      </c>
      <c r="B94" s="16" t="s">
        <v>235</v>
      </c>
      <c r="C94" s="25">
        <f t="shared" si="36"/>
        <v>513</v>
      </c>
      <c r="D94" s="25" t="e">
        <f t="shared" si="37"/>
        <v>#REF!</v>
      </c>
      <c r="E94" s="27" t="e">
        <f t="shared" si="38"/>
        <v>#REF!</v>
      </c>
      <c r="F94" s="25"/>
      <c r="G94" s="25">
        <f t="shared" si="39"/>
        <v>369</v>
      </c>
      <c r="H94" s="25" t="e">
        <f t="shared" si="40"/>
        <v>#REF!</v>
      </c>
      <c r="I94" s="27" t="e">
        <f t="shared" si="41"/>
        <v>#REF!</v>
      </c>
      <c r="J94" s="25"/>
      <c r="K94" s="25">
        <f t="shared" si="42"/>
        <v>808</v>
      </c>
      <c r="L94" s="25" t="e">
        <f t="shared" si="43"/>
        <v>#REF!</v>
      </c>
      <c r="M94" s="27" t="e">
        <f t="shared" si="44"/>
        <v>#REF!</v>
      </c>
      <c r="N94" s="27"/>
      <c r="O94" s="26" t="str">
        <f t="shared" si="45"/>
        <v>Western</v>
      </c>
      <c r="P94" s="26" t="e">
        <f t="shared" si="46"/>
        <v>#REF!</v>
      </c>
      <c r="Q94" s="27" t="e">
        <f t="shared" si="47"/>
        <v>#VALUE!</v>
      </c>
      <c r="R94" s="27"/>
      <c r="S94" s="26">
        <f t="shared" si="48"/>
        <v>559</v>
      </c>
      <c r="T94" s="26" t="e">
        <f t="shared" si="49"/>
        <v>#REF!</v>
      </c>
      <c r="U94" s="27" t="e">
        <f t="shared" si="50"/>
        <v>#REF!</v>
      </c>
      <c r="V94" s="27"/>
      <c r="W94" s="26">
        <f t="shared" si="51"/>
        <v>323</v>
      </c>
      <c r="X94" s="26" t="e">
        <f t="shared" si="52"/>
        <v>#REF!</v>
      </c>
      <c r="Y94" s="27" t="e">
        <f t="shared" si="53"/>
        <v>#REF!</v>
      </c>
    </row>
    <row r="95" spans="1:25" ht="16.5" customHeight="1" x14ac:dyDescent="0.25">
      <c r="A95" s="16" t="s">
        <v>236</v>
      </c>
      <c r="B95" s="16" t="s">
        <v>237</v>
      </c>
      <c r="C95" s="25">
        <f t="shared" si="36"/>
        <v>220</v>
      </c>
      <c r="D95" s="25" t="e">
        <f t="shared" si="37"/>
        <v>#REF!</v>
      </c>
      <c r="E95" s="27" t="e">
        <f t="shared" si="38"/>
        <v>#REF!</v>
      </c>
      <c r="F95" s="25"/>
      <c r="G95" s="25">
        <f t="shared" si="39"/>
        <v>164</v>
      </c>
      <c r="H95" s="25" t="e">
        <f t="shared" si="40"/>
        <v>#REF!</v>
      </c>
      <c r="I95" s="27" t="e">
        <f t="shared" si="41"/>
        <v>#REF!</v>
      </c>
      <c r="J95" s="25"/>
      <c r="K95" s="25">
        <f t="shared" si="42"/>
        <v>122</v>
      </c>
      <c r="L95" s="25" t="e">
        <f t="shared" si="43"/>
        <v>#REF!</v>
      </c>
      <c r="M95" s="27" t="e">
        <f t="shared" si="44"/>
        <v>#REF!</v>
      </c>
      <c r="N95" s="27"/>
      <c r="O95" s="26" t="str">
        <f t="shared" si="45"/>
        <v>Central</v>
      </c>
      <c r="P95" s="26" t="e">
        <f t="shared" si="46"/>
        <v>#REF!</v>
      </c>
      <c r="Q95" s="27" t="e">
        <f t="shared" si="47"/>
        <v>#VALUE!</v>
      </c>
      <c r="R95" s="27"/>
      <c r="S95" s="26">
        <f t="shared" si="48"/>
        <v>254</v>
      </c>
      <c r="T95" s="26" t="e">
        <f t="shared" si="49"/>
        <v>#REF!</v>
      </c>
      <c r="U95" s="27" t="e">
        <f t="shared" si="50"/>
        <v>#REF!</v>
      </c>
      <c r="V95" s="27"/>
      <c r="W95" s="26">
        <f t="shared" si="51"/>
        <v>130</v>
      </c>
      <c r="X95" s="26" t="e">
        <f t="shared" si="52"/>
        <v>#REF!</v>
      </c>
      <c r="Y95" s="27" t="e">
        <f t="shared" si="53"/>
        <v>#REF!</v>
      </c>
    </row>
    <row r="96" spans="1:25" ht="16.5" customHeight="1" x14ac:dyDescent="0.25">
      <c r="A96" s="16" t="s">
        <v>242</v>
      </c>
      <c r="B96" s="16" t="s">
        <v>243</v>
      </c>
      <c r="C96" s="25">
        <f t="shared" si="36"/>
        <v>817</v>
      </c>
      <c r="D96" s="25" t="e">
        <f t="shared" si="37"/>
        <v>#REF!</v>
      </c>
      <c r="E96" s="27" t="e">
        <f t="shared" si="38"/>
        <v>#REF!</v>
      </c>
      <c r="F96" s="25"/>
      <c r="G96" s="25">
        <f t="shared" si="39"/>
        <v>609</v>
      </c>
      <c r="H96" s="25" t="e">
        <f t="shared" si="40"/>
        <v>#REF!</v>
      </c>
      <c r="I96" s="27" t="e">
        <f t="shared" si="41"/>
        <v>#REF!</v>
      </c>
      <c r="J96" s="25"/>
      <c r="K96" s="25">
        <f t="shared" si="42"/>
        <v>1279</v>
      </c>
      <c r="L96" s="25" t="e">
        <f t="shared" si="43"/>
        <v>#REF!</v>
      </c>
      <c r="M96" s="27" t="e">
        <f t="shared" si="44"/>
        <v>#REF!</v>
      </c>
      <c r="N96" s="27"/>
      <c r="O96" s="26" t="str">
        <f t="shared" si="45"/>
        <v>Western</v>
      </c>
      <c r="P96" s="26" t="e">
        <f t="shared" si="46"/>
        <v>#REF!</v>
      </c>
      <c r="Q96" s="27" t="e">
        <f t="shared" si="47"/>
        <v>#VALUE!</v>
      </c>
      <c r="R96" s="27"/>
      <c r="S96" s="26">
        <f t="shared" si="48"/>
        <v>867</v>
      </c>
      <c r="T96" s="26" t="e">
        <f t="shared" si="49"/>
        <v>#REF!</v>
      </c>
      <c r="U96" s="27" t="e">
        <f t="shared" si="50"/>
        <v>#REF!</v>
      </c>
      <c r="V96" s="27"/>
      <c r="W96" s="26">
        <f t="shared" si="51"/>
        <v>558</v>
      </c>
      <c r="X96" s="26" t="e">
        <f t="shared" si="52"/>
        <v>#REF!</v>
      </c>
      <c r="Y96" s="27" t="e">
        <f t="shared" si="53"/>
        <v>#REF!</v>
      </c>
    </row>
    <row r="97" spans="1:25" ht="16.5" customHeight="1" x14ac:dyDescent="0.25">
      <c r="A97" s="16" t="s">
        <v>244</v>
      </c>
      <c r="B97" s="16" t="s">
        <v>245</v>
      </c>
      <c r="C97" s="25">
        <f t="shared" si="36"/>
        <v>283</v>
      </c>
      <c r="D97" s="25" t="e">
        <f t="shared" si="37"/>
        <v>#REF!</v>
      </c>
      <c r="E97" s="27" t="e">
        <f t="shared" si="38"/>
        <v>#REF!</v>
      </c>
      <c r="F97" s="25"/>
      <c r="G97" s="25">
        <f t="shared" si="39"/>
        <v>214</v>
      </c>
      <c r="H97" s="25" t="e">
        <f t="shared" si="40"/>
        <v>#REF!</v>
      </c>
      <c r="I97" s="27" t="e">
        <f t="shared" si="41"/>
        <v>#REF!</v>
      </c>
      <c r="J97" s="25"/>
      <c r="K97" s="25">
        <f t="shared" si="42"/>
        <v>407</v>
      </c>
      <c r="L97" s="25" t="e">
        <f t="shared" si="43"/>
        <v>#REF!</v>
      </c>
      <c r="M97" s="27" t="e">
        <f t="shared" si="44"/>
        <v>#REF!</v>
      </c>
      <c r="N97" s="27"/>
      <c r="O97" s="26" t="str">
        <f t="shared" si="45"/>
        <v>Western</v>
      </c>
      <c r="P97" s="26" t="e">
        <f t="shared" si="46"/>
        <v>#REF!</v>
      </c>
      <c r="Q97" s="27" t="e">
        <f t="shared" si="47"/>
        <v>#VALUE!</v>
      </c>
      <c r="R97" s="27"/>
      <c r="S97" s="26">
        <f t="shared" si="48"/>
        <v>323</v>
      </c>
      <c r="T97" s="26" t="e">
        <f t="shared" si="49"/>
        <v>#REF!</v>
      </c>
      <c r="U97" s="27" t="e">
        <f t="shared" si="50"/>
        <v>#REF!</v>
      </c>
      <c r="V97" s="27"/>
      <c r="W97" s="26">
        <f t="shared" si="51"/>
        <v>174</v>
      </c>
      <c r="X97" s="26" t="e">
        <f t="shared" si="52"/>
        <v>#REF!</v>
      </c>
      <c r="Y97" s="27" t="e">
        <f t="shared" si="53"/>
        <v>#REF!</v>
      </c>
    </row>
    <row r="98" spans="1:25" ht="16.5" customHeight="1" x14ac:dyDescent="0.25">
      <c r="A98" s="16" t="s">
        <v>246</v>
      </c>
      <c r="B98" s="16" t="s">
        <v>310</v>
      </c>
      <c r="C98" s="25">
        <f t="shared" si="36"/>
        <v>360</v>
      </c>
      <c r="D98" s="25" t="e">
        <f t="shared" si="37"/>
        <v>#REF!</v>
      </c>
      <c r="E98" s="27" t="e">
        <f t="shared" si="38"/>
        <v>#REF!</v>
      </c>
      <c r="F98" s="25"/>
      <c r="G98" s="25">
        <f t="shared" si="39"/>
        <v>209</v>
      </c>
      <c r="H98" s="25" t="e">
        <f t="shared" si="40"/>
        <v>#REF!</v>
      </c>
      <c r="I98" s="27" t="e">
        <f t="shared" si="41"/>
        <v>#REF!</v>
      </c>
      <c r="J98" s="25"/>
      <c r="K98" s="25">
        <f t="shared" si="42"/>
        <v>275</v>
      </c>
      <c r="L98" s="25" t="e">
        <f t="shared" si="43"/>
        <v>#REF!</v>
      </c>
      <c r="M98" s="27" t="e">
        <f t="shared" si="44"/>
        <v>#REF!</v>
      </c>
      <c r="N98" s="27"/>
      <c r="O98" s="26" t="str">
        <f t="shared" si="45"/>
        <v>Eastern</v>
      </c>
      <c r="P98" s="26" t="e">
        <f t="shared" si="46"/>
        <v>#REF!</v>
      </c>
      <c r="Q98" s="27" t="e">
        <f t="shared" si="47"/>
        <v>#VALUE!</v>
      </c>
      <c r="R98" s="27"/>
      <c r="S98" s="26">
        <f t="shared" si="48"/>
        <v>364</v>
      </c>
      <c r="T98" s="26" t="e">
        <f t="shared" si="49"/>
        <v>#REF!</v>
      </c>
      <c r="U98" s="27" t="e">
        <f t="shared" si="50"/>
        <v>#REF!</v>
      </c>
      <c r="V98" s="27"/>
      <c r="W98" s="26">
        <f t="shared" si="51"/>
        <v>205</v>
      </c>
      <c r="X98" s="26" t="e">
        <f t="shared" si="52"/>
        <v>#REF!</v>
      </c>
      <c r="Y98" s="27" t="e">
        <f t="shared" si="53"/>
        <v>#REF!</v>
      </c>
    </row>
    <row r="99" spans="1:25" ht="16.5" customHeight="1" x14ac:dyDescent="0.25">
      <c r="A99" s="16" t="s">
        <v>14</v>
      </c>
      <c r="B99" s="16" t="s">
        <v>15</v>
      </c>
      <c r="C99" s="25">
        <f t="shared" si="36"/>
        <v>1358</v>
      </c>
      <c r="D99" s="25" t="e">
        <f t="shared" si="37"/>
        <v>#REF!</v>
      </c>
      <c r="E99" s="27" t="e">
        <f t="shared" si="38"/>
        <v>#REF!</v>
      </c>
      <c r="F99" s="25"/>
      <c r="G99" s="25">
        <f t="shared" si="39"/>
        <v>837</v>
      </c>
      <c r="H99" s="25" t="e">
        <f t="shared" si="40"/>
        <v>#REF!</v>
      </c>
      <c r="I99" s="27" t="e">
        <f t="shared" si="41"/>
        <v>#REF!</v>
      </c>
      <c r="J99" s="25"/>
      <c r="K99" s="25">
        <f t="shared" si="42"/>
        <v>555</v>
      </c>
      <c r="L99" s="25" t="e">
        <f t="shared" si="43"/>
        <v>#REF!</v>
      </c>
      <c r="M99" s="27" t="e">
        <f t="shared" si="44"/>
        <v>#REF!</v>
      </c>
      <c r="N99" s="27"/>
      <c r="O99" s="26" t="str">
        <f t="shared" si="45"/>
        <v>Northern</v>
      </c>
      <c r="P99" s="26" t="e">
        <f t="shared" si="46"/>
        <v>#REF!</v>
      </c>
      <c r="Q99" s="27" t="e">
        <f t="shared" si="47"/>
        <v>#VALUE!</v>
      </c>
      <c r="R99" s="27"/>
      <c r="S99" s="26">
        <f t="shared" si="48"/>
        <v>1315</v>
      </c>
      <c r="T99" s="26" t="e">
        <f t="shared" si="49"/>
        <v>#REF!</v>
      </c>
      <c r="U99" s="27" t="e">
        <f t="shared" si="50"/>
        <v>#REF!</v>
      </c>
      <c r="V99" s="27"/>
      <c r="W99" s="26">
        <f t="shared" si="51"/>
        <v>877</v>
      </c>
      <c r="X99" s="26" t="e">
        <f t="shared" si="52"/>
        <v>#REF!</v>
      </c>
      <c r="Y99" s="27" t="e">
        <f t="shared" si="53"/>
        <v>#REF!</v>
      </c>
    </row>
    <row r="100" spans="1:25" ht="16.5" customHeight="1" x14ac:dyDescent="0.25">
      <c r="A100" s="16" t="s">
        <v>34</v>
      </c>
      <c r="B100" s="16" t="s">
        <v>35</v>
      </c>
      <c r="C100" s="25">
        <f t="shared" ref="C100:C123" si="54">VLOOKUP(A100,TANFClient_Demo,7,FALSE)</f>
        <v>585</v>
      </c>
      <c r="D100" s="25" t="e">
        <f t="shared" ref="D100:D123" si="55">VLOOKUP(A100,Pop,14,FALSE)</f>
        <v>#REF!</v>
      </c>
      <c r="E100" s="27" t="e">
        <f t="shared" ref="E100:E123" si="56">+C100/D100</f>
        <v>#REF!</v>
      </c>
      <c r="F100" s="25"/>
      <c r="G100" s="25">
        <f t="shared" ref="G100:G123" si="57">VLOOKUP(A100,TANFClient_Demo,8,FALSE)</f>
        <v>433</v>
      </c>
      <c r="H100" s="25" t="e">
        <f t="shared" ref="H100:H123" si="58">VLOOKUP(A100,Pop,15,FALSE)</f>
        <v>#REF!</v>
      </c>
      <c r="I100" s="27" t="e">
        <f t="shared" ref="I100:I123" si="59">+G100/H100</f>
        <v>#REF!</v>
      </c>
      <c r="J100" s="25"/>
      <c r="K100" s="25">
        <f t="shared" ref="K100:K123" si="60">VLOOKUP(A100,TANFClient_Demo,9,FALSE)</f>
        <v>790</v>
      </c>
      <c r="L100" s="25" t="e">
        <f t="shared" ref="L100:L123" si="61">VLOOKUP(A100,Pop,16,FALSE)</f>
        <v>#REF!</v>
      </c>
      <c r="M100" s="27" t="e">
        <f t="shared" ref="M100:M123" si="62">+K100/L100</f>
        <v>#REF!</v>
      </c>
      <c r="N100" s="27"/>
      <c r="O100" s="26" t="str">
        <f t="shared" ref="O100:O123" si="63">VLOOKUP(A100,TANFClient_Demo,3,FALSE)</f>
        <v>Western</v>
      </c>
      <c r="P100" s="26" t="e">
        <f t="shared" ref="P100:P123" si="64">VLOOKUP(A100,Pop,8,FALSE)</f>
        <v>#REF!</v>
      </c>
      <c r="Q100" s="27" t="e">
        <f t="shared" ref="Q100:Q123" si="65">+O100/P100</f>
        <v>#VALUE!</v>
      </c>
      <c r="R100" s="27"/>
      <c r="S100" s="26">
        <f t="shared" ref="S100:S123" si="66">VLOOKUP(A100,TANFClient_Demo,4,FALSE)</f>
        <v>624</v>
      </c>
      <c r="T100" s="26" t="e">
        <f t="shared" ref="T100:T123" si="67">VLOOKUP(A100,Pop,9,FALSE)</f>
        <v>#REF!</v>
      </c>
      <c r="U100" s="27" t="e">
        <f t="shared" ref="U100:U123" si="68">+S100/T100</f>
        <v>#REF!</v>
      </c>
      <c r="V100" s="27"/>
      <c r="W100" s="26">
        <f t="shared" ref="W100:W123" si="69">VLOOKUP(A100,TANFClient_Demo,5,FALSE)</f>
        <v>394</v>
      </c>
      <c r="X100" s="26" t="e">
        <f t="shared" ref="X100:X123" si="70">VLOOKUP(A100,Pop,10,FALSE)</f>
        <v>#REF!</v>
      </c>
      <c r="Y100" s="27" t="e">
        <f t="shared" ref="Y100:Y123" si="71">+W100/X100</f>
        <v>#REF!</v>
      </c>
    </row>
    <row r="101" spans="1:25" ht="16.5" customHeight="1" x14ac:dyDescent="0.25">
      <c r="A101" s="16" t="s">
        <v>52</v>
      </c>
      <c r="B101" s="16" t="s">
        <v>53</v>
      </c>
      <c r="C101" s="25">
        <f t="shared" si="54"/>
        <v>705</v>
      </c>
      <c r="D101" s="25" t="e">
        <f t="shared" si="55"/>
        <v>#REF!</v>
      </c>
      <c r="E101" s="27" t="e">
        <f t="shared" si="56"/>
        <v>#REF!</v>
      </c>
      <c r="F101" s="25"/>
      <c r="G101" s="25">
        <f t="shared" si="57"/>
        <v>484</v>
      </c>
      <c r="H101" s="25" t="e">
        <f t="shared" si="58"/>
        <v>#REF!</v>
      </c>
      <c r="I101" s="27" t="e">
        <f t="shared" si="59"/>
        <v>#REF!</v>
      </c>
      <c r="J101" s="25"/>
      <c r="K101" s="25">
        <f t="shared" si="60"/>
        <v>222</v>
      </c>
      <c r="L101" s="25" t="e">
        <f t="shared" si="61"/>
        <v>#REF!</v>
      </c>
      <c r="M101" s="27" t="e">
        <f t="shared" si="62"/>
        <v>#REF!</v>
      </c>
      <c r="N101" s="27"/>
      <c r="O101" s="26" t="str">
        <f t="shared" si="63"/>
        <v>Piedmont</v>
      </c>
      <c r="P101" s="26" t="e">
        <f t="shared" si="64"/>
        <v>#REF!</v>
      </c>
      <c r="Q101" s="27" t="e">
        <f t="shared" si="65"/>
        <v>#VALUE!</v>
      </c>
      <c r="R101" s="27"/>
      <c r="S101" s="26">
        <f t="shared" si="66"/>
        <v>743</v>
      </c>
      <c r="T101" s="26" t="e">
        <f t="shared" si="67"/>
        <v>#REF!</v>
      </c>
      <c r="U101" s="27" t="e">
        <f t="shared" si="68"/>
        <v>#REF!</v>
      </c>
      <c r="V101" s="27"/>
      <c r="W101" s="26">
        <f t="shared" si="69"/>
        <v>445</v>
      </c>
      <c r="X101" s="26" t="e">
        <f t="shared" si="70"/>
        <v>#REF!</v>
      </c>
      <c r="Y101" s="27" t="e">
        <f t="shared" si="71"/>
        <v>#REF!</v>
      </c>
    </row>
    <row r="102" spans="1:25" ht="16.5" customHeight="1" x14ac:dyDescent="0.25">
      <c r="A102" s="16" t="s">
        <v>54</v>
      </c>
      <c r="B102" s="16" t="s">
        <v>55</v>
      </c>
      <c r="C102" s="25">
        <f t="shared" si="54"/>
        <v>2566</v>
      </c>
      <c r="D102" s="25" t="e">
        <f t="shared" si="55"/>
        <v>#REF!</v>
      </c>
      <c r="E102" s="27" t="e">
        <f t="shared" si="56"/>
        <v>#REF!</v>
      </c>
      <c r="F102" s="25"/>
      <c r="G102" s="25">
        <f t="shared" si="57"/>
        <v>1570</v>
      </c>
      <c r="H102" s="25" t="e">
        <f t="shared" si="58"/>
        <v>#REF!</v>
      </c>
      <c r="I102" s="27" t="e">
        <f t="shared" si="59"/>
        <v>#REF!</v>
      </c>
      <c r="J102" s="25"/>
      <c r="K102" s="25">
        <f t="shared" si="60"/>
        <v>833</v>
      </c>
      <c r="L102" s="25" t="e">
        <f t="shared" si="61"/>
        <v>#REF!</v>
      </c>
      <c r="M102" s="27" t="e">
        <f t="shared" si="62"/>
        <v>#REF!</v>
      </c>
      <c r="N102" s="27"/>
      <c r="O102" s="26" t="str">
        <f t="shared" si="63"/>
        <v>Eastern</v>
      </c>
      <c r="P102" s="26" t="e">
        <f t="shared" si="64"/>
        <v>#REF!</v>
      </c>
      <c r="Q102" s="27" t="e">
        <f t="shared" si="65"/>
        <v>#VALUE!</v>
      </c>
      <c r="R102" s="27"/>
      <c r="S102" s="26">
        <f t="shared" si="66"/>
        <v>2723</v>
      </c>
      <c r="T102" s="26" t="e">
        <f t="shared" si="67"/>
        <v>#REF!</v>
      </c>
      <c r="U102" s="27" t="e">
        <f t="shared" si="68"/>
        <v>#REF!</v>
      </c>
      <c r="V102" s="27"/>
      <c r="W102" s="26">
        <f t="shared" si="69"/>
        <v>1412</v>
      </c>
      <c r="X102" s="26" t="e">
        <f t="shared" si="70"/>
        <v>#REF!</v>
      </c>
      <c r="Y102" s="27" t="e">
        <f t="shared" si="71"/>
        <v>#REF!</v>
      </c>
    </row>
    <row r="103" spans="1:25" ht="16.5" customHeight="1" x14ac:dyDescent="0.25">
      <c r="A103" s="16" t="s">
        <v>66</v>
      </c>
      <c r="B103" s="16" t="s">
        <v>67</v>
      </c>
      <c r="C103" s="25">
        <f t="shared" si="54"/>
        <v>1299</v>
      </c>
      <c r="D103" s="25" t="e">
        <f t="shared" si="55"/>
        <v>#REF!</v>
      </c>
      <c r="E103" s="27" t="e">
        <f t="shared" si="56"/>
        <v>#REF!</v>
      </c>
      <c r="F103" s="25"/>
      <c r="G103" s="25">
        <f t="shared" si="57"/>
        <v>787</v>
      </c>
      <c r="H103" s="25" t="e">
        <f t="shared" si="58"/>
        <v>#REF!</v>
      </c>
      <c r="I103" s="27" t="e">
        <f t="shared" si="59"/>
        <v>#REF!</v>
      </c>
      <c r="J103" s="25"/>
      <c r="K103" s="25">
        <f t="shared" si="60"/>
        <v>345</v>
      </c>
      <c r="L103" s="25" t="e">
        <f t="shared" si="61"/>
        <v>#REF!</v>
      </c>
      <c r="M103" s="27" t="e">
        <f t="shared" si="62"/>
        <v>#REF!</v>
      </c>
      <c r="N103" s="27"/>
      <c r="O103" s="26" t="str">
        <f t="shared" si="63"/>
        <v>Piedmont</v>
      </c>
      <c r="P103" s="26" t="e">
        <f t="shared" si="64"/>
        <v>#REF!</v>
      </c>
      <c r="Q103" s="27" t="e">
        <f t="shared" si="65"/>
        <v>#VALUE!</v>
      </c>
      <c r="R103" s="27"/>
      <c r="S103" s="26">
        <f t="shared" si="66"/>
        <v>1352</v>
      </c>
      <c r="T103" s="26" t="e">
        <f t="shared" si="67"/>
        <v>#REF!</v>
      </c>
      <c r="U103" s="27" t="e">
        <f t="shared" si="68"/>
        <v>#REF!</v>
      </c>
      <c r="V103" s="27"/>
      <c r="W103" s="26">
        <f t="shared" si="69"/>
        <v>730</v>
      </c>
      <c r="X103" s="26" t="e">
        <f t="shared" si="70"/>
        <v>#REF!</v>
      </c>
      <c r="Y103" s="27" t="e">
        <f t="shared" si="71"/>
        <v>#REF!</v>
      </c>
    </row>
    <row r="104" spans="1:25" ht="16.5" customHeight="1" x14ac:dyDescent="0.25">
      <c r="A104" s="16" t="s">
        <v>82</v>
      </c>
      <c r="B104" s="16" t="s">
        <v>311</v>
      </c>
      <c r="C104" s="25">
        <f t="shared" si="54"/>
        <v>250</v>
      </c>
      <c r="D104" s="25" t="e">
        <f t="shared" si="55"/>
        <v>#REF!</v>
      </c>
      <c r="E104" s="27" t="e">
        <f t="shared" si="56"/>
        <v>#REF!</v>
      </c>
      <c r="F104" s="25"/>
      <c r="G104" s="25">
        <f t="shared" si="57"/>
        <v>163</v>
      </c>
      <c r="H104" s="25" t="e">
        <f t="shared" si="58"/>
        <v>#REF!</v>
      </c>
      <c r="I104" s="27" t="e">
        <f t="shared" si="59"/>
        <v>#REF!</v>
      </c>
      <c r="J104" s="25"/>
      <c r="K104" s="25">
        <f t="shared" si="60"/>
        <v>34</v>
      </c>
      <c r="L104" s="25" t="e">
        <f t="shared" si="61"/>
        <v>#REF!</v>
      </c>
      <c r="M104" s="27" t="e">
        <f t="shared" si="62"/>
        <v>#REF!</v>
      </c>
      <c r="N104" s="27"/>
      <c r="O104" s="26" t="str">
        <f t="shared" si="63"/>
        <v>Eastern</v>
      </c>
      <c r="P104" s="26" t="e">
        <f t="shared" si="64"/>
        <v>#REF!</v>
      </c>
      <c r="Q104" s="27" t="e">
        <f t="shared" si="65"/>
        <v>#VALUE!</v>
      </c>
      <c r="R104" s="27"/>
      <c r="S104" s="26">
        <f t="shared" si="66"/>
        <v>276</v>
      </c>
      <c r="T104" s="26" t="e">
        <f t="shared" si="67"/>
        <v>#REF!</v>
      </c>
      <c r="U104" s="27" t="e">
        <f t="shared" si="68"/>
        <v>#REF!</v>
      </c>
      <c r="V104" s="27"/>
      <c r="W104" s="26">
        <f t="shared" si="69"/>
        <v>137</v>
      </c>
      <c r="X104" s="26" t="e">
        <f t="shared" si="70"/>
        <v>#REF!</v>
      </c>
      <c r="Y104" s="27" t="e">
        <f t="shared" si="71"/>
        <v>#REF!</v>
      </c>
    </row>
    <row r="105" spans="1:25" ht="16.5" customHeight="1" x14ac:dyDescent="0.25">
      <c r="A105" s="16" t="s">
        <v>88</v>
      </c>
      <c r="B105" s="16" t="s">
        <v>89</v>
      </c>
      <c r="C105" s="25">
        <f t="shared" si="54"/>
        <v>575</v>
      </c>
      <c r="D105" s="25" t="e">
        <f t="shared" si="55"/>
        <v>#REF!</v>
      </c>
      <c r="E105" s="27" t="e">
        <f t="shared" si="56"/>
        <v>#REF!</v>
      </c>
      <c r="F105" s="25"/>
      <c r="G105" s="25">
        <f t="shared" si="57"/>
        <v>337</v>
      </c>
      <c r="H105" s="25" t="e">
        <f t="shared" si="58"/>
        <v>#REF!</v>
      </c>
      <c r="I105" s="27" t="e">
        <f t="shared" si="59"/>
        <v>#REF!</v>
      </c>
      <c r="J105" s="25"/>
      <c r="K105" s="25">
        <f t="shared" si="60"/>
        <v>286</v>
      </c>
      <c r="L105" s="25" t="e">
        <f t="shared" si="61"/>
        <v>#REF!</v>
      </c>
      <c r="M105" s="27" t="e">
        <f t="shared" si="62"/>
        <v>#REF!</v>
      </c>
      <c r="N105" s="27"/>
      <c r="O105" s="26" t="str">
        <f t="shared" si="63"/>
        <v>Northern</v>
      </c>
      <c r="P105" s="26" t="e">
        <f t="shared" si="64"/>
        <v>#REF!</v>
      </c>
      <c r="Q105" s="27" t="e">
        <f t="shared" si="65"/>
        <v>#VALUE!</v>
      </c>
      <c r="R105" s="27"/>
      <c r="S105" s="26">
        <f t="shared" si="66"/>
        <v>557</v>
      </c>
      <c r="T105" s="26" t="e">
        <f t="shared" si="67"/>
        <v>#REF!</v>
      </c>
      <c r="U105" s="27" t="e">
        <f t="shared" si="68"/>
        <v>#REF!</v>
      </c>
      <c r="V105" s="27"/>
      <c r="W105" s="26">
        <f t="shared" si="69"/>
        <v>355</v>
      </c>
      <c r="X105" s="26" t="e">
        <f t="shared" si="70"/>
        <v>#REF!</v>
      </c>
      <c r="Y105" s="27" t="e">
        <f t="shared" si="71"/>
        <v>#REF!</v>
      </c>
    </row>
    <row r="106" spans="1:25" ht="16.5" customHeight="1" x14ac:dyDescent="0.25">
      <c r="A106" s="16" t="s">
        <v>90</v>
      </c>
      <c r="B106" s="16" t="s">
        <v>91</v>
      </c>
      <c r="C106" s="25">
        <f t="shared" si="54"/>
        <v>121</v>
      </c>
      <c r="D106" s="25" t="e">
        <f t="shared" si="55"/>
        <v>#REF!</v>
      </c>
      <c r="E106" s="27" t="e">
        <f t="shared" si="56"/>
        <v>#REF!</v>
      </c>
      <c r="F106" s="25"/>
      <c r="G106" s="25">
        <f t="shared" si="57"/>
        <v>89</v>
      </c>
      <c r="H106" s="25" t="e">
        <f t="shared" si="58"/>
        <v>#REF!</v>
      </c>
      <c r="I106" s="27" t="e">
        <f t="shared" si="59"/>
        <v>#REF!</v>
      </c>
      <c r="J106" s="25"/>
      <c r="K106" s="25">
        <f t="shared" si="60"/>
        <v>151</v>
      </c>
      <c r="L106" s="25" t="e">
        <f t="shared" si="61"/>
        <v>#REF!</v>
      </c>
      <c r="M106" s="27" t="e">
        <f t="shared" si="62"/>
        <v>#REF!</v>
      </c>
      <c r="N106" s="27"/>
      <c r="O106" s="26" t="str">
        <f t="shared" si="63"/>
        <v>Western</v>
      </c>
      <c r="P106" s="26" t="e">
        <f t="shared" si="64"/>
        <v>#REF!</v>
      </c>
      <c r="Q106" s="27" t="e">
        <f t="shared" si="65"/>
        <v>#VALUE!</v>
      </c>
      <c r="R106" s="27"/>
      <c r="S106" s="26">
        <f t="shared" si="66"/>
        <v>137</v>
      </c>
      <c r="T106" s="26" t="e">
        <f t="shared" si="67"/>
        <v>#REF!</v>
      </c>
      <c r="U106" s="27" t="e">
        <f t="shared" si="68"/>
        <v>#REF!</v>
      </c>
      <c r="V106" s="27"/>
      <c r="W106" s="26">
        <f t="shared" si="69"/>
        <v>73</v>
      </c>
      <c r="X106" s="26" t="e">
        <f t="shared" si="70"/>
        <v>#REF!</v>
      </c>
      <c r="Y106" s="27" t="e">
        <f t="shared" si="71"/>
        <v>#REF!</v>
      </c>
    </row>
    <row r="107" spans="1:25" ht="16.5" customHeight="1" x14ac:dyDescent="0.25">
      <c r="A107" s="16" t="s">
        <v>106</v>
      </c>
      <c r="B107" s="16" t="s">
        <v>107</v>
      </c>
      <c r="C107" s="25">
        <f t="shared" si="54"/>
        <v>3013</v>
      </c>
      <c r="D107" s="25" t="e">
        <f t="shared" si="55"/>
        <v>#REF!</v>
      </c>
      <c r="E107" s="27" t="e">
        <f t="shared" si="56"/>
        <v>#REF!</v>
      </c>
      <c r="F107" s="25"/>
      <c r="G107" s="25">
        <f t="shared" si="57"/>
        <v>1794</v>
      </c>
      <c r="H107" s="25" t="e">
        <f t="shared" si="58"/>
        <v>#REF!</v>
      </c>
      <c r="I107" s="27" t="e">
        <f t="shared" si="59"/>
        <v>#REF!</v>
      </c>
      <c r="J107" s="25"/>
      <c r="K107" s="25">
        <f t="shared" si="60"/>
        <v>601</v>
      </c>
      <c r="L107" s="25" t="e">
        <f t="shared" si="61"/>
        <v>#REF!</v>
      </c>
      <c r="M107" s="27" t="e">
        <f t="shared" si="62"/>
        <v>#REF!</v>
      </c>
      <c r="N107" s="27"/>
      <c r="O107" s="26" t="str">
        <f t="shared" si="63"/>
        <v>Eastern</v>
      </c>
      <c r="P107" s="26" t="e">
        <f t="shared" si="64"/>
        <v>#REF!</v>
      </c>
      <c r="Q107" s="27" t="e">
        <f t="shared" si="65"/>
        <v>#VALUE!</v>
      </c>
      <c r="R107" s="27"/>
      <c r="S107" s="26">
        <f t="shared" si="66"/>
        <v>3130</v>
      </c>
      <c r="T107" s="26" t="e">
        <f t="shared" si="67"/>
        <v>#REF!</v>
      </c>
      <c r="U107" s="27" t="e">
        <f t="shared" si="68"/>
        <v>#REF!</v>
      </c>
      <c r="V107" s="27"/>
      <c r="W107" s="26">
        <f t="shared" si="69"/>
        <v>1671</v>
      </c>
      <c r="X107" s="26" t="e">
        <f t="shared" si="70"/>
        <v>#REF!</v>
      </c>
      <c r="Y107" s="27" t="e">
        <f t="shared" si="71"/>
        <v>#REF!</v>
      </c>
    </row>
    <row r="108" spans="1:25" ht="16.5" customHeight="1" x14ac:dyDescent="0.25">
      <c r="A108" s="16" t="s">
        <v>116</v>
      </c>
      <c r="B108" s="16" t="s">
        <v>117</v>
      </c>
      <c r="C108" s="25">
        <f t="shared" si="54"/>
        <v>920</v>
      </c>
      <c r="D108" s="25" t="e">
        <f t="shared" si="55"/>
        <v>#REF!</v>
      </c>
      <c r="E108" s="27" t="e">
        <f t="shared" si="56"/>
        <v>#REF!</v>
      </c>
      <c r="F108" s="25"/>
      <c r="G108" s="25">
        <f t="shared" si="57"/>
        <v>548</v>
      </c>
      <c r="H108" s="25" t="e">
        <f t="shared" si="58"/>
        <v>#REF!</v>
      </c>
      <c r="I108" s="27" t="e">
        <f t="shared" si="59"/>
        <v>#REF!</v>
      </c>
      <c r="J108" s="25"/>
      <c r="K108" s="25">
        <f t="shared" si="60"/>
        <v>407</v>
      </c>
      <c r="L108" s="25" t="e">
        <f t="shared" si="61"/>
        <v>#REF!</v>
      </c>
      <c r="M108" s="27" t="e">
        <f t="shared" si="62"/>
        <v>#REF!</v>
      </c>
      <c r="N108" s="27"/>
      <c r="O108" s="26" t="str">
        <f t="shared" si="63"/>
        <v>Central</v>
      </c>
      <c r="P108" s="26" t="e">
        <f t="shared" si="64"/>
        <v>#REF!</v>
      </c>
      <c r="Q108" s="27" t="e">
        <f t="shared" si="65"/>
        <v>#VALUE!</v>
      </c>
      <c r="R108" s="27"/>
      <c r="S108" s="26">
        <f t="shared" si="66"/>
        <v>936</v>
      </c>
      <c r="T108" s="26" t="e">
        <f t="shared" si="67"/>
        <v>#REF!</v>
      </c>
      <c r="U108" s="27" t="e">
        <f t="shared" si="68"/>
        <v>#REF!</v>
      </c>
      <c r="V108" s="27"/>
      <c r="W108" s="26">
        <f t="shared" si="69"/>
        <v>531</v>
      </c>
      <c r="X108" s="26" t="e">
        <f t="shared" si="70"/>
        <v>#REF!</v>
      </c>
      <c r="Y108" s="27" t="e">
        <f t="shared" si="71"/>
        <v>#REF!</v>
      </c>
    </row>
    <row r="109" spans="1:25" ht="16.5" customHeight="1" x14ac:dyDescent="0.25">
      <c r="A109" s="16" t="s">
        <v>138</v>
      </c>
      <c r="B109" s="16" t="s">
        <v>139</v>
      </c>
      <c r="C109" s="25">
        <f t="shared" si="54"/>
        <v>1475</v>
      </c>
      <c r="D109" s="25" t="e">
        <f t="shared" si="55"/>
        <v>#REF!</v>
      </c>
      <c r="E109" s="27" t="e">
        <f t="shared" si="56"/>
        <v>#REF!</v>
      </c>
      <c r="F109" s="25"/>
      <c r="G109" s="25">
        <f t="shared" si="57"/>
        <v>858</v>
      </c>
      <c r="H109" s="25" t="e">
        <f t="shared" si="58"/>
        <v>#REF!</v>
      </c>
      <c r="I109" s="27" t="e">
        <f t="shared" si="59"/>
        <v>#REF!</v>
      </c>
      <c r="J109" s="25"/>
      <c r="K109" s="25">
        <f t="shared" si="60"/>
        <v>450</v>
      </c>
      <c r="L109" s="25" t="e">
        <f t="shared" si="61"/>
        <v>#REF!</v>
      </c>
      <c r="M109" s="27" t="e">
        <f t="shared" si="62"/>
        <v>#REF!</v>
      </c>
      <c r="N109" s="27"/>
      <c r="O109" s="26" t="str">
        <f t="shared" si="63"/>
        <v>Piedmont</v>
      </c>
      <c r="P109" s="26" t="e">
        <f t="shared" si="64"/>
        <v>#REF!</v>
      </c>
      <c r="Q109" s="27" t="e">
        <f t="shared" si="65"/>
        <v>#VALUE!</v>
      </c>
      <c r="R109" s="27"/>
      <c r="S109" s="26">
        <f t="shared" si="66"/>
        <v>1505</v>
      </c>
      <c r="T109" s="26" t="e">
        <f t="shared" si="67"/>
        <v>#REF!</v>
      </c>
      <c r="U109" s="27" t="e">
        <f t="shared" si="68"/>
        <v>#REF!</v>
      </c>
      <c r="V109" s="27"/>
      <c r="W109" s="26">
        <f t="shared" si="69"/>
        <v>826</v>
      </c>
      <c r="X109" s="26" t="e">
        <f t="shared" si="70"/>
        <v>#REF!</v>
      </c>
      <c r="Y109" s="27" t="e">
        <f t="shared" si="71"/>
        <v>#REF!</v>
      </c>
    </row>
    <row r="110" spans="1:25" ht="16.5" customHeight="1" x14ac:dyDescent="0.25">
      <c r="A110" s="16" t="s">
        <v>142</v>
      </c>
      <c r="B110" s="16" t="s">
        <v>143</v>
      </c>
      <c r="C110" s="25">
        <f t="shared" si="54"/>
        <v>471</v>
      </c>
      <c r="D110" s="25" t="e">
        <f t="shared" si="55"/>
        <v>#REF!</v>
      </c>
      <c r="E110" s="27" t="e">
        <f t="shared" si="56"/>
        <v>#REF!</v>
      </c>
      <c r="F110" s="25"/>
      <c r="G110" s="25">
        <f t="shared" si="57"/>
        <v>312</v>
      </c>
      <c r="H110" s="25" t="e">
        <f t="shared" si="58"/>
        <v>#REF!</v>
      </c>
      <c r="I110" s="27" t="e">
        <f t="shared" si="59"/>
        <v>#REF!</v>
      </c>
      <c r="J110" s="25"/>
      <c r="K110" s="25">
        <f t="shared" si="60"/>
        <v>336</v>
      </c>
      <c r="L110" s="25" t="e">
        <f t="shared" si="61"/>
        <v>#REF!</v>
      </c>
      <c r="M110" s="27" t="e">
        <f t="shared" si="62"/>
        <v>#REF!</v>
      </c>
      <c r="N110" s="27"/>
      <c r="O110" s="26" t="str">
        <f t="shared" si="63"/>
        <v>Northern</v>
      </c>
      <c r="P110" s="26" t="e">
        <f t="shared" si="64"/>
        <v>#REF!</v>
      </c>
      <c r="Q110" s="27" t="e">
        <f t="shared" si="65"/>
        <v>#VALUE!</v>
      </c>
      <c r="R110" s="27"/>
      <c r="S110" s="26">
        <f t="shared" si="66"/>
        <v>496</v>
      </c>
      <c r="T110" s="26" t="e">
        <f t="shared" si="67"/>
        <v>#REF!</v>
      </c>
      <c r="U110" s="27" t="e">
        <f t="shared" si="68"/>
        <v>#REF!</v>
      </c>
      <c r="V110" s="27"/>
      <c r="W110" s="26">
        <f t="shared" si="69"/>
        <v>287</v>
      </c>
      <c r="X110" s="26" t="e">
        <f t="shared" si="70"/>
        <v>#REF!</v>
      </c>
      <c r="Y110" s="27" t="e">
        <f t="shared" si="71"/>
        <v>#REF!</v>
      </c>
    </row>
    <row r="111" spans="1:25" ht="16.5" customHeight="1" x14ac:dyDescent="0.25">
      <c r="A111" s="16" t="s">
        <v>144</v>
      </c>
      <c r="B111" s="16" t="s">
        <v>145</v>
      </c>
      <c r="C111" s="25">
        <f t="shared" si="54"/>
        <v>106</v>
      </c>
      <c r="D111" s="25" t="e">
        <f t="shared" si="55"/>
        <v>#REF!</v>
      </c>
      <c r="E111" s="27" t="e">
        <f t="shared" si="56"/>
        <v>#REF!</v>
      </c>
      <c r="F111" s="25"/>
      <c r="G111" s="25">
        <f t="shared" si="57"/>
        <v>69</v>
      </c>
      <c r="H111" s="25" t="e">
        <f t="shared" si="58"/>
        <v>#REF!</v>
      </c>
      <c r="I111" s="27" t="e">
        <f t="shared" si="59"/>
        <v>#REF!</v>
      </c>
      <c r="J111" s="25"/>
      <c r="K111" s="25">
        <f t="shared" si="60"/>
        <v>75</v>
      </c>
      <c r="L111" s="25" t="e">
        <f t="shared" si="61"/>
        <v>#REF!</v>
      </c>
      <c r="M111" s="27" t="e">
        <f t="shared" si="62"/>
        <v>#REF!</v>
      </c>
      <c r="N111" s="27"/>
      <c r="O111" s="26" t="str">
        <f t="shared" si="63"/>
        <v>Northern</v>
      </c>
      <c r="P111" s="26" t="e">
        <f t="shared" si="64"/>
        <v>#REF!</v>
      </c>
      <c r="Q111" s="27" t="e">
        <f t="shared" si="65"/>
        <v>#VALUE!</v>
      </c>
      <c r="R111" s="27"/>
      <c r="S111" s="26">
        <f t="shared" si="66"/>
        <v>104</v>
      </c>
      <c r="T111" s="26" t="e">
        <f t="shared" si="67"/>
        <v>#REF!</v>
      </c>
      <c r="U111" s="27" t="e">
        <f t="shared" si="68"/>
        <v>#REF!</v>
      </c>
      <c r="V111" s="27"/>
      <c r="W111" s="26">
        <f t="shared" si="69"/>
        <v>71</v>
      </c>
      <c r="X111" s="26" t="e">
        <f t="shared" si="70"/>
        <v>#REF!</v>
      </c>
      <c r="Y111" s="27" t="e">
        <f t="shared" si="71"/>
        <v>#REF!</v>
      </c>
    </row>
    <row r="112" spans="1:25" ht="16.5" customHeight="1" x14ac:dyDescent="0.25">
      <c r="A112" s="16" t="s">
        <v>158</v>
      </c>
      <c r="B112" s="16" t="s">
        <v>159</v>
      </c>
      <c r="C112" s="25">
        <f t="shared" si="54"/>
        <v>4491</v>
      </c>
      <c r="D112" s="25" t="e">
        <f t="shared" si="55"/>
        <v>#REF!</v>
      </c>
      <c r="E112" s="27" t="e">
        <f t="shared" si="56"/>
        <v>#REF!</v>
      </c>
      <c r="F112" s="25"/>
      <c r="G112" s="25">
        <f t="shared" si="57"/>
        <v>2673</v>
      </c>
      <c r="H112" s="25" t="e">
        <f t="shared" si="58"/>
        <v>#REF!</v>
      </c>
      <c r="I112" s="27" t="e">
        <f t="shared" si="59"/>
        <v>#REF!</v>
      </c>
      <c r="J112" s="25"/>
      <c r="K112" s="25">
        <f t="shared" si="60"/>
        <v>960</v>
      </c>
      <c r="L112" s="25" t="e">
        <f t="shared" si="61"/>
        <v>#REF!</v>
      </c>
      <c r="M112" s="27" t="e">
        <f t="shared" si="62"/>
        <v>#REF!</v>
      </c>
      <c r="N112" s="27"/>
      <c r="O112" s="26" t="str">
        <f t="shared" si="63"/>
        <v>Eastern</v>
      </c>
      <c r="P112" s="26" t="e">
        <f t="shared" si="64"/>
        <v>#REF!</v>
      </c>
      <c r="Q112" s="27" t="e">
        <f t="shared" si="65"/>
        <v>#VALUE!</v>
      </c>
      <c r="R112" s="27"/>
      <c r="S112" s="26">
        <f t="shared" si="66"/>
        <v>4615</v>
      </c>
      <c r="T112" s="26" t="e">
        <f t="shared" si="67"/>
        <v>#REF!</v>
      </c>
      <c r="U112" s="27" t="e">
        <f t="shared" si="68"/>
        <v>#REF!</v>
      </c>
      <c r="V112" s="27"/>
      <c r="W112" s="26">
        <f t="shared" si="69"/>
        <v>2542</v>
      </c>
      <c r="X112" s="26" t="e">
        <f t="shared" si="70"/>
        <v>#REF!</v>
      </c>
      <c r="Y112" s="27" t="e">
        <f t="shared" si="71"/>
        <v>#REF!</v>
      </c>
    </row>
    <row r="113" spans="1:25" ht="16.5" customHeight="1" x14ac:dyDescent="0.25">
      <c r="A113" s="16" t="s">
        <v>160</v>
      </c>
      <c r="B113" s="16" t="s">
        <v>161</v>
      </c>
      <c r="C113" s="25">
        <f t="shared" si="54"/>
        <v>5170</v>
      </c>
      <c r="D113" s="25" t="e">
        <f t="shared" si="55"/>
        <v>#REF!</v>
      </c>
      <c r="E113" s="27" t="e">
        <f t="shared" si="56"/>
        <v>#REF!</v>
      </c>
      <c r="F113" s="25"/>
      <c r="G113" s="25">
        <f t="shared" si="57"/>
        <v>2928</v>
      </c>
      <c r="H113" s="25" t="e">
        <f t="shared" si="58"/>
        <v>#REF!</v>
      </c>
      <c r="I113" s="27" t="e">
        <f t="shared" si="59"/>
        <v>#REF!</v>
      </c>
      <c r="J113" s="25"/>
      <c r="K113" s="25">
        <f t="shared" si="60"/>
        <v>776</v>
      </c>
      <c r="L113" s="25" t="e">
        <f t="shared" si="61"/>
        <v>#REF!</v>
      </c>
      <c r="M113" s="27" t="e">
        <f t="shared" si="62"/>
        <v>#REF!</v>
      </c>
      <c r="N113" s="27"/>
      <c r="O113" s="26" t="str">
        <f t="shared" si="63"/>
        <v>Eastern</v>
      </c>
      <c r="P113" s="26" t="e">
        <f t="shared" si="64"/>
        <v>#REF!</v>
      </c>
      <c r="Q113" s="27" t="e">
        <f t="shared" si="65"/>
        <v>#VALUE!</v>
      </c>
      <c r="R113" s="27"/>
      <c r="S113" s="26">
        <f t="shared" si="66"/>
        <v>5282</v>
      </c>
      <c r="T113" s="26" t="e">
        <f t="shared" si="67"/>
        <v>#REF!</v>
      </c>
      <c r="U113" s="27" t="e">
        <f t="shared" si="68"/>
        <v>#REF!</v>
      </c>
      <c r="V113" s="27"/>
      <c r="W113" s="26">
        <f t="shared" si="69"/>
        <v>2806</v>
      </c>
      <c r="X113" s="26" t="e">
        <f t="shared" si="70"/>
        <v>#REF!</v>
      </c>
      <c r="Y113" s="27" t="e">
        <f t="shared" si="71"/>
        <v>#REF!</v>
      </c>
    </row>
    <row r="114" spans="1:25" ht="16.5" customHeight="1" x14ac:dyDescent="0.25">
      <c r="A114" s="16" t="s">
        <v>166</v>
      </c>
      <c r="B114" s="16" t="s">
        <v>167</v>
      </c>
      <c r="C114" s="25">
        <f t="shared" si="54"/>
        <v>148</v>
      </c>
      <c r="D114" s="25" t="e">
        <f t="shared" si="55"/>
        <v>#REF!</v>
      </c>
      <c r="E114" s="27" t="e">
        <f t="shared" si="56"/>
        <v>#REF!</v>
      </c>
      <c r="F114" s="25"/>
      <c r="G114" s="25">
        <f t="shared" si="57"/>
        <v>97</v>
      </c>
      <c r="H114" s="25" t="e">
        <f t="shared" si="58"/>
        <v>#REF!</v>
      </c>
      <c r="I114" s="27" t="e">
        <f t="shared" si="59"/>
        <v>#REF!</v>
      </c>
      <c r="J114" s="25"/>
      <c r="K114" s="25">
        <f t="shared" si="60"/>
        <v>180</v>
      </c>
      <c r="L114" s="25" t="e">
        <f t="shared" si="61"/>
        <v>#REF!</v>
      </c>
      <c r="M114" s="27" t="e">
        <f t="shared" si="62"/>
        <v>#REF!</v>
      </c>
      <c r="N114" s="27"/>
      <c r="O114" s="26" t="str">
        <f t="shared" si="63"/>
        <v>Western</v>
      </c>
      <c r="P114" s="26" t="e">
        <f t="shared" si="64"/>
        <v>#REF!</v>
      </c>
      <c r="Q114" s="27" t="e">
        <f t="shared" si="65"/>
        <v>#VALUE!</v>
      </c>
      <c r="R114" s="27"/>
      <c r="S114" s="26">
        <f t="shared" si="66"/>
        <v>148</v>
      </c>
      <c r="T114" s="26" t="e">
        <f t="shared" si="67"/>
        <v>#REF!</v>
      </c>
      <c r="U114" s="27" t="e">
        <f t="shared" si="68"/>
        <v>#REF!</v>
      </c>
      <c r="V114" s="27"/>
      <c r="W114" s="26">
        <f t="shared" si="69"/>
        <v>96</v>
      </c>
      <c r="X114" s="26" t="e">
        <f t="shared" si="70"/>
        <v>#REF!</v>
      </c>
      <c r="Y114" s="27" t="e">
        <f t="shared" si="71"/>
        <v>#REF!</v>
      </c>
    </row>
    <row r="115" spans="1:25" ht="16.5" customHeight="1" x14ac:dyDescent="0.25">
      <c r="A115" s="16" t="s">
        <v>176</v>
      </c>
      <c r="B115" s="16" t="s">
        <v>177</v>
      </c>
      <c r="C115" s="25">
        <f t="shared" si="54"/>
        <v>1502</v>
      </c>
      <c r="D115" s="25" t="e">
        <f t="shared" si="55"/>
        <v>#REF!</v>
      </c>
      <c r="E115" s="27" t="e">
        <f t="shared" si="56"/>
        <v>#REF!</v>
      </c>
      <c r="F115" s="25"/>
      <c r="G115" s="25">
        <f t="shared" si="57"/>
        <v>817</v>
      </c>
      <c r="H115" s="25" t="e">
        <f t="shared" si="58"/>
        <v>#REF!</v>
      </c>
      <c r="I115" s="27" t="e">
        <f t="shared" si="59"/>
        <v>#REF!</v>
      </c>
      <c r="J115" s="25"/>
      <c r="K115" s="25">
        <f t="shared" si="60"/>
        <v>96</v>
      </c>
      <c r="L115" s="25" t="e">
        <f t="shared" si="61"/>
        <v>#REF!</v>
      </c>
      <c r="M115" s="27" t="e">
        <f t="shared" si="62"/>
        <v>#REF!</v>
      </c>
      <c r="N115" s="27"/>
      <c r="O115" s="26" t="str">
        <f t="shared" si="63"/>
        <v>Central</v>
      </c>
      <c r="P115" s="26" t="e">
        <f t="shared" si="64"/>
        <v>#REF!</v>
      </c>
      <c r="Q115" s="27" t="e">
        <f t="shared" si="65"/>
        <v>#VALUE!</v>
      </c>
      <c r="R115" s="27"/>
      <c r="S115" s="26">
        <f t="shared" si="66"/>
        <v>1452</v>
      </c>
      <c r="T115" s="26" t="e">
        <f t="shared" si="67"/>
        <v>#REF!</v>
      </c>
      <c r="U115" s="27" t="e">
        <f t="shared" si="68"/>
        <v>#REF!</v>
      </c>
      <c r="V115" s="27"/>
      <c r="W115" s="26">
        <f t="shared" si="69"/>
        <v>866</v>
      </c>
      <c r="X115" s="26" t="e">
        <f t="shared" si="70"/>
        <v>#REF!</v>
      </c>
      <c r="Y115" s="27" t="e">
        <f t="shared" si="71"/>
        <v>#REF!</v>
      </c>
    </row>
    <row r="116" spans="1:25" ht="16.5" customHeight="1" x14ac:dyDescent="0.25">
      <c r="A116" s="16" t="s">
        <v>180</v>
      </c>
      <c r="B116" s="16" t="s">
        <v>181</v>
      </c>
      <c r="C116" s="25">
        <f t="shared" si="54"/>
        <v>2883</v>
      </c>
      <c r="D116" s="25" t="e">
        <f t="shared" si="55"/>
        <v>#REF!</v>
      </c>
      <c r="E116" s="27" t="e">
        <f t="shared" si="56"/>
        <v>#REF!</v>
      </c>
      <c r="F116" s="25"/>
      <c r="G116" s="25">
        <f t="shared" si="57"/>
        <v>1688</v>
      </c>
      <c r="H116" s="25" t="e">
        <f t="shared" si="58"/>
        <v>#REF!</v>
      </c>
      <c r="I116" s="27" t="e">
        <f t="shared" si="59"/>
        <v>#REF!</v>
      </c>
      <c r="J116" s="25"/>
      <c r="K116" s="25">
        <f t="shared" si="60"/>
        <v>477</v>
      </c>
      <c r="L116" s="25" t="e">
        <f t="shared" si="61"/>
        <v>#REF!</v>
      </c>
      <c r="M116" s="27" t="e">
        <f t="shared" si="62"/>
        <v>#REF!</v>
      </c>
      <c r="N116" s="27"/>
      <c r="O116" s="26" t="str">
        <f t="shared" si="63"/>
        <v>Eastern</v>
      </c>
      <c r="P116" s="26" t="e">
        <f t="shared" si="64"/>
        <v>#REF!</v>
      </c>
      <c r="Q116" s="27" t="e">
        <f t="shared" si="65"/>
        <v>#VALUE!</v>
      </c>
      <c r="R116" s="27"/>
      <c r="S116" s="26">
        <f t="shared" si="66"/>
        <v>3010</v>
      </c>
      <c r="T116" s="26" t="e">
        <f t="shared" si="67"/>
        <v>#REF!</v>
      </c>
      <c r="U116" s="27" t="e">
        <f t="shared" si="68"/>
        <v>#REF!</v>
      </c>
      <c r="V116" s="27"/>
      <c r="W116" s="26">
        <f t="shared" si="69"/>
        <v>1558</v>
      </c>
      <c r="X116" s="26" t="e">
        <f t="shared" si="70"/>
        <v>#REF!</v>
      </c>
      <c r="Y116" s="27" t="e">
        <f t="shared" si="71"/>
        <v>#REF!</v>
      </c>
    </row>
    <row r="117" spans="1:25" ht="16.5" customHeight="1" x14ac:dyDescent="0.25">
      <c r="A117" s="16" t="s">
        <v>192</v>
      </c>
      <c r="B117" s="16" t="s">
        <v>193</v>
      </c>
      <c r="C117" s="25">
        <f t="shared" si="54"/>
        <v>175</v>
      </c>
      <c r="D117" s="25" t="e">
        <f t="shared" si="55"/>
        <v>#REF!</v>
      </c>
      <c r="E117" s="27" t="e">
        <f t="shared" si="56"/>
        <v>#REF!</v>
      </c>
      <c r="F117" s="25"/>
      <c r="G117" s="25">
        <f t="shared" si="57"/>
        <v>147</v>
      </c>
      <c r="H117" s="25" t="e">
        <f t="shared" si="58"/>
        <v>#REF!</v>
      </c>
      <c r="I117" s="27" t="e">
        <f t="shared" si="59"/>
        <v>#REF!</v>
      </c>
      <c r="J117" s="25"/>
      <c r="K117" s="25">
        <f t="shared" si="60"/>
        <v>222</v>
      </c>
      <c r="L117" s="25" t="e">
        <f t="shared" si="61"/>
        <v>#REF!</v>
      </c>
      <c r="M117" s="27" t="e">
        <f t="shared" si="62"/>
        <v>#REF!</v>
      </c>
      <c r="N117" s="27"/>
      <c r="O117" s="26" t="str">
        <f t="shared" si="63"/>
        <v>Western</v>
      </c>
      <c r="P117" s="26" t="e">
        <f t="shared" si="64"/>
        <v>#REF!</v>
      </c>
      <c r="Q117" s="27" t="e">
        <f t="shared" si="65"/>
        <v>#VALUE!</v>
      </c>
      <c r="R117" s="27"/>
      <c r="S117" s="26">
        <f t="shared" si="66"/>
        <v>198</v>
      </c>
      <c r="T117" s="26" t="e">
        <f t="shared" si="67"/>
        <v>#REF!</v>
      </c>
      <c r="U117" s="27" t="e">
        <f t="shared" si="68"/>
        <v>#REF!</v>
      </c>
      <c r="V117" s="27"/>
      <c r="W117" s="26">
        <f t="shared" si="69"/>
        <v>124</v>
      </c>
      <c r="X117" s="26" t="e">
        <f t="shared" si="70"/>
        <v>#REF!</v>
      </c>
      <c r="Y117" s="27" t="e">
        <f t="shared" si="71"/>
        <v>#REF!</v>
      </c>
    </row>
    <row r="118" spans="1:25" ht="16.5" customHeight="1" x14ac:dyDescent="0.25">
      <c r="A118" s="16" t="s">
        <v>196</v>
      </c>
      <c r="B118" s="16" t="s">
        <v>312</v>
      </c>
      <c r="C118" s="25">
        <f t="shared" si="54"/>
        <v>6465</v>
      </c>
      <c r="D118" s="25" t="e">
        <f t="shared" si="55"/>
        <v>#REF!</v>
      </c>
      <c r="E118" s="27" t="e">
        <f t="shared" si="56"/>
        <v>#REF!</v>
      </c>
      <c r="F118" s="25"/>
      <c r="G118" s="25">
        <f t="shared" si="57"/>
        <v>3492</v>
      </c>
      <c r="H118" s="25" t="e">
        <f t="shared" si="58"/>
        <v>#REF!</v>
      </c>
      <c r="I118" s="27" t="e">
        <f t="shared" si="59"/>
        <v>#REF!</v>
      </c>
      <c r="J118" s="25"/>
      <c r="K118" s="25">
        <f t="shared" si="60"/>
        <v>517</v>
      </c>
      <c r="L118" s="25" t="e">
        <f t="shared" si="61"/>
        <v>#REF!</v>
      </c>
      <c r="M118" s="27" t="e">
        <f t="shared" si="62"/>
        <v>#REF!</v>
      </c>
      <c r="N118" s="27"/>
      <c r="O118" s="26" t="str">
        <f t="shared" si="63"/>
        <v>Central</v>
      </c>
      <c r="P118" s="26" t="e">
        <f t="shared" si="64"/>
        <v>#REF!</v>
      </c>
      <c r="Q118" s="27" t="e">
        <f t="shared" si="65"/>
        <v>#VALUE!</v>
      </c>
      <c r="R118" s="27"/>
      <c r="S118" s="26">
        <f t="shared" si="66"/>
        <v>6361</v>
      </c>
      <c r="T118" s="26" t="e">
        <f t="shared" si="67"/>
        <v>#REF!</v>
      </c>
      <c r="U118" s="27" t="e">
        <f t="shared" si="68"/>
        <v>#REF!</v>
      </c>
      <c r="V118" s="27"/>
      <c r="W118" s="26">
        <f t="shared" si="69"/>
        <v>3584</v>
      </c>
      <c r="X118" s="26" t="e">
        <f t="shared" si="70"/>
        <v>#REF!</v>
      </c>
      <c r="Y118" s="27" t="e">
        <f t="shared" si="71"/>
        <v>#REF!</v>
      </c>
    </row>
    <row r="119" spans="1:25" ht="16.5" customHeight="1" x14ac:dyDescent="0.25">
      <c r="A119" s="16" t="s">
        <v>200</v>
      </c>
      <c r="B119" s="16" t="s">
        <v>313</v>
      </c>
      <c r="C119" s="25">
        <f t="shared" si="54"/>
        <v>2983</v>
      </c>
      <c r="D119" s="25" t="e">
        <f t="shared" si="55"/>
        <v>#REF!</v>
      </c>
      <c r="E119" s="27" t="e">
        <f t="shared" si="56"/>
        <v>#REF!</v>
      </c>
      <c r="F119" s="25"/>
      <c r="G119" s="25">
        <f t="shared" si="57"/>
        <v>1858</v>
      </c>
      <c r="H119" s="25" t="e">
        <f t="shared" si="58"/>
        <v>#REF!</v>
      </c>
      <c r="I119" s="27" t="e">
        <f t="shared" si="59"/>
        <v>#REF!</v>
      </c>
      <c r="J119" s="25"/>
      <c r="K119" s="25">
        <f t="shared" si="60"/>
        <v>1603</v>
      </c>
      <c r="L119" s="25" t="e">
        <f t="shared" si="61"/>
        <v>#REF!</v>
      </c>
      <c r="M119" s="27" t="e">
        <f t="shared" si="62"/>
        <v>#REF!</v>
      </c>
      <c r="N119" s="27"/>
      <c r="O119" s="26" t="str">
        <f t="shared" si="63"/>
        <v>Piedmont</v>
      </c>
      <c r="P119" s="26" t="e">
        <f t="shared" si="64"/>
        <v>#REF!</v>
      </c>
      <c r="Q119" s="27" t="e">
        <f t="shared" si="65"/>
        <v>#VALUE!</v>
      </c>
      <c r="R119" s="27"/>
      <c r="S119" s="26">
        <f t="shared" si="66"/>
        <v>3067</v>
      </c>
      <c r="T119" s="26" t="e">
        <f t="shared" si="67"/>
        <v>#REF!</v>
      </c>
      <c r="U119" s="27" t="e">
        <f t="shared" si="68"/>
        <v>#REF!</v>
      </c>
      <c r="V119" s="27"/>
      <c r="W119" s="26">
        <f t="shared" si="69"/>
        <v>1763</v>
      </c>
      <c r="X119" s="26" t="e">
        <f t="shared" si="70"/>
        <v>#REF!</v>
      </c>
      <c r="Y119" s="27" t="e">
        <f t="shared" si="71"/>
        <v>#REF!</v>
      </c>
    </row>
    <row r="120" spans="1:25" ht="16.5" customHeight="1" x14ac:dyDescent="0.25">
      <c r="A120" s="16" t="s">
        <v>222</v>
      </c>
      <c r="B120" s="16" t="s">
        <v>223</v>
      </c>
      <c r="C120" s="25">
        <f t="shared" si="54"/>
        <v>1094</v>
      </c>
      <c r="D120" s="25" t="e">
        <f t="shared" si="55"/>
        <v>#REF!</v>
      </c>
      <c r="E120" s="27" t="e">
        <f t="shared" si="56"/>
        <v>#REF!</v>
      </c>
      <c r="F120" s="25"/>
      <c r="G120" s="25">
        <f t="shared" si="57"/>
        <v>671</v>
      </c>
      <c r="H120" s="25" t="e">
        <f t="shared" si="58"/>
        <v>#REF!</v>
      </c>
      <c r="I120" s="27" t="e">
        <f t="shared" si="59"/>
        <v>#REF!</v>
      </c>
      <c r="J120" s="25"/>
      <c r="K120" s="25">
        <f t="shared" si="60"/>
        <v>258</v>
      </c>
      <c r="L120" s="25" t="e">
        <f t="shared" si="61"/>
        <v>#REF!</v>
      </c>
      <c r="M120" s="27" t="e">
        <f t="shared" si="62"/>
        <v>#REF!</v>
      </c>
      <c r="N120" s="27"/>
      <c r="O120" s="26" t="str">
        <f t="shared" si="63"/>
        <v>Eastern</v>
      </c>
      <c r="P120" s="26" t="e">
        <f t="shared" si="64"/>
        <v>#REF!</v>
      </c>
      <c r="Q120" s="27" t="e">
        <f t="shared" si="65"/>
        <v>#VALUE!</v>
      </c>
      <c r="R120" s="27"/>
      <c r="S120" s="26">
        <f t="shared" si="66"/>
        <v>1170</v>
      </c>
      <c r="T120" s="26" t="e">
        <f t="shared" si="67"/>
        <v>#REF!</v>
      </c>
      <c r="U120" s="27" t="e">
        <f t="shared" si="68"/>
        <v>#REF!</v>
      </c>
      <c r="V120" s="27"/>
      <c r="W120" s="26">
        <f t="shared" si="69"/>
        <v>595</v>
      </c>
      <c r="X120" s="26" t="e">
        <f t="shared" si="70"/>
        <v>#REF!</v>
      </c>
      <c r="Y120" s="27" t="e">
        <f t="shared" si="71"/>
        <v>#REF!</v>
      </c>
    </row>
    <row r="121" spans="1:25" ht="16.5" customHeight="1" x14ac:dyDescent="0.25">
      <c r="A121" s="16" t="s">
        <v>230</v>
      </c>
      <c r="B121" s="16" t="s">
        <v>231</v>
      </c>
      <c r="C121" s="25">
        <f t="shared" si="54"/>
        <v>2529</v>
      </c>
      <c r="D121" s="25" t="e">
        <f t="shared" si="55"/>
        <v>#REF!</v>
      </c>
      <c r="E121" s="27" t="e">
        <f t="shared" si="56"/>
        <v>#REF!</v>
      </c>
      <c r="F121" s="25"/>
      <c r="G121" s="25">
        <f t="shared" si="57"/>
        <v>1457</v>
      </c>
      <c r="H121" s="25" t="e">
        <f t="shared" si="58"/>
        <v>#REF!</v>
      </c>
      <c r="I121" s="27" t="e">
        <f t="shared" si="59"/>
        <v>#REF!</v>
      </c>
      <c r="J121" s="25"/>
      <c r="K121" s="25">
        <f t="shared" si="60"/>
        <v>953</v>
      </c>
      <c r="L121" s="25" t="e">
        <f t="shared" si="61"/>
        <v>#REF!</v>
      </c>
      <c r="M121" s="27" t="e">
        <f t="shared" si="62"/>
        <v>#REF!</v>
      </c>
      <c r="N121" s="27"/>
      <c r="O121" s="26" t="str">
        <f t="shared" si="63"/>
        <v>Eastern</v>
      </c>
      <c r="P121" s="26" t="e">
        <f t="shared" si="64"/>
        <v>#REF!</v>
      </c>
      <c r="Q121" s="27" t="e">
        <f t="shared" si="65"/>
        <v>#VALUE!</v>
      </c>
      <c r="R121" s="27"/>
      <c r="S121" s="26">
        <f t="shared" si="66"/>
        <v>2585</v>
      </c>
      <c r="T121" s="26" t="e">
        <f t="shared" si="67"/>
        <v>#REF!</v>
      </c>
      <c r="U121" s="27" t="e">
        <f t="shared" si="68"/>
        <v>#REF!</v>
      </c>
      <c r="V121" s="27"/>
      <c r="W121" s="26">
        <f t="shared" si="69"/>
        <v>1399</v>
      </c>
      <c r="X121" s="26" t="e">
        <f t="shared" si="70"/>
        <v>#REF!</v>
      </c>
      <c r="Y121" s="27" t="e">
        <f t="shared" si="71"/>
        <v>#REF!</v>
      </c>
    </row>
    <row r="122" spans="1:25" ht="16.5" customHeight="1" x14ac:dyDescent="0.25">
      <c r="A122" s="16" t="s">
        <v>238</v>
      </c>
      <c r="B122" s="16" t="s">
        <v>239</v>
      </c>
      <c r="C122" s="25">
        <f t="shared" si="54"/>
        <v>117</v>
      </c>
      <c r="D122" s="25" t="e">
        <f t="shared" si="55"/>
        <v>#REF!</v>
      </c>
      <c r="E122" s="27" t="e">
        <f t="shared" si="56"/>
        <v>#REF!</v>
      </c>
      <c r="F122" s="25"/>
      <c r="G122" s="25">
        <f t="shared" si="57"/>
        <v>74</v>
      </c>
      <c r="H122" s="25" t="e">
        <f t="shared" si="58"/>
        <v>#REF!</v>
      </c>
      <c r="I122" s="27" t="e">
        <f t="shared" si="59"/>
        <v>#REF!</v>
      </c>
      <c r="J122" s="25"/>
      <c r="K122" s="25">
        <f t="shared" si="60"/>
        <v>63</v>
      </c>
      <c r="L122" s="25" t="e">
        <f t="shared" si="61"/>
        <v>#REF!</v>
      </c>
      <c r="M122" s="27" t="e">
        <f t="shared" si="62"/>
        <v>#REF!</v>
      </c>
      <c r="N122" s="27"/>
      <c r="O122" s="26" t="str">
        <f t="shared" si="63"/>
        <v>Eastern</v>
      </c>
      <c r="P122" s="26" t="e">
        <f t="shared" si="64"/>
        <v>#REF!</v>
      </c>
      <c r="Q122" s="27" t="e">
        <f t="shared" si="65"/>
        <v>#VALUE!</v>
      </c>
      <c r="R122" s="27"/>
      <c r="S122" s="26">
        <f t="shared" si="66"/>
        <v>122</v>
      </c>
      <c r="T122" s="26" t="e">
        <f t="shared" si="67"/>
        <v>#REF!</v>
      </c>
      <c r="U122" s="27" t="e">
        <f t="shared" si="68"/>
        <v>#REF!</v>
      </c>
      <c r="V122" s="27"/>
      <c r="W122" s="26">
        <f t="shared" si="69"/>
        <v>69</v>
      </c>
      <c r="X122" s="26" t="e">
        <f t="shared" si="70"/>
        <v>#REF!</v>
      </c>
      <c r="Y122" s="27" t="e">
        <f t="shared" si="71"/>
        <v>#REF!</v>
      </c>
    </row>
    <row r="123" spans="1:25" ht="16.5" customHeight="1" x14ac:dyDescent="0.25">
      <c r="A123" s="16" t="s">
        <v>240</v>
      </c>
      <c r="B123" s="16" t="s">
        <v>241</v>
      </c>
      <c r="C123" s="25">
        <f t="shared" si="54"/>
        <v>280</v>
      </c>
      <c r="D123" s="25" t="e">
        <f t="shared" si="55"/>
        <v>#REF!</v>
      </c>
      <c r="E123" s="27" t="e">
        <f t="shared" si="56"/>
        <v>#REF!</v>
      </c>
      <c r="F123" s="25"/>
      <c r="G123" s="25">
        <f t="shared" si="57"/>
        <v>184</v>
      </c>
      <c r="H123" s="25" t="e">
        <f t="shared" si="58"/>
        <v>#REF!</v>
      </c>
      <c r="I123" s="27" t="e">
        <f t="shared" si="59"/>
        <v>#REF!</v>
      </c>
      <c r="J123" s="25"/>
      <c r="K123" s="25">
        <f t="shared" si="60"/>
        <v>284</v>
      </c>
      <c r="L123" s="25" t="e">
        <f t="shared" si="61"/>
        <v>#REF!</v>
      </c>
      <c r="M123" s="27" t="e">
        <f t="shared" si="62"/>
        <v>#REF!</v>
      </c>
      <c r="N123" s="27"/>
      <c r="O123" s="26" t="str">
        <f t="shared" si="63"/>
        <v>Northern</v>
      </c>
      <c r="P123" s="26" t="e">
        <f t="shared" si="64"/>
        <v>#REF!</v>
      </c>
      <c r="Q123" s="27" t="e">
        <f t="shared" si="65"/>
        <v>#VALUE!</v>
      </c>
      <c r="R123" s="27"/>
      <c r="S123" s="26">
        <f t="shared" si="66"/>
        <v>290</v>
      </c>
      <c r="T123" s="26" t="e">
        <f t="shared" si="67"/>
        <v>#REF!</v>
      </c>
      <c r="U123" s="27" t="e">
        <f t="shared" si="68"/>
        <v>#REF!</v>
      </c>
      <c r="V123" s="27"/>
      <c r="W123" s="26">
        <f t="shared" si="69"/>
        <v>173</v>
      </c>
      <c r="X123" s="26" t="e">
        <f t="shared" si="70"/>
        <v>#REF!</v>
      </c>
      <c r="Y123" s="27" t="e">
        <f t="shared" si="71"/>
        <v>#REF!</v>
      </c>
    </row>
    <row r="124" spans="1:25" x14ac:dyDescent="0.2">
      <c r="C124" s="28"/>
      <c r="D124" s="28"/>
      <c r="E124" s="28"/>
      <c r="F124" s="28"/>
      <c r="G124" s="28"/>
      <c r="H124" s="28"/>
      <c r="I124" s="28"/>
      <c r="J124" s="28"/>
      <c r="K124" s="28"/>
      <c r="L124" s="28"/>
    </row>
    <row r="125" spans="1:25" x14ac:dyDescent="0.2">
      <c r="C125" s="28"/>
      <c r="D125" s="28"/>
      <c r="E125" s="28"/>
      <c r="F125" s="28"/>
      <c r="G125" s="28"/>
      <c r="H125" s="28"/>
      <c r="I125" s="28"/>
      <c r="J125" s="28"/>
      <c r="K125" s="28"/>
      <c r="L125" s="28"/>
    </row>
    <row r="126" spans="1:25" ht="12.75" customHeight="1" x14ac:dyDescent="0.2">
      <c r="A126" s="2132" t="s">
        <v>570</v>
      </c>
      <c r="B126" s="2132"/>
      <c r="C126" s="2133"/>
      <c r="D126" s="19"/>
      <c r="E126" s="19"/>
      <c r="F126" s="19"/>
      <c r="G126" s="19"/>
      <c r="H126" s="19"/>
      <c r="I126" s="19"/>
      <c r="J126" s="19"/>
      <c r="K126" s="19"/>
      <c r="L126" s="19"/>
    </row>
    <row r="127" spans="1:25" x14ac:dyDescent="0.2">
      <c r="A127" s="18" t="s">
        <v>571</v>
      </c>
    </row>
  </sheetData>
  <autoFilter ref="A3:Y127"/>
  <mergeCells count="9">
    <mergeCell ref="O2:Q2"/>
    <mergeCell ref="O1:Y1"/>
    <mergeCell ref="S2:U2"/>
    <mergeCell ref="W2:Y2"/>
    <mergeCell ref="A126:C126"/>
    <mergeCell ref="C2:E2"/>
    <mergeCell ref="C1:M1"/>
    <mergeCell ref="G2:I2"/>
    <mergeCell ref="K2:M2"/>
  </mergeCells>
  <conditionalFormatting sqref="Q4:R123 E4:E123">
    <cfRule type="cellIs" dxfId="1" priority="20" stopIfTrue="1" operator="greaterThan">
      <formula>"&gt;1"</formula>
    </cfRule>
  </conditionalFormatting>
  <conditionalFormatting sqref="Y4:Y123 M4:N123 U4:V123 Q4:R123 I4:I123 E4:E123">
    <cfRule type="cellIs" dxfId="0" priority="19" stopIfTrue="1" operator="greaterThan">
      <formula>1</formula>
    </cfRule>
  </conditionalFormatting>
  <pageMargins left="0.75" right="0.75" top="1" bottom="1" header="0.5" footer="0.5"/>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
  <sheetViews>
    <sheetView zoomScaleNormal="106" zoomScaleSheetLayoutView="116" workbookViewId="0">
      <pane ySplit="1" topLeftCell="A2" activePane="bottomLeft" state="frozen"/>
      <selection pane="bottomLeft" activeCell="C2" sqref="C2"/>
    </sheetView>
  </sheetViews>
  <sheetFormatPr defaultRowHeight="12.75" x14ac:dyDescent="0.2"/>
  <cols>
    <col min="1" max="1" width="12.25" style="18" customWidth="1"/>
    <col min="2" max="2" width="21.5" style="18" customWidth="1"/>
    <col min="3" max="3" width="17" style="18" customWidth="1"/>
    <col min="4" max="4" width="18.25" style="18" customWidth="1"/>
    <col min="5" max="5" width="19.625" style="18" customWidth="1"/>
    <col min="6" max="6" width="9.25" style="18" customWidth="1"/>
    <col min="7" max="16384" width="9" style="18"/>
  </cols>
  <sheetData>
    <row r="1" spans="1:6" s="15" customFormat="1" ht="71.25" customHeight="1" x14ac:dyDescent="0.25">
      <c r="A1" s="13" t="s">
        <v>305</v>
      </c>
      <c r="B1" s="13" t="s">
        <v>306</v>
      </c>
      <c r="C1" s="13" t="s">
        <v>566</v>
      </c>
      <c r="D1" s="13" t="s">
        <v>567</v>
      </c>
      <c r="E1" s="13" t="s">
        <v>568</v>
      </c>
      <c r="F1" s="14" t="s">
        <v>569</v>
      </c>
    </row>
    <row r="2" spans="1:6" ht="16.5" customHeight="1" x14ac:dyDescent="0.25">
      <c r="A2" s="16" t="s">
        <v>10</v>
      </c>
      <c r="B2" s="16" t="s">
        <v>11</v>
      </c>
      <c r="C2" s="17">
        <v>3</v>
      </c>
      <c r="D2" s="17">
        <v>4</v>
      </c>
      <c r="E2" s="17">
        <v>248</v>
      </c>
      <c r="F2" s="18">
        <f>ROUND(E2/12,0)</f>
        <v>21</v>
      </c>
    </row>
    <row r="3" spans="1:6" ht="16.5" customHeight="1" x14ac:dyDescent="0.25">
      <c r="A3" s="16" t="s">
        <v>12</v>
      </c>
      <c r="B3" s="16" t="s">
        <v>13</v>
      </c>
      <c r="C3" s="17">
        <v>7</v>
      </c>
      <c r="D3" s="17">
        <v>4</v>
      </c>
      <c r="E3" s="17">
        <v>729</v>
      </c>
      <c r="F3" s="18">
        <f t="shared" ref="F3:F66" si="0">ROUND(E3/12,0)</f>
        <v>61</v>
      </c>
    </row>
    <row r="4" spans="1:6" ht="16.5" customHeight="1" x14ac:dyDescent="0.25">
      <c r="A4" s="16" t="s">
        <v>16</v>
      </c>
      <c r="B4" s="16" t="s">
        <v>297</v>
      </c>
      <c r="C4" s="17">
        <v>3</v>
      </c>
      <c r="D4" s="17">
        <v>0</v>
      </c>
      <c r="E4" s="17">
        <v>123</v>
      </c>
      <c r="F4" s="18">
        <f t="shared" si="0"/>
        <v>10</v>
      </c>
    </row>
    <row r="5" spans="1:6" ht="16.5" customHeight="1" x14ac:dyDescent="0.25">
      <c r="A5" s="16" t="s">
        <v>18</v>
      </c>
      <c r="B5" s="16" t="s">
        <v>19</v>
      </c>
      <c r="C5" s="17">
        <v>1</v>
      </c>
      <c r="D5" s="17">
        <v>0</v>
      </c>
      <c r="E5" s="17">
        <v>41</v>
      </c>
      <c r="F5" s="18">
        <f t="shared" si="0"/>
        <v>3</v>
      </c>
    </row>
    <row r="6" spans="1:6" ht="16.5" customHeight="1" x14ac:dyDescent="0.25">
      <c r="A6" s="16" t="s">
        <v>20</v>
      </c>
      <c r="B6" s="16" t="s">
        <v>21</v>
      </c>
      <c r="C6" s="17">
        <v>0</v>
      </c>
      <c r="D6" s="17">
        <v>0</v>
      </c>
      <c r="E6" s="17">
        <v>132</v>
      </c>
      <c r="F6" s="18">
        <f t="shared" si="0"/>
        <v>11</v>
      </c>
    </row>
    <row r="7" spans="1:6" ht="16.5" customHeight="1" x14ac:dyDescent="0.25">
      <c r="A7" s="16" t="s">
        <v>22</v>
      </c>
      <c r="B7" s="16" t="s">
        <v>23</v>
      </c>
      <c r="C7" s="17">
        <v>0</v>
      </c>
      <c r="D7" s="17">
        <v>0</v>
      </c>
      <c r="E7" s="17">
        <v>12</v>
      </c>
      <c r="F7" s="18">
        <f t="shared" si="0"/>
        <v>1</v>
      </c>
    </row>
    <row r="8" spans="1:6" ht="16.5" customHeight="1" x14ac:dyDescent="0.25">
      <c r="A8" s="16" t="s">
        <v>24</v>
      </c>
      <c r="B8" s="16" t="s">
        <v>25</v>
      </c>
      <c r="C8" s="17">
        <v>13</v>
      </c>
      <c r="D8" s="17">
        <v>3</v>
      </c>
      <c r="E8" s="17">
        <v>1283</v>
      </c>
      <c r="F8" s="18">
        <f t="shared" si="0"/>
        <v>107</v>
      </c>
    </row>
    <row r="9" spans="1:6" ht="16.5" customHeight="1" x14ac:dyDescent="0.25">
      <c r="A9" s="16" t="s">
        <v>26</v>
      </c>
      <c r="B9" s="16" t="s">
        <v>298</v>
      </c>
      <c r="C9" s="17">
        <v>11</v>
      </c>
      <c r="D9" s="17">
        <v>0</v>
      </c>
      <c r="E9" s="17">
        <v>1681</v>
      </c>
      <c r="F9" s="18">
        <f t="shared" si="0"/>
        <v>140</v>
      </c>
    </row>
    <row r="10" spans="1:6" ht="16.5" customHeight="1" x14ac:dyDescent="0.25">
      <c r="A10" s="16" t="s">
        <v>27</v>
      </c>
      <c r="B10" s="16" t="s">
        <v>28</v>
      </c>
      <c r="C10" s="17">
        <v>0</v>
      </c>
      <c r="D10" s="17">
        <v>0</v>
      </c>
      <c r="E10" s="17">
        <v>24</v>
      </c>
      <c r="F10" s="18">
        <f t="shared" si="0"/>
        <v>2</v>
      </c>
    </row>
    <row r="11" spans="1:6" ht="16.5" customHeight="1" x14ac:dyDescent="0.25">
      <c r="A11" s="16" t="s">
        <v>29</v>
      </c>
      <c r="B11" s="16" t="s">
        <v>307</v>
      </c>
      <c r="C11" s="17">
        <v>5</v>
      </c>
      <c r="D11" s="17">
        <v>0</v>
      </c>
      <c r="E11" s="17">
        <v>589</v>
      </c>
      <c r="F11" s="18">
        <f t="shared" si="0"/>
        <v>49</v>
      </c>
    </row>
    <row r="12" spans="1:6" ht="16.5" customHeight="1" x14ac:dyDescent="0.25">
      <c r="A12" s="16" t="s">
        <v>30</v>
      </c>
      <c r="B12" s="16" t="s">
        <v>31</v>
      </c>
      <c r="C12" s="17">
        <v>3</v>
      </c>
      <c r="D12" s="17">
        <v>0</v>
      </c>
      <c r="E12" s="17">
        <v>89</v>
      </c>
      <c r="F12" s="18">
        <f t="shared" si="0"/>
        <v>7</v>
      </c>
    </row>
    <row r="13" spans="1:6" ht="16.5" customHeight="1" x14ac:dyDescent="0.25">
      <c r="A13" s="16" t="s">
        <v>32</v>
      </c>
      <c r="B13" s="16" t="s">
        <v>33</v>
      </c>
      <c r="C13" s="17">
        <v>1</v>
      </c>
      <c r="D13" s="17">
        <v>0</v>
      </c>
      <c r="E13" s="17">
        <v>91</v>
      </c>
      <c r="F13" s="18">
        <f t="shared" si="0"/>
        <v>8</v>
      </c>
    </row>
    <row r="14" spans="1:6" ht="16.5" customHeight="1" x14ac:dyDescent="0.25">
      <c r="A14" s="16" t="s">
        <v>36</v>
      </c>
      <c r="B14" s="16" t="s">
        <v>37</v>
      </c>
      <c r="C14" s="17">
        <v>0</v>
      </c>
      <c r="D14" s="17">
        <v>1</v>
      </c>
      <c r="E14" s="17">
        <v>17</v>
      </c>
      <c r="F14" s="18">
        <f t="shared" si="0"/>
        <v>1</v>
      </c>
    </row>
    <row r="15" spans="1:6" ht="16.5" customHeight="1" x14ac:dyDescent="0.25">
      <c r="A15" s="16" t="s">
        <v>38</v>
      </c>
      <c r="B15" s="16" t="s">
        <v>39</v>
      </c>
      <c r="C15" s="17">
        <v>4</v>
      </c>
      <c r="D15" s="17">
        <v>3</v>
      </c>
      <c r="E15" s="17">
        <v>566</v>
      </c>
      <c r="F15" s="18">
        <f t="shared" si="0"/>
        <v>47</v>
      </c>
    </row>
    <row r="16" spans="1:6" ht="16.5" customHeight="1" x14ac:dyDescent="0.25">
      <c r="A16" s="16" t="s">
        <v>40</v>
      </c>
      <c r="B16" s="16" t="s">
        <v>41</v>
      </c>
      <c r="C16" s="17">
        <v>3</v>
      </c>
      <c r="D16" s="17">
        <v>0</v>
      </c>
      <c r="E16" s="17">
        <v>113</v>
      </c>
      <c r="F16" s="18">
        <f t="shared" si="0"/>
        <v>9</v>
      </c>
    </row>
    <row r="17" spans="1:6" ht="16.5" customHeight="1" x14ac:dyDescent="0.25">
      <c r="A17" s="16" t="s">
        <v>42</v>
      </c>
      <c r="B17" s="16" t="s">
        <v>43</v>
      </c>
      <c r="C17" s="17">
        <v>8</v>
      </c>
      <c r="D17" s="17">
        <v>2</v>
      </c>
      <c r="E17" s="17">
        <v>716</v>
      </c>
      <c r="F17" s="18">
        <f t="shared" si="0"/>
        <v>60</v>
      </c>
    </row>
    <row r="18" spans="1:6" ht="16.5" customHeight="1" x14ac:dyDescent="0.25">
      <c r="A18" s="16" t="s">
        <v>44</v>
      </c>
      <c r="B18" s="16" t="s">
        <v>45</v>
      </c>
      <c r="C18" s="17">
        <v>1</v>
      </c>
      <c r="D18" s="17">
        <v>0</v>
      </c>
      <c r="E18" s="17">
        <v>86</v>
      </c>
      <c r="F18" s="18">
        <f t="shared" si="0"/>
        <v>7</v>
      </c>
    </row>
    <row r="19" spans="1:6" ht="16.5" customHeight="1" x14ac:dyDescent="0.25">
      <c r="A19" s="16" t="s">
        <v>46</v>
      </c>
      <c r="B19" s="16" t="s">
        <v>47</v>
      </c>
      <c r="C19" s="17">
        <v>1</v>
      </c>
      <c r="D19" s="17">
        <v>0</v>
      </c>
      <c r="E19" s="17">
        <v>152</v>
      </c>
      <c r="F19" s="18">
        <f t="shared" si="0"/>
        <v>13</v>
      </c>
    </row>
    <row r="20" spans="1:6" ht="16.5" customHeight="1" x14ac:dyDescent="0.25">
      <c r="A20" s="16" t="s">
        <v>48</v>
      </c>
      <c r="B20" s="16" t="s">
        <v>269</v>
      </c>
      <c r="C20" s="17">
        <v>1</v>
      </c>
      <c r="D20" s="17">
        <v>0</v>
      </c>
      <c r="E20" s="17">
        <v>24</v>
      </c>
      <c r="F20" s="18">
        <f t="shared" si="0"/>
        <v>2</v>
      </c>
    </row>
    <row r="21" spans="1:6" ht="16.5" customHeight="1" x14ac:dyDescent="0.25">
      <c r="A21" s="16" t="s">
        <v>50</v>
      </c>
      <c r="B21" s="16" t="s">
        <v>51</v>
      </c>
      <c r="C21" s="17">
        <v>0</v>
      </c>
      <c r="D21" s="17">
        <v>0</v>
      </c>
      <c r="E21" s="17">
        <v>132</v>
      </c>
      <c r="F21" s="18">
        <f t="shared" si="0"/>
        <v>11</v>
      </c>
    </row>
    <row r="22" spans="1:6" ht="16.5" customHeight="1" x14ac:dyDescent="0.25">
      <c r="A22" s="16" t="s">
        <v>56</v>
      </c>
      <c r="B22" s="16" t="s">
        <v>295</v>
      </c>
      <c r="C22" s="17">
        <v>18</v>
      </c>
      <c r="D22" s="17">
        <v>4</v>
      </c>
      <c r="E22" s="17">
        <v>1819</v>
      </c>
      <c r="F22" s="18">
        <f t="shared" si="0"/>
        <v>152</v>
      </c>
    </row>
    <row r="23" spans="1:6" ht="16.5" customHeight="1" x14ac:dyDescent="0.25">
      <c r="A23" s="16" t="s">
        <v>58</v>
      </c>
      <c r="B23" s="16" t="s">
        <v>59</v>
      </c>
      <c r="C23" s="17">
        <v>0</v>
      </c>
      <c r="D23" s="17">
        <v>0</v>
      </c>
      <c r="E23" s="17">
        <v>52</v>
      </c>
      <c r="F23" s="18">
        <f t="shared" si="0"/>
        <v>4</v>
      </c>
    </row>
    <row r="24" spans="1:6" ht="16.5" customHeight="1" x14ac:dyDescent="0.25">
      <c r="A24" s="16" t="s">
        <v>60</v>
      </c>
      <c r="B24" s="16" t="s">
        <v>61</v>
      </c>
      <c r="C24" s="17">
        <v>0</v>
      </c>
      <c r="D24" s="17">
        <v>0</v>
      </c>
      <c r="E24" s="17">
        <v>24</v>
      </c>
      <c r="F24" s="18">
        <f t="shared" si="0"/>
        <v>2</v>
      </c>
    </row>
    <row r="25" spans="1:6" ht="16.5" customHeight="1" x14ac:dyDescent="0.25">
      <c r="A25" s="16" t="s">
        <v>62</v>
      </c>
      <c r="B25" s="16" t="s">
        <v>63</v>
      </c>
      <c r="C25" s="17">
        <v>6</v>
      </c>
      <c r="D25" s="17">
        <v>1</v>
      </c>
      <c r="E25" s="17">
        <v>362</v>
      </c>
      <c r="F25" s="18">
        <f t="shared" si="0"/>
        <v>30</v>
      </c>
    </row>
    <row r="26" spans="1:6" ht="16.5" customHeight="1" x14ac:dyDescent="0.25">
      <c r="A26" s="16" t="s">
        <v>64</v>
      </c>
      <c r="B26" s="16" t="s">
        <v>65</v>
      </c>
      <c r="C26" s="17">
        <v>2</v>
      </c>
      <c r="D26" s="17">
        <v>0</v>
      </c>
      <c r="E26" s="17">
        <v>76</v>
      </c>
      <c r="F26" s="18">
        <f t="shared" si="0"/>
        <v>6</v>
      </c>
    </row>
    <row r="27" spans="1:6" ht="16.5" customHeight="1" x14ac:dyDescent="0.25">
      <c r="A27" s="16" t="s">
        <v>68</v>
      </c>
      <c r="B27" s="16" t="s">
        <v>69</v>
      </c>
      <c r="C27" s="17">
        <v>28</v>
      </c>
      <c r="D27" s="17">
        <v>0</v>
      </c>
      <c r="E27" s="17">
        <v>592</v>
      </c>
      <c r="F27" s="18">
        <f t="shared" si="0"/>
        <v>49</v>
      </c>
    </row>
    <row r="28" spans="1:6" ht="16.5" customHeight="1" x14ac:dyDescent="0.25">
      <c r="A28" s="16" t="s">
        <v>70</v>
      </c>
      <c r="B28" s="16" t="s">
        <v>71</v>
      </c>
      <c r="C28" s="17">
        <v>0</v>
      </c>
      <c r="D28" s="17">
        <v>0</v>
      </c>
      <c r="E28" s="17">
        <v>129</v>
      </c>
      <c r="F28" s="18">
        <f t="shared" si="0"/>
        <v>11</v>
      </c>
    </row>
    <row r="29" spans="1:6" ht="16.5" customHeight="1" x14ac:dyDescent="0.25">
      <c r="A29" s="16" t="s">
        <v>72</v>
      </c>
      <c r="B29" s="16" t="s">
        <v>73</v>
      </c>
      <c r="C29" s="17">
        <v>0</v>
      </c>
      <c r="D29" s="17">
        <v>1</v>
      </c>
      <c r="E29" s="17">
        <v>38</v>
      </c>
      <c r="F29" s="18">
        <f t="shared" si="0"/>
        <v>3</v>
      </c>
    </row>
    <row r="30" spans="1:6" ht="16.5" customHeight="1" x14ac:dyDescent="0.25">
      <c r="A30" s="16" t="s">
        <v>74</v>
      </c>
      <c r="B30" s="16" t="s">
        <v>302</v>
      </c>
      <c r="C30" s="17">
        <v>24</v>
      </c>
      <c r="D30" s="17">
        <v>21</v>
      </c>
      <c r="E30" s="17">
        <v>5651</v>
      </c>
      <c r="F30" s="18">
        <f t="shared" si="0"/>
        <v>471</v>
      </c>
    </row>
    <row r="31" spans="1:6" ht="16.5" customHeight="1" x14ac:dyDescent="0.25">
      <c r="A31" s="16" t="s">
        <v>76</v>
      </c>
      <c r="B31" s="16" t="s">
        <v>77</v>
      </c>
      <c r="C31" s="17">
        <v>3</v>
      </c>
      <c r="D31" s="17">
        <v>6</v>
      </c>
      <c r="E31" s="17">
        <v>294</v>
      </c>
      <c r="F31" s="18">
        <f t="shared" si="0"/>
        <v>25</v>
      </c>
    </row>
    <row r="32" spans="1:6" ht="16.5" customHeight="1" x14ac:dyDescent="0.25">
      <c r="A32" s="16" t="s">
        <v>78</v>
      </c>
      <c r="B32" s="16" t="s">
        <v>79</v>
      </c>
      <c r="C32" s="17">
        <v>0</v>
      </c>
      <c r="D32" s="17">
        <v>0</v>
      </c>
      <c r="E32" s="17">
        <v>12</v>
      </c>
      <c r="F32" s="18">
        <f t="shared" si="0"/>
        <v>1</v>
      </c>
    </row>
    <row r="33" spans="1:6" ht="16.5" customHeight="1" x14ac:dyDescent="0.25">
      <c r="A33" s="16" t="s">
        <v>80</v>
      </c>
      <c r="B33" s="16" t="s">
        <v>81</v>
      </c>
      <c r="C33" s="17">
        <v>4</v>
      </c>
      <c r="D33" s="17">
        <v>0</v>
      </c>
      <c r="E33" s="17">
        <v>102</v>
      </c>
      <c r="F33" s="18">
        <f t="shared" si="0"/>
        <v>9</v>
      </c>
    </row>
    <row r="34" spans="1:6" ht="16.5" customHeight="1" x14ac:dyDescent="0.25">
      <c r="A34" s="16" t="s">
        <v>84</v>
      </c>
      <c r="B34" s="16" t="s">
        <v>308</v>
      </c>
      <c r="C34" s="17">
        <v>3</v>
      </c>
      <c r="D34" s="17">
        <v>1</v>
      </c>
      <c r="E34" s="17">
        <v>432</v>
      </c>
      <c r="F34" s="18">
        <f t="shared" si="0"/>
        <v>36</v>
      </c>
    </row>
    <row r="35" spans="1:6" ht="16.5" customHeight="1" x14ac:dyDescent="0.25">
      <c r="A35" s="16" t="s">
        <v>86</v>
      </c>
      <c r="B35" s="16" t="s">
        <v>87</v>
      </c>
      <c r="C35" s="17">
        <v>11</v>
      </c>
      <c r="D35" s="17">
        <v>10</v>
      </c>
      <c r="E35" s="17">
        <v>479</v>
      </c>
      <c r="F35" s="18">
        <f t="shared" si="0"/>
        <v>40</v>
      </c>
    </row>
    <row r="36" spans="1:6" ht="16.5" customHeight="1" x14ac:dyDescent="0.25">
      <c r="A36" s="16" t="s">
        <v>92</v>
      </c>
      <c r="B36" s="16" t="s">
        <v>93</v>
      </c>
      <c r="C36" s="17">
        <v>3</v>
      </c>
      <c r="D36" s="17">
        <v>0</v>
      </c>
      <c r="E36" s="17">
        <v>213</v>
      </c>
      <c r="F36" s="18">
        <f t="shared" si="0"/>
        <v>18</v>
      </c>
    </row>
    <row r="37" spans="1:6" ht="16.5" customHeight="1" x14ac:dyDescent="0.25">
      <c r="A37" s="16" t="s">
        <v>94</v>
      </c>
      <c r="B37" s="16" t="s">
        <v>95</v>
      </c>
      <c r="C37" s="17">
        <v>2</v>
      </c>
      <c r="D37" s="17">
        <v>2</v>
      </c>
      <c r="E37" s="17">
        <v>270</v>
      </c>
      <c r="F37" s="18">
        <f t="shared" si="0"/>
        <v>23</v>
      </c>
    </row>
    <row r="38" spans="1:6" ht="16.5" customHeight="1" x14ac:dyDescent="0.25">
      <c r="A38" s="16" t="s">
        <v>96</v>
      </c>
      <c r="B38" s="16" t="s">
        <v>97</v>
      </c>
      <c r="C38" s="17">
        <v>1</v>
      </c>
      <c r="D38" s="17">
        <v>2</v>
      </c>
      <c r="E38" s="17">
        <v>133</v>
      </c>
      <c r="F38" s="18">
        <f t="shared" si="0"/>
        <v>11</v>
      </c>
    </row>
    <row r="39" spans="1:6" ht="16.5" customHeight="1" x14ac:dyDescent="0.25">
      <c r="A39" s="16" t="s">
        <v>98</v>
      </c>
      <c r="B39" s="16" t="s">
        <v>99</v>
      </c>
      <c r="C39" s="17">
        <v>1</v>
      </c>
      <c r="D39" s="17">
        <v>2</v>
      </c>
      <c r="E39" s="17">
        <v>126</v>
      </c>
      <c r="F39" s="18">
        <f t="shared" si="0"/>
        <v>11</v>
      </c>
    </row>
    <row r="40" spans="1:6" ht="16.5" customHeight="1" x14ac:dyDescent="0.25">
      <c r="A40" s="16" t="s">
        <v>100</v>
      </c>
      <c r="B40" s="16" t="s">
        <v>101</v>
      </c>
      <c r="C40" s="17">
        <v>0</v>
      </c>
      <c r="D40" s="17">
        <v>0</v>
      </c>
      <c r="E40" s="17">
        <v>60</v>
      </c>
      <c r="F40" s="18">
        <f t="shared" si="0"/>
        <v>5</v>
      </c>
    </row>
    <row r="41" spans="1:6" ht="16.5" customHeight="1" x14ac:dyDescent="0.25">
      <c r="A41" s="16" t="s">
        <v>102</v>
      </c>
      <c r="B41" s="16" t="s">
        <v>103</v>
      </c>
      <c r="C41" s="17">
        <v>2</v>
      </c>
      <c r="D41" s="17">
        <v>0</v>
      </c>
      <c r="E41" s="17">
        <v>60</v>
      </c>
      <c r="F41" s="18">
        <f t="shared" si="0"/>
        <v>5</v>
      </c>
    </row>
    <row r="42" spans="1:6" ht="16.5" customHeight="1" x14ac:dyDescent="0.25">
      <c r="A42" s="16" t="s">
        <v>104</v>
      </c>
      <c r="B42" s="16" t="s">
        <v>309</v>
      </c>
      <c r="C42" s="17">
        <v>0</v>
      </c>
      <c r="D42" s="17">
        <v>1</v>
      </c>
      <c r="E42" s="17">
        <v>223</v>
      </c>
      <c r="F42" s="18">
        <f t="shared" si="0"/>
        <v>19</v>
      </c>
    </row>
    <row r="43" spans="1:6" ht="16.5" customHeight="1" x14ac:dyDescent="0.25">
      <c r="A43" s="16" t="s">
        <v>108</v>
      </c>
      <c r="B43" s="16" t="s">
        <v>109</v>
      </c>
      <c r="C43" s="17">
        <v>3</v>
      </c>
      <c r="D43" s="17">
        <v>0</v>
      </c>
      <c r="E43" s="17">
        <v>264</v>
      </c>
      <c r="F43" s="18">
        <f t="shared" si="0"/>
        <v>22</v>
      </c>
    </row>
    <row r="44" spans="1:6" ht="16.5" customHeight="1" x14ac:dyDescent="0.25">
      <c r="A44" s="16" t="s">
        <v>110</v>
      </c>
      <c r="B44" s="16" t="s">
        <v>111</v>
      </c>
      <c r="C44" s="17">
        <v>7</v>
      </c>
      <c r="D44" s="17">
        <v>1</v>
      </c>
      <c r="E44" s="17">
        <v>1349</v>
      </c>
      <c r="F44" s="18">
        <f t="shared" si="0"/>
        <v>112</v>
      </c>
    </row>
    <row r="45" spans="1:6" ht="16.5" customHeight="1" x14ac:dyDescent="0.25">
      <c r="A45" s="16" t="s">
        <v>112</v>
      </c>
      <c r="B45" s="16" t="s">
        <v>300</v>
      </c>
      <c r="C45" s="17">
        <v>1</v>
      </c>
      <c r="D45" s="17">
        <v>0</v>
      </c>
      <c r="E45" s="17">
        <v>496</v>
      </c>
      <c r="F45" s="18">
        <f t="shared" si="0"/>
        <v>41</v>
      </c>
    </row>
    <row r="46" spans="1:6" ht="16.5" customHeight="1" x14ac:dyDescent="0.25">
      <c r="A46" s="16" t="s">
        <v>114</v>
      </c>
      <c r="B46" s="16" t="s">
        <v>115</v>
      </c>
      <c r="C46" s="17">
        <v>0</v>
      </c>
      <c r="D46" s="17">
        <v>0</v>
      </c>
      <c r="E46" s="17">
        <v>12</v>
      </c>
      <c r="F46" s="18">
        <f t="shared" si="0"/>
        <v>1</v>
      </c>
    </row>
    <row r="47" spans="1:6" ht="16.5" customHeight="1" x14ac:dyDescent="0.25">
      <c r="A47" s="16" t="s">
        <v>118</v>
      </c>
      <c r="B47" s="16" t="s">
        <v>119</v>
      </c>
      <c r="C47" s="17">
        <v>2</v>
      </c>
      <c r="D47" s="17">
        <v>1</v>
      </c>
      <c r="E47" s="17">
        <v>73</v>
      </c>
      <c r="F47" s="18">
        <f t="shared" si="0"/>
        <v>6</v>
      </c>
    </row>
    <row r="48" spans="1:6" ht="16.5" customHeight="1" x14ac:dyDescent="0.25">
      <c r="A48" s="16" t="s">
        <v>120</v>
      </c>
      <c r="B48" s="16" t="s">
        <v>121</v>
      </c>
      <c r="C48" s="17">
        <v>4</v>
      </c>
      <c r="D48" s="17">
        <v>3</v>
      </c>
      <c r="E48" s="17">
        <v>394</v>
      </c>
      <c r="F48" s="18">
        <f t="shared" si="0"/>
        <v>33</v>
      </c>
    </row>
    <row r="49" spans="1:6" ht="16.5" customHeight="1" x14ac:dyDescent="0.25">
      <c r="A49" s="16" t="s">
        <v>122</v>
      </c>
      <c r="B49" s="16" t="s">
        <v>271</v>
      </c>
      <c r="C49" s="17">
        <v>3</v>
      </c>
      <c r="D49" s="17">
        <v>0</v>
      </c>
      <c r="E49" s="17">
        <v>66</v>
      </c>
      <c r="F49" s="18">
        <f t="shared" si="0"/>
        <v>6</v>
      </c>
    </row>
    <row r="50" spans="1:6" ht="16.5" customHeight="1" x14ac:dyDescent="0.25">
      <c r="A50" s="16" t="s">
        <v>124</v>
      </c>
      <c r="B50" s="16" t="s">
        <v>125</v>
      </c>
      <c r="C50" s="17">
        <v>6</v>
      </c>
      <c r="D50" s="17">
        <v>0</v>
      </c>
      <c r="E50" s="17">
        <v>61</v>
      </c>
      <c r="F50" s="18">
        <f t="shared" si="0"/>
        <v>5</v>
      </c>
    </row>
    <row r="51" spans="1:6" ht="16.5" customHeight="1" x14ac:dyDescent="0.25">
      <c r="A51" s="16" t="s">
        <v>126</v>
      </c>
      <c r="B51" s="16" t="s">
        <v>127</v>
      </c>
      <c r="C51" s="17">
        <v>1</v>
      </c>
      <c r="D51" s="17">
        <v>0</v>
      </c>
      <c r="E51" s="17">
        <v>76</v>
      </c>
      <c r="F51" s="18">
        <f t="shared" si="0"/>
        <v>6</v>
      </c>
    </row>
    <row r="52" spans="1:6" ht="16.5" customHeight="1" x14ac:dyDescent="0.25">
      <c r="A52" s="16" t="s">
        <v>128</v>
      </c>
      <c r="B52" s="16" t="s">
        <v>129</v>
      </c>
      <c r="C52" s="17">
        <v>0</v>
      </c>
      <c r="D52" s="17">
        <v>1</v>
      </c>
      <c r="E52" s="17">
        <v>36</v>
      </c>
      <c r="F52" s="18">
        <f t="shared" si="0"/>
        <v>3</v>
      </c>
    </row>
    <row r="53" spans="1:6" ht="16.5" customHeight="1" x14ac:dyDescent="0.25">
      <c r="A53" s="16" t="s">
        <v>130</v>
      </c>
      <c r="B53" s="16" t="s">
        <v>131</v>
      </c>
      <c r="C53" s="17">
        <v>5</v>
      </c>
      <c r="D53" s="17">
        <v>0</v>
      </c>
      <c r="E53" s="17">
        <v>713</v>
      </c>
      <c r="F53" s="18">
        <f t="shared" si="0"/>
        <v>59</v>
      </c>
    </row>
    <row r="54" spans="1:6" ht="16.5" customHeight="1" x14ac:dyDescent="0.25">
      <c r="A54" s="16" t="s">
        <v>132</v>
      </c>
      <c r="B54" s="16" t="s">
        <v>133</v>
      </c>
      <c r="C54" s="17">
        <v>21</v>
      </c>
      <c r="D54" s="17">
        <v>6</v>
      </c>
      <c r="E54" s="17">
        <v>486</v>
      </c>
      <c r="F54" s="18">
        <f t="shared" si="0"/>
        <v>41</v>
      </c>
    </row>
    <row r="55" spans="1:6" ht="16.5" customHeight="1" x14ac:dyDescent="0.25">
      <c r="A55" s="16" t="s">
        <v>134</v>
      </c>
      <c r="B55" s="16" t="s">
        <v>135</v>
      </c>
      <c r="C55" s="17">
        <v>11</v>
      </c>
      <c r="D55" s="17">
        <v>0</v>
      </c>
      <c r="E55" s="17">
        <v>171</v>
      </c>
      <c r="F55" s="18">
        <f t="shared" si="0"/>
        <v>14</v>
      </c>
    </row>
    <row r="56" spans="1:6" ht="16.5" customHeight="1" x14ac:dyDescent="0.25">
      <c r="A56" s="16" t="s">
        <v>136</v>
      </c>
      <c r="B56" s="16" t="s">
        <v>137</v>
      </c>
      <c r="C56" s="17">
        <v>1</v>
      </c>
      <c r="D56" s="17">
        <v>0</v>
      </c>
      <c r="E56" s="17">
        <v>30</v>
      </c>
      <c r="F56" s="18">
        <f t="shared" si="0"/>
        <v>3</v>
      </c>
    </row>
    <row r="57" spans="1:6" ht="16.5" customHeight="1" x14ac:dyDescent="0.25">
      <c r="A57" s="16" t="s">
        <v>140</v>
      </c>
      <c r="B57" s="16" t="s">
        <v>141</v>
      </c>
      <c r="C57" s="17">
        <v>2</v>
      </c>
      <c r="D57" s="17">
        <v>0</v>
      </c>
      <c r="E57" s="17">
        <v>65</v>
      </c>
      <c r="F57" s="18">
        <f t="shared" si="0"/>
        <v>5</v>
      </c>
    </row>
    <row r="58" spans="1:6" ht="16.5" customHeight="1" x14ac:dyDescent="0.25">
      <c r="A58" s="16" t="s">
        <v>146</v>
      </c>
      <c r="B58" s="16" t="s">
        <v>147</v>
      </c>
      <c r="C58" s="17">
        <v>0</v>
      </c>
      <c r="D58" s="17">
        <v>0</v>
      </c>
      <c r="E58" s="17">
        <v>84</v>
      </c>
      <c r="F58" s="18">
        <f t="shared" si="0"/>
        <v>7</v>
      </c>
    </row>
    <row r="59" spans="1:6" ht="16.5" customHeight="1" x14ac:dyDescent="0.25">
      <c r="A59" s="16" t="s">
        <v>148</v>
      </c>
      <c r="B59" s="16" t="s">
        <v>149</v>
      </c>
      <c r="C59" s="17">
        <v>2</v>
      </c>
      <c r="D59" s="17">
        <v>3</v>
      </c>
      <c r="E59" s="17">
        <v>228</v>
      </c>
      <c r="F59" s="18">
        <f t="shared" si="0"/>
        <v>19</v>
      </c>
    </row>
    <row r="60" spans="1:6" ht="16.5" customHeight="1" x14ac:dyDescent="0.25">
      <c r="A60" s="16" t="s">
        <v>150</v>
      </c>
      <c r="B60" s="16" t="s">
        <v>151</v>
      </c>
      <c r="C60" s="17">
        <v>1</v>
      </c>
      <c r="D60" s="17">
        <v>0</v>
      </c>
      <c r="E60" s="17">
        <v>74</v>
      </c>
      <c r="F60" s="18">
        <f t="shared" si="0"/>
        <v>6</v>
      </c>
    </row>
    <row r="61" spans="1:6" ht="16.5" customHeight="1" x14ac:dyDescent="0.25">
      <c r="A61" s="16" t="s">
        <v>152</v>
      </c>
      <c r="B61" s="16" t="s">
        <v>153</v>
      </c>
      <c r="C61" s="17">
        <v>1</v>
      </c>
      <c r="D61" s="17">
        <v>2</v>
      </c>
      <c r="E61" s="17">
        <v>374</v>
      </c>
      <c r="F61" s="18">
        <f t="shared" si="0"/>
        <v>31</v>
      </c>
    </row>
    <row r="62" spans="1:6" ht="16.5" customHeight="1" x14ac:dyDescent="0.25">
      <c r="A62" s="16" t="s">
        <v>154</v>
      </c>
      <c r="B62" s="16" t="s">
        <v>155</v>
      </c>
      <c r="C62" s="17">
        <v>0</v>
      </c>
      <c r="D62" s="17">
        <v>0</v>
      </c>
      <c r="E62" s="17">
        <v>0</v>
      </c>
      <c r="F62" s="18">
        <f t="shared" si="0"/>
        <v>0</v>
      </c>
    </row>
    <row r="63" spans="1:6" ht="16.5" customHeight="1" x14ac:dyDescent="0.25">
      <c r="A63" s="16" t="s">
        <v>156</v>
      </c>
      <c r="B63" s="16" t="s">
        <v>157</v>
      </c>
      <c r="C63" s="17">
        <v>1</v>
      </c>
      <c r="D63" s="17">
        <v>0</v>
      </c>
      <c r="E63" s="17">
        <v>63</v>
      </c>
      <c r="F63" s="18">
        <f t="shared" si="0"/>
        <v>5</v>
      </c>
    </row>
    <row r="64" spans="1:6" ht="16.5" customHeight="1" x14ac:dyDescent="0.25">
      <c r="A64" s="16" t="s">
        <v>162</v>
      </c>
      <c r="B64" s="16" t="s">
        <v>163</v>
      </c>
      <c r="C64" s="17">
        <v>0</v>
      </c>
      <c r="D64" s="17">
        <v>0</v>
      </c>
      <c r="E64" s="17">
        <v>24</v>
      </c>
      <c r="F64" s="18">
        <f t="shared" si="0"/>
        <v>2</v>
      </c>
    </row>
    <row r="65" spans="1:6" ht="16.5" customHeight="1" x14ac:dyDescent="0.25">
      <c r="A65" s="16" t="s">
        <v>164</v>
      </c>
      <c r="B65" s="16" t="s">
        <v>165</v>
      </c>
      <c r="C65" s="17">
        <v>0</v>
      </c>
      <c r="D65" s="17">
        <v>0</v>
      </c>
      <c r="E65" s="17">
        <v>48</v>
      </c>
      <c r="F65" s="18">
        <f t="shared" si="0"/>
        <v>4</v>
      </c>
    </row>
    <row r="66" spans="1:6" ht="16.5" customHeight="1" x14ac:dyDescent="0.25">
      <c r="A66" s="16" t="s">
        <v>168</v>
      </c>
      <c r="B66" s="16" t="s">
        <v>169</v>
      </c>
      <c r="C66" s="17">
        <v>1</v>
      </c>
      <c r="D66" s="17">
        <v>0</v>
      </c>
      <c r="E66" s="17">
        <v>89</v>
      </c>
      <c r="F66" s="18">
        <f t="shared" si="0"/>
        <v>7</v>
      </c>
    </row>
    <row r="67" spans="1:6" ht="16.5" customHeight="1" x14ac:dyDescent="0.25">
      <c r="A67" s="16" t="s">
        <v>170</v>
      </c>
      <c r="B67" s="16" t="s">
        <v>171</v>
      </c>
      <c r="C67" s="17">
        <v>1</v>
      </c>
      <c r="D67" s="17">
        <v>1</v>
      </c>
      <c r="E67" s="17">
        <v>132</v>
      </c>
      <c r="F67" s="18">
        <f t="shared" ref="F67:F121" si="1">ROUND(E67/12,0)</f>
        <v>11</v>
      </c>
    </row>
    <row r="68" spans="1:6" ht="16.5" customHeight="1" x14ac:dyDescent="0.25">
      <c r="A68" s="16" t="s">
        <v>172</v>
      </c>
      <c r="B68" s="16" t="s">
        <v>173</v>
      </c>
      <c r="C68" s="17">
        <v>3</v>
      </c>
      <c r="D68" s="17">
        <v>1</v>
      </c>
      <c r="E68" s="17">
        <v>170</v>
      </c>
      <c r="F68" s="18">
        <f t="shared" si="1"/>
        <v>14</v>
      </c>
    </row>
    <row r="69" spans="1:6" ht="16.5" customHeight="1" x14ac:dyDescent="0.25">
      <c r="A69" s="16" t="s">
        <v>174</v>
      </c>
      <c r="B69" s="16" t="s">
        <v>175</v>
      </c>
      <c r="C69" s="17">
        <v>2</v>
      </c>
      <c r="D69" s="17">
        <v>1</v>
      </c>
      <c r="E69" s="17">
        <v>28</v>
      </c>
      <c r="F69" s="18">
        <f t="shared" si="1"/>
        <v>2</v>
      </c>
    </row>
    <row r="70" spans="1:6" ht="16.5" customHeight="1" x14ac:dyDescent="0.25">
      <c r="A70" s="16" t="s">
        <v>178</v>
      </c>
      <c r="B70" s="16" t="s">
        <v>179</v>
      </c>
      <c r="C70" s="17">
        <v>2</v>
      </c>
      <c r="D70" s="17">
        <v>0</v>
      </c>
      <c r="E70" s="17">
        <v>256</v>
      </c>
      <c r="F70" s="18">
        <f t="shared" si="1"/>
        <v>21</v>
      </c>
    </row>
    <row r="71" spans="1:6" ht="16.5" customHeight="1" x14ac:dyDescent="0.25">
      <c r="A71" s="16" t="s">
        <v>182</v>
      </c>
      <c r="B71" s="16" t="s">
        <v>183</v>
      </c>
      <c r="C71" s="17">
        <v>1</v>
      </c>
      <c r="D71" s="17">
        <v>1</v>
      </c>
      <c r="E71" s="17">
        <v>42</v>
      </c>
      <c r="F71" s="18">
        <f t="shared" si="1"/>
        <v>4</v>
      </c>
    </row>
    <row r="72" spans="1:6" ht="16.5" customHeight="1" x14ac:dyDescent="0.25">
      <c r="A72" s="16" t="s">
        <v>184</v>
      </c>
      <c r="B72" s="16" t="s">
        <v>185</v>
      </c>
      <c r="C72" s="17">
        <v>4</v>
      </c>
      <c r="D72" s="17">
        <v>1</v>
      </c>
      <c r="E72" s="17">
        <v>220</v>
      </c>
      <c r="F72" s="18">
        <f t="shared" si="1"/>
        <v>18</v>
      </c>
    </row>
    <row r="73" spans="1:6" ht="16.5" customHeight="1" x14ac:dyDescent="0.25">
      <c r="A73" s="16" t="s">
        <v>186</v>
      </c>
      <c r="B73" s="16" t="s">
        <v>187</v>
      </c>
      <c r="C73" s="17">
        <v>3</v>
      </c>
      <c r="D73" s="17">
        <v>3</v>
      </c>
      <c r="E73" s="17">
        <v>98</v>
      </c>
      <c r="F73" s="18">
        <f t="shared" si="1"/>
        <v>8</v>
      </c>
    </row>
    <row r="74" spans="1:6" ht="16.5" customHeight="1" x14ac:dyDescent="0.25">
      <c r="A74" s="16" t="s">
        <v>188</v>
      </c>
      <c r="B74" s="16" t="s">
        <v>189</v>
      </c>
      <c r="C74" s="17">
        <v>11</v>
      </c>
      <c r="D74" s="17">
        <v>3</v>
      </c>
      <c r="E74" s="17">
        <v>1021</v>
      </c>
      <c r="F74" s="18">
        <f t="shared" si="1"/>
        <v>85</v>
      </c>
    </row>
    <row r="75" spans="1:6" ht="16.5" customHeight="1" x14ac:dyDescent="0.25">
      <c r="A75" s="16" t="s">
        <v>190</v>
      </c>
      <c r="B75" s="16" t="s">
        <v>191</v>
      </c>
      <c r="C75" s="17">
        <v>4</v>
      </c>
      <c r="D75" s="17">
        <v>0</v>
      </c>
      <c r="E75" s="17">
        <v>261</v>
      </c>
      <c r="F75" s="18">
        <f t="shared" si="1"/>
        <v>22</v>
      </c>
    </row>
    <row r="76" spans="1:6" ht="16.5" customHeight="1" x14ac:dyDescent="0.25">
      <c r="A76" s="16" t="s">
        <v>194</v>
      </c>
      <c r="B76" s="16" t="s">
        <v>195</v>
      </c>
      <c r="C76" s="17">
        <v>1</v>
      </c>
      <c r="D76" s="17">
        <v>0</v>
      </c>
      <c r="E76" s="17">
        <v>83</v>
      </c>
      <c r="F76" s="18">
        <f t="shared" si="1"/>
        <v>7</v>
      </c>
    </row>
    <row r="77" spans="1:6" ht="16.5" customHeight="1" x14ac:dyDescent="0.25">
      <c r="A77" s="16" t="s">
        <v>198</v>
      </c>
      <c r="B77" s="16" t="s">
        <v>199</v>
      </c>
      <c r="C77" s="17">
        <v>0</v>
      </c>
      <c r="D77" s="17">
        <v>0</v>
      </c>
      <c r="E77" s="17">
        <v>36</v>
      </c>
      <c r="F77" s="18">
        <f t="shared" si="1"/>
        <v>3</v>
      </c>
    </row>
    <row r="78" spans="1:6" ht="16.5" customHeight="1" x14ac:dyDescent="0.25">
      <c r="A78" s="16" t="s">
        <v>202</v>
      </c>
      <c r="B78" s="16" t="s">
        <v>203</v>
      </c>
      <c r="C78" s="17">
        <v>7</v>
      </c>
      <c r="D78" s="17">
        <v>2</v>
      </c>
      <c r="E78" s="17">
        <v>767</v>
      </c>
      <c r="F78" s="18">
        <f t="shared" si="1"/>
        <v>64</v>
      </c>
    </row>
    <row r="79" spans="1:6" ht="16.5" customHeight="1" x14ac:dyDescent="0.25">
      <c r="A79" s="16" t="s">
        <v>204</v>
      </c>
      <c r="B79" s="16" t="s">
        <v>205</v>
      </c>
      <c r="C79" s="17">
        <v>3</v>
      </c>
      <c r="D79" s="17">
        <v>2</v>
      </c>
      <c r="E79" s="17">
        <v>157</v>
      </c>
      <c r="F79" s="18">
        <f t="shared" si="1"/>
        <v>13</v>
      </c>
    </row>
    <row r="80" spans="1:6" ht="16.5" customHeight="1" x14ac:dyDescent="0.25">
      <c r="A80" s="16" t="s">
        <v>206</v>
      </c>
      <c r="B80" s="16" t="s">
        <v>207</v>
      </c>
      <c r="C80" s="17">
        <v>26</v>
      </c>
      <c r="D80" s="17">
        <v>3</v>
      </c>
      <c r="E80" s="17">
        <v>1347</v>
      </c>
      <c r="F80" s="18">
        <f t="shared" si="1"/>
        <v>112</v>
      </c>
    </row>
    <row r="81" spans="1:6" ht="16.5" customHeight="1" x14ac:dyDescent="0.25">
      <c r="A81" s="16" t="s">
        <v>208</v>
      </c>
      <c r="B81" s="16" t="s">
        <v>209</v>
      </c>
      <c r="C81" s="17">
        <v>2</v>
      </c>
      <c r="D81" s="17">
        <v>0</v>
      </c>
      <c r="E81" s="17">
        <v>53</v>
      </c>
      <c r="F81" s="18">
        <f t="shared" si="1"/>
        <v>4</v>
      </c>
    </row>
    <row r="82" spans="1:6" ht="16.5" customHeight="1" x14ac:dyDescent="0.25">
      <c r="A82" s="16" t="s">
        <v>210</v>
      </c>
      <c r="B82" s="16" t="s">
        <v>211</v>
      </c>
      <c r="C82" s="17">
        <v>4</v>
      </c>
      <c r="D82" s="17">
        <v>1</v>
      </c>
      <c r="E82" s="17">
        <v>345</v>
      </c>
      <c r="F82" s="18">
        <f t="shared" si="1"/>
        <v>29</v>
      </c>
    </row>
    <row r="83" spans="1:6" ht="16.5" customHeight="1" x14ac:dyDescent="0.25">
      <c r="A83" s="16" t="s">
        <v>212</v>
      </c>
      <c r="B83" s="16" t="s">
        <v>213</v>
      </c>
      <c r="C83" s="17">
        <v>4</v>
      </c>
      <c r="D83" s="17">
        <v>0</v>
      </c>
      <c r="E83" s="17">
        <v>243</v>
      </c>
      <c r="F83" s="18">
        <f t="shared" si="1"/>
        <v>20</v>
      </c>
    </row>
    <row r="84" spans="1:6" ht="16.5" customHeight="1" x14ac:dyDescent="0.25">
      <c r="A84" s="16" t="s">
        <v>214</v>
      </c>
      <c r="B84" s="16" t="s">
        <v>215</v>
      </c>
      <c r="C84" s="17">
        <v>0</v>
      </c>
      <c r="D84" s="17">
        <v>2</v>
      </c>
      <c r="E84" s="17">
        <v>193</v>
      </c>
      <c r="F84" s="18">
        <f t="shared" si="1"/>
        <v>16</v>
      </c>
    </row>
    <row r="85" spans="1:6" ht="16.5" customHeight="1" x14ac:dyDescent="0.25">
      <c r="A85" s="16" t="s">
        <v>216</v>
      </c>
      <c r="B85" s="16" t="s">
        <v>217</v>
      </c>
      <c r="C85" s="17">
        <v>0</v>
      </c>
      <c r="D85" s="17">
        <v>0</v>
      </c>
      <c r="E85" s="17">
        <v>24</v>
      </c>
      <c r="F85" s="18">
        <f t="shared" si="1"/>
        <v>2</v>
      </c>
    </row>
    <row r="86" spans="1:6" ht="16.5" customHeight="1" x14ac:dyDescent="0.25">
      <c r="A86" s="16" t="s">
        <v>218</v>
      </c>
      <c r="B86" s="16" t="s">
        <v>219</v>
      </c>
      <c r="C86" s="17">
        <v>7</v>
      </c>
      <c r="D86" s="17">
        <v>1</v>
      </c>
      <c r="E86" s="17">
        <v>728</v>
      </c>
      <c r="F86" s="18">
        <f t="shared" si="1"/>
        <v>61</v>
      </c>
    </row>
    <row r="87" spans="1:6" ht="16.5" customHeight="1" x14ac:dyDescent="0.25">
      <c r="A87" s="16" t="s">
        <v>220</v>
      </c>
      <c r="B87" s="16" t="s">
        <v>221</v>
      </c>
      <c r="C87" s="17">
        <v>9</v>
      </c>
      <c r="D87" s="17">
        <v>1</v>
      </c>
      <c r="E87" s="17">
        <v>1167</v>
      </c>
      <c r="F87" s="18">
        <f t="shared" si="1"/>
        <v>97</v>
      </c>
    </row>
    <row r="88" spans="1:6" ht="16.5" customHeight="1" x14ac:dyDescent="0.25">
      <c r="A88" s="16" t="s">
        <v>224</v>
      </c>
      <c r="B88" s="16" t="s">
        <v>225</v>
      </c>
      <c r="C88" s="17">
        <v>0</v>
      </c>
      <c r="D88" s="17">
        <v>0</v>
      </c>
      <c r="E88" s="17">
        <v>36</v>
      </c>
      <c r="F88" s="18">
        <f t="shared" si="1"/>
        <v>3</v>
      </c>
    </row>
    <row r="89" spans="1:6" ht="16.5" customHeight="1" x14ac:dyDescent="0.25">
      <c r="A89" s="16" t="s">
        <v>226</v>
      </c>
      <c r="B89" s="16" t="s">
        <v>227</v>
      </c>
      <c r="C89" s="17">
        <v>0</v>
      </c>
      <c r="D89" s="17">
        <v>0</v>
      </c>
      <c r="E89" s="17">
        <v>60</v>
      </c>
      <c r="F89" s="18">
        <f t="shared" si="1"/>
        <v>5</v>
      </c>
    </row>
    <row r="90" spans="1:6" ht="16.5" customHeight="1" x14ac:dyDescent="0.25">
      <c r="A90" s="16" t="s">
        <v>228</v>
      </c>
      <c r="B90" s="16" t="s">
        <v>229</v>
      </c>
      <c r="C90" s="17">
        <v>7</v>
      </c>
      <c r="D90" s="17">
        <v>3</v>
      </c>
      <c r="E90" s="17">
        <v>766</v>
      </c>
      <c r="F90" s="18">
        <f t="shared" si="1"/>
        <v>64</v>
      </c>
    </row>
    <row r="91" spans="1:6" ht="16.5" customHeight="1" x14ac:dyDescent="0.25">
      <c r="A91" s="16" t="s">
        <v>232</v>
      </c>
      <c r="B91" s="16" t="s">
        <v>233</v>
      </c>
      <c r="C91" s="17">
        <v>3</v>
      </c>
      <c r="D91" s="17">
        <v>1</v>
      </c>
      <c r="E91" s="17">
        <v>557</v>
      </c>
      <c r="F91" s="18">
        <f t="shared" si="1"/>
        <v>46</v>
      </c>
    </row>
    <row r="92" spans="1:6" ht="16.5" customHeight="1" x14ac:dyDescent="0.25">
      <c r="A92" s="16" t="s">
        <v>234</v>
      </c>
      <c r="B92" s="16" t="s">
        <v>235</v>
      </c>
      <c r="C92" s="17">
        <v>3</v>
      </c>
      <c r="D92" s="17">
        <v>0</v>
      </c>
      <c r="E92" s="17">
        <v>282</v>
      </c>
      <c r="F92" s="18">
        <f t="shared" si="1"/>
        <v>24</v>
      </c>
    </row>
    <row r="93" spans="1:6" ht="16.5" customHeight="1" x14ac:dyDescent="0.25">
      <c r="A93" s="16" t="s">
        <v>236</v>
      </c>
      <c r="B93" s="16" t="s">
        <v>237</v>
      </c>
      <c r="C93" s="17">
        <v>1</v>
      </c>
      <c r="D93" s="17">
        <v>2</v>
      </c>
      <c r="E93" s="17">
        <v>97</v>
      </c>
      <c r="F93" s="18">
        <f t="shared" si="1"/>
        <v>8</v>
      </c>
    </row>
    <row r="94" spans="1:6" ht="16.5" customHeight="1" x14ac:dyDescent="0.25">
      <c r="A94" s="16" t="s">
        <v>242</v>
      </c>
      <c r="B94" s="16" t="s">
        <v>243</v>
      </c>
      <c r="C94" s="17">
        <v>10</v>
      </c>
      <c r="D94" s="17">
        <v>7</v>
      </c>
      <c r="E94" s="17">
        <v>892</v>
      </c>
      <c r="F94" s="18">
        <f t="shared" si="1"/>
        <v>74</v>
      </c>
    </row>
    <row r="95" spans="1:6" ht="16.5" customHeight="1" x14ac:dyDescent="0.25">
      <c r="A95" s="16" t="s">
        <v>244</v>
      </c>
      <c r="B95" s="16" t="s">
        <v>245</v>
      </c>
      <c r="C95" s="17">
        <v>1</v>
      </c>
      <c r="D95" s="17">
        <v>0</v>
      </c>
      <c r="E95" s="17">
        <v>151</v>
      </c>
      <c r="F95" s="18">
        <f t="shared" si="1"/>
        <v>13</v>
      </c>
    </row>
    <row r="96" spans="1:6" ht="16.5" customHeight="1" x14ac:dyDescent="0.25">
      <c r="A96" s="16" t="s">
        <v>246</v>
      </c>
      <c r="B96" s="16" t="s">
        <v>310</v>
      </c>
      <c r="C96" s="17">
        <v>5</v>
      </c>
      <c r="D96" s="17">
        <v>2</v>
      </c>
      <c r="E96" s="17">
        <v>207</v>
      </c>
      <c r="F96" s="18">
        <f t="shared" si="1"/>
        <v>17</v>
      </c>
    </row>
    <row r="97" spans="1:6" ht="16.5" customHeight="1" x14ac:dyDescent="0.25">
      <c r="A97" s="16" t="s">
        <v>14</v>
      </c>
      <c r="B97" s="16" t="s">
        <v>15</v>
      </c>
      <c r="C97" s="17">
        <v>21</v>
      </c>
      <c r="D97" s="17">
        <v>1</v>
      </c>
      <c r="E97" s="17">
        <v>1630</v>
      </c>
      <c r="F97" s="18">
        <f t="shared" si="1"/>
        <v>136</v>
      </c>
    </row>
    <row r="98" spans="1:6" ht="16.5" customHeight="1" x14ac:dyDescent="0.25">
      <c r="A98" s="16" t="s">
        <v>34</v>
      </c>
      <c r="B98" s="16" t="s">
        <v>35</v>
      </c>
      <c r="C98" s="17">
        <v>0</v>
      </c>
      <c r="D98" s="17">
        <v>0</v>
      </c>
      <c r="E98" s="17">
        <v>251</v>
      </c>
      <c r="F98" s="18">
        <f t="shared" si="1"/>
        <v>21</v>
      </c>
    </row>
    <row r="99" spans="1:6" ht="16.5" customHeight="1" x14ac:dyDescent="0.25">
      <c r="A99" s="16" t="s">
        <v>52</v>
      </c>
      <c r="B99" s="16" t="s">
        <v>53</v>
      </c>
      <c r="C99" s="17">
        <v>14</v>
      </c>
      <c r="D99" s="17">
        <v>0</v>
      </c>
      <c r="E99" s="17">
        <v>789</v>
      </c>
      <c r="F99" s="18">
        <f t="shared" si="1"/>
        <v>66</v>
      </c>
    </row>
    <row r="100" spans="1:6" ht="16.5" customHeight="1" x14ac:dyDescent="0.25">
      <c r="A100" s="16" t="s">
        <v>54</v>
      </c>
      <c r="B100" s="16" t="s">
        <v>55</v>
      </c>
      <c r="C100" s="17">
        <v>5</v>
      </c>
      <c r="D100" s="17">
        <v>3</v>
      </c>
      <c r="E100" s="17">
        <v>1198</v>
      </c>
      <c r="F100" s="18">
        <f t="shared" si="1"/>
        <v>100</v>
      </c>
    </row>
    <row r="101" spans="1:6" ht="16.5" customHeight="1" x14ac:dyDescent="0.25">
      <c r="A101" s="16" t="s">
        <v>66</v>
      </c>
      <c r="B101" s="16" t="s">
        <v>67</v>
      </c>
      <c r="C101" s="17">
        <v>1</v>
      </c>
      <c r="D101" s="17">
        <v>1</v>
      </c>
      <c r="E101" s="17">
        <v>521</v>
      </c>
      <c r="F101" s="18">
        <f t="shared" si="1"/>
        <v>43</v>
      </c>
    </row>
    <row r="102" spans="1:6" ht="16.5" customHeight="1" x14ac:dyDescent="0.25">
      <c r="A102" s="16" t="s">
        <v>82</v>
      </c>
      <c r="B102" s="16" t="s">
        <v>311</v>
      </c>
      <c r="C102" s="17">
        <v>0</v>
      </c>
      <c r="D102" s="17">
        <v>0</v>
      </c>
      <c r="E102" s="17">
        <v>24</v>
      </c>
      <c r="F102" s="18">
        <f t="shared" si="1"/>
        <v>2</v>
      </c>
    </row>
    <row r="103" spans="1:6" ht="16.5" customHeight="1" x14ac:dyDescent="0.25">
      <c r="A103" s="16" t="s">
        <v>88</v>
      </c>
      <c r="B103" s="16" t="s">
        <v>89</v>
      </c>
      <c r="C103" s="17">
        <v>5</v>
      </c>
      <c r="D103" s="17">
        <v>0</v>
      </c>
      <c r="E103" s="17">
        <v>528</v>
      </c>
      <c r="F103" s="18">
        <f t="shared" si="1"/>
        <v>44</v>
      </c>
    </row>
    <row r="104" spans="1:6" ht="16.5" customHeight="1" x14ac:dyDescent="0.25">
      <c r="A104" s="16" t="s">
        <v>90</v>
      </c>
      <c r="B104" s="16" t="s">
        <v>91</v>
      </c>
      <c r="C104" s="17">
        <v>2</v>
      </c>
      <c r="D104" s="17">
        <v>0</v>
      </c>
      <c r="E104" s="17">
        <v>132</v>
      </c>
      <c r="F104" s="18">
        <f t="shared" si="1"/>
        <v>11</v>
      </c>
    </row>
    <row r="105" spans="1:6" ht="16.5" customHeight="1" x14ac:dyDescent="0.25">
      <c r="A105" s="16" t="s">
        <v>106</v>
      </c>
      <c r="B105" s="16" t="s">
        <v>107</v>
      </c>
      <c r="C105" s="17">
        <v>12</v>
      </c>
      <c r="D105" s="17">
        <v>4</v>
      </c>
      <c r="E105" s="17">
        <v>1594</v>
      </c>
      <c r="F105" s="18">
        <f t="shared" si="1"/>
        <v>133</v>
      </c>
    </row>
    <row r="106" spans="1:6" ht="16.5" customHeight="1" x14ac:dyDescent="0.25">
      <c r="A106" s="16" t="s">
        <v>116</v>
      </c>
      <c r="B106" s="16" t="s">
        <v>117</v>
      </c>
      <c r="C106" s="17">
        <v>2</v>
      </c>
      <c r="D106" s="17">
        <v>1</v>
      </c>
      <c r="E106" s="17">
        <v>195</v>
      </c>
      <c r="F106" s="18">
        <f t="shared" si="1"/>
        <v>16</v>
      </c>
    </row>
    <row r="107" spans="1:6" ht="16.5" customHeight="1" x14ac:dyDescent="0.25">
      <c r="A107" s="16" t="s">
        <v>138</v>
      </c>
      <c r="B107" s="16" t="s">
        <v>139</v>
      </c>
      <c r="C107" s="17">
        <v>18</v>
      </c>
      <c r="D107" s="17">
        <v>3</v>
      </c>
      <c r="E107" s="17">
        <v>1411</v>
      </c>
      <c r="F107" s="18">
        <f t="shared" si="1"/>
        <v>118</v>
      </c>
    </row>
    <row r="108" spans="1:6" ht="16.5" customHeight="1" x14ac:dyDescent="0.25">
      <c r="A108" s="16" t="s">
        <v>142</v>
      </c>
      <c r="B108" s="16" t="s">
        <v>143</v>
      </c>
      <c r="C108" s="17">
        <v>4</v>
      </c>
      <c r="D108" s="17">
        <v>0</v>
      </c>
      <c r="E108" s="17">
        <v>194</v>
      </c>
      <c r="F108" s="18">
        <f t="shared" si="1"/>
        <v>16</v>
      </c>
    </row>
    <row r="109" spans="1:6" ht="16.5" customHeight="1" x14ac:dyDescent="0.25">
      <c r="A109" s="16" t="s">
        <v>144</v>
      </c>
      <c r="B109" s="16" t="s">
        <v>145</v>
      </c>
      <c r="C109" s="17">
        <v>0</v>
      </c>
      <c r="D109" s="17">
        <v>0</v>
      </c>
      <c r="E109" s="17">
        <v>48</v>
      </c>
      <c r="F109" s="18">
        <f t="shared" si="1"/>
        <v>4</v>
      </c>
    </row>
    <row r="110" spans="1:6" ht="16.5" customHeight="1" x14ac:dyDescent="0.25">
      <c r="A110" s="16" t="s">
        <v>158</v>
      </c>
      <c r="B110" s="16" t="s">
        <v>159</v>
      </c>
      <c r="C110" s="17">
        <v>16</v>
      </c>
      <c r="D110" s="17">
        <v>6</v>
      </c>
      <c r="E110" s="17">
        <v>3092</v>
      </c>
      <c r="F110" s="18">
        <f t="shared" si="1"/>
        <v>258</v>
      </c>
    </row>
    <row r="111" spans="1:6" ht="16.5" customHeight="1" x14ac:dyDescent="0.25">
      <c r="A111" s="16" t="s">
        <v>160</v>
      </c>
      <c r="B111" s="16" t="s">
        <v>161</v>
      </c>
      <c r="C111" s="17">
        <v>11</v>
      </c>
      <c r="D111" s="17">
        <v>5</v>
      </c>
      <c r="E111" s="17">
        <v>2057</v>
      </c>
      <c r="F111" s="18">
        <f t="shared" si="1"/>
        <v>171</v>
      </c>
    </row>
    <row r="112" spans="1:6" ht="16.5" customHeight="1" x14ac:dyDescent="0.25">
      <c r="A112" s="16" t="s">
        <v>166</v>
      </c>
      <c r="B112" s="16" t="s">
        <v>167</v>
      </c>
      <c r="C112" s="17">
        <v>0</v>
      </c>
      <c r="D112" s="17">
        <v>0</v>
      </c>
      <c r="E112" s="17">
        <v>144</v>
      </c>
      <c r="F112" s="18">
        <f t="shared" si="1"/>
        <v>12</v>
      </c>
    </row>
    <row r="113" spans="1:6" ht="16.5" customHeight="1" x14ac:dyDescent="0.25">
      <c r="A113" s="16" t="s">
        <v>176</v>
      </c>
      <c r="B113" s="16" t="s">
        <v>177</v>
      </c>
      <c r="C113" s="17">
        <v>10</v>
      </c>
      <c r="D113" s="17">
        <v>4</v>
      </c>
      <c r="E113" s="17">
        <v>890</v>
      </c>
      <c r="F113" s="18">
        <f t="shared" si="1"/>
        <v>74</v>
      </c>
    </row>
    <row r="114" spans="1:6" ht="16.5" customHeight="1" x14ac:dyDescent="0.25">
      <c r="A114" s="16" t="s">
        <v>180</v>
      </c>
      <c r="B114" s="16" t="s">
        <v>181</v>
      </c>
      <c r="C114" s="17">
        <v>9</v>
      </c>
      <c r="D114" s="17">
        <v>11</v>
      </c>
      <c r="E114" s="17">
        <v>1142</v>
      </c>
      <c r="F114" s="18">
        <f t="shared" si="1"/>
        <v>95</v>
      </c>
    </row>
    <row r="115" spans="1:6" ht="16.5" customHeight="1" x14ac:dyDescent="0.25">
      <c r="A115" s="16" t="s">
        <v>192</v>
      </c>
      <c r="B115" s="16" t="s">
        <v>193</v>
      </c>
      <c r="C115" s="17">
        <v>4</v>
      </c>
      <c r="D115" s="17">
        <v>0</v>
      </c>
      <c r="E115" s="17">
        <v>228</v>
      </c>
      <c r="F115" s="18">
        <f t="shared" si="1"/>
        <v>19</v>
      </c>
    </row>
    <row r="116" spans="1:6" ht="16.5" customHeight="1" x14ac:dyDescent="0.25">
      <c r="A116" s="16" t="s">
        <v>196</v>
      </c>
      <c r="B116" s="16" t="s">
        <v>312</v>
      </c>
      <c r="C116" s="17">
        <v>34</v>
      </c>
      <c r="D116" s="17">
        <v>6</v>
      </c>
      <c r="E116" s="17">
        <v>5651</v>
      </c>
      <c r="F116" s="18">
        <f t="shared" si="1"/>
        <v>471</v>
      </c>
    </row>
    <row r="117" spans="1:6" ht="16.5" customHeight="1" x14ac:dyDescent="0.25">
      <c r="A117" s="16" t="s">
        <v>200</v>
      </c>
      <c r="B117" s="16" t="s">
        <v>313</v>
      </c>
      <c r="C117" s="17">
        <v>43</v>
      </c>
      <c r="D117" s="17">
        <v>4</v>
      </c>
      <c r="E117" s="17">
        <v>3253</v>
      </c>
      <c r="F117" s="18">
        <f t="shared" si="1"/>
        <v>271</v>
      </c>
    </row>
    <row r="118" spans="1:6" ht="16.5" customHeight="1" x14ac:dyDescent="0.25">
      <c r="A118" s="16" t="s">
        <v>222</v>
      </c>
      <c r="B118" s="16" t="s">
        <v>223</v>
      </c>
      <c r="C118" s="17">
        <v>4</v>
      </c>
      <c r="D118" s="17">
        <v>3</v>
      </c>
      <c r="E118" s="17">
        <v>368</v>
      </c>
      <c r="F118" s="18">
        <f t="shared" si="1"/>
        <v>31</v>
      </c>
    </row>
    <row r="119" spans="1:6" ht="16.5" customHeight="1" x14ac:dyDescent="0.25">
      <c r="A119" s="16" t="s">
        <v>230</v>
      </c>
      <c r="B119" s="16" t="s">
        <v>231</v>
      </c>
      <c r="C119" s="17">
        <v>15</v>
      </c>
      <c r="D119" s="17">
        <v>2</v>
      </c>
      <c r="E119" s="17">
        <v>2399</v>
      </c>
      <c r="F119" s="18">
        <f t="shared" si="1"/>
        <v>200</v>
      </c>
    </row>
    <row r="120" spans="1:6" ht="16.5" customHeight="1" x14ac:dyDescent="0.25">
      <c r="A120" s="16" t="s">
        <v>238</v>
      </c>
      <c r="B120" s="16" t="s">
        <v>239</v>
      </c>
      <c r="C120" s="17">
        <v>1</v>
      </c>
      <c r="D120" s="17">
        <v>0</v>
      </c>
      <c r="E120" s="17">
        <v>80</v>
      </c>
      <c r="F120" s="18">
        <f t="shared" si="1"/>
        <v>7</v>
      </c>
    </row>
    <row r="121" spans="1:6" ht="16.5" customHeight="1" x14ac:dyDescent="0.25">
      <c r="A121" s="16" t="s">
        <v>240</v>
      </c>
      <c r="B121" s="16" t="s">
        <v>241</v>
      </c>
      <c r="C121" s="17">
        <v>5</v>
      </c>
      <c r="D121" s="17">
        <v>3</v>
      </c>
      <c r="E121" s="17">
        <v>492</v>
      </c>
      <c r="F121" s="18">
        <f t="shared" si="1"/>
        <v>41</v>
      </c>
    </row>
    <row r="122" spans="1:6" x14ac:dyDescent="0.2">
      <c r="C122" s="18">
        <f>SUM(C2:C121)</f>
        <v>606</v>
      </c>
      <c r="D122" s="18">
        <f>SUM(D2:D121)</f>
        <v>180</v>
      </c>
      <c r="E122" s="18">
        <f>SUM(E2:E121)</f>
        <v>62001</v>
      </c>
      <c r="F122" s="18">
        <f>SUM(F2:F121)</f>
        <v>5166</v>
      </c>
    </row>
    <row r="123" spans="1:6" x14ac:dyDescent="0.2">
      <c r="C123" s="18">
        <f>+C122/12</f>
        <v>50.5</v>
      </c>
      <c r="D123" s="18">
        <f>+D122/12</f>
        <v>15</v>
      </c>
      <c r="E123" s="18">
        <f>+E122/12</f>
        <v>5166.75</v>
      </c>
    </row>
    <row r="124" spans="1:6" ht="12.75" customHeight="1" x14ac:dyDescent="0.2">
      <c r="A124" s="2132" t="s">
        <v>570</v>
      </c>
      <c r="B124" s="2132"/>
      <c r="C124" s="2133"/>
    </row>
    <row r="125" spans="1:6" x14ac:dyDescent="0.2">
      <c r="A125" s="18" t="s">
        <v>571</v>
      </c>
    </row>
  </sheetData>
  <mergeCells count="1">
    <mergeCell ref="A124:C124"/>
  </mergeCells>
  <pageMargins left="0.75" right="0.75" top="1" bottom="1" header="0.5" footer="0.5"/>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25"/>
  <sheetViews>
    <sheetView topLeftCell="B1" zoomScaleNormal="132" zoomScaleSheetLayoutView="132" workbookViewId="0">
      <pane xSplit="2" ySplit="4" topLeftCell="D5" activePane="bottomRight" state="frozen"/>
      <selection activeCell="B1" sqref="B1"/>
      <selection pane="topRight" activeCell="D1" sqref="D1"/>
      <selection pane="bottomLeft" activeCell="B5" sqref="B5"/>
      <selection pane="bottomRight" activeCell="D5" sqref="D5"/>
    </sheetView>
  </sheetViews>
  <sheetFormatPr defaultRowHeight="15.75" x14ac:dyDescent="0.25"/>
  <cols>
    <col min="1" max="2" width="9" style="5"/>
    <col min="3" max="3" width="20.75" style="5" customWidth="1"/>
    <col min="4" max="4" width="13.125" style="5" customWidth="1"/>
    <col min="5" max="5" width="10.75" style="5" bestFit="1" customWidth="1"/>
    <col min="6" max="6" width="7.875" style="5" bestFit="1" customWidth="1"/>
    <col min="7" max="7" width="6.875" style="5" bestFit="1" customWidth="1"/>
    <col min="8" max="8" width="11.25" style="5" customWidth="1"/>
    <col min="9" max="9" width="7.125" style="5" bestFit="1" customWidth="1"/>
    <col min="10" max="10" width="12.625" style="5" bestFit="1" customWidth="1"/>
    <col min="11" max="11" width="6.75" style="5" customWidth="1"/>
    <col min="12" max="12" width="6.875" style="5" bestFit="1" customWidth="1"/>
    <col min="13" max="13" width="19.25" style="5" bestFit="1" customWidth="1"/>
    <col min="14" max="14" width="6.875" style="5" bestFit="1" customWidth="1"/>
    <col min="15" max="15" width="9" style="5" customWidth="1"/>
    <col min="16" max="16" width="8.625" style="5" customWidth="1"/>
    <col min="17" max="17" width="11.875" style="5" bestFit="1" customWidth="1"/>
    <col min="18" max="18" width="18.125" style="5" customWidth="1"/>
    <col min="19" max="19" width="15.625" style="5" bestFit="1" customWidth="1"/>
    <col min="20" max="20" width="18.375" style="5" customWidth="1"/>
    <col min="21" max="21" width="17.625" style="5" customWidth="1"/>
    <col min="22" max="22" width="17.5" style="5" customWidth="1"/>
    <col min="23" max="23" width="16.625" style="5" customWidth="1"/>
    <col min="24" max="24" width="10.875" style="5" bestFit="1" customWidth="1"/>
    <col min="25" max="16384" width="9" style="5"/>
  </cols>
  <sheetData>
    <row r="1" spans="2:24" x14ac:dyDescent="0.25">
      <c r="B1" s="5">
        <v>1</v>
      </c>
      <c r="C1" s="5">
        <f>+B1+1</f>
        <v>2</v>
      </c>
      <c r="D1" s="5">
        <f t="shared" ref="D1:O1" si="0">+C1+1</f>
        <v>3</v>
      </c>
      <c r="E1" s="5">
        <f t="shared" si="0"/>
        <v>4</v>
      </c>
      <c r="F1" s="5">
        <f t="shared" si="0"/>
        <v>5</v>
      </c>
      <c r="G1" s="5">
        <f t="shared" si="0"/>
        <v>6</v>
      </c>
      <c r="H1" s="5">
        <f t="shared" si="0"/>
        <v>7</v>
      </c>
      <c r="I1" s="5">
        <f t="shared" si="0"/>
        <v>8</v>
      </c>
      <c r="J1" s="5">
        <f t="shared" si="0"/>
        <v>9</v>
      </c>
      <c r="K1" s="5">
        <f t="shared" si="0"/>
        <v>10</v>
      </c>
      <c r="L1" s="5">
        <f t="shared" si="0"/>
        <v>11</v>
      </c>
      <c r="M1" s="5">
        <f t="shared" si="0"/>
        <v>12</v>
      </c>
      <c r="N1" s="5">
        <f t="shared" si="0"/>
        <v>13</v>
      </c>
      <c r="O1" s="5">
        <f t="shared" si="0"/>
        <v>14</v>
      </c>
    </row>
    <row r="2" spans="2:24" x14ac:dyDescent="0.25">
      <c r="B2" s="5" t="s">
        <v>544</v>
      </c>
    </row>
    <row r="3" spans="2:24" x14ac:dyDescent="0.25">
      <c r="B3" s="5" t="s">
        <v>545</v>
      </c>
    </row>
    <row r="4" spans="2:24" s="6" customFormat="1" ht="58.5" customHeight="1" x14ac:dyDescent="0.25">
      <c r="B4" s="6" t="s">
        <v>4</v>
      </c>
      <c r="C4" s="7" t="s">
        <v>546</v>
      </c>
      <c r="D4" s="7" t="s">
        <v>547</v>
      </c>
      <c r="E4" s="7" t="s">
        <v>449</v>
      </c>
      <c r="F4" s="7" t="s">
        <v>548</v>
      </c>
      <c r="G4" s="7" t="s">
        <v>549</v>
      </c>
      <c r="H4" s="7" t="s">
        <v>550</v>
      </c>
      <c r="I4" s="7" t="s">
        <v>551</v>
      </c>
      <c r="J4" s="7" t="s">
        <v>552</v>
      </c>
      <c r="K4" s="7" t="s">
        <v>542</v>
      </c>
      <c r="L4" s="7" t="s">
        <v>445</v>
      </c>
      <c r="M4" s="7" t="s">
        <v>553</v>
      </c>
      <c r="N4" s="7" t="s">
        <v>2</v>
      </c>
      <c r="O4" s="7" t="s">
        <v>562</v>
      </c>
      <c r="P4" s="7" t="s">
        <v>447</v>
      </c>
      <c r="Q4" s="7" t="s">
        <v>554</v>
      </c>
      <c r="R4" s="7" t="s">
        <v>555</v>
      </c>
      <c r="S4" s="7" t="s">
        <v>556</v>
      </c>
      <c r="T4" s="7" t="s">
        <v>557</v>
      </c>
      <c r="U4" s="7" t="s">
        <v>558</v>
      </c>
      <c r="V4" s="7" t="s">
        <v>559</v>
      </c>
      <c r="W4" s="7" t="s">
        <v>560</v>
      </c>
      <c r="X4" s="7" t="s">
        <v>561</v>
      </c>
    </row>
    <row r="5" spans="2:24" x14ac:dyDescent="0.25">
      <c r="B5" s="5" t="s">
        <v>10</v>
      </c>
      <c r="C5" s="8" t="s">
        <v>11</v>
      </c>
      <c r="D5" s="8" t="s">
        <v>264</v>
      </c>
      <c r="E5" s="9">
        <v>337</v>
      </c>
      <c r="F5" s="9">
        <v>163</v>
      </c>
      <c r="G5" s="9">
        <v>172</v>
      </c>
      <c r="H5" s="9">
        <v>2</v>
      </c>
      <c r="I5" s="9">
        <v>48</v>
      </c>
      <c r="J5" s="9">
        <v>2</v>
      </c>
      <c r="K5" s="9">
        <v>0</v>
      </c>
      <c r="L5" s="9">
        <v>117</v>
      </c>
      <c r="M5" s="9">
        <v>0</v>
      </c>
      <c r="N5" s="9">
        <v>207</v>
      </c>
      <c r="O5" s="9">
        <f>+M5+K5+J5</f>
        <v>2</v>
      </c>
      <c r="P5" s="9"/>
      <c r="Q5" s="9">
        <v>13</v>
      </c>
      <c r="R5" s="9">
        <v>18</v>
      </c>
      <c r="S5" s="9">
        <v>37</v>
      </c>
      <c r="T5" s="9">
        <v>88</v>
      </c>
      <c r="U5" s="9">
        <v>73</v>
      </c>
      <c r="V5" s="9">
        <v>55</v>
      </c>
      <c r="W5" s="9">
        <v>29</v>
      </c>
      <c r="X5" s="9">
        <v>37</v>
      </c>
    </row>
    <row r="6" spans="2:24" x14ac:dyDescent="0.25">
      <c r="B6" s="5" t="s">
        <v>12</v>
      </c>
      <c r="C6" s="8" t="s">
        <v>13</v>
      </c>
      <c r="D6" s="8" t="s">
        <v>265</v>
      </c>
      <c r="E6" s="9">
        <v>740</v>
      </c>
      <c r="F6" s="9">
        <v>336</v>
      </c>
      <c r="G6" s="9">
        <v>360</v>
      </c>
      <c r="H6" s="9">
        <v>44</v>
      </c>
      <c r="I6" s="9">
        <v>72</v>
      </c>
      <c r="J6" s="9">
        <v>0</v>
      </c>
      <c r="K6" s="9">
        <v>3</v>
      </c>
      <c r="L6" s="9">
        <v>173</v>
      </c>
      <c r="M6" s="9">
        <v>3</v>
      </c>
      <c r="N6" s="9">
        <v>458</v>
      </c>
      <c r="O6" s="9">
        <f t="shared" ref="O6:O69" si="1">+M6+K6+J6</f>
        <v>6</v>
      </c>
      <c r="P6" s="9"/>
      <c r="Q6" s="9">
        <v>135</v>
      </c>
      <c r="R6" s="9">
        <v>26</v>
      </c>
      <c r="S6" s="9">
        <v>100</v>
      </c>
      <c r="T6" s="9">
        <v>128</v>
      </c>
      <c r="U6" s="9">
        <v>104</v>
      </c>
      <c r="V6" s="9">
        <v>113</v>
      </c>
      <c r="W6" s="9">
        <v>57</v>
      </c>
      <c r="X6" s="9">
        <v>212</v>
      </c>
    </row>
    <row r="7" spans="2:24" x14ac:dyDescent="0.25">
      <c r="B7" s="5" t="s">
        <v>14</v>
      </c>
      <c r="C7" s="8" t="s">
        <v>15</v>
      </c>
      <c r="D7" s="8" t="s">
        <v>267</v>
      </c>
      <c r="E7" s="9">
        <v>1541</v>
      </c>
      <c r="F7" s="9">
        <v>803</v>
      </c>
      <c r="G7" s="9">
        <v>721</v>
      </c>
      <c r="H7" s="9">
        <v>17</v>
      </c>
      <c r="I7" s="9">
        <v>480</v>
      </c>
      <c r="J7" s="9">
        <v>4</v>
      </c>
      <c r="K7" s="9">
        <v>30</v>
      </c>
      <c r="L7" s="9">
        <v>836</v>
      </c>
      <c r="M7" s="9">
        <v>3</v>
      </c>
      <c r="N7" s="9">
        <v>642</v>
      </c>
      <c r="O7" s="9">
        <f t="shared" si="1"/>
        <v>37</v>
      </c>
      <c r="P7" s="9"/>
      <c r="Q7" s="9">
        <v>85</v>
      </c>
      <c r="R7" s="9">
        <v>139</v>
      </c>
      <c r="S7" s="9">
        <v>273</v>
      </c>
      <c r="T7" s="9">
        <v>382</v>
      </c>
      <c r="U7" s="9">
        <v>277</v>
      </c>
      <c r="V7" s="9">
        <v>203</v>
      </c>
      <c r="W7" s="9">
        <v>89</v>
      </c>
      <c r="X7" s="9">
        <v>178</v>
      </c>
    </row>
    <row r="8" spans="2:24" x14ac:dyDescent="0.25">
      <c r="B8" s="5" t="s">
        <v>16</v>
      </c>
      <c r="C8" s="1" t="s">
        <v>297</v>
      </c>
      <c r="D8" s="8" t="s">
        <v>265</v>
      </c>
      <c r="E8" s="10">
        <v>523</v>
      </c>
      <c r="F8" s="10">
        <v>251</v>
      </c>
      <c r="G8" s="10">
        <v>269</v>
      </c>
      <c r="H8" s="10">
        <v>3</v>
      </c>
      <c r="I8" s="10">
        <v>5</v>
      </c>
      <c r="J8" s="10">
        <v>0</v>
      </c>
      <c r="K8" s="10">
        <v>0</v>
      </c>
      <c r="L8" s="10">
        <v>65</v>
      </c>
      <c r="M8" s="10">
        <v>1</v>
      </c>
      <c r="N8" s="10">
        <v>468</v>
      </c>
      <c r="O8" s="9">
        <f t="shared" si="1"/>
        <v>1</v>
      </c>
      <c r="P8" s="10">
        <v>0</v>
      </c>
      <c r="Q8" s="10">
        <v>21</v>
      </c>
      <c r="R8" s="10">
        <v>24</v>
      </c>
      <c r="S8" s="10">
        <v>57</v>
      </c>
      <c r="T8" s="10">
        <v>84</v>
      </c>
      <c r="U8" s="10">
        <v>65</v>
      </c>
      <c r="V8" s="10">
        <v>71</v>
      </c>
      <c r="W8" s="10">
        <v>35</v>
      </c>
      <c r="X8" s="10">
        <v>187</v>
      </c>
    </row>
    <row r="9" spans="2:24" x14ac:dyDescent="0.25">
      <c r="B9" s="5" t="s">
        <v>18</v>
      </c>
      <c r="C9" s="8" t="s">
        <v>19</v>
      </c>
      <c r="D9" s="8" t="s">
        <v>266</v>
      </c>
      <c r="E9" s="9">
        <v>158</v>
      </c>
      <c r="F9" s="9">
        <v>79</v>
      </c>
      <c r="G9" s="9">
        <v>78</v>
      </c>
      <c r="H9" s="9">
        <v>1</v>
      </c>
      <c r="I9" s="9">
        <v>2</v>
      </c>
      <c r="J9" s="9">
        <v>0</v>
      </c>
      <c r="K9" s="9">
        <v>0</v>
      </c>
      <c r="L9" s="9">
        <v>40</v>
      </c>
      <c r="M9" s="9">
        <v>0</v>
      </c>
      <c r="N9" s="9">
        <v>114</v>
      </c>
      <c r="O9" s="9">
        <f t="shared" si="1"/>
        <v>0</v>
      </c>
      <c r="P9" s="9"/>
      <c r="Q9" s="9">
        <v>5</v>
      </c>
      <c r="R9" s="9">
        <v>10</v>
      </c>
      <c r="S9" s="9">
        <v>25</v>
      </c>
      <c r="T9" s="9">
        <v>28</v>
      </c>
      <c r="U9" s="9">
        <v>32</v>
      </c>
      <c r="V9" s="9">
        <v>24</v>
      </c>
      <c r="W9" s="9">
        <v>10</v>
      </c>
      <c r="X9" s="9">
        <v>29</v>
      </c>
    </row>
    <row r="10" spans="2:24" x14ac:dyDescent="0.25">
      <c r="B10" s="5" t="s">
        <v>20</v>
      </c>
      <c r="C10" s="8" t="s">
        <v>21</v>
      </c>
      <c r="D10" s="8" t="s">
        <v>265</v>
      </c>
      <c r="E10" s="9">
        <v>205</v>
      </c>
      <c r="F10" s="9">
        <v>95</v>
      </c>
      <c r="G10" s="9">
        <v>109</v>
      </c>
      <c r="H10" s="9">
        <v>1</v>
      </c>
      <c r="I10" s="9">
        <v>4</v>
      </c>
      <c r="J10" s="9">
        <v>3</v>
      </c>
      <c r="K10" s="9">
        <v>1</v>
      </c>
      <c r="L10" s="9">
        <v>54</v>
      </c>
      <c r="M10" s="9">
        <v>0</v>
      </c>
      <c r="N10" s="9">
        <v>161</v>
      </c>
      <c r="O10" s="9">
        <f t="shared" si="1"/>
        <v>4</v>
      </c>
      <c r="P10" s="9"/>
      <c r="Q10" s="9">
        <v>3</v>
      </c>
      <c r="R10" s="9">
        <v>13</v>
      </c>
      <c r="S10" s="9">
        <v>51</v>
      </c>
      <c r="T10" s="9">
        <v>44</v>
      </c>
      <c r="U10" s="9">
        <v>29</v>
      </c>
      <c r="V10" s="9">
        <v>32</v>
      </c>
      <c r="W10" s="9">
        <v>7</v>
      </c>
      <c r="X10" s="9">
        <v>29</v>
      </c>
    </row>
    <row r="11" spans="2:24" x14ac:dyDescent="0.25">
      <c r="B11" s="5" t="s">
        <v>22</v>
      </c>
      <c r="C11" s="8" t="s">
        <v>23</v>
      </c>
      <c r="D11" s="8" t="s">
        <v>265</v>
      </c>
      <c r="E11" s="9">
        <v>254</v>
      </c>
      <c r="F11" s="9">
        <v>119</v>
      </c>
      <c r="G11" s="9">
        <v>128</v>
      </c>
      <c r="H11" s="9">
        <v>7</v>
      </c>
      <c r="I11" s="9">
        <v>2</v>
      </c>
      <c r="J11" s="9">
        <v>0</v>
      </c>
      <c r="K11" s="9">
        <v>0</v>
      </c>
      <c r="L11" s="9">
        <v>91</v>
      </c>
      <c r="M11" s="9">
        <v>0</v>
      </c>
      <c r="N11" s="9">
        <v>171</v>
      </c>
      <c r="O11" s="9">
        <f t="shared" si="1"/>
        <v>0</v>
      </c>
      <c r="P11" s="9"/>
      <c r="Q11" s="9">
        <v>21</v>
      </c>
      <c r="R11" s="9">
        <v>18</v>
      </c>
      <c r="S11" s="9">
        <v>43</v>
      </c>
      <c r="T11" s="9">
        <v>31</v>
      </c>
      <c r="U11" s="9">
        <v>49</v>
      </c>
      <c r="V11" s="9">
        <v>43</v>
      </c>
      <c r="W11" s="9">
        <v>26</v>
      </c>
      <c r="X11" s="9">
        <v>44</v>
      </c>
    </row>
    <row r="12" spans="2:24" x14ac:dyDescent="0.25">
      <c r="B12" s="5" t="s">
        <v>24</v>
      </c>
      <c r="C12" s="8" t="s">
        <v>25</v>
      </c>
      <c r="D12" s="8" t="s">
        <v>267</v>
      </c>
      <c r="E12" s="9">
        <v>1234</v>
      </c>
      <c r="F12" s="9">
        <v>588</v>
      </c>
      <c r="G12" s="9">
        <v>628</v>
      </c>
      <c r="H12" s="9">
        <v>18</v>
      </c>
      <c r="I12" s="9">
        <v>577</v>
      </c>
      <c r="J12" s="9">
        <v>1</v>
      </c>
      <c r="K12" s="9">
        <v>78</v>
      </c>
      <c r="L12" s="9">
        <v>332</v>
      </c>
      <c r="M12" s="9">
        <v>0</v>
      </c>
      <c r="N12" s="9">
        <v>781</v>
      </c>
      <c r="O12" s="9">
        <f t="shared" si="1"/>
        <v>79</v>
      </c>
      <c r="P12" s="9"/>
      <c r="Q12" s="9">
        <v>72</v>
      </c>
      <c r="R12" s="9">
        <v>79</v>
      </c>
      <c r="S12" s="9">
        <v>183</v>
      </c>
      <c r="T12" s="9">
        <v>277</v>
      </c>
      <c r="U12" s="9">
        <v>234</v>
      </c>
      <c r="V12" s="9">
        <v>198</v>
      </c>
      <c r="W12" s="9">
        <v>76</v>
      </c>
      <c r="X12" s="9">
        <v>187</v>
      </c>
    </row>
    <row r="13" spans="2:24" ht="31.5" x14ac:dyDescent="0.25">
      <c r="B13" s="5" t="s">
        <v>26</v>
      </c>
      <c r="C13" s="1" t="s">
        <v>298</v>
      </c>
      <c r="D13" s="8" t="s">
        <v>265</v>
      </c>
      <c r="E13" s="10">
        <v>3155</v>
      </c>
      <c r="F13" s="10">
        <v>1547</v>
      </c>
      <c r="G13" s="10">
        <v>1513</v>
      </c>
      <c r="H13" s="10">
        <v>95</v>
      </c>
      <c r="I13" s="10">
        <v>133</v>
      </c>
      <c r="J13" s="10">
        <v>8</v>
      </c>
      <c r="K13" s="10">
        <v>9</v>
      </c>
      <c r="L13" s="10">
        <v>419</v>
      </c>
      <c r="M13" s="10">
        <v>6</v>
      </c>
      <c r="N13" s="10">
        <v>2691</v>
      </c>
      <c r="O13" s="9">
        <f t="shared" si="1"/>
        <v>23</v>
      </c>
      <c r="P13" s="10">
        <v>0</v>
      </c>
      <c r="Q13" s="10">
        <v>190</v>
      </c>
      <c r="R13" s="10">
        <v>135</v>
      </c>
      <c r="S13" s="10">
        <v>336</v>
      </c>
      <c r="T13" s="10">
        <v>532</v>
      </c>
      <c r="U13" s="10">
        <v>485</v>
      </c>
      <c r="V13" s="10">
        <v>368</v>
      </c>
      <c r="W13" s="10">
        <v>144</v>
      </c>
      <c r="X13" s="10">
        <v>1155</v>
      </c>
    </row>
    <row r="14" spans="2:24" x14ac:dyDescent="0.25">
      <c r="B14" s="5" t="s">
        <v>27</v>
      </c>
      <c r="C14" s="8" t="s">
        <v>28</v>
      </c>
      <c r="D14" s="8" t="s">
        <v>265</v>
      </c>
      <c r="E14" s="9">
        <v>23</v>
      </c>
      <c r="F14" s="9">
        <v>12</v>
      </c>
      <c r="G14" s="9">
        <v>11</v>
      </c>
      <c r="H14" s="9">
        <v>0</v>
      </c>
      <c r="I14" s="9">
        <v>0</v>
      </c>
      <c r="J14" s="9">
        <v>0</v>
      </c>
      <c r="K14" s="9">
        <v>0</v>
      </c>
      <c r="L14" s="9">
        <v>2</v>
      </c>
      <c r="M14" s="9">
        <v>0</v>
      </c>
      <c r="N14" s="9">
        <v>23</v>
      </c>
      <c r="O14" s="9">
        <f t="shared" si="1"/>
        <v>0</v>
      </c>
      <c r="P14" s="9"/>
      <c r="Q14" s="9">
        <v>0</v>
      </c>
      <c r="R14" s="9">
        <v>1</v>
      </c>
      <c r="S14" s="9">
        <v>5</v>
      </c>
      <c r="T14" s="9">
        <v>6</v>
      </c>
      <c r="U14" s="9">
        <v>4</v>
      </c>
      <c r="V14" s="9">
        <v>3</v>
      </c>
      <c r="W14" s="9">
        <v>1</v>
      </c>
      <c r="X14" s="9">
        <v>3</v>
      </c>
    </row>
    <row r="15" spans="2:24" x14ac:dyDescent="0.25">
      <c r="B15" s="5" t="s">
        <v>29</v>
      </c>
      <c r="C15" s="1" t="s">
        <v>299</v>
      </c>
      <c r="D15" s="8" t="s">
        <v>265</v>
      </c>
      <c r="E15" s="10">
        <v>1072</v>
      </c>
      <c r="F15" s="10">
        <v>517</v>
      </c>
      <c r="G15" s="10">
        <v>552</v>
      </c>
      <c r="H15" s="10">
        <v>3</v>
      </c>
      <c r="I15" s="10">
        <v>13</v>
      </c>
      <c r="J15" s="10">
        <v>0</v>
      </c>
      <c r="K15" s="10">
        <v>6</v>
      </c>
      <c r="L15" s="10">
        <v>105</v>
      </c>
      <c r="M15" s="10">
        <v>1</v>
      </c>
      <c r="N15" s="10">
        <v>987</v>
      </c>
      <c r="O15" s="9">
        <f t="shared" si="1"/>
        <v>7</v>
      </c>
      <c r="P15" s="10">
        <v>0</v>
      </c>
      <c r="Q15" s="10">
        <v>17</v>
      </c>
      <c r="R15" s="10">
        <v>86</v>
      </c>
      <c r="S15" s="10">
        <v>196</v>
      </c>
      <c r="T15" s="10">
        <v>231</v>
      </c>
      <c r="U15" s="10">
        <v>174</v>
      </c>
      <c r="V15" s="10">
        <v>202</v>
      </c>
      <c r="W15" s="10">
        <v>97</v>
      </c>
      <c r="X15" s="10">
        <v>86</v>
      </c>
    </row>
    <row r="16" spans="2:24" x14ac:dyDescent="0.25">
      <c r="B16" s="5" t="s">
        <v>30</v>
      </c>
      <c r="C16" s="8" t="s">
        <v>31</v>
      </c>
      <c r="D16" s="8" t="s">
        <v>268</v>
      </c>
      <c r="E16" s="9">
        <v>103</v>
      </c>
      <c r="F16" s="9">
        <v>52</v>
      </c>
      <c r="G16" s="9">
        <v>51</v>
      </c>
      <c r="H16" s="9">
        <v>0</v>
      </c>
      <c r="I16" s="9">
        <v>0</v>
      </c>
      <c r="J16" s="9">
        <v>0</v>
      </c>
      <c r="K16" s="9">
        <v>0</v>
      </c>
      <c r="L16" s="9">
        <v>17</v>
      </c>
      <c r="M16" s="9">
        <v>1</v>
      </c>
      <c r="N16" s="9">
        <v>91</v>
      </c>
      <c r="O16" s="9">
        <f t="shared" si="1"/>
        <v>1</v>
      </c>
      <c r="P16" s="9"/>
      <c r="Q16" s="9">
        <v>2</v>
      </c>
      <c r="R16" s="9">
        <v>6</v>
      </c>
      <c r="S16" s="9">
        <v>13</v>
      </c>
      <c r="T16" s="9">
        <v>31</v>
      </c>
      <c r="U16" s="9">
        <v>19</v>
      </c>
      <c r="V16" s="9">
        <v>27</v>
      </c>
      <c r="W16" s="9">
        <v>2</v>
      </c>
      <c r="X16" s="9">
        <v>5</v>
      </c>
    </row>
    <row r="17" spans="2:24" x14ac:dyDescent="0.25">
      <c r="B17" s="5" t="s">
        <v>32</v>
      </c>
      <c r="C17" s="8" t="s">
        <v>33</v>
      </c>
      <c r="D17" s="8" t="s">
        <v>265</v>
      </c>
      <c r="E17" s="9">
        <v>91</v>
      </c>
      <c r="F17" s="9">
        <v>47</v>
      </c>
      <c r="G17" s="9">
        <v>44</v>
      </c>
      <c r="H17" s="9">
        <v>0</v>
      </c>
      <c r="I17" s="9">
        <v>3</v>
      </c>
      <c r="J17" s="9">
        <v>0</v>
      </c>
      <c r="K17" s="9">
        <v>0</v>
      </c>
      <c r="L17" s="9">
        <v>5</v>
      </c>
      <c r="M17" s="9">
        <v>0</v>
      </c>
      <c r="N17" s="9">
        <v>86</v>
      </c>
      <c r="O17" s="9">
        <f t="shared" si="1"/>
        <v>0</v>
      </c>
      <c r="P17" s="9"/>
      <c r="Q17" s="9">
        <v>2</v>
      </c>
      <c r="R17" s="9">
        <v>8</v>
      </c>
      <c r="S17" s="9">
        <v>15</v>
      </c>
      <c r="T17" s="9">
        <v>15</v>
      </c>
      <c r="U17" s="9">
        <v>22</v>
      </c>
      <c r="V17" s="9">
        <v>14</v>
      </c>
      <c r="W17" s="9">
        <v>4</v>
      </c>
      <c r="X17" s="9">
        <v>13</v>
      </c>
    </row>
    <row r="18" spans="2:24" x14ac:dyDescent="0.25">
      <c r="B18" s="5" t="s">
        <v>34</v>
      </c>
      <c r="C18" s="8" t="s">
        <v>35</v>
      </c>
      <c r="D18" s="8" t="s">
        <v>268</v>
      </c>
      <c r="E18" s="9">
        <v>488</v>
      </c>
      <c r="F18" s="9">
        <v>239</v>
      </c>
      <c r="G18" s="9">
        <v>236</v>
      </c>
      <c r="H18" s="9">
        <v>13</v>
      </c>
      <c r="I18" s="9">
        <v>7</v>
      </c>
      <c r="J18" s="9">
        <v>0</v>
      </c>
      <c r="K18" s="9">
        <v>0</v>
      </c>
      <c r="L18" s="9">
        <v>31</v>
      </c>
      <c r="M18" s="9">
        <v>0</v>
      </c>
      <c r="N18" s="9">
        <v>367</v>
      </c>
      <c r="O18" s="9">
        <f t="shared" si="1"/>
        <v>0</v>
      </c>
      <c r="P18" s="9"/>
      <c r="Q18" s="9">
        <v>104</v>
      </c>
      <c r="R18" s="9">
        <v>46</v>
      </c>
      <c r="S18" s="9">
        <v>104</v>
      </c>
      <c r="T18" s="9">
        <v>109</v>
      </c>
      <c r="U18" s="9">
        <v>77</v>
      </c>
      <c r="V18" s="9">
        <v>53</v>
      </c>
      <c r="W18" s="9">
        <v>15</v>
      </c>
      <c r="X18" s="9">
        <v>84</v>
      </c>
    </row>
    <row r="19" spans="2:24" x14ac:dyDescent="0.25">
      <c r="B19" s="5" t="s">
        <v>36</v>
      </c>
      <c r="C19" s="8" t="s">
        <v>37</v>
      </c>
      <c r="D19" s="8" t="s">
        <v>264</v>
      </c>
      <c r="E19" s="9">
        <v>58</v>
      </c>
      <c r="F19" s="9">
        <v>25</v>
      </c>
      <c r="G19" s="9">
        <v>32</v>
      </c>
      <c r="H19" s="9">
        <v>1</v>
      </c>
      <c r="I19" s="9">
        <v>0</v>
      </c>
      <c r="J19" s="9">
        <v>0</v>
      </c>
      <c r="K19" s="9">
        <v>0</v>
      </c>
      <c r="L19" s="9">
        <v>30</v>
      </c>
      <c r="M19" s="9">
        <v>1</v>
      </c>
      <c r="N19" s="9">
        <v>28</v>
      </c>
      <c r="O19" s="9">
        <f t="shared" si="1"/>
        <v>1</v>
      </c>
      <c r="P19" s="9"/>
      <c r="Q19" s="9">
        <v>2</v>
      </c>
      <c r="R19" s="9">
        <v>6</v>
      </c>
      <c r="S19" s="9">
        <v>6</v>
      </c>
      <c r="T19" s="9">
        <v>14</v>
      </c>
      <c r="U19" s="9">
        <v>8</v>
      </c>
      <c r="V19" s="9">
        <v>10</v>
      </c>
      <c r="W19" s="9">
        <v>4</v>
      </c>
      <c r="X19" s="9">
        <v>10</v>
      </c>
    </row>
    <row r="20" spans="2:24" x14ac:dyDescent="0.25">
      <c r="B20" s="5" t="s">
        <v>38</v>
      </c>
      <c r="C20" s="8" t="s">
        <v>39</v>
      </c>
      <c r="D20" s="8" t="s">
        <v>268</v>
      </c>
      <c r="E20" s="9">
        <v>406</v>
      </c>
      <c r="F20" s="9">
        <v>187</v>
      </c>
      <c r="G20" s="9">
        <v>218</v>
      </c>
      <c r="H20" s="9">
        <v>1</v>
      </c>
      <c r="I20" s="9">
        <v>2</v>
      </c>
      <c r="J20" s="9">
        <v>0</v>
      </c>
      <c r="K20" s="9">
        <v>0</v>
      </c>
      <c r="L20" s="9">
        <v>2</v>
      </c>
      <c r="M20" s="9">
        <v>0</v>
      </c>
      <c r="N20" s="9">
        <v>403</v>
      </c>
      <c r="O20" s="9">
        <f t="shared" si="1"/>
        <v>0</v>
      </c>
      <c r="P20" s="9"/>
      <c r="Q20" s="9">
        <v>1</v>
      </c>
      <c r="R20" s="9">
        <v>43</v>
      </c>
      <c r="S20" s="9">
        <v>73</v>
      </c>
      <c r="T20" s="9">
        <v>111</v>
      </c>
      <c r="U20" s="9">
        <v>93</v>
      </c>
      <c r="V20" s="9">
        <v>44</v>
      </c>
      <c r="W20" s="9">
        <v>23</v>
      </c>
      <c r="X20" s="9">
        <v>19</v>
      </c>
    </row>
    <row r="21" spans="2:24" x14ac:dyDescent="0.25">
      <c r="B21" s="5" t="s">
        <v>40</v>
      </c>
      <c r="C21" s="8" t="s">
        <v>41</v>
      </c>
      <c r="D21" s="8" t="s">
        <v>266</v>
      </c>
      <c r="E21" s="9">
        <v>194</v>
      </c>
      <c r="F21" s="9">
        <v>82</v>
      </c>
      <c r="G21" s="9">
        <v>110</v>
      </c>
      <c r="H21" s="9">
        <v>2</v>
      </c>
      <c r="I21" s="9">
        <v>11</v>
      </c>
      <c r="J21" s="9">
        <v>0</v>
      </c>
      <c r="K21" s="9">
        <v>1</v>
      </c>
      <c r="L21" s="9">
        <v>56</v>
      </c>
      <c r="M21" s="9">
        <v>1</v>
      </c>
      <c r="N21" s="9">
        <v>139</v>
      </c>
      <c r="O21" s="9">
        <f t="shared" si="1"/>
        <v>2</v>
      </c>
      <c r="P21" s="9"/>
      <c r="Q21" s="9">
        <v>5</v>
      </c>
      <c r="R21" s="9">
        <v>8</v>
      </c>
      <c r="S21" s="9">
        <v>29</v>
      </c>
      <c r="T21" s="9">
        <v>40</v>
      </c>
      <c r="U21" s="9">
        <v>39</v>
      </c>
      <c r="V21" s="9">
        <v>40</v>
      </c>
      <c r="W21" s="9">
        <v>17</v>
      </c>
      <c r="X21" s="9">
        <v>21</v>
      </c>
    </row>
    <row r="22" spans="2:24" x14ac:dyDescent="0.25">
      <c r="B22" s="5" t="s">
        <v>42</v>
      </c>
      <c r="C22" s="8" t="s">
        <v>43</v>
      </c>
      <c r="D22" s="8" t="s">
        <v>265</v>
      </c>
      <c r="E22" s="9">
        <v>1302</v>
      </c>
      <c r="F22" s="9">
        <v>625</v>
      </c>
      <c r="G22" s="9">
        <v>645</v>
      </c>
      <c r="H22" s="9">
        <v>32</v>
      </c>
      <c r="I22" s="9">
        <v>31</v>
      </c>
      <c r="J22" s="9">
        <v>1</v>
      </c>
      <c r="K22" s="9">
        <v>1</v>
      </c>
      <c r="L22" s="9">
        <v>279</v>
      </c>
      <c r="M22" s="9">
        <v>2</v>
      </c>
      <c r="N22" s="9">
        <v>1065</v>
      </c>
      <c r="O22" s="9">
        <f t="shared" si="1"/>
        <v>4</v>
      </c>
      <c r="P22" s="9"/>
      <c r="Q22" s="9">
        <v>44</v>
      </c>
      <c r="R22" s="9">
        <v>65</v>
      </c>
      <c r="S22" s="9">
        <v>190</v>
      </c>
      <c r="T22" s="9">
        <v>276</v>
      </c>
      <c r="U22" s="9">
        <v>247</v>
      </c>
      <c r="V22" s="9">
        <v>213</v>
      </c>
      <c r="W22" s="9">
        <v>97</v>
      </c>
      <c r="X22" s="9">
        <v>214</v>
      </c>
    </row>
    <row r="23" spans="2:24" x14ac:dyDescent="0.25">
      <c r="B23" s="5" t="s">
        <v>44</v>
      </c>
      <c r="C23" s="8" t="s">
        <v>45</v>
      </c>
      <c r="D23" s="8" t="s">
        <v>266</v>
      </c>
      <c r="E23" s="9">
        <v>342</v>
      </c>
      <c r="F23" s="9">
        <v>157</v>
      </c>
      <c r="G23" s="9">
        <v>170</v>
      </c>
      <c r="H23" s="9">
        <v>15</v>
      </c>
      <c r="I23" s="9">
        <v>10</v>
      </c>
      <c r="J23" s="9">
        <v>0</v>
      </c>
      <c r="K23" s="9">
        <v>1</v>
      </c>
      <c r="L23" s="9">
        <v>86</v>
      </c>
      <c r="M23" s="9">
        <v>0</v>
      </c>
      <c r="N23" s="9">
        <v>237</v>
      </c>
      <c r="O23" s="9">
        <f t="shared" si="1"/>
        <v>1</v>
      </c>
      <c r="P23" s="9"/>
      <c r="Q23" s="9">
        <v>27</v>
      </c>
      <c r="R23" s="9">
        <v>16</v>
      </c>
      <c r="S23" s="9">
        <v>35</v>
      </c>
      <c r="T23" s="9">
        <v>53</v>
      </c>
      <c r="U23" s="9">
        <v>57</v>
      </c>
      <c r="V23" s="9">
        <v>53</v>
      </c>
      <c r="W23" s="9">
        <v>17</v>
      </c>
      <c r="X23" s="9">
        <v>111</v>
      </c>
    </row>
    <row r="24" spans="2:24" x14ac:dyDescent="0.25">
      <c r="B24" s="5" t="s">
        <v>46</v>
      </c>
      <c r="C24" s="8" t="s">
        <v>47</v>
      </c>
      <c r="D24" s="8" t="s">
        <v>268</v>
      </c>
      <c r="E24" s="9">
        <v>423</v>
      </c>
      <c r="F24" s="9">
        <v>205</v>
      </c>
      <c r="G24" s="9">
        <v>215</v>
      </c>
      <c r="H24" s="9">
        <v>3</v>
      </c>
      <c r="I24" s="9">
        <v>30</v>
      </c>
      <c r="J24" s="9">
        <v>1</v>
      </c>
      <c r="K24" s="9">
        <v>0</v>
      </c>
      <c r="L24" s="9">
        <v>3</v>
      </c>
      <c r="M24" s="9">
        <v>0</v>
      </c>
      <c r="N24" s="9">
        <v>414</v>
      </c>
      <c r="O24" s="9">
        <f t="shared" si="1"/>
        <v>1</v>
      </c>
      <c r="P24" s="9"/>
      <c r="Q24" s="9">
        <v>6</v>
      </c>
      <c r="R24" s="9">
        <v>25</v>
      </c>
      <c r="S24" s="9">
        <v>80</v>
      </c>
      <c r="T24" s="9">
        <v>83</v>
      </c>
      <c r="U24" s="9">
        <v>88</v>
      </c>
      <c r="V24" s="9">
        <v>72</v>
      </c>
      <c r="W24" s="9">
        <v>46</v>
      </c>
      <c r="X24" s="9">
        <v>29</v>
      </c>
    </row>
    <row r="25" spans="2:24" x14ac:dyDescent="0.25">
      <c r="B25" s="5" t="s">
        <v>48</v>
      </c>
      <c r="C25" s="8" t="s">
        <v>269</v>
      </c>
      <c r="D25" s="8" t="s">
        <v>266</v>
      </c>
      <c r="E25" s="9">
        <v>43</v>
      </c>
      <c r="F25" s="9">
        <v>21</v>
      </c>
      <c r="G25" s="9">
        <v>19</v>
      </c>
      <c r="H25" s="9">
        <v>3</v>
      </c>
      <c r="I25" s="9">
        <v>0</v>
      </c>
      <c r="J25" s="9">
        <v>6</v>
      </c>
      <c r="K25" s="9">
        <v>0</v>
      </c>
      <c r="L25" s="9">
        <v>9</v>
      </c>
      <c r="M25" s="9">
        <v>0</v>
      </c>
      <c r="N25" s="9">
        <v>24</v>
      </c>
      <c r="O25" s="9">
        <f t="shared" si="1"/>
        <v>6</v>
      </c>
      <c r="P25" s="9"/>
      <c r="Q25" s="9">
        <v>6</v>
      </c>
      <c r="R25" s="9">
        <v>1</v>
      </c>
      <c r="S25" s="9">
        <v>2</v>
      </c>
      <c r="T25" s="9">
        <v>9</v>
      </c>
      <c r="U25" s="9">
        <v>8</v>
      </c>
      <c r="V25" s="9">
        <v>7</v>
      </c>
      <c r="W25" s="9">
        <v>6</v>
      </c>
      <c r="X25" s="9">
        <v>10</v>
      </c>
    </row>
    <row r="26" spans="2:24" x14ac:dyDescent="0.25">
      <c r="B26" s="5" t="s">
        <v>50</v>
      </c>
      <c r="C26" s="8" t="s">
        <v>51</v>
      </c>
      <c r="D26" s="8" t="s">
        <v>265</v>
      </c>
      <c r="E26" s="9">
        <v>139</v>
      </c>
      <c r="F26" s="9">
        <v>63</v>
      </c>
      <c r="G26" s="9">
        <v>76</v>
      </c>
      <c r="H26" s="9">
        <v>0</v>
      </c>
      <c r="I26" s="9">
        <v>0</v>
      </c>
      <c r="J26" s="9">
        <v>0</v>
      </c>
      <c r="K26" s="9">
        <v>0</v>
      </c>
      <c r="L26" s="9">
        <v>48</v>
      </c>
      <c r="M26" s="9">
        <v>0</v>
      </c>
      <c r="N26" s="9">
        <v>101</v>
      </c>
      <c r="O26" s="9">
        <f t="shared" si="1"/>
        <v>0</v>
      </c>
      <c r="P26" s="9"/>
      <c r="Q26" s="9">
        <v>2</v>
      </c>
      <c r="R26" s="9">
        <v>9</v>
      </c>
      <c r="S26" s="9">
        <v>21</v>
      </c>
      <c r="T26" s="9">
        <v>35</v>
      </c>
      <c r="U26" s="9">
        <v>26</v>
      </c>
      <c r="V26" s="9">
        <v>26</v>
      </c>
      <c r="W26" s="9">
        <v>4</v>
      </c>
      <c r="X26" s="9">
        <v>18</v>
      </c>
    </row>
    <row r="27" spans="2:24" x14ac:dyDescent="0.25">
      <c r="B27" s="5" t="s">
        <v>52</v>
      </c>
      <c r="C27" s="8" t="s">
        <v>53</v>
      </c>
      <c r="D27" s="8" t="s">
        <v>265</v>
      </c>
      <c r="E27" s="9">
        <v>987</v>
      </c>
      <c r="F27" s="9">
        <v>475</v>
      </c>
      <c r="G27" s="9">
        <v>477</v>
      </c>
      <c r="H27" s="9">
        <v>35</v>
      </c>
      <c r="I27" s="9">
        <v>66</v>
      </c>
      <c r="J27" s="9">
        <v>1</v>
      </c>
      <c r="K27" s="9">
        <v>20</v>
      </c>
      <c r="L27" s="9">
        <v>609</v>
      </c>
      <c r="M27" s="9">
        <v>0</v>
      </c>
      <c r="N27" s="9">
        <v>386</v>
      </c>
      <c r="O27" s="9">
        <f t="shared" si="1"/>
        <v>21</v>
      </c>
      <c r="P27" s="9"/>
      <c r="Q27" s="9">
        <v>57</v>
      </c>
      <c r="R27" s="9">
        <v>47</v>
      </c>
      <c r="S27" s="9">
        <v>164</v>
      </c>
      <c r="T27" s="9">
        <v>187</v>
      </c>
      <c r="U27" s="9">
        <v>127</v>
      </c>
      <c r="V27" s="9">
        <v>121</v>
      </c>
      <c r="W27" s="9">
        <v>56</v>
      </c>
      <c r="X27" s="9">
        <v>285</v>
      </c>
    </row>
    <row r="28" spans="2:24" x14ac:dyDescent="0.25">
      <c r="B28" s="5" t="s">
        <v>54</v>
      </c>
      <c r="C28" s="8" t="s">
        <v>55</v>
      </c>
      <c r="D28" s="8" t="s">
        <v>264</v>
      </c>
      <c r="E28" s="9">
        <v>2358</v>
      </c>
      <c r="F28" s="9">
        <v>1143</v>
      </c>
      <c r="G28" s="9">
        <v>1172</v>
      </c>
      <c r="H28" s="9">
        <v>43</v>
      </c>
      <c r="I28" s="9">
        <v>113</v>
      </c>
      <c r="J28" s="9">
        <v>4</v>
      </c>
      <c r="K28" s="9">
        <v>39</v>
      </c>
      <c r="L28" s="9">
        <v>927</v>
      </c>
      <c r="M28" s="9">
        <v>5</v>
      </c>
      <c r="N28" s="9">
        <v>1354</v>
      </c>
      <c r="O28" s="9">
        <f t="shared" si="1"/>
        <v>48</v>
      </c>
      <c r="P28" s="9"/>
      <c r="Q28" s="9">
        <v>78</v>
      </c>
      <c r="R28" s="9">
        <v>135</v>
      </c>
      <c r="S28" s="9">
        <v>386</v>
      </c>
      <c r="T28" s="9">
        <v>496</v>
      </c>
      <c r="U28" s="9">
        <v>416</v>
      </c>
      <c r="V28" s="9">
        <v>420</v>
      </c>
      <c r="W28" s="9">
        <v>216</v>
      </c>
      <c r="X28" s="9">
        <v>289</v>
      </c>
    </row>
    <row r="29" spans="2:24" ht="31.5" x14ac:dyDescent="0.25">
      <c r="B29" s="5" t="s">
        <v>56</v>
      </c>
      <c r="C29" s="1" t="s">
        <v>295</v>
      </c>
      <c r="D29" s="8" t="s">
        <v>266</v>
      </c>
      <c r="E29" s="10">
        <v>3302</v>
      </c>
      <c r="F29" s="10">
        <v>1677</v>
      </c>
      <c r="G29" s="10">
        <v>1567</v>
      </c>
      <c r="H29" s="10">
        <v>58</v>
      </c>
      <c r="I29" s="10">
        <v>259</v>
      </c>
      <c r="J29" s="10">
        <v>4</v>
      </c>
      <c r="K29" s="10">
        <v>46</v>
      </c>
      <c r="L29" s="10">
        <v>1057</v>
      </c>
      <c r="M29" s="10">
        <v>10</v>
      </c>
      <c r="N29" s="10">
        <v>2175</v>
      </c>
      <c r="O29" s="9">
        <f t="shared" si="1"/>
        <v>60</v>
      </c>
      <c r="P29" s="10">
        <v>0</v>
      </c>
      <c r="Q29" s="10">
        <v>142</v>
      </c>
      <c r="R29" s="10">
        <v>159</v>
      </c>
      <c r="S29" s="10">
        <v>350</v>
      </c>
      <c r="T29" s="10">
        <v>561</v>
      </c>
      <c r="U29" s="10">
        <v>592</v>
      </c>
      <c r="V29" s="10">
        <v>511</v>
      </c>
      <c r="W29" s="10">
        <v>282</v>
      </c>
      <c r="X29" s="10">
        <v>847</v>
      </c>
    </row>
    <row r="30" spans="2:24" x14ac:dyDescent="0.25">
      <c r="B30" s="5" t="s">
        <v>58</v>
      </c>
      <c r="C30" s="8" t="s">
        <v>59</v>
      </c>
      <c r="D30" s="8" t="s">
        <v>267</v>
      </c>
      <c r="E30" s="9">
        <v>83</v>
      </c>
      <c r="F30" s="9">
        <v>47</v>
      </c>
      <c r="G30" s="9">
        <v>33</v>
      </c>
      <c r="H30" s="9">
        <v>3</v>
      </c>
      <c r="I30" s="9">
        <v>6</v>
      </c>
      <c r="J30" s="9">
        <v>3</v>
      </c>
      <c r="K30" s="9">
        <v>1</v>
      </c>
      <c r="L30" s="9">
        <v>13</v>
      </c>
      <c r="M30" s="9">
        <v>0</v>
      </c>
      <c r="N30" s="9">
        <v>58</v>
      </c>
      <c r="O30" s="9">
        <f t="shared" si="1"/>
        <v>4</v>
      </c>
      <c r="P30" s="9"/>
      <c r="Q30" s="9">
        <v>18</v>
      </c>
      <c r="R30" s="9">
        <v>6</v>
      </c>
      <c r="S30" s="9">
        <v>6</v>
      </c>
      <c r="T30" s="9">
        <v>12</v>
      </c>
      <c r="U30" s="9">
        <v>12</v>
      </c>
      <c r="V30" s="9">
        <v>20</v>
      </c>
      <c r="W30" s="9">
        <v>11</v>
      </c>
      <c r="X30" s="9">
        <v>16</v>
      </c>
    </row>
    <row r="31" spans="2:24" x14ac:dyDescent="0.25">
      <c r="B31" s="5" t="s">
        <v>60</v>
      </c>
      <c r="C31" s="8" t="s">
        <v>61</v>
      </c>
      <c r="D31" s="8" t="s">
        <v>265</v>
      </c>
      <c r="E31" s="9">
        <v>17</v>
      </c>
      <c r="F31" s="9">
        <v>10</v>
      </c>
      <c r="G31" s="9">
        <v>7</v>
      </c>
      <c r="H31" s="9">
        <v>0</v>
      </c>
      <c r="I31" s="9">
        <v>1</v>
      </c>
      <c r="J31" s="9">
        <v>0</v>
      </c>
      <c r="K31" s="9">
        <v>0</v>
      </c>
      <c r="L31" s="9">
        <v>0</v>
      </c>
      <c r="M31" s="9">
        <v>0</v>
      </c>
      <c r="N31" s="9">
        <v>17</v>
      </c>
      <c r="O31" s="9">
        <f t="shared" si="1"/>
        <v>0</v>
      </c>
      <c r="P31" s="9"/>
      <c r="Q31" s="9">
        <v>0</v>
      </c>
      <c r="R31" s="9">
        <v>1</v>
      </c>
      <c r="S31" s="9">
        <v>0</v>
      </c>
      <c r="T31" s="9">
        <v>2</v>
      </c>
      <c r="U31" s="9">
        <v>5</v>
      </c>
      <c r="V31" s="9">
        <v>5</v>
      </c>
      <c r="W31" s="9">
        <v>1</v>
      </c>
      <c r="X31" s="9">
        <v>3</v>
      </c>
    </row>
    <row r="32" spans="2:24" x14ac:dyDescent="0.25">
      <c r="B32" s="5" t="s">
        <v>62</v>
      </c>
      <c r="C32" s="8" t="s">
        <v>63</v>
      </c>
      <c r="D32" s="8" t="s">
        <v>267</v>
      </c>
      <c r="E32" s="9">
        <v>672</v>
      </c>
      <c r="F32" s="9">
        <v>302</v>
      </c>
      <c r="G32" s="9">
        <v>355</v>
      </c>
      <c r="H32" s="9">
        <v>15</v>
      </c>
      <c r="I32" s="9">
        <v>54</v>
      </c>
      <c r="J32" s="9">
        <v>0</v>
      </c>
      <c r="K32" s="9">
        <v>0</v>
      </c>
      <c r="L32" s="9">
        <v>91</v>
      </c>
      <c r="M32" s="9">
        <v>3</v>
      </c>
      <c r="N32" s="9">
        <v>348</v>
      </c>
      <c r="O32" s="9">
        <f t="shared" si="1"/>
        <v>3</v>
      </c>
      <c r="P32" s="9"/>
      <c r="Q32" s="9">
        <v>234</v>
      </c>
      <c r="R32" s="9">
        <v>48</v>
      </c>
      <c r="S32" s="9">
        <v>79</v>
      </c>
      <c r="T32" s="9">
        <v>112</v>
      </c>
      <c r="U32" s="9">
        <v>85</v>
      </c>
      <c r="V32" s="9">
        <v>93</v>
      </c>
      <c r="W32" s="9">
        <v>34</v>
      </c>
      <c r="X32" s="9">
        <v>221</v>
      </c>
    </row>
    <row r="33" spans="2:24" x14ac:dyDescent="0.25">
      <c r="B33" s="5" t="s">
        <v>64</v>
      </c>
      <c r="C33" s="8" t="s">
        <v>65</v>
      </c>
      <c r="D33" s="8" t="s">
        <v>266</v>
      </c>
      <c r="E33" s="9">
        <v>175</v>
      </c>
      <c r="F33" s="9">
        <v>79</v>
      </c>
      <c r="G33" s="9">
        <v>95</v>
      </c>
      <c r="H33" s="9">
        <v>1</v>
      </c>
      <c r="I33" s="9">
        <v>5</v>
      </c>
      <c r="J33" s="9">
        <v>0</v>
      </c>
      <c r="K33" s="9">
        <v>0</v>
      </c>
      <c r="L33" s="9">
        <v>78</v>
      </c>
      <c r="M33" s="9">
        <v>1</v>
      </c>
      <c r="N33" s="9">
        <v>94</v>
      </c>
      <c r="O33" s="9">
        <f t="shared" si="1"/>
        <v>1</v>
      </c>
      <c r="P33" s="9"/>
      <c r="Q33" s="9">
        <v>6</v>
      </c>
      <c r="R33" s="9">
        <v>11</v>
      </c>
      <c r="S33" s="9">
        <v>38</v>
      </c>
      <c r="T33" s="9">
        <v>46</v>
      </c>
      <c r="U33" s="9">
        <v>34</v>
      </c>
      <c r="V33" s="9">
        <v>29</v>
      </c>
      <c r="W33" s="9">
        <v>9</v>
      </c>
      <c r="X33" s="9">
        <v>8</v>
      </c>
    </row>
    <row r="34" spans="2:24" x14ac:dyDescent="0.25">
      <c r="B34" s="5" t="s">
        <v>66</v>
      </c>
      <c r="C34" s="8" t="s">
        <v>67</v>
      </c>
      <c r="D34" s="8" t="s">
        <v>265</v>
      </c>
      <c r="E34" s="9">
        <v>649</v>
      </c>
      <c r="F34" s="9">
        <v>319</v>
      </c>
      <c r="G34" s="9">
        <v>324</v>
      </c>
      <c r="H34" s="9">
        <v>6</v>
      </c>
      <c r="I34" s="9">
        <v>12</v>
      </c>
      <c r="J34" s="9">
        <v>2</v>
      </c>
      <c r="K34" s="9">
        <v>3</v>
      </c>
      <c r="L34" s="9">
        <v>415</v>
      </c>
      <c r="M34" s="9">
        <v>4</v>
      </c>
      <c r="N34" s="9">
        <v>217</v>
      </c>
      <c r="O34" s="9">
        <f t="shared" si="1"/>
        <v>9</v>
      </c>
      <c r="P34" s="9"/>
      <c r="Q34" s="9">
        <v>20</v>
      </c>
      <c r="R34" s="9">
        <v>64</v>
      </c>
      <c r="S34" s="9">
        <v>135</v>
      </c>
      <c r="T34" s="9">
        <v>143</v>
      </c>
      <c r="U34" s="9">
        <v>121</v>
      </c>
      <c r="V34" s="9">
        <v>97</v>
      </c>
      <c r="W34" s="9">
        <v>32</v>
      </c>
      <c r="X34" s="9">
        <v>57</v>
      </c>
    </row>
    <row r="35" spans="2:24" x14ac:dyDescent="0.25">
      <c r="B35" s="5" t="s">
        <v>68</v>
      </c>
      <c r="C35" s="8" t="s">
        <v>69</v>
      </c>
      <c r="D35" s="8" t="s">
        <v>268</v>
      </c>
      <c r="E35" s="9">
        <v>228</v>
      </c>
      <c r="F35" s="9">
        <v>107</v>
      </c>
      <c r="G35" s="9">
        <v>119</v>
      </c>
      <c r="H35" s="9">
        <v>2</v>
      </c>
      <c r="I35" s="9">
        <v>3</v>
      </c>
      <c r="J35" s="9">
        <v>0</v>
      </c>
      <c r="K35" s="9">
        <v>0</v>
      </c>
      <c r="L35" s="9">
        <v>2</v>
      </c>
      <c r="M35" s="9">
        <v>0</v>
      </c>
      <c r="N35" s="9">
        <v>226</v>
      </c>
      <c r="O35" s="9">
        <f t="shared" si="1"/>
        <v>0</v>
      </c>
      <c r="P35" s="9"/>
      <c r="Q35" s="9">
        <v>1</v>
      </c>
      <c r="R35" s="9">
        <v>18</v>
      </c>
      <c r="S35" s="9">
        <v>52</v>
      </c>
      <c r="T35" s="9">
        <v>62</v>
      </c>
      <c r="U35" s="9">
        <v>48</v>
      </c>
      <c r="V35" s="9">
        <v>32</v>
      </c>
      <c r="W35" s="9">
        <v>11</v>
      </c>
      <c r="X35" s="9">
        <v>5</v>
      </c>
    </row>
    <row r="36" spans="2:24" x14ac:dyDescent="0.25">
      <c r="B36" s="5" t="s">
        <v>70</v>
      </c>
      <c r="C36" s="8" t="s">
        <v>71</v>
      </c>
      <c r="D36" s="8" t="s">
        <v>264</v>
      </c>
      <c r="E36" s="9">
        <v>164</v>
      </c>
      <c r="F36" s="9">
        <v>71</v>
      </c>
      <c r="G36" s="9">
        <v>91</v>
      </c>
      <c r="H36" s="9">
        <v>2</v>
      </c>
      <c r="I36" s="9">
        <v>6</v>
      </c>
      <c r="J36" s="9">
        <v>0</v>
      </c>
      <c r="K36" s="9">
        <v>0</v>
      </c>
      <c r="L36" s="9">
        <v>49</v>
      </c>
      <c r="M36" s="9">
        <v>0</v>
      </c>
      <c r="N36" s="9">
        <v>115</v>
      </c>
      <c r="O36" s="9">
        <f t="shared" si="1"/>
        <v>0</v>
      </c>
      <c r="P36" s="9"/>
      <c r="Q36" s="9">
        <v>6</v>
      </c>
      <c r="R36" s="9">
        <v>9</v>
      </c>
      <c r="S36" s="9">
        <v>23</v>
      </c>
      <c r="T36" s="9">
        <v>22</v>
      </c>
      <c r="U36" s="9">
        <v>41</v>
      </c>
      <c r="V36" s="9">
        <v>31</v>
      </c>
      <c r="W36" s="9">
        <v>18</v>
      </c>
      <c r="X36" s="9">
        <v>20</v>
      </c>
    </row>
    <row r="37" spans="2:24" x14ac:dyDescent="0.25">
      <c r="B37" s="5" t="s">
        <v>72</v>
      </c>
      <c r="C37" s="8" t="s">
        <v>73</v>
      </c>
      <c r="D37" s="8" t="s">
        <v>266</v>
      </c>
      <c r="E37" s="9">
        <v>126</v>
      </c>
      <c r="F37" s="9">
        <v>64</v>
      </c>
      <c r="G37" s="9">
        <v>58</v>
      </c>
      <c r="H37" s="9">
        <v>4</v>
      </c>
      <c r="I37" s="9">
        <v>2</v>
      </c>
      <c r="J37" s="9">
        <v>0</v>
      </c>
      <c r="K37" s="9">
        <v>0</v>
      </c>
      <c r="L37" s="9">
        <v>47</v>
      </c>
      <c r="M37" s="9">
        <v>0</v>
      </c>
      <c r="N37" s="9">
        <v>66</v>
      </c>
      <c r="O37" s="9">
        <f t="shared" si="1"/>
        <v>0</v>
      </c>
      <c r="P37" s="9"/>
      <c r="Q37" s="9">
        <v>15</v>
      </c>
      <c r="R37" s="9">
        <v>7</v>
      </c>
      <c r="S37" s="9">
        <v>21</v>
      </c>
      <c r="T37" s="9">
        <v>21</v>
      </c>
      <c r="U37" s="9">
        <v>14</v>
      </c>
      <c r="V37" s="9">
        <v>25</v>
      </c>
      <c r="W37" s="9">
        <v>6</v>
      </c>
      <c r="X37" s="9">
        <v>32</v>
      </c>
    </row>
    <row r="38" spans="2:24" ht="31.5" x14ac:dyDescent="0.25">
      <c r="B38" s="5" t="s">
        <v>74</v>
      </c>
      <c r="C38" s="1" t="s">
        <v>296</v>
      </c>
      <c r="D38" s="8" t="s">
        <v>267</v>
      </c>
      <c r="E38" s="10">
        <v>7614</v>
      </c>
      <c r="F38" s="10">
        <v>3598</v>
      </c>
      <c r="G38" s="10">
        <v>3823</v>
      </c>
      <c r="H38" s="10">
        <v>193</v>
      </c>
      <c r="I38" s="10">
        <v>2484</v>
      </c>
      <c r="J38" s="10">
        <v>24</v>
      </c>
      <c r="K38" s="10">
        <v>456</v>
      </c>
      <c r="L38" s="10">
        <v>1979</v>
      </c>
      <c r="M38" s="10">
        <v>21</v>
      </c>
      <c r="N38" s="10">
        <v>5069</v>
      </c>
      <c r="O38" s="9">
        <f t="shared" si="1"/>
        <v>501</v>
      </c>
      <c r="P38" s="10">
        <v>0</v>
      </c>
      <c r="Q38" s="10">
        <v>427</v>
      </c>
      <c r="R38" s="10">
        <v>337</v>
      </c>
      <c r="S38" s="10">
        <v>940</v>
      </c>
      <c r="T38" s="10">
        <v>1622</v>
      </c>
      <c r="U38" s="10">
        <v>1449</v>
      </c>
      <c r="V38" s="10">
        <v>1363</v>
      </c>
      <c r="W38" s="10">
        <v>635</v>
      </c>
      <c r="X38" s="10">
        <v>1268</v>
      </c>
    </row>
    <row r="39" spans="2:24" x14ac:dyDescent="0.25">
      <c r="B39" s="5" t="s">
        <v>76</v>
      </c>
      <c r="C39" s="8" t="s">
        <v>77</v>
      </c>
      <c r="D39" s="8" t="s">
        <v>267</v>
      </c>
      <c r="E39" s="9">
        <v>633</v>
      </c>
      <c r="F39" s="9">
        <v>332</v>
      </c>
      <c r="G39" s="9">
        <v>288</v>
      </c>
      <c r="H39" s="9">
        <v>13</v>
      </c>
      <c r="I39" s="9">
        <v>38</v>
      </c>
      <c r="J39" s="9">
        <v>2</v>
      </c>
      <c r="K39" s="9">
        <v>3</v>
      </c>
      <c r="L39" s="9">
        <v>154</v>
      </c>
      <c r="M39" s="9">
        <v>0</v>
      </c>
      <c r="N39" s="9">
        <v>448</v>
      </c>
      <c r="O39" s="9">
        <f t="shared" si="1"/>
        <v>5</v>
      </c>
      <c r="P39" s="9"/>
      <c r="Q39" s="9">
        <v>60</v>
      </c>
      <c r="R39" s="9">
        <v>28</v>
      </c>
      <c r="S39" s="9">
        <v>72</v>
      </c>
      <c r="T39" s="9">
        <v>124</v>
      </c>
      <c r="U39" s="9">
        <v>127</v>
      </c>
      <c r="V39" s="9">
        <v>94</v>
      </c>
      <c r="W39" s="9">
        <v>43</v>
      </c>
      <c r="X39" s="9">
        <v>145</v>
      </c>
    </row>
    <row r="40" spans="2:24" x14ac:dyDescent="0.25">
      <c r="B40" s="5" t="s">
        <v>78</v>
      </c>
      <c r="C40" s="8" t="s">
        <v>79</v>
      </c>
      <c r="D40" s="8" t="s">
        <v>268</v>
      </c>
      <c r="E40" s="9">
        <v>126</v>
      </c>
      <c r="F40" s="9">
        <v>66</v>
      </c>
      <c r="G40" s="9">
        <v>58</v>
      </c>
      <c r="H40" s="9">
        <v>2</v>
      </c>
      <c r="I40" s="9">
        <v>8</v>
      </c>
      <c r="J40" s="9">
        <v>0</v>
      </c>
      <c r="K40" s="9">
        <v>2</v>
      </c>
      <c r="L40" s="9">
        <v>4</v>
      </c>
      <c r="M40" s="9">
        <v>0</v>
      </c>
      <c r="N40" s="9">
        <v>120</v>
      </c>
      <c r="O40" s="9">
        <f t="shared" si="1"/>
        <v>2</v>
      </c>
      <c r="P40" s="9"/>
      <c r="Q40" s="9">
        <v>3</v>
      </c>
      <c r="R40" s="9">
        <v>10</v>
      </c>
      <c r="S40" s="9">
        <v>22</v>
      </c>
      <c r="T40" s="9">
        <v>24</v>
      </c>
      <c r="U40" s="9">
        <v>24</v>
      </c>
      <c r="V40" s="9">
        <v>18</v>
      </c>
      <c r="W40" s="9">
        <v>10</v>
      </c>
      <c r="X40" s="9">
        <v>18</v>
      </c>
    </row>
    <row r="41" spans="2:24" x14ac:dyDescent="0.25">
      <c r="B41" s="5" t="s">
        <v>80</v>
      </c>
      <c r="C41" s="8" t="s">
        <v>81</v>
      </c>
      <c r="D41" s="8" t="s">
        <v>266</v>
      </c>
      <c r="E41" s="9">
        <v>201</v>
      </c>
      <c r="F41" s="9">
        <v>93</v>
      </c>
      <c r="G41" s="9">
        <v>106</v>
      </c>
      <c r="H41" s="9">
        <v>2</v>
      </c>
      <c r="I41" s="9">
        <v>5</v>
      </c>
      <c r="J41" s="9">
        <v>0</v>
      </c>
      <c r="K41" s="9">
        <v>0</v>
      </c>
      <c r="L41" s="9">
        <v>37</v>
      </c>
      <c r="M41" s="9">
        <v>0</v>
      </c>
      <c r="N41" s="9">
        <v>143</v>
      </c>
      <c r="O41" s="9">
        <f t="shared" si="1"/>
        <v>0</v>
      </c>
      <c r="P41" s="9"/>
      <c r="Q41" s="9">
        <v>21</v>
      </c>
      <c r="R41" s="9">
        <v>3</v>
      </c>
      <c r="S41" s="9">
        <v>21</v>
      </c>
      <c r="T41" s="9">
        <v>46</v>
      </c>
      <c r="U41" s="9">
        <v>46</v>
      </c>
      <c r="V41" s="9">
        <v>34</v>
      </c>
      <c r="W41" s="9">
        <v>7</v>
      </c>
      <c r="X41" s="9">
        <v>44</v>
      </c>
    </row>
    <row r="42" spans="2:24" x14ac:dyDescent="0.25">
      <c r="B42" s="5" t="s">
        <v>82</v>
      </c>
      <c r="C42" s="8" t="s">
        <v>83</v>
      </c>
      <c r="D42" s="8" t="s">
        <v>264</v>
      </c>
      <c r="E42" s="9">
        <v>137</v>
      </c>
      <c r="F42" s="9">
        <v>62</v>
      </c>
      <c r="G42" s="9">
        <v>75</v>
      </c>
      <c r="H42" s="9">
        <v>0</v>
      </c>
      <c r="I42" s="9">
        <v>0</v>
      </c>
      <c r="J42" s="9">
        <v>0</v>
      </c>
      <c r="K42" s="9">
        <v>0</v>
      </c>
      <c r="L42" s="9">
        <v>107</v>
      </c>
      <c r="M42" s="9">
        <v>0</v>
      </c>
      <c r="N42" s="9">
        <v>28</v>
      </c>
      <c r="O42" s="9">
        <f t="shared" si="1"/>
        <v>0</v>
      </c>
      <c r="P42" s="9"/>
      <c r="Q42" s="9">
        <v>3</v>
      </c>
      <c r="R42" s="9">
        <v>8</v>
      </c>
      <c r="S42" s="9">
        <v>22</v>
      </c>
      <c r="T42" s="9">
        <v>27</v>
      </c>
      <c r="U42" s="9">
        <v>12</v>
      </c>
      <c r="V42" s="9">
        <v>21</v>
      </c>
      <c r="W42" s="9">
        <v>10</v>
      </c>
      <c r="X42" s="9">
        <v>37</v>
      </c>
    </row>
    <row r="43" spans="2:24" x14ac:dyDescent="0.25">
      <c r="B43" s="5" t="s">
        <v>84</v>
      </c>
      <c r="C43" s="8" t="s">
        <v>85</v>
      </c>
      <c r="D43" s="8" t="s">
        <v>265</v>
      </c>
      <c r="E43" s="9">
        <v>1377</v>
      </c>
      <c r="F43" s="9">
        <v>663</v>
      </c>
      <c r="G43" s="9">
        <v>689</v>
      </c>
      <c r="H43" s="9">
        <v>25</v>
      </c>
      <c r="I43" s="9">
        <v>72</v>
      </c>
      <c r="J43" s="9">
        <v>0</v>
      </c>
      <c r="K43" s="9">
        <v>0</v>
      </c>
      <c r="L43" s="9">
        <v>137</v>
      </c>
      <c r="M43" s="9">
        <v>2</v>
      </c>
      <c r="N43" s="9">
        <v>1204</v>
      </c>
      <c r="O43" s="9">
        <f t="shared" si="1"/>
        <v>2</v>
      </c>
      <c r="P43" s="9"/>
      <c r="Q43" s="9">
        <v>103</v>
      </c>
      <c r="R43" s="9">
        <v>130</v>
      </c>
      <c r="S43" s="9">
        <v>255</v>
      </c>
      <c r="T43" s="9">
        <v>297</v>
      </c>
      <c r="U43" s="9">
        <v>244</v>
      </c>
      <c r="V43" s="9">
        <v>230</v>
      </c>
      <c r="W43" s="9">
        <v>85</v>
      </c>
      <c r="X43" s="9">
        <v>136</v>
      </c>
    </row>
    <row r="44" spans="2:24" x14ac:dyDescent="0.25">
      <c r="B44" s="5" t="s">
        <v>86</v>
      </c>
      <c r="C44" s="8" t="s">
        <v>87</v>
      </c>
      <c r="D44" s="8" t="s">
        <v>267</v>
      </c>
      <c r="E44" s="9">
        <v>1263</v>
      </c>
      <c r="F44" s="9">
        <v>587</v>
      </c>
      <c r="G44" s="9">
        <v>653</v>
      </c>
      <c r="H44" s="9">
        <v>23</v>
      </c>
      <c r="I44" s="9">
        <v>127</v>
      </c>
      <c r="J44" s="9">
        <v>5</v>
      </c>
      <c r="K44" s="9">
        <v>2</v>
      </c>
      <c r="L44" s="9">
        <v>78</v>
      </c>
      <c r="M44" s="9">
        <v>0</v>
      </c>
      <c r="N44" s="9">
        <v>845</v>
      </c>
      <c r="O44" s="9">
        <f t="shared" si="1"/>
        <v>7</v>
      </c>
      <c r="P44" s="9"/>
      <c r="Q44" s="9">
        <v>370</v>
      </c>
      <c r="R44" s="9">
        <v>87</v>
      </c>
      <c r="S44" s="9">
        <v>185</v>
      </c>
      <c r="T44" s="9">
        <v>257</v>
      </c>
      <c r="U44" s="9">
        <v>248</v>
      </c>
      <c r="V44" s="9">
        <v>206</v>
      </c>
      <c r="W44" s="9">
        <v>104</v>
      </c>
      <c r="X44" s="9">
        <v>176</v>
      </c>
    </row>
    <row r="45" spans="2:24" x14ac:dyDescent="0.25">
      <c r="B45" s="5" t="s">
        <v>88</v>
      </c>
      <c r="C45" s="8" t="s">
        <v>89</v>
      </c>
      <c r="D45" s="8" t="s">
        <v>267</v>
      </c>
      <c r="E45" s="9">
        <v>362</v>
      </c>
      <c r="F45" s="9">
        <v>178</v>
      </c>
      <c r="G45" s="9">
        <v>183</v>
      </c>
      <c r="H45" s="9">
        <v>1</v>
      </c>
      <c r="I45" s="9">
        <v>30</v>
      </c>
      <c r="J45" s="9">
        <v>0</v>
      </c>
      <c r="K45" s="9">
        <v>1</v>
      </c>
      <c r="L45" s="9">
        <v>160</v>
      </c>
      <c r="M45" s="9">
        <v>6</v>
      </c>
      <c r="N45" s="9">
        <v>187</v>
      </c>
      <c r="O45" s="9">
        <f t="shared" si="1"/>
        <v>7</v>
      </c>
      <c r="P45" s="9"/>
      <c r="Q45" s="9">
        <v>23</v>
      </c>
      <c r="R45" s="9">
        <v>43</v>
      </c>
      <c r="S45" s="9">
        <v>89</v>
      </c>
      <c r="T45" s="9">
        <v>81</v>
      </c>
      <c r="U45" s="9">
        <v>58</v>
      </c>
      <c r="V45" s="9">
        <v>43</v>
      </c>
      <c r="W45" s="9">
        <v>10</v>
      </c>
      <c r="X45" s="9">
        <v>38</v>
      </c>
    </row>
    <row r="46" spans="2:24" x14ac:dyDescent="0.25">
      <c r="B46" s="5" t="s">
        <v>90</v>
      </c>
      <c r="C46" s="8" t="s">
        <v>91</v>
      </c>
      <c r="D46" s="8" t="s">
        <v>268</v>
      </c>
      <c r="E46" s="9">
        <v>87</v>
      </c>
      <c r="F46" s="9">
        <v>50</v>
      </c>
      <c r="G46" s="9">
        <v>37</v>
      </c>
      <c r="H46" s="9">
        <v>0</v>
      </c>
      <c r="I46" s="9">
        <v>19</v>
      </c>
      <c r="J46" s="9">
        <v>0</v>
      </c>
      <c r="K46" s="9">
        <v>0</v>
      </c>
      <c r="L46" s="9">
        <v>18</v>
      </c>
      <c r="M46" s="9">
        <v>0</v>
      </c>
      <c r="N46" s="9">
        <v>79</v>
      </c>
      <c r="O46" s="9">
        <f t="shared" si="1"/>
        <v>0</v>
      </c>
      <c r="P46" s="9"/>
      <c r="Q46" s="9">
        <v>5</v>
      </c>
      <c r="R46" s="9">
        <v>9</v>
      </c>
      <c r="S46" s="9">
        <v>20</v>
      </c>
      <c r="T46" s="9">
        <v>21</v>
      </c>
      <c r="U46" s="9">
        <v>20</v>
      </c>
      <c r="V46" s="9">
        <v>9</v>
      </c>
      <c r="W46" s="9">
        <v>1</v>
      </c>
      <c r="X46" s="9">
        <v>7</v>
      </c>
    </row>
    <row r="47" spans="2:24" x14ac:dyDescent="0.25">
      <c r="B47" s="5" t="s">
        <v>92</v>
      </c>
      <c r="C47" s="8" t="s">
        <v>93</v>
      </c>
      <c r="D47" s="8" t="s">
        <v>268</v>
      </c>
      <c r="E47" s="9">
        <v>463</v>
      </c>
      <c r="F47" s="9">
        <v>220</v>
      </c>
      <c r="G47" s="9">
        <v>240</v>
      </c>
      <c r="H47" s="9">
        <v>3</v>
      </c>
      <c r="I47" s="9">
        <v>4</v>
      </c>
      <c r="J47" s="9">
        <v>0</v>
      </c>
      <c r="K47" s="9">
        <v>0</v>
      </c>
      <c r="L47" s="9">
        <v>10</v>
      </c>
      <c r="M47" s="9">
        <v>0</v>
      </c>
      <c r="N47" s="9">
        <v>447</v>
      </c>
      <c r="O47" s="9">
        <f t="shared" si="1"/>
        <v>0</v>
      </c>
      <c r="P47" s="9"/>
      <c r="Q47" s="9">
        <v>7</v>
      </c>
      <c r="R47" s="9">
        <v>29</v>
      </c>
      <c r="S47" s="9">
        <v>75</v>
      </c>
      <c r="T47" s="9">
        <v>129</v>
      </c>
      <c r="U47" s="9">
        <v>81</v>
      </c>
      <c r="V47" s="9">
        <v>57</v>
      </c>
      <c r="W47" s="9">
        <v>18</v>
      </c>
      <c r="X47" s="9">
        <v>74</v>
      </c>
    </row>
    <row r="48" spans="2:24" x14ac:dyDescent="0.25">
      <c r="B48" s="5" t="s">
        <v>94</v>
      </c>
      <c r="C48" s="8" t="s">
        <v>95</v>
      </c>
      <c r="D48" s="8" t="s">
        <v>264</v>
      </c>
      <c r="E48" s="9">
        <v>545</v>
      </c>
      <c r="F48" s="9">
        <v>258</v>
      </c>
      <c r="G48" s="9">
        <v>280</v>
      </c>
      <c r="H48" s="9">
        <v>7</v>
      </c>
      <c r="I48" s="9">
        <v>16</v>
      </c>
      <c r="J48" s="9">
        <v>0</v>
      </c>
      <c r="K48" s="9">
        <v>4</v>
      </c>
      <c r="L48" s="9">
        <v>60</v>
      </c>
      <c r="M48" s="9">
        <v>2</v>
      </c>
      <c r="N48" s="9">
        <v>430</v>
      </c>
      <c r="O48" s="9">
        <f t="shared" si="1"/>
        <v>6</v>
      </c>
      <c r="P48" s="9"/>
      <c r="Q48" s="9">
        <v>63</v>
      </c>
      <c r="R48" s="9">
        <v>24</v>
      </c>
      <c r="S48" s="9">
        <v>80</v>
      </c>
      <c r="T48" s="9">
        <v>121</v>
      </c>
      <c r="U48" s="9">
        <v>99</v>
      </c>
      <c r="V48" s="9">
        <v>102</v>
      </c>
      <c r="W48" s="9">
        <v>50</v>
      </c>
      <c r="X48" s="9">
        <v>69</v>
      </c>
    </row>
    <row r="49" spans="2:24" x14ac:dyDescent="0.25">
      <c r="B49" s="5" t="s">
        <v>96</v>
      </c>
      <c r="C49" s="8" t="s">
        <v>97</v>
      </c>
      <c r="D49" s="8" t="s">
        <v>266</v>
      </c>
      <c r="E49" s="9">
        <v>89</v>
      </c>
      <c r="F49" s="9">
        <v>46</v>
      </c>
      <c r="G49" s="9">
        <v>42</v>
      </c>
      <c r="H49" s="9">
        <v>1</v>
      </c>
      <c r="I49" s="9">
        <v>2</v>
      </c>
      <c r="J49" s="9">
        <v>0</v>
      </c>
      <c r="K49" s="9">
        <v>1</v>
      </c>
      <c r="L49" s="9">
        <v>36</v>
      </c>
      <c r="M49" s="9">
        <v>0</v>
      </c>
      <c r="N49" s="9">
        <v>44</v>
      </c>
      <c r="O49" s="9">
        <f t="shared" si="1"/>
        <v>1</v>
      </c>
      <c r="P49" s="9"/>
      <c r="Q49" s="9">
        <v>13</v>
      </c>
      <c r="R49" s="9">
        <v>5</v>
      </c>
      <c r="S49" s="9">
        <v>12</v>
      </c>
      <c r="T49" s="9">
        <v>19</v>
      </c>
      <c r="U49" s="9">
        <v>10</v>
      </c>
      <c r="V49" s="9">
        <v>12</v>
      </c>
      <c r="W49" s="9">
        <v>4</v>
      </c>
      <c r="X49" s="9">
        <v>27</v>
      </c>
    </row>
    <row r="50" spans="2:24" x14ac:dyDescent="0.25">
      <c r="B50" s="5" t="s">
        <v>98</v>
      </c>
      <c r="C50" s="8" t="s">
        <v>99</v>
      </c>
      <c r="D50" s="8" t="s">
        <v>268</v>
      </c>
      <c r="E50" s="9">
        <v>330</v>
      </c>
      <c r="F50" s="9">
        <v>156</v>
      </c>
      <c r="G50" s="9">
        <v>174</v>
      </c>
      <c r="H50" s="9">
        <v>0</v>
      </c>
      <c r="I50" s="9">
        <v>27</v>
      </c>
      <c r="J50" s="9">
        <v>0</v>
      </c>
      <c r="K50" s="9">
        <v>0</v>
      </c>
      <c r="L50" s="9">
        <v>14</v>
      </c>
      <c r="M50" s="9">
        <v>0</v>
      </c>
      <c r="N50" s="9">
        <v>318</v>
      </c>
      <c r="O50" s="9">
        <f t="shared" si="1"/>
        <v>0</v>
      </c>
      <c r="P50" s="9"/>
      <c r="Q50" s="9">
        <v>4</v>
      </c>
      <c r="R50" s="9">
        <v>22</v>
      </c>
      <c r="S50" s="9">
        <v>47</v>
      </c>
      <c r="T50" s="9">
        <v>80</v>
      </c>
      <c r="U50" s="9">
        <v>68</v>
      </c>
      <c r="V50" s="9">
        <v>66</v>
      </c>
      <c r="W50" s="9">
        <v>21</v>
      </c>
      <c r="X50" s="9">
        <v>26</v>
      </c>
    </row>
    <row r="51" spans="2:24" x14ac:dyDescent="0.25">
      <c r="B51" s="5" t="s">
        <v>100</v>
      </c>
      <c r="C51" s="8" t="s">
        <v>101</v>
      </c>
      <c r="D51" s="8" t="s">
        <v>267</v>
      </c>
      <c r="E51" s="9">
        <v>208</v>
      </c>
      <c r="F51" s="9">
        <v>101</v>
      </c>
      <c r="G51" s="9">
        <v>106</v>
      </c>
      <c r="H51" s="9">
        <v>1</v>
      </c>
      <c r="I51" s="9">
        <v>4</v>
      </c>
      <c r="J51" s="9">
        <v>0</v>
      </c>
      <c r="K51" s="9">
        <v>1</v>
      </c>
      <c r="L51" s="9">
        <v>24</v>
      </c>
      <c r="M51" s="9">
        <v>0</v>
      </c>
      <c r="N51" s="9">
        <v>167</v>
      </c>
      <c r="O51" s="9">
        <f t="shared" si="1"/>
        <v>1</v>
      </c>
      <c r="P51" s="9"/>
      <c r="Q51" s="9">
        <v>23</v>
      </c>
      <c r="R51" s="9">
        <v>9</v>
      </c>
      <c r="S51" s="9">
        <v>27</v>
      </c>
      <c r="T51" s="9">
        <v>58</v>
      </c>
      <c r="U51" s="9">
        <v>34</v>
      </c>
      <c r="V51" s="9">
        <v>21</v>
      </c>
      <c r="W51" s="9">
        <v>8</v>
      </c>
      <c r="X51" s="9">
        <v>51</v>
      </c>
    </row>
    <row r="52" spans="2:24" x14ac:dyDescent="0.25">
      <c r="B52" s="5" t="s">
        <v>102</v>
      </c>
      <c r="C52" s="1" t="s">
        <v>282</v>
      </c>
      <c r="D52" s="8" t="s">
        <v>264</v>
      </c>
      <c r="E52" s="10">
        <v>205</v>
      </c>
      <c r="F52" s="10">
        <v>101</v>
      </c>
      <c r="G52" s="10">
        <v>99</v>
      </c>
      <c r="H52" s="10">
        <v>5</v>
      </c>
      <c r="I52" s="10">
        <v>3</v>
      </c>
      <c r="J52" s="10">
        <v>0</v>
      </c>
      <c r="K52" s="10">
        <v>0</v>
      </c>
      <c r="L52" s="10">
        <v>153</v>
      </c>
      <c r="M52" s="10">
        <v>0</v>
      </c>
      <c r="N52" s="10">
        <v>42</v>
      </c>
      <c r="O52" s="9">
        <f t="shared" si="1"/>
        <v>0</v>
      </c>
      <c r="P52" s="10">
        <v>0</v>
      </c>
      <c r="Q52" s="10">
        <v>17</v>
      </c>
      <c r="R52" s="10">
        <v>19</v>
      </c>
      <c r="S52" s="10">
        <v>30</v>
      </c>
      <c r="T52" s="10">
        <v>41</v>
      </c>
      <c r="U52" s="10">
        <v>37</v>
      </c>
      <c r="V52" s="10">
        <v>36</v>
      </c>
      <c r="W52" s="10">
        <v>20</v>
      </c>
      <c r="X52" s="10">
        <v>22</v>
      </c>
    </row>
    <row r="53" spans="2:24" x14ac:dyDescent="0.25">
      <c r="B53" s="5" t="s">
        <v>104</v>
      </c>
      <c r="C53" s="8" t="s">
        <v>105</v>
      </c>
      <c r="D53" s="8" t="s">
        <v>265</v>
      </c>
      <c r="E53" s="9">
        <v>344</v>
      </c>
      <c r="F53" s="9">
        <v>176</v>
      </c>
      <c r="G53" s="9">
        <v>166</v>
      </c>
      <c r="H53" s="9">
        <v>2</v>
      </c>
      <c r="I53" s="9">
        <v>5</v>
      </c>
      <c r="J53" s="9">
        <v>1</v>
      </c>
      <c r="K53" s="9">
        <v>0</v>
      </c>
      <c r="L53" s="9">
        <v>171</v>
      </c>
      <c r="M53" s="9">
        <v>0</v>
      </c>
      <c r="N53" s="9">
        <v>179</v>
      </c>
      <c r="O53" s="9">
        <f t="shared" si="1"/>
        <v>1</v>
      </c>
      <c r="P53" s="9"/>
      <c r="Q53" s="9">
        <v>11</v>
      </c>
      <c r="R53" s="9">
        <v>17</v>
      </c>
      <c r="S53" s="9">
        <v>59</v>
      </c>
      <c r="T53" s="9">
        <v>87</v>
      </c>
      <c r="U53" s="9">
        <v>82</v>
      </c>
      <c r="V53" s="9">
        <v>69</v>
      </c>
      <c r="W53" s="9">
        <v>11</v>
      </c>
      <c r="X53" s="9">
        <v>19</v>
      </c>
    </row>
    <row r="54" spans="2:24" x14ac:dyDescent="0.25">
      <c r="B54" s="5" t="s">
        <v>106</v>
      </c>
      <c r="C54" s="8" t="s">
        <v>107</v>
      </c>
      <c r="D54" s="8" t="s">
        <v>264</v>
      </c>
      <c r="E54" s="9">
        <v>1587</v>
      </c>
      <c r="F54" s="9">
        <v>804</v>
      </c>
      <c r="G54" s="9">
        <v>756</v>
      </c>
      <c r="H54" s="9">
        <v>27</v>
      </c>
      <c r="I54" s="9">
        <v>56</v>
      </c>
      <c r="J54" s="9">
        <v>4</v>
      </c>
      <c r="K54" s="9">
        <v>8</v>
      </c>
      <c r="L54" s="9">
        <v>931</v>
      </c>
      <c r="M54" s="9">
        <v>1</v>
      </c>
      <c r="N54" s="9">
        <v>603</v>
      </c>
      <c r="O54" s="9">
        <f t="shared" si="1"/>
        <v>13</v>
      </c>
      <c r="P54" s="9"/>
      <c r="Q54" s="9">
        <v>120</v>
      </c>
      <c r="R54" s="9">
        <v>105</v>
      </c>
      <c r="S54" s="9">
        <v>254</v>
      </c>
      <c r="T54" s="9">
        <v>341</v>
      </c>
      <c r="U54" s="9">
        <v>271</v>
      </c>
      <c r="V54" s="9">
        <v>260</v>
      </c>
      <c r="W54" s="9">
        <v>95</v>
      </c>
      <c r="X54" s="9">
        <v>261</v>
      </c>
    </row>
    <row r="55" spans="2:24" x14ac:dyDescent="0.25">
      <c r="B55" s="5" t="s">
        <v>108</v>
      </c>
      <c r="C55" s="8" t="s">
        <v>109</v>
      </c>
      <c r="D55" s="8" t="s">
        <v>266</v>
      </c>
      <c r="E55" s="9">
        <v>745</v>
      </c>
      <c r="F55" s="9">
        <v>349</v>
      </c>
      <c r="G55" s="9">
        <v>384</v>
      </c>
      <c r="H55" s="9">
        <v>12</v>
      </c>
      <c r="I55" s="9">
        <v>34</v>
      </c>
      <c r="J55" s="9">
        <v>1</v>
      </c>
      <c r="K55" s="9">
        <v>9</v>
      </c>
      <c r="L55" s="9">
        <v>153</v>
      </c>
      <c r="M55" s="9">
        <v>0</v>
      </c>
      <c r="N55" s="9">
        <v>586</v>
      </c>
      <c r="O55" s="9">
        <f t="shared" si="1"/>
        <v>10</v>
      </c>
      <c r="P55" s="9"/>
      <c r="Q55" s="9">
        <v>41</v>
      </c>
      <c r="R55" s="9">
        <v>38</v>
      </c>
      <c r="S55" s="9">
        <v>103</v>
      </c>
      <c r="T55" s="9">
        <v>151</v>
      </c>
      <c r="U55" s="9">
        <v>128</v>
      </c>
      <c r="V55" s="9">
        <v>122</v>
      </c>
      <c r="W55" s="9">
        <v>73</v>
      </c>
      <c r="X55" s="9">
        <v>130</v>
      </c>
    </row>
    <row r="56" spans="2:24" x14ac:dyDescent="0.25">
      <c r="B56" s="5" t="s">
        <v>110</v>
      </c>
      <c r="C56" s="8" t="s">
        <v>111</v>
      </c>
      <c r="D56" s="8" t="s">
        <v>266</v>
      </c>
      <c r="E56" s="9">
        <v>2289</v>
      </c>
      <c r="F56" s="9">
        <v>1115</v>
      </c>
      <c r="G56" s="9">
        <v>1111</v>
      </c>
      <c r="H56" s="9">
        <v>63</v>
      </c>
      <c r="I56" s="9">
        <v>143</v>
      </c>
      <c r="J56" s="9">
        <v>11</v>
      </c>
      <c r="K56" s="9">
        <v>48</v>
      </c>
      <c r="L56" s="9">
        <v>1081</v>
      </c>
      <c r="M56" s="9">
        <v>5</v>
      </c>
      <c r="N56" s="9">
        <v>1101</v>
      </c>
      <c r="O56" s="9">
        <f t="shared" si="1"/>
        <v>64</v>
      </c>
      <c r="P56" s="9"/>
      <c r="Q56" s="9">
        <v>154</v>
      </c>
      <c r="R56" s="9">
        <v>127</v>
      </c>
      <c r="S56" s="9">
        <v>330</v>
      </c>
      <c r="T56" s="9">
        <v>440</v>
      </c>
      <c r="U56" s="9">
        <v>426</v>
      </c>
      <c r="V56" s="9">
        <v>345</v>
      </c>
      <c r="W56" s="9">
        <v>142</v>
      </c>
      <c r="X56" s="9">
        <v>479</v>
      </c>
    </row>
    <row r="57" spans="2:24" x14ac:dyDescent="0.25">
      <c r="B57" s="5" t="s">
        <v>112</v>
      </c>
      <c r="C57" s="1" t="s">
        <v>300</v>
      </c>
      <c r="D57" s="8" t="s">
        <v>265</v>
      </c>
      <c r="E57" s="10">
        <v>1263</v>
      </c>
      <c r="F57" s="10">
        <v>603</v>
      </c>
      <c r="G57" s="10">
        <v>608</v>
      </c>
      <c r="H57" s="10">
        <v>52</v>
      </c>
      <c r="I57" s="10">
        <v>58</v>
      </c>
      <c r="J57" s="10">
        <v>0</v>
      </c>
      <c r="K57" s="10">
        <v>3</v>
      </c>
      <c r="L57" s="10">
        <v>336</v>
      </c>
      <c r="M57" s="10">
        <v>23</v>
      </c>
      <c r="N57" s="10">
        <v>737</v>
      </c>
      <c r="O57" s="9">
        <f t="shared" si="1"/>
        <v>26</v>
      </c>
      <c r="P57" s="10">
        <v>0</v>
      </c>
      <c r="Q57" s="10">
        <v>174</v>
      </c>
      <c r="R57" s="10">
        <v>109</v>
      </c>
      <c r="S57" s="10">
        <v>211</v>
      </c>
      <c r="T57" s="10">
        <v>258</v>
      </c>
      <c r="U57" s="10">
        <v>204</v>
      </c>
      <c r="V57" s="10">
        <v>167</v>
      </c>
      <c r="W57" s="10">
        <v>62</v>
      </c>
      <c r="X57" s="10">
        <v>252</v>
      </c>
    </row>
    <row r="58" spans="2:24" x14ac:dyDescent="0.25">
      <c r="B58" s="5" t="s">
        <v>114</v>
      </c>
      <c r="C58" s="8" t="s">
        <v>115</v>
      </c>
      <c r="D58" s="8" t="s">
        <v>265</v>
      </c>
      <c r="E58" s="9">
        <v>49</v>
      </c>
      <c r="F58" s="9">
        <v>12</v>
      </c>
      <c r="G58" s="9">
        <v>34</v>
      </c>
      <c r="H58" s="9">
        <v>3</v>
      </c>
      <c r="I58" s="9">
        <v>1</v>
      </c>
      <c r="J58" s="9">
        <v>0</v>
      </c>
      <c r="K58" s="9">
        <v>0</v>
      </c>
      <c r="L58" s="9">
        <v>0</v>
      </c>
      <c r="M58" s="9">
        <v>0</v>
      </c>
      <c r="N58" s="9">
        <v>46</v>
      </c>
      <c r="O58" s="9">
        <f t="shared" si="1"/>
        <v>0</v>
      </c>
      <c r="P58" s="9"/>
      <c r="Q58" s="9">
        <v>3</v>
      </c>
      <c r="R58" s="9">
        <v>5</v>
      </c>
      <c r="S58" s="9">
        <v>2</v>
      </c>
      <c r="T58" s="9">
        <v>12</v>
      </c>
      <c r="U58" s="9">
        <v>4</v>
      </c>
      <c r="V58" s="9">
        <v>2</v>
      </c>
      <c r="W58" s="9">
        <v>2</v>
      </c>
      <c r="X58" s="9">
        <v>22</v>
      </c>
    </row>
    <row r="59" spans="2:24" x14ac:dyDescent="0.25">
      <c r="B59" s="5" t="s">
        <v>116</v>
      </c>
      <c r="C59" s="8" t="s">
        <v>117</v>
      </c>
      <c r="D59" s="8" t="s">
        <v>266</v>
      </c>
      <c r="E59" s="9">
        <v>538</v>
      </c>
      <c r="F59" s="9">
        <v>243</v>
      </c>
      <c r="G59" s="9">
        <v>288</v>
      </c>
      <c r="H59" s="9">
        <v>7</v>
      </c>
      <c r="I59" s="9">
        <v>27</v>
      </c>
      <c r="J59" s="9">
        <v>2</v>
      </c>
      <c r="K59" s="9">
        <v>9</v>
      </c>
      <c r="L59" s="9">
        <v>240</v>
      </c>
      <c r="M59" s="9">
        <v>4</v>
      </c>
      <c r="N59" s="9">
        <v>261</v>
      </c>
      <c r="O59" s="9">
        <f t="shared" si="1"/>
        <v>15</v>
      </c>
      <c r="P59" s="9"/>
      <c r="Q59" s="9">
        <v>58</v>
      </c>
      <c r="R59" s="9">
        <v>36</v>
      </c>
      <c r="S59" s="9">
        <v>92</v>
      </c>
      <c r="T59" s="9">
        <v>122</v>
      </c>
      <c r="U59" s="9">
        <v>83</v>
      </c>
      <c r="V59" s="9">
        <v>65</v>
      </c>
      <c r="W59" s="9">
        <v>26</v>
      </c>
      <c r="X59" s="9">
        <v>114</v>
      </c>
    </row>
    <row r="60" spans="2:24" x14ac:dyDescent="0.25">
      <c r="B60" s="5" t="s">
        <v>118</v>
      </c>
      <c r="C60" s="8" t="s">
        <v>119</v>
      </c>
      <c r="D60" s="8" t="s">
        <v>264</v>
      </c>
      <c r="E60" s="9">
        <v>285</v>
      </c>
      <c r="F60" s="9">
        <v>141</v>
      </c>
      <c r="G60" s="9">
        <v>144</v>
      </c>
      <c r="H60" s="9">
        <v>0</v>
      </c>
      <c r="I60" s="9">
        <v>13</v>
      </c>
      <c r="J60" s="9">
        <v>0</v>
      </c>
      <c r="K60" s="9">
        <v>0</v>
      </c>
      <c r="L60" s="9">
        <v>105</v>
      </c>
      <c r="M60" s="9">
        <v>0</v>
      </c>
      <c r="N60" s="9">
        <v>187</v>
      </c>
      <c r="O60" s="9">
        <f t="shared" si="1"/>
        <v>0</v>
      </c>
      <c r="P60" s="9"/>
      <c r="Q60" s="9">
        <v>2</v>
      </c>
      <c r="R60" s="9">
        <v>24</v>
      </c>
      <c r="S60" s="9">
        <v>53</v>
      </c>
      <c r="T60" s="9">
        <v>61</v>
      </c>
      <c r="U60" s="9">
        <v>50</v>
      </c>
      <c r="V60" s="9">
        <v>44</v>
      </c>
      <c r="W60" s="9">
        <v>20</v>
      </c>
      <c r="X60" s="9">
        <v>33</v>
      </c>
    </row>
    <row r="61" spans="2:24" x14ac:dyDescent="0.25">
      <c r="B61" s="5" t="s">
        <v>120</v>
      </c>
      <c r="C61" s="8" t="s">
        <v>121</v>
      </c>
      <c r="D61" s="8" t="s">
        <v>264</v>
      </c>
      <c r="E61" s="9">
        <v>596</v>
      </c>
      <c r="F61" s="9">
        <v>334</v>
      </c>
      <c r="G61" s="9">
        <v>259</v>
      </c>
      <c r="H61" s="9">
        <v>3</v>
      </c>
      <c r="I61" s="9">
        <v>44</v>
      </c>
      <c r="J61" s="9">
        <v>0</v>
      </c>
      <c r="K61" s="9">
        <v>3</v>
      </c>
      <c r="L61" s="9">
        <v>200</v>
      </c>
      <c r="M61" s="9">
        <v>2</v>
      </c>
      <c r="N61" s="9">
        <v>411</v>
      </c>
      <c r="O61" s="9">
        <f t="shared" si="1"/>
        <v>5</v>
      </c>
      <c r="P61" s="9"/>
      <c r="Q61" s="9">
        <v>36</v>
      </c>
      <c r="R61" s="9">
        <v>43</v>
      </c>
      <c r="S61" s="9">
        <v>136</v>
      </c>
      <c r="T61" s="9">
        <v>134</v>
      </c>
      <c r="U61" s="9">
        <v>124</v>
      </c>
      <c r="V61" s="9">
        <v>88</v>
      </c>
      <c r="W61" s="9">
        <v>37</v>
      </c>
      <c r="X61" s="9">
        <v>34</v>
      </c>
    </row>
    <row r="62" spans="2:24" x14ac:dyDescent="0.25">
      <c r="B62" s="5" t="s">
        <v>122</v>
      </c>
      <c r="C62" s="8" t="s">
        <v>123</v>
      </c>
      <c r="D62" s="8" t="s">
        <v>266</v>
      </c>
      <c r="E62" s="9">
        <v>83</v>
      </c>
      <c r="F62" s="9">
        <v>34</v>
      </c>
      <c r="G62" s="9">
        <v>48</v>
      </c>
      <c r="H62" s="9">
        <v>1</v>
      </c>
      <c r="I62" s="9">
        <v>3</v>
      </c>
      <c r="J62" s="9">
        <v>0</v>
      </c>
      <c r="K62" s="9">
        <v>0</v>
      </c>
      <c r="L62" s="9">
        <v>32</v>
      </c>
      <c r="M62" s="9">
        <v>1</v>
      </c>
      <c r="N62" s="9">
        <v>50</v>
      </c>
      <c r="O62" s="9">
        <f t="shared" si="1"/>
        <v>1</v>
      </c>
      <c r="P62" s="9"/>
      <c r="Q62" s="9">
        <v>4</v>
      </c>
      <c r="R62" s="9">
        <v>4</v>
      </c>
      <c r="S62" s="9">
        <v>19</v>
      </c>
      <c r="T62" s="9">
        <v>20</v>
      </c>
      <c r="U62" s="9">
        <v>13</v>
      </c>
      <c r="V62" s="9">
        <v>12</v>
      </c>
      <c r="W62" s="9">
        <v>5</v>
      </c>
      <c r="X62" s="9">
        <v>10</v>
      </c>
    </row>
    <row r="63" spans="2:24" x14ac:dyDescent="0.25">
      <c r="B63" s="5" t="s">
        <v>124</v>
      </c>
      <c r="C63" s="8" t="s">
        <v>125</v>
      </c>
      <c r="D63" s="8" t="s">
        <v>267</v>
      </c>
      <c r="E63" s="9">
        <v>155</v>
      </c>
      <c r="F63" s="9">
        <v>80</v>
      </c>
      <c r="G63" s="9">
        <v>74</v>
      </c>
      <c r="H63" s="9">
        <v>1</v>
      </c>
      <c r="I63" s="9">
        <v>4</v>
      </c>
      <c r="J63" s="9">
        <v>0</v>
      </c>
      <c r="K63" s="9">
        <v>2</v>
      </c>
      <c r="L63" s="9">
        <v>43</v>
      </c>
      <c r="M63" s="9">
        <v>0</v>
      </c>
      <c r="N63" s="9">
        <v>103</v>
      </c>
      <c r="O63" s="9">
        <f t="shared" si="1"/>
        <v>2</v>
      </c>
      <c r="P63" s="9"/>
      <c r="Q63" s="9">
        <v>14</v>
      </c>
      <c r="R63" s="9">
        <v>7</v>
      </c>
      <c r="S63" s="9">
        <v>23</v>
      </c>
      <c r="T63" s="9">
        <v>35</v>
      </c>
      <c r="U63" s="9">
        <v>29</v>
      </c>
      <c r="V63" s="9">
        <v>19</v>
      </c>
      <c r="W63" s="9">
        <v>8</v>
      </c>
      <c r="X63" s="9">
        <v>34</v>
      </c>
    </row>
    <row r="64" spans="2:24" x14ac:dyDescent="0.25">
      <c r="B64" s="5" t="s">
        <v>126</v>
      </c>
      <c r="C64" s="8" t="s">
        <v>127</v>
      </c>
      <c r="D64" s="8" t="s">
        <v>266</v>
      </c>
      <c r="E64" s="9">
        <v>100</v>
      </c>
      <c r="F64" s="9">
        <v>57</v>
      </c>
      <c r="G64" s="9">
        <v>43</v>
      </c>
      <c r="H64" s="9">
        <v>0</v>
      </c>
      <c r="I64" s="9">
        <v>1</v>
      </c>
      <c r="J64" s="9">
        <v>0</v>
      </c>
      <c r="K64" s="9">
        <v>0</v>
      </c>
      <c r="L64" s="9">
        <v>17</v>
      </c>
      <c r="M64" s="9">
        <v>0</v>
      </c>
      <c r="N64" s="9">
        <v>74</v>
      </c>
      <c r="O64" s="9">
        <f t="shared" si="1"/>
        <v>0</v>
      </c>
      <c r="P64" s="9"/>
      <c r="Q64" s="9">
        <v>13</v>
      </c>
      <c r="R64" s="9">
        <v>7</v>
      </c>
      <c r="S64" s="9">
        <v>15</v>
      </c>
      <c r="T64" s="9">
        <v>16</v>
      </c>
      <c r="U64" s="9">
        <v>14</v>
      </c>
      <c r="V64" s="9">
        <v>12</v>
      </c>
      <c r="W64" s="9">
        <v>2</v>
      </c>
      <c r="X64" s="9">
        <v>34</v>
      </c>
    </row>
    <row r="65" spans="2:24" x14ac:dyDescent="0.25">
      <c r="B65" s="5" t="s">
        <v>128</v>
      </c>
      <c r="C65" s="8" t="s">
        <v>129</v>
      </c>
      <c r="D65" s="8" t="s">
        <v>266</v>
      </c>
      <c r="E65" s="9">
        <v>75</v>
      </c>
      <c r="F65" s="9">
        <v>51</v>
      </c>
      <c r="G65" s="9">
        <v>23</v>
      </c>
      <c r="H65" s="9">
        <v>1</v>
      </c>
      <c r="I65" s="9">
        <v>0</v>
      </c>
      <c r="J65" s="9">
        <v>0</v>
      </c>
      <c r="K65" s="9">
        <v>0</v>
      </c>
      <c r="L65" s="9">
        <v>38</v>
      </c>
      <c r="M65" s="9">
        <v>0</v>
      </c>
      <c r="N65" s="9">
        <v>37</v>
      </c>
      <c r="O65" s="9">
        <f t="shared" si="1"/>
        <v>0</v>
      </c>
      <c r="P65" s="9"/>
      <c r="Q65" s="9">
        <v>2</v>
      </c>
      <c r="R65" s="9">
        <v>3</v>
      </c>
      <c r="S65" s="9">
        <v>5</v>
      </c>
      <c r="T65" s="9">
        <v>9</v>
      </c>
      <c r="U65" s="9">
        <v>12</v>
      </c>
      <c r="V65" s="9">
        <v>7</v>
      </c>
      <c r="W65" s="9">
        <v>1</v>
      </c>
      <c r="X65" s="9">
        <v>38</v>
      </c>
    </row>
    <row r="66" spans="2:24" x14ac:dyDescent="0.25">
      <c r="B66" s="5" t="s">
        <v>130</v>
      </c>
      <c r="C66" s="8" t="s">
        <v>131</v>
      </c>
      <c r="D66" s="8" t="s">
        <v>268</v>
      </c>
      <c r="E66" s="9">
        <v>645</v>
      </c>
      <c r="F66" s="9">
        <v>331</v>
      </c>
      <c r="G66" s="9">
        <v>311</v>
      </c>
      <c r="H66" s="9">
        <v>3</v>
      </c>
      <c r="I66" s="9">
        <v>12</v>
      </c>
      <c r="J66" s="9">
        <v>0</v>
      </c>
      <c r="K66" s="9">
        <v>0</v>
      </c>
      <c r="L66" s="9">
        <v>9</v>
      </c>
      <c r="M66" s="9">
        <v>5</v>
      </c>
      <c r="N66" s="9">
        <v>619</v>
      </c>
      <c r="O66" s="9">
        <f t="shared" si="1"/>
        <v>5</v>
      </c>
      <c r="P66" s="9"/>
      <c r="Q66" s="9">
        <v>14</v>
      </c>
      <c r="R66" s="9">
        <v>68</v>
      </c>
      <c r="S66" s="9">
        <v>152</v>
      </c>
      <c r="T66" s="9">
        <v>143</v>
      </c>
      <c r="U66" s="9">
        <v>117</v>
      </c>
      <c r="V66" s="9">
        <v>92</v>
      </c>
      <c r="W66" s="9">
        <v>37</v>
      </c>
      <c r="X66" s="9">
        <v>36</v>
      </c>
    </row>
    <row r="67" spans="2:24" x14ac:dyDescent="0.25">
      <c r="B67" s="5" t="s">
        <v>132</v>
      </c>
      <c r="C67" s="8" t="s">
        <v>133</v>
      </c>
      <c r="D67" s="8" t="s">
        <v>267</v>
      </c>
      <c r="E67" s="9">
        <v>2983</v>
      </c>
      <c r="F67" s="9">
        <v>1451</v>
      </c>
      <c r="G67" s="9">
        <v>1465</v>
      </c>
      <c r="H67" s="9">
        <v>67</v>
      </c>
      <c r="I67" s="9">
        <v>502</v>
      </c>
      <c r="J67" s="9">
        <v>0</v>
      </c>
      <c r="K67" s="9">
        <v>38</v>
      </c>
      <c r="L67" s="9">
        <v>104</v>
      </c>
      <c r="M67" s="9">
        <v>0</v>
      </c>
      <c r="N67" s="9">
        <v>305</v>
      </c>
      <c r="O67" s="9">
        <f t="shared" si="1"/>
        <v>38</v>
      </c>
      <c r="P67" s="9"/>
      <c r="Q67" s="9">
        <v>2557</v>
      </c>
      <c r="R67" s="9">
        <v>118</v>
      </c>
      <c r="S67" s="9">
        <v>277</v>
      </c>
      <c r="T67" s="9">
        <v>552</v>
      </c>
      <c r="U67" s="9">
        <v>615</v>
      </c>
      <c r="V67" s="9">
        <v>557</v>
      </c>
      <c r="W67" s="9">
        <v>224</v>
      </c>
      <c r="X67" s="9">
        <v>640</v>
      </c>
    </row>
    <row r="68" spans="2:24" x14ac:dyDescent="0.25">
      <c r="B68" s="5" t="s">
        <v>134</v>
      </c>
      <c r="C68" s="8" t="s">
        <v>135</v>
      </c>
      <c r="D68" s="8" t="s">
        <v>267</v>
      </c>
      <c r="E68" s="9">
        <v>524</v>
      </c>
      <c r="F68" s="9">
        <v>259</v>
      </c>
      <c r="G68" s="9">
        <v>256</v>
      </c>
      <c r="H68" s="9">
        <v>9</v>
      </c>
      <c r="I68" s="9">
        <v>9</v>
      </c>
      <c r="J68" s="9">
        <v>5</v>
      </c>
      <c r="K68" s="9">
        <v>2</v>
      </c>
      <c r="L68" s="9">
        <v>117</v>
      </c>
      <c r="M68" s="9">
        <v>0</v>
      </c>
      <c r="N68" s="9">
        <v>392</v>
      </c>
      <c r="O68" s="9">
        <f t="shared" si="1"/>
        <v>7</v>
      </c>
      <c r="P68" s="9"/>
      <c r="Q68" s="9">
        <v>42</v>
      </c>
      <c r="R68" s="9">
        <v>39</v>
      </c>
      <c r="S68" s="9">
        <v>75</v>
      </c>
      <c r="T68" s="9">
        <v>99</v>
      </c>
      <c r="U68" s="9">
        <v>101</v>
      </c>
      <c r="V68" s="9">
        <v>82</v>
      </c>
      <c r="W68" s="9">
        <v>15</v>
      </c>
      <c r="X68" s="9">
        <v>113</v>
      </c>
    </row>
    <row r="69" spans="2:24" x14ac:dyDescent="0.25">
      <c r="B69" s="5" t="s">
        <v>136</v>
      </c>
      <c r="C69" s="8" t="s">
        <v>137</v>
      </c>
      <c r="D69" s="8" t="s">
        <v>266</v>
      </c>
      <c r="E69" s="9">
        <v>102</v>
      </c>
      <c r="F69" s="9">
        <v>43</v>
      </c>
      <c r="G69" s="9">
        <v>59</v>
      </c>
      <c r="H69" s="9">
        <v>0</v>
      </c>
      <c r="I69" s="9">
        <v>3</v>
      </c>
      <c r="J69" s="9">
        <v>0</v>
      </c>
      <c r="K69" s="9">
        <v>0</v>
      </c>
      <c r="L69" s="9">
        <v>41</v>
      </c>
      <c r="M69" s="9">
        <v>0</v>
      </c>
      <c r="N69" s="9">
        <v>58</v>
      </c>
      <c r="O69" s="9">
        <f t="shared" si="1"/>
        <v>0</v>
      </c>
      <c r="P69" s="9"/>
      <c r="Q69" s="9">
        <v>3</v>
      </c>
      <c r="R69" s="9">
        <v>8</v>
      </c>
      <c r="S69" s="9">
        <v>13</v>
      </c>
      <c r="T69" s="9">
        <v>25</v>
      </c>
      <c r="U69" s="9">
        <v>14</v>
      </c>
      <c r="V69" s="9">
        <v>24</v>
      </c>
      <c r="W69" s="9">
        <v>3</v>
      </c>
      <c r="X69" s="9">
        <v>15</v>
      </c>
    </row>
    <row r="70" spans="2:24" x14ac:dyDescent="0.25">
      <c r="B70" s="5" t="s">
        <v>138</v>
      </c>
      <c r="C70" s="8" t="s">
        <v>139</v>
      </c>
      <c r="D70" s="8" t="s">
        <v>265</v>
      </c>
      <c r="E70" s="9">
        <v>1240</v>
      </c>
      <c r="F70" s="9">
        <v>569</v>
      </c>
      <c r="G70" s="9">
        <v>653</v>
      </c>
      <c r="H70" s="9">
        <v>18</v>
      </c>
      <c r="I70" s="9">
        <v>37</v>
      </c>
      <c r="J70" s="9">
        <v>3</v>
      </c>
      <c r="K70" s="9">
        <v>4</v>
      </c>
      <c r="L70" s="9">
        <v>766</v>
      </c>
      <c r="M70" s="9">
        <v>0</v>
      </c>
      <c r="N70" s="9">
        <v>503</v>
      </c>
      <c r="O70" s="9">
        <f t="shared" ref="O70:O125" si="2">+M70+K70+J70</f>
        <v>7</v>
      </c>
      <c r="P70" s="9"/>
      <c r="Q70" s="9">
        <v>38</v>
      </c>
      <c r="R70" s="9">
        <v>128</v>
      </c>
      <c r="S70" s="9">
        <v>244</v>
      </c>
      <c r="T70" s="9">
        <v>292</v>
      </c>
      <c r="U70" s="9">
        <v>186</v>
      </c>
      <c r="V70" s="9">
        <v>156</v>
      </c>
      <c r="W70" s="9">
        <v>54</v>
      </c>
      <c r="X70" s="9">
        <v>180</v>
      </c>
    </row>
    <row r="71" spans="2:24" x14ac:dyDescent="0.25">
      <c r="B71" s="5" t="s">
        <v>140</v>
      </c>
      <c r="C71" s="8" t="s">
        <v>141</v>
      </c>
      <c r="D71" s="8" t="s">
        <v>267</v>
      </c>
      <c r="E71" s="9">
        <v>128</v>
      </c>
      <c r="F71" s="9">
        <v>59</v>
      </c>
      <c r="G71" s="9">
        <v>68</v>
      </c>
      <c r="H71" s="9">
        <v>1</v>
      </c>
      <c r="I71" s="9">
        <v>8</v>
      </c>
      <c r="J71" s="9">
        <v>0</v>
      </c>
      <c r="K71" s="9">
        <v>2</v>
      </c>
      <c r="L71" s="9">
        <v>21</v>
      </c>
      <c r="M71" s="9">
        <v>1</v>
      </c>
      <c r="N71" s="9">
        <v>111</v>
      </c>
      <c r="O71" s="9">
        <f t="shared" si="2"/>
        <v>3</v>
      </c>
      <c r="P71" s="9"/>
      <c r="Q71" s="9">
        <v>4</v>
      </c>
      <c r="R71" s="9">
        <v>14</v>
      </c>
      <c r="S71" s="9">
        <v>13</v>
      </c>
      <c r="T71" s="9">
        <v>28</v>
      </c>
      <c r="U71" s="9">
        <v>24</v>
      </c>
      <c r="V71" s="9">
        <v>21</v>
      </c>
      <c r="W71" s="9">
        <v>10</v>
      </c>
      <c r="X71" s="9">
        <v>18</v>
      </c>
    </row>
    <row r="72" spans="2:24" x14ac:dyDescent="0.25">
      <c r="B72" s="5" t="s">
        <v>142</v>
      </c>
      <c r="C72" s="8" t="s">
        <v>143</v>
      </c>
      <c r="D72" s="8" t="s">
        <v>267</v>
      </c>
      <c r="E72" s="9">
        <v>343</v>
      </c>
      <c r="F72" s="9">
        <v>170</v>
      </c>
      <c r="G72" s="9">
        <v>169</v>
      </c>
      <c r="H72" s="9">
        <v>4</v>
      </c>
      <c r="I72" s="9">
        <v>129</v>
      </c>
      <c r="J72" s="9">
        <v>0</v>
      </c>
      <c r="K72" s="9">
        <v>4</v>
      </c>
      <c r="L72" s="9">
        <v>95</v>
      </c>
      <c r="M72" s="9">
        <v>1</v>
      </c>
      <c r="N72" s="9">
        <v>243</v>
      </c>
      <c r="O72" s="9">
        <f t="shared" si="2"/>
        <v>5</v>
      </c>
      <c r="P72" s="9"/>
      <c r="Q72" s="9">
        <v>19</v>
      </c>
      <c r="R72" s="9">
        <v>25</v>
      </c>
      <c r="S72" s="9">
        <v>51</v>
      </c>
      <c r="T72" s="9">
        <v>76</v>
      </c>
      <c r="U72" s="9">
        <v>77</v>
      </c>
      <c r="V72" s="9">
        <v>52</v>
      </c>
      <c r="W72" s="9">
        <v>9</v>
      </c>
      <c r="X72" s="9">
        <v>53</v>
      </c>
    </row>
    <row r="73" spans="2:24" x14ac:dyDescent="0.25">
      <c r="B73" s="5" t="s">
        <v>144</v>
      </c>
      <c r="C73" s="8" t="s">
        <v>145</v>
      </c>
      <c r="D73" s="8" t="s">
        <v>267</v>
      </c>
      <c r="E73" s="9">
        <v>145</v>
      </c>
      <c r="F73" s="9">
        <v>71</v>
      </c>
      <c r="G73" s="9">
        <v>70</v>
      </c>
      <c r="H73" s="9">
        <v>4</v>
      </c>
      <c r="I73" s="9">
        <v>46</v>
      </c>
      <c r="J73" s="9">
        <v>0</v>
      </c>
      <c r="K73" s="9">
        <v>6</v>
      </c>
      <c r="L73" s="9">
        <v>18</v>
      </c>
      <c r="M73" s="9">
        <v>0</v>
      </c>
      <c r="N73" s="9">
        <v>106</v>
      </c>
      <c r="O73" s="9">
        <f t="shared" si="2"/>
        <v>6</v>
      </c>
      <c r="P73" s="9"/>
      <c r="Q73" s="9">
        <v>22</v>
      </c>
      <c r="R73" s="9">
        <v>4</v>
      </c>
      <c r="S73" s="9">
        <v>16</v>
      </c>
      <c r="T73" s="9">
        <v>17</v>
      </c>
      <c r="U73" s="9">
        <v>21</v>
      </c>
      <c r="V73" s="9">
        <v>17</v>
      </c>
      <c r="W73" s="9">
        <v>8</v>
      </c>
      <c r="X73" s="9">
        <v>62</v>
      </c>
    </row>
    <row r="74" spans="2:24" x14ac:dyDescent="0.25">
      <c r="B74" s="5" t="s">
        <v>146</v>
      </c>
      <c r="C74" s="8" t="s">
        <v>147</v>
      </c>
      <c r="D74" s="8" t="s">
        <v>264</v>
      </c>
      <c r="E74" s="9">
        <v>162</v>
      </c>
      <c r="F74" s="9">
        <v>83</v>
      </c>
      <c r="G74" s="9">
        <v>78</v>
      </c>
      <c r="H74" s="9">
        <v>1</v>
      </c>
      <c r="I74" s="9">
        <v>5</v>
      </c>
      <c r="J74" s="9">
        <v>0</v>
      </c>
      <c r="K74" s="9">
        <v>2</v>
      </c>
      <c r="L74" s="9">
        <v>42</v>
      </c>
      <c r="M74" s="9">
        <v>0</v>
      </c>
      <c r="N74" s="9">
        <v>124</v>
      </c>
      <c r="O74" s="9">
        <f t="shared" si="2"/>
        <v>2</v>
      </c>
      <c r="P74" s="9"/>
      <c r="Q74" s="9">
        <v>12</v>
      </c>
      <c r="R74" s="9">
        <v>12</v>
      </c>
      <c r="S74" s="9">
        <v>20</v>
      </c>
      <c r="T74" s="9">
        <v>21</v>
      </c>
      <c r="U74" s="9">
        <v>33</v>
      </c>
      <c r="V74" s="9">
        <v>22</v>
      </c>
      <c r="W74" s="9">
        <v>13</v>
      </c>
      <c r="X74" s="9">
        <v>41</v>
      </c>
    </row>
    <row r="75" spans="2:24" x14ac:dyDescent="0.25">
      <c r="B75" s="5" t="s">
        <v>148</v>
      </c>
      <c r="C75" s="8" t="s">
        <v>149</v>
      </c>
      <c r="D75" s="8" t="s">
        <v>265</v>
      </c>
      <c r="E75" s="9">
        <v>390</v>
      </c>
      <c r="F75" s="9">
        <v>182</v>
      </c>
      <c r="G75" s="9">
        <v>208</v>
      </c>
      <c r="H75" s="9">
        <v>0</v>
      </c>
      <c r="I75" s="9">
        <v>5</v>
      </c>
      <c r="J75" s="9">
        <v>0</v>
      </c>
      <c r="K75" s="9">
        <v>0</v>
      </c>
      <c r="L75" s="9">
        <v>190</v>
      </c>
      <c r="M75" s="9">
        <v>0</v>
      </c>
      <c r="N75" s="9">
        <v>196</v>
      </c>
      <c r="O75" s="9">
        <f t="shared" si="2"/>
        <v>0</v>
      </c>
      <c r="P75" s="9"/>
      <c r="Q75" s="9">
        <v>11</v>
      </c>
      <c r="R75" s="9">
        <v>20</v>
      </c>
      <c r="S75" s="9">
        <v>44</v>
      </c>
      <c r="T75" s="9">
        <v>95</v>
      </c>
      <c r="U75" s="9">
        <v>82</v>
      </c>
      <c r="V75" s="9">
        <v>56</v>
      </c>
      <c r="W75" s="9">
        <v>19</v>
      </c>
      <c r="X75" s="9">
        <v>74</v>
      </c>
    </row>
    <row r="76" spans="2:24" x14ac:dyDescent="0.25">
      <c r="B76" s="5" t="s">
        <v>150</v>
      </c>
      <c r="C76" s="8" t="s">
        <v>151</v>
      </c>
      <c r="D76" s="8" t="s">
        <v>266</v>
      </c>
      <c r="E76" s="9">
        <v>164</v>
      </c>
      <c r="F76" s="9">
        <v>77</v>
      </c>
      <c r="G76" s="9">
        <v>82</v>
      </c>
      <c r="H76" s="9">
        <v>5</v>
      </c>
      <c r="I76" s="9">
        <v>2</v>
      </c>
      <c r="J76" s="9">
        <v>0</v>
      </c>
      <c r="K76" s="9">
        <v>0</v>
      </c>
      <c r="L76" s="9">
        <v>45</v>
      </c>
      <c r="M76" s="9">
        <v>0</v>
      </c>
      <c r="N76" s="9">
        <v>102</v>
      </c>
      <c r="O76" s="9">
        <f t="shared" si="2"/>
        <v>0</v>
      </c>
      <c r="P76" s="9"/>
      <c r="Q76" s="9">
        <v>19</v>
      </c>
      <c r="R76" s="9">
        <v>7</v>
      </c>
      <c r="S76" s="9">
        <v>22</v>
      </c>
      <c r="T76" s="9">
        <v>21</v>
      </c>
      <c r="U76" s="9">
        <v>28</v>
      </c>
      <c r="V76" s="9">
        <v>19</v>
      </c>
      <c r="W76" s="9">
        <v>10</v>
      </c>
      <c r="X76" s="9">
        <v>57</v>
      </c>
    </row>
    <row r="77" spans="2:24" x14ac:dyDescent="0.25">
      <c r="B77" s="5" t="s">
        <v>152</v>
      </c>
      <c r="C77" s="8" t="s">
        <v>153</v>
      </c>
      <c r="D77" s="8" t="s">
        <v>268</v>
      </c>
      <c r="E77" s="9">
        <v>573</v>
      </c>
      <c r="F77" s="9">
        <v>279</v>
      </c>
      <c r="G77" s="9">
        <v>291</v>
      </c>
      <c r="H77" s="9">
        <v>3</v>
      </c>
      <c r="I77" s="9">
        <v>9</v>
      </c>
      <c r="J77" s="9">
        <v>1</v>
      </c>
      <c r="K77" s="9">
        <v>1</v>
      </c>
      <c r="L77" s="9">
        <v>37</v>
      </c>
      <c r="M77" s="9">
        <v>0</v>
      </c>
      <c r="N77" s="9">
        <v>526</v>
      </c>
      <c r="O77" s="9">
        <f t="shared" si="2"/>
        <v>2</v>
      </c>
      <c r="P77" s="9"/>
      <c r="Q77" s="9">
        <v>21</v>
      </c>
      <c r="R77" s="9">
        <v>48</v>
      </c>
      <c r="S77" s="9">
        <v>108</v>
      </c>
      <c r="T77" s="9">
        <v>134</v>
      </c>
      <c r="U77" s="9">
        <v>118</v>
      </c>
      <c r="V77" s="9">
        <v>88</v>
      </c>
      <c r="W77" s="9">
        <v>26</v>
      </c>
      <c r="X77" s="9">
        <v>51</v>
      </c>
    </row>
    <row r="78" spans="2:24" x14ac:dyDescent="0.25">
      <c r="B78" s="5" t="s">
        <v>154</v>
      </c>
      <c r="C78" s="8" t="s">
        <v>155</v>
      </c>
      <c r="D78" s="8" t="s">
        <v>265</v>
      </c>
      <c r="E78" s="9">
        <v>172</v>
      </c>
      <c r="F78" s="9">
        <v>68</v>
      </c>
      <c r="G78" s="9">
        <v>103</v>
      </c>
      <c r="H78" s="9">
        <v>1</v>
      </c>
      <c r="I78" s="9">
        <v>2</v>
      </c>
      <c r="J78" s="9">
        <v>0</v>
      </c>
      <c r="K78" s="9">
        <v>0</v>
      </c>
      <c r="L78" s="9">
        <v>13</v>
      </c>
      <c r="M78" s="9">
        <v>0</v>
      </c>
      <c r="N78" s="9">
        <v>154</v>
      </c>
      <c r="O78" s="9">
        <f t="shared" si="2"/>
        <v>0</v>
      </c>
      <c r="P78" s="9"/>
      <c r="Q78" s="9">
        <v>10</v>
      </c>
      <c r="R78" s="9">
        <v>10</v>
      </c>
      <c r="S78" s="9">
        <v>30</v>
      </c>
      <c r="T78" s="9">
        <v>40</v>
      </c>
      <c r="U78" s="9">
        <v>26</v>
      </c>
      <c r="V78" s="9">
        <v>28</v>
      </c>
      <c r="W78" s="9">
        <v>18</v>
      </c>
      <c r="X78" s="9">
        <v>20</v>
      </c>
    </row>
    <row r="79" spans="2:24" x14ac:dyDescent="0.25">
      <c r="B79" s="5" t="s">
        <v>156</v>
      </c>
      <c r="C79" s="8" t="s">
        <v>157</v>
      </c>
      <c r="D79" s="8" t="s">
        <v>266</v>
      </c>
      <c r="E79" s="9">
        <v>165</v>
      </c>
      <c r="F79" s="9">
        <v>83</v>
      </c>
      <c r="G79" s="9">
        <v>77</v>
      </c>
      <c r="H79" s="9">
        <v>5</v>
      </c>
      <c r="I79" s="9">
        <v>1</v>
      </c>
      <c r="J79" s="9">
        <v>0</v>
      </c>
      <c r="K79" s="9">
        <v>0</v>
      </c>
      <c r="L79" s="9">
        <v>23</v>
      </c>
      <c r="M79" s="9">
        <v>0</v>
      </c>
      <c r="N79" s="9">
        <v>124</v>
      </c>
      <c r="O79" s="9">
        <f t="shared" si="2"/>
        <v>0</v>
      </c>
      <c r="P79" s="9"/>
      <c r="Q79" s="9">
        <v>23</v>
      </c>
      <c r="R79" s="9">
        <v>13</v>
      </c>
      <c r="S79" s="9">
        <v>15</v>
      </c>
      <c r="T79" s="9">
        <v>21</v>
      </c>
      <c r="U79" s="9">
        <v>22</v>
      </c>
      <c r="V79" s="9">
        <v>32</v>
      </c>
      <c r="W79" s="9">
        <v>15</v>
      </c>
      <c r="X79" s="9">
        <v>47</v>
      </c>
    </row>
    <row r="80" spans="2:24" x14ac:dyDescent="0.25">
      <c r="B80" s="5" t="s">
        <v>158</v>
      </c>
      <c r="C80" s="8" t="s">
        <v>159</v>
      </c>
      <c r="D80" s="8" t="s">
        <v>264</v>
      </c>
      <c r="E80" s="9">
        <v>2604</v>
      </c>
      <c r="F80" s="9">
        <v>1279</v>
      </c>
      <c r="G80" s="9">
        <v>1282</v>
      </c>
      <c r="H80" s="9">
        <v>43</v>
      </c>
      <c r="I80" s="9">
        <v>144</v>
      </c>
      <c r="J80" s="9">
        <v>4</v>
      </c>
      <c r="K80" s="9">
        <v>21</v>
      </c>
      <c r="L80" s="9">
        <v>1561</v>
      </c>
      <c r="M80" s="9">
        <v>14</v>
      </c>
      <c r="N80" s="9">
        <v>895</v>
      </c>
      <c r="O80" s="9">
        <f t="shared" si="2"/>
        <v>39</v>
      </c>
      <c r="P80" s="9"/>
      <c r="Q80" s="9">
        <v>283</v>
      </c>
      <c r="R80" s="9">
        <v>158</v>
      </c>
      <c r="S80" s="9">
        <v>399</v>
      </c>
      <c r="T80" s="9">
        <v>499</v>
      </c>
      <c r="U80" s="9">
        <v>412</v>
      </c>
      <c r="V80" s="9">
        <v>372</v>
      </c>
      <c r="W80" s="9">
        <v>145</v>
      </c>
      <c r="X80" s="9">
        <v>619</v>
      </c>
    </row>
    <row r="81" spans="2:24" x14ac:dyDescent="0.25">
      <c r="B81" s="5" t="s">
        <v>160</v>
      </c>
      <c r="C81" s="8" t="s">
        <v>161</v>
      </c>
      <c r="D81" s="8" t="s">
        <v>264</v>
      </c>
      <c r="E81" s="9">
        <v>3167</v>
      </c>
      <c r="F81" s="9">
        <v>1558</v>
      </c>
      <c r="G81" s="9">
        <v>1542</v>
      </c>
      <c r="H81" s="9">
        <v>67</v>
      </c>
      <c r="I81" s="9">
        <v>124</v>
      </c>
      <c r="J81" s="9">
        <v>11</v>
      </c>
      <c r="K81" s="9">
        <v>42</v>
      </c>
      <c r="L81" s="9">
        <v>2162</v>
      </c>
      <c r="M81" s="9">
        <v>8</v>
      </c>
      <c r="N81" s="9">
        <v>973</v>
      </c>
      <c r="O81" s="9">
        <f t="shared" si="2"/>
        <v>61</v>
      </c>
      <c r="P81" s="9"/>
      <c r="Q81" s="9">
        <v>139</v>
      </c>
      <c r="R81" s="9">
        <v>253</v>
      </c>
      <c r="S81" s="9">
        <v>502</v>
      </c>
      <c r="T81" s="9">
        <v>599</v>
      </c>
      <c r="U81" s="9">
        <v>561</v>
      </c>
      <c r="V81" s="9">
        <v>465</v>
      </c>
      <c r="W81" s="9">
        <v>214</v>
      </c>
      <c r="X81" s="9">
        <v>573</v>
      </c>
    </row>
    <row r="82" spans="2:24" x14ac:dyDescent="0.25">
      <c r="B82" s="5" t="s">
        <v>162</v>
      </c>
      <c r="C82" s="8" t="s">
        <v>163</v>
      </c>
      <c r="D82" s="8" t="s">
        <v>264</v>
      </c>
      <c r="E82" s="9">
        <v>91</v>
      </c>
      <c r="F82" s="9">
        <v>44</v>
      </c>
      <c r="G82" s="9">
        <v>47</v>
      </c>
      <c r="H82" s="9">
        <v>0</v>
      </c>
      <c r="I82" s="9">
        <v>6</v>
      </c>
      <c r="J82" s="9">
        <v>1</v>
      </c>
      <c r="K82" s="9">
        <v>2</v>
      </c>
      <c r="L82" s="9">
        <v>42</v>
      </c>
      <c r="M82" s="9">
        <v>2</v>
      </c>
      <c r="N82" s="9">
        <v>45</v>
      </c>
      <c r="O82" s="9">
        <f t="shared" si="2"/>
        <v>5</v>
      </c>
      <c r="P82" s="9"/>
      <c r="Q82" s="9">
        <v>0</v>
      </c>
      <c r="R82" s="9">
        <v>6</v>
      </c>
      <c r="S82" s="9">
        <v>10</v>
      </c>
      <c r="T82" s="9">
        <v>26</v>
      </c>
      <c r="U82" s="9">
        <v>19</v>
      </c>
      <c r="V82" s="9">
        <v>12</v>
      </c>
      <c r="W82" s="9">
        <v>6</v>
      </c>
      <c r="X82" s="9">
        <v>12</v>
      </c>
    </row>
    <row r="83" spans="2:24" x14ac:dyDescent="0.25">
      <c r="B83" s="5" t="s">
        <v>164</v>
      </c>
      <c r="C83" s="8" t="s">
        <v>165</v>
      </c>
      <c r="D83" s="8" t="s">
        <v>266</v>
      </c>
      <c r="E83" s="9">
        <v>98</v>
      </c>
      <c r="F83" s="9">
        <v>58</v>
      </c>
      <c r="G83" s="9">
        <v>39</v>
      </c>
      <c r="H83" s="9">
        <v>1</v>
      </c>
      <c r="I83" s="9">
        <v>5</v>
      </c>
      <c r="J83" s="9">
        <v>0</v>
      </c>
      <c r="K83" s="9">
        <v>0</v>
      </c>
      <c r="L83" s="9">
        <v>49</v>
      </c>
      <c r="M83" s="9">
        <v>0</v>
      </c>
      <c r="N83" s="9">
        <v>52</v>
      </c>
      <c r="O83" s="9">
        <f t="shared" si="2"/>
        <v>0</v>
      </c>
      <c r="P83" s="9"/>
      <c r="Q83" s="9">
        <v>2</v>
      </c>
      <c r="R83" s="9">
        <v>5</v>
      </c>
      <c r="S83" s="9">
        <v>11</v>
      </c>
      <c r="T83" s="9">
        <v>21</v>
      </c>
      <c r="U83" s="9">
        <v>29</v>
      </c>
      <c r="V83" s="9">
        <v>18</v>
      </c>
      <c r="W83" s="9">
        <v>1</v>
      </c>
      <c r="X83" s="9">
        <v>13</v>
      </c>
    </row>
    <row r="84" spans="2:24" x14ac:dyDescent="0.25">
      <c r="B84" s="5" t="s">
        <v>166</v>
      </c>
      <c r="C84" s="8" t="s">
        <v>167</v>
      </c>
      <c r="D84" s="8" t="s">
        <v>268</v>
      </c>
      <c r="E84" s="9">
        <v>49</v>
      </c>
      <c r="F84" s="9">
        <v>21</v>
      </c>
      <c r="G84" s="9">
        <v>28</v>
      </c>
      <c r="H84" s="9">
        <v>0</v>
      </c>
      <c r="I84" s="9">
        <v>0</v>
      </c>
      <c r="J84" s="9">
        <v>0</v>
      </c>
      <c r="K84" s="9">
        <v>0</v>
      </c>
      <c r="L84" s="9">
        <v>7</v>
      </c>
      <c r="M84" s="9">
        <v>0</v>
      </c>
      <c r="N84" s="9">
        <v>48</v>
      </c>
      <c r="O84" s="9">
        <f t="shared" si="2"/>
        <v>0</v>
      </c>
      <c r="P84" s="9"/>
      <c r="Q84" s="9">
        <v>0</v>
      </c>
      <c r="R84" s="9">
        <v>3</v>
      </c>
      <c r="S84" s="9">
        <v>8</v>
      </c>
      <c r="T84" s="9">
        <v>7</v>
      </c>
      <c r="U84" s="9">
        <v>14</v>
      </c>
      <c r="V84" s="9">
        <v>10</v>
      </c>
      <c r="W84" s="9">
        <v>1</v>
      </c>
      <c r="X84" s="9">
        <v>6</v>
      </c>
    </row>
    <row r="85" spans="2:24" x14ac:dyDescent="0.25">
      <c r="B85" s="5" t="s">
        <v>168</v>
      </c>
      <c r="C85" s="8" t="s">
        <v>169</v>
      </c>
      <c r="D85" s="8" t="s">
        <v>266</v>
      </c>
      <c r="E85" s="9">
        <v>72</v>
      </c>
      <c r="F85" s="9">
        <v>35</v>
      </c>
      <c r="G85" s="9">
        <v>37</v>
      </c>
      <c r="H85" s="9">
        <v>0</v>
      </c>
      <c r="I85" s="9">
        <v>1</v>
      </c>
      <c r="J85" s="9">
        <v>0</v>
      </c>
      <c r="K85" s="9">
        <v>0</v>
      </c>
      <c r="L85" s="9">
        <v>30</v>
      </c>
      <c r="M85" s="9">
        <v>0</v>
      </c>
      <c r="N85" s="9">
        <v>40</v>
      </c>
      <c r="O85" s="9">
        <f t="shared" si="2"/>
        <v>0</v>
      </c>
      <c r="P85" s="9"/>
      <c r="Q85" s="9">
        <v>2</v>
      </c>
      <c r="R85" s="9">
        <v>9</v>
      </c>
      <c r="S85" s="9">
        <v>5</v>
      </c>
      <c r="T85" s="9">
        <v>8</v>
      </c>
      <c r="U85" s="9">
        <v>13</v>
      </c>
      <c r="V85" s="9">
        <v>13</v>
      </c>
      <c r="W85" s="9">
        <v>8</v>
      </c>
      <c r="X85" s="9">
        <v>16</v>
      </c>
    </row>
    <row r="86" spans="2:24" x14ac:dyDescent="0.25">
      <c r="B86" s="5" t="s">
        <v>170</v>
      </c>
      <c r="C86" s="8" t="s">
        <v>171</v>
      </c>
      <c r="D86" s="8" t="s">
        <v>267</v>
      </c>
      <c r="E86" s="9">
        <v>370</v>
      </c>
      <c r="F86" s="9">
        <v>176</v>
      </c>
      <c r="G86" s="9">
        <v>192</v>
      </c>
      <c r="H86" s="9">
        <v>2</v>
      </c>
      <c r="I86" s="9">
        <v>26</v>
      </c>
      <c r="J86" s="9">
        <v>0</v>
      </c>
      <c r="K86" s="9">
        <v>2</v>
      </c>
      <c r="L86" s="9">
        <v>75</v>
      </c>
      <c r="M86" s="9">
        <v>1</v>
      </c>
      <c r="N86" s="9">
        <v>288</v>
      </c>
      <c r="O86" s="9">
        <f t="shared" si="2"/>
        <v>3</v>
      </c>
      <c r="P86" s="9"/>
      <c r="Q86" s="9">
        <v>17</v>
      </c>
      <c r="R86" s="9">
        <v>24</v>
      </c>
      <c r="S86" s="9">
        <v>74</v>
      </c>
      <c r="T86" s="9">
        <v>75</v>
      </c>
      <c r="U86" s="9">
        <v>61</v>
      </c>
      <c r="V86" s="9">
        <v>74</v>
      </c>
      <c r="W86" s="9">
        <v>31</v>
      </c>
      <c r="X86" s="9">
        <v>31</v>
      </c>
    </row>
    <row r="87" spans="2:24" x14ac:dyDescent="0.25">
      <c r="B87" s="5" t="s">
        <v>172</v>
      </c>
      <c r="C87" s="8" t="s">
        <v>173</v>
      </c>
      <c r="D87" s="8" t="s">
        <v>267</v>
      </c>
      <c r="E87" s="9">
        <v>286</v>
      </c>
      <c r="F87" s="9">
        <v>123</v>
      </c>
      <c r="G87" s="9">
        <v>159</v>
      </c>
      <c r="H87" s="9">
        <v>4</v>
      </c>
      <c r="I87" s="9">
        <v>5</v>
      </c>
      <c r="J87" s="9">
        <v>0</v>
      </c>
      <c r="K87" s="9">
        <v>0</v>
      </c>
      <c r="L87" s="9">
        <v>11</v>
      </c>
      <c r="M87" s="9">
        <v>0</v>
      </c>
      <c r="N87" s="9">
        <v>277</v>
      </c>
      <c r="O87" s="9">
        <f t="shared" si="2"/>
        <v>0</v>
      </c>
      <c r="P87" s="9"/>
      <c r="Q87" s="9">
        <v>0</v>
      </c>
      <c r="R87" s="9">
        <v>24</v>
      </c>
      <c r="S87" s="9">
        <v>34</v>
      </c>
      <c r="T87" s="9">
        <v>71</v>
      </c>
      <c r="U87" s="9">
        <v>47</v>
      </c>
      <c r="V87" s="9">
        <v>48</v>
      </c>
      <c r="W87" s="9">
        <v>18</v>
      </c>
      <c r="X87" s="9">
        <v>44</v>
      </c>
    </row>
    <row r="88" spans="2:24" x14ac:dyDescent="0.25">
      <c r="B88" s="5" t="s">
        <v>174</v>
      </c>
      <c r="C88" s="8" t="s">
        <v>175</v>
      </c>
      <c r="D88" s="8" t="s">
        <v>268</v>
      </c>
      <c r="E88" s="9">
        <v>179</v>
      </c>
      <c r="F88" s="9">
        <v>88</v>
      </c>
      <c r="G88" s="9">
        <v>88</v>
      </c>
      <c r="H88" s="9">
        <v>3</v>
      </c>
      <c r="I88" s="9">
        <v>9</v>
      </c>
      <c r="J88" s="9">
        <v>0</v>
      </c>
      <c r="K88" s="9">
        <v>0</v>
      </c>
      <c r="L88" s="9">
        <v>22</v>
      </c>
      <c r="M88" s="9">
        <v>0</v>
      </c>
      <c r="N88" s="9">
        <v>149</v>
      </c>
      <c r="O88" s="9">
        <f t="shared" si="2"/>
        <v>0</v>
      </c>
      <c r="P88" s="9"/>
      <c r="Q88" s="9">
        <v>10</v>
      </c>
      <c r="R88" s="9">
        <v>20</v>
      </c>
      <c r="S88" s="9">
        <v>38</v>
      </c>
      <c r="T88" s="9">
        <v>53</v>
      </c>
      <c r="U88" s="9">
        <v>28</v>
      </c>
      <c r="V88" s="9">
        <v>13</v>
      </c>
      <c r="W88" s="9">
        <v>14</v>
      </c>
      <c r="X88" s="9">
        <v>13</v>
      </c>
    </row>
    <row r="89" spans="2:24" x14ac:dyDescent="0.25">
      <c r="B89" s="5" t="s">
        <v>176</v>
      </c>
      <c r="C89" s="8" t="s">
        <v>177</v>
      </c>
      <c r="D89" s="8" t="s">
        <v>266</v>
      </c>
      <c r="E89" s="9">
        <v>321</v>
      </c>
      <c r="F89" s="9">
        <v>153</v>
      </c>
      <c r="G89" s="9">
        <v>161</v>
      </c>
      <c r="H89" s="9">
        <v>7</v>
      </c>
      <c r="I89" s="9">
        <v>11</v>
      </c>
      <c r="J89" s="9">
        <v>0</v>
      </c>
      <c r="K89" s="9">
        <v>0</v>
      </c>
      <c r="L89" s="9">
        <v>256</v>
      </c>
      <c r="M89" s="9">
        <v>2</v>
      </c>
      <c r="N89" s="9">
        <v>46</v>
      </c>
      <c r="O89" s="9">
        <f t="shared" si="2"/>
        <v>2</v>
      </c>
      <c r="P89" s="9"/>
      <c r="Q89" s="9">
        <v>23</v>
      </c>
      <c r="R89" s="9">
        <v>33</v>
      </c>
      <c r="S89" s="9">
        <v>60</v>
      </c>
      <c r="T89" s="9">
        <v>68</v>
      </c>
      <c r="U89" s="9">
        <v>40</v>
      </c>
      <c r="V89" s="9">
        <v>34</v>
      </c>
      <c r="W89" s="9">
        <v>18</v>
      </c>
      <c r="X89" s="9">
        <v>68</v>
      </c>
    </row>
    <row r="90" spans="2:24" x14ac:dyDescent="0.25">
      <c r="B90" s="5" t="s">
        <v>178</v>
      </c>
      <c r="C90" s="8" t="s">
        <v>179</v>
      </c>
      <c r="D90" s="8" t="s">
        <v>265</v>
      </c>
      <c r="E90" s="9">
        <v>614</v>
      </c>
      <c r="F90" s="9">
        <v>269</v>
      </c>
      <c r="G90" s="9">
        <v>330</v>
      </c>
      <c r="H90" s="9">
        <v>15</v>
      </c>
      <c r="I90" s="9">
        <v>19</v>
      </c>
      <c r="J90" s="9">
        <v>2</v>
      </c>
      <c r="K90" s="9">
        <v>0</v>
      </c>
      <c r="L90" s="9">
        <v>132</v>
      </c>
      <c r="M90" s="9">
        <v>5</v>
      </c>
      <c r="N90" s="9">
        <v>461</v>
      </c>
      <c r="O90" s="9">
        <f t="shared" si="2"/>
        <v>7</v>
      </c>
      <c r="P90" s="9"/>
      <c r="Q90" s="9">
        <v>55</v>
      </c>
      <c r="R90" s="9">
        <v>42</v>
      </c>
      <c r="S90" s="9">
        <v>91</v>
      </c>
      <c r="T90" s="9">
        <v>128</v>
      </c>
      <c r="U90" s="9">
        <v>79</v>
      </c>
      <c r="V90" s="9">
        <v>95</v>
      </c>
      <c r="W90" s="9">
        <v>31</v>
      </c>
      <c r="X90" s="9">
        <v>148</v>
      </c>
    </row>
    <row r="91" spans="2:24" x14ac:dyDescent="0.25">
      <c r="B91" s="5" t="s">
        <v>180</v>
      </c>
      <c r="C91" s="8" t="s">
        <v>181</v>
      </c>
      <c r="D91" s="8" t="s">
        <v>264</v>
      </c>
      <c r="E91" s="9">
        <v>1806</v>
      </c>
      <c r="F91" s="9">
        <v>884</v>
      </c>
      <c r="G91" s="9">
        <v>866</v>
      </c>
      <c r="H91" s="9">
        <v>56</v>
      </c>
      <c r="I91" s="9">
        <v>45</v>
      </c>
      <c r="J91" s="9">
        <v>1</v>
      </c>
      <c r="K91" s="9">
        <v>15</v>
      </c>
      <c r="L91" s="9">
        <v>1209</v>
      </c>
      <c r="M91" s="9">
        <v>4</v>
      </c>
      <c r="N91" s="9">
        <v>510</v>
      </c>
      <c r="O91" s="9">
        <f t="shared" si="2"/>
        <v>20</v>
      </c>
      <c r="P91" s="9"/>
      <c r="Q91" s="9">
        <v>114</v>
      </c>
      <c r="R91" s="9">
        <v>128</v>
      </c>
      <c r="S91" s="9">
        <v>348</v>
      </c>
      <c r="T91" s="9">
        <v>404</v>
      </c>
      <c r="U91" s="9">
        <v>275</v>
      </c>
      <c r="V91" s="9">
        <v>235</v>
      </c>
      <c r="W91" s="9">
        <v>106</v>
      </c>
      <c r="X91" s="9">
        <v>310</v>
      </c>
    </row>
    <row r="92" spans="2:24" x14ac:dyDescent="0.25">
      <c r="B92" s="5" t="s">
        <v>182</v>
      </c>
      <c r="C92" s="8" t="s">
        <v>183</v>
      </c>
      <c r="D92" s="8" t="s">
        <v>266</v>
      </c>
      <c r="E92" s="9">
        <v>104</v>
      </c>
      <c r="F92" s="9">
        <v>45</v>
      </c>
      <c r="G92" s="9">
        <v>57</v>
      </c>
      <c r="H92" s="9">
        <v>2</v>
      </c>
      <c r="I92" s="9">
        <v>1</v>
      </c>
      <c r="J92" s="9">
        <v>0</v>
      </c>
      <c r="K92" s="9">
        <v>3</v>
      </c>
      <c r="L92" s="9">
        <v>14</v>
      </c>
      <c r="M92" s="9">
        <v>0</v>
      </c>
      <c r="N92" s="9">
        <v>80</v>
      </c>
      <c r="O92" s="9">
        <f t="shared" si="2"/>
        <v>3</v>
      </c>
      <c r="P92" s="9"/>
      <c r="Q92" s="9">
        <v>13</v>
      </c>
      <c r="R92" s="9">
        <v>4</v>
      </c>
      <c r="S92" s="9">
        <v>18</v>
      </c>
      <c r="T92" s="9">
        <v>18</v>
      </c>
      <c r="U92" s="9">
        <v>23</v>
      </c>
      <c r="V92" s="9">
        <v>18</v>
      </c>
      <c r="W92" s="9">
        <v>3</v>
      </c>
      <c r="X92" s="9">
        <v>20</v>
      </c>
    </row>
    <row r="93" spans="2:24" x14ac:dyDescent="0.25">
      <c r="B93" s="5" t="s">
        <v>184</v>
      </c>
      <c r="C93" s="8" t="s">
        <v>185</v>
      </c>
      <c r="D93" s="8" t="s">
        <v>266</v>
      </c>
      <c r="E93" s="9">
        <v>186</v>
      </c>
      <c r="F93" s="9">
        <v>88</v>
      </c>
      <c r="G93" s="9">
        <v>94</v>
      </c>
      <c r="H93" s="9">
        <v>4</v>
      </c>
      <c r="I93" s="9">
        <v>6</v>
      </c>
      <c r="J93" s="9">
        <v>0</v>
      </c>
      <c r="K93" s="9">
        <v>0</v>
      </c>
      <c r="L93" s="9">
        <v>95</v>
      </c>
      <c r="M93" s="9">
        <v>1</v>
      </c>
      <c r="N93" s="9">
        <v>88</v>
      </c>
      <c r="O93" s="9">
        <f t="shared" si="2"/>
        <v>1</v>
      </c>
      <c r="P93" s="9"/>
      <c r="Q93" s="9">
        <v>11</v>
      </c>
      <c r="R93" s="9">
        <v>12</v>
      </c>
      <c r="S93" s="9">
        <v>33</v>
      </c>
      <c r="T93" s="9">
        <v>42</v>
      </c>
      <c r="U93" s="9">
        <v>40</v>
      </c>
      <c r="V93" s="9">
        <v>22</v>
      </c>
      <c r="W93" s="9">
        <v>16</v>
      </c>
      <c r="X93" s="9">
        <v>21</v>
      </c>
    </row>
    <row r="94" spans="2:24" x14ac:dyDescent="0.25">
      <c r="B94" s="5" t="s">
        <v>186</v>
      </c>
      <c r="C94" s="8" t="s">
        <v>187</v>
      </c>
      <c r="D94" s="8" t="s">
        <v>264</v>
      </c>
      <c r="E94" s="9">
        <v>171</v>
      </c>
      <c r="F94" s="9">
        <v>81</v>
      </c>
      <c r="G94" s="9">
        <v>90</v>
      </c>
      <c r="H94" s="9">
        <v>0</v>
      </c>
      <c r="I94" s="9">
        <v>6</v>
      </c>
      <c r="J94" s="9">
        <v>0</v>
      </c>
      <c r="K94" s="9">
        <v>3</v>
      </c>
      <c r="L94" s="9">
        <v>54</v>
      </c>
      <c r="M94" s="9">
        <v>0</v>
      </c>
      <c r="N94" s="9">
        <v>108</v>
      </c>
      <c r="O94" s="9">
        <f t="shared" si="2"/>
        <v>3</v>
      </c>
      <c r="P94" s="9"/>
      <c r="Q94" s="9">
        <v>14</v>
      </c>
      <c r="R94" s="9">
        <v>9</v>
      </c>
      <c r="S94" s="9">
        <v>30</v>
      </c>
      <c r="T94" s="9">
        <v>35</v>
      </c>
      <c r="U94" s="9">
        <v>26</v>
      </c>
      <c r="V94" s="9">
        <v>30</v>
      </c>
      <c r="W94" s="9">
        <v>14</v>
      </c>
      <c r="X94" s="9">
        <v>27</v>
      </c>
    </row>
    <row r="95" spans="2:24" x14ac:dyDescent="0.25">
      <c r="B95" s="5" t="s">
        <v>188</v>
      </c>
      <c r="C95" s="8" t="s">
        <v>189</v>
      </c>
      <c r="D95" s="8" t="s">
        <v>267</v>
      </c>
      <c r="E95" s="9">
        <v>5581</v>
      </c>
      <c r="F95" s="9">
        <v>2630</v>
      </c>
      <c r="G95" s="9">
        <v>2848</v>
      </c>
      <c r="H95" s="9">
        <v>103</v>
      </c>
      <c r="I95" s="9">
        <v>1176</v>
      </c>
      <c r="J95" s="9">
        <v>2</v>
      </c>
      <c r="K95" s="9">
        <v>124</v>
      </c>
      <c r="L95" s="9">
        <v>2026</v>
      </c>
      <c r="M95" s="9">
        <v>19</v>
      </c>
      <c r="N95" s="9">
        <v>2888</v>
      </c>
      <c r="O95" s="9">
        <f t="shared" si="2"/>
        <v>145</v>
      </c>
      <c r="P95" s="9"/>
      <c r="Q95" s="9">
        <v>852</v>
      </c>
      <c r="R95" s="9">
        <v>292</v>
      </c>
      <c r="S95" s="9">
        <v>778</v>
      </c>
      <c r="T95" s="9">
        <v>1086</v>
      </c>
      <c r="U95" s="9">
        <v>1032</v>
      </c>
      <c r="V95" s="9">
        <v>920</v>
      </c>
      <c r="W95" s="9">
        <v>399</v>
      </c>
      <c r="X95" s="9">
        <v>1074</v>
      </c>
    </row>
    <row r="96" spans="2:24" x14ac:dyDescent="0.25">
      <c r="B96" s="5" t="s">
        <v>190</v>
      </c>
      <c r="C96" s="8" t="s">
        <v>191</v>
      </c>
      <c r="D96" s="8" t="s">
        <v>268</v>
      </c>
      <c r="E96" s="9">
        <v>1051</v>
      </c>
      <c r="F96" s="9">
        <v>495</v>
      </c>
      <c r="G96" s="9">
        <v>515</v>
      </c>
      <c r="H96" s="9">
        <v>41</v>
      </c>
      <c r="I96" s="9">
        <v>20</v>
      </c>
      <c r="J96" s="9">
        <v>1</v>
      </c>
      <c r="K96" s="9">
        <v>3</v>
      </c>
      <c r="L96" s="9">
        <v>163</v>
      </c>
      <c r="M96" s="9">
        <v>1</v>
      </c>
      <c r="N96" s="9">
        <v>915</v>
      </c>
      <c r="O96" s="9">
        <f t="shared" si="2"/>
        <v>5</v>
      </c>
      <c r="P96" s="9"/>
      <c r="Q96" s="9">
        <v>69</v>
      </c>
      <c r="R96" s="9">
        <v>76</v>
      </c>
      <c r="S96" s="9">
        <v>231</v>
      </c>
      <c r="T96" s="9">
        <v>180</v>
      </c>
      <c r="U96" s="9">
        <v>169</v>
      </c>
      <c r="V96" s="9">
        <v>169</v>
      </c>
      <c r="W96" s="9">
        <v>97</v>
      </c>
      <c r="X96" s="9">
        <v>129</v>
      </c>
    </row>
    <row r="97" spans="2:24" x14ac:dyDescent="0.25">
      <c r="B97" s="5" t="s">
        <v>192</v>
      </c>
      <c r="C97" s="8" t="s">
        <v>193</v>
      </c>
      <c r="D97" s="8" t="s">
        <v>268</v>
      </c>
      <c r="E97" s="9">
        <v>230</v>
      </c>
      <c r="F97" s="9">
        <v>118</v>
      </c>
      <c r="G97" s="9">
        <v>96</v>
      </c>
      <c r="H97" s="9">
        <v>16</v>
      </c>
      <c r="I97" s="9">
        <v>4</v>
      </c>
      <c r="J97" s="9">
        <v>0</v>
      </c>
      <c r="K97" s="9">
        <v>2</v>
      </c>
      <c r="L97" s="9">
        <v>22</v>
      </c>
      <c r="M97" s="9">
        <v>0</v>
      </c>
      <c r="N97" s="9">
        <v>141</v>
      </c>
      <c r="O97" s="9">
        <f t="shared" si="2"/>
        <v>2</v>
      </c>
      <c r="P97" s="9"/>
      <c r="Q97" s="9">
        <v>71</v>
      </c>
      <c r="R97" s="9">
        <v>16</v>
      </c>
      <c r="S97" s="9">
        <v>39</v>
      </c>
      <c r="T97" s="9">
        <v>29</v>
      </c>
      <c r="U97" s="9">
        <v>23</v>
      </c>
      <c r="V97" s="9">
        <v>26</v>
      </c>
      <c r="W97" s="9">
        <v>16</v>
      </c>
      <c r="X97" s="9">
        <v>81</v>
      </c>
    </row>
    <row r="98" spans="2:24" x14ac:dyDescent="0.25">
      <c r="B98" s="5" t="s">
        <v>194</v>
      </c>
      <c r="C98" s="8" t="s">
        <v>195</v>
      </c>
      <c r="D98" s="8" t="s">
        <v>267</v>
      </c>
      <c r="E98" s="9">
        <v>36</v>
      </c>
      <c r="F98" s="9">
        <v>10</v>
      </c>
      <c r="G98" s="9">
        <v>21</v>
      </c>
      <c r="H98" s="9">
        <v>5</v>
      </c>
      <c r="I98" s="9">
        <v>0</v>
      </c>
      <c r="J98" s="9">
        <v>0</v>
      </c>
      <c r="K98" s="9">
        <v>0</v>
      </c>
      <c r="L98" s="9">
        <v>0</v>
      </c>
      <c r="M98" s="9">
        <v>0</v>
      </c>
      <c r="N98" s="9">
        <v>30</v>
      </c>
      <c r="O98" s="9">
        <f t="shared" si="2"/>
        <v>0</v>
      </c>
      <c r="P98" s="9"/>
      <c r="Q98" s="9">
        <v>6</v>
      </c>
      <c r="R98" s="9">
        <v>7</v>
      </c>
      <c r="S98" s="9">
        <v>5</v>
      </c>
      <c r="T98" s="9">
        <v>8</v>
      </c>
      <c r="U98" s="9">
        <v>0</v>
      </c>
      <c r="V98" s="9">
        <v>3</v>
      </c>
      <c r="W98" s="9">
        <v>2</v>
      </c>
      <c r="X98" s="9">
        <v>11</v>
      </c>
    </row>
    <row r="99" spans="2:24" x14ac:dyDescent="0.25">
      <c r="B99" s="5" t="s">
        <v>196</v>
      </c>
      <c r="C99" s="8" t="s">
        <v>197</v>
      </c>
      <c r="D99" s="8" t="s">
        <v>266</v>
      </c>
      <c r="E99" s="9">
        <v>3661</v>
      </c>
      <c r="F99" s="9">
        <v>1751</v>
      </c>
      <c r="G99" s="9">
        <v>1786</v>
      </c>
      <c r="H99" s="9">
        <v>124</v>
      </c>
      <c r="I99" s="9">
        <v>144</v>
      </c>
      <c r="J99" s="9">
        <v>0</v>
      </c>
      <c r="K99" s="9">
        <v>35</v>
      </c>
      <c r="L99" s="9">
        <v>3106</v>
      </c>
      <c r="M99" s="9">
        <v>4</v>
      </c>
      <c r="N99" s="9">
        <v>519</v>
      </c>
      <c r="O99" s="9">
        <f t="shared" si="2"/>
        <v>39</v>
      </c>
      <c r="P99" s="9"/>
      <c r="Q99" s="9">
        <v>123</v>
      </c>
      <c r="R99" s="9">
        <v>308</v>
      </c>
      <c r="S99" s="9">
        <v>644</v>
      </c>
      <c r="T99" s="9">
        <v>795</v>
      </c>
      <c r="U99" s="9">
        <v>642</v>
      </c>
      <c r="V99" s="9">
        <v>490</v>
      </c>
      <c r="W99" s="9">
        <v>273</v>
      </c>
      <c r="X99" s="9">
        <v>509</v>
      </c>
    </row>
    <row r="100" spans="2:24" x14ac:dyDescent="0.25">
      <c r="B100" s="5" t="s">
        <v>198</v>
      </c>
      <c r="C100" s="8" t="s">
        <v>272</v>
      </c>
      <c r="D100" s="8" t="s">
        <v>266</v>
      </c>
      <c r="E100" s="9">
        <v>42</v>
      </c>
      <c r="F100" s="9">
        <v>25</v>
      </c>
      <c r="G100" s="9">
        <v>17</v>
      </c>
      <c r="H100" s="9">
        <v>0</v>
      </c>
      <c r="I100" s="9">
        <v>6</v>
      </c>
      <c r="J100" s="9">
        <v>0</v>
      </c>
      <c r="K100" s="9">
        <v>0</v>
      </c>
      <c r="L100" s="9">
        <v>16</v>
      </c>
      <c r="M100" s="9">
        <v>0</v>
      </c>
      <c r="N100" s="9">
        <v>23</v>
      </c>
      <c r="O100" s="9">
        <f t="shared" si="2"/>
        <v>0</v>
      </c>
      <c r="P100" s="9"/>
      <c r="Q100" s="9">
        <v>3</v>
      </c>
      <c r="R100" s="9">
        <v>7</v>
      </c>
      <c r="S100" s="9">
        <v>7</v>
      </c>
      <c r="T100" s="9">
        <v>7</v>
      </c>
      <c r="U100" s="9">
        <v>3</v>
      </c>
      <c r="V100" s="9">
        <v>6</v>
      </c>
      <c r="W100" s="9">
        <v>3</v>
      </c>
      <c r="X100" s="9">
        <v>9</v>
      </c>
    </row>
    <row r="101" spans="2:24" x14ac:dyDescent="0.25">
      <c r="B101" s="5" t="s">
        <v>200</v>
      </c>
      <c r="C101" s="8" t="s">
        <v>201</v>
      </c>
      <c r="D101" s="8" t="s">
        <v>265</v>
      </c>
      <c r="E101" s="9">
        <v>1888</v>
      </c>
      <c r="F101" s="9">
        <v>954</v>
      </c>
      <c r="G101" s="9">
        <v>907</v>
      </c>
      <c r="H101" s="9">
        <v>27</v>
      </c>
      <c r="I101" s="9">
        <v>120</v>
      </c>
      <c r="J101" s="9">
        <v>0</v>
      </c>
      <c r="K101" s="9">
        <v>12</v>
      </c>
      <c r="L101" s="9">
        <v>814</v>
      </c>
      <c r="M101" s="9">
        <v>25</v>
      </c>
      <c r="N101" s="9">
        <v>1129</v>
      </c>
      <c r="O101" s="9">
        <f t="shared" si="2"/>
        <v>37</v>
      </c>
      <c r="P101" s="9"/>
      <c r="Q101" s="9">
        <v>70</v>
      </c>
      <c r="R101" s="9">
        <v>208</v>
      </c>
      <c r="S101" s="9">
        <v>369</v>
      </c>
      <c r="T101" s="9">
        <v>378</v>
      </c>
      <c r="U101" s="9">
        <v>309</v>
      </c>
      <c r="V101" s="9">
        <v>309</v>
      </c>
      <c r="W101" s="9">
        <v>112</v>
      </c>
      <c r="X101" s="9">
        <v>203</v>
      </c>
    </row>
    <row r="102" spans="2:24" x14ac:dyDescent="0.25">
      <c r="B102" s="5" t="s">
        <v>202</v>
      </c>
      <c r="C102" s="1" t="s">
        <v>301</v>
      </c>
      <c r="D102" s="8" t="s">
        <v>265</v>
      </c>
      <c r="E102" s="10">
        <v>1285</v>
      </c>
      <c r="F102" s="10">
        <v>622</v>
      </c>
      <c r="G102" s="10">
        <v>638</v>
      </c>
      <c r="H102" s="10">
        <v>25</v>
      </c>
      <c r="I102" s="10">
        <v>41</v>
      </c>
      <c r="J102" s="10">
        <v>2</v>
      </c>
      <c r="K102" s="10">
        <v>8</v>
      </c>
      <c r="L102" s="10">
        <v>189</v>
      </c>
      <c r="M102" s="10">
        <v>1</v>
      </c>
      <c r="N102" s="10">
        <v>1071</v>
      </c>
      <c r="O102" s="9">
        <f t="shared" si="2"/>
        <v>11</v>
      </c>
      <c r="P102" s="10">
        <v>0</v>
      </c>
      <c r="Q102" s="10">
        <v>75</v>
      </c>
      <c r="R102" s="10">
        <v>84</v>
      </c>
      <c r="S102" s="10">
        <v>183</v>
      </c>
      <c r="T102" s="10">
        <v>230</v>
      </c>
      <c r="U102" s="10">
        <v>251</v>
      </c>
      <c r="V102" s="10">
        <v>204</v>
      </c>
      <c r="W102" s="10">
        <v>107</v>
      </c>
      <c r="X102" s="10">
        <v>226</v>
      </c>
    </row>
    <row r="103" spans="2:24" ht="31.5" x14ac:dyDescent="0.25">
      <c r="B103" s="5" t="s">
        <v>204</v>
      </c>
      <c r="C103" s="1" t="s">
        <v>293</v>
      </c>
      <c r="D103" s="8" t="s">
        <v>265</v>
      </c>
      <c r="E103" s="10">
        <v>312</v>
      </c>
      <c r="F103" s="10">
        <v>151</v>
      </c>
      <c r="G103" s="10">
        <v>158</v>
      </c>
      <c r="H103" s="10">
        <v>3</v>
      </c>
      <c r="I103" s="10">
        <v>14</v>
      </c>
      <c r="J103" s="10">
        <v>0</v>
      </c>
      <c r="K103" s="10">
        <v>0</v>
      </c>
      <c r="L103" s="10">
        <v>33</v>
      </c>
      <c r="M103" s="10">
        <v>0</v>
      </c>
      <c r="N103" s="10">
        <v>287</v>
      </c>
      <c r="O103" s="9">
        <f t="shared" si="2"/>
        <v>0</v>
      </c>
      <c r="P103" s="10">
        <v>0</v>
      </c>
      <c r="Q103" s="10">
        <v>10</v>
      </c>
      <c r="R103" s="10">
        <v>25</v>
      </c>
      <c r="S103" s="10">
        <v>51</v>
      </c>
      <c r="T103" s="10">
        <v>80</v>
      </c>
      <c r="U103" s="10">
        <v>59</v>
      </c>
      <c r="V103" s="10">
        <v>39</v>
      </c>
      <c r="W103" s="10">
        <v>13</v>
      </c>
      <c r="X103" s="10">
        <v>45</v>
      </c>
    </row>
    <row r="104" spans="2:24" ht="31.5" x14ac:dyDescent="0.25">
      <c r="B104" s="5" t="s">
        <v>206</v>
      </c>
      <c r="C104" s="1" t="s">
        <v>294</v>
      </c>
      <c r="D104" s="8" t="s">
        <v>267</v>
      </c>
      <c r="E104" s="10">
        <v>2388</v>
      </c>
      <c r="F104" s="10">
        <v>1152</v>
      </c>
      <c r="G104" s="10">
        <v>1167</v>
      </c>
      <c r="H104" s="10">
        <v>69</v>
      </c>
      <c r="I104" s="10">
        <v>357</v>
      </c>
      <c r="J104" s="10">
        <v>0</v>
      </c>
      <c r="K104" s="10">
        <v>17</v>
      </c>
      <c r="L104" s="10">
        <v>160</v>
      </c>
      <c r="M104" s="10">
        <v>2</v>
      </c>
      <c r="N104" s="10">
        <v>2239</v>
      </c>
      <c r="O104" s="9">
        <f t="shared" si="2"/>
        <v>19</v>
      </c>
      <c r="P104" s="10">
        <v>0</v>
      </c>
      <c r="Q104" s="10">
        <v>22</v>
      </c>
      <c r="R104" s="10">
        <v>105</v>
      </c>
      <c r="S104" s="10">
        <v>265</v>
      </c>
      <c r="T104" s="10">
        <v>473</v>
      </c>
      <c r="U104" s="10">
        <v>369</v>
      </c>
      <c r="V104" s="10">
        <v>333</v>
      </c>
      <c r="W104" s="10">
        <v>129</v>
      </c>
      <c r="X104" s="10">
        <v>714</v>
      </c>
    </row>
    <row r="105" spans="2:24" x14ac:dyDescent="0.25">
      <c r="B105" s="5" t="s">
        <v>208</v>
      </c>
      <c r="C105" s="8" t="s">
        <v>209</v>
      </c>
      <c r="D105" s="8" t="s">
        <v>268</v>
      </c>
      <c r="E105" s="9">
        <v>451</v>
      </c>
      <c r="F105" s="9">
        <v>243</v>
      </c>
      <c r="G105" s="9">
        <v>207</v>
      </c>
      <c r="H105" s="9">
        <v>1</v>
      </c>
      <c r="I105" s="9">
        <v>9</v>
      </c>
      <c r="J105" s="9">
        <v>0</v>
      </c>
      <c r="K105" s="9">
        <v>2</v>
      </c>
      <c r="L105" s="9">
        <v>9</v>
      </c>
      <c r="M105" s="9">
        <v>0</v>
      </c>
      <c r="N105" s="9">
        <v>437</v>
      </c>
      <c r="O105" s="9">
        <f t="shared" si="2"/>
        <v>2</v>
      </c>
      <c r="P105" s="9"/>
      <c r="Q105" s="9">
        <v>3</v>
      </c>
      <c r="R105" s="9">
        <v>40</v>
      </c>
      <c r="S105" s="9">
        <v>95</v>
      </c>
      <c r="T105" s="9">
        <v>120</v>
      </c>
      <c r="U105" s="9">
        <v>98</v>
      </c>
      <c r="V105" s="9">
        <v>41</v>
      </c>
      <c r="W105" s="9">
        <v>25</v>
      </c>
      <c r="X105" s="9">
        <v>32</v>
      </c>
    </row>
    <row r="106" spans="2:24" x14ac:dyDescent="0.25">
      <c r="B106" s="5" t="s">
        <v>210</v>
      </c>
      <c r="C106" s="8" t="s">
        <v>211</v>
      </c>
      <c r="D106" s="8" t="s">
        <v>268</v>
      </c>
      <c r="E106" s="9">
        <v>319</v>
      </c>
      <c r="F106" s="9">
        <v>153</v>
      </c>
      <c r="G106" s="9">
        <v>166</v>
      </c>
      <c r="H106" s="9">
        <v>0</v>
      </c>
      <c r="I106" s="9">
        <v>2</v>
      </c>
      <c r="J106" s="9">
        <v>0</v>
      </c>
      <c r="K106" s="9">
        <v>0</v>
      </c>
      <c r="L106" s="9">
        <v>6</v>
      </c>
      <c r="M106" s="9">
        <v>1</v>
      </c>
      <c r="N106" s="9">
        <v>313</v>
      </c>
      <c r="O106" s="9">
        <f t="shared" si="2"/>
        <v>1</v>
      </c>
      <c r="P106" s="9"/>
      <c r="Q106" s="9">
        <v>3</v>
      </c>
      <c r="R106" s="9">
        <v>30</v>
      </c>
      <c r="S106" s="9">
        <v>70</v>
      </c>
      <c r="T106" s="9">
        <v>78</v>
      </c>
      <c r="U106" s="9">
        <v>57</v>
      </c>
      <c r="V106" s="9">
        <v>49</v>
      </c>
      <c r="W106" s="9">
        <v>13</v>
      </c>
      <c r="X106" s="9">
        <v>22</v>
      </c>
    </row>
    <row r="107" spans="2:24" x14ac:dyDescent="0.25">
      <c r="B107" s="5" t="s">
        <v>212</v>
      </c>
      <c r="C107" s="8" t="s">
        <v>213</v>
      </c>
      <c r="D107" s="8" t="s">
        <v>267</v>
      </c>
      <c r="E107" s="9">
        <v>675</v>
      </c>
      <c r="F107" s="9">
        <v>340</v>
      </c>
      <c r="G107" s="9">
        <v>324</v>
      </c>
      <c r="H107" s="9">
        <v>11</v>
      </c>
      <c r="I107" s="9">
        <v>65</v>
      </c>
      <c r="J107" s="9">
        <v>0</v>
      </c>
      <c r="K107" s="9">
        <v>1</v>
      </c>
      <c r="L107" s="9">
        <v>15</v>
      </c>
      <c r="M107" s="9">
        <v>0</v>
      </c>
      <c r="N107" s="9">
        <v>661</v>
      </c>
      <c r="O107" s="9">
        <f t="shared" si="2"/>
        <v>1</v>
      </c>
      <c r="P107" s="9"/>
      <c r="Q107" s="9">
        <v>8</v>
      </c>
      <c r="R107" s="9">
        <v>36</v>
      </c>
      <c r="S107" s="9">
        <v>128</v>
      </c>
      <c r="T107" s="9">
        <v>153</v>
      </c>
      <c r="U107" s="9">
        <v>97</v>
      </c>
      <c r="V107" s="9">
        <v>85</v>
      </c>
      <c r="W107" s="9">
        <v>43</v>
      </c>
      <c r="X107" s="9">
        <v>133</v>
      </c>
    </row>
    <row r="108" spans="2:24" x14ac:dyDescent="0.25">
      <c r="B108" s="5" t="s">
        <v>214</v>
      </c>
      <c r="C108" s="8" t="s">
        <v>215</v>
      </c>
      <c r="D108" s="8" t="s">
        <v>268</v>
      </c>
      <c r="E108" s="9">
        <v>904</v>
      </c>
      <c r="F108" s="9">
        <v>458</v>
      </c>
      <c r="G108" s="9">
        <v>437</v>
      </c>
      <c r="H108" s="9">
        <v>9</v>
      </c>
      <c r="I108" s="9">
        <v>15</v>
      </c>
      <c r="J108" s="9">
        <v>0</v>
      </c>
      <c r="K108" s="9">
        <v>0</v>
      </c>
      <c r="L108" s="9">
        <v>25</v>
      </c>
      <c r="M108" s="9">
        <v>1</v>
      </c>
      <c r="N108" s="9">
        <v>872</v>
      </c>
      <c r="O108" s="9">
        <f t="shared" si="2"/>
        <v>1</v>
      </c>
      <c r="P108" s="9"/>
      <c r="Q108" s="9">
        <v>15</v>
      </c>
      <c r="R108" s="9">
        <v>66</v>
      </c>
      <c r="S108" s="9">
        <v>154</v>
      </c>
      <c r="T108" s="9">
        <v>182</v>
      </c>
      <c r="U108" s="9">
        <v>139</v>
      </c>
      <c r="V108" s="9">
        <v>104</v>
      </c>
      <c r="W108" s="9">
        <v>40</v>
      </c>
      <c r="X108" s="9">
        <v>219</v>
      </c>
    </row>
    <row r="109" spans="2:24" x14ac:dyDescent="0.25">
      <c r="B109" s="5" t="s">
        <v>216</v>
      </c>
      <c r="C109" s="8" t="s">
        <v>217</v>
      </c>
      <c r="D109" s="8" t="s">
        <v>264</v>
      </c>
      <c r="E109" s="9">
        <v>108</v>
      </c>
      <c r="F109" s="9">
        <v>53</v>
      </c>
      <c r="G109" s="9">
        <v>55</v>
      </c>
      <c r="H109" s="9">
        <v>0</v>
      </c>
      <c r="I109" s="9">
        <v>3</v>
      </c>
      <c r="J109" s="9">
        <v>1</v>
      </c>
      <c r="K109" s="9">
        <v>0</v>
      </c>
      <c r="L109" s="9">
        <v>65</v>
      </c>
      <c r="M109" s="9">
        <v>0</v>
      </c>
      <c r="N109" s="9">
        <v>37</v>
      </c>
      <c r="O109" s="9">
        <f t="shared" si="2"/>
        <v>1</v>
      </c>
      <c r="P109" s="9"/>
      <c r="Q109" s="9">
        <v>8</v>
      </c>
      <c r="R109" s="9">
        <v>11</v>
      </c>
      <c r="S109" s="9">
        <v>23</v>
      </c>
      <c r="T109" s="9">
        <v>30</v>
      </c>
      <c r="U109" s="9">
        <v>18</v>
      </c>
      <c r="V109" s="9">
        <v>14</v>
      </c>
      <c r="W109" s="9">
        <v>9</v>
      </c>
      <c r="X109" s="9">
        <v>3</v>
      </c>
    </row>
    <row r="110" spans="2:24" x14ac:dyDescent="0.25">
      <c r="B110" s="5" t="s">
        <v>218</v>
      </c>
      <c r="C110" s="8" t="s">
        <v>219</v>
      </c>
      <c r="D110" s="8" t="s">
        <v>267</v>
      </c>
      <c r="E110" s="9">
        <v>1326</v>
      </c>
      <c r="F110" s="9">
        <v>618</v>
      </c>
      <c r="G110" s="9">
        <v>681</v>
      </c>
      <c r="H110" s="9">
        <v>27</v>
      </c>
      <c r="I110" s="9">
        <v>31</v>
      </c>
      <c r="J110" s="9">
        <v>0</v>
      </c>
      <c r="K110" s="9">
        <v>2</v>
      </c>
      <c r="L110" s="9">
        <v>155</v>
      </c>
      <c r="M110" s="9">
        <v>1</v>
      </c>
      <c r="N110" s="9">
        <v>481</v>
      </c>
      <c r="O110" s="9">
        <f t="shared" si="2"/>
        <v>3</v>
      </c>
      <c r="P110" s="9"/>
      <c r="Q110" s="9">
        <v>721</v>
      </c>
      <c r="R110" s="9">
        <v>83</v>
      </c>
      <c r="S110" s="9">
        <v>193</v>
      </c>
      <c r="T110" s="9">
        <v>226</v>
      </c>
      <c r="U110" s="9">
        <v>243</v>
      </c>
      <c r="V110" s="9">
        <v>223</v>
      </c>
      <c r="W110" s="9">
        <v>98</v>
      </c>
      <c r="X110" s="9">
        <v>260</v>
      </c>
    </row>
    <row r="111" spans="2:24" x14ac:dyDescent="0.25">
      <c r="B111" s="5" t="s">
        <v>220</v>
      </c>
      <c r="C111" s="8" t="s">
        <v>221</v>
      </c>
      <c r="D111" s="8" t="s">
        <v>267</v>
      </c>
      <c r="E111" s="9">
        <v>475</v>
      </c>
      <c r="F111" s="9">
        <v>234</v>
      </c>
      <c r="G111" s="9">
        <v>237</v>
      </c>
      <c r="H111" s="9">
        <v>4</v>
      </c>
      <c r="I111" s="9">
        <v>48</v>
      </c>
      <c r="J111" s="9">
        <v>1</v>
      </c>
      <c r="K111" s="9">
        <v>10</v>
      </c>
      <c r="L111" s="9">
        <v>149</v>
      </c>
      <c r="M111" s="9">
        <v>1</v>
      </c>
      <c r="N111" s="9">
        <v>321</v>
      </c>
      <c r="O111" s="9">
        <f t="shared" si="2"/>
        <v>12</v>
      </c>
      <c r="P111" s="9"/>
      <c r="Q111" s="9">
        <v>18</v>
      </c>
      <c r="R111" s="9">
        <v>41</v>
      </c>
      <c r="S111" s="9">
        <v>69</v>
      </c>
      <c r="T111" s="9">
        <v>103</v>
      </c>
      <c r="U111" s="9">
        <v>59</v>
      </c>
      <c r="V111" s="9">
        <v>68</v>
      </c>
      <c r="W111" s="9">
        <v>30</v>
      </c>
      <c r="X111" s="9">
        <v>105</v>
      </c>
    </row>
    <row r="112" spans="2:24" x14ac:dyDescent="0.25">
      <c r="B112" s="5" t="s">
        <v>222</v>
      </c>
      <c r="C112" s="8" t="s">
        <v>223</v>
      </c>
      <c r="D112" s="8" t="s">
        <v>264</v>
      </c>
      <c r="E112" s="9">
        <v>961</v>
      </c>
      <c r="F112" s="9">
        <v>438</v>
      </c>
      <c r="G112" s="9">
        <v>481</v>
      </c>
      <c r="H112" s="9">
        <v>42</v>
      </c>
      <c r="I112" s="9">
        <v>20</v>
      </c>
      <c r="J112" s="9">
        <v>0</v>
      </c>
      <c r="K112" s="9">
        <v>7</v>
      </c>
      <c r="L112" s="9">
        <v>590</v>
      </c>
      <c r="M112" s="9">
        <v>1</v>
      </c>
      <c r="N112" s="9">
        <v>324</v>
      </c>
      <c r="O112" s="9">
        <f t="shared" si="2"/>
        <v>8</v>
      </c>
      <c r="P112" s="9"/>
      <c r="Q112" s="9">
        <v>70</v>
      </c>
      <c r="R112" s="9">
        <v>53</v>
      </c>
      <c r="S112" s="9">
        <v>103</v>
      </c>
      <c r="T112" s="9">
        <v>168</v>
      </c>
      <c r="U112" s="9">
        <v>127</v>
      </c>
      <c r="V112" s="9">
        <v>149</v>
      </c>
      <c r="W112" s="9">
        <v>51</v>
      </c>
      <c r="X112" s="9">
        <v>310</v>
      </c>
    </row>
    <row r="113" spans="2:24" x14ac:dyDescent="0.25">
      <c r="B113" s="5" t="s">
        <v>224</v>
      </c>
      <c r="C113" s="8" t="s">
        <v>225</v>
      </c>
      <c r="D113" s="8" t="s">
        <v>264</v>
      </c>
      <c r="E113" s="9">
        <v>46</v>
      </c>
      <c r="F113" s="9">
        <v>17</v>
      </c>
      <c r="G113" s="9">
        <v>29</v>
      </c>
      <c r="H113" s="9">
        <v>0</v>
      </c>
      <c r="I113" s="9">
        <v>0</v>
      </c>
      <c r="J113" s="9">
        <v>0</v>
      </c>
      <c r="K113" s="9">
        <v>0</v>
      </c>
      <c r="L113" s="9">
        <v>19</v>
      </c>
      <c r="M113" s="9">
        <v>0</v>
      </c>
      <c r="N113" s="9">
        <v>26</v>
      </c>
      <c r="O113" s="9">
        <f t="shared" si="2"/>
        <v>0</v>
      </c>
      <c r="P113" s="9"/>
      <c r="Q113" s="9">
        <v>1</v>
      </c>
      <c r="R113" s="9">
        <v>1</v>
      </c>
      <c r="S113" s="9">
        <v>6</v>
      </c>
      <c r="T113" s="9">
        <v>5</v>
      </c>
      <c r="U113" s="9">
        <v>10</v>
      </c>
      <c r="V113" s="9">
        <v>9</v>
      </c>
      <c r="W113" s="9">
        <v>4</v>
      </c>
      <c r="X113" s="9">
        <v>11</v>
      </c>
    </row>
    <row r="114" spans="2:24" x14ac:dyDescent="0.25">
      <c r="B114" s="5" t="s">
        <v>226</v>
      </c>
      <c r="C114" s="8" t="s">
        <v>227</v>
      </c>
      <c r="D114" s="8" t="s">
        <v>264</v>
      </c>
      <c r="E114" s="9">
        <v>79</v>
      </c>
      <c r="F114" s="9">
        <v>40</v>
      </c>
      <c r="G114" s="9">
        <v>39</v>
      </c>
      <c r="H114" s="9">
        <v>0</v>
      </c>
      <c r="I114" s="9">
        <v>2</v>
      </c>
      <c r="J114" s="9">
        <v>0</v>
      </c>
      <c r="K114" s="9">
        <v>0</v>
      </c>
      <c r="L114" s="9">
        <v>42</v>
      </c>
      <c r="M114" s="9">
        <v>0</v>
      </c>
      <c r="N114" s="9">
        <v>32</v>
      </c>
      <c r="O114" s="9">
        <f t="shared" si="2"/>
        <v>0</v>
      </c>
      <c r="P114" s="9"/>
      <c r="Q114" s="9">
        <v>8</v>
      </c>
      <c r="R114" s="9">
        <v>12</v>
      </c>
      <c r="S114" s="9">
        <v>11</v>
      </c>
      <c r="T114" s="9">
        <v>16</v>
      </c>
      <c r="U114" s="9">
        <v>11</v>
      </c>
      <c r="V114" s="9">
        <v>19</v>
      </c>
      <c r="W114" s="9">
        <v>4</v>
      </c>
      <c r="X114" s="9">
        <v>6</v>
      </c>
    </row>
    <row r="115" spans="2:24" x14ac:dyDescent="0.25">
      <c r="B115" s="5" t="s">
        <v>228</v>
      </c>
      <c r="C115" s="8" t="s">
        <v>229</v>
      </c>
      <c r="D115" s="8" t="s">
        <v>268</v>
      </c>
      <c r="E115" s="9">
        <v>622</v>
      </c>
      <c r="F115" s="9">
        <v>304</v>
      </c>
      <c r="G115" s="9">
        <v>317</v>
      </c>
      <c r="H115" s="9">
        <v>1</v>
      </c>
      <c r="I115" s="9">
        <v>4</v>
      </c>
      <c r="J115" s="9">
        <v>0</v>
      </c>
      <c r="K115" s="9">
        <v>1</v>
      </c>
      <c r="L115" s="9">
        <v>22</v>
      </c>
      <c r="M115" s="9">
        <v>0</v>
      </c>
      <c r="N115" s="9">
        <v>602</v>
      </c>
      <c r="O115" s="9">
        <f t="shared" si="2"/>
        <v>1</v>
      </c>
      <c r="P115" s="9"/>
      <c r="Q115" s="9">
        <v>2</v>
      </c>
      <c r="R115" s="9">
        <v>52</v>
      </c>
      <c r="S115" s="9">
        <v>124</v>
      </c>
      <c r="T115" s="9">
        <v>167</v>
      </c>
      <c r="U115" s="9">
        <v>108</v>
      </c>
      <c r="V115" s="9">
        <v>89</v>
      </c>
      <c r="W115" s="9">
        <v>35</v>
      </c>
      <c r="X115" s="9">
        <v>47</v>
      </c>
    </row>
    <row r="116" spans="2:24" x14ac:dyDescent="0.25">
      <c r="B116" s="5" t="s">
        <v>230</v>
      </c>
      <c r="C116" s="8" t="s">
        <v>231</v>
      </c>
      <c r="D116" s="8" t="s">
        <v>264</v>
      </c>
      <c r="E116" s="9">
        <v>5244</v>
      </c>
      <c r="F116" s="9">
        <v>2568</v>
      </c>
      <c r="G116" s="9">
        <v>2586</v>
      </c>
      <c r="H116" s="9">
        <v>90</v>
      </c>
      <c r="I116" s="9">
        <v>446</v>
      </c>
      <c r="J116" s="9">
        <v>12</v>
      </c>
      <c r="K116" s="9">
        <v>77</v>
      </c>
      <c r="L116" s="9">
        <v>1724</v>
      </c>
      <c r="M116" s="9">
        <v>43</v>
      </c>
      <c r="N116" s="9">
        <v>2958</v>
      </c>
      <c r="O116" s="9">
        <f t="shared" si="2"/>
        <v>132</v>
      </c>
      <c r="P116" s="9"/>
      <c r="Q116" s="9">
        <v>689</v>
      </c>
      <c r="R116" s="9">
        <v>290</v>
      </c>
      <c r="S116" s="9">
        <v>820</v>
      </c>
      <c r="T116" s="9">
        <v>1075</v>
      </c>
      <c r="U116" s="9">
        <v>970</v>
      </c>
      <c r="V116" s="9">
        <v>864</v>
      </c>
      <c r="W116" s="9">
        <v>462</v>
      </c>
      <c r="X116" s="9">
        <v>763</v>
      </c>
    </row>
    <row r="117" spans="2:24" x14ac:dyDescent="0.25">
      <c r="B117" s="5" t="s">
        <v>232</v>
      </c>
      <c r="C117" s="8" t="s">
        <v>233</v>
      </c>
      <c r="D117" s="8" t="s">
        <v>267</v>
      </c>
      <c r="E117" s="9">
        <v>944</v>
      </c>
      <c r="F117" s="9">
        <v>458</v>
      </c>
      <c r="G117" s="9">
        <v>479</v>
      </c>
      <c r="H117" s="9">
        <v>7</v>
      </c>
      <c r="I117" s="9">
        <v>78</v>
      </c>
      <c r="J117" s="9">
        <v>2</v>
      </c>
      <c r="K117" s="9">
        <v>1</v>
      </c>
      <c r="L117" s="9">
        <v>110</v>
      </c>
      <c r="M117" s="9">
        <v>4</v>
      </c>
      <c r="N117" s="9">
        <v>903</v>
      </c>
      <c r="O117" s="9">
        <f t="shared" si="2"/>
        <v>7</v>
      </c>
      <c r="P117" s="9"/>
      <c r="Q117" s="9">
        <v>16</v>
      </c>
      <c r="R117" s="9">
        <v>73</v>
      </c>
      <c r="S117" s="9">
        <v>199</v>
      </c>
      <c r="T117" s="9">
        <v>213</v>
      </c>
      <c r="U117" s="9">
        <v>171</v>
      </c>
      <c r="V117" s="9">
        <v>141</v>
      </c>
      <c r="W117" s="9">
        <v>45</v>
      </c>
      <c r="X117" s="9">
        <v>102</v>
      </c>
    </row>
    <row r="118" spans="2:24" x14ac:dyDescent="0.25">
      <c r="B118" s="5" t="s">
        <v>234</v>
      </c>
      <c r="C118" s="8" t="s">
        <v>235</v>
      </c>
      <c r="D118" s="8" t="s">
        <v>268</v>
      </c>
      <c r="E118" s="9">
        <v>529</v>
      </c>
      <c r="F118" s="9">
        <v>253</v>
      </c>
      <c r="G118" s="9">
        <v>271</v>
      </c>
      <c r="H118" s="9">
        <v>5</v>
      </c>
      <c r="I118" s="9">
        <v>3</v>
      </c>
      <c r="J118" s="9">
        <v>0</v>
      </c>
      <c r="K118" s="9">
        <v>0</v>
      </c>
      <c r="L118" s="9">
        <v>15</v>
      </c>
      <c r="M118" s="9">
        <v>0</v>
      </c>
      <c r="N118" s="9">
        <v>508</v>
      </c>
      <c r="O118" s="9">
        <f t="shared" si="2"/>
        <v>0</v>
      </c>
      <c r="P118" s="9"/>
      <c r="Q118" s="9">
        <v>11</v>
      </c>
      <c r="R118" s="9">
        <v>39</v>
      </c>
      <c r="S118" s="9">
        <v>87</v>
      </c>
      <c r="T118" s="9">
        <v>112</v>
      </c>
      <c r="U118" s="9">
        <v>75</v>
      </c>
      <c r="V118" s="9">
        <v>72</v>
      </c>
      <c r="W118" s="9">
        <v>28</v>
      </c>
      <c r="X118" s="9">
        <v>116</v>
      </c>
    </row>
    <row r="119" spans="2:24" x14ac:dyDescent="0.25">
      <c r="B119" s="5" t="s">
        <v>236</v>
      </c>
      <c r="C119" s="8" t="s">
        <v>237</v>
      </c>
      <c r="D119" s="8" t="s">
        <v>266</v>
      </c>
      <c r="E119" s="9">
        <v>158</v>
      </c>
      <c r="F119" s="9">
        <v>72</v>
      </c>
      <c r="G119" s="9">
        <v>85</v>
      </c>
      <c r="H119" s="9">
        <v>1</v>
      </c>
      <c r="I119" s="9">
        <v>4</v>
      </c>
      <c r="J119" s="9">
        <v>0</v>
      </c>
      <c r="K119" s="9">
        <v>0</v>
      </c>
      <c r="L119" s="9">
        <v>48</v>
      </c>
      <c r="M119" s="9">
        <v>0</v>
      </c>
      <c r="N119" s="9">
        <v>58</v>
      </c>
      <c r="O119" s="9">
        <f t="shared" si="2"/>
        <v>0</v>
      </c>
      <c r="P119" s="9"/>
      <c r="Q119" s="9">
        <v>53</v>
      </c>
      <c r="R119" s="9">
        <v>12</v>
      </c>
      <c r="S119" s="9">
        <v>26</v>
      </c>
      <c r="T119" s="9">
        <v>34</v>
      </c>
      <c r="U119" s="9">
        <v>17</v>
      </c>
      <c r="V119" s="9">
        <v>23</v>
      </c>
      <c r="W119" s="9">
        <v>9</v>
      </c>
      <c r="X119" s="9">
        <v>37</v>
      </c>
    </row>
    <row r="120" spans="2:24" x14ac:dyDescent="0.25">
      <c r="B120" s="5" t="s">
        <v>238</v>
      </c>
      <c r="C120" s="8" t="s">
        <v>239</v>
      </c>
      <c r="D120" s="8" t="s">
        <v>264</v>
      </c>
      <c r="E120" s="9">
        <v>114</v>
      </c>
      <c r="F120" s="9">
        <v>46</v>
      </c>
      <c r="G120" s="9">
        <v>68</v>
      </c>
      <c r="H120" s="9">
        <v>0</v>
      </c>
      <c r="I120" s="9">
        <v>19</v>
      </c>
      <c r="J120" s="9">
        <v>2</v>
      </c>
      <c r="K120" s="9">
        <v>2</v>
      </c>
      <c r="L120" s="9">
        <v>43</v>
      </c>
      <c r="M120" s="9">
        <v>0</v>
      </c>
      <c r="N120" s="9">
        <v>72</v>
      </c>
      <c r="O120" s="9">
        <f t="shared" si="2"/>
        <v>4</v>
      </c>
      <c r="P120" s="9"/>
      <c r="Q120" s="9">
        <v>7</v>
      </c>
      <c r="R120" s="9">
        <v>11</v>
      </c>
      <c r="S120" s="9">
        <v>22</v>
      </c>
      <c r="T120" s="9">
        <v>25</v>
      </c>
      <c r="U120" s="9">
        <v>22</v>
      </c>
      <c r="V120" s="9">
        <v>19</v>
      </c>
      <c r="W120" s="9">
        <v>5</v>
      </c>
      <c r="X120" s="9">
        <v>10</v>
      </c>
    </row>
    <row r="121" spans="2:24" x14ac:dyDescent="0.25">
      <c r="B121" s="5" t="s">
        <v>240</v>
      </c>
      <c r="C121" s="8" t="s">
        <v>241</v>
      </c>
      <c r="D121" s="8" t="s">
        <v>267</v>
      </c>
      <c r="E121" s="9">
        <v>688</v>
      </c>
      <c r="F121" s="9">
        <v>342</v>
      </c>
      <c r="G121" s="9">
        <v>334</v>
      </c>
      <c r="H121" s="9">
        <v>12</v>
      </c>
      <c r="I121" s="9">
        <v>102</v>
      </c>
      <c r="J121" s="9">
        <v>1</v>
      </c>
      <c r="K121" s="9">
        <v>3</v>
      </c>
      <c r="L121" s="9">
        <v>195</v>
      </c>
      <c r="M121" s="9">
        <v>0</v>
      </c>
      <c r="N121" s="9">
        <v>529</v>
      </c>
      <c r="O121" s="9">
        <f t="shared" si="2"/>
        <v>4</v>
      </c>
      <c r="P121" s="9"/>
      <c r="Q121" s="9">
        <v>43</v>
      </c>
      <c r="R121" s="9">
        <v>74</v>
      </c>
      <c r="S121" s="9">
        <v>145</v>
      </c>
      <c r="T121" s="9">
        <v>157</v>
      </c>
      <c r="U121" s="9">
        <v>112</v>
      </c>
      <c r="V121" s="9">
        <v>99</v>
      </c>
      <c r="W121" s="9">
        <v>28</v>
      </c>
      <c r="X121" s="9">
        <v>73</v>
      </c>
    </row>
    <row r="122" spans="2:24" x14ac:dyDescent="0.25">
      <c r="B122" s="5" t="s">
        <v>242</v>
      </c>
      <c r="C122" s="8" t="s">
        <v>243</v>
      </c>
      <c r="D122" s="8" t="s">
        <v>268</v>
      </c>
      <c r="E122" s="9">
        <v>1359</v>
      </c>
      <c r="F122" s="9">
        <v>646</v>
      </c>
      <c r="G122" s="9">
        <v>701</v>
      </c>
      <c r="H122" s="9">
        <v>12</v>
      </c>
      <c r="I122" s="9">
        <v>5</v>
      </c>
      <c r="J122" s="9">
        <v>0</v>
      </c>
      <c r="K122" s="9">
        <v>0</v>
      </c>
      <c r="L122" s="9">
        <v>139</v>
      </c>
      <c r="M122" s="9">
        <v>2</v>
      </c>
      <c r="N122" s="9">
        <v>1282</v>
      </c>
      <c r="O122" s="9">
        <f t="shared" si="2"/>
        <v>2</v>
      </c>
      <c r="P122" s="9"/>
      <c r="Q122" s="9">
        <v>4</v>
      </c>
      <c r="R122" s="9">
        <v>133</v>
      </c>
      <c r="S122" s="9">
        <v>275</v>
      </c>
      <c r="T122" s="9">
        <v>287</v>
      </c>
      <c r="U122" s="9">
        <v>227</v>
      </c>
      <c r="V122" s="9">
        <v>205</v>
      </c>
      <c r="W122" s="9">
        <v>91</v>
      </c>
      <c r="X122" s="9">
        <v>141</v>
      </c>
    </row>
    <row r="123" spans="2:24" x14ac:dyDescent="0.25">
      <c r="B123" s="5" t="s">
        <v>244</v>
      </c>
      <c r="C123" s="8" t="s">
        <v>245</v>
      </c>
      <c r="D123" s="8" t="s">
        <v>268</v>
      </c>
      <c r="E123" s="9">
        <v>531</v>
      </c>
      <c r="F123" s="9">
        <v>278</v>
      </c>
      <c r="G123" s="9">
        <v>250</v>
      </c>
      <c r="H123" s="9">
        <v>3</v>
      </c>
      <c r="I123" s="9">
        <v>10</v>
      </c>
      <c r="J123" s="9">
        <v>0</v>
      </c>
      <c r="K123" s="9">
        <v>1</v>
      </c>
      <c r="L123" s="9">
        <v>23</v>
      </c>
      <c r="M123" s="9">
        <v>0</v>
      </c>
      <c r="N123" s="9">
        <v>508</v>
      </c>
      <c r="O123" s="9">
        <f t="shared" si="2"/>
        <v>1</v>
      </c>
      <c r="P123" s="9"/>
      <c r="Q123" s="9">
        <v>11</v>
      </c>
      <c r="R123" s="9">
        <v>34</v>
      </c>
      <c r="S123" s="9">
        <v>95</v>
      </c>
      <c r="T123" s="9">
        <v>139</v>
      </c>
      <c r="U123" s="9">
        <v>103</v>
      </c>
      <c r="V123" s="9">
        <v>82</v>
      </c>
      <c r="W123" s="9">
        <v>29</v>
      </c>
      <c r="X123" s="9">
        <v>49</v>
      </c>
    </row>
    <row r="124" spans="2:24" x14ac:dyDescent="0.25">
      <c r="B124" s="5" t="s">
        <v>246</v>
      </c>
      <c r="C124" s="1" t="s">
        <v>247</v>
      </c>
      <c r="D124" s="8" t="s">
        <v>264</v>
      </c>
      <c r="E124" s="10">
        <v>1013</v>
      </c>
      <c r="F124" s="10">
        <v>491</v>
      </c>
      <c r="G124" s="10">
        <v>494</v>
      </c>
      <c r="H124" s="10">
        <v>28</v>
      </c>
      <c r="I124" s="10">
        <v>28</v>
      </c>
      <c r="J124" s="10">
        <v>3</v>
      </c>
      <c r="K124" s="10">
        <v>11</v>
      </c>
      <c r="L124" s="10">
        <v>173</v>
      </c>
      <c r="M124" s="10">
        <v>3</v>
      </c>
      <c r="N124" s="10">
        <v>625</v>
      </c>
      <c r="O124" s="9">
        <f t="shared" si="2"/>
        <v>17</v>
      </c>
      <c r="P124" s="10">
        <v>0</v>
      </c>
      <c r="Q124" s="10">
        <v>221</v>
      </c>
      <c r="R124" s="10">
        <v>44</v>
      </c>
      <c r="S124" s="10">
        <v>125</v>
      </c>
      <c r="T124" s="10">
        <v>180</v>
      </c>
      <c r="U124" s="10">
        <v>190</v>
      </c>
      <c r="V124" s="10">
        <v>172</v>
      </c>
      <c r="W124" s="10">
        <v>59</v>
      </c>
      <c r="X124" s="10">
        <v>243</v>
      </c>
    </row>
    <row r="125" spans="2:24" ht="12" customHeight="1" x14ac:dyDescent="0.25">
      <c r="B125" s="11" t="s">
        <v>8</v>
      </c>
      <c r="C125" s="5" t="s">
        <v>9</v>
      </c>
      <c r="E125" s="9">
        <f>SUM($E$5:$E$124)</f>
        <v>94215</v>
      </c>
      <c r="F125" s="9">
        <f>SUM($F$5:$F$124)</f>
        <v>45604</v>
      </c>
      <c r="G125" s="9">
        <f>SUM($G$5:$G$124)</f>
        <v>46742</v>
      </c>
      <c r="H125" s="9">
        <f>SUM($H$5:$H$124)</f>
        <v>1869</v>
      </c>
      <c r="I125" s="9">
        <f>SUM($I$5:$I$124)</f>
        <v>9139</v>
      </c>
      <c r="J125" s="9">
        <f>SUM($J$5:$J$124)</f>
        <v>145</v>
      </c>
      <c r="K125" s="9">
        <f>SUM($K$5:$K$124)</f>
        <v>1257</v>
      </c>
      <c r="L125" s="9">
        <f>SUM($L$5:$L$124)</f>
        <v>29742</v>
      </c>
      <c r="M125" s="9">
        <f>SUM($M$5:$M$124)</f>
        <v>262</v>
      </c>
      <c r="N125" s="9">
        <f>SUM($N$5:$N$124)</f>
        <v>57074</v>
      </c>
      <c r="O125" s="9">
        <f t="shared" si="2"/>
        <v>1664</v>
      </c>
      <c r="P125" s="9"/>
      <c r="Q125" s="9">
        <f>SUM($Q$5:$Q$124)</f>
        <v>9805</v>
      </c>
      <c r="R125" s="9">
        <f>SUM($R$5:$R$124)</f>
        <v>6082</v>
      </c>
      <c r="S125" s="9">
        <f>SUM($S$5:$S$124)</f>
        <v>14410</v>
      </c>
      <c r="T125" s="9">
        <f>SUM($T$5:$T$124)</f>
        <v>19258</v>
      </c>
      <c r="U125" s="9">
        <f>SUM($U$5:$U$124)</f>
        <v>16544</v>
      </c>
      <c r="V125" s="9">
        <f>SUM($V$5:$V$124)</f>
        <v>14510</v>
      </c>
      <c r="W125" s="9">
        <f>SUM($W$5:$W$124)</f>
        <v>6338</v>
      </c>
      <c r="X125" s="9">
        <f>SUM($X$5:$X$124)</f>
        <v>17073</v>
      </c>
    </row>
  </sheetData>
  <pageMargins left="0.75" right="0.75" top="1" bottom="1" header="0.5" footer="0.5"/>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E136"/>
  <sheetViews>
    <sheetView workbookViewId="0">
      <pane xSplit="3" ySplit="4" topLeftCell="AD112" activePane="bottomRight" state="frozen"/>
      <selection pane="topRight" activeCell="D1" sqref="D1"/>
      <selection pane="bottomLeft" activeCell="A5" sqref="A5"/>
      <selection pane="bottomRight" activeCell="AG135" sqref="AG135"/>
    </sheetView>
  </sheetViews>
  <sheetFormatPr defaultRowHeight="15.75" x14ac:dyDescent="0.25"/>
  <cols>
    <col min="1" max="1" width="9.75" style="270" customWidth="1"/>
    <col min="2" max="2" width="28.875" style="270" customWidth="1"/>
    <col min="3" max="3" width="14.875" style="270" customWidth="1"/>
    <col min="4" max="17" width="16.25" style="706" customWidth="1"/>
    <col min="18" max="24" width="16.25" style="1005" customWidth="1"/>
    <col min="25" max="28" width="13.875" style="270" customWidth="1"/>
    <col min="29" max="29" width="12.875" style="270" customWidth="1"/>
    <col min="30" max="30" width="16.25" style="1005" customWidth="1"/>
    <col min="31" max="34" width="13.875" style="270" customWidth="1"/>
    <col min="35" max="35" width="12.875" style="270" customWidth="1"/>
    <col min="36" max="16384" width="9" style="270"/>
  </cols>
  <sheetData>
    <row r="1" spans="1:83" x14ac:dyDescent="0.25">
      <c r="A1" s="64" t="s">
        <v>1214</v>
      </c>
    </row>
    <row r="3" spans="1:83" ht="47.25" x14ac:dyDescent="0.25">
      <c r="A3" s="716" t="s">
        <v>4</v>
      </c>
      <c r="B3" s="717" t="s">
        <v>5</v>
      </c>
      <c r="C3" s="918" t="s">
        <v>251</v>
      </c>
      <c r="D3" s="1006" t="s">
        <v>314</v>
      </c>
      <c r="E3" s="1006" t="s">
        <v>315</v>
      </c>
      <c r="F3" s="1006" t="s">
        <v>316</v>
      </c>
      <c r="G3" s="1390" t="s">
        <v>968</v>
      </c>
      <c r="H3" s="1006" t="s">
        <v>969</v>
      </c>
      <c r="I3" s="1006" t="s">
        <v>281</v>
      </c>
      <c r="J3" s="1007" t="s">
        <v>970</v>
      </c>
      <c r="K3" s="1007" t="s">
        <v>971</v>
      </c>
      <c r="L3" s="1008" t="s">
        <v>944</v>
      </c>
      <c r="M3" s="1008" t="s">
        <v>945</v>
      </c>
      <c r="N3" s="1008" t="s">
        <v>946</v>
      </c>
      <c r="O3" s="1008" t="s">
        <v>947</v>
      </c>
      <c r="P3" s="1008" t="s">
        <v>948</v>
      </c>
      <c r="Q3" s="1008" t="s">
        <v>949</v>
      </c>
      <c r="R3" s="1009" t="s">
        <v>950</v>
      </c>
      <c r="S3" s="1009" t="s">
        <v>951</v>
      </c>
      <c r="T3" s="1009" t="s">
        <v>952</v>
      </c>
      <c r="U3" s="1009" t="s">
        <v>953</v>
      </c>
      <c r="V3" s="1009" t="s">
        <v>954</v>
      </c>
      <c r="W3" s="1009" t="s">
        <v>955</v>
      </c>
      <c r="X3" s="1009" t="s">
        <v>956</v>
      </c>
      <c r="Y3" s="1009" t="s">
        <v>957</v>
      </c>
      <c r="Z3" s="1009" t="s">
        <v>958</v>
      </c>
      <c r="AA3" s="1009" t="s">
        <v>959</v>
      </c>
      <c r="AB3" s="1009" t="s">
        <v>960</v>
      </c>
      <c r="AC3" s="1009" t="s">
        <v>961</v>
      </c>
      <c r="AD3" s="1009" t="s">
        <v>962</v>
      </c>
      <c r="AE3" s="1009" t="s">
        <v>963</v>
      </c>
      <c r="AF3" s="1009" t="s">
        <v>964</v>
      </c>
      <c r="AG3" s="1009" t="s">
        <v>965</v>
      </c>
      <c r="AH3" s="1009" t="s">
        <v>966</v>
      </c>
      <c r="AI3" s="1009" t="s">
        <v>967</v>
      </c>
    </row>
    <row r="4" spans="1:83" x14ac:dyDescent="0.25">
      <c r="A4" s="707">
        <v>999</v>
      </c>
      <c r="B4" s="708" t="s">
        <v>9</v>
      </c>
      <c r="C4" s="919"/>
      <c r="D4" s="1032">
        <f t="shared" ref="D4:W4" si="0">SUM(D5:D124)</f>
        <v>271234858.35999995</v>
      </c>
      <c r="E4" s="1033">
        <f t="shared" si="0"/>
        <v>111848470.43000001</v>
      </c>
      <c r="F4" s="1034">
        <f t="shared" si="0"/>
        <v>185945289.50999993</v>
      </c>
      <c r="G4" s="1393">
        <f t="shared" si="0"/>
        <v>10626648.24</v>
      </c>
      <c r="H4" s="1035">
        <f t="shared" si="0"/>
        <v>80549.790000000008</v>
      </c>
      <c r="I4" s="1035">
        <f t="shared" si="0"/>
        <v>579735816.33000016</v>
      </c>
      <c r="J4" s="1395">
        <f>G4+H4</f>
        <v>10707198.029999999</v>
      </c>
      <c r="K4" s="1391">
        <f>F4+J4</f>
        <v>196652487.53999993</v>
      </c>
      <c r="L4" s="1035">
        <f t="shared" si="0"/>
        <v>1482255.96</v>
      </c>
      <c r="M4" s="1035">
        <f t="shared" si="0"/>
        <v>0</v>
      </c>
      <c r="N4" s="1035">
        <f t="shared" si="0"/>
        <v>510858.8600000001</v>
      </c>
      <c r="O4" s="1035">
        <f t="shared" si="0"/>
        <v>-3218.9399999999996</v>
      </c>
      <c r="P4" s="1035">
        <f t="shared" si="0"/>
        <v>0</v>
      </c>
      <c r="Q4" s="1035">
        <f t="shared" si="0"/>
        <v>1989895.8800000001</v>
      </c>
      <c r="R4" s="1036">
        <f t="shared" si="0"/>
        <v>405940.17000000004</v>
      </c>
      <c r="S4" s="1036">
        <f t="shared" si="0"/>
        <v>139714.03000000003</v>
      </c>
      <c r="T4" s="1036">
        <f t="shared" si="0"/>
        <v>0</v>
      </c>
      <c r="U4" s="1036">
        <f t="shared" si="0"/>
        <v>-0.63000000000000023</v>
      </c>
      <c r="V4" s="1036"/>
      <c r="W4" s="1036">
        <f t="shared" si="0"/>
        <v>545653.56999999995</v>
      </c>
      <c r="X4" s="1036">
        <f t="shared" ref="X4:AB4" si="1">SUM(X5:X124)</f>
        <v>207889851.05000004</v>
      </c>
      <c r="Y4" s="1036">
        <f t="shared" si="1"/>
        <v>111708756.39999998</v>
      </c>
      <c r="Z4" s="1036">
        <f t="shared" si="1"/>
        <v>58624288.660000011</v>
      </c>
      <c r="AA4" s="1036">
        <f t="shared" si="1"/>
        <v>7385209.3999999994</v>
      </c>
      <c r="AB4" s="1036">
        <f t="shared" si="1"/>
        <v>41311.03</v>
      </c>
      <c r="AC4" s="1036">
        <f t="shared" ref="AC4:AH4" si="2">SUM(AC5:AC124)</f>
        <v>385649416.54000014</v>
      </c>
      <c r="AD4" s="1036">
        <f t="shared" si="2"/>
        <v>61456811.18</v>
      </c>
      <c r="AE4" s="1036">
        <f t="shared" si="2"/>
        <v>0</v>
      </c>
      <c r="AF4" s="1036">
        <f t="shared" si="2"/>
        <v>126810141.99000005</v>
      </c>
      <c r="AG4" s="1036">
        <f t="shared" si="2"/>
        <v>3244658.4100000006</v>
      </c>
      <c r="AH4" s="1036">
        <f t="shared" si="2"/>
        <v>39238.76</v>
      </c>
      <c r="AI4" s="1036">
        <f t="shared" ref="AI4" si="3">SUM(AI5:AI124)</f>
        <v>191550850.33999997</v>
      </c>
      <c r="AJ4" s="709"/>
      <c r="AK4" s="709"/>
      <c r="AL4" s="710"/>
      <c r="AM4" s="710"/>
      <c r="AN4" s="711"/>
      <c r="AO4" s="711"/>
      <c r="AP4" s="711"/>
      <c r="AQ4" s="711"/>
      <c r="AR4" s="711"/>
      <c r="AS4" s="711"/>
      <c r="AT4" s="709"/>
      <c r="AU4" s="709"/>
      <c r="AV4" s="709"/>
      <c r="AW4" s="709"/>
      <c r="AX4" s="709"/>
      <c r="AY4" s="709"/>
      <c r="AZ4" s="710"/>
      <c r="BA4" s="710"/>
      <c r="BB4" s="711"/>
      <c r="BC4" s="711"/>
      <c r="BD4" s="711"/>
      <c r="BE4" s="711"/>
      <c r="BF4" s="711"/>
      <c r="BG4" s="711"/>
      <c r="BH4" s="709"/>
      <c r="BI4" s="709"/>
      <c r="BJ4" s="709"/>
      <c r="BK4" s="709"/>
      <c r="BL4" s="709"/>
      <c r="BM4" s="709"/>
      <c r="BN4" s="710"/>
      <c r="BO4" s="710"/>
      <c r="BP4" s="711"/>
      <c r="BQ4" s="711"/>
      <c r="BR4" s="711"/>
      <c r="BS4" s="711"/>
      <c r="BT4" s="711"/>
      <c r="BU4" s="711"/>
      <c r="BV4" s="709"/>
      <c r="BW4" s="709"/>
      <c r="BX4" s="709"/>
      <c r="BY4" s="709"/>
      <c r="BZ4" s="709"/>
      <c r="CA4" s="709"/>
      <c r="CB4" s="710"/>
      <c r="CC4" s="710"/>
      <c r="CD4" s="711"/>
      <c r="CE4" s="711"/>
    </row>
    <row r="5" spans="1:83" ht="15" customHeight="1" x14ac:dyDescent="0.25">
      <c r="A5" s="712" t="s">
        <v>10</v>
      </c>
      <c r="B5" s="713" t="s">
        <v>11</v>
      </c>
      <c r="C5" s="920" t="s">
        <v>264</v>
      </c>
      <c r="D5" s="1037">
        <f t="shared" ref="D5:I5" si="4">L5+R5+X5+AD5</f>
        <v>1717126.42</v>
      </c>
      <c r="E5" s="1038">
        <f t="shared" si="4"/>
        <v>919029.97</v>
      </c>
      <c r="F5" s="1039">
        <f t="shared" si="4"/>
        <v>482468.21</v>
      </c>
      <c r="G5" s="1394">
        <f t="shared" si="4"/>
        <v>75272.099999999991</v>
      </c>
      <c r="H5" s="1396">
        <f t="shared" si="4"/>
        <v>0</v>
      </c>
      <c r="I5" s="1396">
        <f t="shared" si="4"/>
        <v>3193896.6999999997</v>
      </c>
      <c r="J5" s="1397">
        <f t="shared" ref="J5:J68" si="5">G5+H5</f>
        <v>75272.099999999991</v>
      </c>
      <c r="K5" s="1392">
        <f t="shared" ref="K5:K68" si="6">F5+J5</f>
        <v>557740.31000000006</v>
      </c>
      <c r="L5" s="1040"/>
      <c r="M5" s="1040"/>
      <c r="N5" s="1040"/>
      <c r="O5" s="1040"/>
      <c r="P5" s="1040"/>
      <c r="Q5" s="1040">
        <f t="shared" ref="Q5:Q36" si="7">SUM(L5:P5)</f>
        <v>0</v>
      </c>
      <c r="R5" s="1042">
        <v>4391.9399999999996</v>
      </c>
      <c r="S5" s="1042">
        <v>1513.02</v>
      </c>
      <c r="T5" s="1042">
        <v>0</v>
      </c>
      <c r="U5" s="1042">
        <v>-0.05</v>
      </c>
      <c r="V5" s="1042">
        <v>0</v>
      </c>
      <c r="W5" s="1042">
        <f>SUM(R5:V5)</f>
        <v>5904.9099999999989</v>
      </c>
      <c r="X5" s="1042">
        <v>1712734.48</v>
      </c>
      <c r="Y5" s="1042">
        <v>917516.95</v>
      </c>
      <c r="Z5" s="1042">
        <v>482468.21</v>
      </c>
      <c r="AA5" s="1042">
        <v>75272.149999999994</v>
      </c>
      <c r="AB5" s="1042">
        <v>0</v>
      </c>
      <c r="AC5" s="1042">
        <f>SUM(X5:AB5)</f>
        <v>3187991.7899999996</v>
      </c>
      <c r="AD5" s="1042">
        <v>0</v>
      </c>
      <c r="AE5" s="1042">
        <v>0</v>
      </c>
      <c r="AF5" s="1042">
        <v>0</v>
      </c>
      <c r="AG5" s="1042">
        <v>0</v>
      </c>
      <c r="AH5" s="1042">
        <v>0</v>
      </c>
      <c r="AI5" s="1042">
        <f>SUM(AD5:AH5)</f>
        <v>0</v>
      </c>
    </row>
    <row r="6" spans="1:83" ht="15" customHeight="1" x14ac:dyDescent="0.25">
      <c r="A6" s="714" t="s">
        <v>12</v>
      </c>
      <c r="B6" s="713" t="s">
        <v>13</v>
      </c>
      <c r="C6" s="920" t="s">
        <v>265</v>
      </c>
      <c r="D6" s="1037">
        <f t="shared" ref="D6:D69" si="8">L6+R6+X6+AD6</f>
        <v>3636605.84</v>
      </c>
      <c r="E6" s="1038">
        <f t="shared" ref="E6:E69" si="9">M6+S6+Y6+AE6</f>
        <v>822147.52999999991</v>
      </c>
      <c r="F6" s="1039">
        <f t="shared" ref="F6:F69" si="10">N6+T6+Z6+AF6</f>
        <v>4148838.4299999997</v>
      </c>
      <c r="G6" s="1394">
        <f t="shared" ref="G6:G69" si="11">O6+U6+AA6+AG6</f>
        <v>873348.77</v>
      </c>
      <c r="H6" s="1396">
        <f t="shared" ref="H6:H69" si="12">P6+V6+AB6+AH6</f>
        <v>0</v>
      </c>
      <c r="I6" s="1396">
        <f t="shared" ref="I6:I69" si="13">Q6+W6+AC6+AI6</f>
        <v>9480940.5700000003</v>
      </c>
      <c r="J6" s="1397">
        <f t="shared" si="5"/>
        <v>873348.77</v>
      </c>
      <c r="K6" s="1392">
        <f t="shared" si="6"/>
        <v>5022187.1999999993</v>
      </c>
      <c r="L6" s="1040">
        <v>404492.16</v>
      </c>
      <c r="M6" s="1040">
        <v>0</v>
      </c>
      <c r="N6" s="1040">
        <v>139524.6</v>
      </c>
      <c r="O6" s="1040">
        <v>-3216.58</v>
      </c>
      <c r="P6" s="1040">
        <v>0</v>
      </c>
      <c r="Q6" s="1040">
        <f t="shared" si="7"/>
        <v>540800.18000000005</v>
      </c>
      <c r="R6" s="1041">
        <v>362.68</v>
      </c>
      <c r="S6" s="1041">
        <v>124.94</v>
      </c>
      <c r="T6" s="1041">
        <v>0</v>
      </c>
      <c r="U6" s="1041">
        <v>-0.01</v>
      </c>
      <c r="V6" s="1387">
        <v>0</v>
      </c>
      <c r="W6" s="1042">
        <f t="shared" ref="W6:W69" si="14">SUM(R6:V6)</f>
        <v>487.61</v>
      </c>
      <c r="X6" s="1042">
        <v>1512426.08</v>
      </c>
      <c r="Y6" s="1041">
        <v>822022.59</v>
      </c>
      <c r="Z6" s="1041">
        <v>428211.32</v>
      </c>
      <c r="AA6" s="1041">
        <v>84263.87</v>
      </c>
      <c r="AB6" s="1387">
        <v>0</v>
      </c>
      <c r="AC6" s="1042">
        <f t="shared" ref="AC6:AC69" si="15">SUM(X6:AB6)</f>
        <v>2846923.86</v>
      </c>
      <c r="AD6" s="1042">
        <v>1719324.92</v>
      </c>
      <c r="AE6" s="1041">
        <v>0</v>
      </c>
      <c r="AF6" s="1041">
        <v>3581102.51</v>
      </c>
      <c r="AG6" s="1041">
        <v>792301.49</v>
      </c>
      <c r="AH6" s="1387">
        <v>0</v>
      </c>
      <c r="AI6" s="1042">
        <f t="shared" ref="AI6:AI69" si="16">SUM(AD6:AH6)</f>
        <v>6092728.9199999999</v>
      </c>
    </row>
    <row r="7" spans="1:83" ht="15" customHeight="1" x14ac:dyDescent="0.25">
      <c r="A7" s="714" t="s">
        <v>16</v>
      </c>
      <c r="B7" s="713" t="s">
        <v>297</v>
      </c>
      <c r="C7" s="920" t="s">
        <v>265</v>
      </c>
      <c r="D7" s="1037">
        <f t="shared" si="8"/>
        <v>960176.35</v>
      </c>
      <c r="E7" s="1038">
        <f t="shared" si="9"/>
        <v>484591.9</v>
      </c>
      <c r="F7" s="1039">
        <f t="shared" si="10"/>
        <v>367525.98</v>
      </c>
      <c r="G7" s="1394">
        <f t="shared" si="11"/>
        <v>301.94</v>
      </c>
      <c r="H7" s="1396">
        <f t="shared" si="12"/>
        <v>0</v>
      </c>
      <c r="I7" s="1396">
        <f t="shared" si="13"/>
        <v>1812596.17</v>
      </c>
      <c r="J7" s="1397">
        <f t="shared" si="5"/>
        <v>301.94</v>
      </c>
      <c r="K7" s="1392">
        <f t="shared" si="6"/>
        <v>367827.92</v>
      </c>
      <c r="L7" s="1040"/>
      <c r="M7" s="1040"/>
      <c r="N7" s="1040"/>
      <c r="O7" s="1040"/>
      <c r="P7" s="1040"/>
      <c r="Q7" s="1040">
        <f t="shared" si="7"/>
        <v>0</v>
      </c>
      <c r="R7" s="1041">
        <v>468.39</v>
      </c>
      <c r="S7" s="1041">
        <v>161.62</v>
      </c>
      <c r="T7" s="1041">
        <v>0</v>
      </c>
      <c r="U7" s="1041">
        <v>-0.01</v>
      </c>
      <c r="V7" s="1387">
        <v>0</v>
      </c>
      <c r="W7" s="1042">
        <f t="shared" si="14"/>
        <v>630</v>
      </c>
      <c r="X7" s="1042">
        <v>903640.37</v>
      </c>
      <c r="Y7" s="1041">
        <v>484430.28</v>
      </c>
      <c r="Z7" s="1041">
        <v>254614.54</v>
      </c>
      <c r="AA7" s="1041">
        <v>268.81</v>
      </c>
      <c r="AB7" s="1387">
        <v>0</v>
      </c>
      <c r="AC7" s="1042">
        <f t="shared" si="15"/>
        <v>1642954</v>
      </c>
      <c r="AD7" s="1042">
        <v>56067.59</v>
      </c>
      <c r="AE7" s="1041">
        <v>0</v>
      </c>
      <c r="AF7" s="1041">
        <v>112911.44</v>
      </c>
      <c r="AG7" s="1041">
        <v>33.14</v>
      </c>
      <c r="AH7" s="1387">
        <v>0</v>
      </c>
      <c r="AI7" s="1042">
        <f t="shared" si="16"/>
        <v>169012.17</v>
      </c>
    </row>
    <row r="8" spans="1:83" ht="15" customHeight="1" x14ac:dyDescent="0.25">
      <c r="A8" s="714" t="s">
        <v>18</v>
      </c>
      <c r="B8" s="713" t="s">
        <v>19</v>
      </c>
      <c r="C8" s="920" t="s">
        <v>266</v>
      </c>
      <c r="D8" s="1037">
        <f t="shared" si="8"/>
        <v>507977.92</v>
      </c>
      <c r="E8" s="1038">
        <f t="shared" si="9"/>
        <v>231212.81</v>
      </c>
      <c r="F8" s="1039">
        <f t="shared" si="10"/>
        <v>276510.37</v>
      </c>
      <c r="G8" s="1394">
        <f t="shared" si="11"/>
        <v>2556.2999999999997</v>
      </c>
      <c r="H8" s="1396">
        <f t="shared" si="12"/>
        <v>0</v>
      </c>
      <c r="I8" s="1396">
        <f t="shared" si="13"/>
        <v>1018257.4</v>
      </c>
      <c r="J8" s="1397">
        <f t="shared" si="5"/>
        <v>2556.2999999999997</v>
      </c>
      <c r="K8" s="1392">
        <f t="shared" si="6"/>
        <v>279066.67</v>
      </c>
      <c r="L8" s="1040"/>
      <c r="M8" s="1040"/>
      <c r="N8" s="1040"/>
      <c r="O8" s="1040"/>
      <c r="P8" s="1040"/>
      <c r="Q8" s="1040">
        <f t="shared" si="7"/>
        <v>0</v>
      </c>
      <c r="R8" s="1041">
        <v>1191.42</v>
      </c>
      <c r="S8" s="1041">
        <v>410.83</v>
      </c>
      <c r="T8" s="1041">
        <v>0</v>
      </c>
      <c r="U8" s="1041">
        <v>-0.01</v>
      </c>
      <c r="V8" s="1387">
        <v>0</v>
      </c>
      <c r="W8" s="1042">
        <f t="shared" si="14"/>
        <v>1602.24</v>
      </c>
      <c r="X8" s="1042">
        <v>429637.06</v>
      </c>
      <c r="Y8" s="1041">
        <v>230801.98</v>
      </c>
      <c r="Z8" s="1041">
        <v>121143.75</v>
      </c>
      <c r="AA8" s="1041">
        <v>2214.4699999999998</v>
      </c>
      <c r="AB8" s="1387">
        <v>0</v>
      </c>
      <c r="AC8" s="1042">
        <f t="shared" si="15"/>
        <v>783797.26</v>
      </c>
      <c r="AD8" s="1042">
        <v>77149.440000000002</v>
      </c>
      <c r="AE8" s="1041">
        <v>0</v>
      </c>
      <c r="AF8" s="1041">
        <v>155366.62</v>
      </c>
      <c r="AG8" s="1041">
        <v>341.84</v>
      </c>
      <c r="AH8" s="1387">
        <v>0</v>
      </c>
      <c r="AI8" s="1042">
        <f t="shared" si="16"/>
        <v>232857.9</v>
      </c>
    </row>
    <row r="9" spans="1:83" ht="15" customHeight="1" x14ac:dyDescent="0.25">
      <c r="A9" s="714" t="s">
        <v>20</v>
      </c>
      <c r="B9" s="713" t="s">
        <v>21</v>
      </c>
      <c r="C9" s="920" t="s">
        <v>265</v>
      </c>
      <c r="D9" s="1037">
        <f t="shared" si="8"/>
        <v>869715.4</v>
      </c>
      <c r="E9" s="1038">
        <f t="shared" si="9"/>
        <v>429616.89</v>
      </c>
      <c r="F9" s="1039">
        <f t="shared" si="10"/>
        <v>366204.83999999997</v>
      </c>
      <c r="G9" s="1394">
        <f t="shared" si="11"/>
        <v>53668.46</v>
      </c>
      <c r="H9" s="1396">
        <f t="shared" si="12"/>
        <v>0</v>
      </c>
      <c r="I9" s="1396">
        <f t="shared" si="13"/>
        <v>1719205.59</v>
      </c>
      <c r="J9" s="1397">
        <f t="shared" si="5"/>
        <v>53668.46</v>
      </c>
      <c r="K9" s="1392">
        <f t="shared" si="6"/>
        <v>419873.3</v>
      </c>
      <c r="L9" s="1040"/>
      <c r="M9" s="1040"/>
      <c r="N9" s="1040"/>
      <c r="O9" s="1040"/>
      <c r="P9" s="1040"/>
      <c r="Q9" s="1040">
        <f t="shared" si="7"/>
        <v>0</v>
      </c>
      <c r="R9" s="1041"/>
      <c r="S9" s="1041"/>
      <c r="T9" s="1041"/>
      <c r="U9" s="1041"/>
      <c r="V9" s="1387"/>
      <c r="W9" s="1042">
        <f t="shared" si="14"/>
        <v>0</v>
      </c>
      <c r="X9" s="1042">
        <v>801003.38</v>
      </c>
      <c r="Y9" s="1041">
        <v>429616.89</v>
      </c>
      <c r="Z9" s="1041">
        <v>225731.44</v>
      </c>
      <c r="AA9" s="1041">
        <v>53669.84</v>
      </c>
      <c r="AB9" s="1387">
        <v>0</v>
      </c>
      <c r="AC9" s="1042">
        <f t="shared" si="15"/>
        <v>1510021.55</v>
      </c>
      <c r="AD9" s="1042">
        <v>68712.02</v>
      </c>
      <c r="AE9" s="1041">
        <v>0</v>
      </c>
      <c r="AF9" s="1041">
        <v>140473.4</v>
      </c>
      <c r="AG9" s="1041">
        <v>-1.38</v>
      </c>
      <c r="AH9" s="1387">
        <v>0</v>
      </c>
      <c r="AI9" s="1042">
        <f t="shared" si="16"/>
        <v>209184.03999999998</v>
      </c>
    </row>
    <row r="10" spans="1:83" ht="15" customHeight="1" x14ac:dyDescent="0.25">
      <c r="A10" s="714" t="s">
        <v>22</v>
      </c>
      <c r="B10" s="713" t="s">
        <v>23</v>
      </c>
      <c r="C10" s="920" t="s">
        <v>265</v>
      </c>
      <c r="D10" s="1037">
        <f t="shared" si="8"/>
        <v>591260.15999999992</v>
      </c>
      <c r="E10" s="1038">
        <f t="shared" si="9"/>
        <v>296723.15999999997</v>
      </c>
      <c r="F10" s="1039">
        <f t="shared" si="10"/>
        <v>231749.34</v>
      </c>
      <c r="G10" s="1394">
        <f t="shared" si="11"/>
        <v>9023.2000000000007</v>
      </c>
      <c r="H10" s="1396">
        <f t="shared" si="12"/>
        <v>0</v>
      </c>
      <c r="I10" s="1396">
        <f t="shared" si="13"/>
        <v>1128755.8600000001</v>
      </c>
      <c r="J10" s="1397">
        <f t="shared" si="5"/>
        <v>9023.2000000000007</v>
      </c>
      <c r="K10" s="1392">
        <f t="shared" si="6"/>
        <v>240772.54</v>
      </c>
      <c r="L10" s="1040"/>
      <c r="M10" s="1040"/>
      <c r="N10" s="1040"/>
      <c r="O10" s="1040"/>
      <c r="P10" s="1040"/>
      <c r="Q10" s="1040">
        <f t="shared" si="7"/>
        <v>0</v>
      </c>
      <c r="R10" s="1041"/>
      <c r="S10" s="1041"/>
      <c r="T10" s="1041"/>
      <c r="U10" s="1041"/>
      <c r="V10" s="1387"/>
      <c r="W10" s="1042">
        <f t="shared" si="14"/>
        <v>0</v>
      </c>
      <c r="X10" s="1042">
        <v>553635.85</v>
      </c>
      <c r="Y10" s="1041">
        <v>296723.15999999997</v>
      </c>
      <c r="Z10" s="1041">
        <v>155980.26999999999</v>
      </c>
      <c r="AA10" s="1041">
        <v>6891.49</v>
      </c>
      <c r="AB10" s="1387">
        <v>0</v>
      </c>
      <c r="AC10" s="1042">
        <f t="shared" si="15"/>
        <v>1013230.77</v>
      </c>
      <c r="AD10" s="1042">
        <v>37624.31</v>
      </c>
      <c r="AE10" s="1041">
        <v>0</v>
      </c>
      <c r="AF10" s="1041">
        <v>75769.070000000007</v>
      </c>
      <c r="AG10" s="1041">
        <v>2131.71</v>
      </c>
      <c r="AH10" s="1387">
        <v>0</v>
      </c>
      <c r="AI10" s="1042">
        <f t="shared" si="16"/>
        <v>115525.09000000001</v>
      </c>
    </row>
    <row r="11" spans="1:83" ht="15" customHeight="1" x14ac:dyDescent="0.25">
      <c r="A11" s="714" t="s">
        <v>24</v>
      </c>
      <c r="B11" s="713" t="s">
        <v>25</v>
      </c>
      <c r="C11" s="920" t="s">
        <v>267</v>
      </c>
      <c r="D11" s="1037">
        <f t="shared" si="8"/>
        <v>6745585.2199999997</v>
      </c>
      <c r="E11" s="1038">
        <f t="shared" si="9"/>
        <v>2231300.2000000002</v>
      </c>
      <c r="F11" s="1039">
        <f t="shared" si="10"/>
        <v>6371461.7199999997</v>
      </c>
      <c r="G11" s="1394">
        <f t="shared" si="11"/>
        <v>1031085.85</v>
      </c>
      <c r="H11" s="1396">
        <f t="shared" si="12"/>
        <v>0</v>
      </c>
      <c r="I11" s="1396">
        <f t="shared" si="13"/>
        <v>16379432.99</v>
      </c>
      <c r="J11" s="1397">
        <f t="shared" si="5"/>
        <v>1031085.85</v>
      </c>
      <c r="K11" s="1392">
        <f t="shared" si="6"/>
        <v>7402547.5699999994</v>
      </c>
      <c r="L11" s="1040">
        <v>136741.54999999999</v>
      </c>
      <c r="M11" s="1040">
        <v>0</v>
      </c>
      <c r="N11" s="1040">
        <v>47134.06</v>
      </c>
      <c r="O11" s="1040">
        <v>-0.12</v>
      </c>
      <c r="P11" s="1040">
        <v>0</v>
      </c>
      <c r="Q11" s="1040">
        <f t="shared" si="7"/>
        <v>183875.49</v>
      </c>
      <c r="R11" s="1041"/>
      <c r="S11" s="1041"/>
      <c r="T11" s="1041"/>
      <c r="U11" s="1041"/>
      <c r="V11" s="1387"/>
      <c r="W11" s="1042">
        <f t="shared" si="14"/>
        <v>0</v>
      </c>
      <c r="X11" s="1042">
        <v>4124486.8</v>
      </c>
      <c r="Y11" s="1041">
        <v>2231300.2000000002</v>
      </c>
      <c r="Z11" s="1041">
        <v>1165853.1100000001</v>
      </c>
      <c r="AA11" s="1041">
        <v>-7.11</v>
      </c>
      <c r="AB11" s="1387">
        <v>0</v>
      </c>
      <c r="AC11" s="1042">
        <f t="shared" si="15"/>
        <v>7521633</v>
      </c>
      <c r="AD11" s="1042">
        <v>2484356.87</v>
      </c>
      <c r="AE11" s="1041">
        <v>0</v>
      </c>
      <c r="AF11" s="1041">
        <v>5158474.55</v>
      </c>
      <c r="AG11" s="1041">
        <v>1031093.08</v>
      </c>
      <c r="AH11" s="1387">
        <v>0</v>
      </c>
      <c r="AI11" s="1042">
        <f t="shared" si="16"/>
        <v>8673924.5</v>
      </c>
    </row>
    <row r="12" spans="1:83" ht="15" customHeight="1" x14ac:dyDescent="0.25">
      <c r="A12" s="714" t="s">
        <v>26</v>
      </c>
      <c r="B12" s="713" t="s">
        <v>686</v>
      </c>
      <c r="C12" s="920" t="s">
        <v>265</v>
      </c>
      <c r="D12" s="1037">
        <f t="shared" si="8"/>
        <v>3900149.0500000003</v>
      </c>
      <c r="E12" s="1038">
        <f t="shared" si="9"/>
        <v>1676942.96</v>
      </c>
      <c r="F12" s="1039">
        <f t="shared" si="10"/>
        <v>2379891.6</v>
      </c>
      <c r="G12" s="1394">
        <f t="shared" si="11"/>
        <v>718.82</v>
      </c>
      <c r="H12" s="1396">
        <f t="shared" si="12"/>
        <v>0</v>
      </c>
      <c r="I12" s="1396">
        <f t="shared" si="13"/>
        <v>7957702.4299999997</v>
      </c>
      <c r="J12" s="1397">
        <f t="shared" si="5"/>
        <v>718.82</v>
      </c>
      <c r="K12" s="1392">
        <f t="shared" si="6"/>
        <v>2380610.42</v>
      </c>
      <c r="L12" s="1040">
        <v>42845.91</v>
      </c>
      <c r="M12" s="1040">
        <v>0</v>
      </c>
      <c r="N12" s="1040">
        <v>14785.98</v>
      </c>
      <c r="O12" s="1040">
        <v>-0.12</v>
      </c>
      <c r="P12" s="1040">
        <v>0</v>
      </c>
      <c r="Q12" s="1040">
        <f t="shared" si="7"/>
        <v>57631.77</v>
      </c>
      <c r="R12" s="1041"/>
      <c r="S12" s="1041"/>
      <c r="T12" s="1041"/>
      <c r="U12" s="1041"/>
      <c r="V12" s="1387"/>
      <c r="W12" s="1042">
        <f t="shared" si="14"/>
        <v>0</v>
      </c>
      <c r="X12" s="1042">
        <v>3124676.06</v>
      </c>
      <c r="Y12" s="1041">
        <v>1676942.96</v>
      </c>
      <c r="Z12" s="1041">
        <v>880766.28</v>
      </c>
      <c r="AA12" s="1041">
        <v>540.11</v>
      </c>
      <c r="AB12" s="1387">
        <v>0</v>
      </c>
      <c r="AC12" s="1042">
        <f t="shared" si="15"/>
        <v>5682925.4100000001</v>
      </c>
      <c r="AD12" s="1042">
        <v>732627.08</v>
      </c>
      <c r="AE12" s="1041">
        <v>0</v>
      </c>
      <c r="AF12" s="1041">
        <v>1484339.34</v>
      </c>
      <c r="AG12" s="1041">
        <v>178.83</v>
      </c>
      <c r="AH12" s="1387">
        <v>0</v>
      </c>
      <c r="AI12" s="1042">
        <f t="shared" si="16"/>
        <v>2217145.25</v>
      </c>
    </row>
    <row r="13" spans="1:83" ht="15" customHeight="1" x14ac:dyDescent="0.25">
      <c r="A13" s="714" t="s">
        <v>27</v>
      </c>
      <c r="B13" s="713" t="s">
        <v>28</v>
      </c>
      <c r="C13" s="920" t="s">
        <v>265</v>
      </c>
      <c r="D13" s="1037">
        <f t="shared" si="8"/>
        <v>224722.87</v>
      </c>
      <c r="E13" s="1038">
        <f t="shared" si="9"/>
        <v>105168.29</v>
      </c>
      <c r="F13" s="1039">
        <f t="shared" si="10"/>
        <v>112943.87</v>
      </c>
      <c r="G13" s="1394">
        <f t="shared" si="11"/>
        <v>5217.5200000000004</v>
      </c>
      <c r="H13" s="1396">
        <f t="shared" si="12"/>
        <v>0</v>
      </c>
      <c r="I13" s="1396">
        <f t="shared" si="13"/>
        <v>448052.54999999993</v>
      </c>
      <c r="J13" s="1397">
        <f t="shared" si="5"/>
        <v>5217.5200000000004</v>
      </c>
      <c r="K13" s="1392">
        <f t="shared" si="6"/>
        <v>118161.39</v>
      </c>
      <c r="L13" s="1040"/>
      <c r="M13" s="1040"/>
      <c r="N13" s="1040"/>
      <c r="O13" s="1040"/>
      <c r="P13" s="1040"/>
      <c r="Q13" s="1040">
        <f t="shared" si="7"/>
        <v>0</v>
      </c>
      <c r="R13" s="1041"/>
      <c r="S13" s="1041"/>
      <c r="T13" s="1041"/>
      <c r="U13" s="1041"/>
      <c r="V13" s="1387"/>
      <c r="W13" s="1042">
        <f t="shared" si="14"/>
        <v>0</v>
      </c>
      <c r="X13" s="1042">
        <v>196077.31</v>
      </c>
      <c r="Y13" s="1041">
        <v>105168.29</v>
      </c>
      <c r="Z13" s="1041">
        <v>55256.87</v>
      </c>
      <c r="AA13" s="1041">
        <v>5219.67</v>
      </c>
      <c r="AB13" s="1387">
        <v>0</v>
      </c>
      <c r="AC13" s="1042">
        <f t="shared" si="15"/>
        <v>361722.13999999996</v>
      </c>
      <c r="AD13" s="1042">
        <v>28645.56</v>
      </c>
      <c r="AE13" s="1041">
        <v>0</v>
      </c>
      <c r="AF13" s="1041">
        <v>57687</v>
      </c>
      <c r="AG13" s="1041">
        <v>-2.15</v>
      </c>
      <c r="AH13" s="1387">
        <v>0</v>
      </c>
      <c r="AI13" s="1042">
        <f t="shared" si="16"/>
        <v>86330.41</v>
      </c>
    </row>
    <row r="14" spans="1:83" ht="15" customHeight="1" x14ac:dyDescent="0.25">
      <c r="A14" s="714" t="s">
        <v>29</v>
      </c>
      <c r="B14" s="713" t="s">
        <v>941</v>
      </c>
      <c r="C14" s="920" t="s">
        <v>265</v>
      </c>
      <c r="D14" s="1037">
        <f t="shared" si="8"/>
        <v>1998375.7</v>
      </c>
      <c r="E14" s="1038">
        <f t="shared" si="9"/>
        <v>627838.59</v>
      </c>
      <c r="F14" s="1039">
        <f t="shared" si="10"/>
        <v>2073347.94</v>
      </c>
      <c r="G14" s="1394">
        <f t="shared" si="11"/>
        <v>29812.299999999996</v>
      </c>
      <c r="H14" s="1396">
        <f t="shared" si="12"/>
        <v>0</v>
      </c>
      <c r="I14" s="1396">
        <f t="shared" si="13"/>
        <v>4729374.5299999993</v>
      </c>
      <c r="J14" s="1397">
        <f t="shared" si="5"/>
        <v>29812.299999999996</v>
      </c>
      <c r="K14" s="1392">
        <f t="shared" si="6"/>
        <v>2103160.2399999998</v>
      </c>
      <c r="L14" s="1040"/>
      <c r="M14" s="1040"/>
      <c r="N14" s="1040"/>
      <c r="O14" s="1040"/>
      <c r="P14" s="1040"/>
      <c r="Q14" s="1040">
        <f t="shared" si="7"/>
        <v>0</v>
      </c>
      <c r="R14" s="1041"/>
      <c r="S14" s="1041"/>
      <c r="T14" s="1041"/>
      <c r="U14" s="1041"/>
      <c r="V14" s="1387"/>
      <c r="W14" s="1042">
        <f t="shared" si="14"/>
        <v>0</v>
      </c>
      <c r="X14" s="1042">
        <v>1157777.51</v>
      </c>
      <c r="Y14" s="1041">
        <v>627838.59</v>
      </c>
      <c r="Z14" s="1041">
        <v>327536.95</v>
      </c>
      <c r="AA14" s="1041">
        <v>10184.129999999999</v>
      </c>
      <c r="AB14" s="1387">
        <v>0</v>
      </c>
      <c r="AC14" s="1042">
        <f t="shared" si="15"/>
        <v>2123337.1800000002</v>
      </c>
      <c r="AD14" s="1042">
        <v>840598.19</v>
      </c>
      <c r="AE14" s="1041">
        <v>0</v>
      </c>
      <c r="AF14" s="1041">
        <v>1745810.99</v>
      </c>
      <c r="AG14" s="1041">
        <v>19628.169999999998</v>
      </c>
      <c r="AH14" s="1387">
        <v>0</v>
      </c>
      <c r="AI14" s="1042">
        <f t="shared" si="16"/>
        <v>2606037.3499999996</v>
      </c>
    </row>
    <row r="15" spans="1:83" ht="15" customHeight="1" x14ac:dyDescent="0.25">
      <c r="A15" s="714" t="s">
        <v>30</v>
      </c>
      <c r="B15" s="713" t="s">
        <v>31</v>
      </c>
      <c r="C15" s="920" t="s">
        <v>268</v>
      </c>
      <c r="D15" s="1037">
        <f t="shared" si="8"/>
        <v>319926.12</v>
      </c>
      <c r="E15" s="1038">
        <f t="shared" si="9"/>
        <v>150022.71</v>
      </c>
      <c r="F15" s="1039">
        <f t="shared" si="10"/>
        <v>159541.44</v>
      </c>
      <c r="G15" s="1394">
        <f t="shared" si="11"/>
        <v>2443.75</v>
      </c>
      <c r="H15" s="1396">
        <f t="shared" si="12"/>
        <v>0</v>
      </c>
      <c r="I15" s="1396">
        <f t="shared" si="13"/>
        <v>631934.0199999999</v>
      </c>
      <c r="J15" s="1397">
        <f t="shared" si="5"/>
        <v>2443.75</v>
      </c>
      <c r="K15" s="1392">
        <f t="shared" si="6"/>
        <v>161985.19</v>
      </c>
      <c r="L15" s="1040"/>
      <c r="M15" s="1040"/>
      <c r="N15" s="1040"/>
      <c r="O15" s="1040"/>
      <c r="P15" s="1040"/>
      <c r="Q15" s="1040">
        <f t="shared" si="7"/>
        <v>0</v>
      </c>
      <c r="R15" s="1041"/>
      <c r="S15" s="1041"/>
      <c r="T15" s="1041"/>
      <c r="U15" s="1041"/>
      <c r="V15" s="1387"/>
      <c r="W15" s="1042">
        <f t="shared" si="14"/>
        <v>0</v>
      </c>
      <c r="X15" s="1042">
        <v>279854.15000000002</v>
      </c>
      <c r="Y15" s="1041">
        <v>150022.71</v>
      </c>
      <c r="Z15" s="1041">
        <v>78850.22</v>
      </c>
      <c r="AA15" s="1041">
        <v>1748.66</v>
      </c>
      <c r="AB15" s="1387">
        <v>0</v>
      </c>
      <c r="AC15" s="1042">
        <f t="shared" si="15"/>
        <v>510475.73999999993</v>
      </c>
      <c r="AD15" s="1042">
        <v>40071.97</v>
      </c>
      <c r="AE15" s="1041">
        <v>0</v>
      </c>
      <c r="AF15" s="1041">
        <v>80691.22</v>
      </c>
      <c r="AG15" s="1041">
        <v>695.09</v>
      </c>
      <c r="AH15" s="1387">
        <v>0</v>
      </c>
      <c r="AI15" s="1042">
        <f t="shared" si="16"/>
        <v>121458.28</v>
      </c>
    </row>
    <row r="16" spans="1:83" ht="15" customHeight="1" x14ac:dyDescent="0.25">
      <c r="A16" s="714" t="s">
        <v>32</v>
      </c>
      <c r="B16" s="713" t="s">
        <v>33</v>
      </c>
      <c r="C16" s="920" t="s">
        <v>265</v>
      </c>
      <c r="D16" s="1037">
        <f t="shared" si="8"/>
        <v>532262.46</v>
      </c>
      <c r="E16" s="1038">
        <f t="shared" si="9"/>
        <v>254407.95</v>
      </c>
      <c r="F16" s="1039">
        <f t="shared" si="10"/>
        <v>250639.58000000002</v>
      </c>
      <c r="G16" s="1394">
        <f t="shared" si="11"/>
        <v>6163.35</v>
      </c>
      <c r="H16" s="1396">
        <f t="shared" si="12"/>
        <v>-21688.97</v>
      </c>
      <c r="I16" s="1396">
        <f t="shared" si="13"/>
        <v>1021784.37</v>
      </c>
      <c r="J16" s="1397">
        <f t="shared" si="5"/>
        <v>-15525.62</v>
      </c>
      <c r="K16" s="1392">
        <f t="shared" si="6"/>
        <v>235113.96000000002</v>
      </c>
      <c r="L16" s="1040"/>
      <c r="M16" s="1040"/>
      <c r="N16" s="1040"/>
      <c r="O16" s="1040"/>
      <c r="P16" s="1040"/>
      <c r="Q16" s="1040">
        <f t="shared" si="7"/>
        <v>0</v>
      </c>
      <c r="R16" s="1041"/>
      <c r="S16" s="1041"/>
      <c r="T16" s="1041"/>
      <c r="U16" s="1041"/>
      <c r="V16" s="1387"/>
      <c r="W16" s="1042">
        <f t="shared" si="14"/>
        <v>0</v>
      </c>
      <c r="X16" s="1042">
        <v>474579.33</v>
      </c>
      <c r="Y16" s="1041">
        <v>254407.95</v>
      </c>
      <c r="Z16" s="1041">
        <v>133716.44</v>
      </c>
      <c r="AA16" s="1041">
        <v>5166.01</v>
      </c>
      <c r="AB16" s="1387">
        <v>-21688.97</v>
      </c>
      <c r="AC16" s="1042">
        <f t="shared" si="15"/>
        <v>846180.76</v>
      </c>
      <c r="AD16" s="1042">
        <v>57683.13</v>
      </c>
      <c r="AE16" s="1041">
        <v>0</v>
      </c>
      <c r="AF16" s="1041">
        <v>116923.14</v>
      </c>
      <c r="AG16" s="1041">
        <v>997.34</v>
      </c>
      <c r="AH16" s="1387">
        <v>0</v>
      </c>
      <c r="AI16" s="1042">
        <f t="shared" si="16"/>
        <v>175603.61</v>
      </c>
    </row>
    <row r="17" spans="1:35" ht="15" customHeight="1" x14ac:dyDescent="0.25">
      <c r="A17" s="714" t="s">
        <v>36</v>
      </c>
      <c r="B17" s="713" t="s">
        <v>37</v>
      </c>
      <c r="C17" s="920" t="s">
        <v>264</v>
      </c>
      <c r="D17" s="1037">
        <f t="shared" si="8"/>
        <v>816630.19</v>
      </c>
      <c r="E17" s="1038">
        <f t="shared" si="9"/>
        <v>431700.53</v>
      </c>
      <c r="F17" s="1039">
        <f t="shared" si="10"/>
        <v>249286.75</v>
      </c>
      <c r="G17" s="1394">
        <f t="shared" si="11"/>
        <v>5734.53</v>
      </c>
      <c r="H17" s="1396">
        <f t="shared" si="12"/>
        <v>0</v>
      </c>
      <c r="I17" s="1396">
        <f t="shared" si="13"/>
        <v>1503351.9999999998</v>
      </c>
      <c r="J17" s="1397">
        <f t="shared" si="5"/>
        <v>5734.53</v>
      </c>
      <c r="K17" s="1392">
        <f t="shared" si="6"/>
        <v>255021.28</v>
      </c>
      <c r="L17" s="1040"/>
      <c r="M17" s="1040"/>
      <c r="N17" s="1040"/>
      <c r="O17" s="1040"/>
      <c r="P17" s="1040"/>
      <c r="Q17" s="1040">
        <f t="shared" si="7"/>
        <v>0</v>
      </c>
      <c r="R17" s="1041"/>
      <c r="S17" s="1041"/>
      <c r="T17" s="1041"/>
      <c r="U17" s="1041"/>
      <c r="V17" s="1387"/>
      <c r="W17" s="1042">
        <f t="shared" si="14"/>
        <v>0</v>
      </c>
      <c r="X17" s="1042">
        <v>805536.37</v>
      </c>
      <c r="Y17" s="1041">
        <v>431700.53</v>
      </c>
      <c r="Z17" s="1041">
        <v>226945.47</v>
      </c>
      <c r="AA17" s="1041">
        <v>5734.63</v>
      </c>
      <c r="AB17" s="1387">
        <v>0</v>
      </c>
      <c r="AC17" s="1042">
        <f t="shared" si="15"/>
        <v>1469916.9999999998</v>
      </c>
      <c r="AD17" s="1042">
        <v>11093.82</v>
      </c>
      <c r="AE17" s="1041">
        <v>0</v>
      </c>
      <c r="AF17" s="1041">
        <v>22341.279999999999</v>
      </c>
      <c r="AG17" s="1041">
        <v>-0.1</v>
      </c>
      <c r="AH17" s="1387">
        <v>0</v>
      </c>
      <c r="AI17" s="1042">
        <f t="shared" si="16"/>
        <v>33435</v>
      </c>
    </row>
    <row r="18" spans="1:35" ht="15" customHeight="1" x14ac:dyDescent="0.25">
      <c r="A18" s="714" t="s">
        <v>38</v>
      </c>
      <c r="B18" s="713" t="s">
        <v>39</v>
      </c>
      <c r="C18" s="920" t="s">
        <v>268</v>
      </c>
      <c r="D18" s="1037">
        <f t="shared" si="8"/>
        <v>1892838.07</v>
      </c>
      <c r="E18" s="1038">
        <f t="shared" si="9"/>
        <v>885887.22</v>
      </c>
      <c r="F18" s="1039">
        <f t="shared" si="10"/>
        <v>968646.38</v>
      </c>
      <c r="G18" s="1394">
        <f t="shared" si="11"/>
        <v>39520.200000000004</v>
      </c>
      <c r="H18" s="1396">
        <f t="shared" si="12"/>
        <v>0</v>
      </c>
      <c r="I18" s="1396">
        <f t="shared" si="13"/>
        <v>3786891.87</v>
      </c>
      <c r="J18" s="1397">
        <f t="shared" si="5"/>
        <v>39520.200000000004</v>
      </c>
      <c r="K18" s="1392">
        <f t="shared" si="6"/>
        <v>1008166.58</v>
      </c>
      <c r="L18" s="1040"/>
      <c r="M18" s="1040"/>
      <c r="N18" s="1040"/>
      <c r="O18" s="1040"/>
      <c r="P18" s="1040"/>
      <c r="Q18" s="1040">
        <f t="shared" si="7"/>
        <v>0</v>
      </c>
      <c r="R18" s="1041"/>
      <c r="S18" s="1041"/>
      <c r="T18" s="1041"/>
      <c r="U18" s="1041"/>
      <c r="V18" s="1387"/>
      <c r="W18" s="1042">
        <f t="shared" si="14"/>
        <v>0</v>
      </c>
      <c r="X18" s="1042">
        <v>1647616.56</v>
      </c>
      <c r="Y18" s="1041">
        <v>885887.22</v>
      </c>
      <c r="Z18" s="1041">
        <v>464721.03</v>
      </c>
      <c r="AA18" s="1041">
        <v>39522.26</v>
      </c>
      <c r="AB18" s="1387">
        <v>0</v>
      </c>
      <c r="AC18" s="1042">
        <f t="shared" si="15"/>
        <v>3037747.0700000003</v>
      </c>
      <c r="AD18" s="1042">
        <v>245221.51</v>
      </c>
      <c r="AE18" s="1041">
        <v>0</v>
      </c>
      <c r="AF18" s="1041">
        <v>503925.35</v>
      </c>
      <c r="AG18" s="1041">
        <v>-2.06</v>
      </c>
      <c r="AH18" s="1387">
        <v>0</v>
      </c>
      <c r="AI18" s="1042">
        <f t="shared" si="16"/>
        <v>749144.79999999993</v>
      </c>
    </row>
    <row r="19" spans="1:35" ht="15" customHeight="1" x14ac:dyDescent="0.25">
      <c r="A19" s="714" t="s">
        <v>40</v>
      </c>
      <c r="B19" s="713" t="s">
        <v>41</v>
      </c>
      <c r="C19" s="920" t="s">
        <v>266</v>
      </c>
      <c r="D19" s="1037">
        <f t="shared" si="8"/>
        <v>631408.04999999993</v>
      </c>
      <c r="E19" s="1038">
        <f t="shared" si="9"/>
        <v>306615.69999999995</v>
      </c>
      <c r="F19" s="1039">
        <f t="shared" si="10"/>
        <v>281900.06</v>
      </c>
      <c r="G19" s="1394">
        <f t="shared" si="11"/>
        <v>29656.510000000002</v>
      </c>
      <c r="H19" s="1396">
        <f t="shared" si="12"/>
        <v>0</v>
      </c>
      <c r="I19" s="1396">
        <f t="shared" si="13"/>
        <v>1249580.3199999998</v>
      </c>
      <c r="J19" s="1397">
        <f t="shared" si="5"/>
        <v>29656.510000000002</v>
      </c>
      <c r="K19" s="1392">
        <f t="shared" si="6"/>
        <v>311556.57</v>
      </c>
      <c r="L19" s="1040"/>
      <c r="M19" s="1040"/>
      <c r="N19" s="1040"/>
      <c r="O19" s="1040"/>
      <c r="P19" s="1040"/>
      <c r="Q19" s="1040">
        <f t="shared" si="7"/>
        <v>0</v>
      </c>
      <c r="R19" s="1041">
        <v>188.24</v>
      </c>
      <c r="S19" s="1041">
        <v>64.790000000000006</v>
      </c>
      <c r="T19" s="1041">
        <v>0</v>
      </c>
      <c r="U19" s="1041">
        <v>-0.01</v>
      </c>
      <c r="V19" s="1387">
        <v>0</v>
      </c>
      <c r="W19" s="1042">
        <f t="shared" si="14"/>
        <v>253.02000000000004</v>
      </c>
      <c r="X19" s="1042">
        <v>571691.97</v>
      </c>
      <c r="Y19" s="1041">
        <v>306550.90999999997</v>
      </c>
      <c r="Z19" s="1041">
        <v>161095.35999999999</v>
      </c>
      <c r="AA19" s="1041">
        <v>27119.62</v>
      </c>
      <c r="AB19" s="1387">
        <v>0</v>
      </c>
      <c r="AC19" s="1042">
        <f t="shared" si="15"/>
        <v>1066457.8599999999</v>
      </c>
      <c r="AD19" s="1042">
        <v>59527.839999999997</v>
      </c>
      <c r="AE19" s="1041">
        <v>0</v>
      </c>
      <c r="AF19" s="1041">
        <v>120804.7</v>
      </c>
      <c r="AG19" s="1041">
        <v>2536.9</v>
      </c>
      <c r="AH19" s="1387">
        <v>0</v>
      </c>
      <c r="AI19" s="1042">
        <f t="shared" si="16"/>
        <v>182869.43999999997</v>
      </c>
    </row>
    <row r="20" spans="1:35" ht="15" customHeight="1" x14ac:dyDescent="0.25">
      <c r="A20" s="714" t="s">
        <v>42</v>
      </c>
      <c r="B20" s="713" t="s">
        <v>43</v>
      </c>
      <c r="C20" s="920" t="s">
        <v>265</v>
      </c>
      <c r="D20" s="1037">
        <f t="shared" si="8"/>
        <v>2006351.19</v>
      </c>
      <c r="E20" s="1038">
        <f t="shared" si="9"/>
        <v>970314.89</v>
      </c>
      <c r="F20" s="1039">
        <f t="shared" si="10"/>
        <v>919219.45</v>
      </c>
      <c r="G20" s="1394">
        <f t="shared" si="11"/>
        <v>123851.70000000001</v>
      </c>
      <c r="H20" s="1396">
        <f t="shared" si="12"/>
        <v>0</v>
      </c>
      <c r="I20" s="1396">
        <f t="shared" si="13"/>
        <v>4019737.2300000004</v>
      </c>
      <c r="J20" s="1397">
        <f t="shared" si="5"/>
        <v>123851.70000000001</v>
      </c>
      <c r="K20" s="1392">
        <f t="shared" si="6"/>
        <v>1043071.1499999999</v>
      </c>
      <c r="L20" s="1040"/>
      <c r="M20" s="1040"/>
      <c r="N20" s="1040"/>
      <c r="O20" s="1040"/>
      <c r="P20" s="1040"/>
      <c r="Q20" s="1040">
        <f t="shared" si="7"/>
        <v>0</v>
      </c>
      <c r="R20" s="1041"/>
      <c r="S20" s="1041"/>
      <c r="T20" s="1041"/>
      <c r="U20" s="1041"/>
      <c r="V20" s="1387"/>
      <c r="W20" s="1042">
        <f t="shared" si="14"/>
        <v>0</v>
      </c>
      <c r="X20" s="1042">
        <v>1809553.69</v>
      </c>
      <c r="Y20" s="1041">
        <v>970314.89</v>
      </c>
      <c r="Z20" s="1041">
        <v>509914.16</v>
      </c>
      <c r="AA20" s="1041">
        <v>123854.21</v>
      </c>
      <c r="AB20" s="1387">
        <v>0</v>
      </c>
      <c r="AC20" s="1042">
        <f t="shared" si="15"/>
        <v>3413636.95</v>
      </c>
      <c r="AD20" s="1042">
        <v>196797.5</v>
      </c>
      <c r="AE20" s="1041">
        <v>0</v>
      </c>
      <c r="AF20" s="1041">
        <v>409305.29</v>
      </c>
      <c r="AG20" s="1041">
        <v>-2.5099999999999998</v>
      </c>
      <c r="AH20" s="1387">
        <v>0</v>
      </c>
      <c r="AI20" s="1042">
        <f t="shared" si="16"/>
        <v>606100.28</v>
      </c>
    </row>
    <row r="21" spans="1:35" ht="15" customHeight="1" x14ac:dyDescent="0.25">
      <c r="A21" s="714" t="s">
        <v>44</v>
      </c>
      <c r="B21" s="713" t="s">
        <v>45</v>
      </c>
      <c r="C21" s="920" t="s">
        <v>266</v>
      </c>
      <c r="D21" s="1037">
        <f t="shared" si="8"/>
        <v>926858.6</v>
      </c>
      <c r="E21" s="1038">
        <f t="shared" si="9"/>
        <v>410156.56</v>
      </c>
      <c r="F21" s="1039">
        <f t="shared" si="10"/>
        <v>535818.28</v>
      </c>
      <c r="G21" s="1394">
        <f t="shared" si="11"/>
        <v>5047.51</v>
      </c>
      <c r="H21" s="1396">
        <f t="shared" si="12"/>
        <v>0</v>
      </c>
      <c r="I21" s="1396">
        <f t="shared" si="13"/>
        <v>1877880.9500000002</v>
      </c>
      <c r="J21" s="1397">
        <f t="shared" si="5"/>
        <v>5047.51</v>
      </c>
      <c r="K21" s="1392">
        <f t="shared" si="6"/>
        <v>540865.79</v>
      </c>
      <c r="L21" s="1040"/>
      <c r="M21" s="1040"/>
      <c r="N21" s="1040"/>
      <c r="O21" s="1040"/>
      <c r="P21" s="1040"/>
      <c r="Q21" s="1040">
        <f t="shared" si="7"/>
        <v>0</v>
      </c>
      <c r="R21" s="1041">
        <v>7315.44</v>
      </c>
      <c r="S21" s="1041">
        <v>2524.14</v>
      </c>
      <c r="T21" s="1041">
        <v>0</v>
      </c>
      <c r="U21" s="1041">
        <v>0</v>
      </c>
      <c r="V21" s="1387">
        <v>0</v>
      </c>
      <c r="W21" s="1042">
        <f t="shared" si="14"/>
        <v>9839.58</v>
      </c>
      <c r="X21" s="1042">
        <v>759774.37</v>
      </c>
      <c r="Y21" s="1041">
        <v>407632.42</v>
      </c>
      <c r="Z21" s="1041">
        <v>214137.79</v>
      </c>
      <c r="AA21" s="1041">
        <v>5050.25</v>
      </c>
      <c r="AB21" s="1387">
        <v>0</v>
      </c>
      <c r="AC21" s="1042">
        <f t="shared" si="15"/>
        <v>1386594.83</v>
      </c>
      <c r="AD21" s="1042">
        <v>159768.79</v>
      </c>
      <c r="AE21" s="1041">
        <v>0</v>
      </c>
      <c r="AF21" s="1041">
        <v>321680.49</v>
      </c>
      <c r="AG21" s="1041">
        <v>-2.74</v>
      </c>
      <c r="AH21" s="1387">
        <v>0</v>
      </c>
      <c r="AI21" s="1042">
        <f t="shared" si="16"/>
        <v>481446.54000000004</v>
      </c>
    </row>
    <row r="22" spans="1:35" ht="15" customHeight="1" x14ac:dyDescent="0.25">
      <c r="A22" s="714" t="s">
        <v>46</v>
      </c>
      <c r="B22" s="713" t="s">
        <v>47</v>
      </c>
      <c r="C22" s="920" t="s">
        <v>268</v>
      </c>
      <c r="D22" s="1037">
        <f t="shared" si="8"/>
        <v>1006290.13</v>
      </c>
      <c r="E22" s="1038">
        <f t="shared" si="9"/>
        <v>496129.41</v>
      </c>
      <c r="F22" s="1039">
        <f t="shared" si="10"/>
        <v>422610.42000000004</v>
      </c>
      <c r="G22" s="1394">
        <f t="shared" si="11"/>
        <v>109949.6</v>
      </c>
      <c r="H22" s="1396">
        <f t="shared" si="12"/>
        <v>0</v>
      </c>
      <c r="I22" s="1396">
        <f t="shared" si="13"/>
        <v>2034979.56</v>
      </c>
      <c r="J22" s="1397">
        <f t="shared" si="5"/>
        <v>109949.6</v>
      </c>
      <c r="K22" s="1392">
        <f t="shared" si="6"/>
        <v>532560.02</v>
      </c>
      <c r="L22" s="1040"/>
      <c r="M22" s="1040"/>
      <c r="N22" s="1040"/>
      <c r="O22" s="1040"/>
      <c r="P22" s="1040"/>
      <c r="Q22" s="1040">
        <f t="shared" si="7"/>
        <v>0</v>
      </c>
      <c r="R22" s="1041">
        <v>133.83000000000001</v>
      </c>
      <c r="S22" s="1041">
        <v>46.17</v>
      </c>
      <c r="T22" s="1041">
        <v>0</v>
      </c>
      <c r="U22" s="1041">
        <v>0</v>
      </c>
      <c r="V22" s="1387">
        <v>0</v>
      </c>
      <c r="W22" s="1042">
        <f t="shared" si="14"/>
        <v>180</v>
      </c>
      <c r="X22" s="1042">
        <v>925817.02</v>
      </c>
      <c r="Y22" s="1041">
        <v>496083.24</v>
      </c>
      <c r="Z22" s="1041">
        <v>260819.29</v>
      </c>
      <c r="AA22" s="1041">
        <v>104171.5</v>
      </c>
      <c r="AB22" s="1387">
        <v>0</v>
      </c>
      <c r="AC22" s="1042">
        <f t="shared" si="15"/>
        <v>1786891.05</v>
      </c>
      <c r="AD22" s="1042">
        <v>80339.28</v>
      </c>
      <c r="AE22" s="1041">
        <v>0</v>
      </c>
      <c r="AF22" s="1041">
        <v>161791.13</v>
      </c>
      <c r="AG22" s="1041">
        <v>5778.1</v>
      </c>
      <c r="AH22" s="1387">
        <v>0</v>
      </c>
      <c r="AI22" s="1042">
        <f t="shared" si="16"/>
        <v>247908.51</v>
      </c>
    </row>
    <row r="23" spans="1:35" ht="15" customHeight="1" x14ac:dyDescent="0.25">
      <c r="A23" s="714" t="s">
        <v>48</v>
      </c>
      <c r="B23" s="713" t="s">
        <v>269</v>
      </c>
      <c r="C23" s="920" t="s">
        <v>266</v>
      </c>
      <c r="D23" s="1037">
        <f t="shared" si="8"/>
        <v>371595.87</v>
      </c>
      <c r="E23" s="1038">
        <f t="shared" si="9"/>
        <v>199110.65</v>
      </c>
      <c r="F23" s="1039">
        <f t="shared" si="10"/>
        <v>104684.4</v>
      </c>
      <c r="G23" s="1394">
        <f t="shared" si="11"/>
        <v>-8.92</v>
      </c>
      <c r="H23" s="1396">
        <f t="shared" si="12"/>
        <v>0</v>
      </c>
      <c r="I23" s="1396">
        <f t="shared" si="13"/>
        <v>675382</v>
      </c>
      <c r="J23" s="1397">
        <f t="shared" si="5"/>
        <v>-8.92</v>
      </c>
      <c r="K23" s="1392">
        <f t="shared" si="6"/>
        <v>104675.48</v>
      </c>
      <c r="L23" s="1040"/>
      <c r="M23" s="1040"/>
      <c r="N23" s="1040"/>
      <c r="O23" s="1040"/>
      <c r="P23" s="1040"/>
      <c r="Q23" s="1040">
        <f t="shared" si="7"/>
        <v>0</v>
      </c>
      <c r="R23" s="1041"/>
      <c r="S23" s="1041"/>
      <c r="T23" s="1041"/>
      <c r="U23" s="1041"/>
      <c r="V23" s="1387"/>
      <c r="W23" s="1042">
        <f t="shared" si="14"/>
        <v>0</v>
      </c>
      <c r="X23" s="1042">
        <v>371595.87</v>
      </c>
      <c r="Y23" s="1041">
        <v>199110.65</v>
      </c>
      <c r="Z23" s="1041">
        <v>104684.4</v>
      </c>
      <c r="AA23" s="1041">
        <v>-8.92</v>
      </c>
      <c r="AB23" s="1387">
        <v>0</v>
      </c>
      <c r="AC23" s="1042">
        <f t="shared" si="15"/>
        <v>675382</v>
      </c>
      <c r="AD23" s="1042">
        <v>0</v>
      </c>
      <c r="AE23" s="1041">
        <v>0</v>
      </c>
      <c r="AF23" s="1041">
        <v>0</v>
      </c>
      <c r="AG23" s="1041">
        <v>0</v>
      </c>
      <c r="AH23" s="1387">
        <v>0</v>
      </c>
      <c r="AI23" s="1042">
        <f t="shared" si="16"/>
        <v>0</v>
      </c>
    </row>
    <row r="24" spans="1:35" ht="15" customHeight="1" x14ac:dyDescent="0.25">
      <c r="A24" s="714" t="s">
        <v>50</v>
      </c>
      <c r="B24" s="713" t="s">
        <v>51</v>
      </c>
      <c r="C24" s="920" t="s">
        <v>265</v>
      </c>
      <c r="D24" s="1037">
        <f t="shared" si="8"/>
        <v>661995.74</v>
      </c>
      <c r="E24" s="1038">
        <f t="shared" si="9"/>
        <v>312709.03999999998</v>
      </c>
      <c r="F24" s="1039">
        <f t="shared" si="10"/>
        <v>323248.19</v>
      </c>
      <c r="G24" s="1394">
        <f t="shared" si="11"/>
        <v>303576.63</v>
      </c>
      <c r="H24" s="1396">
        <f t="shared" si="12"/>
        <v>0</v>
      </c>
      <c r="I24" s="1396">
        <f t="shared" si="13"/>
        <v>1601529.6</v>
      </c>
      <c r="J24" s="1397">
        <f t="shared" si="5"/>
        <v>303576.63</v>
      </c>
      <c r="K24" s="1392">
        <f t="shared" si="6"/>
        <v>626824.82000000007</v>
      </c>
      <c r="L24" s="1040"/>
      <c r="M24" s="1040"/>
      <c r="N24" s="1040"/>
      <c r="O24" s="1040"/>
      <c r="P24" s="1040"/>
      <c r="Q24" s="1040">
        <f t="shared" si="7"/>
        <v>0</v>
      </c>
      <c r="R24" s="1041"/>
      <c r="S24" s="1041"/>
      <c r="T24" s="1041"/>
      <c r="U24" s="1041"/>
      <c r="V24" s="1387"/>
      <c r="W24" s="1042">
        <f t="shared" si="14"/>
        <v>0</v>
      </c>
      <c r="X24" s="1042">
        <v>583074.18999999994</v>
      </c>
      <c r="Y24" s="1041">
        <v>312709.03999999998</v>
      </c>
      <c r="Z24" s="1041">
        <v>164312.37</v>
      </c>
      <c r="AA24" s="1041">
        <v>303577.56</v>
      </c>
      <c r="AB24" s="1387">
        <v>0</v>
      </c>
      <c r="AC24" s="1042">
        <f t="shared" si="15"/>
        <v>1363673.1600000001</v>
      </c>
      <c r="AD24" s="1042">
        <v>78921.55</v>
      </c>
      <c r="AE24" s="1041">
        <v>0</v>
      </c>
      <c r="AF24" s="1041">
        <v>158935.82</v>
      </c>
      <c r="AG24" s="1041">
        <v>-0.93</v>
      </c>
      <c r="AH24" s="1387">
        <v>0</v>
      </c>
      <c r="AI24" s="1042">
        <f t="shared" si="16"/>
        <v>237856.44</v>
      </c>
    </row>
    <row r="25" spans="1:35" ht="15" customHeight="1" x14ac:dyDescent="0.25">
      <c r="A25" s="714" t="s">
        <v>56</v>
      </c>
      <c r="B25" s="713" t="s">
        <v>295</v>
      </c>
      <c r="C25" s="920" t="s">
        <v>266</v>
      </c>
      <c r="D25" s="1037">
        <f t="shared" si="8"/>
        <v>5280840.3899999997</v>
      </c>
      <c r="E25" s="1038">
        <f t="shared" si="9"/>
        <v>2020582.46</v>
      </c>
      <c r="F25" s="1039">
        <f t="shared" si="10"/>
        <v>4135273.3899999997</v>
      </c>
      <c r="G25" s="1394">
        <f t="shared" si="11"/>
        <v>68175.63</v>
      </c>
      <c r="H25" s="1396">
        <f t="shared" si="12"/>
        <v>0</v>
      </c>
      <c r="I25" s="1396">
        <f t="shared" si="13"/>
        <v>11504871.870000001</v>
      </c>
      <c r="J25" s="1397">
        <f t="shared" si="5"/>
        <v>68175.63</v>
      </c>
      <c r="K25" s="1392">
        <f t="shared" si="6"/>
        <v>4203449.0199999996</v>
      </c>
      <c r="L25" s="1040"/>
      <c r="M25" s="1040"/>
      <c r="N25" s="1040"/>
      <c r="O25" s="1040"/>
      <c r="P25" s="1040"/>
      <c r="Q25" s="1040">
        <f t="shared" si="7"/>
        <v>0</v>
      </c>
      <c r="R25" s="1041">
        <v>53505.26</v>
      </c>
      <c r="S25" s="1041">
        <v>18435.02</v>
      </c>
      <c r="T25" s="1041">
        <v>0</v>
      </c>
      <c r="U25" s="1041">
        <v>-0.04</v>
      </c>
      <c r="V25" s="1387">
        <v>0</v>
      </c>
      <c r="W25" s="1042">
        <f t="shared" si="14"/>
        <v>71940.240000000005</v>
      </c>
      <c r="X25" s="1042">
        <v>3723535.3</v>
      </c>
      <c r="Y25" s="1041">
        <v>2002147.44</v>
      </c>
      <c r="Z25" s="1041">
        <v>1050270.68</v>
      </c>
      <c r="AA25" s="1041">
        <v>41325.39</v>
      </c>
      <c r="AB25" s="1387">
        <v>0</v>
      </c>
      <c r="AC25" s="1042">
        <f t="shared" si="15"/>
        <v>6817278.8099999996</v>
      </c>
      <c r="AD25" s="1042">
        <v>1503799.83</v>
      </c>
      <c r="AE25" s="1041">
        <v>0</v>
      </c>
      <c r="AF25" s="1041">
        <v>3085002.71</v>
      </c>
      <c r="AG25" s="1041">
        <v>26850.28</v>
      </c>
      <c r="AH25" s="1387">
        <v>0</v>
      </c>
      <c r="AI25" s="1042">
        <f t="shared" si="16"/>
        <v>4615652.82</v>
      </c>
    </row>
    <row r="26" spans="1:35" ht="15" customHeight="1" x14ac:dyDescent="0.25">
      <c r="A26" s="714" t="s">
        <v>58</v>
      </c>
      <c r="B26" s="713" t="s">
        <v>59</v>
      </c>
      <c r="C26" s="920" t="s">
        <v>267</v>
      </c>
      <c r="D26" s="1037">
        <f t="shared" si="8"/>
        <v>433603.22</v>
      </c>
      <c r="E26" s="1038">
        <f t="shared" si="9"/>
        <v>139553.62</v>
      </c>
      <c r="F26" s="1039">
        <f t="shared" si="10"/>
        <v>436443.77</v>
      </c>
      <c r="G26" s="1394">
        <f t="shared" si="11"/>
        <v>1527.72</v>
      </c>
      <c r="H26" s="1396">
        <f t="shared" si="12"/>
        <v>0</v>
      </c>
      <c r="I26" s="1396">
        <f t="shared" si="13"/>
        <v>1011128.3299999998</v>
      </c>
      <c r="J26" s="1397">
        <f t="shared" si="5"/>
        <v>1527.72</v>
      </c>
      <c r="K26" s="1392">
        <f t="shared" si="6"/>
        <v>437971.49</v>
      </c>
      <c r="L26" s="1040"/>
      <c r="M26" s="1040"/>
      <c r="N26" s="1040"/>
      <c r="O26" s="1040"/>
      <c r="P26" s="1040"/>
      <c r="Q26" s="1040">
        <f t="shared" si="7"/>
        <v>0</v>
      </c>
      <c r="R26" s="1041"/>
      <c r="S26" s="1041"/>
      <c r="T26" s="1041"/>
      <c r="U26" s="1041"/>
      <c r="V26" s="1387"/>
      <c r="W26" s="1042">
        <f t="shared" si="14"/>
        <v>0</v>
      </c>
      <c r="X26" s="1042">
        <v>257757.71</v>
      </c>
      <c r="Y26" s="1041">
        <v>139553.62</v>
      </c>
      <c r="Z26" s="1041">
        <v>72878.34</v>
      </c>
      <c r="AA26" s="1041">
        <v>680.65</v>
      </c>
      <c r="AB26" s="1387">
        <v>0</v>
      </c>
      <c r="AC26" s="1042">
        <f t="shared" si="15"/>
        <v>470870.31999999995</v>
      </c>
      <c r="AD26" s="1042">
        <v>175845.51</v>
      </c>
      <c r="AE26" s="1041">
        <v>0</v>
      </c>
      <c r="AF26" s="1041">
        <v>363565.43</v>
      </c>
      <c r="AG26" s="1041">
        <v>847.07</v>
      </c>
      <c r="AH26" s="1387">
        <v>0</v>
      </c>
      <c r="AI26" s="1042">
        <f t="shared" si="16"/>
        <v>540258.00999999989</v>
      </c>
    </row>
    <row r="27" spans="1:35" ht="15" customHeight="1" x14ac:dyDescent="0.25">
      <c r="A27" s="714" t="s">
        <v>60</v>
      </c>
      <c r="B27" s="713" t="s">
        <v>61</v>
      </c>
      <c r="C27" s="920" t="s">
        <v>265</v>
      </c>
      <c r="D27" s="1037">
        <f t="shared" si="8"/>
        <v>227129.25</v>
      </c>
      <c r="E27" s="1038">
        <f t="shared" si="9"/>
        <v>92278.26</v>
      </c>
      <c r="F27" s="1039">
        <f t="shared" si="10"/>
        <v>161562.22</v>
      </c>
      <c r="G27" s="1394">
        <f t="shared" si="11"/>
        <v>3111.8</v>
      </c>
      <c r="H27" s="1396">
        <f t="shared" si="12"/>
        <v>0</v>
      </c>
      <c r="I27" s="1396">
        <f t="shared" si="13"/>
        <v>484081.52999999997</v>
      </c>
      <c r="J27" s="1397">
        <f t="shared" si="5"/>
        <v>3111.8</v>
      </c>
      <c r="K27" s="1392">
        <f t="shared" si="6"/>
        <v>164674.01999999999</v>
      </c>
      <c r="L27" s="1040"/>
      <c r="M27" s="1040"/>
      <c r="N27" s="1040"/>
      <c r="O27" s="1040"/>
      <c r="P27" s="1040"/>
      <c r="Q27" s="1040">
        <f t="shared" si="7"/>
        <v>0</v>
      </c>
      <c r="R27" s="1041"/>
      <c r="S27" s="1041"/>
      <c r="T27" s="1041"/>
      <c r="U27" s="1041"/>
      <c r="V27" s="1387"/>
      <c r="W27" s="1042">
        <f t="shared" si="14"/>
        <v>0</v>
      </c>
      <c r="X27" s="1042">
        <v>171649.46</v>
      </c>
      <c r="Y27" s="1041">
        <v>92278.26</v>
      </c>
      <c r="Z27" s="1041">
        <v>48410.94</v>
      </c>
      <c r="AA27" s="1041">
        <v>2200</v>
      </c>
      <c r="AB27" s="1387">
        <v>0</v>
      </c>
      <c r="AC27" s="1042">
        <f t="shared" si="15"/>
        <v>314538.65999999997</v>
      </c>
      <c r="AD27" s="1042">
        <v>55479.79</v>
      </c>
      <c r="AE27" s="1041">
        <v>0</v>
      </c>
      <c r="AF27" s="1041">
        <v>113151.28</v>
      </c>
      <c r="AG27" s="1041">
        <v>911.8</v>
      </c>
      <c r="AH27" s="1387">
        <v>0</v>
      </c>
      <c r="AI27" s="1042">
        <f t="shared" si="16"/>
        <v>169542.87</v>
      </c>
    </row>
    <row r="28" spans="1:35" ht="15" customHeight="1" x14ac:dyDescent="0.25">
      <c r="A28" s="714" t="s">
        <v>62</v>
      </c>
      <c r="B28" s="713" t="s">
        <v>63</v>
      </c>
      <c r="C28" s="920" t="s">
        <v>267</v>
      </c>
      <c r="D28" s="1037">
        <f t="shared" si="8"/>
        <v>1543104.16</v>
      </c>
      <c r="E28" s="1038">
        <f t="shared" si="9"/>
        <v>579906.28999999992</v>
      </c>
      <c r="F28" s="1039">
        <f t="shared" si="10"/>
        <v>1239424.75</v>
      </c>
      <c r="G28" s="1394">
        <f t="shared" si="11"/>
        <v>166610.82</v>
      </c>
      <c r="H28" s="1396">
        <f t="shared" si="12"/>
        <v>0</v>
      </c>
      <c r="I28" s="1396">
        <f t="shared" si="13"/>
        <v>3529046.02</v>
      </c>
      <c r="J28" s="1397">
        <f t="shared" si="5"/>
        <v>166610.82</v>
      </c>
      <c r="K28" s="1392">
        <f t="shared" si="6"/>
        <v>1406035.57</v>
      </c>
      <c r="L28" s="1040">
        <v>11909.8</v>
      </c>
      <c r="M28" s="1040">
        <v>0</v>
      </c>
      <c r="N28" s="1040">
        <v>4095.32</v>
      </c>
      <c r="O28" s="1040">
        <v>-0.12</v>
      </c>
      <c r="P28" s="1040">
        <v>0</v>
      </c>
      <c r="Q28" s="1040">
        <f t="shared" si="7"/>
        <v>16004.999999999998</v>
      </c>
      <c r="R28" s="1041">
        <v>4646.42</v>
      </c>
      <c r="S28" s="1041">
        <v>1602.84</v>
      </c>
      <c r="T28" s="1041">
        <v>0</v>
      </c>
      <c r="U28" s="1041">
        <v>-0.03</v>
      </c>
      <c r="V28" s="1387">
        <v>0</v>
      </c>
      <c r="W28" s="1042">
        <f t="shared" si="14"/>
        <v>6249.2300000000005</v>
      </c>
      <c r="X28" s="1042">
        <v>1072476.93</v>
      </c>
      <c r="Y28" s="1041">
        <v>578303.44999999995</v>
      </c>
      <c r="Z28" s="1041">
        <v>302803.90999999997</v>
      </c>
      <c r="AA28" s="1041">
        <v>126757.46</v>
      </c>
      <c r="AB28" s="1387">
        <v>0</v>
      </c>
      <c r="AC28" s="1042">
        <f t="shared" si="15"/>
        <v>2080341.7499999998</v>
      </c>
      <c r="AD28" s="1042">
        <v>454071.01</v>
      </c>
      <c r="AE28" s="1041">
        <v>0</v>
      </c>
      <c r="AF28" s="1041">
        <v>932525.52</v>
      </c>
      <c r="AG28" s="1041">
        <v>39853.51</v>
      </c>
      <c r="AH28" s="1387">
        <v>0</v>
      </c>
      <c r="AI28" s="1042">
        <f t="shared" si="16"/>
        <v>1426450.04</v>
      </c>
    </row>
    <row r="29" spans="1:35" ht="15" customHeight="1" x14ac:dyDescent="0.25">
      <c r="A29" s="714" t="s">
        <v>64</v>
      </c>
      <c r="B29" s="713" t="s">
        <v>65</v>
      </c>
      <c r="C29" s="920" t="s">
        <v>266</v>
      </c>
      <c r="D29" s="1037">
        <f t="shared" si="8"/>
        <v>456030.37</v>
      </c>
      <c r="E29" s="1038">
        <f t="shared" si="9"/>
        <v>211922.3</v>
      </c>
      <c r="F29" s="1039">
        <f t="shared" si="10"/>
        <v>234120.14</v>
      </c>
      <c r="G29" s="1394">
        <f t="shared" si="11"/>
        <v>39123.68</v>
      </c>
      <c r="H29" s="1396">
        <f t="shared" si="12"/>
        <v>0</v>
      </c>
      <c r="I29" s="1396">
        <f t="shared" si="13"/>
        <v>941196.49</v>
      </c>
      <c r="J29" s="1397">
        <f t="shared" si="5"/>
        <v>39123.68</v>
      </c>
      <c r="K29" s="1392">
        <f t="shared" si="6"/>
        <v>273243.82</v>
      </c>
      <c r="L29" s="1040"/>
      <c r="M29" s="1040"/>
      <c r="N29" s="1040"/>
      <c r="O29" s="1040"/>
      <c r="P29" s="1040"/>
      <c r="Q29" s="1040">
        <f t="shared" si="7"/>
        <v>0</v>
      </c>
      <c r="R29" s="1041"/>
      <c r="S29" s="1041"/>
      <c r="T29" s="1041"/>
      <c r="U29" s="1041"/>
      <c r="V29" s="1387"/>
      <c r="W29" s="1042">
        <f t="shared" si="14"/>
        <v>0</v>
      </c>
      <c r="X29" s="1042">
        <v>395060.96</v>
      </c>
      <c r="Y29" s="1041">
        <v>211922.3</v>
      </c>
      <c r="Z29" s="1041">
        <v>111337.96</v>
      </c>
      <c r="AA29" s="1041">
        <v>9376.61</v>
      </c>
      <c r="AB29" s="1387">
        <v>0</v>
      </c>
      <c r="AC29" s="1042">
        <f t="shared" si="15"/>
        <v>727697.83</v>
      </c>
      <c r="AD29" s="1042">
        <v>60969.41</v>
      </c>
      <c r="AE29" s="1041">
        <v>0</v>
      </c>
      <c r="AF29" s="1041">
        <v>122782.18</v>
      </c>
      <c r="AG29" s="1041">
        <v>29747.07</v>
      </c>
      <c r="AH29" s="1387">
        <v>0</v>
      </c>
      <c r="AI29" s="1042">
        <f t="shared" si="16"/>
        <v>213498.66</v>
      </c>
    </row>
    <row r="30" spans="1:35" ht="15" customHeight="1" x14ac:dyDescent="0.25">
      <c r="A30" s="714" t="s">
        <v>68</v>
      </c>
      <c r="B30" s="713" t="s">
        <v>69</v>
      </c>
      <c r="C30" s="920" t="s">
        <v>268</v>
      </c>
      <c r="D30" s="1037">
        <f t="shared" si="8"/>
        <v>1303587.42</v>
      </c>
      <c r="E30" s="1038">
        <f t="shared" si="9"/>
        <v>592974.63</v>
      </c>
      <c r="F30" s="1039">
        <f t="shared" si="10"/>
        <v>709471.79</v>
      </c>
      <c r="G30" s="1394">
        <f t="shared" si="11"/>
        <v>27152.39</v>
      </c>
      <c r="H30" s="1396">
        <f t="shared" si="12"/>
        <v>0</v>
      </c>
      <c r="I30" s="1396">
        <f t="shared" si="13"/>
        <v>2633186.23</v>
      </c>
      <c r="J30" s="1397">
        <f t="shared" si="5"/>
        <v>27152.39</v>
      </c>
      <c r="K30" s="1392">
        <f t="shared" si="6"/>
        <v>736624.18</v>
      </c>
      <c r="L30" s="1040"/>
      <c r="M30" s="1040"/>
      <c r="N30" s="1040"/>
      <c r="O30" s="1040"/>
      <c r="P30" s="1040"/>
      <c r="Q30" s="1040">
        <f t="shared" si="7"/>
        <v>0</v>
      </c>
      <c r="R30" s="1041"/>
      <c r="S30" s="1041"/>
      <c r="T30" s="1041"/>
      <c r="U30" s="1041"/>
      <c r="V30" s="1387"/>
      <c r="W30" s="1042">
        <f t="shared" si="14"/>
        <v>0</v>
      </c>
      <c r="X30" s="1042">
        <v>1106044.24</v>
      </c>
      <c r="Y30" s="1041">
        <v>592974.63</v>
      </c>
      <c r="Z30" s="1041">
        <v>311649.69</v>
      </c>
      <c r="AA30" s="1041">
        <v>25046.23</v>
      </c>
      <c r="AB30" s="1387">
        <v>0</v>
      </c>
      <c r="AC30" s="1042">
        <f t="shared" si="15"/>
        <v>2035714.79</v>
      </c>
      <c r="AD30" s="1042">
        <v>197543.18</v>
      </c>
      <c r="AE30" s="1041">
        <v>0</v>
      </c>
      <c r="AF30" s="1041">
        <v>397822.1</v>
      </c>
      <c r="AG30" s="1041">
        <v>2106.16</v>
      </c>
      <c r="AH30" s="1387">
        <v>0</v>
      </c>
      <c r="AI30" s="1042">
        <f t="shared" si="16"/>
        <v>597471.44000000006</v>
      </c>
    </row>
    <row r="31" spans="1:35" ht="15" customHeight="1" x14ac:dyDescent="0.25">
      <c r="A31" s="714" t="s">
        <v>70</v>
      </c>
      <c r="B31" s="713" t="s">
        <v>71</v>
      </c>
      <c r="C31" s="920" t="s">
        <v>264</v>
      </c>
      <c r="D31" s="1037">
        <f t="shared" si="8"/>
        <v>914978.41999999993</v>
      </c>
      <c r="E31" s="1038">
        <f t="shared" si="9"/>
        <v>464240.09</v>
      </c>
      <c r="F31" s="1039">
        <f t="shared" si="10"/>
        <v>337551.15</v>
      </c>
      <c r="G31" s="1394">
        <f t="shared" si="11"/>
        <v>29385.089999999997</v>
      </c>
      <c r="H31" s="1396">
        <f t="shared" si="12"/>
        <v>0</v>
      </c>
      <c r="I31" s="1396">
        <f t="shared" si="13"/>
        <v>1746154.75</v>
      </c>
      <c r="J31" s="1397">
        <f t="shared" si="5"/>
        <v>29385.089999999997</v>
      </c>
      <c r="K31" s="1392">
        <f t="shared" si="6"/>
        <v>366936.24</v>
      </c>
      <c r="L31" s="1040"/>
      <c r="M31" s="1040"/>
      <c r="N31" s="1040"/>
      <c r="O31" s="1040"/>
      <c r="P31" s="1040"/>
      <c r="Q31" s="1040">
        <f t="shared" si="7"/>
        <v>0</v>
      </c>
      <c r="R31" s="1041">
        <v>7702.83</v>
      </c>
      <c r="S31" s="1041">
        <v>2657.83</v>
      </c>
      <c r="T31" s="1041">
        <v>0</v>
      </c>
      <c r="U31" s="1041">
        <v>-0.04</v>
      </c>
      <c r="V31" s="1387">
        <v>0</v>
      </c>
      <c r="W31" s="1042">
        <f t="shared" si="14"/>
        <v>10360.619999999999</v>
      </c>
      <c r="X31" s="1042">
        <v>861701.2</v>
      </c>
      <c r="Y31" s="1041">
        <v>461582.26</v>
      </c>
      <c r="Z31" s="1041">
        <v>242729.93</v>
      </c>
      <c r="AA31" s="1041">
        <v>29389.69</v>
      </c>
      <c r="AB31" s="1387">
        <v>0</v>
      </c>
      <c r="AC31" s="1042">
        <f t="shared" si="15"/>
        <v>1595403.0799999998</v>
      </c>
      <c r="AD31" s="1042">
        <v>45574.39</v>
      </c>
      <c r="AE31" s="1041">
        <v>0</v>
      </c>
      <c r="AF31" s="1041">
        <v>94821.22</v>
      </c>
      <c r="AG31" s="1041">
        <v>-4.5599999999999996</v>
      </c>
      <c r="AH31" s="1387">
        <v>0</v>
      </c>
      <c r="AI31" s="1042">
        <f t="shared" si="16"/>
        <v>140391.04999999999</v>
      </c>
    </row>
    <row r="32" spans="1:35" ht="15" customHeight="1" x14ac:dyDescent="0.25">
      <c r="A32" s="714" t="s">
        <v>72</v>
      </c>
      <c r="B32" s="713" t="s">
        <v>73</v>
      </c>
      <c r="C32" s="920" t="s">
        <v>266</v>
      </c>
      <c r="D32" s="1037">
        <f t="shared" si="8"/>
        <v>530712.92999999993</v>
      </c>
      <c r="E32" s="1038">
        <f t="shared" si="9"/>
        <v>203156.04</v>
      </c>
      <c r="F32" s="1039">
        <f t="shared" si="10"/>
        <v>424209.91999999998</v>
      </c>
      <c r="G32" s="1394">
        <f t="shared" si="11"/>
        <v>29604.959999999999</v>
      </c>
      <c r="H32" s="1396">
        <f t="shared" si="12"/>
        <v>0</v>
      </c>
      <c r="I32" s="1396">
        <f t="shared" si="13"/>
        <v>1187683.8500000001</v>
      </c>
      <c r="J32" s="1397">
        <f t="shared" si="5"/>
        <v>29604.959999999999</v>
      </c>
      <c r="K32" s="1392">
        <f t="shared" si="6"/>
        <v>453814.88</v>
      </c>
      <c r="L32" s="1040"/>
      <c r="M32" s="1040"/>
      <c r="N32" s="1040"/>
      <c r="O32" s="1040"/>
      <c r="P32" s="1040"/>
      <c r="Q32" s="1040">
        <f t="shared" si="7"/>
        <v>0</v>
      </c>
      <c r="R32" s="1041"/>
      <c r="S32" s="1041"/>
      <c r="T32" s="1041"/>
      <c r="U32" s="1041"/>
      <c r="V32" s="1387"/>
      <c r="W32" s="1042">
        <f t="shared" si="14"/>
        <v>0</v>
      </c>
      <c r="X32" s="1042">
        <v>376563.3</v>
      </c>
      <c r="Y32" s="1041">
        <v>203156.04</v>
      </c>
      <c r="Z32" s="1041">
        <v>106337.05</v>
      </c>
      <c r="AA32" s="1041">
        <v>8489.75</v>
      </c>
      <c r="AB32" s="1387">
        <v>0</v>
      </c>
      <c r="AC32" s="1042">
        <f t="shared" si="15"/>
        <v>694546.14</v>
      </c>
      <c r="AD32" s="1042">
        <v>154149.63</v>
      </c>
      <c r="AE32" s="1041">
        <v>0</v>
      </c>
      <c r="AF32" s="1041">
        <v>317872.87</v>
      </c>
      <c r="AG32" s="1041">
        <v>21115.21</v>
      </c>
      <c r="AH32" s="1387">
        <v>0</v>
      </c>
      <c r="AI32" s="1042">
        <f t="shared" si="16"/>
        <v>493137.71</v>
      </c>
    </row>
    <row r="33" spans="1:35" ht="15" customHeight="1" x14ac:dyDescent="0.25">
      <c r="A33" s="714" t="s">
        <v>74</v>
      </c>
      <c r="B33" s="713" t="s">
        <v>302</v>
      </c>
      <c r="C33" s="920" t="s">
        <v>267</v>
      </c>
      <c r="D33" s="1037">
        <f t="shared" si="8"/>
        <v>26914695.84</v>
      </c>
      <c r="E33" s="1038">
        <f t="shared" si="9"/>
        <v>6469367.79</v>
      </c>
      <c r="F33" s="1039">
        <f t="shared" si="10"/>
        <v>34399376.149999999</v>
      </c>
      <c r="G33" s="1394">
        <f t="shared" si="11"/>
        <v>-13.44</v>
      </c>
      <c r="H33" s="1396">
        <f t="shared" si="12"/>
        <v>0</v>
      </c>
      <c r="I33" s="1396">
        <f t="shared" si="13"/>
        <v>67783426.340000004</v>
      </c>
      <c r="J33" s="1397">
        <f t="shared" si="5"/>
        <v>-13.44</v>
      </c>
      <c r="K33" s="1392">
        <f t="shared" si="6"/>
        <v>34399362.710000001</v>
      </c>
      <c r="L33" s="1040">
        <v>49602.7</v>
      </c>
      <c r="M33" s="1040">
        <v>0</v>
      </c>
      <c r="N33" s="1040">
        <v>17113.849999999999</v>
      </c>
      <c r="O33" s="1040">
        <v>-0.22</v>
      </c>
      <c r="P33" s="1040">
        <v>0</v>
      </c>
      <c r="Q33" s="1040">
        <f t="shared" si="7"/>
        <v>66716.329999999987</v>
      </c>
      <c r="R33" s="1041">
        <v>15150.11</v>
      </c>
      <c r="S33" s="1041">
        <v>5226.0600000000004</v>
      </c>
      <c r="T33" s="1041">
        <v>0</v>
      </c>
      <c r="U33" s="1041">
        <v>-0.02</v>
      </c>
      <c r="V33" s="1387">
        <v>0</v>
      </c>
      <c r="W33" s="1042">
        <f t="shared" si="14"/>
        <v>20376.150000000001</v>
      </c>
      <c r="X33" s="1042">
        <v>11942347.289999999</v>
      </c>
      <c r="Y33" s="1041">
        <v>6464141.7300000004</v>
      </c>
      <c r="Z33" s="1041">
        <v>3376338.27</v>
      </c>
      <c r="AA33" s="1041">
        <v>-0.44</v>
      </c>
      <c r="AB33" s="1387">
        <v>0</v>
      </c>
      <c r="AC33" s="1042">
        <f t="shared" si="15"/>
        <v>21782826.849999998</v>
      </c>
      <c r="AD33" s="1042">
        <v>14907595.74</v>
      </c>
      <c r="AE33" s="1041">
        <v>0</v>
      </c>
      <c r="AF33" s="1041">
        <v>31005924.030000001</v>
      </c>
      <c r="AG33" s="1041">
        <v>-12.76</v>
      </c>
      <c r="AH33" s="1387">
        <v>0</v>
      </c>
      <c r="AI33" s="1042">
        <f t="shared" si="16"/>
        <v>45913507.010000005</v>
      </c>
    </row>
    <row r="34" spans="1:35" ht="15" customHeight="1" x14ac:dyDescent="0.25">
      <c r="A34" s="714" t="s">
        <v>76</v>
      </c>
      <c r="B34" s="713" t="s">
        <v>77</v>
      </c>
      <c r="C34" s="920" t="s">
        <v>267</v>
      </c>
      <c r="D34" s="1037">
        <f t="shared" si="8"/>
        <v>1511507.37</v>
      </c>
      <c r="E34" s="1038">
        <f t="shared" si="9"/>
        <v>503747.08999999997</v>
      </c>
      <c r="F34" s="1039">
        <f t="shared" si="10"/>
        <v>1471114.9200000002</v>
      </c>
      <c r="G34" s="1394">
        <f t="shared" si="11"/>
        <v>471215.2</v>
      </c>
      <c r="H34" s="1396">
        <f t="shared" si="12"/>
        <v>0</v>
      </c>
      <c r="I34" s="1396">
        <f t="shared" si="13"/>
        <v>3957584.58</v>
      </c>
      <c r="J34" s="1397">
        <f t="shared" si="5"/>
        <v>471215.2</v>
      </c>
      <c r="K34" s="1392">
        <f t="shared" si="6"/>
        <v>1942330.12</v>
      </c>
      <c r="L34" s="1040"/>
      <c r="M34" s="1040"/>
      <c r="N34" s="1040"/>
      <c r="O34" s="1040"/>
      <c r="P34" s="1040"/>
      <c r="Q34" s="1040">
        <f t="shared" si="7"/>
        <v>0</v>
      </c>
      <c r="R34" s="1041">
        <v>8045.78</v>
      </c>
      <c r="S34" s="1041">
        <v>2768.87</v>
      </c>
      <c r="T34" s="1041">
        <v>0</v>
      </c>
      <c r="U34" s="1041">
        <v>0</v>
      </c>
      <c r="V34" s="1387">
        <v>0</v>
      </c>
      <c r="W34" s="1042">
        <f t="shared" si="14"/>
        <v>10814.65</v>
      </c>
      <c r="X34" s="1042">
        <v>922206.29</v>
      </c>
      <c r="Y34" s="1041">
        <v>500978.22</v>
      </c>
      <c r="Z34" s="1041">
        <v>261056.09</v>
      </c>
      <c r="AA34" s="1041">
        <v>453875.88</v>
      </c>
      <c r="AB34" s="1387">
        <v>0</v>
      </c>
      <c r="AC34" s="1042">
        <f t="shared" si="15"/>
        <v>2138116.48</v>
      </c>
      <c r="AD34" s="1042">
        <v>581255.30000000005</v>
      </c>
      <c r="AE34" s="1041">
        <v>0</v>
      </c>
      <c r="AF34" s="1041">
        <v>1210058.83</v>
      </c>
      <c r="AG34" s="1041">
        <v>17339.32</v>
      </c>
      <c r="AH34" s="1387">
        <v>0</v>
      </c>
      <c r="AI34" s="1042">
        <f t="shared" si="16"/>
        <v>1808653.4500000002</v>
      </c>
    </row>
    <row r="35" spans="1:35" ht="15" customHeight="1" x14ac:dyDescent="0.25">
      <c r="A35" s="714" t="s">
        <v>78</v>
      </c>
      <c r="B35" s="713" t="s">
        <v>79</v>
      </c>
      <c r="C35" s="920" t="s">
        <v>268</v>
      </c>
      <c r="D35" s="1037">
        <f t="shared" si="8"/>
        <v>409325.50999999995</v>
      </c>
      <c r="E35" s="1038">
        <f t="shared" si="9"/>
        <v>189757.48</v>
      </c>
      <c r="F35" s="1039">
        <f t="shared" si="10"/>
        <v>211569.05</v>
      </c>
      <c r="G35" s="1394">
        <f t="shared" si="11"/>
        <v>1014.6999999999999</v>
      </c>
      <c r="H35" s="1396">
        <f t="shared" si="12"/>
        <v>0</v>
      </c>
      <c r="I35" s="1396">
        <f t="shared" si="13"/>
        <v>811666.74</v>
      </c>
      <c r="J35" s="1397">
        <f t="shared" si="5"/>
        <v>1014.6999999999999</v>
      </c>
      <c r="K35" s="1392">
        <f t="shared" si="6"/>
        <v>212583.75</v>
      </c>
      <c r="L35" s="1040"/>
      <c r="M35" s="1040"/>
      <c r="N35" s="1040"/>
      <c r="O35" s="1040"/>
      <c r="P35" s="1040"/>
      <c r="Q35" s="1040">
        <f t="shared" si="7"/>
        <v>0</v>
      </c>
      <c r="R35" s="1041"/>
      <c r="S35" s="1041"/>
      <c r="T35" s="1041"/>
      <c r="U35" s="1041"/>
      <c r="V35" s="1387"/>
      <c r="W35" s="1042">
        <f t="shared" si="14"/>
        <v>0</v>
      </c>
      <c r="X35" s="1042">
        <v>353773.66</v>
      </c>
      <c r="Y35" s="1041">
        <v>189757.48</v>
      </c>
      <c r="Z35" s="1041">
        <v>99697</v>
      </c>
      <c r="AA35" s="1041">
        <v>780.04</v>
      </c>
      <c r="AB35" s="1387">
        <v>0</v>
      </c>
      <c r="AC35" s="1042">
        <f t="shared" si="15"/>
        <v>644008.18000000005</v>
      </c>
      <c r="AD35" s="1042">
        <v>55551.85</v>
      </c>
      <c r="AE35" s="1041">
        <v>0</v>
      </c>
      <c r="AF35" s="1041">
        <v>111872.05</v>
      </c>
      <c r="AG35" s="1041">
        <v>234.66</v>
      </c>
      <c r="AH35" s="1387">
        <v>0</v>
      </c>
      <c r="AI35" s="1042">
        <f t="shared" si="16"/>
        <v>167658.56</v>
      </c>
    </row>
    <row r="36" spans="1:35" ht="15" customHeight="1" x14ac:dyDescent="0.25">
      <c r="A36" s="714" t="s">
        <v>80</v>
      </c>
      <c r="B36" s="713" t="s">
        <v>81</v>
      </c>
      <c r="C36" s="920" t="s">
        <v>266</v>
      </c>
      <c r="D36" s="1037">
        <f t="shared" si="8"/>
        <v>656677.33000000007</v>
      </c>
      <c r="E36" s="1038">
        <f t="shared" si="9"/>
        <v>253808.67</v>
      </c>
      <c r="F36" s="1039">
        <f t="shared" si="10"/>
        <v>510658.1</v>
      </c>
      <c r="G36" s="1394">
        <f t="shared" si="11"/>
        <v>242092.03</v>
      </c>
      <c r="H36" s="1396">
        <f t="shared" si="12"/>
        <v>0</v>
      </c>
      <c r="I36" s="1396">
        <f t="shared" si="13"/>
        <v>1663236.13</v>
      </c>
      <c r="J36" s="1397">
        <f t="shared" si="5"/>
        <v>242092.03</v>
      </c>
      <c r="K36" s="1392">
        <f t="shared" si="6"/>
        <v>752750.13</v>
      </c>
      <c r="L36" s="1040"/>
      <c r="M36" s="1040"/>
      <c r="N36" s="1040"/>
      <c r="O36" s="1040"/>
      <c r="P36" s="1040"/>
      <c r="Q36" s="1040">
        <f t="shared" si="7"/>
        <v>0</v>
      </c>
      <c r="R36" s="1041">
        <v>1361.87</v>
      </c>
      <c r="S36" s="1041">
        <v>469.22</v>
      </c>
      <c r="T36" s="1041">
        <v>0</v>
      </c>
      <c r="U36" s="1041">
        <v>0</v>
      </c>
      <c r="V36" s="1387">
        <v>0</v>
      </c>
      <c r="W36" s="1042">
        <f t="shared" si="14"/>
        <v>1831.09</v>
      </c>
      <c r="X36" s="1042">
        <v>471494.08</v>
      </c>
      <c r="Y36" s="1041">
        <v>253339.45</v>
      </c>
      <c r="Z36" s="1041">
        <v>132955.78</v>
      </c>
      <c r="AA36" s="1041">
        <v>236427.21</v>
      </c>
      <c r="AB36" s="1387">
        <v>0</v>
      </c>
      <c r="AC36" s="1042">
        <f t="shared" si="15"/>
        <v>1094216.52</v>
      </c>
      <c r="AD36" s="1042">
        <v>183821.38</v>
      </c>
      <c r="AE36" s="1041">
        <v>0</v>
      </c>
      <c r="AF36" s="1041">
        <v>377702.32</v>
      </c>
      <c r="AG36" s="1041">
        <v>5664.82</v>
      </c>
      <c r="AH36" s="1387">
        <v>0</v>
      </c>
      <c r="AI36" s="1042">
        <f t="shared" si="16"/>
        <v>567188.5199999999</v>
      </c>
    </row>
    <row r="37" spans="1:35" ht="15" customHeight="1" x14ac:dyDescent="0.25">
      <c r="A37" s="714" t="s">
        <v>84</v>
      </c>
      <c r="B37" s="713" t="s">
        <v>308</v>
      </c>
      <c r="C37" s="920" t="s">
        <v>265</v>
      </c>
      <c r="D37" s="1037">
        <f t="shared" si="8"/>
        <v>1557873.25</v>
      </c>
      <c r="E37" s="1038">
        <f t="shared" si="9"/>
        <v>613095.92000000004</v>
      </c>
      <c r="F37" s="1039">
        <f t="shared" si="10"/>
        <v>1165556.58</v>
      </c>
      <c r="G37" s="1394">
        <f t="shared" si="11"/>
        <v>18883.32</v>
      </c>
      <c r="H37" s="1396">
        <f t="shared" si="12"/>
        <v>0</v>
      </c>
      <c r="I37" s="1396">
        <f t="shared" si="13"/>
        <v>3355409.0699999994</v>
      </c>
      <c r="J37" s="1397">
        <f t="shared" si="5"/>
        <v>18883.32</v>
      </c>
      <c r="K37" s="1392">
        <f t="shared" si="6"/>
        <v>1184439.9000000001</v>
      </c>
      <c r="L37" s="1040"/>
      <c r="M37" s="1040"/>
      <c r="N37" s="1040"/>
      <c r="O37" s="1040"/>
      <c r="P37" s="1040"/>
      <c r="Q37" s="1040">
        <f t="shared" ref="Q37:Q68" si="17">SUM(L37:P37)</f>
        <v>0</v>
      </c>
      <c r="R37" s="1041">
        <v>13003.6</v>
      </c>
      <c r="S37" s="1041">
        <v>4476.8900000000003</v>
      </c>
      <c r="T37" s="1041">
        <v>0</v>
      </c>
      <c r="U37" s="1041">
        <v>0</v>
      </c>
      <c r="V37" s="1387">
        <v>0</v>
      </c>
      <c r="W37" s="1042">
        <f t="shared" si="14"/>
        <v>17480.490000000002</v>
      </c>
      <c r="X37" s="1042">
        <v>1130754.78</v>
      </c>
      <c r="Y37" s="1041">
        <v>608619.03</v>
      </c>
      <c r="Z37" s="1041">
        <v>319054.63</v>
      </c>
      <c r="AA37" s="1041">
        <v>1130.17</v>
      </c>
      <c r="AB37" s="1387">
        <v>0</v>
      </c>
      <c r="AC37" s="1042">
        <f t="shared" si="15"/>
        <v>2059558.6099999999</v>
      </c>
      <c r="AD37" s="1042">
        <v>414114.87</v>
      </c>
      <c r="AE37" s="1041">
        <v>0</v>
      </c>
      <c r="AF37" s="1041">
        <v>846501.95</v>
      </c>
      <c r="AG37" s="1041">
        <v>17753.150000000001</v>
      </c>
      <c r="AH37" s="1387">
        <v>0</v>
      </c>
      <c r="AI37" s="1042">
        <f t="shared" si="16"/>
        <v>1278369.9699999997</v>
      </c>
    </row>
    <row r="38" spans="1:35" ht="15" customHeight="1" x14ac:dyDescent="0.25">
      <c r="A38" s="714" t="s">
        <v>86</v>
      </c>
      <c r="B38" s="713" t="s">
        <v>87</v>
      </c>
      <c r="C38" s="920" t="s">
        <v>267</v>
      </c>
      <c r="D38" s="1037">
        <f t="shared" si="8"/>
        <v>1839787.75</v>
      </c>
      <c r="E38" s="1038">
        <f t="shared" si="9"/>
        <v>536022.05999999994</v>
      </c>
      <c r="F38" s="1039">
        <f t="shared" si="10"/>
        <v>2043755.46</v>
      </c>
      <c r="G38" s="1394">
        <f t="shared" si="11"/>
        <v>49593.22</v>
      </c>
      <c r="H38" s="1396">
        <f t="shared" si="12"/>
        <v>0</v>
      </c>
      <c r="I38" s="1396">
        <f t="shared" si="13"/>
        <v>4469158.49</v>
      </c>
      <c r="J38" s="1397">
        <f t="shared" si="5"/>
        <v>49593.22</v>
      </c>
      <c r="K38" s="1392">
        <f t="shared" si="6"/>
        <v>2093348.68</v>
      </c>
      <c r="L38" s="1040"/>
      <c r="M38" s="1040"/>
      <c r="N38" s="1040"/>
      <c r="O38" s="1040"/>
      <c r="P38" s="1040"/>
      <c r="Q38" s="1040">
        <f t="shared" si="17"/>
        <v>0</v>
      </c>
      <c r="R38" s="1041">
        <v>4807.53</v>
      </c>
      <c r="S38" s="1041">
        <v>1658.82</v>
      </c>
      <c r="T38" s="1041">
        <v>0</v>
      </c>
      <c r="U38" s="1041">
        <v>-0.01</v>
      </c>
      <c r="V38" s="1387">
        <v>0</v>
      </c>
      <c r="W38" s="1042">
        <f t="shared" si="14"/>
        <v>6466.3399999999992</v>
      </c>
      <c r="X38" s="1042">
        <v>984134.04</v>
      </c>
      <c r="Y38" s="1041">
        <v>534363.24</v>
      </c>
      <c r="Z38" s="1041">
        <v>278539.01</v>
      </c>
      <c r="AA38" s="1041">
        <v>48382.04</v>
      </c>
      <c r="AB38" s="1387">
        <v>0</v>
      </c>
      <c r="AC38" s="1042">
        <f t="shared" si="15"/>
        <v>1845418.33</v>
      </c>
      <c r="AD38" s="1042">
        <v>850846.18</v>
      </c>
      <c r="AE38" s="1041">
        <v>0</v>
      </c>
      <c r="AF38" s="1041">
        <v>1765216.45</v>
      </c>
      <c r="AG38" s="1041">
        <v>1211.19</v>
      </c>
      <c r="AH38" s="1387">
        <v>0</v>
      </c>
      <c r="AI38" s="1042">
        <f t="shared" si="16"/>
        <v>2617273.8199999998</v>
      </c>
    </row>
    <row r="39" spans="1:35" ht="15" customHeight="1" x14ac:dyDescent="0.25">
      <c r="A39" s="714" t="s">
        <v>92</v>
      </c>
      <c r="B39" s="713" t="s">
        <v>93</v>
      </c>
      <c r="C39" s="920" t="s">
        <v>268</v>
      </c>
      <c r="D39" s="1037">
        <f t="shared" si="8"/>
        <v>678568.53</v>
      </c>
      <c r="E39" s="1038">
        <f t="shared" si="9"/>
        <v>347581.93</v>
      </c>
      <c r="F39" s="1039">
        <f t="shared" si="10"/>
        <v>244200.08</v>
      </c>
      <c r="G39" s="1394">
        <f t="shared" si="11"/>
        <v>73433.77</v>
      </c>
      <c r="H39" s="1396">
        <f t="shared" si="12"/>
        <v>0</v>
      </c>
      <c r="I39" s="1396">
        <f t="shared" si="13"/>
        <v>1343784.3099999998</v>
      </c>
      <c r="J39" s="1397">
        <f t="shared" si="5"/>
        <v>73433.77</v>
      </c>
      <c r="K39" s="1392">
        <f t="shared" si="6"/>
        <v>317633.84999999998</v>
      </c>
      <c r="L39" s="1040"/>
      <c r="M39" s="1040"/>
      <c r="N39" s="1040"/>
      <c r="O39" s="1040"/>
      <c r="P39" s="1040"/>
      <c r="Q39" s="1040">
        <f t="shared" si="17"/>
        <v>0</v>
      </c>
      <c r="R39" s="1041"/>
      <c r="S39" s="1041"/>
      <c r="T39" s="1041"/>
      <c r="U39" s="1041"/>
      <c r="V39" s="1387"/>
      <c r="W39" s="1042">
        <f t="shared" si="14"/>
        <v>0</v>
      </c>
      <c r="X39" s="1042">
        <v>647995.25</v>
      </c>
      <c r="Y39" s="1041">
        <v>347581.93</v>
      </c>
      <c r="Z39" s="1041">
        <v>182617.49</v>
      </c>
      <c r="AA39" s="1041">
        <v>66685.16</v>
      </c>
      <c r="AB39" s="1387">
        <v>0</v>
      </c>
      <c r="AC39" s="1042">
        <f t="shared" si="15"/>
        <v>1244879.8299999998</v>
      </c>
      <c r="AD39" s="1042">
        <v>30573.279999999999</v>
      </c>
      <c r="AE39" s="1041">
        <v>0</v>
      </c>
      <c r="AF39" s="1041">
        <v>61582.59</v>
      </c>
      <c r="AG39" s="1041">
        <v>6748.61</v>
      </c>
      <c r="AH39" s="1387">
        <v>0</v>
      </c>
      <c r="AI39" s="1042">
        <f t="shared" si="16"/>
        <v>98904.48</v>
      </c>
    </row>
    <row r="40" spans="1:35" ht="15" customHeight="1" x14ac:dyDescent="0.25">
      <c r="A40" s="714" t="s">
        <v>94</v>
      </c>
      <c r="B40" s="713" t="s">
        <v>95</v>
      </c>
      <c r="C40" s="920" t="s">
        <v>264</v>
      </c>
      <c r="D40" s="1037">
        <f t="shared" si="8"/>
        <v>1050184.97</v>
      </c>
      <c r="E40" s="1038">
        <f t="shared" si="9"/>
        <v>427101.32</v>
      </c>
      <c r="F40" s="1039">
        <f t="shared" si="10"/>
        <v>752684.21</v>
      </c>
      <c r="G40" s="1394">
        <f t="shared" si="11"/>
        <v>1495.6599999999999</v>
      </c>
      <c r="H40" s="1396">
        <f t="shared" si="12"/>
        <v>0</v>
      </c>
      <c r="I40" s="1396">
        <f t="shared" si="13"/>
        <v>2231466.16</v>
      </c>
      <c r="J40" s="1397">
        <f t="shared" si="5"/>
        <v>1495.6599999999999</v>
      </c>
      <c r="K40" s="1392">
        <f t="shared" si="6"/>
        <v>754179.87</v>
      </c>
      <c r="L40" s="1040"/>
      <c r="M40" s="1040"/>
      <c r="N40" s="1040"/>
      <c r="O40" s="1040"/>
      <c r="P40" s="1040"/>
      <c r="Q40" s="1040">
        <f t="shared" si="17"/>
        <v>0</v>
      </c>
      <c r="R40" s="1041"/>
      <c r="S40" s="1041"/>
      <c r="T40" s="1041"/>
      <c r="U40" s="1041"/>
      <c r="V40" s="1387"/>
      <c r="W40" s="1042">
        <f t="shared" si="14"/>
        <v>0</v>
      </c>
      <c r="X40" s="1042">
        <v>797251.52</v>
      </c>
      <c r="Y40" s="1041">
        <v>427101.32</v>
      </c>
      <c r="Z40" s="1041">
        <v>224582.14</v>
      </c>
      <c r="AA40" s="1041">
        <v>1501.31</v>
      </c>
      <c r="AB40" s="1387">
        <v>0</v>
      </c>
      <c r="AC40" s="1042">
        <f t="shared" si="15"/>
        <v>1450436.29</v>
      </c>
      <c r="AD40" s="1042">
        <v>252933.45</v>
      </c>
      <c r="AE40" s="1041">
        <v>0</v>
      </c>
      <c r="AF40" s="1041">
        <v>528102.06999999995</v>
      </c>
      <c r="AG40" s="1041">
        <v>-5.65</v>
      </c>
      <c r="AH40" s="1387">
        <v>0</v>
      </c>
      <c r="AI40" s="1042">
        <f t="shared" si="16"/>
        <v>781029.87</v>
      </c>
    </row>
    <row r="41" spans="1:35" ht="15" customHeight="1" x14ac:dyDescent="0.25">
      <c r="A41" s="714" t="s">
        <v>96</v>
      </c>
      <c r="B41" s="713" t="s">
        <v>97</v>
      </c>
      <c r="C41" s="920" t="s">
        <v>266</v>
      </c>
      <c r="D41" s="1037">
        <f t="shared" si="8"/>
        <v>629918.39999999991</v>
      </c>
      <c r="E41" s="1038">
        <f t="shared" si="9"/>
        <v>246640.63</v>
      </c>
      <c r="F41" s="1039">
        <f t="shared" si="10"/>
        <v>483542.14</v>
      </c>
      <c r="G41" s="1394">
        <f t="shared" si="11"/>
        <v>15664.54</v>
      </c>
      <c r="H41" s="1396">
        <f t="shared" si="12"/>
        <v>0</v>
      </c>
      <c r="I41" s="1396">
        <f t="shared" si="13"/>
        <v>1375765.71</v>
      </c>
      <c r="J41" s="1397">
        <f t="shared" si="5"/>
        <v>15664.54</v>
      </c>
      <c r="K41" s="1392">
        <f t="shared" si="6"/>
        <v>499206.68</v>
      </c>
      <c r="L41" s="1040"/>
      <c r="M41" s="1040"/>
      <c r="N41" s="1040"/>
      <c r="O41" s="1040"/>
      <c r="P41" s="1040"/>
      <c r="Q41" s="1040">
        <f t="shared" si="17"/>
        <v>0</v>
      </c>
      <c r="R41" s="1041"/>
      <c r="S41" s="1041"/>
      <c r="T41" s="1041"/>
      <c r="U41" s="1041"/>
      <c r="V41" s="1387"/>
      <c r="W41" s="1042">
        <f t="shared" si="14"/>
        <v>0</v>
      </c>
      <c r="X41" s="1042">
        <v>457361.85</v>
      </c>
      <c r="Y41" s="1041">
        <v>246640.63</v>
      </c>
      <c r="Z41" s="1041">
        <v>129133.38</v>
      </c>
      <c r="AA41" s="1041">
        <v>15664.87</v>
      </c>
      <c r="AB41" s="1387">
        <v>0</v>
      </c>
      <c r="AC41" s="1042">
        <f t="shared" si="15"/>
        <v>848800.73</v>
      </c>
      <c r="AD41" s="1042">
        <v>172556.55</v>
      </c>
      <c r="AE41" s="1041">
        <v>0</v>
      </c>
      <c r="AF41" s="1041">
        <v>354408.76</v>
      </c>
      <c r="AG41" s="1041">
        <v>-0.33</v>
      </c>
      <c r="AH41" s="1387">
        <v>0</v>
      </c>
      <c r="AI41" s="1042">
        <f t="shared" si="16"/>
        <v>526964.9800000001</v>
      </c>
    </row>
    <row r="42" spans="1:35" ht="15" customHeight="1" x14ac:dyDescent="0.25">
      <c r="A42" s="714" t="s">
        <v>98</v>
      </c>
      <c r="B42" s="713" t="s">
        <v>99</v>
      </c>
      <c r="C42" s="920" t="s">
        <v>268</v>
      </c>
      <c r="D42" s="1037">
        <f t="shared" si="8"/>
        <v>633217.4</v>
      </c>
      <c r="E42" s="1038">
        <f t="shared" si="9"/>
        <v>326536.2</v>
      </c>
      <c r="F42" s="1039">
        <f t="shared" si="10"/>
        <v>219446.59000000003</v>
      </c>
      <c r="G42" s="1394">
        <f t="shared" si="11"/>
        <v>17401.739999999998</v>
      </c>
      <c r="H42" s="1396">
        <f t="shared" si="12"/>
        <v>0</v>
      </c>
      <c r="I42" s="1396">
        <f t="shared" si="13"/>
        <v>1196601.93</v>
      </c>
      <c r="J42" s="1397">
        <f t="shared" si="5"/>
        <v>17401.739999999998</v>
      </c>
      <c r="K42" s="1392">
        <f t="shared" si="6"/>
        <v>236848.33000000002</v>
      </c>
      <c r="L42" s="1040"/>
      <c r="M42" s="1040"/>
      <c r="N42" s="1040"/>
      <c r="O42" s="1040"/>
      <c r="P42" s="1040"/>
      <c r="Q42" s="1040">
        <f t="shared" si="17"/>
        <v>0</v>
      </c>
      <c r="R42" s="1041"/>
      <c r="S42" s="1041"/>
      <c r="T42" s="1041"/>
      <c r="U42" s="1041"/>
      <c r="V42" s="1387"/>
      <c r="W42" s="1042">
        <f t="shared" si="14"/>
        <v>0</v>
      </c>
      <c r="X42" s="1042">
        <v>609506.87</v>
      </c>
      <c r="Y42" s="1041">
        <v>326536.2</v>
      </c>
      <c r="Z42" s="1041">
        <v>171697.39</v>
      </c>
      <c r="AA42" s="1041">
        <v>17402.23</v>
      </c>
      <c r="AB42" s="1387">
        <v>0</v>
      </c>
      <c r="AC42" s="1042">
        <f t="shared" si="15"/>
        <v>1125142.69</v>
      </c>
      <c r="AD42" s="1042">
        <v>23710.53</v>
      </c>
      <c r="AE42" s="1041">
        <v>0</v>
      </c>
      <c r="AF42" s="1041">
        <v>47749.2</v>
      </c>
      <c r="AG42" s="1041">
        <v>-0.49</v>
      </c>
      <c r="AH42" s="1387">
        <v>0</v>
      </c>
      <c r="AI42" s="1042">
        <f t="shared" si="16"/>
        <v>71459.239999999991</v>
      </c>
    </row>
    <row r="43" spans="1:35" ht="15" customHeight="1" x14ac:dyDescent="0.25">
      <c r="A43" s="714" t="s">
        <v>100</v>
      </c>
      <c r="B43" s="713" t="s">
        <v>101</v>
      </c>
      <c r="C43" s="920" t="s">
        <v>267</v>
      </c>
      <c r="D43" s="1037">
        <f t="shared" si="8"/>
        <v>522573.77</v>
      </c>
      <c r="E43" s="1038">
        <f t="shared" si="9"/>
        <v>195970.08</v>
      </c>
      <c r="F43" s="1039">
        <f t="shared" si="10"/>
        <v>429753.27</v>
      </c>
      <c r="G43" s="1394">
        <f t="shared" si="11"/>
        <v>1631.53</v>
      </c>
      <c r="H43" s="1396">
        <f t="shared" si="12"/>
        <v>0</v>
      </c>
      <c r="I43" s="1396">
        <f t="shared" si="13"/>
        <v>1149928.6499999999</v>
      </c>
      <c r="J43" s="1397">
        <f t="shared" si="5"/>
        <v>1631.53</v>
      </c>
      <c r="K43" s="1392">
        <f t="shared" si="6"/>
        <v>431384.80000000005</v>
      </c>
      <c r="L43" s="1040"/>
      <c r="M43" s="1040"/>
      <c r="N43" s="1040"/>
      <c r="O43" s="1040"/>
      <c r="P43" s="1040"/>
      <c r="Q43" s="1040">
        <f t="shared" si="17"/>
        <v>0</v>
      </c>
      <c r="R43" s="1041"/>
      <c r="S43" s="1041"/>
      <c r="T43" s="1041"/>
      <c r="U43" s="1041"/>
      <c r="V43" s="1387"/>
      <c r="W43" s="1042">
        <f t="shared" si="14"/>
        <v>0</v>
      </c>
      <c r="X43" s="1042">
        <v>363517.94</v>
      </c>
      <c r="Y43" s="1041">
        <v>195970.08</v>
      </c>
      <c r="Z43" s="1041">
        <v>102626.63</v>
      </c>
      <c r="AA43" s="1041">
        <v>1636.52</v>
      </c>
      <c r="AB43" s="1387">
        <v>0</v>
      </c>
      <c r="AC43" s="1042">
        <f t="shared" si="15"/>
        <v>663751.17000000004</v>
      </c>
      <c r="AD43" s="1042">
        <v>159055.82999999999</v>
      </c>
      <c r="AE43" s="1041">
        <v>0</v>
      </c>
      <c r="AF43" s="1041">
        <v>327126.64</v>
      </c>
      <c r="AG43" s="1041">
        <v>-4.99</v>
      </c>
      <c r="AH43" s="1387">
        <v>0</v>
      </c>
      <c r="AI43" s="1042">
        <f t="shared" si="16"/>
        <v>486177.48</v>
      </c>
    </row>
    <row r="44" spans="1:35" ht="15" customHeight="1" x14ac:dyDescent="0.25">
      <c r="A44" s="714" t="s">
        <v>102</v>
      </c>
      <c r="B44" s="713" t="s">
        <v>103</v>
      </c>
      <c r="C44" s="920" t="s">
        <v>264</v>
      </c>
      <c r="D44" s="1037">
        <f t="shared" si="8"/>
        <v>993068.40999999992</v>
      </c>
      <c r="E44" s="1038">
        <f t="shared" si="9"/>
        <v>526107.44000000006</v>
      </c>
      <c r="F44" s="1039">
        <f t="shared" si="10"/>
        <v>297308.83999999997</v>
      </c>
      <c r="G44" s="1394">
        <f t="shared" si="11"/>
        <v>318542.23</v>
      </c>
      <c r="H44" s="1396">
        <f t="shared" si="12"/>
        <v>0</v>
      </c>
      <c r="I44" s="1396">
        <f t="shared" si="13"/>
        <v>2135026.92</v>
      </c>
      <c r="J44" s="1397">
        <f t="shared" si="5"/>
        <v>318542.23</v>
      </c>
      <c r="K44" s="1392">
        <f t="shared" si="6"/>
        <v>615851.06999999995</v>
      </c>
      <c r="L44" s="1040"/>
      <c r="M44" s="1040"/>
      <c r="N44" s="1040"/>
      <c r="O44" s="1040"/>
      <c r="P44" s="1040"/>
      <c r="Q44" s="1040">
        <f t="shared" si="17"/>
        <v>0</v>
      </c>
      <c r="R44" s="1041">
        <v>3768.09</v>
      </c>
      <c r="S44" s="1041">
        <v>1306.29</v>
      </c>
      <c r="T44" s="1041">
        <v>0</v>
      </c>
      <c r="U44" s="1041">
        <v>-0.04</v>
      </c>
      <c r="V44" s="1387">
        <v>0</v>
      </c>
      <c r="W44" s="1042">
        <f t="shared" si="14"/>
        <v>5074.34</v>
      </c>
      <c r="X44" s="1042">
        <v>978603.97</v>
      </c>
      <c r="Y44" s="1041">
        <v>524801.15</v>
      </c>
      <c r="Z44" s="1041">
        <v>275768.59999999998</v>
      </c>
      <c r="AA44" s="1041">
        <v>318543.53999999998</v>
      </c>
      <c r="AB44" s="1387">
        <v>0</v>
      </c>
      <c r="AC44" s="1042">
        <f t="shared" si="15"/>
        <v>2097717.2600000002</v>
      </c>
      <c r="AD44" s="1042">
        <v>10696.35</v>
      </c>
      <c r="AE44" s="1041">
        <v>0</v>
      </c>
      <c r="AF44" s="1041">
        <v>21540.240000000002</v>
      </c>
      <c r="AG44" s="1041">
        <v>-1.27</v>
      </c>
      <c r="AH44" s="1387">
        <v>0</v>
      </c>
      <c r="AI44" s="1042">
        <f t="shared" si="16"/>
        <v>32235.320000000003</v>
      </c>
    </row>
    <row r="45" spans="1:35" ht="15" customHeight="1" x14ac:dyDescent="0.25">
      <c r="A45" s="714" t="s">
        <v>104</v>
      </c>
      <c r="B45" s="713" t="s">
        <v>309</v>
      </c>
      <c r="C45" s="920" t="s">
        <v>265</v>
      </c>
      <c r="D45" s="1037">
        <f t="shared" si="8"/>
        <v>1649652.39</v>
      </c>
      <c r="E45" s="1038">
        <f t="shared" si="9"/>
        <v>808998.86</v>
      </c>
      <c r="F45" s="1039">
        <f t="shared" si="10"/>
        <v>717596.15999999992</v>
      </c>
      <c r="G45" s="1394">
        <f t="shared" si="11"/>
        <v>62674.23</v>
      </c>
      <c r="H45" s="1396">
        <f t="shared" si="12"/>
        <v>0</v>
      </c>
      <c r="I45" s="1396">
        <f t="shared" si="13"/>
        <v>3238921.6399999997</v>
      </c>
      <c r="J45" s="1397">
        <f t="shared" si="5"/>
        <v>62674.23</v>
      </c>
      <c r="K45" s="1392">
        <f t="shared" si="6"/>
        <v>780270.3899999999</v>
      </c>
      <c r="L45" s="1040"/>
      <c r="M45" s="1040"/>
      <c r="N45" s="1040"/>
      <c r="O45" s="1040"/>
      <c r="P45" s="1040"/>
      <c r="Q45" s="1040">
        <f t="shared" si="17"/>
        <v>0</v>
      </c>
      <c r="R45" s="1041">
        <v>1361.68</v>
      </c>
      <c r="S45" s="1041">
        <v>468.6</v>
      </c>
      <c r="T45" s="1041">
        <v>0</v>
      </c>
      <c r="U45" s="1041">
        <v>0</v>
      </c>
      <c r="V45" s="1387">
        <v>0</v>
      </c>
      <c r="W45" s="1042">
        <f t="shared" si="14"/>
        <v>1830.2800000000002</v>
      </c>
      <c r="X45" s="1042">
        <v>1507793.27</v>
      </c>
      <c r="Y45" s="1041">
        <v>808530.26</v>
      </c>
      <c r="Z45" s="1041">
        <v>424885.31</v>
      </c>
      <c r="AA45" s="1041">
        <v>62676.07</v>
      </c>
      <c r="AB45" s="1387">
        <v>0</v>
      </c>
      <c r="AC45" s="1042">
        <f t="shared" si="15"/>
        <v>2803884.91</v>
      </c>
      <c r="AD45" s="1042">
        <v>140497.44</v>
      </c>
      <c r="AE45" s="1041">
        <v>0</v>
      </c>
      <c r="AF45" s="1041">
        <v>292710.84999999998</v>
      </c>
      <c r="AG45" s="1041">
        <v>-1.84</v>
      </c>
      <c r="AH45" s="1387">
        <v>0</v>
      </c>
      <c r="AI45" s="1042">
        <f t="shared" si="16"/>
        <v>433206.44999999995</v>
      </c>
    </row>
    <row r="46" spans="1:35" ht="15" customHeight="1" x14ac:dyDescent="0.25">
      <c r="A46" s="714" t="s">
        <v>108</v>
      </c>
      <c r="B46" s="713" t="s">
        <v>109</v>
      </c>
      <c r="C46" s="920" t="s">
        <v>266</v>
      </c>
      <c r="D46" s="1037">
        <f t="shared" si="8"/>
        <v>1575069.71</v>
      </c>
      <c r="E46" s="1038">
        <f t="shared" si="9"/>
        <v>561287.48</v>
      </c>
      <c r="F46" s="1039">
        <f t="shared" si="10"/>
        <v>1356203.02</v>
      </c>
      <c r="G46" s="1394">
        <f t="shared" si="11"/>
        <v>52007.56</v>
      </c>
      <c r="H46" s="1396">
        <f t="shared" si="12"/>
        <v>0</v>
      </c>
      <c r="I46" s="1396">
        <f t="shared" si="13"/>
        <v>3544567.77</v>
      </c>
      <c r="J46" s="1397">
        <f t="shared" si="5"/>
        <v>52007.56</v>
      </c>
      <c r="K46" s="1392">
        <f t="shared" si="6"/>
        <v>1408210.58</v>
      </c>
      <c r="L46" s="1040">
        <v>19736.21</v>
      </c>
      <c r="M46" s="1040">
        <v>0</v>
      </c>
      <c r="N46" s="1040">
        <v>6806.94</v>
      </c>
      <c r="O46" s="1040">
        <v>-0.24</v>
      </c>
      <c r="P46" s="1040">
        <v>0</v>
      </c>
      <c r="Q46" s="1040">
        <f t="shared" si="17"/>
        <v>26542.909999999996</v>
      </c>
      <c r="R46" s="1041">
        <v>5319.87</v>
      </c>
      <c r="S46" s="1041">
        <v>1835.14</v>
      </c>
      <c r="T46" s="1041">
        <v>0</v>
      </c>
      <c r="U46" s="1041">
        <v>-0.01</v>
      </c>
      <c r="V46" s="1387">
        <v>0</v>
      </c>
      <c r="W46" s="1042">
        <f t="shared" si="14"/>
        <v>7155</v>
      </c>
      <c r="X46" s="1042">
        <v>1037041.53</v>
      </c>
      <c r="Y46" s="1041">
        <v>559452.34</v>
      </c>
      <c r="Z46" s="1041">
        <v>292846.59000000003</v>
      </c>
      <c r="AA46" s="1041">
        <v>39546.269999999997</v>
      </c>
      <c r="AB46" s="1387">
        <v>0</v>
      </c>
      <c r="AC46" s="1042">
        <f t="shared" si="15"/>
        <v>1928886.7300000002</v>
      </c>
      <c r="AD46" s="1042">
        <v>512972.1</v>
      </c>
      <c r="AE46" s="1041">
        <v>0</v>
      </c>
      <c r="AF46" s="1041">
        <v>1056549.49</v>
      </c>
      <c r="AG46" s="1041">
        <v>12461.54</v>
      </c>
      <c r="AH46" s="1387">
        <v>0</v>
      </c>
      <c r="AI46" s="1042">
        <f t="shared" si="16"/>
        <v>1581983.13</v>
      </c>
    </row>
    <row r="47" spans="1:35" ht="15" customHeight="1" x14ac:dyDescent="0.25">
      <c r="A47" s="714" t="s">
        <v>110</v>
      </c>
      <c r="B47" s="713" t="s">
        <v>111</v>
      </c>
      <c r="C47" s="920" t="s">
        <v>266</v>
      </c>
      <c r="D47" s="1037">
        <f t="shared" si="8"/>
        <v>5742236.0500000007</v>
      </c>
      <c r="E47" s="1038">
        <f t="shared" si="9"/>
        <v>2319731.4</v>
      </c>
      <c r="F47" s="1039">
        <f t="shared" si="10"/>
        <v>3910372.6500000004</v>
      </c>
      <c r="G47" s="1394">
        <f t="shared" si="11"/>
        <v>86791.9</v>
      </c>
      <c r="H47" s="1396">
        <f t="shared" si="12"/>
        <v>0</v>
      </c>
      <c r="I47" s="1396">
        <f t="shared" si="13"/>
        <v>12059132</v>
      </c>
      <c r="J47" s="1397">
        <f t="shared" si="5"/>
        <v>86791.9</v>
      </c>
      <c r="K47" s="1392">
        <f t="shared" si="6"/>
        <v>3997164.5500000003</v>
      </c>
      <c r="L47" s="1040">
        <v>123114.45</v>
      </c>
      <c r="M47" s="1040">
        <v>0</v>
      </c>
      <c r="N47" s="1040">
        <v>42474.31</v>
      </c>
      <c r="O47" s="1040">
        <v>-0.28000000000000003</v>
      </c>
      <c r="P47" s="1040">
        <v>0</v>
      </c>
      <c r="Q47" s="1040">
        <f t="shared" si="17"/>
        <v>165588.48000000001</v>
      </c>
      <c r="R47" s="1041">
        <v>27457.62</v>
      </c>
      <c r="S47" s="1041">
        <v>9245.0400000000009</v>
      </c>
      <c r="T47" s="1041">
        <v>0</v>
      </c>
      <c r="U47" s="1041">
        <v>0</v>
      </c>
      <c r="V47" s="1387">
        <v>0</v>
      </c>
      <c r="W47" s="1042">
        <f t="shared" si="14"/>
        <v>36702.660000000003</v>
      </c>
      <c r="X47" s="1042">
        <v>4294312.57</v>
      </c>
      <c r="Y47" s="1041">
        <v>2310486.36</v>
      </c>
      <c r="Z47" s="1041">
        <v>1211526.24</v>
      </c>
      <c r="AA47" s="1041">
        <v>36674.81</v>
      </c>
      <c r="AB47" s="1387">
        <v>0</v>
      </c>
      <c r="AC47" s="1042">
        <f t="shared" si="15"/>
        <v>7852999.9799999995</v>
      </c>
      <c r="AD47" s="1042">
        <v>1297351.4099999999</v>
      </c>
      <c r="AE47" s="1041">
        <v>0</v>
      </c>
      <c r="AF47" s="1041">
        <v>2656372.1</v>
      </c>
      <c r="AG47" s="1041">
        <v>50117.37</v>
      </c>
      <c r="AH47" s="1387">
        <v>0</v>
      </c>
      <c r="AI47" s="1042">
        <f t="shared" si="16"/>
        <v>4003840.88</v>
      </c>
    </row>
    <row r="48" spans="1:35" ht="15" customHeight="1" x14ac:dyDescent="0.25">
      <c r="A48" s="714" t="s">
        <v>112</v>
      </c>
      <c r="B48" s="713" t="s">
        <v>300</v>
      </c>
      <c r="C48" s="920" t="s">
        <v>265</v>
      </c>
      <c r="D48" s="1037">
        <f t="shared" si="8"/>
        <v>2500207.8199999998</v>
      </c>
      <c r="E48" s="1038">
        <f t="shared" si="9"/>
        <v>1294197.6399999999</v>
      </c>
      <c r="F48" s="1039">
        <f t="shared" si="10"/>
        <v>700512.14</v>
      </c>
      <c r="G48" s="1394">
        <f t="shared" si="11"/>
        <v>9638.9499999999989</v>
      </c>
      <c r="H48" s="1396">
        <f t="shared" si="12"/>
        <v>0</v>
      </c>
      <c r="I48" s="1396">
        <f t="shared" si="13"/>
        <v>4504556.55</v>
      </c>
      <c r="J48" s="1397">
        <f t="shared" si="5"/>
        <v>9638.9499999999989</v>
      </c>
      <c r="K48" s="1392">
        <f t="shared" si="6"/>
        <v>710151.09</v>
      </c>
      <c r="L48" s="1040">
        <v>74411.42</v>
      </c>
      <c r="M48" s="1040">
        <v>0</v>
      </c>
      <c r="N48" s="1040">
        <v>25665.23</v>
      </c>
      <c r="O48" s="1040">
        <v>-0.26</v>
      </c>
      <c r="P48" s="1040">
        <v>0</v>
      </c>
      <c r="Q48" s="1040">
        <f t="shared" si="17"/>
        <v>100076.39</v>
      </c>
      <c r="R48" s="1042">
        <v>30501.84</v>
      </c>
      <c r="S48" s="1041">
        <v>10516.94</v>
      </c>
      <c r="T48" s="1042">
        <v>0</v>
      </c>
      <c r="U48" s="1042">
        <v>-0.06</v>
      </c>
      <c r="V48" s="1042">
        <v>0</v>
      </c>
      <c r="W48" s="1042">
        <f t="shared" si="14"/>
        <v>41018.720000000001</v>
      </c>
      <c r="X48" s="1042">
        <v>2395289.96</v>
      </c>
      <c r="Y48" s="1041">
        <v>1283680.7</v>
      </c>
      <c r="Z48" s="1042">
        <v>674837.1</v>
      </c>
      <c r="AA48" s="1042">
        <v>9639.31</v>
      </c>
      <c r="AB48" s="1042">
        <v>0</v>
      </c>
      <c r="AC48" s="1042">
        <f t="shared" si="15"/>
        <v>4363447.0699999994</v>
      </c>
      <c r="AD48" s="1042">
        <v>4.5999999999999996</v>
      </c>
      <c r="AE48" s="1041">
        <v>0</v>
      </c>
      <c r="AF48" s="1042">
        <v>9.81</v>
      </c>
      <c r="AG48" s="1042">
        <v>-0.04</v>
      </c>
      <c r="AH48" s="1042">
        <v>0</v>
      </c>
      <c r="AI48" s="1042">
        <f t="shared" si="16"/>
        <v>14.370000000000001</v>
      </c>
    </row>
    <row r="49" spans="1:35" ht="15" customHeight="1" x14ac:dyDescent="0.25">
      <c r="A49" s="714" t="s">
        <v>114</v>
      </c>
      <c r="B49" s="713" t="s">
        <v>115</v>
      </c>
      <c r="C49" s="920" t="s">
        <v>265</v>
      </c>
      <c r="D49" s="1037">
        <f t="shared" si="8"/>
        <v>110839.72</v>
      </c>
      <c r="E49" s="1038">
        <f t="shared" si="9"/>
        <v>55952.25</v>
      </c>
      <c r="F49" s="1039">
        <f t="shared" si="10"/>
        <v>42376.59</v>
      </c>
      <c r="G49" s="1394">
        <f t="shared" si="11"/>
        <v>3858.44</v>
      </c>
      <c r="H49" s="1396">
        <f t="shared" si="12"/>
        <v>0</v>
      </c>
      <c r="I49" s="1396">
        <f t="shared" si="13"/>
        <v>213027</v>
      </c>
      <c r="J49" s="1397">
        <f t="shared" si="5"/>
        <v>3858.44</v>
      </c>
      <c r="K49" s="1392">
        <f t="shared" si="6"/>
        <v>46235.03</v>
      </c>
      <c r="L49" s="1040"/>
      <c r="M49" s="1040"/>
      <c r="N49" s="1040"/>
      <c r="O49" s="1040"/>
      <c r="P49" s="1040"/>
      <c r="Q49" s="1040">
        <f t="shared" si="17"/>
        <v>0</v>
      </c>
      <c r="R49" s="1042"/>
      <c r="S49" s="1041"/>
      <c r="T49" s="1042"/>
      <c r="U49" s="1042"/>
      <c r="V49" s="1042"/>
      <c r="W49" s="1042">
        <f t="shared" si="14"/>
        <v>0</v>
      </c>
      <c r="X49" s="1042">
        <v>104402.08</v>
      </c>
      <c r="Y49" s="1041">
        <v>55952.25</v>
      </c>
      <c r="Z49" s="1042">
        <v>29412.2</v>
      </c>
      <c r="AA49" s="1042">
        <v>358.08</v>
      </c>
      <c r="AB49" s="1042">
        <v>0</v>
      </c>
      <c r="AC49" s="1042">
        <f t="shared" si="15"/>
        <v>190124.61000000002</v>
      </c>
      <c r="AD49" s="1042">
        <v>6437.64</v>
      </c>
      <c r="AE49" s="1041">
        <v>0</v>
      </c>
      <c r="AF49" s="1042">
        <v>12964.39</v>
      </c>
      <c r="AG49" s="1042">
        <v>3500.36</v>
      </c>
      <c r="AH49" s="1042">
        <v>0</v>
      </c>
      <c r="AI49" s="1042">
        <f t="shared" si="16"/>
        <v>22902.39</v>
      </c>
    </row>
    <row r="50" spans="1:35" ht="15" customHeight="1" x14ac:dyDescent="0.25">
      <c r="A50" s="714" t="s">
        <v>118</v>
      </c>
      <c r="B50" s="713" t="s">
        <v>119</v>
      </c>
      <c r="C50" s="920" t="s">
        <v>264</v>
      </c>
      <c r="D50" s="1037">
        <f t="shared" si="8"/>
        <v>1145957.9000000001</v>
      </c>
      <c r="E50" s="1038">
        <f t="shared" si="9"/>
        <v>519887.46</v>
      </c>
      <c r="F50" s="1039">
        <f t="shared" si="10"/>
        <v>630371.64</v>
      </c>
      <c r="G50" s="1394">
        <f t="shared" si="11"/>
        <v>3437.77</v>
      </c>
      <c r="H50" s="1396">
        <f t="shared" si="12"/>
        <v>0</v>
      </c>
      <c r="I50" s="1396">
        <f t="shared" si="13"/>
        <v>2299654.7700000005</v>
      </c>
      <c r="J50" s="1397">
        <f t="shared" si="5"/>
        <v>3437.77</v>
      </c>
      <c r="K50" s="1392">
        <f t="shared" si="6"/>
        <v>633809.41</v>
      </c>
      <c r="L50" s="1040"/>
      <c r="M50" s="1040"/>
      <c r="N50" s="1040"/>
      <c r="O50" s="1040"/>
      <c r="P50" s="1040"/>
      <c r="Q50" s="1040">
        <f t="shared" si="17"/>
        <v>0</v>
      </c>
      <c r="R50" s="1041"/>
      <c r="S50" s="1041"/>
      <c r="T50" s="1041"/>
      <c r="U50" s="1041"/>
      <c r="V50" s="1387"/>
      <c r="W50" s="1042">
        <f t="shared" si="14"/>
        <v>0</v>
      </c>
      <c r="X50" s="1042">
        <v>972272.42</v>
      </c>
      <c r="Y50" s="1041">
        <v>519887.46</v>
      </c>
      <c r="Z50" s="1041">
        <v>273709.09000000003</v>
      </c>
      <c r="AA50" s="1041">
        <v>2687.83</v>
      </c>
      <c r="AB50" s="1387">
        <v>0</v>
      </c>
      <c r="AC50" s="1042">
        <f t="shared" si="15"/>
        <v>1768556.8000000003</v>
      </c>
      <c r="AD50" s="1042">
        <v>173685.48</v>
      </c>
      <c r="AE50" s="1041">
        <v>0</v>
      </c>
      <c r="AF50" s="1041">
        <v>356662.55</v>
      </c>
      <c r="AG50" s="1041">
        <v>749.94</v>
      </c>
      <c r="AH50" s="1387">
        <v>0</v>
      </c>
      <c r="AI50" s="1042">
        <f t="shared" si="16"/>
        <v>531097.97</v>
      </c>
    </row>
    <row r="51" spans="1:35" ht="15" customHeight="1" x14ac:dyDescent="0.25">
      <c r="A51" s="714" t="s">
        <v>120</v>
      </c>
      <c r="B51" s="713" t="s">
        <v>121</v>
      </c>
      <c r="C51" s="920" t="s">
        <v>264</v>
      </c>
      <c r="D51" s="1037">
        <f t="shared" si="8"/>
        <v>1538192.48</v>
      </c>
      <c r="E51" s="1038">
        <f t="shared" si="9"/>
        <v>595726.82999999996</v>
      </c>
      <c r="F51" s="1039">
        <f t="shared" si="10"/>
        <v>1179872.4300000002</v>
      </c>
      <c r="G51" s="1394">
        <f t="shared" si="11"/>
        <v>402581.06999999995</v>
      </c>
      <c r="H51" s="1396">
        <f t="shared" si="12"/>
        <v>0</v>
      </c>
      <c r="I51" s="1396">
        <f t="shared" si="13"/>
        <v>3716372.8100000005</v>
      </c>
      <c r="J51" s="1397">
        <f t="shared" si="5"/>
        <v>402581.06999999995</v>
      </c>
      <c r="K51" s="1392">
        <f t="shared" si="6"/>
        <v>1582453.5</v>
      </c>
      <c r="L51" s="1040"/>
      <c r="M51" s="1040"/>
      <c r="N51" s="1040"/>
      <c r="O51" s="1040"/>
      <c r="P51" s="1040"/>
      <c r="Q51" s="1040">
        <f t="shared" si="17"/>
        <v>0</v>
      </c>
      <c r="R51" s="1041"/>
      <c r="S51" s="1041"/>
      <c r="T51" s="1041"/>
      <c r="U51" s="1041"/>
      <c r="V51" s="1387"/>
      <c r="W51" s="1042">
        <f t="shared" si="14"/>
        <v>0</v>
      </c>
      <c r="X51" s="1042">
        <v>1112209.8500000001</v>
      </c>
      <c r="Y51" s="1041">
        <v>595726.82999999996</v>
      </c>
      <c r="Z51" s="1041">
        <v>313288.14</v>
      </c>
      <c r="AA51" s="1041">
        <v>320645.09999999998</v>
      </c>
      <c r="AB51" s="1387">
        <v>0</v>
      </c>
      <c r="AC51" s="1042">
        <f t="shared" si="15"/>
        <v>2341869.9200000004</v>
      </c>
      <c r="AD51" s="1042">
        <v>425982.63</v>
      </c>
      <c r="AE51" s="1041">
        <v>0</v>
      </c>
      <c r="AF51" s="1041">
        <v>866584.29</v>
      </c>
      <c r="AG51" s="1041">
        <v>81935.97</v>
      </c>
      <c r="AH51" s="1387">
        <v>0</v>
      </c>
      <c r="AI51" s="1042">
        <f t="shared" si="16"/>
        <v>1374502.89</v>
      </c>
    </row>
    <row r="52" spans="1:35" ht="15" customHeight="1" x14ac:dyDescent="0.25">
      <c r="A52" s="714" t="s">
        <v>122</v>
      </c>
      <c r="B52" s="713" t="s">
        <v>271</v>
      </c>
      <c r="C52" s="920" t="s">
        <v>266</v>
      </c>
      <c r="D52" s="1037">
        <f t="shared" si="8"/>
        <v>410269.82</v>
      </c>
      <c r="E52" s="1038">
        <f t="shared" si="9"/>
        <v>186885.13</v>
      </c>
      <c r="F52" s="1039">
        <f t="shared" si="10"/>
        <v>229415.44</v>
      </c>
      <c r="G52" s="1394">
        <f t="shared" si="11"/>
        <v>2037.49</v>
      </c>
      <c r="H52" s="1396">
        <f t="shared" si="12"/>
        <v>0</v>
      </c>
      <c r="I52" s="1396">
        <f t="shared" si="13"/>
        <v>828607.88</v>
      </c>
      <c r="J52" s="1397">
        <f t="shared" si="5"/>
        <v>2037.49</v>
      </c>
      <c r="K52" s="1392">
        <f t="shared" si="6"/>
        <v>231452.93</v>
      </c>
      <c r="L52" s="1040"/>
      <c r="M52" s="1040"/>
      <c r="N52" s="1040"/>
      <c r="O52" s="1040"/>
      <c r="P52" s="1040"/>
      <c r="Q52" s="1040">
        <f t="shared" si="17"/>
        <v>0</v>
      </c>
      <c r="R52" s="1041"/>
      <c r="S52" s="1041"/>
      <c r="T52" s="1041"/>
      <c r="U52" s="1041"/>
      <c r="V52" s="1387"/>
      <c r="W52" s="1042">
        <f t="shared" si="14"/>
        <v>0</v>
      </c>
      <c r="X52" s="1042">
        <v>347379.14</v>
      </c>
      <c r="Y52" s="1041">
        <v>186885.13</v>
      </c>
      <c r="Z52" s="1041">
        <v>97998.74</v>
      </c>
      <c r="AA52" s="1041">
        <v>1877.73</v>
      </c>
      <c r="AB52" s="1387">
        <v>0</v>
      </c>
      <c r="AC52" s="1042">
        <f t="shared" si="15"/>
        <v>634140.74</v>
      </c>
      <c r="AD52" s="1042">
        <v>62890.68</v>
      </c>
      <c r="AE52" s="1041">
        <v>0</v>
      </c>
      <c r="AF52" s="1041">
        <v>131416.70000000001</v>
      </c>
      <c r="AG52" s="1041">
        <v>159.76</v>
      </c>
      <c r="AH52" s="1387">
        <v>0</v>
      </c>
      <c r="AI52" s="1042">
        <f t="shared" si="16"/>
        <v>194467.14</v>
      </c>
    </row>
    <row r="53" spans="1:35" ht="15" customHeight="1" x14ac:dyDescent="0.25">
      <c r="A53" s="714" t="s">
        <v>124</v>
      </c>
      <c r="B53" s="713" t="s">
        <v>125</v>
      </c>
      <c r="C53" s="920" t="s">
        <v>267</v>
      </c>
      <c r="D53" s="1037">
        <f t="shared" si="8"/>
        <v>667978.49</v>
      </c>
      <c r="E53" s="1038">
        <f t="shared" si="9"/>
        <v>237416.03</v>
      </c>
      <c r="F53" s="1039">
        <f t="shared" si="10"/>
        <v>597332.66</v>
      </c>
      <c r="G53" s="1394">
        <f t="shared" si="11"/>
        <v>96283.58</v>
      </c>
      <c r="H53" s="1396">
        <f t="shared" si="12"/>
        <v>0</v>
      </c>
      <c r="I53" s="1396">
        <f t="shared" si="13"/>
        <v>1599010.7599999998</v>
      </c>
      <c r="J53" s="1397">
        <f t="shared" si="5"/>
        <v>96283.58</v>
      </c>
      <c r="K53" s="1392">
        <f t="shared" si="6"/>
        <v>693616.24</v>
      </c>
      <c r="L53" s="1040"/>
      <c r="M53" s="1040"/>
      <c r="N53" s="1040"/>
      <c r="O53" s="1040"/>
      <c r="P53" s="1040"/>
      <c r="Q53" s="1040">
        <f t="shared" si="17"/>
        <v>0</v>
      </c>
      <c r="R53" s="1041"/>
      <c r="S53" s="1041"/>
      <c r="T53" s="1041"/>
      <c r="U53" s="1041"/>
      <c r="V53" s="1387"/>
      <c r="W53" s="1042">
        <f t="shared" si="14"/>
        <v>0</v>
      </c>
      <c r="X53" s="1042">
        <v>442166.68</v>
      </c>
      <c r="Y53" s="1041">
        <v>237416.03</v>
      </c>
      <c r="Z53" s="1041">
        <v>124655.59</v>
      </c>
      <c r="AA53" s="1041">
        <v>84149.38</v>
      </c>
      <c r="AB53" s="1387">
        <v>0</v>
      </c>
      <c r="AC53" s="1042">
        <f t="shared" si="15"/>
        <v>888387.67999999993</v>
      </c>
      <c r="AD53" s="1042">
        <v>225811.81</v>
      </c>
      <c r="AE53" s="1041">
        <v>0</v>
      </c>
      <c r="AF53" s="1041">
        <v>472677.07</v>
      </c>
      <c r="AG53" s="1041">
        <v>12134.2</v>
      </c>
      <c r="AH53" s="1387">
        <v>0</v>
      </c>
      <c r="AI53" s="1042">
        <f t="shared" si="16"/>
        <v>710623.08</v>
      </c>
    </row>
    <row r="54" spans="1:35" ht="15" customHeight="1" x14ac:dyDescent="0.25">
      <c r="A54" s="714" t="s">
        <v>126</v>
      </c>
      <c r="B54" s="713" t="s">
        <v>127</v>
      </c>
      <c r="C54" s="920" t="s">
        <v>266</v>
      </c>
      <c r="D54" s="1037">
        <f t="shared" si="8"/>
        <v>381881.29000000004</v>
      </c>
      <c r="E54" s="1038">
        <f t="shared" si="9"/>
        <v>170588.17</v>
      </c>
      <c r="F54" s="1039">
        <f t="shared" si="10"/>
        <v>221407.16</v>
      </c>
      <c r="G54" s="1394">
        <f t="shared" si="11"/>
        <v>7170.05</v>
      </c>
      <c r="H54" s="1396">
        <f t="shared" si="12"/>
        <v>0</v>
      </c>
      <c r="I54" s="1396">
        <f t="shared" si="13"/>
        <v>781046.67</v>
      </c>
      <c r="J54" s="1397">
        <f t="shared" si="5"/>
        <v>7170.05</v>
      </c>
      <c r="K54" s="1392">
        <f t="shared" si="6"/>
        <v>228577.21</v>
      </c>
      <c r="L54" s="1040"/>
      <c r="M54" s="1040"/>
      <c r="N54" s="1040"/>
      <c r="O54" s="1040"/>
      <c r="P54" s="1040"/>
      <c r="Q54" s="1040">
        <f t="shared" si="17"/>
        <v>0</v>
      </c>
      <c r="R54" s="1041">
        <v>74.25</v>
      </c>
      <c r="S54" s="1041">
        <v>25.75</v>
      </c>
      <c r="T54" s="1041">
        <v>0</v>
      </c>
      <c r="U54" s="1041">
        <v>0</v>
      </c>
      <c r="V54" s="1387">
        <v>0</v>
      </c>
      <c r="W54" s="1042">
        <f t="shared" si="14"/>
        <v>100</v>
      </c>
      <c r="X54" s="1042">
        <v>318108.84000000003</v>
      </c>
      <c r="Y54" s="1041">
        <v>170562.42</v>
      </c>
      <c r="Z54" s="1041">
        <v>89635.78</v>
      </c>
      <c r="AA54" s="1041">
        <v>6871.64</v>
      </c>
      <c r="AB54" s="1387">
        <v>0</v>
      </c>
      <c r="AC54" s="1042">
        <f t="shared" si="15"/>
        <v>585178.68000000005</v>
      </c>
      <c r="AD54" s="1042">
        <v>63698.2</v>
      </c>
      <c r="AE54" s="1041">
        <v>0</v>
      </c>
      <c r="AF54" s="1041">
        <v>131771.38</v>
      </c>
      <c r="AG54" s="1041">
        <v>298.41000000000003</v>
      </c>
      <c r="AH54" s="1387">
        <v>0</v>
      </c>
      <c r="AI54" s="1042">
        <f t="shared" si="16"/>
        <v>195767.99000000002</v>
      </c>
    </row>
    <row r="55" spans="1:35" ht="15" customHeight="1" x14ac:dyDescent="0.25">
      <c r="A55" s="714" t="s">
        <v>128</v>
      </c>
      <c r="B55" s="713" t="s">
        <v>129</v>
      </c>
      <c r="C55" s="920" t="s">
        <v>266</v>
      </c>
      <c r="D55" s="1037">
        <f t="shared" si="8"/>
        <v>605162.57999999996</v>
      </c>
      <c r="E55" s="1038">
        <f t="shared" si="9"/>
        <v>292189.18</v>
      </c>
      <c r="F55" s="1039">
        <f t="shared" si="10"/>
        <v>274620.90000000002</v>
      </c>
      <c r="G55" s="1394">
        <f t="shared" si="11"/>
        <v>23020.079999999998</v>
      </c>
      <c r="H55" s="1396">
        <f t="shared" si="12"/>
        <v>0</v>
      </c>
      <c r="I55" s="1396">
        <f t="shared" si="13"/>
        <v>1194992.74</v>
      </c>
      <c r="J55" s="1397">
        <f t="shared" si="5"/>
        <v>23020.079999999998</v>
      </c>
      <c r="K55" s="1392">
        <f t="shared" si="6"/>
        <v>297640.98000000004</v>
      </c>
      <c r="L55" s="1040"/>
      <c r="M55" s="1040"/>
      <c r="N55" s="1040"/>
      <c r="O55" s="1040"/>
      <c r="P55" s="1040"/>
      <c r="Q55" s="1040">
        <f t="shared" si="17"/>
        <v>0</v>
      </c>
      <c r="R55" s="1041"/>
      <c r="S55" s="1041"/>
      <c r="T55" s="1041"/>
      <c r="U55" s="1041"/>
      <c r="V55" s="1387"/>
      <c r="W55" s="1042">
        <f t="shared" si="14"/>
        <v>0</v>
      </c>
      <c r="X55" s="1042">
        <v>545055.32999999996</v>
      </c>
      <c r="Y55" s="1041">
        <v>292189.18</v>
      </c>
      <c r="Z55" s="1041">
        <v>153574.66</v>
      </c>
      <c r="AA55" s="1041">
        <v>23021.35</v>
      </c>
      <c r="AB55" s="1387">
        <v>0</v>
      </c>
      <c r="AC55" s="1042">
        <f t="shared" si="15"/>
        <v>1013840.52</v>
      </c>
      <c r="AD55" s="1042">
        <v>60107.25</v>
      </c>
      <c r="AE55" s="1041">
        <v>0</v>
      </c>
      <c r="AF55" s="1041">
        <v>121046.24</v>
      </c>
      <c r="AG55" s="1041">
        <v>-1.27</v>
      </c>
      <c r="AH55" s="1387">
        <v>0</v>
      </c>
      <c r="AI55" s="1042">
        <f t="shared" si="16"/>
        <v>181152.22</v>
      </c>
    </row>
    <row r="56" spans="1:35" ht="15" customHeight="1" x14ac:dyDescent="0.25">
      <c r="A56" s="714" t="s">
        <v>130</v>
      </c>
      <c r="B56" s="713" t="s">
        <v>131</v>
      </c>
      <c r="C56" s="920" t="s">
        <v>268</v>
      </c>
      <c r="D56" s="1037">
        <f t="shared" si="8"/>
        <v>1625323.8800000001</v>
      </c>
      <c r="E56" s="1038">
        <f t="shared" si="9"/>
        <v>860837.92</v>
      </c>
      <c r="F56" s="1039">
        <f t="shared" si="10"/>
        <v>489698.05</v>
      </c>
      <c r="G56" s="1394">
        <f t="shared" si="11"/>
        <v>18149.55</v>
      </c>
      <c r="H56" s="1396">
        <f t="shared" si="12"/>
        <v>0</v>
      </c>
      <c r="I56" s="1396">
        <f t="shared" si="13"/>
        <v>2994009.4</v>
      </c>
      <c r="J56" s="1397">
        <f t="shared" si="5"/>
        <v>18149.55</v>
      </c>
      <c r="K56" s="1392">
        <f t="shared" si="6"/>
        <v>507847.6</v>
      </c>
      <c r="L56" s="1040"/>
      <c r="M56" s="1040"/>
      <c r="N56" s="1040"/>
      <c r="O56" s="1040"/>
      <c r="P56" s="1040"/>
      <c r="Q56" s="1040">
        <f t="shared" si="17"/>
        <v>0</v>
      </c>
      <c r="R56" s="1041"/>
      <c r="S56" s="1041"/>
      <c r="T56" s="1041"/>
      <c r="U56" s="1041"/>
      <c r="V56" s="1387"/>
      <c r="W56" s="1042">
        <f t="shared" si="14"/>
        <v>0</v>
      </c>
      <c r="X56" s="1042">
        <v>1606933.76</v>
      </c>
      <c r="Y56" s="1041">
        <v>860837.92</v>
      </c>
      <c r="Z56" s="1041">
        <v>452663.2</v>
      </c>
      <c r="AA56" s="1041">
        <v>18150.259999999998</v>
      </c>
      <c r="AB56" s="1387">
        <v>0</v>
      </c>
      <c r="AC56" s="1042">
        <f t="shared" si="15"/>
        <v>2938585.14</v>
      </c>
      <c r="AD56" s="1042">
        <v>18390.12</v>
      </c>
      <c r="AE56" s="1041">
        <v>0</v>
      </c>
      <c r="AF56" s="1041">
        <v>37034.85</v>
      </c>
      <c r="AG56" s="1041">
        <v>-0.71</v>
      </c>
      <c r="AH56" s="1387">
        <v>0</v>
      </c>
      <c r="AI56" s="1042">
        <f t="shared" si="16"/>
        <v>55424.26</v>
      </c>
    </row>
    <row r="57" spans="1:35" ht="15" customHeight="1" x14ac:dyDescent="0.25">
      <c r="A57" s="714" t="s">
        <v>132</v>
      </c>
      <c r="B57" s="713" t="s">
        <v>133</v>
      </c>
      <c r="C57" s="920" t="s">
        <v>267</v>
      </c>
      <c r="D57" s="1037">
        <f t="shared" si="8"/>
        <v>3870482.81</v>
      </c>
      <c r="E57" s="1038">
        <f t="shared" si="9"/>
        <v>934005.1</v>
      </c>
      <c r="F57" s="1039">
        <f t="shared" si="10"/>
        <v>4966520.49</v>
      </c>
      <c r="G57" s="1394">
        <f t="shared" si="11"/>
        <v>-13.28</v>
      </c>
      <c r="H57" s="1396">
        <f t="shared" si="12"/>
        <v>0</v>
      </c>
      <c r="I57" s="1396">
        <f t="shared" si="13"/>
        <v>9770995.1199999992</v>
      </c>
      <c r="J57" s="1397">
        <f t="shared" si="5"/>
        <v>-13.28</v>
      </c>
      <c r="K57" s="1392">
        <f t="shared" si="6"/>
        <v>4966507.21</v>
      </c>
      <c r="L57" s="1040"/>
      <c r="M57" s="1040"/>
      <c r="N57" s="1040"/>
      <c r="O57" s="1040"/>
      <c r="P57" s="1040"/>
      <c r="Q57" s="1040">
        <f t="shared" si="17"/>
        <v>0</v>
      </c>
      <c r="R57" s="1041">
        <v>22433.06</v>
      </c>
      <c r="S57" s="1041">
        <v>7729.26</v>
      </c>
      <c r="T57" s="1041">
        <v>0</v>
      </c>
      <c r="U57" s="1041">
        <v>-0.02</v>
      </c>
      <c r="V57" s="1387">
        <v>0</v>
      </c>
      <c r="W57" s="1042">
        <f t="shared" si="14"/>
        <v>30162.3</v>
      </c>
      <c r="X57" s="1042">
        <v>1696402.56</v>
      </c>
      <c r="Y57" s="1041">
        <v>926275.84</v>
      </c>
      <c r="Z57" s="1041">
        <v>481081.82</v>
      </c>
      <c r="AA57" s="1041">
        <v>-4.5199999999999996</v>
      </c>
      <c r="AB57" s="1387">
        <v>0</v>
      </c>
      <c r="AC57" s="1042">
        <f t="shared" si="15"/>
        <v>3103755.6999999997</v>
      </c>
      <c r="AD57" s="1042">
        <v>2151647.19</v>
      </c>
      <c r="AE57" s="1041">
        <v>0</v>
      </c>
      <c r="AF57" s="1041">
        <v>4485438.67</v>
      </c>
      <c r="AG57" s="1041">
        <v>-8.74</v>
      </c>
      <c r="AH57" s="1387">
        <v>0</v>
      </c>
      <c r="AI57" s="1042">
        <f t="shared" si="16"/>
        <v>6637077.1199999992</v>
      </c>
    </row>
    <row r="58" spans="1:35" ht="15" customHeight="1" x14ac:dyDescent="0.25">
      <c r="A58" s="714" t="s">
        <v>134</v>
      </c>
      <c r="B58" s="713" t="s">
        <v>135</v>
      </c>
      <c r="C58" s="920" t="s">
        <v>267</v>
      </c>
      <c r="D58" s="1037">
        <f t="shared" si="8"/>
        <v>1064214.6499999999</v>
      </c>
      <c r="E58" s="1038">
        <f t="shared" si="9"/>
        <v>427919.39</v>
      </c>
      <c r="F58" s="1039">
        <f t="shared" si="10"/>
        <v>755465.71</v>
      </c>
      <c r="G58" s="1394">
        <f t="shared" si="11"/>
        <v>4006.76</v>
      </c>
      <c r="H58" s="1396">
        <f t="shared" si="12"/>
        <v>0</v>
      </c>
      <c r="I58" s="1396">
        <f t="shared" si="13"/>
        <v>2251606.5099999998</v>
      </c>
      <c r="J58" s="1397">
        <f t="shared" si="5"/>
        <v>4006.76</v>
      </c>
      <c r="K58" s="1392">
        <f t="shared" si="6"/>
        <v>759472.47</v>
      </c>
      <c r="L58" s="1040"/>
      <c r="M58" s="1040"/>
      <c r="N58" s="1040"/>
      <c r="O58" s="1040"/>
      <c r="P58" s="1040"/>
      <c r="Q58" s="1040">
        <f t="shared" si="17"/>
        <v>0</v>
      </c>
      <c r="R58" s="1041">
        <v>20641.11</v>
      </c>
      <c r="S58" s="1041">
        <v>7114.45</v>
      </c>
      <c r="T58" s="1041">
        <v>0</v>
      </c>
      <c r="U58" s="1041">
        <v>-0.03</v>
      </c>
      <c r="V58" s="1387">
        <v>0</v>
      </c>
      <c r="W58" s="1042">
        <f t="shared" si="14"/>
        <v>27755.530000000002</v>
      </c>
      <c r="X58" s="1042">
        <v>781939.44</v>
      </c>
      <c r="Y58" s="1041">
        <v>420804.94</v>
      </c>
      <c r="Z58" s="1041">
        <v>220619</v>
      </c>
      <c r="AA58" s="1041">
        <v>1593.16</v>
      </c>
      <c r="AB58" s="1387">
        <v>0</v>
      </c>
      <c r="AC58" s="1042">
        <f t="shared" si="15"/>
        <v>1424956.5399999998</v>
      </c>
      <c r="AD58" s="1042">
        <v>261634.1</v>
      </c>
      <c r="AE58" s="1041">
        <v>0</v>
      </c>
      <c r="AF58" s="1041">
        <v>534846.71</v>
      </c>
      <c r="AG58" s="1041">
        <v>2413.63</v>
      </c>
      <c r="AH58" s="1387">
        <v>0</v>
      </c>
      <c r="AI58" s="1042">
        <f t="shared" si="16"/>
        <v>798894.44</v>
      </c>
    </row>
    <row r="59" spans="1:35" ht="15" customHeight="1" x14ac:dyDescent="0.25">
      <c r="A59" s="714" t="s">
        <v>136</v>
      </c>
      <c r="B59" s="713" t="s">
        <v>137</v>
      </c>
      <c r="C59" s="920" t="s">
        <v>266</v>
      </c>
      <c r="D59" s="1037">
        <f t="shared" si="8"/>
        <v>381882.49</v>
      </c>
      <c r="E59" s="1038">
        <f t="shared" si="9"/>
        <v>204419.26</v>
      </c>
      <c r="F59" s="1039">
        <f t="shared" si="10"/>
        <v>107544.01</v>
      </c>
      <c r="G59" s="1394">
        <f t="shared" si="11"/>
        <v>411.56</v>
      </c>
      <c r="H59" s="1396">
        <f t="shared" si="12"/>
        <v>0</v>
      </c>
      <c r="I59" s="1396">
        <f t="shared" si="13"/>
        <v>694257.32000000007</v>
      </c>
      <c r="J59" s="1397">
        <f t="shared" si="5"/>
        <v>411.56</v>
      </c>
      <c r="K59" s="1392">
        <f t="shared" si="6"/>
        <v>107955.56999999999</v>
      </c>
      <c r="L59" s="1040"/>
      <c r="M59" s="1040"/>
      <c r="N59" s="1040"/>
      <c r="O59" s="1040"/>
      <c r="P59" s="1040"/>
      <c r="Q59" s="1040">
        <f t="shared" si="17"/>
        <v>0</v>
      </c>
      <c r="R59" s="1041"/>
      <c r="S59" s="1041"/>
      <c r="T59" s="1041"/>
      <c r="U59" s="1041"/>
      <c r="V59" s="1387"/>
      <c r="W59" s="1042">
        <f t="shared" si="14"/>
        <v>0</v>
      </c>
      <c r="X59" s="1042">
        <v>381882.49</v>
      </c>
      <c r="Y59" s="1041">
        <v>204419.26</v>
      </c>
      <c r="Z59" s="1041">
        <v>107544.01</v>
      </c>
      <c r="AA59" s="1041">
        <v>411.56</v>
      </c>
      <c r="AB59" s="1387">
        <v>0</v>
      </c>
      <c r="AC59" s="1042">
        <f t="shared" si="15"/>
        <v>694257.32000000007</v>
      </c>
      <c r="AD59" s="1042">
        <v>0</v>
      </c>
      <c r="AE59" s="1041">
        <v>0</v>
      </c>
      <c r="AF59" s="1041">
        <v>0</v>
      </c>
      <c r="AG59" s="1041">
        <v>0</v>
      </c>
      <c r="AH59" s="1387">
        <v>0</v>
      </c>
      <c r="AI59" s="1042">
        <f t="shared" si="16"/>
        <v>0</v>
      </c>
    </row>
    <row r="60" spans="1:35" ht="15" customHeight="1" x14ac:dyDescent="0.25">
      <c r="A60" s="714" t="s">
        <v>140</v>
      </c>
      <c r="B60" s="713" t="s">
        <v>141</v>
      </c>
      <c r="C60" s="920" t="s">
        <v>267</v>
      </c>
      <c r="D60" s="1037">
        <f t="shared" si="8"/>
        <v>458287.94</v>
      </c>
      <c r="E60" s="1038">
        <f t="shared" si="9"/>
        <v>189542.64</v>
      </c>
      <c r="F60" s="1039">
        <f t="shared" si="10"/>
        <v>320195.7</v>
      </c>
      <c r="G60" s="1394">
        <f t="shared" si="11"/>
        <v>27454.12</v>
      </c>
      <c r="H60" s="1396">
        <f t="shared" si="12"/>
        <v>0</v>
      </c>
      <c r="I60" s="1396">
        <f t="shared" si="13"/>
        <v>995480.4</v>
      </c>
      <c r="J60" s="1397">
        <f t="shared" si="5"/>
        <v>27454.12</v>
      </c>
      <c r="K60" s="1392">
        <f t="shared" si="6"/>
        <v>347649.82</v>
      </c>
      <c r="L60" s="1040"/>
      <c r="M60" s="1040"/>
      <c r="N60" s="1040"/>
      <c r="O60" s="1040"/>
      <c r="P60" s="1040"/>
      <c r="Q60" s="1040">
        <f t="shared" si="17"/>
        <v>0</v>
      </c>
      <c r="R60" s="1041">
        <v>93.32</v>
      </c>
      <c r="S60" s="1041">
        <v>32.32</v>
      </c>
      <c r="T60" s="1041">
        <v>0</v>
      </c>
      <c r="U60" s="1041">
        <v>0</v>
      </c>
      <c r="V60" s="1387">
        <v>0</v>
      </c>
      <c r="W60" s="1042">
        <f t="shared" si="14"/>
        <v>125.63999999999999</v>
      </c>
      <c r="X60" s="1042">
        <v>352255.56</v>
      </c>
      <c r="Y60" s="1041">
        <v>189510.32</v>
      </c>
      <c r="Z60" s="1041">
        <v>99374.38</v>
      </c>
      <c r="AA60" s="1041">
        <v>27287.85</v>
      </c>
      <c r="AB60" s="1387">
        <v>0</v>
      </c>
      <c r="AC60" s="1042">
        <f t="shared" si="15"/>
        <v>668428.11</v>
      </c>
      <c r="AD60" s="1042">
        <v>105939.06</v>
      </c>
      <c r="AE60" s="1041">
        <v>0</v>
      </c>
      <c r="AF60" s="1041">
        <v>220821.32</v>
      </c>
      <c r="AG60" s="1041">
        <v>166.27</v>
      </c>
      <c r="AH60" s="1387">
        <v>0</v>
      </c>
      <c r="AI60" s="1042">
        <f t="shared" si="16"/>
        <v>326926.65000000002</v>
      </c>
    </row>
    <row r="61" spans="1:35" ht="15" customHeight="1" x14ac:dyDescent="0.25">
      <c r="A61" s="714" t="s">
        <v>146</v>
      </c>
      <c r="B61" s="713" t="s">
        <v>147</v>
      </c>
      <c r="C61" s="920" t="s">
        <v>264</v>
      </c>
      <c r="D61" s="1037">
        <f t="shared" si="8"/>
        <v>406533.45</v>
      </c>
      <c r="E61" s="1038">
        <f t="shared" si="9"/>
        <v>161573.06</v>
      </c>
      <c r="F61" s="1039">
        <f t="shared" si="10"/>
        <v>304450.11</v>
      </c>
      <c r="G61" s="1394">
        <f t="shared" si="11"/>
        <v>8421.0300000000007</v>
      </c>
      <c r="H61" s="1396">
        <f t="shared" si="12"/>
        <v>0</v>
      </c>
      <c r="I61" s="1396">
        <f t="shared" si="13"/>
        <v>880977.65000000014</v>
      </c>
      <c r="J61" s="1397">
        <f t="shared" si="5"/>
        <v>8421.0300000000007</v>
      </c>
      <c r="K61" s="1392">
        <f t="shared" si="6"/>
        <v>312871.14</v>
      </c>
      <c r="L61" s="1040"/>
      <c r="M61" s="1040"/>
      <c r="N61" s="1040"/>
      <c r="O61" s="1040"/>
      <c r="P61" s="1040"/>
      <c r="Q61" s="1040">
        <f t="shared" si="17"/>
        <v>0</v>
      </c>
      <c r="R61" s="1041"/>
      <c r="S61" s="1041"/>
      <c r="T61" s="1041"/>
      <c r="U61" s="1041"/>
      <c r="V61" s="1387"/>
      <c r="W61" s="1042">
        <f t="shared" si="14"/>
        <v>0</v>
      </c>
      <c r="X61" s="1042">
        <v>301486.83</v>
      </c>
      <c r="Y61" s="1041">
        <v>161573.06</v>
      </c>
      <c r="Z61" s="1041">
        <v>84936.79</v>
      </c>
      <c r="AA61" s="1041">
        <v>8233.16</v>
      </c>
      <c r="AB61" s="1387">
        <v>0</v>
      </c>
      <c r="AC61" s="1042">
        <f t="shared" si="15"/>
        <v>556229.84000000008</v>
      </c>
      <c r="AD61" s="1042">
        <v>105046.62</v>
      </c>
      <c r="AE61" s="1041">
        <v>0</v>
      </c>
      <c r="AF61" s="1041">
        <v>219513.32</v>
      </c>
      <c r="AG61" s="1041">
        <v>187.87</v>
      </c>
      <c r="AH61" s="1387">
        <v>0</v>
      </c>
      <c r="AI61" s="1042">
        <f t="shared" si="16"/>
        <v>324747.81</v>
      </c>
    </row>
    <row r="62" spans="1:35" ht="15" customHeight="1" x14ac:dyDescent="0.25">
      <c r="A62" s="714" t="s">
        <v>148</v>
      </c>
      <c r="B62" s="713" t="s">
        <v>149</v>
      </c>
      <c r="C62" s="920" t="s">
        <v>265</v>
      </c>
      <c r="D62" s="1037">
        <f t="shared" si="8"/>
        <v>1033336.88</v>
      </c>
      <c r="E62" s="1038">
        <f t="shared" si="9"/>
        <v>494311.23</v>
      </c>
      <c r="F62" s="1039">
        <f t="shared" si="10"/>
        <v>484688.64000000001</v>
      </c>
      <c r="G62" s="1394">
        <f t="shared" si="11"/>
        <v>264137.63</v>
      </c>
      <c r="H62" s="1396">
        <f t="shared" si="12"/>
        <v>0</v>
      </c>
      <c r="I62" s="1396">
        <f t="shared" si="13"/>
        <v>2276474.38</v>
      </c>
      <c r="J62" s="1397">
        <f t="shared" si="5"/>
        <v>264137.63</v>
      </c>
      <c r="K62" s="1392">
        <f t="shared" si="6"/>
        <v>748826.27</v>
      </c>
      <c r="L62" s="1040"/>
      <c r="M62" s="1040"/>
      <c r="N62" s="1040"/>
      <c r="O62" s="1040"/>
      <c r="P62" s="1040"/>
      <c r="Q62" s="1040">
        <f t="shared" si="17"/>
        <v>0</v>
      </c>
      <c r="R62" s="1041"/>
      <c r="S62" s="1041"/>
      <c r="T62" s="1041"/>
      <c r="U62" s="1041"/>
      <c r="V62" s="1387"/>
      <c r="W62" s="1042">
        <f t="shared" si="14"/>
        <v>0</v>
      </c>
      <c r="X62" s="1042">
        <v>921628.66</v>
      </c>
      <c r="Y62" s="1041">
        <v>494311.23</v>
      </c>
      <c r="Z62" s="1041">
        <v>259725.93</v>
      </c>
      <c r="AA62" s="1041">
        <v>264139.69</v>
      </c>
      <c r="AB62" s="1387">
        <v>0</v>
      </c>
      <c r="AC62" s="1042">
        <f t="shared" si="15"/>
        <v>1939805.51</v>
      </c>
      <c r="AD62" s="1042">
        <v>111708.22</v>
      </c>
      <c r="AE62" s="1041">
        <v>0</v>
      </c>
      <c r="AF62" s="1041">
        <v>224962.71</v>
      </c>
      <c r="AG62" s="1041">
        <v>-2.06</v>
      </c>
      <c r="AH62" s="1387">
        <v>0</v>
      </c>
      <c r="AI62" s="1042">
        <f t="shared" si="16"/>
        <v>336668.87</v>
      </c>
    </row>
    <row r="63" spans="1:35" ht="15" customHeight="1" x14ac:dyDescent="0.25">
      <c r="A63" s="714" t="s">
        <v>150</v>
      </c>
      <c r="B63" s="713" t="s">
        <v>151</v>
      </c>
      <c r="C63" s="920" t="s">
        <v>266</v>
      </c>
      <c r="D63" s="1037">
        <f t="shared" si="8"/>
        <v>373258.3</v>
      </c>
      <c r="E63" s="1038">
        <f t="shared" si="9"/>
        <v>195621.51</v>
      </c>
      <c r="F63" s="1039">
        <f t="shared" si="10"/>
        <v>119532.03</v>
      </c>
      <c r="G63" s="1394">
        <f t="shared" si="11"/>
        <v>7241.27</v>
      </c>
      <c r="H63" s="1396">
        <f t="shared" si="12"/>
        <v>0</v>
      </c>
      <c r="I63" s="1396">
        <f t="shared" si="13"/>
        <v>695653.11</v>
      </c>
      <c r="J63" s="1397">
        <f t="shared" si="5"/>
        <v>7241.27</v>
      </c>
      <c r="K63" s="1392">
        <f t="shared" si="6"/>
        <v>126773.3</v>
      </c>
      <c r="L63" s="1040"/>
      <c r="M63" s="1040"/>
      <c r="N63" s="1040"/>
      <c r="O63" s="1040"/>
      <c r="P63" s="1040"/>
      <c r="Q63" s="1040">
        <f t="shared" si="17"/>
        <v>0</v>
      </c>
      <c r="R63" s="1041"/>
      <c r="S63" s="1041"/>
      <c r="T63" s="1041"/>
      <c r="U63" s="1041"/>
      <c r="V63" s="1387"/>
      <c r="W63" s="1042">
        <f t="shared" si="14"/>
        <v>0</v>
      </c>
      <c r="X63" s="1042">
        <v>364963.13</v>
      </c>
      <c r="Y63" s="1041">
        <v>195621.51</v>
      </c>
      <c r="Z63" s="1041">
        <v>102826.96</v>
      </c>
      <c r="AA63" s="1041">
        <v>7241.51</v>
      </c>
      <c r="AB63" s="1387">
        <v>0</v>
      </c>
      <c r="AC63" s="1042">
        <f t="shared" si="15"/>
        <v>670653.11</v>
      </c>
      <c r="AD63" s="1042">
        <v>8295.17</v>
      </c>
      <c r="AE63" s="1041">
        <v>0</v>
      </c>
      <c r="AF63" s="1041">
        <v>16705.07</v>
      </c>
      <c r="AG63" s="1041">
        <v>-0.24</v>
      </c>
      <c r="AH63" s="1387">
        <v>0</v>
      </c>
      <c r="AI63" s="1042">
        <f t="shared" si="16"/>
        <v>24999.999999999996</v>
      </c>
    </row>
    <row r="64" spans="1:35" ht="15" customHeight="1" x14ac:dyDescent="0.25">
      <c r="A64" s="714" t="s">
        <v>152</v>
      </c>
      <c r="B64" s="713" t="s">
        <v>153</v>
      </c>
      <c r="C64" s="920" t="s">
        <v>268</v>
      </c>
      <c r="D64" s="1037">
        <f t="shared" si="8"/>
        <v>2043589.45</v>
      </c>
      <c r="E64" s="1038">
        <f t="shared" si="9"/>
        <v>970266.32</v>
      </c>
      <c r="F64" s="1039">
        <f t="shared" si="10"/>
        <v>984124.37</v>
      </c>
      <c r="G64" s="1394">
        <f t="shared" si="11"/>
        <v>5906.52</v>
      </c>
      <c r="H64" s="1396">
        <f t="shared" si="12"/>
        <v>0</v>
      </c>
      <c r="I64" s="1396">
        <f t="shared" si="13"/>
        <v>4003886.66</v>
      </c>
      <c r="J64" s="1397">
        <f t="shared" si="5"/>
        <v>5906.52</v>
      </c>
      <c r="K64" s="1392">
        <f t="shared" si="6"/>
        <v>990030.89</v>
      </c>
      <c r="L64" s="1040"/>
      <c r="M64" s="1040"/>
      <c r="N64" s="1040"/>
      <c r="O64" s="1040"/>
      <c r="P64" s="1040"/>
      <c r="Q64" s="1040">
        <f t="shared" si="17"/>
        <v>0</v>
      </c>
      <c r="R64" s="1041"/>
      <c r="S64" s="1041"/>
      <c r="T64" s="1041"/>
      <c r="U64" s="1041"/>
      <c r="V64" s="1387"/>
      <c r="W64" s="1042">
        <f t="shared" si="14"/>
        <v>0</v>
      </c>
      <c r="X64" s="1042">
        <v>1807965.64</v>
      </c>
      <c r="Y64" s="1041">
        <v>970266.32</v>
      </c>
      <c r="Z64" s="1041">
        <v>509612.79</v>
      </c>
      <c r="AA64" s="1041">
        <v>5906.72</v>
      </c>
      <c r="AB64" s="1387">
        <v>0</v>
      </c>
      <c r="AC64" s="1042">
        <f t="shared" si="15"/>
        <v>3293751.47</v>
      </c>
      <c r="AD64" s="1042">
        <v>235623.81</v>
      </c>
      <c r="AE64" s="1041">
        <v>0</v>
      </c>
      <c r="AF64" s="1041">
        <v>474511.58</v>
      </c>
      <c r="AG64" s="1041">
        <v>-0.2</v>
      </c>
      <c r="AH64" s="1387">
        <v>0</v>
      </c>
      <c r="AI64" s="1042">
        <f t="shared" si="16"/>
        <v>710135.19000000006</v>
      </c>
    </row>
    <row r="65" spans="1:35" ht="15" customHeight="1" x14ac:dyDescent="0.25">
      <c r="A65" s="714" t="s">
        <v>154</v>
      </c>
      <c r="B65" s="713" t="s">
        <v>155</v>
      </c>
      <c r="C65" s="920" t="s">
        <v>265</v>
      </c>
      <c r="D65" s="1037">
        <f t="shared" si="8"/>
        <v>448043.27</v>
      </c>
      <c r="E65" s="1038">
        <f t="shared" si="9"/>
        <v>224147.22</v>
      </c>
      <c r="F65" s="1039">
        <f t="shared" si="10"/>
        <v>178083.02</v>
      </c>
      <c r="G65" s="1394">
        <f t="shared" si="11"/>
        <v>16024.66</v>
      </c>
      <c r="H65" s="1396">
        <f t="shared" si="12"/>
        <v>0</v>
      </c>
      <c r="I65" s="1396">
        <f t="shared" si="13"/>
        <v>866298.17</v>
      </c>
      <c r="J65" s="1397">
        <f t="shared" si="5"/>
        <v>16024.66</v>
      </c>
      <c r="K65" s="1392">
        <f t="shared" si="6"/>
        <v>194107.68</v>
      </c>
      <c r="L65" s="1040"/>
      <c r="M65" s="1040"/>
      <c r="N65" s="1040"/>
      <c r="O65" s="1040"/>
      <c r="P65" s="1040"/>
      <c r="Q65" s="1040">
        <f t="shared" si="17"/>
        <v>0</v>
      </c>
      <c r="R65" s="1041"/>
      <c r="S65" s="1041"/>
      <c r="T65" s="1041"/>
      <c r="U65" s="1041"/>
      <c r="V65" s="1387"/>
      <c r="W65" s="1042">
        <f t="shared" si="14"/>
        <v>0</v>
      </c>
      <c r="X65" s="1042">
        <v>418112.82</v>
      </c>
      <c r="Y65" s="1041">
        <v>224147.22</v>
      </c>
      <c r="Z65" s="1041">
        <v>117808.04</v>
      </c>
      <c r="AA65" s="1041">
        <v>11293.75</v>
      </c>
      <c r="AB65" s="1387">
        <v>0</v>
      </c>
      <c r="AC65" s="1042">
        <f t="shared" si="15"/>
        <v>771361.83000000007</v>
      </c>
      <c r="AD65" s="1042">
        <v>29930.45</v>
      </c>
      <c r="AE65" s="1041">
        <v>0</v>
      </c>
      <c r="AF65" s="1041">
        <v>60274.98</v>
      </c>
      <c r="AG65" s="1041">
        <v>4730.91</v>
      </c>
      <c r="AH65" s="1387">
        <v>0</v>
      </c>
      <c r="AI65" s="1042">
        <f t="shared" si="16"/>
        <v>94936.340000000011</v>
      </c>
    </row>
    <row r="66" spans="1:35" ht="15" customHeight="1" x14ac:dyDescent="0.25">
      <c r="A66" s="714" t="s">
        <v>156</v>
      </c>
      <c r="B66" s="713" t="s">
        <v>157</v>
      </c>
      <c r="C66" s="920" t="s">
        <v>266</v>
      </c>
      <c r="D66" s="1037">
        <f t="shared" si="8"/>
        <v>439214.48000000004</v>
      </c>
      <c r="E66" s="1038">
        <f t="shared" si="9"/>
        <v>192063.58</v>
      </c>
      <c r="F66" s="1039">
        <f t="shared" si="10"/>
        <v>264858.94</v>
      </c>
      <c r="G66" s="1394">
        <f t="shared" si="11"/>
        <v>2267.92</v>
      </c>
      <c r="H66" s="1396">
        <f t="shared" si="12"/>
        <v>0</v>
      </c>
      <c r="I66" s="1396">
        <f t="shared" si="13"/>
        <v>898404.92</v>
      </c>
      <c r="J66" s="1397">
        <f t="shared" si="5"/>
        <v>2267.92</v>
      </c>
      <c r="K66" s="1392">
        <f t="shared" si="6"/>
        <v>267126.86</v>
      </c>
      <c r="L66" s="1040"/>
      <c r="M66" s="1040"/>
      <c r="N66" s="1040"/>
      <c r="O66" s="1040"/>
      <c r="P66" s="1040"/>
      <c r="Q66" s="1040">
        <f t="shared" si="17"/>
        <v>0</v>
      </c>
      <c r="R66" s="1041"/>
      <c r="S66" s="1041"/>
      <c r="T66" s="1041"/>
      <c r="U66" s="1041"/>
      <c r="V66" s="1387"/>
      <c r="W66" s="1042">
        <f t="shared" si="14"/>
        <v>0</v>
      </c>
      <c r="X66" s="1042">
        <v>357964.65</v>
      </c>
      <c r="Y66" s="1041">
        <v>192063.58</v>
      </c>
      <c r="Z66" s="1041">
        <v>100890.64</v>
      </c>
      <c r="AA66" s="1041">
        <v>2089.8000000000002</v>
      </c>
      <c r="AB66" s="1387">
        <v>0</v>
      </c>
      <c r="AC66" s="1042">
        <f t="shared" si="15"/>
        <v>653008.67000000004</v>
      </c>
      <c r="AD66" s="1042">
        <v>81249.83</v>
      </c>
      <c r="AE66" s="1041">
        <v>0</v>
      </c>
      <c r="AF66" s="1041">
        <v>163968.29999999999</v>
      </c>
      <c r="AG66" s="1041">
        <v>178.12</v>
      </c>
      <c r="AH66" s="1387">
        <v>0</v>
      </c>
      <c r="AI66" s="1042">
        <f t="shared" si="16"/>
        <v>245396.25</v>
      </c>
    </row>
    <row r="67" spans="1:35" ht="15" customHeight="1" x14ac:dyDescent="0.25">
      <c r="A67" s="714" t="s">
        <v>162</v>
      </c>
      <c r="B67" s="713" t="s">
        <v>163</v>
      </c>
      <c r="C67" s="920" t="s">
        <v>264</v>
      </c>
      <c r="D67" s="1037">
        <f t="shared" si="8"/>
        <v>1059482.8800000001</v>
      </c>
      <c r="E67" s="1038">
        <f t="shared" si="9"/>
        <v>545182.25</v>
      </c>
      <c r="F67" s="1039">
        <f t="shared" si="10"/>
        <v>371219.6</v>
      </c>
      <c r="G67" s="1394">
        <f t="shared" si="11"/>
        <v>734.29000000000008</v>
      </c>
      <c r="H67" s="1396">
        <f t="shared" si="12"/>
        <v>0</v>
      </c>
      <c r="I67" s="1396">
        <f t="shared" si="13"/>
        <v>1976619.0199999998</v>
      </c>
      <c r="J67" s="1397">
        <f t="shared" si="5"/>
        <v>734.29000000000008</v>
      </c>
      <c r="K67" s="1392">
        <f t="shared" si="6"/>
        <v>371953.88999999996</v>
      </c>
      <c r="L67" s="1040"/>
      <c r="M67" s="1040"/>
      <c r="N67" s="1040"/>
      <c r="O67" s="1040"/>
      <c r="P67" s="1040"/>
      <c r="Q67" s="1040">
        <f t="shared" si="17"/>
        <v>0</v>
      </c>
      <c r="R67" s="1041">
        <v>334.14</v>
      </c>
      <c r="S67" s="1041">
        <v>115.88</v>
      </c>
      <c r="T67" s="1041">
        <v>0</v>
      </c>
      <c r="U67" s="1041">
        <v>-0.02</v>
      </c>
      <c r="V67" s="1387">
        <v>0</v>
      </c>
      <c r="W67" s="1042">
        <f t="shared" si="14"/>
        <v>450</v>
      </c>
      <c r="X67" s="1042">
        <v>1019269.51</v>
      </c>
      <c r="Y67" s="1041">
        <v>545066.37</v>
      </c>
      <c r="Z67" s="1041">
        <v>286947.19</v>
      </c>
      <c r="AA67" s="1041">
        <v>735.2</v>
      </c>
      <c r="AB67" s="1387">
        <v>0</v>
      </c>
      <c r="AC67" s="1042">
        <f t="shared" si="15"/>
        <v>1852018.2699999998</v>
      </c>
      <c r="AD67" s="1042">
        <v>39879.230000000003</v>
      </c>
      <c r="AE67" s="1041">
        <v>0</v>
      </c>
      <c r="AF67" s="1041">
        <v>84272.41</v>
      </c>
      <c r="AG67" s="1041">
        <v>-0.89</v>
      </c>
      <c r="AH67" s="1387">
        <v>0</v>
      </c>
      <c r="AI67" s="1042">
        <f t="shared" si="16"/>
        <v>124150.75000000001</v>
      </c>
    </row>
    <row r="68" spans="1:35" ht="15" customHeight="1" x14ac:dyDescent="0.25">
      <c r="A68" s="714" t="s">
        <v>164</v>
      </c>
      <c r="B68" s="713" t="s">
        <v>165</v>
      </c>
      <c r="C68" s="920" t="s">
        <v>266</v>
      </c>
      <c r="D68" s="1037">
        <f t="shared" si="8"/>
        <v>509279.77</v>
      </c>
      <c r="E68" s="1038">
        <f t="shared" si="9"/>
        <v>201952.21</v>
      </c>
      <c r="F68" s="1039">
        <f t="shared" si="10"/>
        <v>379016.52</v>
      </c>
      <c r="G68" s="1394">
        <f t="shared" si="11"/>
        <v>-3467.0499999999993</v>
      </c>
      <c r="H68" s="1396">
        <f t="shared" si="12"/>
        <v>0</v>
      </c>
      <c r="I68" s="1396">
        <f t="shared" si="13"/>
        <v>1086781.4500000002</v>
      </c>
      <c r="J68" s="1397">
        <f t="shared" si="5"/>
        <v>-3467.0499999999993</v>
      </c>
      <c r="K68" s="1392">
        <f t="shared" si="6"/>
        <v>375549.47000000003</v>
      </c>
      <c r="L68" s="1040"/>
      <c r="M68" s="1040"/>
      <c r="N68" s="1040"/>
      <c r="O68" s="1040"/>
      <c r="P68" s="1040"/>
      <c r="Q68" s="1040">
        <f t="shared" si="17"/>
        <v>0</v>
      </c>
      <c r="R68" s="1041"/>
      <c r="S68" s="1041"/>
      <c r="T68" s="1041"/>
      <c r="U68" s="1041"/>
      <c r="V68" s="1387"/>
      <c r="W68" s="1042">
        <f t="shared" si="14"/>
        <v>0</v>
      </c>
      <c r="X68" s="1042">
        <v>375752.45</v>
      </c>
      <c r="Y68" s="1041">
        <v>201952.21</v>
      </c>
      <c r="Z68" s="1041">
        <v>105967.13</v>
      </c>
      <c r="AA68" s="1041">
        <v>23099.68</v>
      </c>
      <c r="AB68" s="1387">
        <v>0</v>
      </c>
      <c r="AC68" s="1042">
        <f t="shared" si="15"/>
        <v>706771.47000000009</v>
      </c>
      <c r="AD68" s="1042">
        <v>133527.32</v>
      </c>
      <c r="AE68" s="1041">
        <v>0</v>
      </c>
      <c r="AF68" s="1041">
        <v>273049.39</v>
      </c>
      <c r="AG68" s="1041">
        <v>-26566.73</v>
      </c>
      <c r="AH68" s="1387">
        <v>0</v>
      </c>
      <c r="AI68" s="1042">
        <f t="shared" si="16"/>
        <v>380009.98000000004</v>
      </c>
    </row>
    <row r="69" spans="1:35" ht="15" customHeight="1" x14ac:dyDescent="0.25">
      <c r="A69" s="714" t="s">
        <v>168</v>
      </c>
      <c r="B69" s="713" t="s">
        <v>169</v>
      </c>
      <c r="C69" s="920" t="s">
        <v>266</v>
      </c>
      <c r="D69" s="1037">
        <f t="shared" si="8"/>
        <v>617984.02</v>
      </c>
      <c r="E69" s="1038">
        <f t="shared" si="9"/>
        <v>305915.3</v>
      </c>
      <c r="F69" s="1039">
        <f t="shared" si="10"/>
        <v>255471.29</v>
      </c>
      <c r="G69" s="1394">
        <f t="shared" si="11"/>
        <v>5716.9500000000007</v>
      </c>
      <c r="H69" s="1396">
        <f t="shared" si="12"/>
        <v>0</v>
      </c>
      <c r="I69" s="1396">
        <f t="shared" si="13"/>
        <v>1185087.56</v>
      </c>
      <c r="J69" s="1397">
        <f t="shared" ref="J69:J124" si="18">G69+H69</f>
        <v>5716.9500000000007</v>
      </c>
      <c r="K69" s="1392">
        <f t="shared" ref="K69:K124" si="19">F69+J69</f>
        <v>261188.24000000002</v>
      </c>
      <c r="L69" s="1040"/>
      <c r="M69" s="1040"/>
      <c r="N69" s="1040"/>
      <c r="O69" s="1040"/>
      <c r="P69" s="1040"/>
      <c r="Q69" s="1040">
        <f t="shared" ref="Q69:Q100" si="20">SUM(L69:P69)</f>
        <v>0</v>
      </c>
      <c r="R69" s="1041"/>
      <c r="S69" s="1041"/>
      <c r="T69" s="1041"/>
      <c r="U69" s="1041"/>
      <c r="V69" s="1387"/>
      <c r="W69" s="1042">
        <f t="shared" si="14"/>
        <v>0</v>
      </c>
      <c r="X69" s="1042">
        <v>570999.01</v>
      </c>
      <c r="Y69" s="1041">
        <v>305915.3</v>
      </c>
      <c r="Z69" s="1041">
        <v>160850.92000000001</v>
      </c>
      <c r="AA69" s="1041">
        <v>5717.93</v>
      </c>
      <c r="AB69" s="1387">
        <v>0</v>
      </c>
      <c r="AC69" s="1042">
        <f t="shared" si="15"/>
        <v>1043483.1600000001</v>
      </c>
      <c r="AD69" s="1042">
        <v>46985.01</v>
      </c>
      <c r="AE69" s="1041">
        <v>0</v>
      </c>
      <c r="AF69" s="1041">
        <v>94620.37</v>
      </c>
      <c r="AG69" s="1041">
        <v>-0.98</v>
      </c>
      <c r="AH69" s="1387">
        <v>0</v>
      </c>
      <c r="AI69" s="1042">
        <f t="shared" si="16"/>
        <v>141604.4</v>
      </c>
    </row>
    <row r="70" spans="1:35" ht="15" customHeight="1" x14ac:dyDescent="0.25">
      <c r="A70" s="714" t="s">
        <v>170</v>
      </c>
      <c r="B70" s="713" t="s">
        <v>171</v>
      </c>
      <c r="C70" s="920" t="s">
        <v>267</v>
      </c>
      <c r="D70" s="1037">
        <f t="shared" ref="D70:D124" si="21">L70+R70+X70+AD70</f>
        <v>796187.89</v>
      </c>
      <c r="E70" s="1038">
        <f t="shared" ref="E70:E124" si="22">M70+S70+Y70+AE70</f>
        <v>336468.88</v>
      </c>
      <c r="F70" s="1039">
        <f t="shared" ref="F70:F124" si="23">N70+T70+Z70+AF70</f>
        <v>521342.62</v>
      </c>
      <c r="G70" s="1394">
        <f t="shared" ref="G70:G124" si="24">O70+U70+AA70+AG70</f>
        <v>236973.63</v>
      </c>
      <c r="H70" s="1396">
        <f t="shared" ref="H70:H124" si="25">P70+V70+AB70+AH70</f>
        <v>102238.76000000001</v>
      </c>
      <c r="I70" s="1396">
        <f t="shared" ref="I70:I124" si="26">Q70+W70+AC70+AI70</f>
        <v>1993211.7799999998</v>
      </c>
      <c r="J70" s="1397">
        <f t="shared" si="18"/>
        <v>339212.39</v>
      </c>
      <c r="K70" s="1392">
        <f t="shared" si="19"/>
        <v>860555.01</v>
      </c>
      <c r="L70" s="1040"/>
      <c r="M70" s="1040"/>
      <c r="N70" s="1040"/>
      <c r="O70" s="1040"/>
      <c r="P70" s="1040"/>
      <c r="Q70" s="1040">
        <f t="shared" si="20"/>
        <v>0</v>
      </c>
      <c r="R70" s="1041">
        <v>169.14</v>
      </c>
      <c r="S70" s="1041">
        <v>58.36</v>
      </c>
      <c r="T70" s="1041">
        <v>0</v>
      </c>
      <c r="U70" s="1041">
        <v>0</v>
      </c>
      <c r="V70" s="1387">
        <v>0</v>
      </c>
      <c r="W70" s="1042">
        <f t="shared" ref="W70:W124" si="27">SUM(R70:V70)</f>
        <v>227.5</v>
      </c>
      <c r="X70" s="1042">
        <v>627281.97</v>
      </c>
      <c r="Y70" s="1041">
        <v>336410.52</v>
      </c>
      <c r="Z70" s="1041">
        <v>176769.72</v>
      </c>
      <c r="AA70" s="1041">
        <v>184844.43</v>
      </c>
      <c r="AB70" s="1387">
        <v>63000</v>
      </c>
      <c r="AC70" s="1042">
        <f t="shared" ref="AC70:AC124" si="28">SUM(X70:AB70)</f>
        <v>1388306.64</v>
      </c>
      <c r="AD70" s="1042">
        <v>168736.78</v>
      </c>
      <c r="AE70" s="1041">
        <v>0</v>
      </c>
      <c r="AF70" s="1041">
        <v>344572.9</v>
      </c>
      <c r="AG70" s="1041">
        <v>52129.2</v>
      </c>
      <c r="AH70" s="1387">
        <v>39238.76</v>
      </c>
      <c r="AI70" s="1042">
        <f t="shared" ref="AI70:AI124" si="29">SUM(AD70:AH70)</f>
        <v>604677.64</v>
      </c>
    </row>
    <row r="71" spans="1:35" ht="15" customHeight="1" x14ac:dyDescent="0.25">
      <c r="A71" s="714" t="s">
        <v>172</v>
      </c>
      <c r="B71" s="713" t="s">
        <v>173</v>
      </c>
      <c r="C71" s="920" t="s">
        <v>267</v>
      </c>
      <c r="D71" s="1037">
        <f t="shared" si="21"/>
        <v>731692.21000000008</v>
      </c>
      <c r="E71" s="1038">
        <f t="shared" si="22"/>
        <v>362698.05</v>
      </c>
      <c r="F71" s="1039">
        <f t="shared" si="23"/>
        <v>297116.34999999998</v>
      </c>
      <c r="G71" s="1394">
        <f t="shared" si="24"/>
        <v>6736.39</v>
      </c>
      <c r="H71" s="1396">
        <f t="shared" si="25"/>
        <v>0</v>
      </c>
      <c r="I71" s="1396">
        <f t="shared" si="26"/>
        <v>1398243</v>
      </c>
      <c r="J71" s="1397">
        <f t="shared" si="18"/>
        <v>6736.39</v>
      </c>
      <c r="K71" s="1392">
        <f t="shared" si="19"/>
        <v>303852.74</v>
      </c>
      <c r="L71" s="1040"/>
      <c r="M71" s="1040"/>
      <c r="N71" s="1040"/>
      <c r="O71" s="1040"/>
      <c r="P71" s="1040"/>
      <c r="Q71" s="1040">
        <f t="shared" si="20"/>
        <v>0</v>
      </c>
      <c r="R71" s="1041">
        <v>4751.43</v>
      </c>
      <c r="S71" s="1041">
        <v>1638.57</v>
      </c>
      <c r="T71" s="1041">
        <v>0</v>
      </c>
      <c r="U71" s="1041">
        <v>0</v>
      </c>
      <c r="V71" s="1387">
        <v>0</v>
      </c>
      <c r="W71" s="1042">
        <f t="shared" si="27"/>
        <v>6390</v>
      </c>
      <c r="X71" s="1042">
        <v>673649.05</v>
      </c>
      <c r="Y71" s="1041">
        <v>361059.48</v>
      </c>
      <c r="Z71" s="1041">
        <v>189795.34</v>
      </c>
      <c r="AA71" s="1041">
        <v>6144.88</v>
      </c>
      <c r="AB71" s="1387">
        <v>0</v>
      </c>
      <c r="AC71" s="1042">
        <f t="shared" si="28"/>
        <v>1230648.75</v>
      </c>
      <c r="AD71" s="1042">
        <v>53291.73</v>
      </c>
      <c r="AE71" s="1041">
        <v>0</v>
      </c>
      <c r="AF71" s="1041">
        <v>107321.01</v>
      </c>
      <c r="AG71" s="1041">
        <v>591.51</v>
      </c>
      <c r="AH71" s="1387">
        <v>0</v>
      </c>
      <c r="AI71" s="1042">
        <f t="shared" si="29"/>
        <v>161204.25</v>
      </c>
    </row>
    <row r="72" spans="1:35" ht="15" customHeight="1" x14ac:dyDescent="0.25">
      <c r="A72" s="714" t="s">
        <v>174</v>
      </c>
      <c r="B72" s="713" t="s">
        <v>175</v>
      </c>
      <c r="C72" s="920" t="s">
        <v>268</v>
      </c>
      <c r="D72" s="1037">
        <f t="shared" si="21"/>
        <v>618143.35</v>
      </c>
      <c r="E72" s="1038">
        <f t="shared" si="22"/>
        <v>315497.12</v>
      </c>
      <c r="F72" s="1039">
        <f t="shared" si="23"/>
        <v>225034.97</v>
      </c>
      <c r="G72" s="1394">
        <f t="shared" si="24"/>
        <v>19898.71</v>
      </c>
      <c r="H72" s="1396">
        <f t="shared" si="25"/>
        <v>0</v>
      </c>
      <c r="I72" s="1396">
        <f t="shared" si="26"/>
        <v>1178574.1500000001</v>
      </c>
      <c r="J72" s="1397">
        <f t="shared" si="18"/>
        <v>19898.71</v>
      </c>
      <c r="K72" s="1392">
        <f t="shared" si="19"/>
        <v>244933.68</v>
      </c>
      <c r="L72" s="1040"/>
      <c r="M72" s="1040"/>
      <c r="N72" s="1040"/>
      <c r="O72" s="1040"/>
      <c r="P72" s="1040"/>
      <c r="Q72" s="1040">
        <f t="shared" si="20"/>
        <v>0</v>
      </c>
      <c r="R72" s="1041"/>
      <c r="S72" s="1041"/>
      <c r="T72" s="1041"/>
      <c r="U72" s="1041"/>
      <c r="V72" s="1387"/>
      <c r="W72" s="1042">
        <f t="shared" si="27"/>
        <v>0</v>
      </c>
      <c r="X72" s="1042">
        <v>588762.61</v>
      </c>
      <c r="Y72" s="1041">
        <v>315497.12</v>
      </c>
      <c r="Z72" s="1041">
        <v>165866.98000000001</v>
      </c>
      <c r="AA72" s="1041">
        <v>19603.59</v>
      </c>
      <c r="AB72" s="1387">
        <v>0</v>
      </c>
      <c r="AC72" s="1042">
        <f t="shared" si="28"/>
        <v>1089730.3</v>
      </c>
      <c r="AD72" s="1042">
        <v>29380.74</v>
      </c>
      <c r="AE72" s="1041">
        <v>0</v>
      </c>
      <c r="AF72" s="1041">
        <v>59167.99</v>
      </c>
      <c r="AG72" s="1041">
        <v>295.12</v>
      </c>
      <c r="AH72" s="1387">
        <v>0</v>
      </c>
      <c r="AI72" s="1042">
        <f t="shared" si="29"/>
        <v>88843.849999999991</v>
      </c>
    </row>
    <row r="73" spans="1:35" ht="15" customHeight="1" x14ac:dyDescent="0.25">
      <c r="A73" s="714" t="s">
        <v>178</v>
      </c>
      <c r="B73" s="713" t="s">
        <v>179</v>
      </c>
      <c r="C73" s="920" t="s">
        <v>265</v>
      </c>
      <c r="D73" s="1037">
        <f t="shared" si="21"/>
        <v>1835162.81</v>
      </c>
      <c r="E73" s="1038">
        <f t="shared" si="22"/>
        <v>946158.67999999993</v>
      </c>
      <c r="F73" s="1039">
        <f t="shared" si="23"/>
        <v>560799.88</v>
      </c>
      <c r="G73" s="1394">
        <f t="shared" si="24"/>
        <v>379937.35</v>
      </c>
      <c r="H73" s="1396">
        <f t="shared" si="25"/>
        <v>0</v>
      </c>
      <c r="I73" s="1396">
        <f t="shared" si="26"/>
        <v>3722058.7199999993</v>
      </c>
      <c r="J73" s="1397">
        <f t="shared" si="18"/>
        <v>379937.35</v>
      </c>
      <c r="K73" s="1392">
        <f t="shared" si="19"/>
        <v>940737.23</v>
      </c>
      <c r="L73" s="1040">
        <v>42260.38</v>
      </c>
      <c r="M73" s="1040">
        <v>0</v>
      </c>
      <c r="N73" s="1040">
        <v>14576.7</v>
      </c>
      <c r="O73" s="1040">
        <v>-0.21</v>
      </c>
      <c r="P73" s="1040">
        <v>0</v>
      </c>
      <c r="Q73" s="1040">
        <f t="shared" si="20"/>
        <v>56836.87</v>
      </c>
      <c r="R73" s="1041">
        <v>5082.4799999999996</v>
      </c>
      <c r="S73" s="1041">
        <v>1749.07</v>
      </c>
      <c r="T73" s="1041">
        <v>0</v>
      </c>
      <c r="U73" s="1041">
        <v>0</v>
      </c>
      <c r="V73" s="1387">
        <v>0</v>
      </c>
      <c r="W73" s="1042">
        <f t="shared" si="27"/>
        <v>6831.5499999999993</v>
      </c>
      <c r="X73" s="1042">
        <v>1765033.48</v>
      </c>
      <c r="Y73" s="1041">
        <v>944409.61</v>
      </c>
      <c r="Z73" s="1041">
        <v>496995.09</v>
      </c>
      <c r="AA73" s="1041">
        <v>379941.84</v>
      </c>
      <c r="AB73" s="1387">
        <v>0</v>
      </c>
      <c r="AC73" s="1042">
        <f t="shared" si="28"/>
        <v>3586380.0199999996</v>
      </c>
      <c r="AD73" s="1042">
        <v>22786.47</v>
      </c>
      <c r="AE73" s="1041">
        <v>0</v>
      </c>
      <c r="AF73" s="1041">
        <v>49228.09</v>
      </c>
      <c r="AG73" s="1041">
        <v>-4.28</v>
      </c>
      <c r="AH73" s="1387">
        <v>0</v>
      </c>
      <c r="AI73" s="1042">
        <f t="shared" si="29"/>
        <v>72010.28</v>
      </c>
    </row>
    <row r="74" spans="1:35" ht="15" customHeight="1" x14ac:dyDescent="0.25">
      <c r="A74" s="714" t="s">
        <v>182</v>
      </c>
      <c r="B74" s="713" t="s">
        <v>183</v>
      </c>
      <c r="C74" s="920" t="s">
        <v>266</v>
      </c>
      <c r="D74" s="1037">
        <f t="shared" si="21"/>
        <v>484553.12</v>
      </c>
      <c r="E74" s="1038">
        <f t="shared" si="22"/>
        <v>169873.81</v>
      </c>
      <c r="F74" s="1039">
        <f t="shared" si="23"/>
        <v>440771.95</v>
      </c>
      <c r="G74" s="1394">
        <f t="shared" si="24"/>
        <v>2195.13</v>
      </c>
      <c r="H74" s="1396">
        <f t="shared" si="25"/>
        <v>0</v>
      </c>
      <c r="I74" s="1396">
        <f t="shared" si="26"/>
        <v>1097394.01</v>
      </c>
      <c r="J74" s="1397">
        <f t="shared" si="18"/>
        <v>2195.13</v>
      </c>
      <c r="K74" s="1392">
        <f t="shared" si="19"/>
        <v>442967.08</v>
      </c>
      <c r="L74" s="1040"/>
      <c r="M74" s="1040"/>
      <c r="N74" s="1040"/>
      <c r="O74" s="1040"/>
      <c r="P74" s="1040"/>
      <c r="Q74" s="1040">
        <f t="shared" si="20"/>
        <v>0</v>
      </c>
      <c r="R74" s="1041"/>
      <c r="S74" s="1041"/>
      <c r="T74" s="1041"/>
      <c r="U74" s="1041"/>
      <c r="V74" s="1387"/>
      <c r="W74" s="1042">
        <f t="shared" si="27"/>
        <v>0</v>
      </c>
      <c r="X74" s="1042">
        <v>314050.27</v>
      </c>
      <c r="Y74" s="1041">
        <v>169873.81</v>
      </c>
      <c r="Z74" s="1041">
        <v>88765.82</v>
      </c>
      <c r="AA74" s="1041">
        <v>361.78</v>
      </c>
      <c r="AB74" s="1387">
        <v>0</v>
      </c>
      <c r="AC74" s="1042">
        <f t="shared" si="28"/>
        <v>573051.68000000005</v>
      </c>
      <c r="AD74" s="1042">
        <v>170502.85</v>
      </c>
      <c r="AE74" s="1041">
        <v>0</v>
      </c>
      <c r="AF74" s="1041">
        <v>352006.13</v>
      </c>
      <c r="AG74" s="1041">
        <v>1833.35</v>
      </c>
      <c r="AH74" s="1387">
        <v>0</v>
      </c>
      <c r="AI74" s="1042">
        <f t="shared" si="29"/>
        <v>524342.32999999996</v>
      </c>
    </row>
    <row r="75" spans="1:35" ht="15" customHeight="1" x14ac:dyDescent="0.25">
      <c r="A75" s="714" t="s">
        <v>184</v>
      </c>
      <c r="B75" s="713" t="s">
        <v>185</v>
      </c>
      <c r="C75" s="920" t="s">
        <v>266</v>
      </c>
      <c r="D75" s="1037">
        <f t="shared" si="21"/>
        <v>975859.79</v>
      </c>
      <c r="E75" s="1038">
        <f t="shared" si="22"/>
        <v>440652.55</v>
      </c>
      <c r="F75" s="1039">
        <f t="shared" si="23"/>
        <v>546669.1</v>
      </c>
      <c r="G75" s="1394">
        <f t="shared" si="24"/>
        <v>19847.689999999999</v>
      </c>
      <c r="H75" s="1396">
        <f t="shared" si="25"/>
        <v>0</v>
      </c>
      <c r="I75" s="1396">
        <f t="shared" si="26"/>
        <v>1983029.1300000001</v>
      </c>
      <c r="J75" s="1397">
        <f t="shared" si="18"/>
        <v>19847.689999999999</v>
      </c>
      <c r="K75" s="1392">
        <f t="shared" si="19"/>
        <v>566516.78999999992</v>
      </c>
      <c r="L75" s="1040"/>
      <c r="M75" s="1040"/>
      <c r="N75" s="1040"/>
      <c r="O75" s="1040"/>
      <c r="P75" s="1040"/>
      <c r="Q75" s="1040">
        <f t="shared" si="20"/>
        <v>0</v>
      </c>
      <c r="R75" s="1041"/>
      <c r="S75" s="1041"/>
      <c r="T75" s="1041"/>
      <c r="U75" s="1041"/>
      <c r="V75" s="1387"/>
      <c r="W75" s="1042">
        <f t="shared" si="27"/>
        <v>0</v>
      </c>
      <c r="X75" s="1042">
        <v>820916.56</v>
      </c>
      <c r="Y75" s="1041">
        <v>440652.55</v>
      </c>
      <c r="Z75" s="1041">
        <v>231409.98</v>
      </c>
      <c r="AA75" s="1041">
        <v>16543.32</v>
      </c>
      <c r="AB75" s="1387">
        <v>0</v>
      </c>
      <c r="AC75" s="1042">
        <f t="shared" si="28"/>
        <v>1509522.4100000001</v>
      </c>
      <c r="AD75" s="1042">
        <v>154943.23000000001</v>
      </c>
      <c r="AE75" s="1041">
        <v>0</v>
      </c>
      <c r="AF75" s="1041">
        <v>315259.12</v>
      </c>
      <c r="AG75" s="1041">
        <v>3304.37</v>
      </c>
      <c r="AH75" s="1387">
        <v>0</v>
      </c>
      <c r="AI75" s="1042">
        <f t="shared" si="29"/>
        <v>473506.72</v>
      </c>
    </row>
    <row r="76" spans="1:35" ht="15" customHeight="1" x14ac:dyDescent="0.25">
      <c r="A76" s="714" t="s">
        <v>186</v>
      </c>
      <c r="B76" s="713" t="s">
        <v>187</v>
      </c>
      <c r="C76" s="920" t="s">
        <v>264</v>
      </c>
      <c r="D76" s="1037">
        <f t="shared" si="21"/>
        <v>798548.85</v>
      </c>
      <c r="E76" s="1038">
        <f t="shared" si="22"/>
        <v>310712.09999999998</v>
      </c>
      <c r="F76" s="1039">
        <f t="shared" si="23"/>
        <v>610256.82000000007</v>
      </c>
      <c r="G76" s="1394">
        <f t="shared" si="24"/>
        <v>4716.29</v>
      </c>
      <c r="H76" s="1396">
        <f t="shared" si="25"/>
        <v>0</v>
      </c>
      <c r="I76" s="1396">
        <f t="shared" si="26"/>
        <v>1724234.06</v>
      </c>
      <c r="J76" s="1397">
        <f t="shared" si="18"/>
        <v>4716.29</v>
      </c>
      <c r="K76" s="1392">
        <f t="shared" si="19"/>
        <v>614973.1100000001</v>
      </c>
      <c r="L76" s="1040"/>
      <c r="M76" s="1040"/>
      <c r="N76" s="1040"/>
      <c r="O76" s="1040"/>
      <c r="P76" s="1040"/>
      <c r="Q76" s="1040">
        <f t="shared" si="20"/>
        <v>0</v>
      </c>
      <c r="R76" s="1041">
        <v>7630.44</v>
      </c>
      <c r="S76" s="1041">
        <v>2625.93</v>
      </c>
      <c r="T76" s="1041">
        <v>0</v>
      </c>
      <c r="U76" s="1041">
        <v>-0.02</v>
      </c>
      <c r="V76" s="1387">
        <v>0</v>
      </c>
      <c r="W76" s="1042">
        <f t="shared" si="27"/>
        <v>10256.349999999999</v>
      </c>
      <c r="X76" s="1042">
        <v>572089.63</v>
      </c>
      <c r="Y76" s="1041">
        <v>308086.17</v>
      </c>
      <c r="Z76" s="1041">
        <v>161450.89000000001</v>
      </c>
      <c r="AA76" s="1041">
        <v>4353.1000000000004</v>
      </c>
      <c r="AB76" s="1387">
        <v>0</v>
      </c>
      <c r="AC76" s="1042">
        <f t="shared" si="28"/>
        <v>1045979.79</v>
      </c>
      <c r="AD76" s="1042">
        <v>218828.78</v>
      </c>
      <c r="AE76" s="1041">
        <v>0</v>
      </c>
      <c r="AF76" s="1041">
        <v>448805.93</v>
      </c>
      <c r="AG76" s="1041">
        <v>363.21</v>
      </c>
      <c r="AH76" s="1387">
        <v>0</v>
      </c>
      <c r="AI76" s="1042">
        <f t="shared" si="29"/>
        <v>667997.91999999993</v>
      </c>
    </row>
    <row r="77" spans="1:35" ht="15" customHeight="1" x14ac:dyDescent="0.25">
      <c r="A77" s="714" t="s">
        <v>188</v>
      </c>
      <c r="B77" s="713" t="s">
        <v>189</v>
      </c>
      <c r="C77" s="920" t="s">
        <v>267</v>
      </c>
      <c r="D77" s="1037">
        <f t="shared" si="21"/>
        <v>8740093.1799999997</v>
      </c>
      <c r="E77" s="1038">
        <f t="shared" si="22"/>
        <v>2678116.0299999998</v>
      </c>
      <c r="F77" s="1039">
        <f t="shared" si="23"/>
        <v>9013545.0700000003</v>
      </c>
      <c r="G77" s="1394">
        <f t="shared" si="24"/>
        <v>24980.079999999998</v>
      </c>
      <c r="H77" s="1396">
        <f t="shared" si="25"/>
        <v>0</v>
      </c>
      <c r="I77" s="1396">
        <f t="shared" si="26"/>
        <v>20456734.359999999</v>
      </c>
      <c r="J77" s="1397">
        <f t="shared" si="18"/>
        <v>24980.079999999998</v>
      </c>
      <c r="K77" s="1392">
        <f t="shared" si="19"/>
        <v>9038525.1500000004</v>
      </c>
      <c r="L77" s="1040">
        <v>76745.69</v>
      </c>
      <c r="M77" s="1040">
        <v>0</v>
      </c>
      <c r="N77" s="1040">
        <v>26469.21</v>
      </c>
      <c r="O77" s="1040">
        <v>-0.22</v>
      </c>
      <c r="P77" s="1040">
        <v>0</v>
      </c>
      <c r="Q77" s="1040">
        <f t="shared" si="20"/>
        <v>103214.68</v>
      </c>
      <c r="R77" s="1041"/>
      <c r="S77" s="1041"/>
      <c r="T77" s="1041"/>
      <c r="U77" s="1041"/>
      <c r="V77" s="1387"/>
      <c r="W77" s="1042">
        <f t="shared" si="27"/>
        <v>0</v>
      </c>
      <c r="X77" s="1042">
        <v>4982066.12</v>
      </c>
      <c r="Y77" s="1041">
        <v>2678116.0299999998</v>
      </c>
      <c r="Z77" s="1041">
        <v>1405120.03</v>
      </c>
      <c r="AA77" s="1041">
        <v>24992.7</v>
      </c>
      <c r="AB77" s="1387">
        <v>0</v>
      </c>
      <c r="AC77" s="1042">
        <f t="shared" si="28"/>
        <v>9090294.879999999</v>
      </c>
      <c r="AD77" s="1042">
        <v>3681281.37</v>
      </c>
      <c r="AE77" s="1041">
        <v>0</v>
      </c>
      <c r="AF77" s="1041">
        <v>7581955.8300000001</v>
      </c>
      <c r="AG77" s="1041">
        <v>-12.4</v>
      </c>
      <c r="AH77" s="1387">
        <v>0</v>
      </c>
      <c r="AI77" s="1042">
        <f t="shared" si="29"/>
        <v>11263224.799999999</v>
      </c>
    </row>
    <row r="78" spans="1:35" ht="15" customHeight="1" x14ac:dyDescent="0.25">
      <c r="A78" s="714" t="s">
        <v>190</v>
      </c>
      <c r="B78" s="713" t="s">
        <v>191</v>
      </c>
      <c r="C78" s="920" t="s">
        <v>268</v>
      </c>
      <c r="D78" s="1037">
        <f t="shared" si="21"/>
        <v>1792778.7</v>
      </c>
      <c r="E78" s="1038">
        <f t="shared" si="22"/>
        <v>902990.8</v>
      </c>
      <c r="F78" s="1039">
        <f t="shared" si="23"/>
        <v>700783.35</v>
      </c>
      <c r="G78" s="1394">
        <f t="shared" si="24"/>
        <v>24982.35</v>
      </c>
      <c r="H78" s="1396">
        <f t="shared" si="25"/>
        <v>0</v>
      </c>
      <c r="I78" s="1396">
        <f t="shared" si="26"/>
        <v>3421535.1999999997</v>
      </c>
      <c r="J78" s="1397">
        <f t="shared" si="18"/>
        <v>24982.35</v>
      </c>
      <c r="K78" s="1392">
        <f t="shared" si="19"/>
        <v>725765.7</v>
      </c>
      <c r="L78" s="1040"/>
      <c r="M78" s="1040"/>
      <c r="N78" s="1040"/>
      <c r="O78" s="1040"/>
      <c r="P78" s="1040"/>
      <c r="Q78" s="1040">
        <f t="shared" si="20"/>
        <v>0</v>
      </c>
      <c r="R78" s="1041"/>
      <c r="S78" s="1041"/>
      <c r="T78" s="1041"/>
      <c r="U78" s="1041"/>
      <c r="V78" s="1387"/>
      <c r="W78" s="1042">
        <f t="shared" si="27"/>
        <v>0</v>
      </c>
      <c r="X78" s="1042">
        <v>1684809.17</v>
      </c>
      <c r="Y78" s="1041">
        <v>902990.8</v>
      </c>
      <c r="Z78" s="1041">
        <v>474680.69</v>
      </c>
      <c r="AA78" s="1041">
        <v>24982.93</v>
      </c>
      <c r="AB78" s="1387">
        <v>0</v>
      </c>
      <c r="AC78" s="1042">
        <f t="shared" si="28"/>
        <v>3087463.59</v>
      </c>
      <c r="AD78" s="1042">
        <v>107969.53</v>
      </c>
      <c r="AE78" s="1041">
        <v>0</v>
      </c>
      <c r="AF78" s="1041">
        <v>226102.66</v>
      </c>
      <c r="AG78" s="1041">
        <v>-0.57999999999999996</v>
      </c>
      <c r="AH78" s="1387">
        <v>0</v>
      </c>
      <c r="AI78" s="1042">
        <f t="shared" si="29"/>
        <v>334071.61</v>
      </c>
    </row>
    <row r="79" spans="1:35" ht="15" customHeight="1" x14ac:dyDescent="0.25">
      <c r="A79" s="714" t="s">
        <v>194</v>
      </c>
      <c r="B79" s="713" t="s">
        <v>195</v>
      </c>
      <c r="C79" s="920" t="s">
        <v>267</v>
      </c>
      <c r="D79" s="1037">
        <f t="shared" si="21"/>
        <v>376017.76</v>
      </c>
      <c r="E79" s="1038">
        <f t="shared" si="22"/>
        <v>126730.5</v>
      </c>
      <c r="F79" s="1039">
        <f t="shared" si="23"/>
        <v>359647.7</v>
      </c>
      <c r="G79" s="1394">
        <f t="shared" si="24"/>
        <v>7697.7199999999993</v>
      </c>
      <c r="H79" s="1396">
        <f t="shared" si="25"/>
        <v>0</v>
      </c>
      <c r="I79" s="1396">
        <f t="shared" si="26"/>
        <v>870093.67999999993</v>
      </c>
      <c r="J79" s="1397">
        <f t="shared" si="18"/>
        <v>7697.7199999999993</v>
      </c>
      <c r="K79" s="1392">
        <f t="shared" si="19"/>
        <v>367345.42</v>
      </c>
      <c r="L79" s="1040"/>
      <c r="M79" s="1040"/>
      <c r="N79" s="1040"/>
      <c r="O79" s="1040"/>
      <c r="P79" s="1040"/>
      <c r="Q79" s="1040">
        <f t="shared" si="20"/>
        <v>0</v>
      </c>
      <c r="R79" s="1041"/>
      <c r="S79" s="1041"/>
      <c r="T79" s="1041"/>
      <c r="U79" s="1041"/>
      <c r="V79" s="1387"/>
      <c r="W79" s="1042">
        <f t="shared" si="27"/>
        <v>0</v>
      </c>
      <c r="X79" s="1042">
        <v>234087.57</v>
      </c>
      <c r="Y79" s="1041">
        <v>126730.5</v>
      </c>
      <c r="Z79" s="1041">
        <v>66184.320000000007</v>
      </c>
      <c r="AA79" s="1041">
        <v>3104.93</v>
      </c>
      <c r="AB79" s="1387">
        <v>0</v>
      </c>
      <c r="AC79" s="1042">
        <f t="shared" si="28"/>
        <v>430107.32</v>
      </c>
      <c r="AD79" s="1042">
        <v>141930.19</v>
      </c>
      <c r="AE79" s="1041">
        <v>0</v>
      </c>
      <c r="AF79" s="1041">
        <v>293463.38</v>
      </c>
      <c r="AG79" s="1041">
        <v>4592.79</v>
      </c>
      <c r="AH79" s="1387">
        <v>0</v>
      </c>
      <c r="AI79" s="1042">
        <f t="shared" si="29"/>
        <v>439986.36</v>
      </c>
    </row>
    <row r="80" spans="1:35" ht="15" customHeight="1" x14ac:dyDescent="0.25">
      <c r="A80" s="714" t="s">
        <v>198</v>
      </c>
      <c r="B80" s="713" t="s">
        <v>199</v>
      </c>
      <c r="C80" s="920" t="s">
        <v>266</v>
      </c>
      <c r="D80" s="1037">
        <f t="shared" si="21"/>
        <v>348144.37</v>
      </c>
      <c r="E80" s="1038">
        <f t="shared" si="22"/>
        <v>158788.64000000001</v>
      </c>
      <c r="F80" s="1039">
        <f t="shared" si="23"/>
        <v>189001.14</v>
      </c>
      <c r="G80" s="1394">
        <f t="shared" si="24"/>
        <v>11753.01</v>
      </c>
      <c r="H80" s="1396">
        <f t="shared" si="25"/>
        <v>0</v>
      </c>
      <c r="I80" s="1396">
        <f t="shared" si="26"/>
        <v>707687.15999999992</v>
      </c>
      <c r="J80" s="1397">
        <f t="shared" si="18"/>
        <v>11753.01</v>
      </c>
      <c r="K80" s="1392">
        <f t="shared" si="19"/>
        <v>200754.15000000002</v>
      </c>
      <c r="L80" s="1040"/>
      <c r="M80" s="1040"/>
      <c r="N80" s="1040"/>
      <c r="O80" s="1040"/>
      <c r="P80" s="1040"/>
      <c r="Q80" s="1040">
        <f t="shared" si="20"/>
        <v>0</v>
      </c>
      <c r="R80" s="1041"/>
      <c r="S80" s="1041"/>
      <c r="T80" s="1041"/>
      <c r="U80" s="1041"/>
      <c r="V80" s="1387"/>
      <c r="W80" s="1042">
        <f t="shared" si="27"/>
        <v>0</v>
      </c>
      <c r="X80" s="1042">
        <v>295980.26</v>
      </c>
      <c r="Y80" s="1041">
        <v>158788.64000000001</v>
      </c>
      <c r="Z80" s="1041">
        <v>83417.77</v>
      </c>
      <c r="AA80" s="1041">
        <v>8552.32</v>
      </c>
      <c r="AB80" s="1387">
        <v>0</v>
      </c>
      <c r="AC80" s="1042">
        <f t="shared" si="28"/>
        <v>546738.99</v>
      </c>
      <c r="AD80" s="1042">
        <v>52164.11</v>
      </c>
      <c r="AE80" s="1041">
        <v>0</v>
      </c>
      <c r="AF80" s="1041">
        <v>105583.37</v>
      </c>
      <c r="AG80" s="1041">
        <v>3200.69</v>
      </c>
      <c r="AH80" s="1387">
        <v>0</v>
      </c>
      <c r="AI80" s="1042">
        <f t="shared" si="29"/>
        <v>160948.16999999998</v>
      </c>
    </row>
    <row r="81" spans="1:35" ht="15" customHeight="1" x14ac:dyDescent="0.25">
      <c r="A81" s="714" t="s">
        <v>202</v>
      </c>
      <c r="B81" s="713" t="s">
        <v>203</v>
      </c>
      <c r="C81" s="920" t="s">
        <v>265</v>
      </c>
      <c r="D81" s="1037">
        <f t="shared" si="21"/>
        <v>2538200.2999999998</v>
      </c>
      <c r="E81" s="1038">
        <f t="shared" si="22"/>
        <v>983325.08</v>
      </c>
      <c r="F81" s="1039">
        <f t="shared" si="23"/>
        <v>1983580.12</v>
      </c>
      <c r="G81" s="1394">
        <f t="shared" si="24"/>
        <v>417995.75</v>
      </c>
      <c r="H81" s="1396">
        <f t="shared" si="25"/>
        <v>0</v>
      </c>
      <c r="I81" s="1396">
        <f t="shared" si="26"/>
        <v>5923101.25</v>
      </c>
      <c r="J81" s="1397">
        <f t="shared" si="18"/>
        <v>417995.75</v>
      </c>
      <c r="K81" s="1392">
        <f t="shared" si="19"/>
        <v>2401575.87</v>
      </c>
      <c r="L81" s="1040"/>
      <c r="M81" s="1040"/>
      <c r="N81" s="1040"/>
      <c r="O81" s="1040"/>
      <c r="P81" s="1040"/>
      <c r="Q81" s="1040">
        <f t="shared" si="20"/>
        <v>0</v>
      </c>
      <c r="R81" s="1041"/>
      <c r="S81" s="1041"/>
      <c r="T81" s="1041"/>
      <c r="U81" s="1041"/>
      <c r="V81" s="1387"/>
      <c r="W81" s="1042">
        <f t="shared" si="27"/>
        <v>0</v>
      </c>
      <c r="X81" s="1042">
        <v>1824204.28</v>
      </c>
      <c r="Y81" s="1041">
        <v>983325.08</v>
      </c>
      <c r="Z81" s="1041">
        <v>514988.03</v>
      </c>
      <c r="AA81" s="1041">
        <v>231299.66</v>
      </c>
      <c r="AB81" s="1387">
        <v>0</v>
      </c>
      <c r="AC81" s="1042">
        <f t="shared" si="28"/>
        <v>3553817.05</v>
      </c>
      <c r="AD81" s="1042">
        <v>713996.02</v>
      </c>
      <c r="AE81" s="1041">
        <v>0</v>
      </c>
      <c r="AF81" s="1041">
        <v>1468592.09</v>
      </c>
      <c r="AG81" s="1041">
        <v>186696.09</v>
      </c>
      <c r="AH81" s="1387">
        <v>0</v>
      </c>
      <c r="AI81" s="1042">
        <f t="shared" si="29"/>
        <v>2369284.2000000002</v>
      </c>
    </row>
    <row r="82" spans="1:35" ht="15" customHeight="1" x14ac:dyDescent="0.25">
      <c r="A82" s="714" t="s">
        <v>204</v>
      </c>
      <c r="B82" s="713" t="s">
        <v>205</v>
      </c>
      <c r="C82" s="920" t="s">
        <v>265</v>
      </c>
      <c r="D82" s="1037">
        <f t="shared" si="21"/>
        <v>843594.83</v>
      </c>
      <c r="E82" s="1038">
        <f t="shared" si="22"/>
        <v>439515.92</v>
      </c>
      <c r="F82" s="1039">
        <f t="shared" si="23"/>
        <v>275933.17</v>
      </c>
      <c r="G82" s="1394">
        <f t="shared" si="24"/>
        <v>6371.74</v>
      </c>
      <c r="H82" s="1396">
        <f t="shared" si="25"/>
        <v>0</v>
      </c>
      <c r="I82" s="1396">
        <f t="shared" si="26"/>
        <v>1565415.66</v>
      </c>
      <c r="J82" s="1397">
        <f t="shared" si="18"/>
        <v>6371.74</v>
      </c>
      <c r="K82" s="1392">
        <f t="shared" si="19"/>
        <v>282304.90999999997</v>
      </c>
      <c r="L82" s="1040"/>
      <c r="M82" s="1040"/>
      <c r="N82" s="1040"/>
      <c r="O82" s="1040"/>
      <c r="P82" s="1040"/>
      <c r="Q82" s="1040">
        <f t="shared" si="20"/>
        <v>0</v>
      </c>
      <c r="R82" s="1041">
        <v>2970.83</v>
      </c>
      <c r="S82" s="1041">
        <v>1025.57</v>
      </c>
      <c r="T82" s="1041">
        <v>0</v>
      </c>
      <c r="U82" s="1041">
        <v>-0.01</v>
      </c>
      <c r="V82" s="1387">
        <v>0</v>
      </c>
      <c r="W82" s="1042">
        <f t="shared" si="27"/>
        <v>3996.3899999999994</v>
      </c>
      <c r="X82" s="1042">
        <v>818665.21</v>
      </c>
      <c r="Y82" s="1041">
        <v>438490.35</v>
      </c>
      <c r="Z82" s="1041">
        <v>230599.38</v>
      </c>
      <c r="AA82" s="1041">
        <v>6183.72</v>
      </c>
      <c r="AB82" s="1387">
        <v>0</v>
      </c>
      <c r="AC82" s="1042">
        <f t="shared" si="28"/>
        <v>1493938.66</v>
      </c>
      <c r="AD82" s="1042">
        <v>21958.79</v>
      </c>
      <c r="AE82" s="1041">
        <v>0</v>
      </c>
      <c r="AF82" s="1041">
        <v>45333.79</v>
      </c>
      <c r="AG82" s="1041">
        <v>188.03</v>
      </c>
      <c r="AH82" s="1387">
        <v>0</v>
      </c>
      <c r="AI82" s="1042">
        <f t="shared" si="29"/>
        <v>67480.61</v>
      </c>
    </row>
    <row r="83" spans="1:35" ht="15" customHeight="1" x14ac:dyDescent="0.25">
      <c r="A83" s="714" t="s">
        <v>206</v>
      </c>
      <c r="B83" s="713" t="s">
        <v>207</v>
      </c>
      <c r="C83" s="920" t="s">
        <v>267</v>
      </c>
      <c r="D83" s="1037">
        <f t="shared" si="21"/>
        <v>2924439.81</v>
      </c>
      <c r="E83" s="1038">
        <f t="shared" si="22"/>
        <v>1117631.3900000001</v>
      </c>
      <c r="F83" s="1039">
        <f t="shared" si="23"/>
        <v>2324423.4900000002</v>
      </c>
      <c r="G83" s="1394">
        <f t="shared" si="24"/>
        <v>8477.4599999999991</v>
      </c>
      <c r="H83" s="1396">
        <f t="shared" si="25"/>
        <v>0</v>
      </c>
      <c r="I83" s="1396">
        <f t="shared" si="26"/>
        <v>6374972.1500000004</v>
      </c>
      <c r="J83" s="1397">
        <f t="shared" si="18"/>
        <v>8477.4599999999991</v>
      </c>
      <c r="K83" s="1392">
        <f t="shared" si="19"/>
        <v>2332900.9500000002</v>
      </c>
      <c r="L83" s="1040"/>
      <c r="M83" s="1040"/>
      <c r="N83" s="1040"/>
      <c r="O83" s="1040"/>
      <c r="P83" s="1040"/>
      <c r="Q83" s="1040">
        <f t="shared" si="20"/>
        <v>0</v>
      </c>
      <c r="R83" s="1041">
        <v>483.07</v>
      </c>
      <c r="S83" s="1041">
        <v>167.11</v>
      </c>
      <c r="T83" s="1041">
        <v>0</v>
      </c>
      <c r="U83" s="1041">
        <v>-0.01</v>
      </c>
      <c r="V83" s="1387">
        <v>0</v>
      </c>
      <c r="W83" s="1042">
        <f t="shared" si="27"/>
        <v>650.17000000000007</v>
      </c>
      <c r="X83" s="1042">
        <v>2076570.93</v>
      </c>
      <c r="Y83" s="1041">
        <v>1117464.28</v>
      </c>
      <c r="Z83" s="1041">
        <v>585885.56000000006</v>
      </c>
      <c r="AA83" s="1041">
        <v>5459.5</v>
      </c>
      <c r="AB83" s="1387">
        <v>0</v>
      </c>
      <c r="AC83" s="1042">
        <f t="shared" si="28"/>
        <v>3785380.27</v>
      </c>
      <c r="AD83" s="1042">
        <v>847385.81</v>
      </c>
      <c r="AE83" s="1041">
        <v>0</v>
      </c>
      <c r="AF83" s="1041">
        <v>1738537.93</v>
      </c>
      <c r="AG83" s="1041">
        <v>3017.97</v>
      </c>
      <c r="AH83" s="1387">
        <v>0</v>
      </c>
      <c r="AI83" s="1042">
        <f t="shared" si="29"/>
        <v>2588941.7100000004</v>
      </c>
    </row>
    <row r="84" spans="1:35" ht="15" customHeight="1" x14ac:dyDescent="0.25">
      <c r="A84" s="714" t="s">
        <v>208</v>
      </c>
      <c r="B84" s="713" t="s">
        <v>209</v>
      </c>
      <c r="C84" s="920" t="s">
        <v>268</v>
      </c>
      <c r="D84" s="1037">
        <f t="shared" si="21"/>
        <v>1292970.6399999999</v>
      </c>
      <c r="E84" s="1038">
        <f t="shared" si="22"/>
        <v>692976.26</v>
      </c>
      <c r="F84" s="1039">
        <f t="shared" si="23"/>
        <v>364281.12</v>
      </c>
      <c r="G84" s="1394">
        <f t="shared" si="24"/>
        <v>17704.240000000002</v>
      </c>
      <c r="H84" s="1396">
        <f t="shared" si="25"/>
        <v>0</v>
      </c>
      <c r="I84" s="1396">
        <f t="shared" si="26"/>
        <v>2367932.2600000002</v>
      </c>
      <c r="J84" s="1397">
        <f t="shared" si="18"/>
        <v>17704.240000000002</v>
      </c>
      <c r="K84" s="1392">
        <f t="shared" si="19"/>
        <v>381985.36</v>
      </c>
      <c r="L84" s="1040"/>
      <c r="M84" s="1040"/>
      <c r="N84" s="1040"/>
      <c r="O84" s="1040"/>
      <c r="P84" s="1040"/>
      <c r="Q84" s="1040">
        <f t="shared" si="20"/>
        <v>0</v>
      </c>
      <c r="R84" s="1042"/>
      <c r="S84" s="1042"/>
      <c r="T84" s="1042"/>
      <c r="U84" s="1042"/>
      <c r="V84" s="1042"/>
      <c r="W84" s="1042">
        <f t="shared" si="27"/>
        <v>0</v>
      </c>
      <c r="X84" s="1042">
        <v>1292970.6399999999</v>
      </c>
      <c r="Y84" s="1042">
        <v>692976.26</v>
      </c>
      <c r="Z84" s="1042">
        <v>364281.12</v>
      </c>
      <c r="AA84" s="1042">
        <v>17704.240000000002</v>
      </c>
      <c r="AB84" s="1042">
        <v>0</v>
      </c>
      <c r="AC84" s="1042">
        <f t="shared" si="28"/>
        <v>2367932.2600000002</v>
      </c>
      <c r="AD84" s="1042">
        <v>0</v>
      </c>
      <c r="AE84" s="1042">
        <v>0</v>
      </c>
      <c r="AF84" s="1042">
        <v>0</v>
      </c>
      <c r="AG84" s="1042">
        <v>0</v>
      </c>
      <c r="AH84" s="1042">
        <v>0</v>
      </c>
      <c r="AI84" s="1042">
        <f t="shared" si="29"/>
        <v>0</v>
      </c>
    </row>
    <row r="85" spans="1:35" ht="15" customHeight="1" x14ac:dyDescent="0.25">
      <c r="A85" s="714" t="s">
        <v>210</v>
      </c>
      <c r="B85" s="713" t="s">
        <v>211</v>
      </c>
      <c r="C85" s="920" t="s">
        <v>268</v>
      </c>
      <c r="D85" s="1037">
        <f t="shared" si="21"/>
        <v>1078879.27</v>
      </c>
      <c r="E85" s="1038">
        <f t="shared" si="22"/>
        <v>570958.22</v>
      </c>
      <c r="F85" s="1039">
        <f t="shared" si="23"/>
        <v>328354.7</v>
      </c>
      <c r="G85" s="1394">
        <f t="shared" si="24"/>
        <v>50374.78</v>
      </c>
      <c r="H85" s="1396">
        <f t="shared" si="25"/>
        <v>0</v>
      </c>
      <c r="I85" s="1396">
        <f t="shared" si="26"/>
        <v>2028566.9700000002</v>
      </c>
      <c r="J85" s="1397">
        <f t="shared" si="18"/>
        <v>50374.78</v>
      </c>
      <c r="K85" s="1392">
        <f t="shared" si="19"/>
        <v>378729.48</v>
      </c>
      <c r="L85" s="1040"/>
      <c r="M85" s="1040"/>
      <c r="N85" s="1040"/>
      <c r="O85" s="1040"/>
      <c r="P85" s="1040"/>
      <c r="Q85" s="1040">
        <f t="shared" si="20"/>
        <v>0</v>
      </c>
      <c r="R85" s="1041"/>
      <c r="S85" s="1042"/>
      <c r="T85" s="1041"/>
      <c r="U85" s="1041"/>
      <c r="V85" s="1387"/>
      <c r="W85" s="1042">
        <f t="shared" si="27"/>
        <v>0</v>
      </c>
      <c r="X85" s="1042">
        <v>1064825.76</v>
      </c>
      <c r="Y85" s="1042">
        <v>570958.22</v>
      </c>
      <c r="Z85" s="1041">
        <v>300053.05</v>
      </c>
      <c r="AA85" s="1041">
        <v>50374.81</v>
      </c>
      <c r="AB85" s="1387">
        <v>0</v>
      </c>
      <c r="AC85" s="1042">
        <f t="shared" si="28"/>
        <v>1986211.8400000001</v>
      </c>
      <c r="AD85" s="1042">
        <v>14053.51</v>
      </c>
      <c r="AE85" s="1042">
        <v>0</v>
      </c>
      <c r="AF85" s="1041">
        <v>28301.65</v>
      </c>
      <c r="AG85" s="1041">
        <v>-0.03</v>
      </c>
      <c r="AH85" s="1387">
        <v>0</v>
      </c>
      <c r="AI85" s="1042">
        <f t="shared" si="29"/>
        <v>42355.130000000005</v>
      </c>
    </row>
    <row r="86" spans="1:35" ht="15" customHeight="1" x14ac:dyDescent="0.25">
      <c r="A86" s="714" t="s">
        <v>212</v>
      </c>
      <c r="B86" s="713" t="s">
        <v>213</v>
      </c>
      <c r="C86" s="920" t="s">
        <v>267</v>
      </c>
      <c r="D86" s="1037">
        <f t="shared" si="21"/>
        <v>1082986.28</v>
      </c>
      <c r="E86" s="1038">
        <f t="shared" si="22"/>
        <v>424594.24</v>
      </c>
      <c r="F86" s="1039">
        <f t="shared" si="23"/>
        <v>821119.07</v>
      </c>
      <c r="G86" s="1394">
        <f t="shared" si="24"/>
        <v>519980</v>
      </c>
      <c r="H86" s="1396">
        <f t="shared" si="25"/>
        <v>0</v>
      </c>
      <c r="I86" s="1396">
        <f t="shared" si="26"/>
        <v>2848679.59</v>
      </c>
      <c r="J86" s="1397">
        <f t="shared" si="18"/>
        <v>519980</v>
      </c>
      <c r="K86" s="1392">
        <f t="shared" si="19"/>
        <v>1341099.0699999998</v>
      </c>
      <c r="L86" s="1040"/>
      <c r="M86" s="1040"/>
      <c r="N86" s="1040"/>
      <c r="O86" s="1040"/>
      <c r="P86" s="1040"/>
      <c r="Q86" s="1040">
        <f t="shared" si="20"/>
        <v>0</v>
      </c>
      <c r="R86" s="1041">
        <v>2306.48</v>
      </c>
      <c r="S86" s="1042">
        <v>796.56</v>
      </c>
      <c r="T86" s="1041">
        <v>0</v>
      </c>
      <c r="U86" s="1041">
        <v>-0.02</v>
      </c>
      <c r="V86" s="1387">
        <v>0</v>
      </c>
      <c r="W86" s="1042">
        <f t="shared" si="27"/>
        <v>3103.02</v>
      </c>
      <c r="X86" s="1042">
        <v>787882.14</v>
      </c>
      <c r="Y86" s="1042">
        <v>423797.68</v>
      </c>
      <c r="Z86" s="1041">
        <v>222258.48</v>
      </c>
      <c r="AA86" s="1041">
        <v>516593</v>
      </c>
      <c r="AB86" s="1387">
        <v>0</v>
      </c>
      <c r="AC86" s="1042">
        <f t="shared" si="28"/>
        <v>1950531.3</v>
      </c>
      <c r="AD86" s="1042">
        <v>292797.65999999997</v>
      </c>
      <c r="AE86" s="1042">
        <v>0</v>
      </c>
      <c r="AF86" s="1041">
        <v>598860.59</v>
      </c>
      <c r="AG86" s="1041">
        <v>3387.02</v>
      </c>
      <c r="AH86" s="1387">
        <v>0</v>
      </c>
      <c r="AI86" s="1042">
        <f t="shared" si="29"/>
        <v>895045.27</v>
      </c>
    </row>
    <row r="87" spans="1:35" ht="15" customHeight="1" x14ac:dyDescent="0.25">
      <c r="A87" s="714" t="s">
        <v>214</v>
      </c>
      <c r="B87" s="713" t="s">
        <v>215</v>
      </c>
      <c r="C87" s="920" t="s">
        <v>268</v>
      </c>
      <c r="D87" s="1037">
        <f t="shared" si="21"/>
        <v>1686151.05</v>
      </c>
      <c r="E87" s="1038">
        <f t="shared" si="22"/>
        <v>873675.43</v>
      </c>
      <c r="F87" s="1039">
        <f t="shared" si="23"/>
        <v>570612.94000000006</v>
      </c>
      <c r="G87" s="1394">
        <f t="shared" si="24"/>
        <v>-10729.17</v>
      </c>
      <c r="H87" s="1396">
        <f t="shared" si="25"/>
        <v>0</v>
      </c>
      <c r="I87" s="1396">
        <f t="shared" si="26"/>
        <v>3119710.25</v>
      </c>
      <c r="J87" s="1397">
        <f t="shared" si="18"/>
        <v>-10729.17</v>
      </c>
      <c r="K87" s="1392">
        <f t="shared" si="19"/>
        <v>559883.77</v>
      </c>
      <c r="L87" s="1040"/>
      <c r="M87" s="1040"/>
      <c r="N87" s="1040"/>
      <c r="O87" s="1040"/>
      <c r="P87" s="1040"/>
      <c r="Q87" s="1040">
        <f t="shared" si="20"/>
        <v>0</v>
      </c>
      <c r="R87" s="1041"/>
      <c r="S87" s="1042"/>
      <c r="T87" s="1041"/>
      <c r="U87" s="1041"/>
      <c r="V87" s="1387"/>
      <c r="W87" s="1042">
        <f t="shared" si="27"/>
        <v>0</v>
      </c>
      <c r="X87" s="1042">
        <v>1630938.5</v>
      </c>
      <c r="Y87" s="1042">
        <v>873675.43</v>
      </c>
      <c r="Z87" s="1041">
        <v>459423.28</v>
      </c>
      <c r="AA87" s="1041">
        <v>-10728.59</v>
      </c>
      <c r="AB87" s="1387">
        <v>0</v>
      </c>
      <c r="AC87" s="1042">
        <f t="shared" si="28"/>
        <v>2953308.62</v>
      </c>
      <c r="AD87" s="1042">
        <v>55212.55</v>
      </c>
      <c r="AE87" s="1042">
        <v>0</v>
      </c>
      <c r="AF87" s="1041">
        <v>111189.66</v>
      </c>
      <c r="AG87" s="1041">
        <v>-0.57999999999999996</v>
      </c>
      <c r="AH87" s="1387">
        <v>0</v>
      </c>
      <c r="AI87" s="1042">
        <f t="shared" si="29"/>
        <v>166401.63000000003</v>
      </c>
    </row>
    <row r="88" spans="1:35" ht="15" customHeight="1" x14ac:dyDescent="0.25">
      <c r="A88" s="714" t="s">
        <v>216</v>
      </c>
      <c r="B88" s="713" t="s">
        <v>217</v>
      </c>
      <c r="C88" s="920" t="s">
        <v>264</v>
      </c>
      <c r="D88" s="1037">
        <f t="shared" si="21"/>
        <v>963146.49</v>
      </c>
      <c r="E88" s="1038">
        <f t="shared" si="22"/>
        <v>516314.92</v>
      </c>
      <c r="F88" s="1039">
        <f t="shared" si="23"/>
        <v>271377.77</v>
      </c>
      <c r="G88" s="1394">
        <f t="shared" si="24"/>
        <v>5674.04</v>
      </c>
      <c r="H88" s="1396">
        <f t="shared" si="25"/>
        <v>0</v>
      </c>
      <c r="I88" s="1396">
        <f t="shared" si="26"/>
        <v>1756513.22</v>
      </c>
      <c r="J88" s="1397">
        <f t="shared" si="18"/>
        <v>5674.04</v>
      </c>
      <c r="K88" s="1392">
        <f t="shared" si="19"/>
        <v>277051.81</v>
      </c>
      <c r="L88" s="1040"/>
      <c r="M88" s="1040"/>
      <c r="N88" s="1040"/>
      <c r="O88" s="1040"/>
      <c r="P88" s="1040"/>
      <c r="Q88" s="1040">
        <f t="shared" si="20"/>
        <v>0</v>
      </c>
      <c r="R88" s="1041"/>
      <c r="S88" s="1041"/>
      <c r="T88" s="1041"/>
      <c r="U88" s="1041"/>
      <c r="V88" s="1387"/>
      <c r="W88" s="1042">
        <f t="shared" si="27"/>
        <v>0</v>
      </c>
      <c r="X88" s="1042">
        <v>963146.49</v>
      </c>
      <c r="Y88" s="1041">
        <v>516314.92</v>
      </c>
      <c r="Z88" s="1041">
        <v>271377.77</v>
      </c>
      <c r="AA88" s="1041">
        <v>5674.04</v>
      </c>
      <c r="AB88" s="1387">
        <v>0</v>
      </c>
      <c r="AC88" s="1042">
        <f t="shared" si="28"/>
        <v>1756513.22</v>
      </c>
      <c r="AD88" s="1042">
        <v>0</v>
      </c>
      <c r="AE88" s="1041">
        <v>0</v>
      </c>
      <c r="AF88" s="1041">
        <v>0</v>
      </c>
      <c r="AG88" s="1041">
        <v>0</v>
      </c>
      <c r="AH88" s="1387">
        <v>0</v>
      </c>
      <c r="AI88" s="1042">
        <f t="shared" si="29"/>
        <v>0</v>
      </c>
    </row>
    <row r="89" spans="1:35" ht="15" customHeight="1" x14ac:dyDescent="0.25">
      <c r="A89" s="714" t="s">
        <v>218</v>
      </c>
      <c r="B89" s="713" t="s">
        <v>219</v>
      </c>
      <c r="C89" s="920" t="s">
        <v>267</v>
      </c>
      <c r="D89" s="1037">
        <f t="shared" si="21"/>
        <v>2390978.73</v>
      </c>
      <c r="E89" s="1038">
        <f t="shared" si="22"/>
        <v>776317.77</v>
      </c>
      <c r="F89" s="1039">
        <f t="shared" si="23"/>
        <v>2381317.4300000002</v>
      </c>
      <c r="G89" s="1394">
        <f t="shared" si="24"/>
        <v>71948.06</v>
      </c>
      <c r="H89" s="1396">
        <f t="shared" si="25"/>
        <v>0</v>
      </c>
      <c r="I89" s="1396">
        <f t="shared" si="26"/>
        <v>5620561.9900000002</v>
      </c>
      <c r="J89" s="1397">
        <f t="shared" si="18"/>
        <v>71948.06</v>
      </c>
      <c r="K89" s="1392">
        <f t="shared" si="19"/>
        <v>2453265.4900000002</v>
      </c>
      <c r="L89" s="1040"/>
      <c r="M89" s="1040"/>
      <c r="N89" s="1040"/>
      <c r="O89" s="1040"/>
      <c r="P89" s="1040"/>
      <c r="Q89" s="1040">
        <f t="shared" si="20"/>
        <v>0</v>
      </c>
      <c r="R89" s="1041">
        <v>11643.92</v>
      </c>
      <c r="S89" s="1041">
        <v>4013.31</v>
      </c>
      <c r="T89" s="1041">
        <v>0</v>
      </c>
      <c r="U89" s="1041">
        <v>-0.01</v>
      </c>
      <c r="V89" s="1387">
        <v>0</v>
      </c>
      <c r="W89" s="1042">
        <f t="shared" si="27"/>
        <v>15657.22</v>
      </c>
      <c r="X89" s="1042">
        <v>1425536.36</v>
      </c>
      <c r="Y89" s="1041">
        <v>772304.46</v>
      </c>
      <c r="Z89" s="1041">
        <v>403152.34</v>
      </c>
      <c r="AA89" s="1041">
        <v>35479.360000000001</v>
      </c>
      <c r="AB89" s="1387">
        <v>0</v>
      </c>
      <c r="AC89" s="1042">
        <f t="shared" si="28"/>
        <v>2636472.52</v>
      </c>
      <c r="AD89" s="1042">
        <v>953798.45</v>
      </c>
      <c r="AE89" s="1041">
        <v>0</v>
      </c>
      <c r="AF89" s="1041">
        <v>1978165.09</v>
      </c>
      <c r="AG89" s="1041">
        <v>36468.71</v>
      </c>
      <c r="AH89" s="1387">
        <v>0</v>
      </c>
      <c r="AI89" s="1042">
        <f t="shared" si="29"/>
        <v>2968432.25</v>
      </c>
    </row>
    <row r="90" spans="1:35" ht="15" customHeight="1" x14ac:dyDescent="0.25">
      <c r="A90" s="714" t="s">
        <v>220</v>
      </c>
      <c r="B90" s="713" t="s">
        <v>221</v>
      </c>
      <c r="C90" s="920" t="s">
        <v>267</v>
      </c>
      <c r="D90" s="1037">
        <f t="shared" si="21"/>
        <v>1909854.65</v>
      </c>
      <c r="E90" s="1038">
        <f t="shared" si="22"/>
        <v>781282.91</v>
      </c>
      <c r="F90" s="1039">
        <f t="shared" si="23"/>
        <v>1339959.74</v>
      </c>
      <c r="G90" s="1394">
        <f t="shared" si="24"/>
        <v>9152.119999999999</v>
      </c>
      <c r="H90" s="1396">
        <f t="shared" si="25"/>
        <v>0</v>
      </c>
      <c r="I90" s="1396">
        <f t="shared" si="26"/>
        <v>4040249.42</v>
      </c>
      <c r="J90" s="1397">
        <f t="shared" si="18"/>
        <v>9152.119999999999</v>
      </c>
      <c r="K90" s="1392">
        <f t="shared" si="19"/>
        <v>1349111.86</v>
      </c>
      <c r="L90" s="1040"/>
      <c r="M90" s="1040"/>
      <c r="N90" s="1040"/>
      <c r="O90" s="1040"/>
      <c r="P90" s="1040"/>
      <c r="Q90" s="1040">
        <f t="shared" si="20"/>
        <v>0</v>
      </c>
      <c r="R90" s="1041">
        <v>3653.5</v>
      </c>
      <c r="S90" s="1041">
        <v>1259.92</v>
      </c>
      <c r="T90" s="1041">
        <v>0</v>
      </c>
      <c r="U90" s="1041">
        <v>-0.02</v>
      </c>
      <c r="V90" s="1387">
        <v>0</v>
      </c>
      <c r="W90" s="1042">
        <f t="shared" si="27"/>
        <v>4913.3999999999996</v>
      </c>
      <c r="X90" s="1042">
        <v>1450288.24</v>
      </c>
      <c r="Y90" s="1041">
        <v>780022.99</v>
      </c>
      <c r="Z90" s="1041">
        <v>409108.62</v>
      </c>
      <c r="AA90" s="1041">
        <v>7096.91</v>
      </c>
      <c r="AB90" s="1387">
        <v>0</v>
      </c>
      <c r="AC90" s="1042">
        <f t="shared" si="28"/>
        <v>2646516.7600000002</v>
      </c>
      <c r="AD90" s="1042">
        <v>455912.91</v>
      </c>
      <c r="AE90" s="1041">
        <v>0</v>
      </c>
      <c r="AF90" s="1041">
        <v>930851.12</v>
      </c>
      <c r="AG90" s="1041">
        <v>2055.23</v>
      </c>
      <c r="AH90" s="1387">
        <v>0</v>
      </c>
      <c r="AI90" s="1042">
        <f t="shared" si="29"/>
        <v>1388819.26</v>
      </c>
    </row>
    <row r="91" spans="1:35" ht="15" customHeight="1" x14ac:dyDescent="0.25">
      <c r="A91" s="714" t="s">
        <v>224</v>
      </c>
      <c r="B91" s="713" t="s">
        <v>225</v>
      </c>
      <c r="C91" s="920" t="s">
        <v>264</v>
      </c>
      <c r="D91" s="1037">
        <f t="shared" si="21"/>
        <v>633925.26</v>
      </c>
      <c r="E91" s="1038">
        <f t="shared" si="22"/>
        <v>281478.65000000002</v>
      </c>
      <c r="F91" s="1039">
        <f t="shared" si="23"/>
        <v>366876.86</v>
      </c>
      <c r="G91" s="1394">
        <f t="shared" si="24"/>
        <v>194407.24</v>
      </c>
      <c r="H91" s="1396">
        <f t="shared" si="25"/>
        <v>0</v>
      </c>
      <c r="I91" s="1396">
        <f t="shared" si="26"/>
        <v>1476688.0100000002</v>
      </c>
      <c r="J91" s="1397">
        <f t="shared" si="18"/>
        <v>194407.24</v>
      </c>
      <c r="K91" s="1392">
        <f t="shared" si="19"/>
        <v>561284.1</v>
      </c>
      <c r="L91" s="1040"/>
      <c r="M91" s="1040"/>
      <c r="N91" s="1040"/>
      <c r="O91" s="1040"/>
      <c r="P91" s="1040"/>
      <c r="Q91" s="1040">
        <f t="shared" si="20"/>
        <v>0</v>
      </c>
      <c r="R91" s="1041"/>
      <c r="S91" s="1041"/>
      <c r="T91" s="1041"/>
      <c r="U91" s="1041"/>
      <c r="V91" s="1387"/>
      <c r="W91" s="1042">
        <f t="shared" si="27"/>
        <v>0</v>
      </c>
      <c r="X91" s="1042">
        <v>526624.38</v>
      </c>
      <c r="Y91" s="1041">
        <v>281478.65000000002</v>
      </c>
      <c r="Z91" s="1041">
        <v>148230.16</v>
      </c>
      <c r="AA91" s="1041">
        <v>118077.18</v>
      </c>
      <c r="AB91" s="1387">
        <v>0</v>
      </c>
      <c r="AC91" s="1042">
        <f t="shared" si="28"/>
        <v>1074410.3700000001</v>
      </c>
      <c r="AD91" s="1042">
        <v>107300.88</v>
      </c>
      <c r="AE91" s="1041">
        <v>0</v>
      </c>
      <c r="AF91" s="1041">
        <v>218646.7</v>
      </c>
      <c r="AG91" s="1041">
        <v>76330.06</v>
      </c>
      <c r="AH91" s="1387">
        <v>0</v>
      </c>
      <c r="AI91" s="1042">
        <f t="shared" si="29"/>
        <v>402277.64</v>
      </c>
    </row>
    <row r="92" spans="1:35" ht="15" customHeight="1" x14ac:dyDescent="0.25">
      <c r="A92" s="714" t="s">
        <v>226</v>
      </c>
      <c r="B92" s="713" t="s">
        <v>227</v>
      </c>
      <c r="C92" s="920" t="s">
        <v>264</v>
      </c>
      <c r="D92" s="1037">
        <f t="shared" si="21"/>
        <v>806829.01</v>
      </c>
      <c r="E92" s="1038">
        <f t="shared" si="22"/>
        <v>407361.12</v>
      </c>
      <c r="F92" s="1039">
        <f t="shared" si="23"/>
        <v>309627.7</v>
      </c>
      <c r="G92" s="1394">
        <f t="shared" si="24"/>
        <v>56572.55</v>
      </c>
      <c r="H92" s="1396">
        <f t="shared" si="25"/>
        <v>0</v>
      </c>
      <c r="I92" s="1396">
        <f t="shared" si="26"/>
        <v>1580390.3800000001</v>
      </c>
      <c r="J92" s="1397">
        <f t="shared" si="18"/>
        <v>56572.55</v>
      </c>
      <c r="K92" s="1392">
        <f t="shared" si="19"/>
        <v>366200.25</v>
      </c>
      <c r="L92" s="1040"/>
      <c r="M92" s="1040"/>
      <c r="N92" s="1040"/>
      <c r="O92" s="1040"/>
      <c r="P92" s="1040"/>
      <c r="Q92" s="1040">
        <f t="shared" si="20"/>
        <v>0</v>
      </c>
      <c r="R92" s="1041"/>
      <c r="S92" s="1041"/>
      <c r="T92" s="1041"/>
      <c r="U92" s="1041"/>
      <c r="V92" s="1387"/>
      <c r="W92" s="1042">
        <f t="shared" si="27"/>
        <v>0</v>
      </c>
      <c r="X92" s="1042">
        <v>759348.14</v>
      </c>
      <c r="Y92" s="1041">
        <v>407361.12</v>
      </c>
      <c r="Z92" s="1041">
        <v>214008.79</v>
      </c>
      <c r="AA92" s="1041">
        <v>56574.11</v>
      </c>
      <c r="AB92" s="1387">
        <v>0</v>
      </c>
      <c r="AC92" s="1042">
        <f t="shared" si="28"/>
        <v>1437292.1600000001</v>
      </c>
      <c r="AD92" s="1042">
        <v>47480.87</v>
      </c>
      <c r="AE92" s="1041">
        <v>0</v>
      </c>
      <c r="AF92" s="1041">
        <v>95618.91</v>
      </c>
      <c r="AG92" s="1041">
        <v>-1.56</v>
      </c>
      <c r="AH92" s="1387">
        <v>0</v>
      </c>
      <c r="AI92" s="1042">
        <f t="shared" si="29"/>
        <v>143098.22</v>
      </c>
    </row>
    <row r="93" spans="1:35" ht="15" customHeight="1" x14ac:dyDescent="0.25">
      <c r="A93" s="714" t="s">
        <v>228</v>
      </c>
      <c r="B93" s="713" t="s">
        <v>229</v>
      </c>
      <c r="C93" s="920" t="s">
        <v>268</v>
      </c>
      <c r="D93" s="1037">
        <f t="shared" si="21"/>
        <v>2084567.23</v>
      </c>
      <c r="E93" s="1038">
        <f t="shared" si="22"/>
        <v>1052235.03</v>
      </c>
      <c r="F93" s="1039">
        <f t="shared" si="23"/>
        <v>801456.97</v>
      </c>
      <c r="G93" s="1394">
        <f t="shared" si="24"/>
        <v>126242.74</v>
      </c>
      <c r="H93" s="1396">
        <f t="shared" si="25"/>
        <v>0</v>
      </c>
      <c r="I93" s="1396">
        <f t="shared" si="26"/>
        <v>4064501.97</v>
      </c>
      <c r="J93" s="1397">
        <f t="shared" si="18"/>
        <v>126242.74</v>
      </c>
      <c r="K93" s="1392">
        <f t="shared" si="19"/>
        <v>927699.71</v>
      </c>
      <c r="L93" s="1040"/>
      <c r="M93" s="1040"/>
      <c r="N93" s="1040"/>
      <c r="O93" s="1040"/>
      <c r="P93" s="1040"/>
      <c r="Q93" s="1040">
        <f t="shared" si="20"/>
        <v>0</v>
      </c>
      <c r="R93" s="1041"/>
      <c r="S93" s="1041"/>
      <c r="T93" s="1041"/>
      <c r="U93" s="1041"/>
      <c r="V93" s="1387"/>
      <c r="W93" s="1042">
        <f t="shared" si="27"/>
        <v>0</v>
      </c>
      <c r="X93" s="1042">
        <v>1962248</v>
      </c>
      <c r="Y93" s="1041">
        <v>1052235.03</v>
      </c>
      <c r="Z93" s="1041">
        <v>552949.07999999996</v>
      </c>
      <c r="AA93" s="1041">
        <v>126243.86</v>
      </c>
      <c r="AB93" s="1387">
        <v>0</v>
      </c>
      <c r="AC93" s="1042">
        <f t="shared" si="28"/>
        <v>3693675.97</v>
      </c>
      <c r="AD93" s="1042">
        <v>122319.23</v>
      </c>
      <c r="AE93" s="1041">
        <v>0</v>
      </c>
      <c r="AF93" s="1041">
        <v>248507.89</v>
      </c>
      <c r="AG93" s="1041">
        <v>-1.1200000000000001</v>
      </c>
      <c r="AH93" s="1387">
        <v>0</v>
      </c>
      <c r="AI93" s="1042">
        <f t="shared" si="29"/>
        <v>370826</v>
      </c>
    </row>
    <row r="94" spans="1:35" ht="15" customHeight="1" x14ac:dyDescent="0.25">
      <c r="A94" s="714" t="s">
        <v>232</v>
      </c>
      <c r="B94" s="713" t="s">
        <v>233</v>
      </c>
      <c r="C94" s="920" t="s">
        <v>267</v>
      </c>
      <c r="D94" s="1037">
        <f t="shared" si="21"/>
        <v>1143920.33</v>
      </c>
      <c r="E94" s="1038">
        <f t="shared" si="22"/>
        <v>459165.91</v>
      </c>
      <c r="F94" s="1039">
        <f t="shared" si="23"/>
        <v>834635.85</v>
      </c>
      <c r="G94" s="1394">
        <f t="shared" si="24"/>
        <v>14515.210000000001</v>
      </c>
      <c r="H94" s="1396">
        <f t="shared" si="25"/>
        <v>0</v>
      </c>
      <c r="I94" s="1396">
        <f t="shared" si="26"/>
        <v>2452237.3000000003</v>
      </c>
      <c r="J94" s="1397">
        <f t="shared" si="18"/>
        <v>14515.210000000001</v>
      </c>
      <c r="K94" s="1392">
        <f t="shared" si="19"/>
        <v>849151.05999999994</v>
      </c>
      <c r="L94" s="1040"/>
      <c r="M94" s="1040"/>
      <c r="N94" s="1040"/>
      <c r="O94" s="1040"/>
      <c r="P94" s="1040"/>
      <c r="Q94" s="1040">
        <f t="shared" si="20"/>
        <v>0</v>
      </c>
      <c r="R94" s="1041"/>
      <c r="S94" s="1041"/>
      <c r="T94" s="1041"/>
      <c r="U94" s="1041"/>
      <c r="V94" s="1387"/>
      <c r="W94" s="1042">
        <f t="shared" si="27"/>
        <v>0</v>
      </c>
      <c r="X94" s="1042">
        <v>853530.63</v>
      </c>
      <c r="Y94" s="1041">
        <v>459165.91</v>
      </c>
      <c r="Z94" s="1041">
        <v>240787.37</v>
      </c>
      <c r="AA94" s="1041">
        <v>13681.62</v>
      </c>
      <c r="AB94" s="1387">
        <v>0</v>
      </c>
      <c r="AC94" s="1042">
        <f t="shared" si="28"/>
        <v>1567165.5300000003</v>
      </c>
      <c r="AD94" s="1042">
        <v>290389.7</v>
      </c>
      <c r="AE94" s="1041">
        <v>0</v>
      </c>
      <c r="AF94" s="1041">
        <v>593848.48</v>
      </c>
      <c r="AG94" s="1041">
        <v>833.59</v>
      </c>
      <c r="AH94" s="1387">
        <v>0</v>
      </c>
      <c r="AI94" s="1042">
        <f t="shared" si="29"/>
        <v>885071.7699999999</v>
      </c>
    </row>
    <row r="95" spans="1:35" ht="15" customHeight="1" x14ac:dyDescent="0.25">
      <c r="A95" s="714" t="s">
        <v>234</v>
      </c>
      <c r="B95" s="713" t="s">
        <v>235</v>
      </c>
      <c r="C95" s="920" t="s">
        <v>268</v>
      </c>
      <c r="D95" s="1037">
        <f t="shared" si="21"/>
        <v>1635843.05</v>
      </c>
      <c r="E95" s="1038">
        <f t="shared" si="22"/>
        <v>801351.79</v>
      </c>
      <c r="F95" s="1039">
        <f t="shared" si="23"/>
        <v>710962.11</v>
      </c>
      <c r="G95" s="1394">
        <f t="shared" si="24"/>
        <v>68866.209999999992</v>
      </c>
      <c r="H95" s="1396">
        <f t="shared" si="25"/>
        <v>0</v>
      </c>
      <c r="I95" s="1396">
        <f t="shared" si="26"/>
        <v>3217023.1599999997</v>
      </c>
      <c r="J95" s="1397">
        <f t="shared" si="18"/>
        <v>68866.209999999992</v>
      </c>
      <c r="K95" s="1392">
        <f t="shared" si="19"/>
        <v>779828.32</v>
      </c>
      <c r="L95" s="1040"/>
      <c r="M95" s="1040"/>
      <c r="N95" s="1040"/>
      <c r="O95" s="1040"/>
      <c r="P95" s="1040"/>
      <c r="Q95" s="1040">
        <f t="shared" si="20"/>
        <v>0</v>
      </c>
      <c r="R95" s="1041">
        <v>123.6</v>
      </c>
      <c r="S95" s="1041">
        <v>42.65</v>
      </c>
      <c r="T95" s="1041">
        <v>0</v>
      </c>
      <c r="U95" s="1041">
        <v>0</v>
      </c>
      <c r="V95" s="1387">
        <v>0</v>
      </c>
      <c r="W95" s="1042">
        <f t="shared" si="27"/>
        <v>166.25</v>
      </c>
      <c r="X95" s="1042">
        <v>1495683.24</v>
      </c>
      <c r="Y95" s="1041">
        <v>801309.14</v>
      </c>
      <c r="Z95" s="1041">
        <v>421338.76</v>
      </c>
      <c r="AA95" s="1041">
        <v>68867.199999999997</v>
      </c>
      <c r="AB95" s="1387">
        <v>0</v>
      </c>
      <c r="AC95" s="1042">
        <f t="shared" si="28"/>
        <v>2787198.34</v>
      </c>
      <c r="AD95" s="1042">
        <v>140036.21</v>
      </c>
      <c r="AE95" s="1041">
        <v>0</v>
      </c>
      <c r="AF95" s="1041">
        <v>289623.34999999998</v>
      </c>
      <c r="AG95" s="1041">
        <v>-0.99</v>
      </c>
      <c r="AH95" s="1387">
        <v>0</v>
      </c>
      <c r="AI95" s="1042">
        <f t="shared" si="29"/>
        <v>429658.56999999995</v>
      </c>
    </row>
    <row r="96" spans="1:35" ht="15" customHeight="1" x14ac:dyDescent="0.25">
      <c r="A96" s="714" t="s">
        <v>236</v>
      </c>
      <c r="B96" s="713" t="s">
        <v>237</v>
      </c>
      <c r="C96" s="920" t="s">
        <v>266</v>
      </c>
      <c r="D96" s="1037">
        <f t="shared" si="21"/>
        <v>796295.89999999991</v>
      </c>
      <c r="E96" s="1038">
        <f t="shared" si="22"/>
        <v>356104.48</v>
      </c>
      <c r="F96" s="1039">
        <f t="shared" si="23"/>
        <v>460096.80000000005</v>
      </c>
      <c r="G96" s="1394">
        <f t="shared" si="24"/>
        <v>70587.839999999997</v>
      </c>
      <c r="H96" s="1396">
        <f t="shared" si="25"/>
        <v>0</v>
      </c>
      <c r="I96" s="1396">
        <f t="shared" si="26"/>
        <v>1683085.0199999998</v>
      </c>
      <c r="J96" s="1397">
        <f t="shared" si="18"/>
        <v>70587.839999999997</v>
      </c>
      <c r="K96" s="1392">
        <f t="shared" si="19"/>
        <v>530684.64</v>
      </c>
      <c r="L96" s="1040"/>
      <c r="M96" s="1040"/>
      <c r="N96" s="1040"/>
      <c r="O96" s="1040"/>
      <c r="P96" s="1040"/>
      <c r="Q96" s="1040">
        <f t="shared" si="20"/>
        <v>0</v>
      </c>
      <c r="R96" s="1041"/>
      <c r="S96" s="1041"/>
      <c r="T96" s="1041"/>
      <c r="U96" s="1041"/>
      <c r="V96" s="1387"/>
      <c r="W96" s="1042">
        <f t="shared" si="27"/>
        <v>0</v>
      </c>
      <c r="X96" s="1042">
        <v>662562.44999999995</v>
      </c>
      <c r="Y96" s="1041">
        <v>356104.48</v>
      </c>
      <c r="Z96" s="1041">
        <v>186853.48</v>
      </c>
      <c r="AA96" s="1041">
        <v>70589.14</v>
      </c>
      <c r="AB96" s="1387">
        <v>0</v>
      </c>
      <c r="AC96" s="1042">
        <f t="shared" si="28"/>
        <v>1276109.5499999998</v>
      </c>
      <c r="AD96" s="1042">
        <v>133733.45000000001</v>
      </c>
      <c r="AE96" s="1041">
        <v>0</v>
      </c>
      <c r="AF96" s="1041">
        <v>273243.32</v>
      </c>
      <c r="AG96" s="1041">
        <v>-1.3</v>
      </c>
      <c r="AH96" s="1387">
        <v>0</v>
      </c>
      <c r="AI96" s="1042">
        <f t="shared" si="29"/>
        <v>406975.47000000003</v>
      </c>
    </row>
    <row r="97" spans="1:35" ht="15" customHeight="1" x14ac:dyDescent="0.25">
      <c r="A97" s="714" t="s">
        <v>242</v>
      </c>
      <c r="B97" s="713" t="s">
        <v>243</v>
      </c>
      <c r="C97" s="920" t="s">
        <v>268</v>
      </c>
      <c r="D97" s="1037">
        <f t="shared" si="21"/>
        <v>2438817.96</v>
      </c>
      <c r="E97" s="1038">
        <f t="shared" si="22"/>
        <v>1276376.4099999999</v>
      </c>
      <c r="F97" s="1039">
        <f t="shared" si="23"/>
        <v>790232.59</v>
      </c>
      <c r="G97" s="1394">
        <f t="shared" si="24"/>
        <v>10642.050000000001</v>
      </c>
      <c r="H97" s="1396">
        <f t="shared" si="25"/>
        <v>0</v>
      </c>
      <c r="I97" s="1396">
        <f t="shared" si="26"/>
        <v>4516069.01</v>
      </c>
      <c r="J97" s="1397">
        <f t="shared" si="18"/>
        <v>10642.050000000001</v>
      </c>
      <c r="K97" s="1392">
        <f t="shared" si="19"/>
        <v>800874.64</v>
      </c>
      <c r="L97" s="1040"/>
      <c r="M97" s="1040"/>
      <c r="N97" s="1040"/>
      <c r="O97" s="1040"/>
      <c r="P97" s="1040"/>
      <c r="Q97" s="1040">
        <f t="shared" si="20"/>
        <v>0</v>
      </c>
      <c r="R97" s="1041"/>
      <c r="S97" s="1041"/>
      <c r="T97" s="1041"/>
      <c r="U97" s="1041"/>
      <c r="V97" s="1387"/>
      <c r="W97" s="1042">
        <f t="shared" si="27"/>
        <v>0</v>
      </c>
      <c r="X97" s="1042">
        <v>2380140.5699999998</v>
      </c>
      <c r="Y97" s="1041">
        <v>1276376.4099999999</v>
      </c>
      <c r="Z97" s="1041">
        <v>670718.74</v>
      </c>
      <c r="AA97" s="1041">
        <v>10642.68</v>
      </c>
      <c r="AB97" s="1387">
        <v>0</v>
      </c>
      <c r="AC97" s="1042">
        <f t="shared" si="28"/>
        <v>4337878.3999999994</v>
      </c>
      <c r="AD97" s="1042">
        <v>58677.39</v>
      </c>
      <c r="AE97" s="1041">
        <v>0</v>
      </c>
      <c r="AF97" s="1041">
        <v>119513.85</v>
      </c>
      <c r="AG97" s="1041">
        <v>-0.63</v>
      </c>
      <c r="AH97" s="1387">
        <v>0</v>
      </c>
      <c r="AI97" s="1042">
        <f t="shared" si="29"/>
        <v>178190.61</v>
      </c>
    </row>
    <row r="98" spans="1:35" ht="15" customHeight="1" x14ac:dyDescent="0.25">
      <c r="A98" s="714" t="s">
        <v>244</v>
      </c>
      <c r="B98" s="713" t="s">
        <v>245</v>
      </c>
      <c r="C98" s="920" t="s">
        <v>268</v>
      </c>
      <c r="D98" s="1037">
        <f t="shared" si="21"/>
        <v>1326923.31</v>
      </c>
      <c r="E98" s="1038">
        <f t="shared" si="22"/>
        <v>611783.84</v>
      </c>
      <c r="F98" s="1039">
        <f t="shared" si="23"/>
        <v>707300.17999999993</v>
      </c>
      <c r="G98" s="1394">
        <f t="shared" si="24"/>
        <v>18299.240000000002</v>
      </c>
      <c r="H98" s="1396">
        <f t="shared" si="25"/>
        <v>0</v>
      </c>
      <c r="I98" s="1396">
        <f t="shared" si="26"/>
        <v>2664306.5700000003</v>
      </c>
      <c r="J98" s="1397">
        <f t="shared" si="18"/>
        <v>18299.240000000002</v>
      </c>
      <c r="K98" s="1392">
        <f t="shared" si="19"/>
        <v>725599.41999999993</v>
      </c>
      <c r="L98" s="1040"/>
      <c r="M98" s="1040"/>
      <c r="N98" s="1040"/>
      <c r="O98" s="1040"/>
      <c r="P98" s="1040"/>
      <c r="Q98" s="1040">
        <f t="shared" si="20"/>
        <v>0</v>
      </c>
      <c r="R98" s="1041"/>
      <c r="S98" s="1041"/>
      <c r="T98" s="1041"/>
      <c r="U98" s="1041"/>
      <c r="V98" s="1387"/>
      <c r="W98" s="1042">
        <f t="shared" si="27"/>
        <v>0</v>
      </c>
      <c r="X98" s="1042">
        <v>1142914.26</v>
      </c>
      <c r="Y98" s="1041">
        <v>611783.84</v>
      </c>
      <c r="Z98" s="1041">
        <v>321862.81</v>
      </c>
      <c r="AA98" s="1041">
        <v>18299.93</v>
      </c>
      <c r="AB98" s="1387">
        <v>0</v>
      </c>
      <c r="AC98" s="1042">
        <f t="shared" si="28"/>
        <v>2094860.84</v>
      </c>
      <c r="AD98" s="1042">
        <v>184009.05</v>
      </c>
      <c r="AE98" s="1041">
        <v>0</v>
      </c>
      <c r="AF98" s="1041">
        <v>385437.37</v>
      </c>
      <c r="AG98" s="1041">
        <v>-0.69</v>
      </c>
      <c r="AH98" s="1387">
        <v>0</v>
      </c>
      <c r="AI98" s="1042">
        <f t="shared" si="29"/>
        <v>569445.73</v>
      </c>
    </row>
    <row r="99" spans="1:35" ht="15" customHeight="1" x14ac:dyDescent="0.25">
      <c r="A99" s="714" t="s">
        <v>246</v>
      </c>
      <c r="B99" s="713" t="s">
        <v>310</v>
      </c>
      <c r="C99" s="920" t="s">
        <v>264</v>
      </c>
      <c r="D99" s="1037">
        <f t="shared" si="21"/>
        <v>1812184.93</v>
      </c>
      <c r="E99" s="1038">
        <f t="shared" si="22"/>
        <v>685772.62</v>
      </c>
      <c r="F99" s="1039">
        <f t="shared" si="23"/>
        <v>1470791.08</v>
      </c>
      <c r="G99" s="1394">
        <f t="shared" si="24"/>
        <v>37958.9</v>
      </c>
      <c r="H99" s="1396">
        <f t="shared" si="25"/>
        <v>0</v>
      </c>
      <c r="I99" s="1396">
        <f t="shared" si="26"/>
        <v>4006707.5300000003</v>
      </c>
      <c r="J99" s="1397">
        <f t="shared" si="18"/>
        <v>37958.9</v>
      </c>
      <c r="K99" s="1392">
        <f t="shared" si="19"/>
        <v>1508749.98</v>
      </c>
      <c r="L99" s="1040"/>
      <c r="M99" s="1040"/>
      <c r="N99" s="1040"/>
      <c r="O99" s="1040"/>
      <c r="P99" s="1040"/>
      <c r="Q99" s="1040">
        <f t="shared" si="20"/>
        <v>0</v>
      </c>
      <c r="R99" s="1041"/>
      <c r="S99" s="1041"/>
      <c r="T99" s="1041"/>
      <c r="U99" s="1041"/>
      <c r="V99" s="1387"/>
      <c r="W99" s="1042">
        <f t="shared" si="27"/>
        <v>0</v>
      </c>
      <c r="X99" s="1042">
        <v>1271593.22</v>
      </c>
      <c r="Y99" s="1041">
        <v>685772.62</v>
      </c>
      <c r="Z99" s="1041">
        <v>359041.24</v>
      </c>
      <c r="AA99" s="1041">
        <v>33130.120000000003</v>
      </c>
      <c r="AB99" s="1387">
        <v>0</v>
      </c>
      <c r="AC99" s="1042">
        <f t="shared" si="28"/>
        <v>2349537.2000000002</v>
      </c>
      <c r="AD99" s="1042">
        <v>540591.71</v>
      </c>
      <c r="AE99" s="1041">
        <v>0</v>
      </c>
      <c r="AF99" s="1041">
        <v>1111749.8400000001</v>
      </c>
      <c r="AG99" s="1041">
        <v>4828.78</v>
      </c>
      <c r="AH99" s="1387">
        <v>0</v>
      </c>
      <c r="AI99" s="1042">
        <f t="shared" si="29"/>
        <v>1657170.33</v>
      </c>
    </row>
    <row r="100" spans="1:35" ht="15" customHeight="1" x14ac:dyDescent="0.25">
      <c r="A100" s="714" t="s">
        <v>14</v>
      </c>
      <c r="B100" s="713" t="s">
        <v>15</v>
      </c>
      <c r="C100" s="920" t="s">
        <v>267</v>
      </c>
      <c r="D100" s="1037">
        <f t="shared" si="21"/>
        <v>7650964.8200000003</v>
      </c>
      <c r="E100" s="1038">
        <f t="shared" si="22"/>
        <v>2243947.27</v>
      </c>
      <c r="F100" s="1039">
        <f t="shared" si="23"/>
        <v>8440417.620000001</v>
      </c>
      <c r="G100" s="1394">
        <f t="shared" si="24"/>
        <v>128908.63</v>
      </c>
      <c r="H100" s="1396">
        <f t="shared" si="25"/>
        <v>0</v>
      </c>
      <c r="I100" s="1396">
        <f t="shared" si="26"/>
        <v>18464238.34</v>
      </c>
      <c r="J100" s="1397">
        <f t="shared" si="18"/>
        <v>128908.63</v>
      </c>
      <c r="K100" s="1392">
        <f t="shared" si="19"/>
        <v>8569326.2500000019</v>
      </c>
      <c r="L100" s="1040">
        <v>26280.87</v>
      </c>
      <c r="M100" s="1040">
        <v>0</v>
      </c>
      <c r="N100" s="1040">
        <v>9053.06</v>
      </c>
      <c r="O100" s="1040">
        <v>-0.11</v>
      </c>
      <c r="P100" s="1040">
        <v>0</v>
      </c>
      <c r="Q100" s="1040">
        <f t="shared" si="20"/>
        <v>35333.82</v>
      </c>
      <c r="R100" s="1041">
        <v>10153.73</v>
      </c>
      <c r="S100" s="1041">
        <v>3500.3</v>
      </c>
      <c r="T100" s="1041">
        <v>0</v>
      </c>
      <c r="U100" s="1041">
        <v>0</v>
      </c>
      <c r="V100" s="1387">
        <v>0</v>
      </c>
      <c r="W100" s="1042">
        <f t="shared" si="27"/>
        <v>13654.029999999999</v>
      </c>
      <c r="X100" s="1042">
        <v>4125617.44</v>
      </c>
      <c r="Y100" s="1041">
        <v>2240446.9700000002</v>
      </c>
      <c r="Z100" s="1041">
        <v>1167737.48</v>
      </c>
      <c r="AA100" s="1041">
        <v>39148.25</v>
      </c>
      <c r="AB100" s="1387">
        <v>0</v>
      </c>
      <c r="AC100" s="1042">
        <f t="shared" si="28"/>
        <v>7572950.1400000006</v>
      </c>
      <c r="AD100" s="1042">
        <v>3488912.78</v>
      </c>
      <c r="AE100" s="1041">
        <v>0</v>
      </c>
      <c r="AF100" s="1041">
        <v>7263627.0800000001</v>
      </c>
      <c r="AG100" s="1041">
        <v>89760.49</v>
      </c>
      <c r="AH100" s="1387">
        <v>0</v>
      </c>
      <c r="AI100" s="1042">
        <f t="shared" si="29"/>
        <v>10842300.35</v>
      </c>
    </row>
    <row r="101" spans="1:35" ht="15" customHeight="1" x14ac:dyDescent="0.25">
      <c r="A101" s="714" t="s">
        <v>34</v>
      </c>
      <c r="B101" s="713" t="s">
        <v>35</v>
      </c>
      <c r="C101" s="920" t="s">
        <v>268</v>
      </c>
      <c r="D101" s="1037">
        <f t="shared" si="21"/>
        <v>1285441.7</v>
      </c>
      <c r="E101" s="1038">
        <f t="shared" si="22"/>
        <v>647559.14</v>
      </c>
      <c r="F101" s="1039">
        <f t="shared" si="23"/>
        <v>501629.27</v>
      </c>
      <c r="G101" s="1394">
        <f t="shared" si="24"/>
        <v>8331.0399999999991</v>
      </c>
      <c r="H101" s="1396">
        <f t="shared" si="25"/>
        <v>0</v>
      </c>
      <c r="I101" s="1396">
        <f t="shared" si="26"/>
        <v>2442961.15</v>
      </c>
      <c r="J101" s="1397">
        <f t="shared" si="18"/>
        <v>8331.0399999999991</v>
      </c>
      <c r="K101" s="1392">
        <f t="shared" si="19"/>
        <v>509960.31</v>
      </c>
      <c r="L101" s="1040"/>
      <c r="M101" s="1040"/>
      <c r="N101" s="1040"/>
      <c r="O101" s="1040"/>
      <c r="P101" s="1040"/>
      <c r="Q101" s="1040">
        <f t="shared" ref="Q101:Q124" si="30">SUM(L101:P101)</f>
        <v>0</v>
      </c>
      <c r="R101" s="1041"/>
      <c r="S101" s="1041"/>
      <c r="T101" s="1041"/>
      <c r="U101" s="1041"/>
      <c r="V101" s="1387"/>
      <c r="W101" s="1042">
        <f t="shared" si="27"/>
        <v>0</v>
      </c>
      <c r="X101" s="1042">
        <v>1208776.2</v>
      </c>
      <c r="Y101" s="1041">
        <v>647559.14</v>
      </c>
      <c r="Z101" s="1041">
        <v>340507.93</v>
      </c>
      <c r="AA101" s="1041">
        <v>6777.9</v>
      </c>
      <c r="AB101" s="1387">
        <v>0</v>
      </c>
      <c r="AC101" s="1042">
        <f t="shared" si="28"/>
        <v>2203621.17</v>
      </c>
      <c r="AD101" s="1042">
        <v>76665.5</v>
      </c>
      <c r="AE101" s="1041">
        <v>0</v>
      </c>
      <c r="AF101" s="1041">
        <v>161121.34</v>
      </c>
      <c r="AG101" s="1041">
        <v>1553.14</v>
      </c>
      <c r="AH101" s="1387">
        <v>0</v>
      </c>
      <c r="AI101" s="1042">
        <f t="shared" si="29"/>
        <v>239339.98</v>
      </c>
    </row>
    <row r="102" spans="1:35" ht="15" customHeight="1" x14ac:dyDescent="0.25">
      <c r="A102" s="714" t="s">
        <v>52</v>
      </c>
      <c r="B102" s="713" t="s">
        <v>53</v>
      </c>
      <c r="C102" s="920" t="s">
        <v>265</v>
      </c>
      <c r="D102" s="1037">
        <f t="shared" si="21"/>
        <v>3602594.62</v>
      </c>
      <c r="E102" s="1038">
        <f t="shared" si="22"/>
        <v>1284622.81</v>
      </c>
      <c r="F102" s="1039">
        <f t="shared" si="23"/>
        <v>3143485.58</v>
      </c>
      <c r="G102" s="1394">
        <f t="shared" si="24"/>
        <v>20245.7</v>
      </c>
      <c r="H102" s="1396">
        <f t="shared" si="25"/>
        <v>0</v>
      </c>
      <c r="I102" s="1396">
        <f t="shared" si="26"/>
        <v>8050948.709999999</v>
      </c>
      <c r="J102" s="1397">
        <f t="shared" si="18"/>
        <v>20245.7</v>
      </c>
      <c r="K102" s="1392">
        <f t="shared" si="19"/>
        <v>3163731.2800000003</v>
      </c>
      <c r="L102" s="1040"/>
      <c r="M102" s="1040"/>
      <c r="N102" s="1040"/>
      <c r="O102" s="1040"/>
      <c r="P102" s="1040"/>
      <c r="Q102" s="1040">
        <f t="shared" si="30"/>
        <v>0</v>
      </c>
      <c r="R102" s="1041">
        <v>2137.0300000000002</v>
      </c>
      <c r="S102" s="1041">
        <v>737.36</v>
      </c>
      <c r="T102" s="1041">
        <v>0</v>
      </c>
      <c r="U102" s="1041">
        <v>0</v>
      </c>
      <c r="V102" s="1387">
        <v>0</v>
      </c>
      <c r="W102" s="1042">
        <f t="shared" si="27"/>
        <v>2874.3900000000003</v>
      </c>
      <c r="X102" s="1042">
        <v>2400501.9500000002</v>
      </c>
      <c r="Y102" s="1041">
        <v>1283885.45</v>
      </c>
      <c r="Z102" s="1041">
        <v>675831.93</v>
      </c>
      <c r="AA102" s="1041">
        <v>20261.93</v>
      </c>
      <c r="AB102" s="1387">
        <v>0</v>
      </c>
      <c r="AC102" s="1042">
        <f t="shared" si="28"/>
        <v>4380481.26</v>
      </c>
      <c r="AD102" s="1042">
        <v>1199955.6399999999</v>
      </c>
      <c r="AE102" s="1041">
        <v>0</v>
      </c>
      <c r="AF102" s="1041">
        <v>2467653.65</v>
      </c>
      <c r="AG102" s="1041">
        <v>-16.23</v>
      </c>
      <c r="AH102" s="1387">
        <v>0</v>
      </c>
      <c r="AI102" s="1042">
        <f t="shared" si="29"/>
        <v>3667593.06</v>
      </c>
    </row>
    <row r="103" spans="1:35" ht="15" customHeight="1" x14ac:dyDescent="0.25">
      <c r="A103" s="714" t="s">
        <v>54</v>
      </c>
      <c r="B103" s="713" t="s">
        <v>55</v>
      </c>
      <c r="C103" s="920" t="s">
        <v>264</v>
      </c>
      <c r="D103" s="1037">
        <f t="shared" si="21"/>
        <v>6634891.7400000002</v>
      </c>
      <c r="E103" s="1038">
        <f t="shared" si="22"/>
        <v>2784237.9099999997</v>
      </c>
      <c r="F103" s="1039">
        <f t="shared" si="23"/>
        <v>4421799.87</v>
      </c>
      <c r="G103" s="1394">
        <f t="shared" si="24"/>
        <v>658415.88</v>
      </c>
      <c r="H103" s="1396">
        <f t="shared" si="25"/>
        <v>0</v>
      </c>
      <c r="I103" s="1396">
        <f t="shared" si="26"/>
        <v>14499345.4</v>
      </c>
      <c r="J103" s="1397">
        <f t="shared" si="18"/>
        <v>658415.88</v>
      </c>
      <c r="K103" s="1392">
        <f t="shared" si="19"/>
        <v>5080215.75</v>
      </c>
      <c r="L103" s="1040"/>
      <c r="M103" s="1040"/>
      <c r="N103" s="1040"/>
      <c r="O103" s="1040"/>
      <c r="P103" s="1040"/>
      <c r="Q103" s="1040">
        <f t="shared" si="30"/>
        <v>0</v>
      </c>
      <c r="R103" s="1041">
        <v>5375.36</v>
      </c>
      <c r="S103" s="1041">
        <v>1849.88</v>
      </c>
      <c r="T103" s="1041">
        <v>0</v>
      </c>
      <c r="U103" s="1041">
        <v>0</v>
      </c>
      <c r="V103" s="1387">
        <v>0</v>
      </c>
      <c r="W103" s="1042">
        <f t="shared" si="27"/>
        <v>7225.24</v>
      </c>
      <c r="X103" s="1042">
        <v>5176233.59</v>
      </c>
      <c r="Y103" s="1041">
        <v>2782388.03</v>
      </c>
      <c r="Z103" s="1041">
        <v>1459862.99</v>
      </c>
      <c r="AA103" s="1041">
        <v>428861.46</v>
      </c>
      <c r="AB103" s="1387">
        <v>0</v>
      </c>
      <c r="AC103" s="1042">
        <f t="shared" si="28"/>
        <v>9847346.0700000003</v>
      </c>
      <c r="AD103" s="1042">
        <v>1453282.79</v>
      </c>
      <c r="AE103" s="1041">
        <v>0</v>
      </c>
      <c r="AF103" s="1041">
        <v>2961936.88</v>
      </c>
      <c r="AG103" s="1041">
        <v>229554.42</v>
      </c>
      <c r="AH103" s="1387">
        <v>0</v>
      </c>
      <c r="AI103" s="1042">
        <f t="shared" si="29"/>
        <v>4644774.09</v>
      </c>
    </row>
    <row r="104" spans="1:35" ht="15" customHeight="1" x14ac:dyDescent="0.25">
      <c r="A104" s="714" t="s">
        <v>66</v>
      </c>
      <c r="B104" s="713" t="s">
        <v>67</v>
      </c>
      <c r="C104" s="920" t="s">
        <v>265</v>
      </c>
      <c r="D104" s="1037">
        <f t="shared" si="21"/>
        <v>2549830.9300000002</v>
      </c>
      <c r="E104" s="1038">
        <f t="shared" si="22"/>
        <v>1318594.07</v>
      </c>
      <c r="F104" s="1039">
        <f t="shared" si="23"/>
        <v>878929.48</v>
      </c>
      <c r="G104" s="1394">
        <f t="shared" si="24"/>
        <v>3170.23</v>
      </c>
      <c r="H104" s="1396">
        <f t="shared" si="25"/>
        <v>0</v>
      </c>
      <c r="I104" s="1396">
        <f t="shared" si="26"/>
        <v>4750524.7100000009</v>
      </c>
      <c r="J104" s="1397">
        <f t="shared" si="18"/>
        <v>3170.23</v>
      </c>
      <c r="K104" s="1392">
        <f t="shared" si="19"/>
        <v>882099.71</v>
      </c>
      <c r="L104" s="1040"/>
      <c r="M104" s="1040"/>
      <c r="N104" s="1040"/>
      <c r="O104" s="1040"/>
      <c r="P104" s="1040"/>
      <c r="Q104" s="1040">
        <f t="shared" si="30"/>
        <v>0</v>
      </c>
      <c r="R104" s="1041"/>
      <c r="S104" s="1041"/>
      <c r="T104" s="1041"/>
      <c r="U104" s="1041"/>
      <c r="V104" s="1387"/>
      <c r="W104" s="1042">
        <f t="shared" si="27"/>
        <v>0</v>
      </c>
      <c r="X104" s="1042">
        <v>2460468.54</v>
      </c>
      <c r="Y104" s="1041">
        <v>1318594.07</v>
      </c>
      <c r="Z104" s="1041">
        <v>693198.19</v>
      </c>
      <c r="AA104" s="1041">
        <v>3170.84</v>
      </c>
      <c r="AB104" s="1387">
        <v>0</v>
      </c>
      <c r="AC104" s="1042">
        <f t="shared" si="28"/>
        <v>4475431.6400000006</v>
      </c>
      <c r="AD104" s="1042">
        <v>89362.39</v>
      </c>
      <c r="AE104" s="1041">
        <v>0</v>
      </c>
      <c r="AF104" s="1041">
        <v>185731.29</v>
      </c>
      <c r="AG104" s="1041">
        <v>-0.61</v>
      </c>
      <c r="AH104" s="1387">
        <v>0</v>
      </c>
      <c r="AI104" s="1042">
        <f t="shared" si="29"/>
        <v>275093.07</v>
      </c>
    </row>
    <row r="105" spans="1:35" ht="15" customHeight="1" x14ac:dyDescent="0.25">
      <c r="A105" s="714" t="s">
        <v>82</v>
      </c>
      <c r="B105" s="713" t="s">
        <v>311</v>
      </c>
      <c r="C105" s="920" t="s">
        <v>264</v>
      </c>
      <c r="D105" s="1037">
        <f t="shared" si="21"/>
        <v>694951.69000000006</v>
      </c>
      <c r="E105" s="1038">
        <f t="shared" si="22"/>
        <v>306868.73</v>
      </c>
      <c r="F105" s="1039">
        <f t="shared" si="23"/>
        <v>412815.92000000004</v>
      </c>
      <c r="G105" s="1394">
        <f t="shared" si="24"/>
        <v>4220.25</v>
      </c>
      <c r="H105" s="1396">
        <f t="shared" si="25"/>
        <v>0</v>
      </c>
      <c r="I105" s="1396">
        <f t="shared" si="26"/>
        <v>1418856.5899999999</v>
      </c>
      <c r="J105" s="1397">
        <f t="shared" si="18"/>
        <v>4220.25</v>
      </c>
      <c r="K105" s="1392">
        <f t="shared" si="19"/>
        <v>417036.17000000004</v>
      </c>
      <c r="L105" s="1040"/>
      <c r="M105" s="1040"/>
      <c r="N105" s="1040"/>
      <c r="O105" s="1040"/>
      <c r="P105" s="1040"/>
      <c r="Q105" s="1040">
        <f t="shared" si="30"/>
        <v>0</v>
      </c>
      <c r="R105" s="1041">
        <v>1803.81</v>
      </c>
      <c r="S105" s="1041">
        <v>620.91</v>
      </c>
      <c r="T105" s="1041">
        <v>0</v>
      </c>
      <c r="U105" s="1041">
        <v>-0.02</v>
      </c>
      <c r="V105" s="1387">
        <v>0</v>
      </c>
      <c r="W105" s="1042">
        <f t="shared" si="27"/>
        <v>2424.6999999999998</v>
      </c>
      <c r="X105" s="1042">
        <v>568856.84</v>
      </c>
      <c r="Y105" s="1041">
        <v>306247.82</v>
      </c>
      <c r="Z105" s="1041">
        <v>160519</v>
      </c>
      <c r="AA105" s="1041">
        <v>1570.5</v>
      </c>
      <c r="AB105" s="1387">
        <v>0</v>
      </c>
      <c r="AC105" s="1042">
        <f t="shared" si="28"/>
        <v>1037194.1599999999</v>
      </c>
      <c r="AD105" s="1042">
        <v>124291.04</v>
      </c>
      <c r="AE105" s="1041">
        <v>0</v>
      </c>
      <c r="AF105" s="1041">
        <v>252296.92</v>
      </c>
      <c r="AG105" s="1041">
        <v>2649.77</v>
      </c>
      <c r="AH105" s="1387">
        <v>0</v>
      </c>
      <c r="AI105" s="1042">
        <f t="shared" si="29"/>
        <v>379237.73000000004</v>
      </c>
    </row>
    <row r="106" spans="1:35" ht="15" customHeight="1" x14ac:dyDescent="0.25">
      <c r="A106" s="714" t="s">
        <v>88</v>
      </c>
      <c r="B106" s="713" t="s">
        <v>89</v>
      </c>
      <c r="C106" s="920" t="s">
        <v>267</v>
      </c>
      <c r="D106" s="1037">
        <f t="shared" si="21"/>
        <v>1369318.29</v>
      </c>
      <c r="E106" s="1038">
        <f t="shared" si="22"/>
        <v>523379.39</v>
      </c>
      <c r="F106" s="1039">
        <f t="shared" si="23"/>
        <v>1001093.6399999999</v>
      </c>
      <c r="G106" s="1394">
        <f t="shared" si="24"/>
        <v>5653.05</v>
      </c>
      <c r="H106" s="1396">
        <f t="shared" si="25"/>
        <v>0</v>
      </c>
      <c r="I106" s="1396">
        <f t="shared" si="26"/>
        <v>2899444.37</v>
      </c>
      <c r="J106" s="1397">
        <f t="shared" si="18"/>
        <v>5653.05</v>
      </c>
      <c r="K106" s="1392">
        <f t="shared" si="19"/>
        <v>1006746.69</v>
      </c>
      <c r="L106" s="1040">
        <v>46710.47</v>
      </c>
      <c r="M106" s="1040">
        <v>0</v>
      </c>
      <c r="N106" s="1040">
        <v>16110.09</v>
      </c>
      <c r="O106" s="1040">
        <v>-0.2</v>
      </c>
      <c r="P106" s="1040">
        <v>0</v>
      </c>
      <c r="Q106" s="1040">
        <f t="shared" si="30"/>
        <v>62820.36</v>
      </c>
      <c r="R106" s="1041">
        <v>4969.91</v>
      </c>
      <c r="S106" s="1041">
        <v>1713.53</v>
      </c>
      <c r="T106" s="1041">
        <v>0</v>
      </c>
      <c r="U106" s="1041">
        <v>-0.01</v>
      </c>
      <c r="V106" s="1387">
        <v>0</v>
      </c>
      <c r="W106" s="1042">
        <f t="shared" si="27"/>
        <v>6683.4299999999994</v>
      </c>
      <c r="X106" s="1042">
        <v>969965.1</v>
      </c>
      <c r="Y106" s="1041">
        <v>521665.86</v>
      </c>
      <c r="Z106" s="1041">
        <v>273610.61</v>
      </c>
      <c r="AA106" s="1041">
        <v>3726.26</v>
      </c>
      <c r="AB106" s="1387">
        <v>0</v>
      </c>
      <c r="AC106" s="1042">
        <f t="shared" si="28"/>
        <v>1768967.8299999998</v>
      </c>
      <c r="AD106" s="1042">
        <v>347672.81</v>
      </c>
      <c r="AE106" s="1041">
        <v>0</v>
      </c>
      <c r="AF106" s="1041">
        <v>711372.94</v>
      </c>
      <c r="AG106" s="1041">
        <v>1927</v>
      </c>
      <c r="AH106" s="1387">
        <v>0</v>
      </c>
      <c r="AI106" s="1042">
        <f t="shared" si="29"/>
        <v>1060972.75</v>
      </c>
    </row>
    <row r="107" spans="1:35" ht="15" customHeight="1" x14ac:dyDescent="0.25">
      <c r="A107" s="714" t="s">
        <v>90</v>
      </c>
      <c r="B107" s="713" t="s">
        <v>91</v>
      </c>
      <c r="C107" s="920" t="s">
        <v>268</v>
      </c>
      <c r="D107" s="1037">
        <f t="shared" si="21"/>
        <v>440268.76</v>
      </c>
      <c r="E107" s="1038">
        <f t="shared" si="22"/>
        <v>227761.79</v>
      </c>
      <c r="F107" s="1039">
        <f t="shared" si="23"/>
        <v>148106.56</v>
      </c>
      <c r="G107" s="1394">
        <f t="shared" si="24"/>
        <v>39256.93</v>
      </c>
      <c r="H107" s="1396">
        <f t="shared" si="25"/>
        <v>0</v>
      </c>
      <c r="I107" s="1396">
        <f t="shared" si="26"/>
        <v>855394.04</v>
      </c>
      <c r="J107" s="1397">
        <f t="shared" si="18"/>
        <v>39256.93</v>
      </c>
      <c r="K107" s="1392">
        <f t="shared" si="19"/>
        <v>187363.49</v>
      </c>
      <c r="L107" s="1040"/>
      <c r="M107" s="1040"/>
      <c r="N107" s="1040"/>
      <c r="O107" s="1040"/>
      <c r="P107" s="1040"/>
      <c r="Q107" s="1040">
        <f t="shared" si="30"/>
        <v>0</v>
      </c>
      <c r="R107" s="1041"/>
      <c r="S107" s="1041"/>
      <c r="T107" s="1041"/>
      <c r="U107" s="1041"/>
      <c r="V107" s="1387"/>
      <c r="W107" s="1042">
        <f t="shared" si="27"/>
        <v>0</v>
      </c>
      <c r="X107" s="1042">
        <v>426298.75</v>
      </c>
      <c r="Y107" s="1041">
        <v>227761.79</v>
      </c>
      <c r="Z107" s="1041">
        <v>119973.34</v>
      </c>
      <c r="AA107" s="1041">
        <v>39257.51</v>
      </c>
      <c r="AB107" s="1387">
        <v>0</v>
      </c>
      <c r="AC107" s="1042">
        <f t="shared" si="28"/>
        <v>813291.39</v>
      </c>
      <c r="AD107" s="1042">
        <v>13970.01</v>
      </c>
      <c r="AE107" s="1041">
        <v>0</v>
      </c>
      <c r="AF107" s="1041">
        <v>28133.22</v>
      </c>
      <c r="AG107" s="1041">
        <v>-0.57999999999999996</v>
      </c>
      <c r="AH107" s="1387">
        <v>0</v>
      </c>
      <c r="AI107" s="1042">
        <f t="shared" si="29"/>
        <v>42102.65</v>
      </c>
    </row>
    <row r="108" spans="1:35" ht="15" customHeight="1" x14ac:dyDescent="0.25">
      <c r="A108" s="714" t="s">
        <v>106</v>
      </c>
      <c r="B108" s="713" t="s">
        <v>107</v>
      </c>
      <c r="C108" s="920" t="s">
        <v>264</v>
      </c>
      <c r="D108" s="1037">
        <f t="shared" si="21"/>
        <v>6190805.6699999999</v>
      </c>
      <c r="E108" s="1038">
        <f t="shared" si="22"/>
        <v>3072688.64</v>
      </c>
      <c r="F108" s="1039">
        <f t="shared" si="23"/>
        <v>2535802.19</v>
      </c>
      <c r="G108" s="1394">
        <f t="shared" si="24"/>
        <v>118735.12</v>
      </c>
      <c r="H108" s="1396">
        <f t="shared" si="25"/>
        <v>0</v>
      </c>
      <c r="I108" s="1396">
        <f t="shared" si="26"/>
        <v>11918031.620000001</v>
      </c>
      <c r="J108" s="1397">
        <f t="shared" si="18"/>
        <v>118735.12</v>
      </c>
      <c r="K108" s="1392">
        <f t="shared" si="19"/>
        <v>2654537.31</v>
      </c>
      <c r="L108" s="1040"/>
      <c r="M108" s="1040"/>
      <c r="N108" s="1040"/>
      <c r="O108" s="1040"/>
      <c r="P108" s="1040"/>
      <c r="Q108" s="1040">
        <f t="shared" si="30"/>
        <v>0</v>
      </c>
      <c r="R108" s="1041">
        <v>5791.53</v>
      </c>
      <c r="S108" s="1041">
        <v>2000.58</v>
      </c>
      <c r="T108" s="1041">
        <v>0</v>
      </c>
      <c r="U108" s="1041">
        <v>0</v>
      </c>
      <c r="V108" s="1387">
        <v>0</v>
      </c>
      <c r="W108" s="1042">
        <f t="shared" si="27"/>
        <v>7792.11</v>
      </c>
      <c r="X108" s="1042">
        <v>5730896.2599999998</v>
      </c>
      <c r="Y108" s="1041">
        <v>3070688.06</v>
      </c>
      <c r="Z108" s="1041">
        <v>1614489.4</v>
      </c>
      <c r="AA108" s="1041">
        <v>118737.65</v>
      </c>
      <c r="AB108" s="1387">
        <v>0</v>
      </c>
      <c r="AC108" s="1042">
        <f t="shared" si="28"/>
        <v>10534811.370000001</v>
      </c>
      <c r="AD108" s="1042">
        <v>454117.88</v>
      </c>
      <c r="AE108" s="1041">
        <v>0</v>
      </c>
      <c r="AF108" s="1041">
        <v>921312.79</v>
      </c>
      <c r="AG108" s="1041">
        <v>-2.5299999999999998</v>
      </c>
      <c r="AH108" s="1387">
        <v>0</v>
      </c>
      <c r="AI108" s="1042">
        <f t="shared" si="29"/>
        <v>1375428.14</v>
      </c>
    </row>
    <row r="109" spans="1:35" ht="15" customHeight="1" x14ac:dyDescent="0.25">
      <c r="A109" s="714" t="s">
        <v>116</v>
      </c>
      <c r="B109" s="713" t="s">
        <v>117</v>
      </c>
      <c r="C109" s="920" t="s">
        <v>266</v>
      </c>
      <c r="D109" s="1037">
        <f t="shared" si="21"/>
        <v>1536324.1199999999</v>
      </c>
      <c r="E109" s="1038">
        <f t="shared" si="22"/>
        <v>792992.65</v>
      </c>
      <c r="F109" s="1039">
        <f t="shared" si="23"/>
        <v>512839.20999999996</v>
      </c>
      <c r="G109" s="1394">
        <f t="shared" si="24"/>
        <v>-14.889999999999999</v>
      </c>
      <c r="H109" s="1396">
        <f t="shared" si="25"/>
        <v>0</v>
      </c>
      <c r="I109" s="1396">
        <f t="shared" si="26"/>
        <v>2842141.0900000003</v>
      </c>
      <c r="J109" s="1397">
        <f t="shared" si="18"/>
        <v>-14.889999999999999</v>
      </c>
      <c r="K109" s="1392">
        <f t="shared" si="19"/>
        <v>512824.31999999995</v>
      </c>
      <c r="L109" s="1040"/>
      <c r="M109" s="1040"/>
      <c r="N109" s="1040"/>
      <c r="O109" s="1040"/>
      <c r="P109" s="1040"/>
      <c r="Q109" s="1040">
        <f t="shared" si="30"/>
        <v>0</v>
      </c>
      <c r="R109" s="1041">
        <v>24774.2</v>
      </c>
      <c r="S109" s="1041">
        <v>8525.7999999999993</v>
      </c>
      <c r="T109" s="1041">
        <v>0</v>
      </c>
      <c r="U109" s="1041">
        <v>0</v>
      </c>
      <c r="V109" s="1387">
        <v>0</v>
      </c>
      <c r="W109" s="1042">
        <f t="shared" si="27"/>
        <v>33300</v>
      </c>
      <c r="X109" s="1042">
        <v>1461793.77</v>
      </c>
      <c r="Y109" s="1041">
        <v>784466.85</v>
      </c>
      <c r="Z109" s="1041">
        <v>412033.24</v>
      </c>
      <c r="AA109" s="1041">
        <v>-12.86</v>
      </c>
      <c r="AB109" s="1387">
        <v>0</v>
      </c>
      <c r="AC109" s="1042">
        <f t="shared" si="28"/>
        <v>2658281.0000000005</v>
      </c>
      <c r="AD109" s="1042">
        <v>49756.15</v>
      </c>
      <c r="AE109" s="1041">
        <v>0</v>
      </c>
      <c r="AF109" s="1041">
        <v>100805.97</v>
      </c>
      <c r="AG109" s="1041">
        <v>-2.0299999999999998</v>
      </c>
      <c r="AH109" s="1387">
        <v>0</v>
      </c>
      <c r="AI109" s="1042">
        <f t="shared" si="29"/>
        <v>150560.09</v>
      </c>
    </row>
    <row r="110" spans="1:35" ht="15" customHeight="1" x14ac:dyDescent="0.25">
      <c r="A110" s="714" t="s">
        <v>138</v>
      </c>
      <c r="B110" s="713" t="s">
        <v>139</v>
      </c>
      <c r="C110" s="920" t="s">
        <v>265</v>
      </c>
      <c r="D110" s="1037">
        <f t="shared" si="21"/>
        <v>3882740.24</v>
      </c>
      <c r="E110" s="1038">
        <f t="shared" si="22"/>
        <v>1832903.44</v>
      </c>
      <c r="F110" s="1039">
        <f t="shared" si="23"/>
        <v>1907974.52</v>
      </c>
      <c r="G110" s="1394">
        <f t="shared" si="24"/>
        <v>64998.67</v>
      </c>
      <c r="H110" s="1396">
        <f t="shared" si="25"/>
        <v>0</v>
      </c>
      <c r="I110" s="1396">
        <f t="shared" si="26"/>
        <v>7688616.8699999992</v>
      </c>
      <c r="J110" s="1397">
        <f t="shared" si="18"/>
        <v>64998.67</v>
      </c>
      <c r="K110" s="1392">
        <f t="shared" si="19"/>
        <v>1972973.19</v>
      </c>
      <c r="L110" s="1040"/>
      <c r="M110" s="1040"/>
      <c r="N110" s="1040"/>
      <c r="O110" s="1040"/>
      <c r="P110" s="1040"/>
      <c r="Q110" s="1040">
        <f t="shared" si="30"/>
        <v>0</v>
      </c>
      <c r="R110" s="1041">
        <v>10571.45</v>
      </c>
      <c r="S110" s="1041">
        <v>3639.01</v>
      </c>
      <c r="T110" s="1041">
        <v>0</v>
      </c>
      <c r="U110" s="1041">
        <v>-0.01</v>
      </c>
      <c r="V110" s="1387">
        <v>0</v>
      </c>
      <c r="W110" s="1042">
        <f t="shared" si="27"/>
        <v>14210.45</v>
      </c>
      <c r="X110" s="1042">
        <v>3409401.52</v>
      </c>
      <c r="Y110" s="1041">
        <v>1829264.43</v>
      </c>
      <c r="Z110" s="1041">
        <v>960935.93</v>
      </c>
      <c r="AA110" s="1041">
        <v>65002.559999999998</v>
      </c>
      <c r="AB110" s="1387">
        <v>0</v>
      </c>
      <c r="AC110" s="1042">
        <f t="shared" si="28"/>
        <v>6264604.4399999995</v>
      </c>
      <c r="AD110" s="1042">
        <v>462767.27</v>
      </c>
      <c r="AE110" s="1041">
        <v>0</v>
      </c>
      <c r="AF110" s="1041">
        <v>947038.59</v>
      </c>
      <c r="AG110" s="1041">
        <v>-3.88</v>
      </c>
      <c r="AH110" s="1387">
        <v>0</v>
      </c>
      <c r="AI110" s="1042">
        <f t="shared" si="29"/>
        <v>1409801.98</v>
      </c>
    </row>
    <row r="111" spans="1:35" ht="15" customHeight="1" x14ac:dyDescent="0.25">
      <c r="A111" s="714" t="s">
        <v>142</v>
      </c>
      <c r="B111" s="713" t="s">
        <v>143</v>
      </c>
      <c r="C111" s="920" t="s">
        <v>267</v>
      </c>
      <c r="D111" s="1037">
        <f t="shared" si="21"/>
        <v>1240576.47</v>
      </c>
      <c r="E111" s="1038">
        <f t="shared" si="22"/>
        <v>415265.63</v>
      </c>
      <c r="F111" s="1039">
        <f t="shared" si="23"/>
        <v>1197442.45</v>
      </c>
      <c r="G111" s="1394">
        <f t="shared" si="24"/>
        <v>2850.29</v>
      </c>
      <c r="H111" s="1396">
        <f t="shared" si="25"/>
        <v>0</v>
      </c>
      <c r="I111" s="1396">
        <f t="shared" si="26"/>
        <v>2856134.84</v>
      </c>
      <c r="J111" s="1397">
        <f t="shared" si="18"/>
        <v>2850.29</v>
      </c>
      <c r="K111" s="1392">
        <f t="shared" si="19"/>
        <v>1200292.74</v>
      </c>
      <c r="L111" s="1040"/>
      <c r="M111" s="1040"/>
      <c r="N111" s="1040"/>
      <c r="O111" s="1040"/>
      <c r="P111" s="1040"/>
      <c r="Q111" s="1040">
        <f t="shared" si="30"/>
        <v>0</v>
      </c>
      <c r="R111" s="1041"/>
      <c r="S111" s="1041"/>
      <c r="T111" s="1041"/>
      <c r="U111" s="1041"/>
      <c r="V111" s="1387"/>
      <c r="W111" s="1042">
        <f t="shared" si="27"/>
        <v>0</v>
      </c>
      <c r="X111" s="1042">
        <v>767016.23</v>
      </c>
      <c r="Y111" s="1041">
        <v>415265.63</v>
      </c>
      <c r="Z111" s="1041">
        <v>216867.20000000001</v>
      </c>
      <c r="AA111" s="1041">
        <v>618.79</v>
      </c>
      <c r="AB111" s="1387">
        <v>0</v>
      </c>
      <c r="AC111" s="1042">
        <f t="shared" si="28"/>
        <v>1399767.8499999999</v>
      </c>
      <c r="AD111" s="1042">
        <v>473560.24</v>
      </c>
      <c r="AE111" s="1041">
        <v>0</v>
      </c>
      <c r="AF111" s="1041">
        <v>980575.25</v>
      </c>
      <c r="AG111" s="1041">
        <v>2231.5</v>
      </c>
      <c r="AH111" s="1387">
        <v>0</v>
      </c>
      <c r="AI111" s="1042">
        <f t="shared" si="29"/>
        <v>1456366.99</v>
      </c>
    </row>
    <row r="112" spans="1:35" ht="15" customHeight="1" x14ac:dyDescent="0.25">
      <c r="A112" s="714" t="s">
        <v>144</v>
      </c>
      <c r="B112" s="713" t="s">
        <v>145</v>
      </c>
      <c r="C112" s="920" t="s">
        <v>267</v>
      </c>
      <c r="D112" s="1037">
        <f t="shared" si="21"/>
        <v>502712.94</v>
      </c>
      <c r="E112" s="1038">
        <f t="shared" si="22"/>
        <v>183477.67</v>
      </c>
      <c r="F112" s="1039">
        <f t="shared" si="23"/>
        <v>434052.58999999997</v>
      </c>
      <c r="G112" s="1394">
        <f t="shared" si="24"/>
        <v>-8.66</v>
      </c>
      <c r="H112" s="1396">
        <f t="shared" si="25"/>
        <v>0</v>
      </c>
      <c r="I112" s="1396">
        <f t="shared" si="26"/>
        <v>1120234.54</v>
      </c>
      <c r="J112" s="1397">
        <f t="shared" si="18"/>
        <v>-8.66</v>
      </c>
      <c r="K112" s="1392">
        <f t="shared" si="19"/>
        <v>434043.93</v>
      </c>
      <c r="L112" s="1040"/>
      <c r="M112" s="1040"/>
      <c r="N112" s="1040"/>
      <c r="O112" s="1040"/>
      <c r="P112" s="1040"/>
      <c r="Q112" s="1040">
        <f t="shared" si="30"/>
        <v>0</v>
      </c>
      <c r="R112" s="1041">
        <v>2114.16</v>
      </c>
      <c r="S112" s="1041">
        <v>728.91</v>
      </c>
      <c r="T112" s="1041">
        <v>0</v>
      </c>
      <c r="U112" s="1041">
        <v>0</v>
      </c>
      <c r="V112" s="1387">
        <v>0</v>
      </c>
      <c r="W112" s="1042">
        <f t="shared" si="27"/>
        <v>2843.0699999999997</v>
      </c>
      <c r="X112" s="1042">
        <v>337590.27</v>
      </c>
      <c r="Y112" s="1041">
        <v>182748.76</v>
      </c>
      <c r="Z112" s="1041">
        <v>95445.65</v>
      </c>
      <c r="AA112" s="1041">
        <v>-4.74</v>
      </c>
      <c r="AB112" s="1387">
        <v>0</v>
      </c>
      <c r="AC112" s="1042">
        <f t="shared" si="28"/>
        <v>615779.94000000006</v>
      </c>
      <c r="AD112" s="1042">
        <v>163008.51</v>
      </c>
      <c r="AE112" s="1041">
        <v>0</v>
      </c>
      <c r="AF112" s="1041">
        <v>338606.94</v>
      </c>
      <c r="AG112" s="1041">
        <v>-3.92</v>
      </c>
      <c r="AH112" s="1387">
        <v>0</v>
      </c>
      <c r="AI112" s="1042">
        <f t="shared" si="29"/>
        <v>501611.53</v>
      </c>
    </row>
    <row r="113" spans="1:35" ht="15" customHeight="1" x14ac:dyDescent="0.25">
      <c r="A113" s="714" t="s">
        <v>158</v>
      </c>
      <c r="B113" s="713" t="s">
        <v>159</v>
      </c>
      <c r="C113" s="920" t="s">
        <v>264</v>
      </c>
      <c r="D113" s="1037">
        <f t="shared" si="21"/>
        <v>11554435.35</v>
      </c>
      <c r="E113" s="1038">
        <f t="shared" si="22"/>
        <v>4810982.97</v>
      </c>
      <c r="F113" s="1039">
        <f t="shared" si="23"/>
        <v>7785595.7599999998</v>
      </c>
      <c r="G113" s="1394">
        <f t="shared" si="24"/>
        <v>-18.72</v>
      </c>
      <c r="H113" s="1396">
        <f t="shared" si="25"/>
        <v>0</v>
      </c>
      <c r="I113" s="1396">
        <f t="shared" si="26"/>
        <v>24150995.359999999</v>
      </c>
      <c r="J113" s="1397">
        <f t="shared" si="18"/>
        <v>-18.72</v>
      </c>
      <c r="K113" s="1392">
        <f t="shared" si="19"/>
        <v>7785577.04</v>
      </c>
      <c r="L113" s="1040"/>
      <c r="M113" s="1040"/>
      <c r="N113" s="1040"/>
      <c r="O113" s="1040"/>
      <c r="P113" s="1040"/>
      <c r="Q113" s="1040">
        <f t="shared" si="30"/>
        <v>0</v>
      </c>
      <c r="R113" s="1041">
        <v>23837.19</v>
      </c>
      <c r="S113" s="1041">
        <v>8236.2000000000007</v>
      </c>
      <c r="T113" s="1041">
        <v>0</v>
      </c>
      <c r="U113" s="1041">
        <v>-0.03</v>
      </c>
      <c r="V113" s="1387">
        <v>0</v>
      </c>
      <c r="W113" s="1042">
        <f t="shared" si="27"/>
        <v>32073.360000000001</v>
      </c>
      <c r="X113" s="1042">
        <v>8983402.4399999995</v>
      </c>
      <c r="Y113" s="1041">
        <v>4802746.7699999996</v>
      </c>
      <c r="Z113" s="1041">
        <v>2528818.04</v>
      </c>
      <c r="AA113" s="1041">
        <v>-11.83</v>
      </c>
      <c r="AB113" s="1387">
        <v>0</v>
      </c>
      <c r="AC113" s="1042">
        <f t="shared" si="28"/>
        <v>16314955.42</v>
      </c>
      <c r="AD113" s="1042">
        <v>2547195.7200000002</v>
      </c>
      <c r="AE113" s="1041">
        <v>0</v>
      </c>
      <c r="AF113" s="1041">
        <v>5256777.72</v>
      </c>
      <c r="AG113" s="1041">
        <v>-6.86</v>
      </c>
      <c r="AH113" s="1387">
        <v>0</v>
      </c>
      <c r="AI113" s="1042">
        <f t="shared" si="29"/>
        <v>7803966.5799999991</v>
      </c>
    </row>
    <row r="114" spans="1:35" ht="15" customHeight="1" x14ac:dyDescent="0.25">
      <c r="A114" s="714" t="s">
        <v>160</v>
      </c>
      <c r="B114" s="713" t="s">
        <v>161</v>
      </c>
      <c r="C114" s="920" t="s">
        <v>264</v>
      </c>
      <c r="D114" s="1037">
        <f t="shared" si="21"/>
        <v>14618279.379999999</v>
      </c>
      <c r="E114" s="1038">
        <f t="shared" si="22"/>
        <v>7540264.3700000001</v>
      </c>
      <c r="F114" s="1039">
        <f t="shared" si="23"/>
        <v>4927681.7700000005</v>
      </c>
      <c r="G114" s="1394">
        <f t="shared" si="24"/>
        <v>28262.11</v>
      </c>
      <c r="H114" s="1396">
        <f t="shared" si="25"/>
        <v>0</v>
      </c>
      <c r="I114" s="1396">
        <f t="shared" si="26"/>
        <v>27114487.630000003</v>
      </c>
      <c r="J114" s="1397">
        <f t="shared" si="18"/>
        <v>28262.11</v>
      </c>
      <c r="K114" s="1392">
        <f t="shared" si="19"/>
        <v>4955943.8800000008</v>
      </c>
      <c r="L114" s="1040">
        <v>74500.84</v>
      </c>
      <c r="M114" s="1040">
        <v>0</v>
      </c>
      <c r="N114" s="1040">
        <v>25696.74</v>
      </c>
      <c r="O114" s="1040">
        <v>-0.19</v>
      </c>
      <c r="P114" s="1040">
        <v>0</v>
      </c>
      <c r="Q114" s="1040">
        <f t="shared" si="30"/>
        <v>100197.39</v>
      </c>
      <c r="R114" s="1041">
        <v>18015.259999999998</v>
      </c>
      <c r="S114" s="1041">
        <v>6215.62</v>
      </c>
      <c r="T114" s="1041">
        <v>0</v>
      </c>
      <c r="U114" s="1041">
        <v>-0.02</v>
      </c>
      <c r="V114" s="1387">
        <v>0</v>
      </c>
      <c r="W114" s="1042">
        <f t="shared" si="27"/>
        <v>24230.859999999997</v>
      </c>
      <c r="X114" s="1042">
        <v>14058375.91</v>
      </c>
      <c r="Y114" s="1041">
        <v>7534048.75</v>
      </c>
      <c r="Z114" s="1041">
        <v>3960735.7</v>
      </c>
      <c r="AA114" s="1041">
        <v>28262.42</v>
      </c>
      <c r="AB114" s="1387">
        <v>0</v>
      </c>
      <c r="AC114" s="1042">
        <f t="shared" si="28"/>
        <v>25581422.780000001</v>
      </c>
      <c r="AD114" s="1042">
        <v>467387.37</v>
      </c>
      <c r="AE114" s="1041">
        <v>0</v>
      </c>
      <c r="AF114" s="1041">
        <v>941249.33</v>
      </c>
      <c r="AG114" s="1041">
        <v>-0.1</v>
      </c>
      <c r="AH114" s="1387">
        <v>0</v>
      </c>
      <c r="AI114" s="1042">
        <f t="shared" si="29"/>
        <v>1408636.5999999999</v>
      </c>
    </row>
    <row r="115" spans="1:35" ht="15" customHeight="1" x14ac:dyDescent="0.25">
      <c r="A115" s="714" t="s">
        <v>166</v>
      </c>
      <c r="B115" s="713" t="s">
        <v>167</v>
      </c>
      <c r="C115" s="920" t="s">
        <v>268</v>
      </c>
      <c r="D115" s="1037">
        <f t="shared" si="21"/>
        <v>383753.82</v>
      </c>
      <c r="E115" s="1038">
        <f t="shared" si="22"/>
        <v>177460.71</v>
      </c>
      <c r="F115" s="1039">
        <f t="shared" si="23"/>
        <v>199368.71000000002</v>
      </c>
      <c r="G115" s="1394">
        <f t="shared" si="24"/>
        <v>235.55</v>
      </c>
      <c r="H115" s="1396">
        <f t="shared" si="25"/>
        <v>0</v>
      </c>
      <c r="I115" s="1396">
        <f t="shared" si="26"/>
        <v>760818.79000000015</v>
      </c>
      <c r="J115" s="1397">
        <f t="shared" si="18"/>
        <v>235.55</v>
      </c>
      <c r="K115" s="1392">
        <f t="shared" si="19"/>
        <v>199604.26</v>
      </c>
      <c r="L115" s="1040"/>
      <c r="M115" s="1040"/>
      <c r="N115" s="1040"/>
      <c r="O115" s="1040"/>
      <c r="P115" s="1040"/>
      <c r="Q115" s="1040">
        <f t="shared" si="30"/>
        <v>0</v>
      </c>
      <c r="R115" s="1041"/>
      <c r="S115" s="1041"/>
      <c r="T115" s="1041"/>
      <c r="U115" s="1041"/>
      <c r="V115" s="1387"/>
      <c r="W115" s="1042">
        <f t="shared" si="27"/>
        <v>0</v>
      </c>
      <c r="X115" s="1042">
        <v>331179.19</v>
      </c>
      <c r="Y115" s="1041">
        <v>177460.71</v>
      </c>
      <c r="Z115" s="1041">
        <v>93298.44</v>
      </c>
      <c r="AA115" s="1041">
        <v>236.3</v>
      </c>
      <c r="AB115" s="1387">
        <v>0</v>
      </c>
      <c r="AC115" s="1042">
        <f t="shared" si="28"/>
        <v>602174.64000000013</v>
      </c>
      <c r="AD115" s="1042">
        <v>52574.63</v>
      </c>
      <c r="AE115" s="1041">
        <v>0</v>
      </c>
      <c r="AF115" s="1041">
        <v>106070.27</v>
      </c>
      <c r="AG115" s="1041">
        <v>-0.75</v>
      </c>
      <c r="AH115" s="1387">
        <v>0</v>
      </c>
      <c r="AI115" s="1042">
        <f t="shared" si="29"/>
        <v>158644.15</v>
      </c>
    </row>
    <row r="116" spans="1:35" ht="15" customHeight="1" x14ac:dyDescent="0.25">
      <c r="A116" s="714" t="s">
        <v>176</v>
      </c>
      <c r="B116" s="713" t="s">
        <v>177</v>
      </c>
      <c r="C116" s="920" t="s">
        <v>266</v>
      </c>
      <c r="D116" s="1037">
        <f t="shared" si="21"/>
        <v>2970508.86</v>
      </c>
      <c r="E116" s="1038">
        <f t="shared" si="22"/>
        <v>1593188.28</v>
      </c>
      <c r="F116" s="1039">
        <f t="shared" si="23"/>
        <v>837125.2</v>
      </c>
      <c r="G116" s="1394">
        <f t="shared" si="24"/>
        <v>-12.85</v>
      </c>
      <c r="H116" s="1396">
        <f t="shared" si="25"/>
        <v>0</v>
      </c>
      <c r="I116" s="1396">
        <f t="shared" si="26"/>
        <v>5400809.4900000002</v>
      </c>
      <c r="J116" s="1397">
        <f t="shared" si="18"/>
        <v>-12.85</v>
      </c>
      <c r="K116" s="1392">
        <f t="shared" si="19"/>
        <v>837112.35</v>
      </c>
      <c r="L116" s="1040"/>
      <c r="M116" s="1040"/>
      <c r="N116" s="1040"/>
      <c r="O116" s="1040"/>
      <c r="P116" s="1040"/>
      <c r="Q116" s="1040">
        <f t="shared" si="30"/>
        <v>0</v>
      </c>
      <c r="R116" s="1042"/>
      <c r="S116" s="1041"/>
      <c r="T116" s="1042"/>
      <c r="U116" s="1042"/>
      <c r="V116" s="1042"/>
      <c r="W116" s="1042">
        <f t="shared" si="27"/>
        <v>0</v>
      </c>
      <c r="X116" s="1042">
        <v>2970508.86</v>
      </c>
      <c r="Y116" s="1041">
        <v>1593188.28</v>
      </c>
      <c r="Z116" s="1042">
        <v>837125.2</v>
      </c>
      <c r="AA116" s="1042">
        <v>-12.85</v>
      </c>
      <c r="AB116" s="1042">
        <v>0</v>
      </c>
      <c r="AC116" s="1042">
        <f t="shared" si="28"/>
        <v>5400809.4900000002</v>
      </c>
      <c r="AD116" s="1042">
        <v>0</v>
      </c>
      <c r="AE116" s="1041">
        <v>0</v>
      </c>
      <c r="AF116" s="1042">
        <v>0</v>
      </c>
      <c r="AG116" s="1042">
        <v>0</v>
      </c>
      <c r="AH116" s="1042">
        <v>0</v>
      </c>
      <c r="AI116" s="1042">
        <f t="shared" si="29"/>
        <v>0</v>
      </c>
    </row>
    <row r="117" spans="1:35" ht="15" customHeight="1" x14ac:dyDescent="0.25">
      <c r="A117" s="714" t="s">
        <v>180</v>
      </c>
      <c r="B117" s="713" t="s">
        <v>181</v>
      </c>
      <c r="C117" s="920" t="s">
        <v>264</v>
      </c>
      <c r="D117" s="1037">
        <f t="shared" si="21"/>
        <v>6893704.1000000006</v>
      </c>
      <c r="E117" s="1038">
        <f t="shared" si="22"/>
        <v>3419878.42</v>
      </c>
      <c r="F117" s="1039">
        <f t="shared" si="23"/>
        <v>2843170.24</v>
      </c>
      <c r="G117" s="1394">
        <f t="shared" si="24"/>
        <v>965034.71</v>
      </c>
      <c r="H117" s="1396">
        <f t="shared" si="25"/>
        <v>0</v>
      </c>
      <c r="I117" s="1396">
        <f t="shared" si="26"/>
        <v>14121787.469999999</v>
      </c>
      <c r="J117" s="1397">
        <f t="shared" si="18"/>
        <v>965034.71</v>
      </c>
      <c r="K117" s="1392">
        <f t="shared" si="19"/>
        <v>3808204.95</v>
      </c>
      <c r="L117" s="1040"/>
      <c r="M117" s="1040"/>
      <c r="N117" s="1040"/>
      <c r="O117" s="1040"/>
      <c r="P117" s="1040"/>
      <c r="Q117" s="1040">
        <f t="shared" si="30"/>
        <v>0</v>
      </c>
      <c r="R117" s="1041">
        <v>7663.21</v>
      </c>
      <c r="S117" s="1041">
        <v>2641.42</v>
      </c>
      <c r="T117" s="1041">
        <v>0</v>
      </c>
      <c r="U117" s="1041">
        <v>-0.02</v>
      </c>
      <c r="V117" s="1387">
        <v>0</v>
      </c>
      <c r="W117" s="1042">
        <f t="shared" si="27"/>
        <v>10304.61</v>
      </c>
      <c r="X117" s="1042">
        <v>6365272.6100000003</v>
      </c>
      <c r="Y117" s="1041">
        <v>3417237</v>
      </c>
      <c r="Z117" s="1041">
        <v>1794421.38</v>
      </c>
      <c r="AA117" s="1041">
        <v>830443.96</v>
      </c>
      <c r="AB117" s="1387">
        <v>0</v>
      </c>
      <c r="AC117" s="1042">
        <f t="shared" si="28"/>
        <v>12407374.949999999</v>
      </c>
      <c r="AD117" s="1042">
        <v>520768.28</v>
      </c>
      <c r="AE117" s="1041">
        <v>0</v>
      </c>
      <c r="AF117" s="1041">
        <v>1048748.8600000001</v>
      </c>
      <c r="AG117" s="1041">
        <v>134590.76999999999</v>
      </c>
      <c r="AH117" s="1387">
        <v>0</v>
      </c>
      <c r="AI117" s="1042">
        <f t="shared" si="29"/>
        <v>1704107.9100000001</v>
      </c>
    </row>
    <row r="118" spans="1:35" ht="15" customHeight="1" x14ac:dyDescent="0.25">
      <c r="A118" s="714" t="s">
        <v>192</v>
      </c>
      <c r="B118" s="713" t="s">
        <v>193</v>
      </c>
      <c r="C118" s="920" t="s">
        <v>268</v>
      </c>
      <c r="D118" s="1037">
        <f t="shared" si="21"/>
        <v>476581.73</v>
      </c>
      <c r="E118" s="1038">
        <f t="shared" si="22"/>
        <v>222674.01</v>
      </c>
      <c r="F118" s="1039">
        <f t="shared" si="23"/>
        <v>240545.06</v>
      </c>
      <c r="G118" s="1394">
        <f t="shared" si="24"/>
        <v>13523.57</v>
      </c>
      <c r="H118" s="1396">
        <f t="shared" si="25"/>
        <v>0</v>
      </c>
      <c r="I118" s="1396">
        <f t="shared" si="26"/>
        <v>953324.37000000011</v>
      </c>
      <c r="J118" s="1397">
        <f t="shared" si="18"/>
        <v>13523.57</v>
      </c>
      <c r="K118" s="1392">
        <f t="shared" si="19"/>
        <v>254068.63</v>
      </c>
      <c r="L118" s="1040"/>
      <c r="M118" s="1040"/>
      <c r="N118" s="1040"/>
      <c r="O118" s="1040"/>
      <c r="P118" s="1040"/>
      <c r="Q118" s="1040">
        <f t="shared" si="30"/>
        <v>0</v>
      </c>
      <c r="R118" s="1041"/>
      <c r="S118" s="1041"/>
      <c r="T118" s="1041"/>
      <c r="U118" s="1041"/>
      <c r="V118" s="1387"/>
      <c r="W118" s="1042">
        <f t="shared" si="27"/>
        <v>0</v>
      </c>
      <c r="X118" s="1042">
        <v>416120.38</v>
      </c>
      <c r="Y118" s="1041">
        <v>222674.01</v>
      </c>
      <c r="Z118" s="1041">
        <v>117172.05</v>
      </c>
      <c r="AA118" s="1041">
        <v>13526.05</v>
      </c>
      <c r="AB118" s="1387">
        <v>0</v>
      </c>
      <c r="AC118" s="1042">
        <f t="shared" si="28"/>
        <v>769492.49000000011</v>
      </c>
      <c r="AD118" s="1042">
        <v>60461.35</v>
      </c>
      <c r="AE118" s="1041">
        <v>0</v>
      </c>
      <c r="AF118" s="1041">
        <v>123373.01</v>
      </c>
      <c r="AG118" s="1041">
        <v>-2.48</v>
      </c>
      <c r="AH118" s="1387">
        <v>0</v>
      </c>
      <c r="AI118" s="1042">
        <f t="shared" si="29"/>
        <v>183831.87999999998</v>
      </c>
    </row>
    <row r="119" spans="1:35" ht="15" customHeight="1" x14ac:dyDescent="0.25">
      <c r="A119" s="714" t="s">
        <v>196</v>
      </c>
      <c r="B119" s="713" t="s">
        <v>312</v>
      </c>
      <c r="C119" s="920" t="s">
        <v>266</v>
      </c>
      <c r="D119" s="1037">
        <f t="shared" si="21"/>
        <v>16686381.32</v>
      </c>
      <c r="E119" s="1038">
        <f t="shared" si="22"/>
        <v>8560988.6199999992</v>
      </c>
      <c r="F119" s="1039">
        <f t="shared" si="23"/>
        <v>5401677.5100000007</v>
      </c>
      <c r="G119" s="1394">
        <f t="shared" si="24"/>
        <v>36338.21</v>
      </c>
      <c r="H119" s="1396">
        <f t="shared" si="25"/>
        <v>0</v>
      </c>
      <c r="I119" s="1396">
        <f t="shared" si="26"/>
        <v>30685385.66</v>
      </c>
      <c r="J119" s="1397">
        <f t="shared" si="18"/>
        <v>36338.21</v>
      </c>
      <c r="K119" s="1392">
        <f t="shared" si="19"/>
        <v>5438015.7200000007</v>
      </c>
      <c r="L119" s="1040">
        <v>320941.11</v>
      </c>
      <c r="M119" s="1040">
        <v>0</v>
      </c>
      <c r="N119" s="1040">
        <v>110326.99</v>
      </c>
      <c r="O119" s="1040">
        <v>0</v>
      </c>
      <c r="P119" s="1040">
        <v>0</v>
      </c>
      <c r="Q119" s="1040">
        <f t="shared" si="30"/>
        <v>431268.1</v>
      </c>
      <c r="R119" s="1041">
        <v>8297.1299999999992</v>
      </c>
      <c r="S119" s="1041">
        <v>2862.87</v>
      </c>
      <c r="T119" s="1041">
        <v>0</v>
      </c>
      <c r="U119" s="1041">
        <v>0</v>
      </c>
      <c r="V119" s="1387">
        <v>0</v>
      </c>
      <c r="W119" s="1042">
        <f t="shared" si="27"/>
        <v>11160</v>
      </c>
      <c r="X119" s="1042">
        <v>15963191.359999999</v>
      </c>
      <c r="Y119" s="1041">
        <v>8558125.75</v>
      </c>
      <c r="Z119" s="1041">
        <v>4497990.37</v>
      </c>
      <c r="AA119" s="1041">
        <v>36339.379999999997</v>
      </c>
      <c r="AB119" s="1387">
        <v>0</v>
      </c>
      <c r="AC119" s="1042">
        <f t="shared" si="28"/>
        <v>29055646.859999999</v>
      </c>
      <c r="AD119" s="1042">
        <v>393951.72</v>
      </c>
      <c r="AE119" s="1041">
        <v>0</v>
      </c>
      <c r="AF119" s="1041">
        <v>793360.15</v>
      </c>
      <c r="AG119" s="1041">
        <v>-1.17</v>
      </c>
      <c r="AH119" s="1387">
        <v>0</v>
      </c>
      <c r="AI119" s="1042">
        <f t="shared" si="29"/>
        <v>1187310.7000000002</v>
      </c>
    </row>
    <row r="120" spans="1:35" ht="15" customHeight="1" x14ac:dyDescent="0.25">
      <c r="A120" s="714" t="s">
        <v>200</v>
      </c>
      <c r="B120" s="713" t="s">
        <v>313</v>
      </c>
      <c r="C120" s="920" t="s">
        <v>265</v>
      </c>
      <c r="D120" s="1037">
        <f t="shared" si="21"/>
        <v>6697301.8799999999</v>
      </c>
      <c r="E120" s="1038">
        <f t="shared" si="22"/>
        <v>3099108.54</v>
      </c>
      <c r="F120" s="1039">
        <f t="shared" si="23"/>
        <v>3437458.7</v>
      </c>
      <c r="G120" s="1394">
        <f t="shared" si="24"/>
        <v>24016.399999999998</v>
      </c>
      <c r="H120" s="1396">
        <f t="shared" si="25"/>
        <v>0</v>
      </c>
      <c r="I120" s="1396">
        <f t="shared" si="26"/>
        <v>13257885.52</v>
      </c>
      <c r="J120" s="1397">
        <f t="shared" si="18"/>
        <v>24016.399999999998</v>
      </c>
      <c r="K120" s="1392">
        <f t="shared" si="19"/>
        <v>3461475.1</v>
      </c>
      <c r="L120" s="1040">
        <v>31962.400000000001</v>
      </c>
      <c r="M120" s="1040">
        <v>0</v>
      </c>
      <c r="N120" s="1040">
        <v>11025.78</v>
      </c>
      <c r="O120" s="1040">
        <v>-7.0000000000000007E-2</v>
      </c>
      <c r="P120" s="1040">
        <v>0</v>
      </c>
      <c r="Q120" s="1040">
        <f t="shared" si="30"/>
        <v>42988.11</v>
      </c>
      <c r="R120" s="1041"/>
      <c r="S120" s="1041"/>
      <c r="T120" s="1041"/>
      <c r="U120" s="1041"/>
      <c r="V120" s="1387"/>
      <c r="W120" s="1042">
        <f t="shared" si="27"/>
        <v>0</v>
      </c>
      <c r="X120" s="1042">
        <v>5771924.3499999996</v>
      </c>
      <c r="Y120" s="1041">
        <v>3099108.54</v>
      </c>
      <c r="Z120" s="1041">
        <v>1627228.27</v>
      </c>
      <c r="AA120" s="1041">
        <v>24019.71</v>
      </c>
      <c r="AB120" s="1387">
        <v>0</v>
      </c>
      <c r="AC120" s="1042">
        <f t="shared" si="28"/>
        <v>10522280.870000001</v>
      </c>
      <c r="AD120" s="1042">
        <v>893415.13</v>
      </c>
      <c r="AE120" s="1041">
        <v>0</v>
      </c>
      <c r="AF120" s="1041">
        <v>1799204.65</v>
      </c>
      <c r="AG120" s="1041">
        <v>-3.24</v>
      </c>
      <c r="AH120" s="1387">
        <v>0</v>
      </c>
      <c r="AI120" s="1042">
        <f t="shared" si="29"/>
        <v>2692616.5399999996</v>
      </c>
    </row>
    <row r="121" spans="1:35" ht="15" customHeight="1" x14ac:dyDescent="0.25">
      <c r="A121" s="714" t="s">
        <v>222</v>
      </c>
      <c r="B121" s="713" t="s">
        <v>223</v>
      </c>
      <c r="C121" s="920" t="s">
        <v>264</v>
      </c>
      <c r="D121" s="1037">
        <f t="shared" si="21"/>
        <v>4002246.22</v>
      </c>
      <c r="E121" s="1038">
        <f t="shared" si="22"/>
        <v>1693296.01</v>
      </c>
      <c r="F121" s="1039">
        <f t="shared" si="23"/>
        <v>2620309.52</v>
      </c>
      <c r="G121" s="1394">
        <f t="shared" si="24"/>
        <v>427671.57</v>
      </c>
      <c r="H121" s="1396">
        <f t="shared" si="25"/>
        <v>0</v>
      </c>
      <c r="I121" s="1396">
        <f t="shared" si="26"/>
        <v>8743523.3200000003</v>
      </c>
      <c r="J121" s="1397">
        <f t="shared" si="18"/>
        <v>427671.57</v>
      </c>
      <c r="K121" s="1392">
        <f t="shared" si="19"/>
        <v>3047981.09</v>
      </c>
      <c r="L121" s="1040"/>
      <c r="M121" s="1040"/>
      <c r="N121" s="1040"/>
      <c r="O121" s="1040"/>
      <c r="P121" s="1040"/>
      <c r="Q121" s="1040">
        <f t="shared" si="30"/>
        <v>0</v>
      </c>
      <c r="R121" s="1041"/>
      <c r="S121" s="1041"/>
      <c r="T121" s="1041"/>
      <c r="U121" s="1041"/>
      <c r="V121" s="1387"/>
      <c r="W121" s="1042">
        <f t="shared" si="27"/>
        <v>0</v>
      </c>
      <c r="X121" s="1042">
        <v>3154943.66</v>
      </c>
      <c r="Y121" s="1041">
        <v>1693296.01</v>
      </c>
      <c r="Z121" s="1041">
        <v>889318.58</v>
      </c>
      <c r="AA121" s="1041">
        <v>427677.98</v>
      </c>
      <c r="AB121" s="1387">
        <v>0</v>
      </c>
      <c r="AC121" s="1042">
        <f t="shared" si="28"/>
        <v>6165236.2300000004</v>
      </c>
      <c r="AD121" s="1042">
        <v>847302.56</v>
      </c>
      <c r="AE121" s="1041">
        <v>0</v>
      </c>
      <c r="AF121" s="1041">
        <v>1730990.94</v>
      </c>
      <c r="AG121" s="1041">
        <v>-6.41</v>
      </c>
      <c r="AH121" s="1387">
        <v>0</v>
      </c>
      <c r="AI121" s="1042">
        <f t="shared" si="29"/>
        <v>2578287.09</v>
      </c>
    </row>
    <row r="122" spans="1:35" ht="15" customHeight="1" x14ac:dyDescent="0.25">
      <c r="A122" s="714" t="s">
        <v>230</v>
      </c>
      <c r="B122" s="713" t="s">
        <v>231</v>
      </c>
      <c r="C122" s="920" t="s">
        <v>264</v>
      </c>
      <c r="D122" s="1037">
        <f t="shared" si="21"/>
        <v>11604027.140000001</v>
      </c>
      <c r="E122" s="1038">
        <f t="shared" si="22"/>
        <v>4414796.54</v>
      </c>
      <c r="F122" s="1039">
        <f t="shared" si="23"/>
        <v>9308744.6500000004</v>
      </c>
      <c r="G122" s="1394">
        <f t="shared" si="24"/>
        <v>5949.25</v>
      </c>
      <c r="H122" s="1396">
        <f t="shared" si="25"/>
        <v>0</v>
      </c>
      <c r="I122" s="1396">
        <f t="shared" si="26"/>
        <v>25333517.580000002</v>
      </c>
      <c r="J122" s="1397">
        <f t="shared" si="18"/>
        <v>5949.25</v>
      </c>
      <c r="K122" s="1392">
        <f t="shared" si="19"/>
        <v>9314693.9000000004</v>
      </c>
      <c r="L122" s="1040"/>
      <c r="M122" s="1040"/>
      <c r="N122" s="1040"/>
      <c r="O122" s="1040"/>
      <c r="P122" s="1040"/>
      <c r="Q122" s="1040">
        <f t="shared" si="30"/>
        <v>0</v>
      </c>
      <c r="R122" s="1041">
        <v>4662.0600000000004</v>
      </c>
      <c r="S122" s="1041">
        <v>1604.4</v>
      </c>
      <c r="T122" s="1041">
        <v>0</v>
      </c>
      <c r="U122" s="1041">
        <v>-0.01</v>
      </c>
      <c r="V122" s="1387">
        <v>0</v>
      </c>
      <c r="W122" s="1042">
        <f t="shared" si="27"/>
        <v>6266.4500000000007</v>
      </c>
      <c r="X122" s="1042">
        <v>8199329.3600000003</v>
      </c>
      <c r="Y122" s="1041">
        <v>4413192.1399999997</v>
      </c>
      <c r="Z122" s="1041">
        <v>2313537.71</v>
      </c>
      <c r="AA122" s="1041">
        <v>1752.8</v>
      </c>
      <c r="AB122" s="1387">
        <v>0</v>
      </c>
      <c r="AC122" s="1042">
        <f t="shared" si="28"/>
        <v>14927812.010000002</v>
      </c>
      <c r="AD122" s="1042">
        <v>3400035.72</v>
      </c>
      <c r="AE122" s="1041">
        <v>0</v>
      </c>
      <c r="AF122" s="1041">
        <v>6995206.9400000004</v>
      </c>
      <c r="AG122" s="1041">
        <v>4196.46</v>
      </c>
      <c r="AH122" s="1387">
        <v>0</v>
      </c>
      <c r="AI122" s="1042">
        <f t="shared" si="29"/>
        <v>10399439.120000001</v>
      </c>
    </row>
    <row r="123" spans="1:35" ht="15" customHeight="1" x14ac:dyDescent="0.25">
      <c r="A123" s="714" t="s">
        <v>238</v>
      </c>
      <c r="B123" s="713" t="s">
        <v>239</v>
      </c>
      <c r="C123" s="920" t="s">
        <v>264</v>
      </c>
      <c r="D123" s="1037">
        <f t="shared" si="21"/>
        <v>398171.55</v>
      </c>
      <c r="E123" s="1038">
        <f t="shared" si="22"/>
        <v>158728.44</v>
      </c>
      <c r="F123" s="1039">
        <f t="shared" si="23"/>
        <v>292358.55</v>
      </c>
      <c r="G123" s="1394">
        <f t="shared" si="24"/>
        <v>232476.08000000002</v>
      </c>
      <c r="H123" s="1396">
        <f t="shared" si="25"/>
        <v>0</v>
      </c>
      <c r="I123" s="1396">
        <f t="shared" si="26"/>
        <v>1081734.6200000001</v>
      </c>
      <c r="J123" s="1397">
        <f t="shared" si="18"/>
        <v>232476.08000000002</v>
      </c>
      <c r="K123" s="1392">
        <f t="shared" si="19"/>
        <v>524834.63</v>
      </c>
      <c r="L123" s="1040"/>
      <c r="M123" s="1040"/>
      <c r="N123" s="1040"/>
      <c r="O123" s="1040"/>
      <c r="P123" s="1040"/>
      <c r="Q123" s="1040">
        <f t="shared" si="30"/>
        <v>0</v>
      </c>
      <c r="R123" s="1041"/>
      <c r="S123" s="1041"/>
      <c r="T123" s="1041"/>
      <c r="U123" s="1041"/>
      <c r="V123" s="1387"/>
      <c r="W123" s="1042">
        <f t="shared" si="27"/>
        <v>0</v>
      </c>
      <c r="X123" s="1042">
        <v>296116.5</v>
      </c>
      <c r="Y123" s="1041">
        <v>158728.44</v>
      </c>
      <c r="Z123" s="1041">
        <v>83432.37</v>
      </c>
      <c r="AA123" s="1041">
        <v>9446.35</v>
      </c>
      <c r="AB123" s="1387">
        <v>0</v>
      </c>
      <c r="AC123" s="1042">
        <f t="shared" si="28"/>
        <v>547723.66</v>
      </c>
      <c r="AD123" s="1042">
        <v>102055.05</v>
      </c>
      <c r="AE123" s="1041">
        <v>0</v>
      </c>
      <c r="AF123" s="1041">
        <v>208926.18</v>
      </c>
      <c r="AG123" s="1041">
        <v>223029.73</v>
      </c>
      <c r="AH123" s="1387">
        <v>0</v>
      </c>
      <c r="AI123" s="1042">
        <f t="shared" si="29"/>
        <v>534010.96</v>
      </c>
    </row>
    <row r="124" spans="1:35" ht="15" customHeight="1" x14ac:dyDescent="0.25">
      <c r="A124" s="714" t="s">
        <v>240</v>
      </c>
      <c r="B124" s="713" t="s">
        <v>241</v>
      </c>
      <c r="C124" s="920" t="s">
        <v>267</v>
      </c>
      <c r="D124" s="1037">
        <f t="shared" si="21"/>
        <v>1416755.4</v>
      </c>
      <c r="E124" s="1038">
        <f t="shared" si="22"/>
        <v>533300.54999999993</v>
      </c>
      <c r="F124" s="1039">
        <f t="shared" si="23"/>
        <v>1162447.26</v>
      </c>
      <c r="G124" s="1394">
        <f t="shared" si="24"/>
        <v>14571.01</v>
      </c>
      <c r="H124" s="1396">
        <f t="shared" si="25"/>
        <v>0</v>
      </c>
      <c r="I124" s="1396">
        <f t="shared" si="26"/>
        <v>3127074.2199999997</v>
      </c>
      <c r="J124" s="1397">
        <f t="shared" si="18"/>
        <v>14571.01</v>
      </c>
      <c r="K124" s="1392">
        <f t="shared" si="19"/>
        <v>1177018.27</v>
      </c>
      <c r="L124" s="1040"/>
      <c r="M124" s="1040"/>
      <c r="N124" s="1040"/>
      <c r="O124" s="1040"/>
      <c r="P124" s="1040"/>
      <c r="Q124" s="1040">
        <f t="shared" si="30"/>
        <v>0</v>
      </c>
      <c r="R124" s="1041">
        <v>2698.93</v>
      </c>
      <c r="S124" s="1041">
        <v>929.46</v>
      </c>
      <c r="T124" s="1041">
        <v>0</v>
      </c>
      <c r="U124" s="1041">
        <v>-0.01</v>
      </c>
      <c r="V124" s="1387">
        <v>0</v>
      </c>
      <c r="W124" s="1042">
        <f t="shared" si="27"/>
        <v>3628.3799999999997</v>
      </c>
      <c r="X124" s="1042">
        <v>985156.6</v>
      </c>
      <c r="Y124" s="1041">
        <v>532371.09</v>
      </c>
      <c r="Z124" s="1041">
        <v>278360.55</v>
      </c>
      <c r="AA124" s="1041">
        <v>7953.93</v>
      </c>
      <c r="AB124" s="1387">
        <v>0</v>
      </c>
      <c r="AC124" s="1042">
        <f t="shared" si="28"/>
        <v>1803842.17</v>
      </c>
      <c r="AD124" s="1042">
        <v>428899.87</v>
      </c>
      <c r="AE124" s="1041">
        <v>0</v>
      </c>
      <c r="AF124" s="1041">
        <v>884086.71</v>
      </c>
      <c r="AG124" s="1041">
        <v>6617.09</v>
      </c>
      <c r="AH124" s="1387">
        <v>0</v>
      </c>
      <c r="AI124" s="1042">
        <f t="shared" si="29"/>
        <v>1319603.6700000002</v>
      </c>
    </row>
    <row r="125" spans="1:35" ht="15" customHeight="1" x14ac:dyDescent="0.25">
      <c r="A125" s="1525"/>
      <c r="B125" s="920"/>
      <c r="C125" s="920"/>
      <c r="D125" s="1526"/>
      <c r="E125" s="1526"/>
      <c r="F125" s="1526"/>
      <c r="G125" s="1526"/>
      <c r="H125" s="1526"/>
      <c r="I125" s="1526"/>
      <c r="J125" s="1392"/>
      <c r="K125" s="1392"/>
      <c r="L125" s="1527"/>
      <c r="M125" s="1527"/>
      <c r="N125" s="1527"/>
      <c r="O125" s="1527"/>
      <c r="P125" s="1527"/>
      <c r="Q125" s="1527"/>
      <c r="R125" s="1528"/>
      <c r="S125" s="1528"/>
      <c r="T125" s="1528"/>
      <c r="U125" s="1528"/>
      <c r="V125" s="1528"/>
      <c r="W125" s="1529"/>
      <c r="X125" s="1530"/>
      <c r="Y125" s="1531"/>
      <c r="Z125" s="1531"/>
      <c r="AA125" s="1531"/>
      <c r="AB125" s="1531"/>
      <c r="AC125" s="1530"/>
      <c r="AD125" s="1530"/>
      <c r="AE125" s="1531"/>
      <c r="AF125" s="1531"/>
      <c r="AG125" s="1531"/>
      <c r="AH125" s="1531"/>
      <c r="AI125" s="1530"/>
    </row>
    <row r="126" spans="1:35" ht="15" customHeight="1" x14ac:dyDescent="0.25">
      <c r="A126" s="1525" t="s">
        <v>266</v>
      </c>
      <c r="B126" s="920"/>
      <c r="C126" s="920"/>
      <c r="D126" s="1867">
        <f t="shared" ref="D126" si="31">D8+D19+D21+D23+D25+D29+D32+D36+D41+D46+D47+D52+D54+D55+D59+D63+D66+D68+D69+D74+D75+D80+D96+D109+D116+D119</f>
        <v>44826325.849999994</v>
      </c>
      <c r="E126" s="1867">
        <f t="shared" ref="E126:H126" si="32">E8+E19+E21+E23+E25+E29+E32+E36+E41+E46+E47+E52+E54+E55+E59+E63+E66+E68+E69+E74+E75+E80+E96+E109+E116+E119</f>
        <v>20786448.07</v>
      </c>
      <c r="F126" s="1867">
        <f t="shared" si="32"/>
        <v>22493339.669999998</v>
      </c>
      <c r="G126" s="1867">
        <f t="shared" si="32"/>
        <v>755804.10999999987</v>
      </c>
      <c r="H126" s="1867">
        <f t="shared" si="32"/>
        <v>0</v>
      </c>
      <c r="I126" s="1867">
        <f>SUM(D126:H126)</f>
        <v>88861917.699999988</v>
      </c>
      <c r="J126" s="1867">
        <f>G126+H126</f>
        <v>755804.10999999987</v>
      </c>
      <c r="K126" s="1867">
        <f>F126+G126+H126</f>
        <v>23249143.779999997</v>
      </c>
      <c r="L126" s="1867">
        <f t="shared" ref="L126:P126" si="33">L8+L19+L21+L23+L25+L29+L32+L36+L41+L46+L47+L52+L54+L55+L59+L63+L66+L68+L69+L74+L75+L80+L96+L109+L116+L119</f>
        <v>463791.77</v>
      </c>
      <c r="M126" s="1867">
        <f t="shared" si="33"/>
        <v>0</v>
      </c>
      <c r="N126" s="1867">
        <f t="shared" si="33"/>
        <v>159608.24</v>
      </c>
      <c r="O126" s="1867">
        <f t="shared" si="33"/>
        <v>-0.52</v>
      </c>
      <c r="P126" s="1867">
        <f t="shared" si="33"/>
        <v>0</v>
      </c>
      <c r="Q126" s="1867">
        <f>SUM(L126:P126)</f>
        <v>623399.49</v>
      </c>
      <c r="R126" s="1867">
        <f t="shared" ref="R126:V126" si="34">R8+R19+R21+R23+R25+R29+R32+R36+R41+R46+R47+R52+R54+R55+R59+R63+R66+R68+R69+R74+R75+R80+R96+R109+R116+R119</f>
        <v>129485.3</v>
      </c>
      <c r="S126" s="1867">
        <f t="shared" si="34"/>
        <v>44398.6</v>
      </c>
      <c r="T126" s="1867">
        <f t="shared" si="34"/>
        <v>0</v>
      </c>
      <c r="U126" s="1867">
        <f t="shared" si="34"/>
        <v>-6.9999999999999993E-2</v>
      </c>
      <c r="V126" s="1867">
        <f t="shared" si="34"/>
        <v>0</v>
      </c>
      <c r="W126" s="1867">
        <f>SUM(R126:V126)</f>
        <v>173883.83</v>
      </c>
      <c r="X126" s="1867">
        <f t="shared" ref="X126:AB126" si="35">X8+X19+X21+X23+X25+X29+X32+X36+X41+X46+X47+X52+X54+X55+X59+X63+X66+X68+X69+X74+X75+X80+X96+X109+X116+X119</f>
        <v>38639177.43</v>
      </c>
      <c r="Y126" s="1867">
        <f t="shared" si="35"/>
        <v>20742049.469999999</v>
      </c>
      <c r="Z126" s="1867">
        <f t="shared" si="35"/>
        <v>10892353.68</v>
      </c>
      <c r="AA126" s="1867">
        <f t="shared" si="35"/>
        <v>624571.76</v>
      </c>
      <c r="AB126" s="1867">
        <f t="shared" si="35"/>
        <v>0</v>
      </c>
      <c r="AC126" s="1867">
        <f>SUM(X126:AB126)</f>
        <v>70898152.340000004</v>
      </c>
      <c r="AD126" s="1867">
        <f t="shared" ref="AD126:AH126" si="36">AD8+AD19+AD21+AD23+AD25+AD29+AD32+AD36+AD41+AD46+AD47+AD52+AD54+AD55+AD59+AD63+AD66+AD68+AD69+AD74+AD75+AD80+AD96+AD109+AD116+AD119</f>
        <v>5593871.3500000006</v>
      </c>
      <c r="AE126" s="1867">
        <f t="shared" si="36"/>
        <v>0</v>
      </c>
      <c r="AF126" s="1867">
        <f t="shared" si="36"/>
        <v>11441377.750000002</v>
      </c>
      <c r="AG126" s="1867">
        <f t="shared" si="36"/>
        <v>131232.94000000003</v>
      </c>
      <c r="AH126" s="1867">
        <f t="shared" si="36"/>
        <v>0</v>
      </c>
      <c r="AI126" s="1867">
        <f>SUM(AD126:AH126)</f>
        <v>17166482.040000003</v>
      </c>
    </row>
    <row r="127" spans="1:35" ht="15" customHeight="1" x14ac:dyDescent="0.25">
      <c r="A127" s="1525" t="s">
        <v>264</v>
      </c>
      <c r="B127" s="920"/>
      <c r="C127" s="920"/>
      <c r="D127" s="1867">
        <f t="shared" ref="D127" si="37">D5+D17+D31+D40+D44+D50+D51+D61+D67+D76+D88+D91+D92+D99+D103+D105+D108+D113+D114+D117+D121+D122+D123</f>
        <v>77248302.499999985</v>
      </c>
      <c r="E127" s="1867">
        <f t="shared" ref="E127:H127" si="38">E5+E17+E31+E40+E44+E50+E51+E61+E67+E76+E88+E91+E92+E99+E103+E105+E108+E113+E114+E117+E121+E122+E123</f>
        <v>34993930.390000001</v>
      </c>
      <c r="F127" s="1867">
        <f t="shared" si="38"/>
        <v>42782421.639999993</v>
      </c>
      <c r="G127" s="1867">
        <f t="shared" si="38"/>
        <v>3585679.04</v>
      </c>
      <c r="H127" s="1867">
        <f t="shared" si="38"/>
        <v>0</v>
      </c>
      <c r="I127" s="1867">
        <f t="shared" ref="I127:I130" si="39">SUM(D127:H127)</f>
        <v>158610333.56999996</v>
      </c>
      <c r="J127" s="1867">
        <f t="shared" ref="J127:J130" si="40">G127+H127</f>
        <v>3585679.04</v>
      </c>
      <c r="K127" s="1867">
        <f t="shared" ref="K127:K130" si="41">F127+G127+H127</f>
        <v>46368100.679999992</v>
      </c>
      <c r="L127" s="1867">
        <f t="shared" ref="L127:P127" si="42">L5+L17+L31+L40+L44+L50+L51+L61+L67+L76+L88+L91+L92+L99+L103+L105+L108+L113+L114+L117+L121+L122+L123</f>
        <v>74500.84</v>
      </c>
      <c r="M127" s="1867">
        <f t="shared" si="42"/>
        <v>0</v>
      </c>
      <c r="N127" s="1867">
        <f t="shared" si="42"/>
        <v>25696.74</v>
      </c>
      <c r="O127" s="1867">
        <f t="shared" si="42"/>
        <v>-0.19</v>
      </c>
      <c r="P127" s="1867">
        <f t="shared" si="42"/>
        <v>0</v>
      </c>
      <c r="Q127" s="1867">
        <f t="shared" ref="Q127:Q130" si="43">SUM(L127:P127)</f>
        <v>100197.39</v>
      </c>
      <c r="R127" s="1867">
        <f t="shared" ref="R127:V127" si="44">R5+R17+R31+R40+R44+R50+R51+R61+R67+R76+R88+R91+R92+R99+R103+R105+R108+R113+R114+R117+R121+R122+R123</f>
        <v>90975.86</v>
      </c>
      <c r="S127" s="1867">
        <f t="shared" si="44"/>
        <v>31387.960000000006</v>
      </c>
      <c r="T127" s="1867">
        <f t="shared" si="44"/>
        <v>0</v>
      </c>
      <c r="U127" s="1867">
        <f t="shared" si="44"/>
        <v>-0.26999999999999996</v>
      </c>
      <c r="V127" s="1867">
        <f t="shared" si="44"/>
        <v>0</v>
      </c>
      <c r="W127" s="1867">
        <f t="shared" ref="W127:W130" si="45">SUM(R127:V127)</f>
        <v>122363.55</v>
      </c>
      <c r="X127" s="1867">
        <f t="shared" ref="X127:AB127" si="46">X5+X17+X31+X40+X44+X50+X51+X61+X67+X76+X88+X91+X92+X99+X103+X105+X108+X113+X114+X117+X121+X122+X123</f>
        <v>65187295.179999992</v>
      </c>
      <c r="Y127" s="1867">
        <f t="shared" si="46"/>
        <v>34962542.43</v>
      </c>
      <c r="Z127" s="1867">
        <f t="shared" si="46"/>
        <v>18370619.579999998</v>
      </c>
      <c r="AA127" s="1867">
        <f t="shared" si="46"/>
        <v>2827292.4499999993</v>
      </c>
      <c r="AB127" s="1867">
        <f t="shared" si="46"/>
        <v>0</v>
      </c>
      <c r="AC127" s="1867">
        <f t="shared" ref="AC127:AC130" si="47">SUM(X127:AB127)</f>
        <v>121347749.63999999</v>
      </c>
      <c r="AD127" s="1867">
        <f t="shared" ref="AD127:AH127" si="48">AD5+AD17+AD31+AD40+AD44+AD50+AD51+AD61+AD67+AD76+AD88+AD91+AD92+AD99+AD103+AD105+AD108+AD113+AD114+AD117+AD121+AD122+AD123</f>
        <v>11895530.620000003</v>
      </c>
      <c r="AE127" s="1867">
        <f t="shared" si="48"/>
        <v>0</v>
      </c>
      <c r="AF127" s="1867">
        <f t="shared" si="48"/>
        <v>24386105.32</v>
      </c>
      <c r="AG127" s="1867">
        <f t="shared" si="48"/>
        <v>758387.04999999993</v>
      </c>
      <c r="AH127" s="1867">
        <f t="shared" si="48"/>
        <v>0</v>
      </c>
      <c r="AI127" s="1867">
        <f t="shared" ref="AI127:AI130" si="49">SUM(AD127:AH127)</f>
        <v>37040022.990000002</v>
      </c>
    </row>
    <row r="128" spans="1:35" ht="15" customHeight="1" x14ac:dyDescent="0.25">
      <c r="A128" s="1525" t="s">
        <v>267</v>
      </c>
      <c r="B128" s="920"/>
      <c r="C128" s="920"/>
      <c r="D128" s="1867">
        <f t="shared" ref="D128" si="50">D11+D26+D28+D33+D34+D38+D43+D53+D57+D58+D60+D70+D71+D77+D79+D83+D86+D89+D90+D94+D100+D106+D111+D112+D124</f>
        <v>77848319.980000004</v>
      </c>
      <c r="E128" s="1867">
        <f t="shared" ref="E128:H128" si="51">E11+E26+E28+E33+E34+E38+E43+E53+E57+E58+E60+E70+E71+E77+E79+E83+E86+E89+E90+E94+E100+E106+E111+E112+E124</f>
        <v>23407126.48</v>
      </c>
      <c r="F128" s="1867">
        <f t="shared" si="51"/>
        <v>83159405.480000019</v>
      </c>
      <c r="G128" s="1867">
        <f t="shared" si="51"/>
        <v>2901817.0699999994</v>
      </c>
      <c r="H128" s="1867">
        <f t="shared" si="51"/>
        <v>102238.76000000001</v>
      </c>
      <c r="I128" s="1867">
        <f t="shared" si="39"/>
        <v>187418907.77000001</v>
      </c>
      <c r="J128" s="1867">
        <f t="shared" si="40"/>
        <v>3004055.8299999991</v>
      </c>
      <c r="K128" s="1867">
        <f t="shared" si="41"/>
        <v>86163461.310000017</v>
      </c>
      <c r="L128" s="1867">
        <f t="shared" ref="L128:P128" si="52">L11+L26+L28+L33+L34+L38+L43+L53+L57+L58+L60+L70+L71+L77+L79+L83+L86+L89+L90+L94+L100+L106+L111+L112+L124</f>
        <v>347991.07999999996</v>
      </c>
      <c r="M128" s="1867">
        <f t="shared" si="52"/>
        <v>0</v>
      </c>
      <c r="N128" s="1867">
        <f t="shared" si="52"/>
        <v>119975.59</v>
      </c>
      <c r="O128" s="1867">
        <f t="shared" si="52"/>
        <v>-0.99</v>
      </c>
      <c r="P128" s="1867">
        <f t="shared" si="52"/>
        <v>0</v>
      </c>
      <c r="Q128" s="1867">
        <f t="shared" si="43"/>
        <v>467965.67999999993</v>
      </c>
      <c r="R128" s="1867">
        <f t="shared" ref="R128:V128" si="53">R11+R26+R28+R33+R34+R38+R43+R53+R57+R58+R60+R70+R71+R77+R79+R83+R86+R89+R90+R94+R100+R106+R111+R112+R124</f>
        <v>118761.59999999999</v>
      </c>
      <c r="S128" s="1867">
        <f t="shared" si="53"/>
        <v>40938.65</v>
      </c>
      <c r="T128" s="1867">
        <f t="shared" si="53"/>
        <v>0</v>
      </c>
      <c r="U128" s="1867">
        <f t="shared" si="53"/>
        <v>-0.19</v>
      </c>
      <c r="V128" s="1867">
        <f t="shared" si="53"/>
        <v>0</v>
      </c>
      <c r="W128" s="1867">
        <f t="shared" si="45"/>
        <v>159700.06</v>
      </c>
      <c r="X128" s="1867">
        <f t="shared" ref="X128:AB128" si="54">X11+X26+X28+X33+X34+X38+X43+X53+X57+X58+X60+X70+X71+X77+X79+X83+X86+X89+X90+X94+X100+X106+X111+X112+X124</f>
        <v>43235929.890000001</v>
      </c>
      <c r="Y128" s="1867">
        <f t="shared" si="54"/>
        <v>23366187.829999998</v>
      </c>
      <c r="Z128" s="1867">
        <f t="shared" si="54"/>
        <v>12216909.419999998</v>
      </c>
      <c r="AA128" s="1867">
        <f t="shared" si="54"/>
        <v>1593190.6900000002</v>
      </c>
      <c r="AB128" s="1867">
        <f t="shared" si="54"/>
        <v>63000</v>
      </c>
      <c r="AC128" s="1867">
        <f t="shared" si="47"/>
        <v>80475217.829999998</v>
      </c>
      <c r="AD128" s="1867">
        <f t="shared" ref="AD128:AH128" si="55">AD11+AD26+AD28+AD33+AD34+AD38+AD43+AD53+AD57+AD58+AD60+AD70+AD71+AD77+AD79+AD83+AD86+AD89+AD90+AD94+AD100+AD106+AD111+AD112+AD124</f>
        <v>34145637.409999996</v>
      </c>
      <c r="AE128" s="1867">
        <f t="shared" si="55"/>
        <v>0</v>
      </c>
      <c r="AF128" s="1867">
        <f t="shared" si="55"/>
        <v>70822520.469999999</v>
      </c>
      <c r="AG128" s="1867">
        <f t="shared" si="55"/>
        <v>1308627.56</v>
      </c>
      <c r="AH128" s="1867">
        <f t="shared" si="55"/>
        <v>39238.76</v>
      </c>
      <c r="AI128" s="1867">
        <f t="shared" si="49"/>
        <v>106316024.2</v>
      </c>
    </row>
    <row r="129" spans="1:35" ht="15" customHeight="1" x14ac:dyDescent="0.25">
      <c r="A129" s="1525" t="s">
        <v>265</v>
      </c>
      <c r="B129" s="920"/>
      <c r="C129" s="920"/>
      <c r="D129" s="1867">
        <f t="shared" ref="D129" si="56">D6+D7+D9+D10+D12+D13+D14+D16+D20+D24+D27+D37+D45+D48+D49+D62+D65+D73+D81+D82+D102+D104+D110+D120</f>
        <v>44858122.950000003</v>
      </c>
      <c r="E129" s="1867">
        <f t="shared" ref="E129:H129" si="57">E6+E7+E9+E10+E12+E13+E14+E16+E20+E24+E27+E37+E45+E48+E49+E62+E65+E73+E81+E82+E102+E104+E110+E120</f>
        <v>19467671.120000001</v>
      </c>
      <c r="F129" s="1867">
        <f t="shared" si="57"/>
        <v>26812146.02</v>
      </c>
      <c r="G129" s="1867">
        <f t="shared" si="57"/>
        <v>2700747.56</v>
      </c>
      <c r="H129" s="1867">
        <f t="shared" si="57"/>
        <v>-21688.97</v>
      </c>
      <c r="I129" s="1867">
        <f t="shared" si="39"/>
        <v>93816998.680000007</v>
      </c>
      <c r="J129" s="1867">
        <f t="shared" si="40"/>
        <v>2679058.59</v>
      </c>
      <c r="K129" s="1867">
        <f t="shared" si="41"/>
        <v>29491204.609999999</v>
      </c>
      <c r="L129" s="1867">
        <f t="shared" ref="L129:P129" si="58">L6+L7+L9+L10+L12+L13+L14+L16+L20+L24+L27+L37+L45+L48+L49+L62+L65+L73+L81+L82+L102+L104+L110+L120</f>
        <v>595972.2699999999</v>
      </c>
      <c r="M129" s="1867">
        <f t="shared" si="58"/>
        <v>0</v>
      </c>
      <c r="N129" s="1867">
        <f t="shared" si="58"/>
        <v>205578.29000000004</v>
      </c>
      <c r="O129" s="1867">
        <f t="shared" si="58"/>
        <v>-3217.2400000000002</v>
      </c>
      <c r="P129" s="1867">
        <f t="shared" si="58"/>
        <v>0</v>
      </c>
      <c r="Q129" s="1867">
        <f t="shared" si="43"/>
        <v>798333.32</v>
      </c>
      <c r="R129" s="1867">
        <f t="shared" ref="R129:V129" si="59">R6+R7+R9+R10+R12+R13+R14+R16+R20+R24+R27+R37+R45+R48+R49+R62+R65+R73+R81+R82+R102+R104+R110+R120</f>
        <v>66459.98</v>
      </c>
      <c r="S129" s="1867">
        <f t="shared" si="59"/>
        <v>22900</v>
      </c>
      <c r="T129" s="1867">
        <f t="shared" si="59"/>
        <v>0</v>
      </c>
      <c r="U129" s="1867">
        <f t="shared" si="59"/>
        <v>-9.9999999999999992E-2</v>
      </c>
      <c r="V129" s="1867">
        <f t="shared" si="59"/>
        <v>0</v>
      </c>
      <c r="W129" s="1867">
        <f t="shared" si="45"/>
        <v>89359.87999999999</v>
      </c>
      <c r="X129" s="1867">
        <f t="shared" ref="X129:AB129" si="60">X6+X7+X9+X10+X12+X13+X14+X16+X20+X24+X27+X37+X45+X48+X49+X62+X65+X73+X81+X82+X102+X104+X110+X120</f>
        <v>36216274.129999995</v>
      </c>
      <c r="Y129" s="1867">
        <f t="shared" si="60"/>
        <v>19444771.119999997</v>
      </c>
      <c r="Z129" s="1867">
        <f t="shared" si="60"/>
        <v>10209951.609999999</v>
      </c>
      <c r="AA129" s="1867">
        <f t="shared" si="60"/>
        <v>1674953.03</v>
      </c>
      <c r="AB129" s="1867">
        <f t="shared" si="60"/>
        <v>-21688.97</v>
      </c>
      <c r="AC129" s="1867">
        <f t="shared" si="47"/>
        <v>67524260.919999987</v>
      </c>
      <c r="AD129" s="1867">
        <f t="shared" ref="AD129:AH129" si="61">AD6+AD7+AD9+AD10+AD12+AD13+AD14+AD16+AD20+AD24+AD27+AD37+AD45+AD48+AD49+AD62+AD65+AD73+AD81+AD82+AD102+AD104+AD110+AD120</f>
        <v>7979416.5699999994</v>
      </c>
      <c r="AE129" s="1867">
        <f t="shared" si="61"/>
        <v>0</v>
      </c>
      <c r="AF129" s="1867">
        <f t="shared" si="61"/>
        <v>16396616.120000001</v>
      </c>
      <c r="AG129" s="1867">
        <f t="shared" si="61"/>
        <v>1029011.8699999999</v>
      </c>
      <c r="AH129" s="1867">
        <f t="shared" si="61"/>
        <v>0</v>
      </c>
      <c r="AI129" s="1867">
        <f t="shared" si="49"/>
        <v>25405044.560000002</v>
      </c>
    </row>
    <row r="130" spans="1:35" ht="15" customHeight="1" x14ac:dyDescent="0.25">
      <c r="A130" s="1525" t="s">
        <v>268</v>
      </c>
      <c r="B130" s="920"/>
      <c r="C130" s="920"/>
      <c r="D130" s="1867">
        <f t="shared" ref="D130" si="62">D15+D18+D22+D30+D35+D39+D42+D56+D64+D72+D78+D84+D85+D87+D93+D95+D97+D98+D101+D107+D115+D118</f>
        <v>26453787.080000002</v>
      </c>
      <c r="E130" s="1867">
        <f t="shared" ref="E130:H130" si="63">E15+E18+E22+E30+E35+E39+E42+E56+E64+E72+E78+E84+E85+E87+E93+E95+E97+E98+E101+E107+E115+E118</f>
        <v>13193294.369999999</v>
      </c>
      <c r="F130" s="1867">
        <f t="shared" si="63"/>
        <v>10697976.700000001</v>
      </c>
      <c r="G130" s="1867">
        <f t="shared" si="63"/>
        <v>682600.4600000002</v>
      </c>
      <c r="H130" s="1867">
        <f t="shared" si="63"/>
        <v>0</v>
      </c>
      <c r="I130" s="1867">
        <f t="shared" si="39"/>
        <v>51027658.610000007</v>
      </c>
      <c r="J130" s="1867">
        <f t="shared" si="40"/>
        <v>682600.4600000002</v>
      </c>
      <c r="K130" s="1867">
        <f t="shared" si="41"/>
        <v>11380577.160000002</v>
      </c>
      <c r="L130" s="1867">
        <f t="shared" ref="L130:P130" si="64">L15+L18+L22+L30+L35+L39+L42+L56+L64+L72+L78+L84+L85+L87+L93+L95+L97+L98+L101+L107+L115+L118</f>
        <v>0</v>
      </c>
      <c r="M130" s="1867">
        <f t="shared" si="64"/>
        <v>0</v>
      </c>
      <c r="N130" s="1867">
        <f t="shared" si="64"/>
        <v>0</v>
      </c>
      <c r="O130" s="1867">
        <f t="shared" si="64"/>
        <v>0</v>
      </c>
      <c r="P130" s="1867">
        <f t="shared" si="64"/>
        <v>0</v>
      </c>
      <c r="Q130" s="1867">
        <f t="shared" si="43"/>
        <v>0</v>
      </c>
      <c r="R130" s="1867">
        <f t="shared" ref="R130:V130" si="65">R15+R18+R22+R30+R35+R39+R42+R56+R64+R72+R78+R84+R85+R87+R93+R95+R97+R98+R101+R107+R115+R118</f>
        <v>257.43</v>
      </c>
      <c r="S130" s="1867">
        <f t="shared" si="65"/>
        <v>88.82</v>
      </c>
      <c r="T130" s="1867">
        <f t="shared" si="65"/>
        <v>0</v>
      </c>
      <c r="U130" s="1867">
        <f t="shared" si="65"/>
        <v>0</v>
      </c>
      <c r="V130" s="1867">
        <f t="shared" si="65"/>
        <v>0</v>
      </c>
      <c r="W130" s="1867">
        <f t="shared" si="45"/>
        <v>346.25</v>
      </c>
      <c r="X130" s="1867">
        <f t="shared" ref="X130:AB130" si="66">X15+X18+X22+X30+X35+X39+X42+X56+X64+X72+X78+X84+X85+X87+X93+X95+X97+X98+X101+X107+X115+X118</f>
        <v>24611174.419999998</v>
      </c>
      <c r="Y130" s="1867">
        <f t="shared" si="66"/>
        <v>13193205.550000001</v>
      </c>
      <c r="Z130" s="1867">
        <f t="shared" si="66"/>
        <v>6934454.3699999992</v>
      </c>
      <c r="AA130" s="1867">
        <f t="shared" si="66"/>
        <v>665201.4700000002</v>
      </c>
      <c r="AB130" s="1867">
        <f t="shared" si="66"/>
        <v>0</v>
      </c>
      <c r="AC130" s="1867">
        <f t="shared" si="47"/>
        <v>45404035.809999995</v>
      </c>
      <c r="AD130" s="1867">
        <f t="shared" ref="AD130:AH130" si="67">AD15+AD18+AD22+AD30+AD35+AD39+AD42+AD56+AD64+AD72+AD78+AD84+AD85+AD87+AD93+AD95+AD97+AD98+AD101+AD107+AD115+AD118</f>
        <v>1842355.23</v>
      </c>
      <c r="AE130" s="1867">
        <f t="shared" si="67"/>
        <v>0</v>
      </c>
      <c r="AF130" s="1867">
        <f t="shared" si="67"/>
        <v>3763522.3300000005</v>
      </c>
      <c r="AG130" s="1867">
        <f t="shared" si="67"/>
        <v>17398.990000000002</v>
      </c>
      <c r="AH130" s="1867">
        <f t="shared" si="67"/>
        <v>0</v>
      </c>
      <c r="AI130" s="1867">
        <f t="shared" si="49"/>
        <v>5623276.5500000007</v>
      </c>
    </row>
    <row r="131" spans="1:35" ht="15" customHeight="1" x14ac:dyDescent="0.25">
      <c r="A131" s="1525" t="s">
        <v>9</v>
      </c>
      <c r="B131" s="920"/>
      <c r="C131" s="1532"/>
      <c r="D131" s="1867">
        <f t="shared" ref="D131" si="68">SUM(D126:D130)</f>
        <v>271234858.35999995</v>
      </c>
      <c r="E131" s="1867">
        <f t="shared" ref="E131:H131" si="69">SUM(E126:E130)</f>
        <v>111848470.43000001</v>
      </c>
      <c r="F131" s="1867">
        <f t="shared" si="69"/>
        <v>185945289.51000002</v>
      </c>
      <c r="G131" s="1867">
        <f t="shared" si="69"/>
        <v>10626648.24</v>
      </c>
      <c r="H131" s="1867">
        <f t="shared" si="69"/>
        <v>80549.790000000008</v>
      </c>
      <c r="I131" s="1867">
        <f>SUM(I126:I130)</f>
        <v>579735816.32999992</v>
      </c>
      <c r="J131" s="1867">
        <f>SUM(J126:J130)</f>
        <v>10707198.030000001</v>
      </c>
      <c r="K131" s="1867">
        <f>SUM(K126:K130)</f>
        <v>196652487.53999999</v>
      </c>
      <c r="L131" s="1868">
        <f t="shared" ref="L131:P131" si="70">SUM(L126:L130)</f>
        <v>1482255.96</v>
      </c>
      <c r="M131" s="1868">
        <f t="shared" si="70"/>
        <v>0</v>
      </c>
      <c r="N131" s="1868">
        <f t="shared" si="70"/>
        <v>510858.86</v>
      </c>
      <c r="O131" s="1868">
        <f t="shared" si="70"/>
        <v>-3218.94</v>
      </c>
      <c r="P131" s="1868">
        <f t="shared" si="70"/>
        <v>0</v>
      </c>
      <c r="Q131" s="1868">
        <f>SUM(Q126:Q130)</f>
        <v>1989895.88</v>
      </c>
      <c r="R131" s="1868">
        <f t="shared" ref="R131:V131" si="71">SUM(R126:R130)</f>
        <v>405940.17</v>
      </c>
      <c r="S131" s="1868">
        <f t="shared" si="71"/>
        <v>139714.03</v>
      </c>
      <c r="T131" s="1868">
        <f t="shared" si="71"/>
        <v>0</v>
      </c>
      <c r="U131" s="1868">
        <f t="shared" si="71"/>
        <v>-0.63</v>
      </c>
      <c r="V131" s="1868">
        <f t="shared" si="71"/>
        <v>0</v>
      </c>
      <c r="W131" s="1868">
        <f>SUM(W126:W130)</f>
        <v>545653.56999999995</v>
      </c>
      <c r="X131" s="1868">
        <f t="shared" ref="X131:AB131" si="72">SUM(X126:X130)</f>
        <v>207889851.04999998</v>
      </c>
      <c r="Y131" s="1868">
        <f t="shared" si="72"/>
        <v>111708756.39999999</v>
      </c>
      <c r="Z131" s="1868">
        <f t="shared" si="72"/>
        <v>58624288.659999989</v>
      </c>
      <c r="AA131" s="1868">
        <f t="shared" si="72"/>
        <v>7385209.4000000004</v>
      </c>
      <c r="AB131" s="1868">
        <f t="shared" si="72"/>
        <v>41311.03</v>
      </c>
      <c r="AC131" s="1868">
        <f>SUM(AC126:AC130)</f>
        <v>385649416.54000002</v>
      </c>
      <c r="AD131" s="1868">
        <f t="shared" ref="AD131:AH131" si="73">SUM(AD126:AD130)</f>
        <v>61456811.179999992</v>
      </c>
      <c r="AE131" s="1868">
        <f t="shared" si="73"/>
        <v>0</v>
      </c>
      <c r="AF131" s="1868">
        <f t="shared" si="73"/>
        <v>126810141.98999999</v>
      </c>
      <c r="AG131" s="1868">
        <f t="shared" si="73"/>
        <v>3244658.41</v>
      </c>
      <c r="AH131" s="1868">
        <f t="shared" si="73"/>
        <v>39238.76</v>
      </c>
      <c r="AI131" s="1868">
        <f>SUM(AI126:AI130)</f>
        <v>191550850.34000003</v>
      </c>
    </row>
    <row r="132" spans="1:35" x14ac:dyDescent="0.25">
      <c r="L132" s="1769"/>
      <c r="M132" s="1769"/>
      <c r="N132" s="1769"/>
      <c r="O132" s="1769"/>
      <c r="P132" s="1769"/>
      <c r="Q132" s="1769"/>
      <c r="R132" s="1388"/>
      <c r="S132" s="1388"/>
      <c r="T132" s="1388"/>
      <c r="U132" s="1388"/>
      <c r="V132" s="1388"/>
      <c r="W132" s="1388"/>
      <c r="X132" s="1388"/>
      <c r="AD132" s="1388"/>
    </row>
    <row r="133" spans="1:35" s="394" customFormat="1" x14ac:dyDescent="0.25">
      <c r="A133" s="394" t="s">
        <v>1197</v>
      </c>
      <c r="B133" s="715"/>
      <c r="C133" s="715"/>
      <c r="D133" s="1010"/>
      <c r="E133" s="1010"/>
      <c r="F133" s="1010"/>
      <c r="G133" s="1010"/>
      <c r="H133" s="1010"/>
      <c r="I133" s="1010"/>
      <c r="J133" s="1010"/>
      <c r="K133" s="1010"/>
      <c r="L133" s="1010"/>
      <c r="M133" s="1010"/>
      <c r="N133" s="1010"/>
      <c r="O133" s="1010"/>
      <c r="P133" s="1010"/>
      <c r="Q133" s="1010"/>
      <c r="R133" s="1011"/>
      <c r="S133" s="1011"/>
      <c r="T133" s="1011"/>
      <c r="U133" s="1011"/>
      <c r="V133" s="1011"/>
      <c r="W133" s="1011"/>
      <c r="X133" s="1011"/>
      <c r="AD133" s="1011"/>
    </row>
    <row r="134" spans="1:35" s="394" customFormat="1" x14ac:dyDescent="0.25">
      <c r="D134" s="1010"/>
      <c r="E134" s="1010"/>
      <c r="F134" s="1010"/>
      <c r="G134" s="1010"/>
      <c r="H134" s="1010"/>
      <c r="I134" s="1010"/>
      <c r="J134" s="1010"/>
      <c r="K134" s="1010"/>
      <c r="L134" s="1010"/>
      <c r="M134" s="1010"/>
      <c r="N134" s="1010"/>
      <c r="O134" s="1010"/>
      <c r="P134" s="1010"/>
      <c r="Q134" s="1010"/>
      <c r="R134" s="1011"/>
      <c r="S134" s="1011"/>
      <c r="T134" s="1011"/>
      <c r="U134" s="1011"/>
      <c r="V134" s="1011"/>
      <c r="W134" s="1011"/>
      <c r="X134" s="1011"/>
      <c r="AD134" s="1011"/>
    </row>
    <row r="135" spans="1:35" s="414" customFormat="1" x14ac:dyDescent="0.25">
      <c r="A135" s="414" t="s">
        <v>248</v>
      </c>
      <c r="D135" s="1012"/>
      <c r="E135" s="1012"/>
      <c r="F135" s="1012"/>
      <c r="G135" s="1012"/>
      <c r="H135" s="1012"/>
      <c r="I135" s="1012"/>
      <c r="J135" s="1012"/>
      <c r="K135" s="1012"/>
      <c r="L135" s="1012"/>
      <c r="M135" s="1012"/>
      <c r="N135" s="1012"/>
      <c r="O135" s="1012"/>
      <c r="P135" s="1012"/>
      <c r="Q135" s="1012"/>
      <c r="R135" s="1013"/>
      <c r="S135" s="1013"/>
      <c r="T135" s="1013"/>
      <c r="U135" s="1013"/>
      <c r="V135" s="1013"/>
      <c r="W135" s="1013"/>
      <c r="X135" s="1013"/>
      <c r="AD135" s="1013"/>
    </row>
    <row r="136" spans="1:35" x14ac:dyDescent="0.25">
      <c r="A136" s="415" t="s">
        <v>249</v>
      </c>
      <c r="B136" s="416" t="s">
        <v>250</v>
      </c>
      <c r="C136" s="416"/>
    </row>
  </sheetData>
  <autoFilter ref="A3:C124"/>
  <hyperlinks>
    <hyperlink ref="B136" r:id="rId1"/>
  </hyperlinks>
  <pageMargins left="0.7" right="0.7" top="0.75" bottom="0.75" header="0.3" footer="0.3"/>
  <pageSetup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136"/>
  <sheetViews>
    <sheetView workbookViewId="0">
      <pane xSplit="3" ySplit="4" topLeftCell="Q106" activePane="bottomRight" state="frozen"/>
      <selection pane="topRight" activeCell="D1" sqref="D1"/>
      <selection pane="bottomLeft" activeCell="A5" sqref="A5"/>
      <selection pane="bottomRight" activeCell="W126" sqref="W126:W130"/>
    </sheetView>
  </sheetViews>
  <sheetFormatPr defaultRowHeight="15.75" x14ac:dyDescent="0.25"/>
  <cols>
    <col min="1" max="1" width="9.375" style="270" customWidth="1"/>
    <col min="2" max="2" width="29.75" style="270" customWidth="1"/>
    <col min="3" max="3" width="18.625" style="270" customWidth="1"/>
    <col min="4" max="4" width="12.75" style="270" customWidth="1"/>
    <col min="5" max="5" width="8.375" style="270" bestFit="1" customWidth="1"/>
    <col min="6" max="6" width="11.5" style="270" bestFit="1" customWidth="1"/>
    <col min="7" max="7" width="13.375" style="270" customWidth="1"/>
    <col min="8" max="8" width="11.875" style="270" customWidth="1"/>
    <col min="9" max="9" width="13.375" style="270" customWidth="1"/>
    <col min="10" max="11" width="13.625" style="270" customWidth="1"/>
    <col min="12" max="12" width="10.875" style="270" customWidth="1"/>
    <col min="13" max="13" width="10.875" style="706" bestFit="1" customWidth="1"/>
    <col min="14" max="14" width="9.25" style="270" bestFit="1" customWidth="1"/>
    <col min="15" max="15" width="10.375" style="270" customWidth="1"/>
    <col min="16" max="16" width="9.25" style="270" customWidth="1"/>
    <col min="17" max="17" width="11" style="270" bestFit="1" customWidth="1"/>
    <col min="18" max="18" width="13" style="270" customWidth="1"/>
    <col min="19" max="19" width="12.25" style="270" customWidth="1"/>
    <col min="20" max="20" width="12.625" style="270" customWidth="1"/>
    <col min="21" max="21" width="10.125" style="270" customWidth="1"/>
    <col min="22" max="22" width="12.75" style="270" customWidth="1"/>
    <col min="23" max="23" width="11.875" style="270" customWidth="1"/>
    <col min="24" max="16384" width="9" style="270"/>
  </cols>
  <sheetData>
    <row r="1" spans="1:23" x14ac:dyDescent="0.25">
      <c r="A1" s="64" t="s">
        <v>1195</v>
      </c>
      <c r="J1" s="721"/>
      <c r="K1" s="721"/>
      <c r="L1" s="721"/>
      <c r="N1" s="721"/>
      <c r="O1" s="721"/>
      <c r="P1" s="721"/>
    </row>
    <row r="2" spans="1:23" x14ac:dyDescent="0.25">
      <c r="J2" s="721"/>
      <c r="K2" s="721"/>
      <c r="L2" s="721"/>
      <c r="N2" s="721"/>
      <c r="O2" s="721"/>
      <c r="P2" s="721"/>
    </row>
    <row r="3" spans="1:23" s="722" customFormat="1" ht="47.25" x14ac:dyDescent="0.25">
      <c r="A3" s="725" t="s">
        <v>4</v>
      </c>
      <c r="B3" s="726" t="s">
        <v>5</v>
      </c>
      <c r="C3" s="921" t="s">
        <v>251</v>
      </c>
      <c r="D3" s="727" t="s">
        <v>314</v>
      </c>
      <c r="E3" s="728" t="s">
        <v>315</v>
      </c>
      <c r="F3" s="720" t="s">
        <v>316</v>
      </c>
      <c r="G3" s="729" t="s">
        <v>968</v>
      </c>
      <c r="H3" s="1399" t="s">
        <v>969</v>
      </c>
      <c r="I3" s="1399" t="s">
        <v>281</v>
      </c>
      <c r="J3" s="1007" t="s">
        <v>970</v>
      </c>
      <c r="K3" s="1007" t="s">
        <v>971</v>
      </c>
      <c r="L3" s="810" t="s">
        <v>319</v>
      </c>
      <c r="M3" s="1014" t="s">
        <v>593</v>
      </c>
      <c r="N3" s="811" t="s">
        <v>320</v>
      </c>
      <c r="O3" s="1398" t="s">
        <v>973</v>
      </c>
      <c r="P3" s="1398" t="s">
        <v>974</v>
      </c>
      <c r="Q3" s="812" t="s">
        <v>321</v>
      </c>
      <c r="R3" s="810" t="s">
        <v>996</v>
      </c>
      <c r="S3" s="811" t="s">
        <v>997</v>
      </c>
      <c r="T3" s="811" t="s">
        <v>998</v>
      </c>
      <c r="U3" s="1398" t="s">
        <v>999</v>
      </c>
      <c r="V3" s="1398" t="s">
        <v>1000</v>
      </c>
      <c r="W3" s="1398" t="s">
        <v>1001</v>
      </c>
    </row>
    <row r="4" spans="1:23" x14ac:dyDescent="0.25">
      <c r="A4" s="718">
        <v>999</v>
      </c>
      <c r="B4" s="723" t="s">
        <v>9</v>
      </c>
      <c r="C4" s="922"/>
      <c r="D4" s="1023">
        <f t="shared" ref="D4:P4" si="0">SUM(D5:D124)</f>
        <v>15565706.789999999</v>
      </c>
      <c r="E4" s="1024">
        <f t="shared" si="0"/>
        <v>0</v>
      </c>
      <c r="F4" s="1025">
        <f t="shared" si="0"/>
        <v>15565706.789999999</v>
      </c>
      <c r="G4" s="1026">
        <f t="shared" si="0"/>
        <v>947110.55999999994</v>
      </c>
      <c r="H4" s="1026">
        <f t="shared" si="0"/>
        <v>31864641.68</v>
      </c>
      <c r="I4" s="1026">
        <f t="shared" si="0"/>
        <v>63943165.820000015</v>
      </c>
      <c r="J4" s="1025">
        <f t="shared" si="0"/>
        <v>32811752.239999998</v>
      </c>
      <c r="K4" s="1025">
        <f t="shared" si="0"/>
        <v>48377459.030000009</v>
      </c>
      <c r="L4" s="1017">
        <f t="shared" si="0"/>
        <v>0</v>
      </c>
      <c r="M4" s="1015">
        <f t="shared" si="0"/>
        <v>0</v>
      </c>
      <c r="N4" s="1015">
        <f t="shared" si="0"/>
        <v>0</v>
      </c>
      <c r="O4" s="1015">
        <f t="shared" si="0"/>
        <v>947110.55999999994</v>
      </c>
      <c r="P4" s="1015">
        <f t="shared" si="0"/>
        <v>0</v>
      </c>
      <c r="Q4" s="1016">
        <f t="shared" ref="Q4" si="1">SUM(Q5:Q124)</f>
        <v>947110.55999999994</v>
      </c>
      <c r="R4" s="1017">
        <f t="shared" ref="R4:U4" si="2">SUM(R5:R124)</f>
        <v>15565706.789999999</v>
      </c>
      <c r="S4" s="1015">
        <f t="shared" si="2"/>
        <v>0</v>
      </c>
      <c r="T4" s="1015">
        <f t="shared" si="2"/>
        <v>15565706.789999999</v>
      </c>
      <c r="U4" s="1015">
        <f t="shared" si="2"/>
        <v>0</v>
      </c>
      <c r="V4" s="1015">
        <f t="shared" ref="V4:W4" si="3">SUM(V5:V124)</f>
        <v>31864641.68</v>
      </c>
      <c r="W4" s="1015">
        <f t="shared" si="3"/>
        <v>62996055.260000005</v>
      </c>
    </row>
    <row r="5" spans="1:23" ht="15" customHeight="1" x14ac:dyDescent="0.25">
      <c r="A5" s="719" t="s">
        <v>10</v>
      </c>
      <c r="B5" s="724" t="s">
        <v>11</v>
      </c>
      <c r="C5" s="923" t="s">
        <v>264</v>
      </c>
      <c r="D5" s="1027">
        <f>L5+R5</f>
        <v>50857.58</v>
      </c>
      <c r="E5" s="1027">
        <f>M5+S5</f>
        <v>0</v>
      </c>
      <c r="F5" s="1027">
        <f>N5+T5</f>
        <v>50857.58</v>
      </c>
      <c r="G5" s="1029">
        <f>O5+U5</f>
        <v>1088</v>
      </c>
      <c r="H5" s="1029">
        <f>P5+V5</f>
        <v>78500.84</v>
      </c>
      <c r="I5" s="1400">
        <f>SUM(D5:H5)</f>
        <v>181304</v>
      </c>
      <c r="J5" s="1028">
        <f>G5+H5</f>
        <v>79588.84</v>
      </c>
      <c r="K5" s="1400">
        <f>F5+J5</f>
        <v>130446.42</v>
      </c>
      <c r="L5" s="1022">
        <v>0</v>
      </c>
      <c r="M5" s="1018">
        <v>0</v>
      </c>
      <c r="N5" s="1018">
        <v>0</v>
      </c>
      <c r="O5" s="1018">
        <v>1088</v>
      </c>
      <c r="P5" s="1018">
        <v>0</v>
      </c>
      <c r="Q5" s="1019">
        <f>SUM(L5:P5)</f>
        <v>1088</v>
      </c>
      <c r="R5" s="1020">
        <v>50857.58</v>
      </c>
      <c r="S5" s="1021">
        <v>0</v>
      </c>
      <c r="T5" s="1021">
        <v>50857.58</v>
      </c>
      <c r="U5" s="1021">
        <v>0</v>
      </c>
      <c r="V5" s="1021">
        <v>78500.84</v>
      </c>
      <c r="W5" s="1021">
        <f>SUM(R5:V5)</f>
        <v>180216</v>
      </c>
    </row>
    <row r="6" spans="1:23" ht="15" customHeight="1" x14ac:dyDescent="0.25">
      <c r="A6" s="719" t="s">
        <v>12</v>
      </c>
      <c r="B6" s="724" t="s">
        <v>13</v>
      </c>
      <c r="C6" s="923" t="s">
        <v>265</v>
      </c>
      <c r="D6" s="1027">
        <f t="shared" ref="D6:D69" si="4">L6+R6</f>
        <v>328002.31</v>
      </c>
      <c r="E6" s="1027">
        <f t="shared" ref="E6:E69" si="5">M6+S6</f>
        <v>0</v>
      </c>
      <c r="F6" s="1027">
        <f t="shared" ref="F6:F69" si="6">N6+T6</f>
        <v>328002.31</v>
      </c>
      <c r="G6" s="1029">
        <f t="shared" ref="G6:G69" si="7">O6+U6</f>
        <v>17098.93</v>
      </c>
      <c r="H6" s="1029">
        <f t="shared" ref="H6:H69" si="8">P6+V6</f>
        <v>937252.38</v>
      </c>
      <c r="I6" s="1400">
        <f t="shared" ref="I6:I69" si="9">SUM(D6:H6)</f>
        <v>1610355.9300000002</v>
      </c>
      <c r="J6" s="1028">
        <f t="shared" ref="J6:J69" si="10">G6+H6</f>
        <v>954351.31</v>
      </c>
      <c r="K6" s="1400">
        <f t="shared" ref="K6:K69" si="11">F6+J6</f>
        <v>1282353.6200000001</v>
      </c>
      <c r="L6" s="1030">
        <v>0</v>
      </c>
      <c r="M6" s="1018">
        <v>0</v>
      </c>
      <c r="N6" s="1018">
        <v>0</v>
      </c>
      <c r="O6" s="1018">
        <v>17098.93</v>
      </c>
      <c r="P6" s="1018">
        <v>0</v>
      </c>
      <c r="Q6" s="1019">
        <f t="shared" ref="Q6:Q69" si="12">SUM(L6:P6)</f>
        <v>17098.93</v>
      </c>
      <c r="R6" s="1020">
        <v>328002.31</v>
      </c>
      <c r="S6" s="1021">
        <v>0</v>
      </c>
      <c r="T6" s="1021">
        <v>328002.31</v>
      </c>
      <c r="U6" s="1021">
        <v>0</v>
      </c>
      <c r="V6" s="1021">
        <v>937252.38</v>
      </c>
      <c r="W6" s="1021">
        <f t="shared" ref="W6:W69" si="13">SUM(R6:V6)</f>
        <v>1593257</v>
      </c>
    </row>
    <row r="7" spans="1:23" ht="15" customHeight="1" x14ac:dyDescent="0.25">
      <c r="A7" s="719" t="s">
        <v>16</v>
      </c>
      <c r="B7" s="724" t="s">
        <v>297</v>
      </c>
      <c r="C7" s="923" t="s">
        <v>265</v>
      </c>
      <c r="D7" s="1027">
        <f t="shared" si="4"/>
        <v>77258.77</v>
      </c>
      <c r="E7" s="1027">
        <f t="shared" si="5"/>
        <v>0</v>
      </c>
      <c r="F7" s="1027">
        <f t="shared" si="6"/>
        <v>77258.77</v>
      </c>
      <c r="G7" s="1029">
        <f t="shared" si="7"/>
        <v>0</v>
      </c>
      <c r="H7" s="1029">
        <f t="shared" si="8"/>
        <v>121845.46</v>
      </c>
      <c r="I7" s="1400">
        <f t="shared" si="9"/>
        <v>276363</v>
      </c>
      <c r="J7" s="1028">
        <f t="shared" si="10"/>
        <v>121845.46</v>
      </c>
      <c r="K7" s="1400">
        <f t="shared" si="11"/>
        <v>199104.23</v>
      </c>
      <c r="L7" s="1031"/>
      <c r="M7" s="1021"/>
      <c r="N7" s="1021"/>
      <c r="O7" s="1021"/>
      <c r="P7" s="1021"/>
      <c r="Q7" s="1019">
        <f t="shared" si="12"/>
        <v>0</v>
      </c>
      <c r="R7" s="1020">
        <v>77258.77</v>
      </c>
      <c r="S7" s="1021">
        <v>0</v>
      </c>
      <c r="T7" s="1021">
        <v>77258.77</v>
      </c>
      <c r="U7" s="1021">
        <v>0</v>
      </c>
      <c r="V7" s="1021">
        <v>121845.46</v>
      </c>
      <c r="W7" s="1021">
        <f t="shared" si="13"/>
        <v>276363</v>
      </c>
    </row>
    <row r="8" spans="1:23" ht="15" customHeight="1" x14ac:dyDescent="0.25">
      <c r="A8" s="719" t="s">
        <v>18</v>
      </c>
      <c r="B8" s="724" t="s">
        <v>19</v>
      </c>
      <c r="C8" s="923" t="s">
        <v>266</v>
      </c>
      <c r="D8" s="1027">
        <f t="shared" si="4"/>
        <v>54198.62</v>
      </c>
      <c r="E8" s="1027">
        <f t="shared" si="5"/>
        <v>0</v>
      </c>
      <c r="F8" s="1027">
        <f t="shared" si="6"/>
        <v>54198.62</v>
      </c>
      <c r="G8" s="1029">
        <f t="shared" si="7"/>
        <v>0</v>
      </c>
      <c r="H8" s="1029">
        <f t="shared" si="8"/>
        <v>66202.759999999995</v>
      </c>
      <c r="I8" s="1400">
        <f t="shared" si="9"/>
        <v>174600</v>
      </c>
      <c r="J8" s="1028">
        <f t="shared" si="10"/>
        <v>66202.759999999995</v>
      </c>
      <c r="K8" s="1400">
        <f t="shared" si="11"/>
        <v>120401.38</v>
      </c>
      <c r="L8" s="1031"/>
      <c r="M8" s="1021"/>
      <c r="N8" s="1021"/>
      <c r="O8" s="1021"/>
      <c r="P8" s="1021"/>
      <c r="Q8" s="1019">
        <f t="shared" si="12"/>
        <v>0</v>
      </c>
      <c r="R8" s="1020">
        <v>54198.62</v>
      </c>
      <c r="S8" s="1021">
        <v>0</v>
      </c>
      <c r="T8" s="1021">
        <v>54198.62</v>
      </c>
      <c r="U8" s="1021">
        <v>0</v>
      </c>
      <c r="V8" s="1021">
        <v>66202.759999999995</v>
      </c>
      <c r="W8" s="1021">
        <f t="shared" si="13"/>
        <v>174600</v>
      </c>
    </row>
    <row r="9" spans="1:23" ht="15" customHeight="1" x14ac:dyDescent="0.25">
      <c r="A9" s="719" t="s">
        <v>20</v>
      </c>
      <c r="B9" s="724" t="s">
        <v>21</v>
      </c>
      <c r="C9" s="923" t="s">
        <v>265</v>
      </c>
      <c r="D9" s="1027">
        <f t="shared" si="4"/>
        <v>41553.69</v>
      </c>
      <c r="E9" s="1027">
        <f t="shared" si="5"/>
        <v>0</v>
      </c>
      <c r="F9" s="1027">
        <f t="shared" si="6"/>
        <v>41553.69</v>
      </c>
      <c r="G9" s="1029">
        <f t="shared" si="7"/>
        <v>0</v>
      </c>
      <c r="H9" s="1029">
        <f t="shared" si="8"/>
        <v>62780.62</v>
      </c>
      <c r="I9" s="1400">
        <f t="shared" si="9"/>
        <v>145888</v>
      </c>
      <c r="J9" s="1028">
        <f t="shared" si="10"/>
        <v>62780.62</v>
      </c>
      <c r="K9" s="1400">
        <f t="shared" si="11"/>
        <v>104334.31</v>
      </c>
      <c r="L9" s="1031"/>
      <c r="M9" s="1021"/>
      <c r="N9" s="1021"/>
      <c r="O9" s="1021"/>
      <c r="P9" s="1021"/>
      <c r="Q9" s="1019">
        <f t="shared" si="12"/>
        <v>0</v>
      </c>
      <c r="R9" s="1020">
        <v>41553.69</v>
      </c>
      <c r="S9" s="1021">
        <v>0</v>
      </c>
      <c r="T9" s="1021">
        <v>41553.69</v>
      </c>
      <c r="U9" s="1021">
        <v>0</v>
      </c>
      <c r="V9" s="1021">
        <v>62780.62</v>
      </c>
      <c r="W9" s="1021">
        <f t="shared" si="13"/>
        <v>145888</v>
      </c>
    </row>
    <row r="10" spans="1:23" ht="15" customHeight="1" x14ac:dyDescent="0.25">
      <c r="A10" s="719" t="s">
        <v>22</v>
      </c>
      <c r="B10" s="724" t="s">
        <v>23</v>
      </c>
      <c r="C10" s="923" t="s">
        <v>265</v>
      </c>
      <c r="D10" s="1027">
        <f t="shared" si="4"/>
        <v>35908.36</v>
      </c>
      <c r="E10" s="1027">
        <f t="shared" si="5"/>
        <v>0</v>
      </c>
      <c r="F10" s="1027">
        <f t="shared" si="6"/>
        <v>35908.36</v>
      </c>
      <c r="G10" s="1029">
        <f t="shared" si="7"/>
        <v>0</v>
      </c>
      <c r="H10" s="1029">
        <f t="shared" si="8"/>
        <v>59992.28</v>
      </c>
      <c r="I10" s="1400">
        <f t="shared" si="9"/>
        <v>131809</v>
      </c>
      <c r="J10" s="1028">
        <f t="shared" si="10"/>
        <v>59992.28</v>
      </c>
      <c r="K10" s="1400">
        <f t="shared" si="11"/>
        <v>95900.64</v>
      </c>
      <c r="L10" s="1031"/>
      <c r="M10" s="1021"/>
      <c r="N10" s="1021"/>
      <c r="O10" s="1021"/>
      <c r="P10" s="1021"/>
      <c r="Q10" s="1019">
        <f t="shared" si="12"/>
        <v>0</v>
      </c>
      <c r="R10" s="1020">
        <v>35908.36</v>
      </c>
      <c r="S10" s="1021">
        <v>0</v>
      </c>
      <c r="T10" s="1021">
        <v>35908.36</v>
      </c>
      <c r="U10" s="1021">
        <v>0</v>
      </c>
      <c r="V10" s="1021">
        <v>59992.28</v>
      </c>
      <c r="W10" s="1021">
        <f t="shared" si="13"/>
        <v>131809</v>
      </c>
    </row>
    <row r="11" spans="1:23" ht="15" customHeight="1" x14ac:dyDescent="0.25">
      <c r="A11" s="719" t="s">
        <v>24</v>
      </c>
      <c r="B11" s="724" t="s">
        <v>25</v>
      </c>
      <c r="C11" s="923" t="s">
        <v>267</v>
      </c>
      <c r="D11" s="1027">
        <f t="shared" si="4"/>
        <v>640445.06999999995</v>
      </c>
      <c r="E11" s="1027">
        <f t="shared" si="5"/>
        <v>0</v>
      </c>
      <c r="F11" s="1027">
        <f t="shared" si="6"/>
        <v>640445.06999999995</v>
      </c>
      <c r="G11" s="1029">
        <f t="shared" si="7"/>
        <v>0</v>
      </c>
      <c r="H11" s="1029">
        <f t="shared" si="8"/>
        <v>1424438.86</v>
      </c>
      <c r="I11" s="1400">
        <f t="shared" si="9"/>
        <v>2705329</v>
      </c>
      <c r="J11" s="1028">
        <f t="shared" si="10"/>
        <v>1424438.86</v>
      </c>
      <c r="K11" s="1400">
        <f t="shared" si="11"/>
        <v>2064883.9300000002</v>
      </c>
      <c r="L11" s="1031"/>
      <c r="M11" s="1021"/>
      <c r="N11" s="1021"/>
      <c r="O11" s="1021"/>
      <c r="P11" s="1021"/>
      <c r="Q11" s="1019">
        <f t="shared" si="12"/>
        <v>0</v>
      </c>
      <c r="R11" s="1020">
        <v>640445.06999999995</v>
      </c>
      <c r="S11" s="1021">
        <v>0</v>
      </c>
      <c r="T11" s="1021">
        <v>640445.06999999995</v>
      </c>
      <c r="U11" s="1021">
        <v>0</v>
      </c>
      <c r="V11" s="1021">
        <v>1424438.86</v>
      </c>
      <c r="W11" s="1021">
        <f t="shared" si="13"/>
        <v>2705329</v>
      </c>
    </row>
    <row r="12" spans="1:23" ht="15" customHeight="1" x14ac:dyDescent="0.25">
      <c r="A12" s="719" t="s">
        <v>26</v>
      </c>
      <c r="B12" s="724" t="s">
        <v>686</v>
      </c>
      <c r="C12" s="923" t="s">
        <v>265</v>
      </c>
      <c r="D12" s="1027">
        <f t="shared" si="4"/>
        <v>157433.07</v>
      </c>
      <c r="E12" s="1027">
        <f t="shared" si="5"/>
        <v>0</v>
      </c>
      <c r="F12" s="1027">
        <f t="shared" si="6"/>
        <v>157433.07</v>
      </c>
      <c r="G12" s="1029">
        <f t="shared" si="7"/>
        <v>4599.2</v>
      </c>
      <c r="H12" s="1029">
        <f t="shared" si="8"/>
        <v>278059.86</v>
      </c>
      <c r="I12" s="1400">
        <f t="shared" si="9"/>
        <v>597525.19999999995</v>
      </c>
      <c r="J12" s="1028">
        <f t="shared" si="10"/>
        <v>282659.06</v>
      </c>
      <c r="K12" s="1400">
        <f t="shared" si="11"/>
        <v>440092.13</v>
      </c>
      <c r="L12" s="1030">
        <v>0</v>
      </c>
      <c r="M12" s="1018">
        <v>0</v>
      </c>
      <c r="N12" s="1018">
        <v>0</v>
      </c>
      <c r="O12" s="1018">
        <v>4599.2</v>
      </c>
      <c r="P12" s="1018">
        <v>0</v>
      </c>
      <c r="Q12" s="1019">
        <f t="shared" si="12"/>
        <v>4599.2</v>
      </c>
      <c r="R12" s="1020">
        <v>157433.07</v>
      </c>
      <c r="S12" s="1021">
        <v>0</v>
      </c>
      <c r="T12" s="1021">
        <v>157433.07</v>
      </c>
      <c r="U12" s="1021">
        <v>0</v>
      </c>
      <c r="V12" s="1021">
        <v>278059.86</v>
      </c>
      <c r="W12" s="1021">
        <f t="shared" si="13"/>
        <v>592926</v>
      </c>
    </row>
    <row r="13" spans="1:23" ht="15" customHeight="1" x14ac:dyDescent="0.25">
      <c r="A13" s="719" t="s">
        <v>27</v>
      </c>
      <c r="B13" s="724" t="s">
        <v>28</v>
      </c>
      <c r="C13" s="923" t="s">
        <v>265</v>
      </c>
      <c r="D13" s="1027">
        <f t="shared" si="4"/>
        <v>20558.41</v>
      </c>
      <c r="E13" s="1027">
        <f t="shared" si="5"/>
        <v>0</v>
      </c>
      <c r="F13" s="1027">
        <f t="shared" si="6"/>
        <v>20558.41</v>
      </c>
      <c r="G13" s="1029">
        <f t="shared" si="7"/>
        <v>0</v>
      </c>
      <c r="H13" s="1029">
        <f t="shared" si="8"/>
        <v>30595.18</v>
      </c>
      <c r="I13" s="1400">
        <f t="shared" si="9"/>
        <v>71712</v>
      </c>
      <c r="J13" s="1028">
        <f t="shared" si="10"/>
        <v>30595.18</v>
      </c>
      <c r="K13" s="1400">
        <f t="shared" si="11"/>
        <v>51153.59</v>
      </c>
      <c r="L13" s="1030"/>
      <c r="M13" s="1018"/>
      <c r="N13" s="1018"/>
      <c r="O13" s="1018"/>
      <c r="P13" s="1018"/>
      <c r="Q13" s="1019">
        <f t="shared" si="12"/>
        <v>0</v>
      </c>
      <c r="R13" s="1020">
        <v>20558.41</v>
      </c>
      <c r="S13" s="1021">
        <v>0</v>
      </c>
      <c r="T13" s="1021">
        <v>20558.41</v>
      </c>
      <c r="U13" s="1021">
        <v>0</v>
      </c>
      <c r="V13" s="1021">
        <v>30595.18</v>
      </c>
      <c r="W13" s="1021">
        <f t="shared" si="13"/>
        <v>71712</v>
      </c>
    </row>
    <row r="14" spans="1:23" ht="15" customHeight="1" x14ac:dyDescent="0.25">
      <c r="A14" s="719" t="s">
        <v>29</v>
      </c>
      <c r="B14" s="724" t="s">
        <v>941</v>
      </c>
      <c r="C14" s="923" t="s">
        <v>265</v>
      </c>
      <c r="D14" s="1027">
        <f t="shared" si="4"/>
        <v>45830.44</v>
      </c>
      <c r="E14" s="1027">
        <f t="shared" si="5"/>
        <v>0</v>
      </c>
      <c r="F14" s="1027">
        <f t="shared" si="6"/>
        <v>45830.44</v>
      </c>
      <c r="G14" s="1029">
        <f t="shared" si="7"/>
        <v>0</v>
      </c>
      <c r="H14" s="1029">
        <f t="shared" si="8"/>
        <v>97958.12</v>
      </c>
      <c r="I14" s="1400">
        <f t="shared" si="9"/>
        <v>189619</v>
      </c>
      <c r="J14" s="1028">
        <f t="shared" si="10"/>
        <v>97958.12</v>
      </c>
      <c r="K14" s="1400">
        <f t="shared" si="11"/>
        <v>143788.56</v>
      </c>
      <c r="L14" s="1031"/>
      <c r="M14" s="1021"/>
      <c r="N14" s="1021"/>
      <c r="O14" s="1021"/>
      <c r="P14" s="1021"/>
      <c r="Q14" s="1019">
        <f t="shared" si="12"/>
        <v>0</v>
      </c>
      <c r="R14" s="1020">
        <v>45830.44</v>
      </c>
      <c r="S14" s="1021">
        <v>0</v>
      </c>
      <c r="T14" s="1021">
        <v>45830.44</v>
      </c>
      <c r="U14" s="1021">
        <v>0</v>
      </c>
      <c r="V14" s="1021">
        <v>97958.12</v>
      </c>
      <c r="W14" s="1021">
        <f t="shared" si="13"/>
        <v>189619</v>
      </c>
    </row>
    <row r="15" spans="1:23" ht="15" customHeight="1" x14ac:dyDescent="0.25">
      <c r="A15" s="719" t="s">
        <v>30</v>
      </c>
      <c r="B15" s="724" t="s">
        <v>31</v>
      </c>
      <c r="C15" s="923" t="s">
        <v>268</v>
      </c>
      <c r="D15" s="1027">
        <f t="shared" si="4"/>
        <v>41706.85</v>
      </c>
      <c r="E15" s="1027">
        <f t="shared" si="5"/>
        <v>0</v>
      </c>
      <c r="F15" s="1027">
        <f t="shared" si="6"/>
        <v>41706.85</v>
      </c>
      <c r="G15" s="1029">
        <f t="shared" si="7"/>
        <v>0</v>
      </c>
      <c r="H15" s="1029">
        <f t="shared" si="8"/>
        <v>64660.3</v>
      </c>
      <c r="I15" s="1400">
        <f t="shared" si="9"/>
        <v>148074</v>
      </c>
      <c r="J15" s="1028">
        <f t="shared" si="10"/>
        <v>64660.3</v>
      </c>
      <c r="K15" s="1400">
        <f t="shared" si="11"/>
        <v>106367.15</v>
      </c>
      <c r="L15" s="1031"/>
      <c r="M15" s="1021"/>
      <c r="N15" s="1021"/>
      <c r="O15" s="1021"/>
      <c r="P15" s="1021"/>
      <c r="Q15" s="1019">
        <f t="shared" si="12"/>
        <v>0</v>
      </c>
      <c r="R15" s="1020">
        <v>41706.85</v>
      </c>
      <c r="S15" s="1021">
        <v>0</v>
      </c>
      <c r="T15" s="1021">
        <v>41706.85</v>
      </c>
      <c r="U15" s="1021">
        <v>0</v>
      </c>
      <c r="V15" s="1021">
        <v>64660.3</v>
      </c>
      <c r="W15" s="1021">
        <f t="shared" si="13"/>
        <v>148074</v>
      </c>
    </row>
    <row r="16" spans="1:23" ht="15" customHeight="1" x14ac:dyDescent="0.25">
      <c r="A16" s="719" t="s">
        <v>32</v>
      </c>
      <c r="B16" s="724" t="s">
        <v>33</v>
      </c>
      <c r="C16" s="923" t="s">
        <v>265</v>
      </c>
      <c r="D16" s="1027">
        <f t="shared" si="4"/>
        <v>18748.189999999999</v>
      </c>
      <c r="E16" s="1027">
        <f t="shared" si="5"/>
        <v>0</v>
      </c>
      <c r="F16" s="1027">
        <f t="shared" si="6"/>
        <v>18748.189999999999</v>
      </c>
      <c r="G16" s="1029">
        <f t="shared" si="7"/>
        <v>0</v>
      </c>
      <c r="H16" s="1029">
        <f t="shared" si="8"/>
        <v>31674.62</v>
      </c>
      <c r="I16" s="1400">
        <f t="shared" si="9"/>
        <v>69171</v>
      </c>
      <c r="J16" s="1028">
        <f t="shared" si="10"/>
        <v>31674.62</v>
      </c>
      <c r="K16" s="1400">
        <f t="shared" si="11"/>
        <v>50422.81</v>
      </c>
      <c r="L16" s="1031"/>
      <c r="M16" s="1021"/>
      <c r="N16" s="1021"/>
      <c r="O16" s="1021"/>
      <c r="P16" s="1021"/>
      <c r="Q16" s="1019">
        <f t="shared" si="12"/>
        <v>0</v>
      </c>
      <c r="R16" s="1020">
        <v>18748.189999999999</v>
      </c>
      <c r="S16" s="1021">
        <v>0</v>
      </c>
      <c r="T16" s="1021">
        <v>18748.189999999999</v>
      </c>
      <c r="U16" s="1021">
        <v>0</v>
      </c>
      <c r="V16" s="1021">
        <v>31674.62</v>
      </c>
      <c r="W16" s="1021">
        <f t="shared" si="13"/>
        <v>69171</v>
      </c>
    </row>
    <row r="17" spans="1:23" ht="15" customHeight="1" x14ac:dyDescent="0.25">
      <c r="A17" s="719" t="s">
        <v>36</v>
      </c>
      <c r="B17" s="724" t="s">
        <v>37</v>
      </c>
      <c r="C17" s="923" t="s">
        <v>264</v>
      </c>
      <c r="D17" s="1027">
        <f t="shared" si="4"/>
        <v>50018.55</v>
      </c>
      <c r="E17" s="1027">
        <f t="shared" si="5"/>
        <v>0</v>
      </c>
      <c r="F17" s="1027">
        <f t="shared" si="6"/>
        <v>50018.55</v>
      </c>
      <c r="G17" s="1029">
        <f t="shared" si="7"/>
        <v>0</v>
      </c>
      <c r="H17" s="1029">
        <f t="shared" si="8"/>
        <v>72316.899999999994</v>
      </c>
      <c r="I17" s="1400">
        <f t="shared" si="9"/>
        <v>172354</v>
      </c>
      <c r="J17" s="1028">
        <f t="shared" si="10"/>
        <v>72316.899999999994</v>
      </c>
      <c r="K17" s="1400">
        <f t="shared" si="11"/>
        <v>122335.45</v>
      </c>
      <c r="L17" s="1030"/>
      <c r="M17" s="1018"/>
      <c r="N17" s="1018"/>
      <c r="O17" s="1018"/>
      <c r="P17" s="1018"/>
      <c r="Q17" s="1019">
        <f t="shared" si="12"/>
        <v>0</v>
      </c>
      <c r="R17" s="1020">
        <v>50018.55</v>
      </c>
      <c r="S17" s="1021">
        <v>0</v>
      </c>
      <c r="T17" s="1021">
        <v>50018.55</v>
      </c>
      <c r="U17" s="1021">
        <v>0</v>
      </c>
      <c r="V17" s="1021">
        <v>72316.899999999994</v>
      </c>
      <c r="W17" s="1021">
        <f t="shared" si="13"/>
        <v>172354</v>
      </c>
    </row>
    <row r="18" spans="1:23" ht="15" customHeight="1" x14ac:dyDescent="0.25">
      <c r="A18" s="719" t="s">
        <v>38</v>
      </c>
      <c r="B18" s="724" t="s">
        <v>39</v>
      </c>
      <c r="C18" s="923" t="s">
        <v>268</v>
      </c>
      <c r="D18" s="1027">
        <f t="shared" si="4"/>
        <v>67900.45</v>
      </c>
      <c r="E18" s="1027">
        <f t="shared" si="5"/>
        <v>0</v>
      </c>
      <c r="F18" s="1027">
        <f t="shared" si="6"/>
        <v>67900.45</v>
      </c>
      <c r="G18" s="1029">
        <f t="shared" si="7"/>
        <v>0</v>
      </c>
      <c r="H18" s="1029">
        <f t="shared" si="8"/>
        <v>114161.1</v>
      </c>
      <c r="I18" s="1400">
        <f t="shared" si="9"/>
        <v>249962</v>
      </c>
      <c r="J18" s="1028">
        <f t="shared" si="10"/>
        <v>114161.1</v>
      </c>
      <c r="K18" s="1400">
        <f t="shared" si="11"/>
        <v>182061.55</v>
      </c>
      <c r="L18" s="1031"/>
      <c r="M18" s="1021"/>
      <c r="N18" s="1021"/>
      <c r="O18" s="1021"/>
      <c r="P18" s="1021"/>
      <c r="Q18" s="1019">
        <f t="shared" si="12"/>
        <v>0</v>
      </c>
      <c r="R18" s="1020">
        <v>67900.45</v>
      </c>
      <c r="S18" s="1021">
        <v>0</v>
      </c>
      <c r="T18" s="1021">
        <v>67900.45</v>
      </c>
      <c r="U18" s="1021">
        <v>0</v>
      </c>
      <c r="V18" s="1021">
        <v>114161.1</v>
      </c>
      <c r="W18" s="1021">
        <f t="shared" si="13"/>
        <v>249962</v>
      </c>
    </row>
    <row r="19" spans="1:23" ht="15" customHeight="1" x14ac:dyDescent="0.25">
      <c r="A19" s="719" t="s">
        <v>40</v>
      </c>
      <c r="B19" s="724" t="s">
        <v>41</v>
      </c>
      <c r="C19" s="923" t="s">
        <v>266</v>
      </c>
      <c r="D19" s="1027">
        <f t="shared" si="4"/>
        <v>40940.89</v>
      </c>
      <c r="E19" s="1027">
        <f t="shared" si="5"/>
        <v>0</v>
      </c>
      <c r="F19" s="1027">
        <f t="shared" si="6"/>
        <v>40940.89</v>
      </c>
      <c r="G19" s="1029">
        <f t="shared" si="7"/>
        <v>0</v>
      </c>
      <c r="H19" s="1029">
        <f t="shared" si="8"/>
        <v>66216.22</v>
      </c>
      <c r="I19" s="1400">
        <f t="shared" si="9"/>
        <v>148098</v>
      </c>
      <c r="J19" s="1028">
        <f t="shared" si="10"/>
        <v>66216.22</v>
      </c>
      <c r="K19" s="1400">
        <f t="shared" si="11"/>
        <v>107157.11</v>
      </c>
      <c r="L19" s="1031"/>
      <c r="M19" s="1021"/>
      <c r="N19" s="1021"/>
      <c r="O19" s="1021"/>
      <c r="P19" s="1021"/>
      <c r="Q19" s="1019">
        <f t="shared" si="12"/>
        <v>0</v>
      </c>
      <c r="R19" s="1020">
        <v>40940.89</v>
      </c>
      <c r="S19" s="1021">
        <v>0</v>
      </c>
      <c r="T19" s="1021">
        <v>40940.89</v>
      </c>
      <c r="U19" s="1021">
        <v>0</v>
      </c>
      <c r="V19" s="1021">
        <v>66216.22</v>
      </c>
      <c r="W19" s="1021">
        <f t="shared" si="13"/>
        <v>148098</v>
      </c>
    </row>
    <row r="20" spans="1:23" ht="15" customHeight="1" x14ac:dyDescent="0.25">
      <c r="A20" s="719" t="s">
        <v>42</v>
      </c>
      <c r="B20" s="724" t="s">
        <v>43</v>
      </c>
      <c r="C20" s="923" t="s">
        <v>265</v>
      </c>
      <c r="D20" s="1027">
        <f t="shared" si="4"/>
        <v>139529.26</v>
      </c>
      <c r="E20" s="1027">
        <f t="shared" si="5"/>
        <v>0</v>
      </c>
      <c r="F20" s="1027">
        <f t="shared" si="6"/>
        <v>139529.26</v>
      </c>
      <c r="G20" s="1029">
        <f t="shared" si="7"/>
        <v>8173.64</v>
      </c>
      <c r="H20" s="1029">
        <f t="shared" si="8"/>
        <v>226858.48</v>
      </c>
      <c r="I20" s="1400">
        <f t="shared" si="9"/>
        <v>514090.64</v>
      </c>
      <c r="J20" s="1028">
        <f t="shared" si="10"/>
        <v>235032.12000000002</v>
      </c>
      <c r="K20" s="1400">
        <f t="shared" si="11"/>
        <v>374561.38</v>
      </c>
      <c r="L20" s="1030">
        <v>0</v>
      </c>
      <c r="M20" s="1018">
        <v>0</v>
      </c>
      <c r="N20" s="1018">
        <v>0</v>
      </c>
      <c r="O20" s="1018">
        <v>8173.64</v>
      </c>
      <c r="P20" s="1018">
        <v>0</v>
      </c>
      <c r="Q20" s="1019">
        <f t="shared" si="12"/>
        <v>8173.64</v>
      </c>
      <c r="R20" s="1020">
        <v>139529.26</v>
      </c>
      <c r="S20" s="1021">
        <v>0</v>
      </c>
      <c r="T20" s="1021">
        <v>139529.26</v>
      </c>
      <c r="U20" s="1021">
        <v>0</v>
      </c>
      <c r="V20" s="1021">
        <v>226858.48</v>
      </c>
      <c r="W20" s="1021">
        <f t="shared" si="13"/>
        <v>505917</v>
      </c>
    </row>
    <row r="21" spans="1:23" ht="15" customHeight="1" x14ac:dyDescent="0.25">
      <c r="A21" s="719" t="s">
        <v>44</v>
      </c>
      <c r="B21" s="724" t="s">
        <v>45</v>
      </c>
      <c r="C21" s="923" t="s">
        <v>266</v>
      </c>
      <c r="D21" s="1027">
        <f t="shared" si="4"/>
        <v>89792.62</v>
      </c>
      <c r="E21" s="1027">
        <f t="shared" si="5"/>
        <v>0</v>
      </c>
      <c r="F21" s="1027">
        <f t="shared" si="6"/>
        <v>89792.62</v>
      </c>
      <c r="G21" s="1029">
        <f t="shared" si="7"/>
        <v>1841.78</v>
      </c>
      <c r="H21" s="1029">
        <f t="shared" si="8"/>
        <v>125339.76</v>
      </c>
      <c r="I21" s="1400">
        <f t="shared" si="9"/>
        <v>306766.77999999997</v>
      </c>
      <c r="J21" s="1028">
        <f t="shared" si="10"/>
        <v>127181.54</v>
      </c>
      <c r="K21" s="1400">
        <f t="shared" si="11"/>
        <v>216974.15999999997</v>
      </c>
      <c r="L21" s="1031">
        <v>0</v>
      </c>
      <c r="M21" s="1021">
        <v>0</v>
      </c>
      <c r="N21" s="1021">
        <v>0</v>
      </c>
      <c r="O21" s="1021">
        <v>1841.78</v>
      </c>
      <c r="P21" s="1021">
        <v>0</v>
      </c>
      <c r="Q21" s="1019">
        <f t="shared" si="12"/>
        <v>1841.78</v>
      </c>
      <c r="R21" s="1020">
        <v>89792.62</v>
      </c>
      <c r="S21" s="1021">
        <v>0</v>
      </c>
      <c r="T21" s="1021">
        <v>89792.62</v>
      </c>
      <c r="U21" s="1021">
        <v>0</v>
      </c>
      <c r="V21" s="1021">
        <v>125339.76</v>
      </c>
      <c r="W21" s="1021">
        <f t="shared" si="13"/>
        <v>304925</v>
      </c>
    </row>
    <row r="22" spans="1:23" ht="15" customHeight="1" x14ac:dyDescent="0.25">
      <c r="A22" s="719" t="s">
        <v>46</v>
      </c>
      <c r="B22" s="724" t="s">
        <v>47</v>
      </c>
      <c r="C22" s="923" t="s">
        <v>268</v>
      </c>
      <c r="D22" s="1027">
        <f t="shared" si="4"/>
        <v>56794.51</v>
      </c>
      <c r="E22" s="1027">
        <f t="shared" si="5"/>
        <v>0</v>
      </c>
      <c r="F22" s="1027">
        <f t="shared" si="6"/>
        <v>56794.51</v>
      </c>
      <c r="G22" s="1029">
        <f t="shared" si="7"/>
        <v>0</v>
      </c>
      <c r="H22" s="1029">
        <f t="shared" si="8"/>
        <v>98968.98</v>
      </c>
      <c r="I22" s="1400">
        <f t="shared" si="9"/>
        <v>212558</v>
      </c>
      <c r="J22" s="1028">
        <f t="shared" si="10"/>
        <v>98968.98</v>
      </c>
      <c r="K22" s="1400">
        <f t="shared" si="11"/>
        <v>155763.49</v>
      </c>
      <c r="L22" s="1031"/>
      <c r="M22" s="1021"/>
      <c r="N22" s="1021"/>
      <c r="O22" s="1021"/>
      <c r="P22" s="1021"/>
      <c r="Q22" s="1019">
        <f t="shared" si="12"/>
        <v>0</v>
      </c>
      <c r="R22" s="1020">
        <v>56794.51</v>
      </c>
      <c r="S22" s="1021">
        <v>0</v>
      </c>
      <c r="T22" s="1021">
        <v>56794.51</v>
      </c>
      <c r="U22" s="1021">
        <v>0</v>
      </c>
      <c r="V22" s="1021">
        <v>98968.98</v>
      </c>
      <c r="W22" s="1021">
        <f t="shared" si="13"/>
        <v>212558</v>
      </c>
    </row>
    <row r="23" spans="1:23" ht="15" customHeight="1" x14ac:dyDescent="0.25">
      <c r="A23" s="719" t="s">
        <v>48</v>
      </c>
      <c r="B23" s="724" t="s">
        <v>269</v>
      </c>
      <c r="C23" s="923" t="s">
        <v>266</v>
      </c>
      <c r="D23" s="1027">
        <f t="shared" si="4"/>
        <v>55045.7</v>
      </c>
      <c r="E23" s="1027">
        <f t="shared" si="5"/>
        <v>0</v>
      </c>
      <c r="F23" s="1027">
        <f t="shared" si="6"/>
        <v>55045.7</v>
      </c>
      <c r="G23" s="1029">
        <f t="shared" si="7"/>
        <v>0</v>
      </c>
      <c r="H23" s="1029">
        <f t="shared" si="8"/>
        <v>82054.600000000006</v>
      </c>
      <c r="I23" s="1400">
        <f t="shared" si="9"/>
        <v>192146</v>
      </c>
      <c r="J23" s="1028">
        <f t="shared" si="10"/>
        <v>82054.600000000006</v>
      </c>
      <c r="K23" s="1400">
        <f t="shared" si="11"/>
        <v>137100.29999999999</v>
      </c>
      <c r="L23" s="1031"/>
      <c r="M23" s="1021"/>
      <c r="N23" s="1021"/>
      <c r="O23" s="1021"/>
      <c r="P23" s="1021"/>
      <c r="Q23" s="1019">
        <f t="shared" si="12"/>
        <v>0</v>
      </c>
      <c r="R23" s="1020">
        <v>55045.7</v>
      </c>
      <c r="S23" s="1021">
        <v>0</v>
      </c>
      <c r="T23" s="1021">
        <v>55045.7</v>
      </c>
      <c r="U23" s="1021">
        <v>0</v>
      </c>
      <c r="V23" s="1021">
        <v>82054.600000000006</v>
      </c>
      <c r="W23" s="1021">
        <f t="shared" si="13"/>
        <v>192146</v>
      </c>
    </row>
    <row r="24" spans="1:23" ht="15" customHeight="1" x14ac:dyDescent="0.25">
      <c r="A24" s="719" t="s">
        <v>50</v>
      </c>
      <c r="B24" s="724" t="s">
        <v>51</v>
      </c>
      <c r="C24" s="923" t="s">
        <v>265</v>
      </c>
      <c r="D24" s="1027">
        <f t="shared" si="4"/>
        <v>47163.31</v>
      </c>
      <c r="E24" s="1027">
        <f t="shared" si="5"/>
        <v>0</v>
      </c>
      <c r="F24" s="1027">
        <f t="shared" si="6"/>
        <v>47163.31</v>
      </c>
      <c r="G24" s="1029">
        <f t="shared" si="7"/>
        <v>0</v>
      </c>
      <c r="H24" s="1029">
        <f t="shared" si="8"/>
        <v>65196.38</v>
      </c>
      <c r="I24" s="1400">
        <f t="shared" si="9"/>
        <v>159523</v>
      </c>
      <c r="J24" s="1028">
        <f t="shared" si="10"/>
        <v>65196.38</v>
      </c>
      <c r="K24" s="1400">
        <f t="shared" si="11"/>
        <v>112359.69</v>
      </c>
      <c r="L24" s="1031"/>
      <c r="M24" s="1021"/>
      <c r="N24" s="1021"/>
      <c r="O24" s="1021"/>
      <c r="P24" s="1021"/>
      <c r="Q24" s="1019">
        <f t="shared" si="12"/>
        <v>0</v>
      </c>
      <c r="R24" s="1020">
        <v>47163.31</v>
      </c>
      <c r="S24" s="1021">
        <v>0</v>
      </c>
      <c r="T24" s="1021">
        <v>47163.31</v>
      </c>
      <c r="U24" s="1021">
        <v>0</v>
      </c>
      <c r="V24" s="1021">
        <v>65196.38</v>
      </c>
      <c r="W24" s="1021">
        <f t="shared" si="13"/>
        <v>159523</v>
      </c>
    </row>
    <row r="25" spans="1:23" ht="15" customHeight="1" x14ac:dyDescent="0.25">
      <c r="A25" s="719" t="s">
        <v>56</v>
      </c>
      <c r="B25" s="724" t="s">
        <v>295</v>
      </c>
      <c r="C25" s="923" t="s">
        <v>266</v>
      </c>
      <c r="D25" s="1027">
        <f t="shared" si="4"/>
        <v>403832.68</v>
      </c>
      <c r="E25" s="1027">
        <f t="shared" si="5"/>
        <v>0</v>
      </c>
      <c r="F25" s="1027">
        <f t="shared" si="6"/>
        <v>403832.68</v>
      </c>
      <c r="G25" s="1029">
        <f t="shared" si="7"/>
        <v>132815.02000000002</v>
      </c>
      <c r="H25" s="1029">
        <f t="shared" si="8"/>
        <v>875042.64</v>
      </c>
      <c r="I25" s="1400">
        <f t="shared" si="9"/>
        <v>1815523.02</v>
      </c>
      <c r="J25" s="1028">
        <f t="shared" si="10"/>
        <v>1007857.66</v>
      </c>
      <c r="K25" s="1400">
        <f t="shared" si="11"/>
        <v>1411690.34</v>
      </c>
      <c r="L25" s="1030">
        <v>0</v>
      </c>
      <c r="M25" s="1018">
        <v>0</v>
      </c>
      <c r="N25" s="1018">
        <v>0</v>
      </c>
      <c r="O25" s="1018">
        <v>132815.02000000002</v>
      </c>
      <c r="P25" s="1018">
        <v>0</v>
      </c>
      <c r="Q25" s="1019">
        <f t="shared" si="12"/>
        <v>132815.02000000002</v>
      </c>
      <c r="R25" s="1020">
        <v>403832.68</v>
      </c>
      <c r="S25" s="1021">
        <v>0</v>
      </c>
      <c r="T25" s="1021">
        <v>403832.68</v>
      </c>
      <c r="U25" s="1021">
        <v>0</v>
      </c>
      <c r="V25" s="1021">
        <v>875042.64</v>
      </c>
      <c r="W25" s="1021">
        <f t="shared" si="13"/>
        <v>1682708</v>
      </c>
    </row>
    <row r="26" spans="1:23" ht="15" customHeight="1" x14ac:dyDescent="0.25">
      <c r="A26" s="719" t="s">
        <v>58</v>
      </c>
      <c r="B26" s="724" t="s">
        <v>59</v>
      </c>
      <c r="C26" s="923" t="s">
        <v>267</v>
      </c>
      <c r="D26" s="1027">
        <f t="shared" si="4"/>
        <v>43525.59</v>
      </c>
      <c r="E26" s="1027">
        <f t="shared" si="5"/>
        <v>0</v>
      </c>
      <c r="F26" s="1027">
        <f t="shared" si="6"/>
        <v>43525.59</v>
      </c>
      <c r="G26" s="1029">
        <f t="shared" si="7"/>
        <v>0</v>
      </c>
      <c r="H26" s="1029">
        <f t="shared" si="8"/>
        <v>113634.82</v>
      </c>
      <c r="I26" s="1400">
        <f t="shared" si="9"/>
        <v>200686</v>
      </c>
      <c r="J26" s="1028">
        <f t="shared" si="10"/>
        <v>113634.82</v>
      </c>
      <c r="K26" s="1400">
        <f t="shared" si="11"/>
        <v>157160.41</v>
      </c>
      <c r="L26" s="1031"/>
      <c r="M26" s="1021"/>
      <c r="N26" s="1021"/>
      <c r="O26" s="1021"/>
      <c r="P26" s="1021"/>
      <c r="Q26" s="1019">
        <f t="shared" si="12"/>
        <v>0</v>
      </c>
      <c r="R26" s="1020">
        <v>43525.59</v>
      </c>
      <c r="S26" s="1021">
        <v>0</v>
      </c>
      <c r="T26" s="1021">
        <v>43525.59</v>
      </c>
      <c r="U26" s="1021">
        <v>0</v>
      </c>
      <c r="V26" s="1021">
        <v>113634.82</v>
      </c>
      <c r="W26" s="1021">
        <f t="shared" si="13"/>
        <v>200686</v>
      </c>
    </row>
    <row r="27" spans="1:23" ht="15" customHeight="1" x14ac:dyDescent="0.25">
      <c r="A27" s="719" t="s">
        <v>60</v>
      </c>
      <c r="B27" s="724" t="s">
        <v>61</v>
      </c>
      <c r="C27" s="923" t="s">
        <v>265</v>
      </c>
      <c r="D27" s="1027">
        <f t="shared" si="4"/>
        <v>9700.6</v>
      </c>
      <c r="E27" s="1027">
        <f t="shared" si="5"/>
        <v>0</v>
      </c>
      <c r="F27" s="1027">
        <f t="shared" si="6"/>
        <v>9700.6</v>
      </c>
      <c r="G27" s="1029">
        <f t="shared" si="7"/>
        <v>0</v>
      </c>
      <c r="H27" s="1029">
        <f t="shared" si="8"/>
        <v>38000.800000000003</v>
      </c>
      <c r="I27" s="1400">
        <f t="shared" si="9"/>
        <v>57402</v>
      </c>
      <c r="J27" s="1028">
        <f t="shared" si="10"/>
        <v>38000.800000000003</v>
      </c>
      <c r="K27" s="1400">
        <f t="shared" si="11"/>
        <v>47701.4</v>
      </c>
      <c r="L27" s="1031"/>
      <c r="M27" s="1021"/>
      <c r="N27" s="1021"/>
      <c r="O27" s="1021"/>
      <c r="P27" s="1021"/>
      <c r="Q27" s="1019">
        <f t="shared" si="12"/>
        <v>0</v>
      </c>
      <c r="R27" s="1020">
        <v>9700.6</v>
      </c>
      <c r="S27" s="1021">
        <v>0</v>
      </c>
      <c r="T27" s="1021">
        <v>9700.6</v>
      </c>
      <c r="U27" s="1021">
        <v>0</v>
      </c>
      <c r="V27" s="1021">
        <v>38000.800000000003</v>
      </c>
      <c r="W27" s="1021">
        <f t="shared" si="13"/>
        <v>57402</v>
      </c>
    </row>
    <row r="28" spans="1:23" ht="15" customHeight="1" x14ac:dyDescent="0.25">
      <c r="A28" s="719" t="s">
        <v>62</v>
      </c>
      <c r="B28" s="724" t="s">
        <v>63</v>
      </c>
      <c r="C28" s="923" t="s">
        <v>267</v>
      </c>
      <c r="D28" s="1027">
        <f t="shared" si="4"/>
        <v>81799.37</v>
      </c>
      <c r="E28" s="1027">
        <f t="shared" si="5"/>
        <v>0</v>
      </c>
      <c r="F28" s="1027">
        <f t="shared" si="6"/>
        <v>81799.37</v>
      </c>
      <c r="G28" s="1029">
        <f t="shared" si="7"/>
        <v>0</v>
      </c>
      <c r="H28" s="1029">
        <f t="shared" si="8"/>
        <v>114021.26</v>
      </c>
      <c r="I28" s="1400">
        <f t="shared" si="9"/>
        <v>277620</v>
      </c>
      <c r="J28" s="1028">
        <f t="shared" si="10"/>
        <v>114021.26</v>
      </c>
      <c r="K28" s="1400">
        <f t="shared" si="11"/>
        <v>195820.63</v>
      </c>
      <c r="L28" s="1031"/>
      <c r="M28" s="1021"/>
      <c r="N28" s="1021"/>
      <c r="O28" s="1021"/>
      <c r="P28" s="1021"/>
      <c r="Q28" s="1019">
        <f t="shared" si="12"/>
        <v>0</v>
      </c>
      <c r="R28" s="1020">
        <v>81799.37</v>
      </c>
      <c r="S28" s="1021">
        <v>0</v>
      </c>
      <c r="T28" s="1021">
        <v>81799.37</v>
      </c>
      <c r="U28" s="1021">
        <v>0</v>
      </c>
      <c r="V28" s="1021">
        <v>114021.26</v>
      </c>
      <c r="W28" s="1021">
        <f t="shared" si="13"/>
        <v>277620</v>
      </c>
    </row>
    <row r="29" spans="1:23" ht="15" customHeight="1" x14ac:dyDescent="0.25">
      <c r="A29" s="719" t="s">
        <v>64</v>
      </c>
      <c r="B29" s="724" t="s">
        <v>65</v>
      </c>
      <c r="C29" s="923" t="s">
        <v>266</v>
      </c>
      <c r="D29" s="1027">
        <f t="shared" si="4"/>
        <v>19348.46</v>
      </c>
      <c r="E29" s="1027">
        <f t="shared" si="5"/>
        <v>0</v>
      </c>
      <c r="F29" s="1027">
        <f t="shared" si="6"/>
        <v>19348.46</v>
      </c>
      <c r="G29" s="1029">
        <f t="shared" si="7"/>
        <v>0</v>
      </c>
      <c r="H29" s="1029">
        <f t="shared" si="8"/>
        <v>36458.080000000002</v>
      </c>
      <c r="I29" s="1400">
        <f t="shared" si="9"/>
        <v>75155</v>
      </c>
      <c r="J29" s="1028">
        <f t="shared" si="10"/>
        <v>36458.080000000002</v>
      </c>
      <c r="K29" s="1400">
        <f t="shared" si="11"/>
        <v>55806.54</v>
      </c>
      <c r="L29" s="1031"/>
      <c r="M29" s="1021"/>
      <c r="N29" s="1021"/>
      <c r="O29" s="1021"/>
      <c r="P29" s="1021"/>
      <c r="Q29" s="1019">
        <f t="shared" si="12"/>
        <v>0</v>
      </c>
      <c r="R29" s="1020">
        <v>19348.46</v>
      </c>
      <c r="S29" s="1021">
        <v>0</v>
      </c>
      <c r="T29" s="1021">
        <v>19348.46</v>
      </c>
      <c r="U29" s="1021">
        <v>0</v>
      </c>
      <c r="V29" s="1021">
        <v>36458.080000000002</v>
      </c>
      <c r="W29" s="1021">
        <f t="shared" si="13"/>
        <v>75155</v>
      </c>
    </row>
    <row r="30" spans="1:23" ht="15" customHeight="1" x14ac:dyDescent="0.25">
      <c r="A30" s="719" t="s">
        <v>68</v>
      </c>
      <c r="B30" s="724" t="s">
        <v>69</v>
      </c>
      <c r="C30" s="923" t="s">
        <v>268</v>
      </c>
      <c r="D30" s="1027">
        <f t="shared" si="4"/>
        <v>71861.539999999994</v>
      </c>
      <c r="E30" s="1027">
        <f t="shared" si="5"/>
        <v>0</v>
      </c>
      <c r="F30" s="1027">
        <f t="shared" si="6"/>
        <v>71861.539999999994</v>
      </c>
      <c r="G30" s="1029">
        <f t="shared" si="7"/>
        <v>0</v>
      </c>
      <c r="H30" s="1029">
        <f t="shared" si="8"/>
        <v>129630.92</v>
      </c>
      <c r="I30" s="1400">
        <f t="shared" si="9"/>
        <v>273354</v>
      </c>
      <c r="J30" s="1028">
        <f t="shared" si="10"/>
        <v>129630.92</v>
      </c>
      <c r="K30" s="1400">
        <f t="shared" si="11"/>
        <v>201492.46</v>
      </c>
      <c r="L30" s="1031"/>
      <c r="M30" s="1021"/>
      <c r="N30" s="1021"/>
      <c r="O30" s="1021"/>
      <c r="P30" s="1021"/>
      <c r="Q30" s="1019">
        <f t="shared" si="12"/>
        <v>0</v>
      </c>
      <c r="R30" s="1020">
        <v>71861.539999999994</v>
      </c>
      <c r="S30" s="1021">
        <v>0</v>
      </c>
      <c r="T30" s="1021">
        <v>71861.539999999994</v>
      </c>
      <c r="U30" s="1021">
        <v>0</v>
      </c>
      <c r="V30" s="1021">
        <v>129630.92</v>
      </c>
      <c r="W30" s="1021">
        <f t="shared" si="13"/>
        <v>273354</v>
      </c>
    </row>
    <row r="31" spans="1:23" ht="15" customHeight="1" x14ac:dyDescent="0.25">
      <c r="A31" s="719" t="s">
        <v>70</v>
      </c>
      <c r="B31" s="724" t="s">
        <v>71</v>
      </c>
      <c r="C31" s="923" t="s">
        <v>264</v>
      </c>
      <c r="D31" s="1027">
        <f t="shared" si="4"/>
        <v>50260.15</v>
      </c>
      <c r="E31" s="1027">
        <f t="shared" si="5"/>
        <v>0</v>
      </c>
      <c r="F31" s="1027">
        <f t="shared" si="6"/>
        <v>50260.15</v>
      </c>
      <c r="G31" s="1029">
        <f t="shared" si="7"/>
        <v>0</v>
      </c>
      <c r="H31" s="1029">
        <f t="shared" si="8"/>
        <v>73876.7</v>
      </c>
      <c r="I31" s="1400">
        <f t="shared" si="9"/>
        <v>174397</v>
      </c>
      <c r="J31" s="1028">
        <f t="shared" si="10"/>
        <v>73876.7</v>
      </c>
      <c r="K31" s="1400">
        <f t="shared" si="11"/>
        <v>124136.85</v>
      </c>
      <c r="L31" s="1031"/>
      <c r="M31" s="1021"/>
      <c r="N31" s="1021"/>
      <c r="O31" s="1021"/>
      <c r="P31" s="1021"/>
      <c r="Q31" s="1019">
        <f t="shared" si="12"/>
        <v>0</v>
      </c>
      <c r="R31" s="1022">
        <v>50260.15</v>
      </c>
      <c r="S31" s="1018">
        <v>0</v>
      </c>
      <c r="T31" s="1018">
        <v>50260.15</v>
      </c>
      <c r="U31" s="1018">
        <v>0</v>
      </c>
      <c r="V31" s="1018">
        <v>73876.7</v>
      </c>
      <c r="W31" s="1021">
        <f t="shared" si="13"/>
        <v>174397</v>
      </c>
    </row>
    <row r="32" spans="1:23" ht="15" customHeight="1" x14ac:dyDescent="0.25">
      <c r="A32" s="719" t="s">
        <v>72</v>
      </c>
      <c r="B32" s="724" t="s">
        <v>73</v>
      </c>
      <c r="C32" s="923" t="s">
        <v>266</v>
      </c>
      <c r="D32" s="1027">
        <f t="shared" si="4"/>
        <v>14844.77</v>
      </c>
      <c r="E32" s="1027">
        <f t="shared" si="5"/>
        <v>0</v>
      </c>
      <c r="F32" s="1027">
        <f t="shared" si="6"/>
        <v>14844.77</v>
      </c>
      <c r="G32" s="1029">
        <f t="shared" si="7"/>
        <v>0</v>
      </c>
      <c r="H32" s="1029">
        <f t="shared" si="8"/>
        <v>21613.46</v>
      </c>
      <c r="I32" s="1400">
        <f t="shared" si="9"/>
        <v>51303</v>
      </c>
      <c r="J32" s="1028">
        <f t="shared" si="10"/>
        <v>21613.46</v>
      </c>
      <c r="K32" s="1400">
        <f t="shared" si="11"/>
        <v>36458.229999999996</v>
      </c>
      <c r="L32" s="1031"/>
      <c r="M32" s="1021"/>
      <c r="N32" s="1021"/>
      <c r="O32" s="1021"/>
      <c r="P32" s="1021"/>
      <c r="Q32" s="1019">
        <f t="shared" si="12"/>
        <v>0</v>
      </c>
      <c r="R32" s="1020">
        <v>14844.77</v>
      </c>
      <c r="S32" s="1021">
        <v>0</v>
      </c>
      <c r="T32" s="1021">
        <v>14844.77</v>
      </c>
      <c r="U32" s="1021">
        <v>0</v>
      </c>
      <c r="V32" s="1021">
        <v>21613.46</v>
      </c>
      <c r="W32" s="1021">
        <f t="shared" si="13"/>
        <v>51303</v>
      </c>
    </row>
    <row r="33" spans="1:23" ht="15" customHeight="1" x14ac:dyDescent="0.25">
      <c r="A33" s="719" t="s">
        <v>74</v>
      </c>
      <c r="B33" s="724" t="s">
        <v>302</v>
      </c>
      <c r="C33" s="923" t="s">
        <v>267</v>
      </c>
      <c r="D33" s="1027">
        <f t="shared" si="4"/>
        <v>1107924.27</v>
      </c>
      <c r="E33" s="1027">
        <f t="shared" si="5"/>
        <v>0</v>
      </c>
      <c r="F33" s="1027">
        <f t="shared" si="6"/>
        <v>1107924.27</v>
      </c>
      <c r="G33" s="1029">
        <f t="shared" si="7"/>
        <v>0</v>
      </c>
      <c r="H33" s="1029">
        <f t="shared" si="8"/>
        <v>2496087.02</v>
      </c>
      <c r="I33" s="1400">
        <f t="shared" si="9"/>
        <v>4711935.5600000005</v>
      </c>
      <c r="J33" s="1028">
        <f t="shared" si="10"/>
        <v>2496087.02</v>
      </c>
      <c r="K33" s="1400">
        <f t="shared" si="11"/>
        <v>3604011.29</v>
      </c>
      <c r="L33" s="1031"/>
      <c r="M33" s="1021"/>
      <c r="N33" s="1021"/>
      <c r="O33" s="1021"/>
      <c r="P33" s="1021"/>
      <c r="Q33" s="1019">
        <f t="shared" si="12"/>
        <v>0</v>
      </c>
      <c r="R33" s="1020">
        <v>1107924.27</v>
      </c>
      <c r="S33" s="1021">
        <v>0</v>
      </c>
      <c r="T33" s="1021">
        <v>1107924.27</v>
      </c>
      <c r="U33" s="1021">
        <v>0</v>
      </c>
      <c r="V33" s="1021">
        <v>2496087.02</v>
      </c>
      <c r="W33" s="1021">
        <f t="shared" si="13"/>
        <v>4711935.5600000005</v>
      </c>
    </row>
    <row r="34" spans="1:23" ht="15" customHeight="1" x14ac:dyDescent="0.25">
      <c r="A34" s="719" t="s">
        <v>76</v>
      </c>
      <c r="B34" s="724" t="s">
        <v>77</v>
      </c>
      <c r="C34" s="923" t="s">
        <v>267</v>
      </c>
      <c r="D34" s="1027">
        <f t="shared" si="4"/>
        <v>48866.68</v>
      </c>
      <c r="E34" s="1027">
        <f t="shared" si="5"/>
        <v>0</v>
      </c>
      <c r="F34" s="1027">
        <f t="shared" si="6"/>
        <v>48866.68</v>
      </c>
      <c r="G34" s="1029">
        <f t="shared" si="7"/>
        <v>310613.26</v>
      </c>
      <c r="H34" s="1029">
        <f t="shared" si="8"/>
        <v>101256.64</v>
      </c>
      <c r="I34" s="1400">
        <f t="shared" si="9"/>
        <v>509603.26</v>
      </c>
      <c r="J34" s="1028">
        <f t="shared" si="10"/>
        <v>411869.9</v>
      </c>
      <c r="K34" s="1400">
        <f t="shared" si="11"/>
        <v>460736.58</v>
      </c>
      <c r="L34" s="1030">
        <v>0</v>
      </c>
      <c r="M34" s="1018">
        <v>0</v>
      </c>
      <c r="N34" s="1018">
        <v>0</v>
      </c>
      <c r="O34" s="1018">
        <v>310613.26</v>
      </c>
      <c r="P34" s="1018">
        <v>0</v>
      </c>
      <c r="Q34" s="1019">
        <f t="shared" si="12"/>
        <v>310613.26</v>
      </c>
      <c r="R34" s="1020">
        <v>48866.68</v>
      </c>
      <c r="S34" s="1021">
        <v>0</v>
      </c>
      <c r="T34" s="1021">
        <v>48866.68</v>
      </c>
      <c r="U34" s="1021">
        <v>0</v>
      </c>
      <c r="V34" s="1021">
        <v>101256.64</v>
      </c>
      <c r="W34" s="1021">
        <f t="shared" si="13"/>
        <v>198990</v>
      </c>
    </row>
    <row r="35" spans="1:23" ht="15" customHeight="1" x14ac:dyDescent="0.25">
      <c r="A35" s="719" t="s">
        <v>78</v>
      </c>
      <c r="B35" s="724" t="s">
        <v>79</v>
      </c>
      <c r="C35" s="923" t="s">
        <v>268</v>
      </c>
      <c r="D35" s="1027">
        <f t="shared" si="4"/>
        <v>38205.980000000003</v>
      </c>
      <c r="E35" s="1027">
        <f t="shared" si="5"/>
        <v>0</v>
      </c>
      <c r="F35" s="1027">
        <f t="shared" si="6"/>
        <v>38205.980000000003</v>
      </c>
      <c r="G35" s="1029">
        <f t="shared" si="7"/>
        <v>0</v>
      </c>
      <c r="H35" s="1029">
        <f t="shared" si="8"/>
        <v>59648.04</v>
      </c>
      <c r="I35" s="1400">
        <f t="shared" si="9"/>
        <v>136060</v>
      </c>
      <c r="J35" s="1028">
        <f t="shared" si="10"/>
        <v>59648.04</v>
      </c>
      <c r="K35" s="1400">
        <f t="shared" si="11"/>
        <v>97854.02</v>
      </c>
      <c r="L35" s="1031"/>
      <c r="M35" s="1021"/>
      <c r="N35" s="1021"/>
      <c r="O35" s="1021"/>
      <c r="P35" s="1021"/>
      <c r="Q35" s="1019">
        <f t="shared" si="12"/>
        <v>0</v>
      </c>
      <c r="R35" s="1020">
        <v>38205.980000000003</v>
      </c>
      <c r="S35" s="1021">
        <v>0</v>
      </c>
      <c r="T35" s="1021">
        <v>38205.980000000003</v>
      </c>
      <c r="U35" s="1021">
        <v>0</v>
      </c>
      <c r="V35" s="1021">
        <v>59648.04</v>
      </c>
      <c r="W35" s="1021">
        <f t="shared" si="13"/>
        <v>136060</v>
      </c>
    </row>
    <row r="36" spans="1:23" ht="15" customHeight="1" x14ac:dyDescent="0.25">
      <c r="A36" s="719" t="s">
        <v>80</v>
      </c>
      <c r="B36" s="724" t="s">
        <v>81</v>
      </c>
      <c r="C36" s="923" t="s">
        <v>266</v>
      </c>
      <c r="D36" s="1027">
        <f t="shared" si="4"/>
        <v>78596.37</v>
      </c>
      <c r="E36" s="1027">
        <f t="shared" si="5"/>
        <v>0</v>
      </c>
      <c r="F36" s="1027">
        <f t="shared" si="6"/>
        <v>78596.37</v>
      </c>
      <c r="G36" s="1029">
        <f t="shared" si="7"/>
        <v>0</v>
      </c>
      <c r="H36" s="1029">
        <f t="shared" si="8"/>
        <v>198905.26</v>
      </c>
      <c r="I36" s="1400">
        <f t="shared" si="9"/>
        <v>356098</v>
      </c>
      <c r="J36" s="1028">
        <f t="shared" si="10"/>
        <v>198905.26</v>
      </c>
      <c r="K36" s="1400">
        <f t="shared" si="11"/>
        <v>277501.63</v>
      </c>
      <c r="L36" s="1031"/>
      <c r="M36" s="1021"/>
      <c r="N36" s="1021"/>
      <c r="O36" s="1021"/>
      <c r="P36" s="1021"/>
      <c r="Q36" s="1019">
        <f t="shared" si="12"/>
        <v>0</v>
      </c>
      <c r="R36" s="1020">
        <v>78596.37</v>
      </c>
      <c r="S36" s="1021">
        <v>0</v>
      </c>
      <c r="T36" s="1021">
        <v>78596.37</v>
      </c>
      <c r="U36" s="1021">
        <v>0</v>
      </c>
      <c r="V36" s="1021">
        <v>198905.26</v>
      </c>
      <c r="W36" s="1021">
        <f t="shared" si="13"/>
        <v>356098</v>
      </c>
    </row>
    <row r="37" spans="1:23" ht="15" customHeight="1" x14ac:dyDescent="0.25">
      <c r="A37" s="719" t="s">
        <v>84</v>
      </c>
      <c r="B37" s="724" t="s">
        <v>308</v>
      </c>
      <c r="C37" s="923" t="s">
        <v>265</v>
      </c>
      <c r="D37" s="1027">
        <f t="shared" si="4"/>
        <v>93208.94</v>
      </c>
      <c r="E37" s="1027">
        <f t="shared" si="5"/>
        <v>0</v>
      </c>
      <c r="F37" s="1027">
        <f t="shared" si="6"/>
        <v>93208.94</v>
      </c>
      <c r="G37" s="1029">
        <f t="shared" si="7"/>
        <v>0</v>
      </c>
      <c r="H37" s="1029">
        <f t="shared" si="8"/>
        <v>158730.12</v>
      </c>
      <c r="I37" s="1400">
        <f t="shared" si="9"/>
        <v>345148</v>
      </c>
      <c r="J37" s="1028">
        <f t="shared" si="10"/>
        <v>158730.12</v>
      </c>
      <c r="K37" s="1400">
        <f t="shared" si="11"/>
        <v>251939.06</v>
      </c>
      <c r="L37" s="1031"/>
      <c r="M37" s="1021"/>
      <c r="N37" s="1021"/>
      <c r="O37" s="1021"/>
      <c r="P37" s="1021"/>
      <c r="Q37" s="1019">
        <f t="shared" si="12"/>
        <v>0</v>
      </c>
      <c r="R37" s="1020">
        <v>93208.94</v>
      </c>
      <c r="S37" s="1021">
        <v>0</v>
      </c>
      <c r="T37" s="1021">
        <v>93208.94</v>
      </c>
      <c r="U37" s="1021">
        <v>0</v>
      </c>
      <c r="V37" s="1021">
        <v>158730.12</v>
      </c>
      <c r="W37" s="1021">
        <f t="shared" si="13"/>
        <v>345148</v>
      </c>
    </row>
    <row r="38" spans="1:23" ht="15" customHeight="1" x14ac:dyDescent="0.25">
      <c r="A38" s="719" t="s">
        <v>86</v>
      </c>
      <c r="B38" s="724" t="s">
        <v>87</v>
      </c>
      <c r="C38" s="923" t="s">
        <v>267</v>
      </c>
      <c r="D38" s="1027">
        <f t="shared" si="4"/>
        <v>75038.2</v>
      </c>
      <c r="E38" s="1027">
        <f t="shared" si="5"/>
        <v>0</v>
      </c>
      <c r="F38" s="1027">
        <f t="shared" si="6"/>
        <v>75038.2</v>
      </c>
      <c r="G38" s="1029">
        <f t="shared" si="7"/>
        <v>0</v>
      </c>
      <c r="H38" s="1029">
        <f t="shared" si="8"/>
        <v>137985.60000000001</v>
      </c>
      <c r="I38" s="1400">
        <f t="shared" si="9"/>
        <v>288062</v>
      </c>
      <c r="J38" s="1028">
        <f t="shared" si="10"/>
        <v>137985.60000000001</v>
      </c>
      <c r="K38" s="1400">
        <f t="shared" si="11"/>
        <v>213023.8</v>
      </c>
      <c r="L38" s="1031"/>
      <c r="M38" s="1021"/>
      <c r="N38" s="1021"/>
      <c r="O38" s="1021"/>
      <c r="P38" s="1021"/>
      <c r="Q38" s="1019">
        <f t="shared" si="12"/>
        <v>0</v>
      </c>
      <c r="R38" s="1020">
        <v>75038.2</v>
      </c>
      <c r="S38" s="1021">
        <v>0</v>
      </c>
      <c r="T38" s="1021">
        <v>75038.2</v>
      </c>
      <c r="U38" s="1021">
        <v>0</v>
      </c>
      <c r="V38" s="1021">
        <v>137985.60000000001</v>
      </c>
      <c r="W38" s="1021">
        <f t="shared" si="13"/>
        <v>288062</v>
      </c>
    </row>
    <row r="39" spans="1:23" ht="15" customHeight="1" x14ac:dyDescent="0.25">
      <c r="A39" s="719" t="s">
        <v>92</v>
      </c>
      <c r="B39" s="724" t="s">
        <v>93</v>
      </c>
      <c r="C39" s="923" t="s">
        <v>268</v>
      </c>
      <c r="D39" s="1027">
        <f t="shared" si="4"/>
        <v>25616.48</v>
      </c>
      <c r="E39" s="1027">
        <f t="shared" si="5"/>
        <v>0</v>
      </c>
      <c r="F39" s="1027">
        <f t="shared" si="6"/>
        <v>25616.48</v>
      </c>
      <c r="G39" s="1029">
        <f t="shared" si="7"/>
        <v>0</v>
      </c>
      <c r="H39" s="1029">
        <f t="shared" si="8"/>
        <v>44020.04</v>
      </c>
      <c r="I39" s="1400">
        <f t="shared" si="9"/>
        <v>95253</v>
      </c>
      <c r="J39" s="1028">
        <f t="shared" si="10"/>
        <v>44020.04</v>
      </c>
      <c r="K39" s="1400">
        <f t="shared" si="11"/>
        <v>69636.52</v>
      </c>
      <c r="L39" s="1031"/>
      <c r="M39" s="1021"/>
      <c r="N39" s="1021"/>
      <c r="O39" s="1021"/>
      <c r="P39" s="1021"/>
      <c r="Q39" s="1019">
        <f t="shared" si="12"/>
        <v>0</v>
      </c>
      <c r="R39" s="1020">
        <v>25616.48</v>
      </c>
      <c r="S39" s="1021">
        <v>0</v>
      </c>
      <c r="T39" s="1021">
        <v>25616.48</v>
      </c>
      <c r="U39" s="1021">
        <v>0</v>
      </c>
      <c r="V39" s="1021">
        <v>44020.04</v>
      </c>
      <c r="W39" s="1021">
        <f t="shared" si="13"/>
        <v>95253</v>
      </c>
    </row>
    <row r="40" spans="1:23" ht="15" customHeight="1" x14ac:dyDescent="0.25">
      <c r="A40" s="719" t="s">
        <v>94</v>
      </c>
      <c r="B40" s="724" t="s">
        <v>95</v>
      </c>
      <c r="C40" s="923" t="s">
        <v>264</v>
      </c>
      <c r="D40" s="1027">
        <f t="shared" si="4"/>
        <v>90236.34</v>
      </c>
      <c r="E40" s="1027">
        <f t="shared" si="5"/>
        <v>0</v>
      </c>
      <c r="F40" s="1027">
        <f t="shared" si="6"/>
        <v>90236.34</v>
      </c>
      <c r="G40" s="1029">
        <f t="shared" si="7"/>
        <v>2179.5100000000002</v>
      </c>
      <c r="H40" s="1029">
        <f t="shared" si="8"/>
        <v>171909.32</v>
      </c>
      <c r="I40" s="1400">
        <f t="shared" si="9"/>
        <v>354561.51</v>
      </c>
      <c r="J40" s="1028">
        <f t="shared" si="10"/>
        <v>174088.83000000002</v>
      </c>
      <c r="K40" s="1400">
        <f t="shared" si="11"/>
        <v>264325.17000000004</v>
      </c>
      <c r="L40" s="1030">
        <v>0</v>
      </c>
      <c r="M40" s="1018">
        <v>0</v>
      </c>
      <c r="N40" s="1018">
        <v>0</v>
      </c>
      <c r="O40" s="1018">
        <v>2179.5100000000002</v>
      </c>
      <c r="P40" s="1018">
        <v>0</v>
      </c>
      <c r="Q40" s="1019">
        <f t="shared" si="12"/>
        <v>2179.5100000000002</v>
      </c>
      <c r="R40" s="1020">
        <v>90236.34</v>
      </c>
      <c r="S40" s="1021">
        <v>0</v>
      </c>
      <c r="T40" s="1021">
        <v>90236.34</v>
      </c>
      <c r="U40" s="1021">
        <v>0</v>
      </c>
      <c r="V40" s="1021">
        <v>171909.32</v>
      </c>
      <c r="W40" s="1021">
        <f t="shared" si="13"/>
        <v>352382</v>
      </c>
    </row>
    <row r="41" spans="1:23" ht="15" customHeight="1" x14ac:dyDescent="0.25">
      <c r="A41" s="719" t="s">
        <v>96</v>
      </c>
      <c r="B41" s="724" t="s">
        <v>97</v>
      </c>
      <c r="C41" s="923" t="s">
        <v>266</v>
      </c>
      <c r="D41" s="1027">
        <f t="shared" si="4"/>
        <v>65853.87</v>
      </c>
      <c r="E41" s="1027">
        <f t="shared" si="5"/>
        <v>0</v>
      </c>
      <c r="F41" s="1027">
        <f t="shared" si="6"/>
        <v>65853.87</v>
      </c>
      <c r="G41" s="1029">
        <f t="shared" si="7"/>
        <v>0</v>
      </c>
      <c r="H41" s="1029">
        <f t="shared" si="8"/>
        <v>144742.26</v>
      </c>
      <c r="I41" s="1400">
        <f t="shared" si="9"/>
        <v>276450</v>
      </c>
      <c r="J41" s="1028">
        <f t="shared" si="10"/>
        <v>144742.26</v>
      </c>
      <c r="K41" s="1400">
        <f t="shared" si="11"/>
        <v>210596.13</v>
      </c>
      <c r="L41" s="1030"/>
      <c r="M41" s="1018"/>
      <c r="N41" s="1018"/>
      <c r="O41" s="1018"/>
      <c r="P41" s="1018"/>
      <c r="Q41" s="1019">
        <f t="shared" si="12"/>
        <v>0</v>
      </c>
      <c r="R41" s="1020">
        <v>65853.87</v>
      </c>
      <c r="S41" s="1021">
        <v>0</v>
      </c>
      <c r="T41" s="1021">
        <v>65853.87</v>
      </c>
      <c r="U41" s="1021">
        <v>0</v>
      </c>
      <c r="V41" s="1021">
        <v>144742.26</v>
      </c>
      <c r="W41" s="1021">
        <f t="shared" si="13"/>
        <v>276450</v>
      </c>
    </row>
    <row r="42" spans="1:23" ht="15" customHeight="1" x14ac:dyDescent="0.25">
      <c r="A42" s="719" t="s">
        <v>98</v>
      </c>
      <c r="B42" s="724" t="s">
        <v>99</v>
      </c>
      <c r="C42" s="923" t="s">
        <v>268</v>
      </c>
      <c r="D42" s="1027">
        <f t="shared" si="4"/>
        <v>46039.93</v>
      </c>
      <c r="E42" s="1027">
        <f t="shared" si="5"/>
        <v>0</v>
      </c>
      <c r="F42" s="1027">
        <f t="shared" si="6"/>
        <v>46039.93</v>
      </c>
      <c r="G42" s="1029">
        <f t="shared" si="7"/>
        <v>0</v>
      </c>
      <c r="H42" s="1029">
        <f t="shared" si="8"/>
        <v>76892.14</v>
      </c>
      <c r="I42" s="1400">
        <f t="shared" si="9"/>
        <v>168972</v>
      </c>
      <c r="J42" s="1028">
        <f t="shared" si="10"/>
        <v>76892.14</v>
      </c>
      <c r="K42" s="1400">
        <f t="shared" si="11"/>
        <v>122932.07</v>
      </c>
      <c r="L42" s="1031"/>
      <c r="M42" s="1021"/>
      <c r="N42" s="1021"/>
      <c r="O42" s="1021"/>
      <c r="P42" s="1021"/>
      <c r="Q42" s="1019">
        <f t="shared" si="12"/>
        <v>0</v>
      </c>
      <c r="R42" s="1020">
        <v>46039.93</v>
      </c>
      <c r="S42" s="1021">
        <v>0</v>
      </c>
      <c r="T42" s="1021">
        <v>46039.93</v>
      </c>
      <c r="U42" s="1021">
        <v>0</v>
      </c>
      <c r="V42" s="1021">
        <v>76892.14</v>
      </c>
      <c r="W42" s="1021">
        <f t="shared" si="13"/>
        <v>168972</v>
      </c>
    </row>
    <row r="43" spans="1:23" ht="15" customHeight="1" x14ac:dyDescent="0.25">
      <c r="A43" s="719" t="s">
        <v>100</v>
      </c>
      <c r="B43" s="724" t="s">
        <v>101</v>
      </c>
      <c r="C43" s="923" t="s">
        <v>267</v>
      </c>
      <c r="D43" s="1027">
        <f t="shared" si="4"/>
        <v>29742.38</v>
      </c>
      <c r="E43" s="1027">
        <f t="shared" si="5"/>
        <v>0</v>
      </c>
      <c r="F43" s="1027">
        <f t="shared" si="6"/>
        <v>29742.38</v>
      </c>
      <c r="G43" s="1029">
        <f t="shared" si="7"/>
        <v>0</v>
      </c>
      <c r="H43" s="1029">
        <f t="shared" si="8"/>
        <v>65665.240000000005</v>
      </c>
      <c r="I43" s="1400">
        <f t="shared" si="9"/>
        <v>125150</v>
      </c>
      <c r="J43" s="1028">
        <f t="shared" si="10"/>
        <v>65665.240000000005</v>
      </c>
      <c r="K43" s="1400">
        <f t="shared" si="11"/>
        <v>95407.62000000001</v>
      </c>
      <c r="L43" s="1030"/>
      <c r="M43" s="1018"/>
      <c r="N43" s="1018"/>
      <c r="O43" s="1018"/>
      <c r="P43" s="1018"/>
      <c r="Q43" s="1019">
        <f t="shared" si="12"/>
        <v>0</v>
      </c>
      <c r="R43" s="1020">
        <v>29742.38</v>
      </c>
      <c r="S43" s="1021">
        <v>0</v>
      </c>
      <c r="T43" s="1021">
        <v>29742.38</v>
      </c>
      <c r="U43" s="1021">
        <v>0</v>
      </c>
      <c r="V43" s="1021">
        <v>65665.240000000005</v>
      </c>
      <c r="W43" s="1021">
        <f t="shared" si="13"/>
        <v>125150</v>
      </c>
    </row>
    <row r="44" spans="1:23" ht="15" customHeight="1" x14ac:dyDescent="0.25">
      <c r="A44" s="719" t="s">
        <v>102</v>
      </c>
      <c r="B44" s="724" t="s">
        <v>103</v>
      </c>
      <c r="C44" s="923" t="s">
        <v>264</v>
      </c>
      <c r="D44" s="1027">
        <f t="shared" si="4"/>
        <v>48704.99</v>
      </c>
      <c r="E44" s="1027">
        <f t="shared" si="5"/>
        <v>0</v>
      </c>
      <c r="F44" s="1027">
        <f t="shared" si="6"/>
        <v>48704.99</v>
      </c>
      <c r="G44" s="1029">
        <f t="shared" si="7"/>
        <v>0</v>
      </c>
      <c r="H44" s="1029">
        <f t="shared" si="8"/>
        <v>71757.02</v>
      </c>
      <c r="I44" s="1400">
        <f t="shared" si="9"/>
        <v>169167</v>
      </c>
      <c r="J44" s="1028">
        <f t="shared" si="10"/>
        <v>71757.02</v>
      </c>
      <c r="K44" s="1400">
        <f t="shared" si="11"/>
        <v>120462.01000000001</v>
      </c>
      <c r="L44" s="1031"/>
      <c r="M44" s="1021"/>
      <c r="N44" s="1021"/>
      <c r="O44" s="1021"/>
      <c r="P44" s="1021"/>
      <c r="Q44" s="1019">
        <f t="shared" si="12"/>
        <v>0</v>
      </c>
      <c r="R44" s="1020">
        <v>48704.99</v>
      </c>
      <c r="S44" s="1021">
        <v>0</v>
      </c>
      <c r="T44" s="1021">
        <v>48704.99</v>
      </c>
      <c r="U44" s="1021">
        <v>0</v>
      </c>
      <c r="V44" s="1021">
        <v>71757.02</v>
      </c>
      <c r="W44" s="1021">
        <f t="shared" si="13"/>
        <v>169167</v>
      </c>
    </row>
    <row r="45" spans="1:23" ht="15" customHeight="1" x14ac:dyDescent="0.25">
      <c r="A45" s="719" t="s">
        <v>104</v>
      </c>
      <c r="B45" s="724" t="s">
        <v>309</v>
      </c>
      <c r="C45" s="923" t="s">
        <v>265</v>
      </c>
      <c r="D45" s="1027">
        <f t="shared" si="4"/>
        <v>111806.32</v>
      </c>
      <c r="E45" s="1027">
        <f t="shared" si="5"/>
        <v>0</v>
      </c>
      <c r="F45" s="1027">
        <f t="shared" si="6"/>
        <v>111806.32</v>
      </c>
      <c r="G45" s="1029">
        <f t="shared" si="7"/>
        <v>0</v>
      </c>
      <c r="H45" s="1029">
        <f t="shared" si="8"/>
        <v>192819.36</v>
      </c>
      <c r="I45" s="1400">
        <f t="shared" si="9"/>
        <v>416432</v>
      </c>
      <c r="J45" s="1028">
        <f t="shared" si="10"/>
        <v>192819.36</v>
      </c>
      <c r="K45" s="1400">
        <f t="shared" si="11"/>
        <v>304625.68</v>
      </c>
      <c r="L45" s="1031"/>
      <c r="M45" s="1021"/>
      <c r="N45" s="1021"/>
      <c r="O45" s="1021"/>
      <c r="P45" s="1021"/>
      <c r="Q45" s="1019">
        <f t="shared" si="12"/>
        <v>0</v>
      </c>
      <c r="R45" s="1020">
        <v>111806.32</v>
      </c>
      <c r="S45" s="1021">
        <v>0</v>
      </c>
      <c r="T45" s="1021">
        <v>111806.32</v>
      </c>
      <c r="U45" s="1021">
        <v>0</v>
      </c>
      <c r="V45" s="1021">
        <v>192819.36</v>
      </c>
      <c r="W45" s="1021">
        <f t="shared" si="13"/>
        <v>416432</v>
      </c>
    </row>
    <row r="46" spans="1:23" ht="15" customHeight="1" x14ac:dyDescent="0.25">
      <c r="A46" s="719" t="s">
        <v>108</v>
      </c>
      <c r="B46" s="724" t="s">
        <v>109</v>
      </c>
      <c r="C46" s="923" t="s">
        <v>266</v>
      </c>
      <c r="D46" s="1027">
        <f t="shared" si="4"/>
        <v>173732.11</v>
      </c>
      <c r="E46" s="1027">
        <f t="shared" si="5"/>
        <v>0</v>
      </c>
      <c r="F46" s="1027">
        <f t="shared" si="6"/>
        <v>173732.11</v>
      </c>
      <c r="G46" s="1029">
        <f t="shared" si="7"/>
        <v>0</v>
      </c>
      <c r="H46" s="1029">
        <f t="shared" si="8"/>
        <v>267403.78000000003</v>
      </c>
      <c r="I46" s="1400">
        <f t="shared" si="9"/>
        <v>614868</v>
      </c>
      <c r="J46" s="1028">
        <f t="shared" si="10"/>
        <v>267403.78000000003</v>
      </c>
      <c r="K46" s="1400">
        <f t="shared" si="11"/>
        <v>441135.89</v>
      </c>
      <c r="L46" s="1031"/>
      <c r="M46" s="1021"/>
      <c r="N46" s="1021"/>
      <c r="O46" s="1021"/>
      <c r="P46" s="1021"/>
      <c r="Q46" s="1019">
        <f t="shared" si="12"/>
        <v>0</v>
      </c>
      <c r="R46" s="1020">
        <v>173732.11</v>
      </c>
      <c r="S46" s="1021">
        <v>0</v>
      </c>
      <c r="T46" s="1021">
        <v>173732.11</v>
      </c>
      <c r="U46" s="1021">
        <v>0</v>
      </c>
      <c r="V46" s="1021">
        <v>267403.78000000003</v>
      </c>
      <c r="W46" s="1021">
        <f t="shared" si="13"/>
        <v>614868</v>
      </c>
    </row>
    <row r="47" spans="1:23" ht="15" customHeight="1" x14ac:dyDescent="0.25">
      <c r="A47" s="719" t="s">
        <v>110</v>
      </c>
      <c r="B47" s="724" t="s">
        <v>111</v>
      </c>
      <c r="C47" s="923" t="s">
        <v>266</v>
      </c>
      <c r="D47" s="1027">
        <f t="shared" si="4"/>
        <v>396838.18</v>
      </c>
      <c r="E47" s="1027">
        <f t="shared" si="5"/>
        <v>0</v>
      </c>
      <c r="F47" s="1027">
        <f t="shared" si="6"/>
        <v>396838.18</v>
      </c>
      <c r="G47" s="1029">
        <f t="shared" si="7"/>
        <v>50837.08</v>
      </c>
      <c r="H47" s="1029">
        <f t="shared" si="8"/>
        <v>730981.64</v>
      </c>
      <c r="I47" s="1400">
        <f t="shared" si="9"/>
        <v>1575495.08</v>
      </c>
      <c r="J47" s="1028">
        <f t="shared" si="10"/>
        <v>781818.72</v>
      </c>
      <c r="K47" s="1400">
        <f t="shared" si="11"/>
        <v>1178656.8999999999</v>
      </c>
      <c r="L47" s="1030">
        <v>0</v>
      </c>
      <c r="M47" s="1018">
        <v>0</v>
      </c>
      <c r="N47" s="1018">
        <v>0</v>
      </c>
      <c r="O47" s="1018">
        <v>50837.08</v>
      </c>
      <c r="P47" s="1018">
        <v>0</v>
      </c>
      <c r="Q47" s="1019">
        <f t="shared" si="12"/>
        <v>50837.08</v>
      </c>
      <c r="R47" s="1020">
        <v>396838.18</v>
      </c>
      <c r="S47" s="1021">
        <v>0</v>
      </c>
      <c r="T47" s="1021">
        <v>396838.18</v>
      </c>
      <c r="U47" s="1021">
        <v>0</v>
      </c>
      <c r="V47" s="1021">
        <v>730981.64</v>
      </c>
      <c r="W47" s="1021">
        <f t="shared" si="13"/>
        <v>1524658</v>
      </c>
    </row>
    <row r="48" spans="1:23" ht="15" customHeight="1" x14ac:dyDescent="0.25">
      <c r="A48" s="719" t="s">
        <v>112</v>
      </c>
      <c r="B48" s="724" t="s">
        <v>300</v>
      </c>
      <c r="C48" s="923" t="s">
        <v>265</v>
      </c>
      <c r="D48" s="1027">
        <f t="shared" si="4"/>
        <v>27212.15</v>
      </c>
      <c r="E48" s="1027">
        <f t="shared" si="5"/>
        <v>0</v>
      </c>
      <c r="F48" s="1027">
        <f t="shared" si="6"/>
        <v>27212.15</v>
      </c>
      <c r="G48" s="1029">
        <f t="shared" si="7"/>
        <v>45561.31</v>
      </c>
      <c r="H48" s="1029">
        <f t="shared" si="8"/>
        <v>44078.7</v>
      </c>
      <c r="I48" s="1400">
        <f t="shared" si="9"/>
        <v>144064.31</v>
      </c>
      <c r="J48" s="1028">
        <f t="shared" si="10"/>
        <v>89640.01</v>
      </c>
      <c r="K48" s="1400">
        <f t="shared" si="11"/>
        <v>116852.16</v>
      </c>
      <c r="L48" s="1030">
        <v>0</v>
      </c>
      <c r="M48" s="1018">
        <v>0</v>
      </c>
      <c r="N48" s="1018">
        <v>0</v>
      </c>
      <c r="O48" s="1018">
        <v>45561.31</v>
      </c>
      <c r="P48" s="1018">
        <v>0</v>
      </c>
      <c r="Q48" s="1019">
        <f t="shared" si="12"/>
        <v>45561.31</v>
      </c>
      <c r="R48" s="1020">
        <v>27212.15</v>
      </c>
      <c r="S48" s="1021">
        <v>0</v>
      </c>
      <c r="T48" s="1021">
        <v>27212.15</v>
      </c>
      <c r="U48" s="1021">
        <v>0</v>
      </c>
      <c r="V48" s="1021">
        <v>44078.7</v>
      </c>
      <c r="W48" s="1021">
        <f t="shared" si="13"/>
        <v>98503</v>
      </c>
    </row>
    <row r="49" spans="1:23" ht="15" customHeight="1" x14ac:dyDescent="0.25">
      <c r="A49" s="719" t="s">
        <v>114</v>
      </c>
      <c r="B49" s="724" t="s">
        <v>115</v>
      </c>
      <c r="C49" s="923" t="s">
        <v>265</v>
      </c>
      <c r="D49" s="1027">
        <f t="shared" si="4"/>
        <v>34364.31</v>
      </c>
      <c r="E49" s="1027">
        <f t="shared" si="5"/>
        <v>0</v>
      </c>
      <c r="F49" s="1027">
        <f t="shared" si="6"/>
        <v>34364.31</v>
      </c>
      <c r="G49" s="1029">
        <f t="shared" si="7"/>
        <v>0</v>
      </c>
      <c r="H49" s="1029">
        <f t="shared" si="8"/>
        <v>33294.379999999997</v>
      </c>
      <c r="I49" s="1400">
        <f t="shared" si="9"/>
        <v>102023</v>
      </c>
      <c r="J49" s="1028">
        <f t="shared" si="10"/>
        <v>33294.379999999997</v>
      </c>
      <c r="K49" s="1400">
        <f t="shared" si="11"/>
        <v>67658.69</v>
      </c>
      <c r="L49" s="1030"/>
      <c r="M49" s="1018"/>
      <c r="N49" s="1018"/>
      <c r="O49" s="1018"/>
      <c r="P49" s="1018"/>
      <c r="Q49" s="1019">
        <f t="shared" si="12"/>
        <v>0</v>
      </c>
      <c r="R49" s="1020">
        <v>34364.31</v>
      </c>
      <c r="S49" s="1021">
        <v>0</v>
      </c>
      <c r="T49" s="1021">
        <v>34364.31</v>
      </c>
      <c r="U49" s="1021">
        <v>0</v>
      </c>
      <c r="V49" s="1021">
        <v>33294.379999999997</v>
      </c>
      <c r="W49" s="1021">
        <f t="shared" si="13"/>
        <v>102023</v>
      </c>
    </row>
    <row r="50" spans="1:23" ht="15" customHeight="1" x14ac:dyDescent="0.25">
      <c r="A50" s="719" t="s">
        <v>118</v>
      </c>
      <c r="B50" s="724" t="s">
        <v>119</v>
      </c>
      <c r="C50" s="923" t="s">
        <v>264</v>
      </c>
      <c r="D50" s="1027">
        <f t="shared" si="4"/>
        <v>74829.990000000005</v>
      </c>
      <c r="E50" s="1027">
        <f t="shared" si="5"/>
        <v>0</v>
      </c>
      <c r="F50" s="1027">
        <f t="shared" si="6"/>
        <v>74829.990000000005</v>
      </c>
      <c r="G50" s="1029">
        <f t="shared" si="7"/>
        <v>0</v>
      </c>
      <c r="H50" s="1029">
        <f t="shared" si="8"/>
        <v>165306.01999999999</v>
      </c>
      <c r="I50" s="1400">
        <f t="shared" si="9"/>
        <v>314966</v>
      </c>
      <c r="J50" s="1028">
        <f t="shared" si="10"/>
        <v>165306.01999999999</v>
      </c>
      <c r="K50" s="1400">
        <f t="shared" si="11"/>
        <v>240136.01</v>
      </c>
      <c r="L50" s="1031"/>
      <c r="M50" s="1021"/>
      <c r="N50" s="1021"/>
      <c r="O50" s="1021"/>
      <c r="P50" s="1021"/>
      <c r="Q50" s="1019">
        <f t="shared" si="12"/>
        <v>0</v>
      </c>
      <c r="R50" s="1020">
        <v>74829.990000000005</v>
      </c>
      <c r="S50" s="1021">
        <v>0</v>
      </c>
      <c r="T50" s="1021">
        <v>74829.990000000005</v>
      </c>
      <c r="U50" s="1021">
        <v>0</v>
      </c>
      <c r="V50" s="1021">
        <v>165306.01999999999</v>
      </c>
      <c r="W50" s="1021">
        <f t="shared" si="13"/>
        <v>314966</v>
      </c>
    </row>
    <row r="51" spans="1:23" ht="15" customHeight="1" x14ac:dyDescent="0.25">
      <c r="A51" s="719" t="s">
        <v>120</v>
      </c>
      <c r="B51" s="724" t="s">
        <v>121</v>
      </c>
      <c r="C51" s="923" t="s">
        <v>264</v>
      </c>
      <c r="D51" s="1027">
        <f t="shared" si="4"/>
        <v>117328.46</v>
      </c>
      <c r="E51" s="1027">
        <f t="shared" si="5"/>
        <v>0</v>
      </c>
      <c r="F51" s="1027">
        <f t="shared" si="6"/>
        <v>117328.46</v>
      </c>
      <c r="G51" s="1029">
        <f t="shared" si="7"/>
        <v>20890.29</v>
      </c>
      <c r="H51" s="1029">
        <f t="shared" si="8"/>
        <v>255904.08</v>
      </c>
      <c r="I51" s="1400">
        <f t="shared" si="9"/>
        <v>511451.29000000004</v>
      </c>
      <c r="J51" s="1028">
        <f t="shared" si="10"/>
        <v>276794.37</v>
      </c>
      <c r="K51" s="1400">
        <f t="shared" si="11"/>
        <v>394122.83</v>
      </c>
      <c r="L51" s="1030">
        <v>0</v>
      </c>
      <c r="M51" s="1018">
        <v>0</v>
      </c>
      <c r="N51" s="1018">
        <v>0</v>
      </c>
      <c r="O51" s="1018">
        <v>20890.29</v>
      </c>
      <c r="P51" s="1018">
        <v>0</v>
      </c>
      <c r="Q51" s="1019">
        <f t="shared" si="12"/>
        <v>20890.29</v>
      </c>
      <c r="R51" s="1020">
        <v>117328.46</v>
      </c>
      <c r="S51" s="1021">
        <v>0</v>
      </c>
      <c r="T51" s="1021">
        <v>117328.46</v>
      </c>
      <c r="U51" s="1021">
        <v>0</v>
      </c>
      <c r="V51" s="1021">
        <v>255904.08</v>
      </c>
      <c r="W51" s="1021">
        <f t="shared" si="13"/>
        <v>490561</v>
      </c>
    </row>
    <row r="52" spans="1:23" ht="15" customHeight="1" x14ac:dyDescent="0.25">
      <c r="A52" s="719" t="s">
        <v>122</v>
      </c>
      <c r="B52" s="724" t="s">
        <v>271</v>
      </c>
      <c r="C52" s="923" t="s">
        <v>266</v>
      </c>
      <c r="D52" s="1027">
        <f t="shared" si="4"/>
        <v>41751.54</v>
      </c>
      <c r="E52" s="1027">
        <f t="shared" si="5"/>
        <v>0</v>
      </c>
      <c r="F52" s="1027">
        <f t="shared" si="6"/>
        <v>41751.54</v>
      </c>
      <c r="G52" s="1029">
        <f t="shared" si="7"/>
        <v>0</v>
      </c>
      <c r="H52" s="1029">
        <f t="shared" si="8"/>
        <v>59932.92</v>
      </c>
      <c r="I52" s="1400">
        <f t="shared" si="9"/>
        <v>143436</v>
      </c>
      <c r="J52" s="1028">
        <f t="shared" si="10"/>
        <v>59932.92</v>
      </c>
      <c r="K52" s="1400">
        <f t="shared" si="11"/>
        <v>101684.45999999999</v>
      </c>
      <c r="L52" s="1031"/>
      <c r="M52" s="1021"/>
      <c r="N52" s="1021"/>
      <c r="O52" s="1021"/>
      <c r="P52" s="1021"/>
      <c r="Q52" s="1019">
        <f t="shared" si="12"/>
        <v>0</v>
      </c>
      <c r="R52" s="1020">
        <v>41751.54</v>
      </c>
      <c r="S52" s="1021">
        <v>0</v>
      </c>
      <c r="T52" s="1021">
        <v>41751.54</v>
      </c>
      <c r="U52" s="1021">
        <v>0</v>
      </c>
      <c r="V52" s="1021">
        <v>59932.92</v>
      </c>
      <c r="W52" s="1021">
        <f t="shared" si="13"/>
        <v>143436</v>
      </c>
    </row>
    <row r="53" spans="1:23" ht="15" customHeight="1" x14ac:dyDescent="0.25">
      <c r="A53" s="719" t="s">
        <v>124</v>
      </c>
      <c r="B53" s="724" t="s">
        <v>125</v>
      </c>
      <c r="C53" s="923" t="s">
        <v>267</v>
      </c>
      <c r="D53" s="1027">
        <f t="shared" si="4"/>
        <v>23003.89</v>
      </c>
      <c r="E53" s="1027">
        <f t="shared" si="5"/>
        <v>0</v>
      </c>
      <c r="F53" s="1027">
        <f t="shared" si="6"/>
        <v>23003.89</v>
      </c>
      <c r="G53" s="1029">
        <f t="shared" si="7"/>
        <v>0</v>
      </c>
      <c r="H53" s="1029">
        <f t="shared" si="8"/>
        <v>45824.22</v>
      </c>
      <c r="I53" s="1400">
        <f t="shared" si="9"/>
        <v>91832</v>
      </c>
      <c r="J53" s="1028">
        <f t="shared" si="10"/>
        <v>45824.22</v>
      </c>
      <c r="K53" s="1400">
        <f t="shared" si="11"/>
        <v>68828.11</v>
      </c>
      <c r="L53" s="1030"/>
      <c r="M53" s="1018"/>
      <c r="N53" s="1018"/>
      <c r="O53" s="1018"/>
      <c r="P53" s="1018"/>
      <c r="Q53" s="1019">
        <f t="shared" si="12"/>
        <v>0</v>
      </c>
      <c r="R53" s="1020">
        <v>23003.89</v>
      </c>
      <c r="S53" s="1021">
        <v>0</v>
      </c>
      <c r="T53" s="1021">
        <v>23003.89</v>
      </c>
      <c r="U53" s="1021">
        <v>0</v>
      </c>
      <c r="V53" s="1021">
        <v>45824.22</v>
      </c>
      <c r="W53" s="1021">
        <f t="shared" si="13"/>
        <v>91832</v>
      </c>
    </row>
    <row r="54" spans="1:23" ht="15" customHeight="1" x14ac:dyDescent="0.25">
      <c r="A54" s="719" t="s">
        <v>126</v>
      </c>
      <c r="B54" s="724" t="s">
        <v>127</v>
      </c>
      <c r="C54" s="923" t="s">
        <v>266</v>
      </c>
      <c r="D54" s="1027">
        <f t="shared" si="4"/>
        <v>39730.949999999997</v>
      </c>
      <c r="E54" s="1027">
        <f t="shared" si="5"/>
        <v>0</v>
      </c>
      <c r="F54" s="1027">
        <f t="shared" si="6"/>
        <v>39730.949999999997</v>
      </c>
      <c r="G54" s="1029">
        <f t="shared" si="7"/>
        <v>0</v>
      </c>
      <c r="H54" s="1029">
        <f t="shared" si="8"/>
        <v>61284.1</v>
      </c>
      <c r="I54" s="1400">
        <f t="shared" si="9"/>
        <v>140746</v>
      </c>
      <c r="J54" s="1028">
        <f t="shared" si="10"/>
        <v>61284.1</v>
      </c>
      <c r="K54" s="1400">
        <f t="shared" si="11"/>
        <v>101015.04999999999</v>
      </c>
      <c r="L54" s="1030"/>
      <c r="M54" s="1018"/>
      <c r="N54" s="1018"/>
      <c r="O54" s="1018"/>
      <c r="P54" s="1018"/>
      <c r="Q54" s="1019">
        <f t="shared" si="12"/>
        <v>0</v>
      </c>
      <c r="R54" s="1020">
        <v>39730.949999999997</v>
      </c>
      <c r="S54" s="1021">
        <v>0</v>
      </c>
      <c r="T54" s="1021">
        <v>39730.949999999997</v>
      </c>
      <c r="U54" s="1021">
        <v>0</v>
      </c>
      <c r="V54" s="1021">
        <v>61284.1</v>
      </c>
      <c r="W54" s="1021">
        <f t="shared" si="13"/>
        <v>140746</v>
      </c>
    </row>
    <row r="55" spans="1:23" ht="15" customHeight="1" x14ac:dyDescent="0.25">
      <c r="A55" s="719" t="s">
        <v>128</v>
      </c>
      <c r="B55" s="724" t="s">
        <v>129</v>
      </c>
      <c r="C55" s="923" t="s">
        <v>266</v>
      </c>
      <c r="D55" s="1027">
        <f t="shared" si="4"/>
        <v>26668.85</v>
      </c>
      <c r="E55" s="1027">
        <f t="shared" si="5"/>
        <v>0</v>
      </c>
      <c r="F55" s="1027">
        <f t="shared" si="6"/>
        <v>26668.85</v>
      </c>
      <c r="G55" s="1029">
        <f t="shared" si="7"/>
        <v>84.15</v>
      </c>
      <c r="H55" s="1029">
        <f t="shared" si="8"/>
        <v>39754.300000000003</v>
      </c>
      <c r="I55" s="1400">
        <f t="shared" si="9"/>
        <v>93176.15</v>
      </c>
      <c r="J55" s="1028">
        <f t="shared" si="10"/>
        <v>39838.450000000004</v>
      </c>
      <c r="K55" s="1400">
        <f t="shared" si="11"/>
        <v>66507.3</v>
      </c>
      <c r="L55" s="1030">
        <v>0</v>
      </c>
      <c r="M55" s="1018">
        <v>0</v>
      </c>
      <c r="N55" s="1018">
        <v>0</v>
      </c>
      <c r="O55" s="1018">
        <v>84.15</v>
      </c>
      <c r="P55" s="1018">
        <v>0</v>
      </c>
      <c r="Q55" s="1019">
        <f t="shared" si="12"/>
        <v>84.15</v>
      </c>
      <c r="R55" s="1020">
        <v>26668.85</v>
      </c>
      <c r="S55" s="1021">
        <v>0</v>
      </c>
      <c r="T55" s="1021">
        <v>26668.85</v>
      </c>
      <c r="U55" s="1021">
        <v>0</v>
      </c>
      <c r="V55" s="1021">
        <v>39754.300000000003</v>
      </c>
      <c r="W55" s="1021">
        <f t="shared" si="13"/>
        <v>93092</v>
      </c>
    </row>
    <row r="56" spans="1:23" ht="15" customHeight="1" x14ac:dyDescent="0.25">
      <c r="A56" s="719" t="s">
        <v>130</v>
      </c>
      <c r="B56" s="724" t="s">
        <v>131</v>
      </c>
      <c r="C56" s="923" t="s">
        <v>268</v>
      </c>
      <c r="D56" s="1027">
        <f t="shared" si="4"/>
        <v>58159.360000000001</v>
      </c>
      <c r="E56" s="1027">
        <f t="shared" si="5"/>
        <v>0</v>
      </c>
      <c r="F56" s="1027">
        <f t="shared" si="6"/>
        <v>58159.360000000001</v>
      </c>
      <c r="G56" s="1029">
        <f t="shared" si="7"/>
        <v>0</v>
      </c>
      <c r="H56" s="1029">
        <f t="shared" si="8"/>
        <v>97765.28</v>
      </c>
      <c r="I56" s="1400">
        <f t="shared" si="9"/>
        <v>214084</v>
      </c>
      <c r="J56" s="1028">
        <f t="shared" si="10"/>
        <v>97765.28</v>
      </c>
      <c r="K56" s="1400">
        <f t="shared" si="11"/>
        <v>155924.64000000001</v>
      </c>
      <c r="L56" s="1031"/>
      <c r="M56" s="1021"/>
      <c r="N56" s="1021"/>
      <c r="O56" s="1021"/>
      <c r="P56" s="1021"/>
      <c r="Q56" s="1019">
        <f t="shared" si="12"/>
        <v>0</v>
      </c>
      <c r="R56" s="1020">
        <v>58159.360000000001</v>
      </c>
      <c r="S56" s="1021">
        <v>0</v>
      </c>
      <c r="T56" s="1021">
        <v>58159.360000000001</v>
      </c>
      <c r="U56" s="1021">
        <v>0</v>
      </c>
      <c r="V56" s="1021">
        <v>97765.28</v>
      </c>
      <c r="W56" s="1021">
        <f t="shared" si="13"/>
        <v>214084</v>
      </c>
    </row>
    <row r="57" spans="1:23" ht="15" customHeight="1" x14ac:dyDescent="0.25">
      <c r="A57" s="719" t="s">
        <v>132</v>
      </c>
      <c r="B57" s="724" t="s">
        <v>133</v>
      </c>
      <c r="C57" s="923" t="s">
        <v>267</v>
      </c>
      <c r="D57" s="1027">
        <f t="shared" si="4"/>
        <v>421829.04</v>
      </c>
      <c r="E57" s="1027">
        <f t="shared" si="5"/>
        <v>0</v>
      </c>
      <c r="F57" s="1027">
        <f t="shared" si="6"/>
        <v>421829.04</v>
      </c>
      <c r="G57" s="1029">
        <f t="shared" si="7"/>
        <v>0</v>
      </c>
      <c r="H57" s="1029">
        <f t="shared" si="8"/>
        <v>1471040.92</v>
      </c>
      <c r="I57" s="1400">
        <f t="shared" si="9"/>
        <v>2314699</v>
      </c>
      <c r="J57" s="1028">
        <f t="shared" si="10"/>
        <v>1471040.92</v>
      </c>
      <c r="K57" s="1400">
        <f t="shared" si="11"/>
        <v>1892869.96</v>
      </c>
      <c r="L57" s="1031"/>
      <c r="M57" s="1021"/>
      <c r="N57" s="1021"/>
      <c r="O57" s="1021"/>
      <c r="P57" s="1021"/>
      <c r="Q57" s="1019">
        <f t="shared" si="12"/>
        <v>0</v>
      </c>
      <c r="R57" s="1020">
        <v>421829.04</v>
      </c>
      <c r="S57" s="1021">
        <v>0</v>
      </c>
      <c r="T57" s="1021">
        <v>421829.04</v>
      </c>
      <c r="U57" s="1021">
        <v>0</v>
      </c>
      <c r="V57" s="1021">
        <v>1471040.92</v>
      </c>
      <c r="W57" s="1021">
        <f t="shared" si="13"/>
        <v>2314699</v>
      </c>
    </row>
    <row r="58" spans="1:23" ht="15" customHeight="1" x14ac:dyDescent="0.25">
      <c r="A58" s="719" t="s">
        <v>134</v>
      </c>
      <c r="B58" s="724" t="s">
        <v>135</v>
      </c>
      <c r="C58" s="923" t="s">
        <v>267</v>
      </c>
      <c r="D58" s="1027">
        <f t="shared" si="4"/>
        <v>78771.039999999994</v>
      </c>
      <c r="E58" s="1027">
        <f t="shared" si="5"/>
        <v>0</v>
      </c>
      <c r="F58" s="1027">
        <f t="shared" si="6"/>
        <v>78771.039999999994</v>
      </c>
      <c r="G58" s="1029">
        <f t="shared" si="7"/>
        <v>0</v>
      </c>
      <c r="H58" s="1029">
        <f t="shared" si="8"/>
        <v>135157.92000000001</v>
      </c>
      <c r="I58" s="1400">
        <f t="shared" si="9"/>
        <v>292700</v>
      </c>
      <c r="J58" s="1028">
        <f t="shared" si="10"/>
        <v>135157.92000000001</v>
      </c>
      <c r="K58" s="1400">
        <f t="shared" si="11"/>
        <v>213928.96000000002</v>
      </c>
      <c r="L58" s="1030"/>
      <c r="M58" s="1018"/>
      <c r="N58" s="1018"/>
      <c r="O58" s="1018"/>
      <c r="P58" s="1018"/>
      <c r="Q58" s="1019">
        <f t="shared" si="12"/>
        <v>0</v>
      </c>
      <c r="R58" s="1020">
        <v>78771.039999999994</v>
      </c>
      <c r="S58" s="1021">
        <v>0</v>
      </c>
      <c r="T58" s="1021">
        <v>78771.039999999994</v>
      </c>
      <c r="U58" s="1021">
        <v>0</v>
      </c>
      <c r="V58" s="1021">
        <v>135157.92000000001</v>
      </c>
      <c r="W58" s="1021">
        <f t="shared" si="13"/>
        <v>292700</v>
      </c>
    </row>
    <row r="59" spans="1:23" ht="15" customHeight="1" x14ac:dyDescent="0.25">
      <c r="A59" s="719" t="s">
        <v>136</v>
      </c>
      <c r="B59" s="724" t="s">
        <v>137</v>
      </c>
      <c r="C59" s="923" t="s">
        <v>266</v>
      </c>
      <c r="D59" s="1027">
        <f t="shared" si="4"/>
        <v>32443.87</v>
      </c>
      <c r="E59" s="1027">
        <f t="shared" si="5"/>
        <v>0</v>
      </c>
      <c r="F59" s="1027">
        <f t="shared" si="6"/>
        <v>32443.87</v>
      </c>
      <c r="G59" s="1029">
        <f t="shared" si="7"/>
        <v>0</v>
      </c>
      <c r="H59" s="1029">
        <f t="shared" si="8"/>
        <v>48071.26</v>
      </c>
      <c r="I59" s="1400">
        <f t="shared" si="9"/>
        <v>112959</v>
      </c>
      <c r="J59" s="1028">
        <f t="shared" si="10"/>
        <v>48071.26</v>
      </c>
      <c r="K59" s="1400">
        <f t="shared" si="11"/>
        <v>80515.13</v>
      </c>
      <c r="L59" s="1031"/>
      <c r="M59" s="1021"/>
      <c r="N59" s="1021"/>
      <c r="O59" s="1021"/>
      <c r="P59" s="1021"/>
      <c r="Q59" s="1019">
        <f t="shared" si="12"/>
        <v>0</v>
      </c>
      <c r="R59" s="1020">
        <v>32443.87</v>
      </c>
      <c r="S59" s="1021">
        <v>0</v>
      </c>
      <c r="T59" s="1021">
        <v>32443.87</v>
      </c>
      <c r="U59" s="1021">
        <v>0</v>
      </c>
      <c r="V59" s="1021">
        <v>48071.26</v>
      </c>
      <c r="W59" s="1021">
        <f t="shared" si="13"/>
        <v>112959</v>
      </c>
    </row>
    <row r="60" spans="1:23" ht="15" customHeight="1" x14ac:dyDescent="0.25">
      <c r="A60" s="719" t="s">
        <v>140</v>
      </c>
      <c r="B60" s="724" t="s">
        <v>141</v>
      </c>
      <c r="C60" s="923" t="s">
        <v>267</v>
      </c>
      <c r="D60" s="1027">
        <f t="shared" si="4"/>
        <v>32022.12</v>
      </c>
      <c r="E60" s="1027">
        <f t="shared" si="5"/>
        <v>0</v>
      </c>
      <c r="F60" s="1027">
        <f t="shared" si="6"/>
        <v>32022.12</v>
      </c>
      <c r="G60" s="1029">
        <f t="shared" si="7"/>
        <v>0</v>
      </c>
      <c r="H60" s="1029">
        <f t="shared" si="8"/>
        <v>54525.760000000002</v>
      </c>
      <c r="I60" s="1400">
        <f t="shared" si="9"/>
        <v>118570</v>
      </c>
      <c r="J60" s="1028">
        <f t="shared" si="10"/>
        <v>54525.760000000002</v>
      </c>
      <c r="K60" s="1400">
        <f t="shared" si="11"/>
        <v>86547.88</v>
      </c>
      <c r="L60" s="1031"/>
      <c r="M60" s="1021"/>
      <c r="N60" s="1021"/>
      <c r="O60" s="1021"/>
      <c r="P60" s="1021"/>
      <c r="Q60" s="1019">
        <f t="shared" si="12"/>
        <v>0</v>
      </c>
      <c r="R60" s="1020">
        <v>32022.12</v>
      </c>
      <c r="S60" s="1021">
        <v>0</v>
      </c>
      <c r="T60" s="1021">
        <v>32022.12</v>
      </c>
      <c r="U60" s="1021">
        <v>0</v>
      </c>
      <c r="V60" s="1021">
        <v>54525.760000000002</v>
      </c>
      <c r="W60" s="1021">
        <f t="shared" si="13"/>
        <v>118570</v>
      </c>
    </row>
    <row r="61" spans="1:23" ht="15" customHeight="1" x14ac:dyDescent="0.25">
      <c r="A61" s="719" t="s">
        <v>146</v>
      </c>
      <c r="B61" s="724" t="s">
        <v>147</v>
      </c>
      <c r="C61" s="923" t="s">
        <v>264</v>
      </c>
      <c r="D61" s="1027">
        <f t="shared" si="4"/>
        <v>33281.410000000003</v>
      </c>
      <c r="E61" s="1027">
        <f t="shared" si="5"/>
        <v>0</v>
      </c>
      <c r="F61" s="1027">
        <f t="shared" si="6"/>
        <v>33281.410000000003</v>
      </c>
      <c r="G61" s="1029">
        <f t="shared" si="7"/>
        <v>0</v>
      </c>
      <c r="H61" s="1029">
        <f t="shared" si="8"/>
        <v>46305.18</v>
      </c>
      <c r="I61" s="1400">
        <f t="shared" si="9"/>
        <v>112868</v>
      </c>
      <c r="J61" s="1028">
        <f t="shared" si="10"/>
        <v>46305.18</v>
      </c>
      <c r="K61" s="1400">
        <f t="shared" si="11"/>
        <v>79586.59</v>
      </c>
      <c r="L61" s="1030"/>
      <c r="M61" s="1018"/>
      <c r="N61" s="1018"/>
      <c r="O61" s="1018"/>
      <c r="P61" s="1018"/>
      <c r="Q61" s="1019">
        <f t="shared" si="12"/>
        <v>0</v>
      </c>
      <c r="R61" s="1020">
        <v>33281.410000000003</v>
      </c>
      <c r="S61" s="1021">
        <v>0</v>
      </c>
      <c r="T61" s="1021">
        <v>33281.410000000003</v>
      </c>
      <c r="U61" s="1021">
        <v>0</v>
      </c>
      <c r="V61" s="1021">
        <v>46305.18</v>
      </c>
      <c r="W61" s="1021">
        <f t="shared" si="13"/>
        <v>112868</v>
      </c>
    </row>
    <row r="62" spans="1:23" ht="15" customHeight="1" x14ac:dyDescent="0.25">
      <c r="A62" s="719" t="s">
        <v>148</v>
      </c>
      <c r="B62" s="724" t="s">
        <v>149</v>
      </c>
      <c r="C62" s="923" t="s">
        <v>265</v>
      </c>
      <c r="D62" s="1027">
        <f t="shared" si="4"/>
        <v>109152.55</v>
      </c>
      <c r="E62" s="1027">
        <f t="shared" si="5"/>
        <v>0</v>
      </c>
      <c r="F62" s="1027">
        <f t="shared" si="6"/>
        <v>109152.55</v>
      </c>
      <c r="G62" s="1029">
        <f t="shared" si="7"/>
        <v>0</v>
      </c>
      <c r="H62" s="1029">
        <f t="shared" si="8"/>
        <v>147623.9</v>
      </c>
      <c r="I62" s="1400">
        <f t="shared" si="9"/>
        <v>365929</v>
      </c>
      <c r="J62" s="1028">
        <f t="shared" si="10"/>
        <v>147623.9</v>
      </c>
      <c r="K62" s="1400">
        <f t="shared" si="11"/>
        <v>256776.45</v>
      </c>
      <c r="L62" s="1031"/>
      <c r="M62" s="1021"/>
      <c r="N62" s="1021"/>
      <c r="O62" s="1021"/>
      <c r="P62" s="1021"/>
      <c r="Q62" s="1019">
        <f t="shared" si="12"/>
        <v>0</v>
      </c>
      <c r="R62" s="1020">
        <v>109152.55</v>
      </c>
      <c r="S62" s="1021">
        <v>0</v>
      </c>
      <c r="T62" s="1021">
        <v>109152.55</v>
      </c>
      <c r="U62" s="1021">
        <v>0</v>
      </c>
      <c r="V62" s="1021">
        <v>147623.9</v>
      </c>
      <c r="W62" s="1021">
        <f t="shared" si="13"/>
        <v>365929</v>
      </c>
    </row>
    <row r="63" spans="1:23" ht="15" customHeight="1" x14ac:dyDescent="0.25">
      <c r="A63" s="719" t="s">
        <v>150</v>
      </c>
      <c r="B63" s="724" t="s">
        <v>151</v>
      </c>
      <c r="C63" s="923" t="s">
        <v>266</v>
      </c>
      <c r="D63" s="1027">
        <f t="shared" si="4"/>
        <v>27597.58</v>
      </c>
      <c r="E63" s="1027">
        <f t="shared" si="5"/>
        <v>0</v>
      </c>
      <c r="F63" s="1027">
        <f t="shared" si="6"/>
        <v>27597.58</v>
      </c>
      <c r="G63" s="1029">
        <f t="shared" si="7"/>
        <v>0</v>
      </c>
      <c r="H63" s="1029">
        <f t="shared" si="8"/>
        <v>50809.84</v>
      </c>
      <c r="I63" s="1400">
        <f t="shared" si="9"/>
        <v>106005</v>
      </c>
      <c r="J63" s="1028">
        <f t="shared" si="10"/>
        <v>50809.84</v>
      </c>
      <c r="K63" s="1400">
        <f t="shared" si="11"/>
        <v>78407.42</v>
      </c>
      <c r="L63" s="1031"/>
      <c r="M63" s="1021"/>
      <c r="N63" s="1021"/>
      <c r="O63" s="1021"/>
      <c r="P63" s="1021"/>
      <c r="Q63" s="1019">
        <f t="shared" si="12"/>
        <v>0</v>
      </c>
      <c r="R63" s="1020">
        <v>27597.58</v>
      </c>
      <c r="S63" s="1021">
        <v>0</v>
      </c>
      <c r="T63" s="1021">
        <v>27597.58</v>
      </c>
      <c r="U63" s="1021">
        <v>0</v>
      </c>
      <c r="V63" s="1021">
        <v>50809.84</v>
      </c>
      <c r="W63" s="1021">
        <f t="shared" si="13"/>
        <v>106005</v>
      </c>
    </row>
    <row r="64" spans="1:23" ht="15" customHeight="1" x14ac:dyDescent="0.25">
      <c r="A64" s="719" t="s">
        <v>152</v>
      </c>
      <c r="B64" s="724" t="s">
        <v>153</v>
      </c>
      <c r="C64" s="923" t="s">
        <v>268</v>
      </c>
      <c r="D64" s="1027">
        <f t="shared" si="4"/>
        <v>136052.41</v>
      </c>
      <c r="E64" s="1027">
        <f t="shared" si="5"/>
        <v>0</v>
      </c>
      <c r="F64" s="1027">
        <f t="shared" si="6"/>
        <v>136052.41</v>
      </c>
      <c r="G64" s="1029">
        <f t="shared" si="7"/>
        <v>1533.62</v>
      </c>
      <c r="H64" s="1029">
        <f t="shared" si="8"/>
        <v>210150.18</v>
      </c>
      <c r="I64" s="1400">
        <f t="shared" si="9"/>
        <v>483788.62</v>
      </c>
      <c r="J64" s="1028">
        <f t="shared" si="10"/>
        <v>211683.8</v>
      </c>
      <c r="K64" s="1400">
        <f t="shared" si="11"/>
        <v>347736.20999999996</v>
      </c>
      <c r="L64" s="1031">
        <v>0</v>
      </c>
      <c r="M64" s="1021">
        <v>0</v>
      </c>
      <c r="N64" s="1021">
        <v>0</v>
      </c>
      <c r="O64" s="1021">
        <v>1533.62</v>
      </c>
      <c r="P64" s="1021">
        <v>0</v>
      </c>
      <c r="Q64" s="1019">
        <f t="shared" si="12"/>
        <v>1533.62</v>
      </c>
      <c r="R64" s="1020">
        <v>136052.41</v>
      </c>
      <c r="S64" s="1021">
        <v>0</v>
      </c>
      <c r="T64" s="1021">
        <v>136052.41</v>
      </c>
      <c r="U64" s="1021">
        <v>0</v>
      </c>
      <c r="V64" s="1021">
        <v>210150.18</v>
      </c>
      <c r="W64" s="1021">
        <f t="shared" si="13"/>
        <v>482255</v>
      </c>
    </row>
    <row r="65" spans="1:23" ht="15" customHeight="1" x14ac:dyDescent="0.25">
      <c r="A65" s="719" t="s">
        <v>154</v>
      </c>
      <c r="B65" s="724" t="s">
        <v>155</v>
      </c>
      <c r="C65" s="923" t="s">
        <v>265</v>
      </c>
      <c r="D65" s="1027">
        <f t="shared" si="4"/>
        <v>0</v>
      </c>
      <c r="E65" s="1027">
        <f t="shared" si="5"/>
        <v>0</v>
      </c>
      <c r="F65" s="1027">
        <f t="shared" si="6"/>
        <v>0</v>
      </c>
      <c r="G65" s="1029">
        <f t="shared" si="7"/>
        <v>0</v>
      </c>
      <c r="H65" s="1029">
        <f t="shared" si="8"/>
        <v>0</v>
      </c>
      <c r="I65" s="1400">
        <f t="shared" si="9"/>
        <v>0</v>
      </c>
      <c r="J65" s="1028">
        <f t="shared" si="10"/>
        <v>0</v>
      </c>
      <c r="K65" s="1400">
        <f t="shared" si="11"/>
        <v>0</v>
      </c>
      <c r="L65" s="1031"/>
      <c r="M65" s="1021"/>
      <c r="N65" s="1021"/>
      <c r="O65" s="1021"/>
      <c r="P65" s="1021"/>
      <c r="Q65" s="1019">
        <f t="shared" si="12"/>
        <v>0</v>
      </c>
      <c r="R65" s="1020">
        <v>0</v>
      </c>
      <c r="S65" s="1021">
        <v>0</v>
      </c>
      <c r="T65" s="1021">
        <v>0</v>
      </c>
      <c r="U65" s="1021">
        <v>0</v>
      </c>
      <c r="V65" s="1021">
        <v>0</v>
      </c>
      <c r="W65" s="1021">
        <f t="shared" si="13"/>
        <v>0</v>
      </c>
    </row>
    <row r="66" spans="1:23" ht="15" customHeight="1" x14ac:dyDescent="0.25">
      <c r="A66" s="719" t="s">
        <v>156</v>
      </c>
      <c r="B66" s="724" t="s">
        <v>157</v>
      </c>
      <c r="C66" s="923" t="s">
        <v>266</v>
      </c>
      <c r="D66" s="1027">
        <f t="shared" si="4"/>
        <v>45355.02</v>
      </c>
      <c r="E66" s="1027">
        <f t="shared" si="5"/>
        <v>0</v>
      </c>
      <c r="F66" s="1027">
        <f t="shared" si="6"/>
        <v>45355.02</v>
      </c>
      <c r="G66" s="1029">
        <f t="shared" si="7"/>
        <v>16185.23</v>
      </c>
      <c r="H66" s="1029">
        <f t="shared" si="8"/>
        <v>60287.96</v>
      </c>
      <c r="I66" s="1400">
        <f t="shared" si="9"/>
        <v>167183.22999999998</v>
      </c>
      <c r="J66" s="1028">
        <f t="shared" si="10"/>
        <v>76473.19</v>
      </c>
      <c r="K66" s="1400">
        <f t="shared" si="11"/>
        <v>121828.20999999999</v>
      </c>
      <c r="L66" s="1030">
        <v>0</v>
      </c>
      <c r="M66" s="1018">
        <v>0</v>
      </c>
      <c r="N66" s="1018">
        <v>0</v>
      </c>
      <c r="O66" s="1018">
        <v>16185.23</v>
      </c>
      <c r="P66" s="1018">
        <v>0</v>
      </c>
      <c r="Q66" s="1019">
        <f t="shared" si="12"/>
        <v>16185.23</v>
      </c>
      <c r="R66" s="1020">
        <v>45355.02</v>
      </c>
      <c r="S66" s="1021">
        <v>0</v>
      </c>
      <c r="T66" s="1021">
        <v>45355.02</v>
      </c>
      <c r="U66" s="1021">
        <v>0</v>
      </c>
      <c r="V66" s="1021">
        <v>60287.96</v>
      </c>
      <c r="W66" s="1021">
        <f t="shared" si="13"/>
        <v>150998</v>
      </c>
    </row>
    <row r="67" spans="1:23" ht="15" customHeight="1" x14ac:dyDescent="0.25">
      <c r="A67" s="719" t="s">
        <v>162</v>
      </c>
      <c r="B67" s="724" t="s">
        <v>163</v>
      </c>
      <c r="C67" s="923" t="s">
        <v>264</v>
      </c>
      <c r="D67" s="1027">
        <f t="shared" si="4"/>
        <v>76869.179999999993</v>
      </c>
      <c r="E67" s="1027">
        <f t="shared" si="5"/>
        <v>0</v>
      </c>
      <c r="F67" s="1027">
        <f t="shared" si="6"/>
        <v>76869.179999999993</v>
      </c>
      <c r="G67" s="1029">
        <f t="shared" si="7"/>
        <v>0</v>
      </c>
      <c r="H67" s="1029">
        <f t="shared" si="8"/>
        <v>118696.64</v>
      </c>
      <c r="I67" s="1400">
        <f t="shared" si="9"/>
        <v>272435</v>
      </c>
      <c r="J67" s="1028">
        <f t="shared" si="10"/>
        <v>118696.64</v>
      </c>
      <c r="K67" s="1400">
        <f t="shared" si="11"/>
        <v>195565.82</v>
      </c>
      <c r="L67" s="1031"/>
      <c r="M67" s="1021"/>
      <c r="N67" s="1021"/>
      <c r="O67" s="1021"/>
      <c r="P67" s="1021"/>
      <c r="Q67" s="1019">
        <f t="shared" si="12"/>
        <v>0</v>
      </c>
      <c r="R67" s="1020">
        <v>76869.179999999993</v>
      </c>
      <c r="S67" s="1021">
        <v>0</v>
      </c>
      <c r="T67" s="1021">
        <v>76869.179999999993</v>
      </c>
      <c r="U67" s="1021">
        <v>0</v>
      </c>
      <c r="V67" s="1021">
        <v>118696.64</v>
      </c>
      <c r="W67" s="1021">
        <f t="shared" si="13"/>
        <v>272435</v>
      </c>
    </row>
    <row r="68" spans="1:23" ht="15" customHeight="1" x14ac:dyDescent="0.25">
      <c r="A68" s="719" t="s">
        <v>164</v>
      </c>
      <c r="B68" s="724" t="s">
        <v>165</v>
      </c>
      <c r="C68" s="923" t="s">
        <v>266</v>
      </c>
      <c r="D68" s="1027">
        <f t="shared" si="4"/>
        <v>17049.259999999998</v>
      </c>
      <c r="E68" s="1027">
        <f t="shared" si="5"/>
        <v>0</v>
      </c>
      <c r="F68" s="1027">
        <f t="shared" si="6"/>
        <v>17049.259999999998</v>
      </c>
      <c r="G68" s="1029">
        <f t="shared" si="7"/>
        <v>0</v>
      </c>
      <c r="H68" s="1029">
        <f t="shared" si="8"/>
        <v>36798.480000000003</v>
      </c>
      <c r="I68" s="1400">
        <f t="shared" si="9"/>
        <v>70897</v>
      </c>
      <c r="J68" s="1028">
        <f t="shared" si="10"/>
        <v>36798.480000000003</v>
      </c>
      <c r="K68" s="1400">
        <f t="shared" si="11"/>
        <v>53847.740000000005</v>
      </c>
      <c r="L68" s="1031"/>
      <c r="M68" s="1021"/>
      <c r="N68" s="1021"/>
      <c r="O68" s="1021"/>
      <c r="P68" s="1021"/>
      <c r="Q68" s="1019">
        <f t="shared" si="12"/>
        <v>0</v>
      </c>
      <c r="R68" s="1020">
        <v>17049.259999999998</v>
      </c>
      <c r="S68" s="1021">
        <v>0</v>
      </c>
      <c r="T68" s="1021">
        <v>17049.259999999998</v>
      </c>
      <c r="U68" s="1021">
        <v>0</v>
      </c>
      <c r="V68" s="1021">
        <v>36798.480000000003</v>
      </c>
      <c r="W68" s="1021">
        <f t="shared" si="13"/>
        <v>70897</v>
      </c>
    </row>
    <row r="69" spans="1:23" ht="15" customHeight="1" x14ac:dyDescent="0.25">
      <c r="A69" s="719" t="s">
        <v>168</v>
      </c>
      <c r="B69" s="724" t="s">
        <v>169</v>
      </c>
      <c r="C69" s="923" t="s">
        <v>266</v>
      </c>
      <c r="D69" s="1027">
        <f t="shared" si="4"/>
        <v>30443.65</v>
      </c>
      <c r="E69" s="1027">
        <f t="shared" si="5"/>
        <v>0</v>
      </c>
      <c r="F69" s="1027">
        <f t="shared" si="6"/>
        <v>30443.65</v>
      </c>
      <c r="G69" s="1029">
        <f t="shared" si="7"/>
        <v>0</v>
      </c>
      <c r="H69" s="1029">
        <f t="shared" si="8"/>
        <v>36869.699999999997</v>
      </c>
      <c r="I69" s="1400">
        <f t="shared" si="9"/>
        <v>97757</v>
      </c>
      <c r="J69" s="1028">
        <f t="shared" si="10"/>
        <v>36869.699999999997</v>
      </c>
      <c r="K69" s="1400">
        <f t="shared" si="11"/>
        <v>67313.350000000006</v>
      </c>
      <c r="L69" s="1031"/>
      <c r="M69" s="1021"/>
      <c r="N69" s="1021"/>
      <c r="O69" s="1021"/>
      <c r="P69" s="1021"/>
      <c r="Q69" s="1019">
        <f t="shared" si="12"/>
        <v>0</v>
      </c>
      <c r="R69" s="1020">
        <v>30443.65</v>
      </c>
      <c r="S69" s="1021">
        <v>0</v>
      </c>
      <c r="T69" s="1021">
        <v>30443.65</v>
      </c>
      <c r="U69" s="1021">
        <v>0</v>
      </c>
      <c r="V69" s="1021">
        <v>36869.699999999997</v>
      </c>
      <c r="W69" s="1021">
        <f t="shared" si="13"/>
        <v>97757</v>
      </c>
    </row>
    <row r="70" spans="1:23" ht="15" customHeight="1" x14ac:dyDescent="0.25">
      <c r="A70" s="719" t="s">
        <v>170</v>
      </c>
      <c r="B70" s="724" t="s">
        <v>171</v>
      </c>
      <c r="C70" s="923" t="s">
        <v>267</v>
      </c>
      <c r="D70" s="1027">
        <f t="shared" ref="D70:D124" si="14">L70+R70</f>
        <v>18995.57</v>
      </c>
      <c r="E70" s="1027">
        <f t="shared" ref="E70:E124" si="15">M70+S70</f>
        <v>0</v>
      </c>
      <c r="F70" s="1027">
        <f t="shared" ref="F70:F124" si="16">N70+T70</f>
        <v>18995.57</v>
      </c>
      <c r="G70" s="1029">
        <f t="shared" ref="G70:G124" si="17">O70+U70</f>
        <v>0</v>
      </c>
      <c r="H70" s="1029">
        <f t="shared" ref="H70:H124" si="18">P70+V70</f>
        <v>26771.86</v>
      </c>
      <c r="I70" s="1400">
        <f t="shared" ref="I70:I124" si="19">SUM(D70:H70)</f>
        <v>64763</v>
      </c>
      <c r="J70" s="1028">
        <f t="shared" ref="J70:J124" si="20">G70+H70</f>
        <v>26771.86</v>
      </c>
      <c r="K70" s="1400">
        <f t="shared" ref="K70:K124" si="21">F70+J70</f>
        <v>45767.43</v>
      </c>
      <c r="L70" s="1031"/>
      <c r="M70" s="1021"/>
      <c r="N70" s="1021"/>
      <c r="O70" s="1021"/>
      <c r="P70" s="1021"/>
      <c r="Q70" s="1019">
        <f t="shared" ref="Q70:Q124" si="22">SUM(L70:P70)</f>
        <v>0</v>
      </c>
      <c r="R70" s="1020">
        <v>18995.57</v>
      </c>
      <c r="S70" s="1021">
        <v>0</v>
      </c>
      <c r="T70" s="1021">
        <v>18995.57</v>
      </c>
      <c r="U70" s="1021">
        <v>0</v>
      </c>
      <c r="V70" s="1021">
        <v>26771.86</v>
      </c>
      <c r="W70" s="1021">
        <f t="shared" ref="W70:W124" si="23">SUM(R70:V70)</f>
        <v>64763</v>
      </c>
    </row>
    <row r="71" spans="1:23" ht="15" customHeight="1" x14ac:dyDescent="0.25">
      <c r="A71" s="719" t="s">
        <v>172</v>
      </c>
      <c r="B71" s="724" t="s">
        <v>173</v>
      </c>
      <c r="C71" s="923" t="s">
        <v>267</v>
      </c>
      <c r="D71" s="1027">
        <f t="shared" si="14"/>
        <v>23456.25</v>
      </c>
      <c r="E71" s="1027">
        <f t="shared" si="15"/>
        <v>0</v>
      </c>
      <c r="F71" s="1027">
        <f t="shared" si="16"/>
        <v>23456.25</v>
      </c>
      <c r="G71" s="1029">
        <f t="shared" si="17"/>
        <v>0</v>
      </c>
      <c r="H71" s="1029">
        <f t="shared" si="18"/>
        <v>37067.5</v>
      </c>
      <c r="I71" s="1400">
        <f t="shared" si="19"/>
        <v>83980</v>
      </c>
      <c r="J71" s="1028">
        <f t="shared" si="20"/>
        <v>37067.5</v>
      </c>
      <c r="K71" s="1400">
        <f t="shared" si="21"/>
        <v>60523.75</v>
      </c>
      <c r="L71" s="1031"/>
      <c r="M71" s="1021"/>
      <c r="N71" s="1021"/>
      <c r="O71" s="1021"/>
      <c r="P71" s="1021"/>
      <c r="Q71" s="1019">
        <f t="shared" si="22"/>
        <v>0</v>
      </c>
      <c r="R71" s="1020">
        <v>23456.25</v>
      </c>
      <c r="S71" s="1021">
        <v>0</v>
      </c>
      <c r="T71" s="1021">
        <v>23456.25</v>
      </c>
      <c r="U71" s="1021">
        <v>0</v>
      </c>
      <c r="V71" s="1021">
        <v>37067.5</v>
      </c>
      <c r="W71" s="1021">
        <f t="shared" si="23"/>
        <v>83980</v>
      </c>
    </row>
    <row r="72" spans="1:23" ht="15" customHeight="1" x14ac:dyDescent="0.25">
      <c r="A72" s="719" t="s">
        <v>174</v>
      </c>
      <c r="B72" s="724" t="s">
        <v>175</v>
      </c>
      <c r="C72" s="923" t="s">
        <v>268</v>
      </c>
      <c r="D72" s="1027">
        <f t="shared" si="14"/>
        <v>23235.33</v>
      </c>
      <c r="E72" s="1027">
        <f t="shared" si="15"/>
        <v>0</v>
      </c>
      <c r="F72" s="1027">
        <f t="shared" si="16"/>
        <v>23235.33</v>
      </c>
      <c r="G72" s="1029">
        <f t="shared" si="17"/>
        <v>0</v>
      </c>
      <c r="H72" s="1029">
        <f t="shared" si="18"/>
        <v>37997.339999999997</v>
      </c>
      <c r="I72" s="1400">
        <f t="shared" si="19"/>
        <v>84468</v>
      </c>
      <c r="J72" s="1028">
        <f t="shared" si="20"/>
        <v>37997.339999999997</v>
      </c>
      <c r="K72" s="1400">
        <f t="shared" si="21"/>
        <v>61232.67</v>
      </c>
      <c r="L72" s="1030"/>
      <c r="M72" s="1018"/>
      <c r="N72" s="1018"/>
      <c r="O72" s="1018"/>
      <c r="P72" s="1018"/>
      <c r="Q72" s="1019">
        <f t="shared" si="22"/>
        <v>0</v>
      </c>
      <c r="R72" s="1020">
        <v>23235.33</v>
      </c>
      <c r="S72" s="1021">
        <v>0</v>
      </c>
      <c r="T72" s="1021">
        <v>23235.33</v>
      </c>
      <c r="U72" s="1021">
        <v>0</v>
      </c>
      <c r="V72" s="1021">
        <v>37997.339999999997</v>
      </c>
      <c r="W72" s="1021">
        <f t="shared" si="23"/>
        <v>84468</v>
      </c>
    </row>
    <row r="73" spans="1:23" ht="15" customHeight="1" x14ac:dyDescent="0.25">
      <c r="A73" s="719" t="s">
        <v>178</v>
      </c>
      <c r="B73" s="724" t="s">
        <v>179</v>
      </c>
      <c r="C73" s="923" t="s">
        <v>265</v>
      </c>
      <c r="D73" s="1027">
        <f t="shared" si="14"/>
        <v>65797.009999999995</v>
      </c>
      <c r="E73" s="1027">
        <f t="shared" si="15"/>
        <v>0</v>
      </c>
      <c r="F73" s="1027">
        <f t="shared" si="16"/>
        <v>65797.009999999995</v>
      </c>
      <c r="G73" s="1029">
        <f t="shared" si="17"/>
        <v>0</v>
      </c>
      <c r="H73" s="1029">
        <f t="shared" si="18"/>
        <v>109666.98</v>
      </c>
      <c r="I73" s="1400">
        <f t="shared" si="19"/>
        <v>241261</v>
      </c>
      <c r="J73" s="1028">
        <f t="shared" si="20"/>
        <v>109666.98</v>
      </c>
      <c r="K73" s="1400">
        <f t="shared" si="21"/>
        <v>175463.99</v>
      </c>
      <c r="L73" s="1031"/>
      <c r="M73" s="1021"/>
      <c r="N73" s="1021"/>
      <c r="O73" s="1021"/>
      <c r="P73" s="1021"/>
      <c r="Q73" s="1019">
        <f t="shared" si="22"/>
        <v>0</v>
      </c>
      <c r="R73" s="1020">
        <v>65797.009999999995</v>
      </c>
      <c r="S73" s="1021">
        <v>0</v>
      </c>
      <c r="T73" s="1021">
        <v>65797.009999999995</v>
      </c>
      <c r="U73" s="1021">
        <v>0</v>
      </c>
      <c r="V73" s="1021">
        <v>109666.98</v>
      </c>
      <c r="W73" s="1021">
        <f t="shared" si="23"/>
        <v>241261</v>
      </c>
    </row>
    <row r="74" spans="1:23" ht="15" customHeight="1" x14ac:dyDescent="0.25">
      <c r="A74" s="719" t="s">
        <v>182</v>
      </c>
      <c r="B74" s="724" t="s">
        <v>183</v>
      </c>
      <c r="C74" s="923" t="s">
        <v>266</v>
      </c>
      <c r="D74" s="1027">
        <f t="shared" si="14"/>
        <v>38418.57</v>
      </c>
      <c r="E74" s="1027">
        <f t="shared" si="15"/>
        <v>0</v>
      </c>
      <c r="F74" s="1027">
        <f t="shared" si="16"/>
        <v>38418.57</v>
      </c>
      <c r="G74" s="1029">
        <f t="shared" si="17"/>
        <v>0</v>
      </c>
      <c r="H74" s="1029">
        <f t="shared" si="18"/>
        <v>75878.86</v>
      </c>
      <c r="I74" s="1400">
        <f t="shared" si="19"/>
        <v>152716</v>
      </c>
      <c r="J74" s="1028">
        <f t="shared" si="20"/>
        <v>75878.86</v>
      </c>
      <c r="K74" s="1400">
        <f t="shared" si="21"/>
        <v>114297.43</v>
      </c>
      <c r="L74" s="1031"/>
      <c r="M74" s="1021"/>
      <c r="N74" s="1021"/>
      <c r="O74" s="1021"/>
      <c r="P74" s="1021"/>
      <c r="Q74" s="1019">
        <f t="shared" si="22"/>
        <v>0</v>
      </c>
      <c r="R74" s="1020">
        <v>38418.57</v>
      </c>
      <c r="S74" s="1021">
        <v>0</v>
      </c>
      <c r="T74" s="1021">
        <v>38418.57</v>
      </c>
      <c r="U74" s="1021">
        <v>0</v>
      </c>
      <c r="V74" s="1021">
        <v>75878.86</v>
      </c>
      <c r="W74" s="1021">
        <f t="shared" si="23"/>
        <v>152716</v>
      </c>
    </row>
    <row r="75" spans="1:23" ht="15" customHeight="1" x14ac:dyDescent="0.25">
      <c r="A75" s="719" t="s">
        <v>184</v>
      </c>
      <c r="B75" s="724" t="s">
        <v>185</v>
      </c>
      <c r="C75" s="923" t="s">
        <v>266</v>
      </c>
      <c r="D75" s="1027">
        <f t="shared" si="14"/>
        <v>57027.92</v>
      </c>
      <c r="E75" s="1027">
        <f t="shared" si="15"/>
        <v>0</v>
      </c>
      <c r="F75" s="1027">
        <f t="shared" si="16"/>
        <v>57027.92</v>
      </c>
      <c r="G75" s="1029">
        <f t="shared" si="17"/>
        <v>0</v>
      </c>
      <c r="H75" s="1029">
        <f t="shared" si="18"/>
        <v>69606.16</v>
      </c>
      <c r="I75" s="1400">
        <f t="shared" si="19"/>
        <v>183662</v>
      </c>
      <c r="J75" s="1028">
        <f t="shared" si="20"/>
        <v>69606.16</v>
      </c>
      <c r="K75" s="1400">
        <f t="shared" si="21"/>
        <v>126634.08</v>
      </c>
      <c r="L75" s="1031"/>
      <c r="M75" s="1021"/>
      <c r="N75" s="1021"/>
      <c r="O75" s="1021"/>
      <c r="P75" s="1021"/>
      <c r="Q75" s="1019">
        <f t="shared" si="22"/>
        <v>0</v>
      </c>
      <c r="R75" s="1020">
        <v>57027.92</v>
      </c>
      <c r="S75" s="1021">
        <v>0</v>
      </c>
      <c r="T75" s="1021">
        <v>57027.92</v>
      </c>
      <c r="U75" s="1021">
        <v>0</v>
      </c>
      <c r="V75" s="1021">
        <v>69606.16</v>
      </c>
      <c r="W75" s="1021">
        <f t="shared" si="23"/>
        <v>183662</v>
      </c>
    </row>
    <row r="76" spans="1:23" ht="15" customHeight="1" x14ac:dyDescent="0.25">
      <c r="A76" s="719" t="s">
        <v>186</v>
      </c>
      <c r="B76" s="724" t="s">
        <v>187</v>
      </c>
      <c r="C76" s="923" t="s">
        <v>264</v>
      </c>
      <c r="D76" s="1027">
        <f t="shared" si="14"/>
        <v>54666.63</v>
      </c>
      <c r="E76" s="1027">
        <f t="shared" si="15"/>
        <v>0</v>
      </c>
      <c r="F76" s="1027">
        <f t="shared" si="16"/>
        <v>54666.63</v>
      </c>
      <c r="G76" s="1029">
        <f t="shared" si="17"/>
        <v>0</v>
      </c>
      <c r="H76" s="1029">
        <f t="shared" si="18"/>
        <v>148112.74</v>
      </c>
      <c r="I76" s="1400">
        <f t="shared" si="19"/>
        <v>257446</v>
      </c>
      <c r="J76" s="1028">
        <f t="shared" si="20"/>
        <v>148112.74</v>
      </c>
      <c r="K76" s="1400">
        <f t="shared" si="21"/>
        <v>202779.37</v>
      </c>
      <c r="L76" s="1031"/>
      <c r="M76" s="1021"/>
      <c r="N76" s="1021"/>
      <c r="O76" s="1021"/>
      <c r="P76" s="1021"/>
      <c r="Q76" s="1019">
        <f t="shared" si="22"/>
        <v>0</v>
      </c>
      <c r="R76" s="1022">
        <v>54666.63</v>
      </c>
      <c r="S76" s="1018">
        <v>0</v>
      </c>
      <c r="T76" s="1018">
        <v>54666.63</v>
      </c>
      <c r="U76" s="1018">
        <v>0</v>
      </c>
      <c r="V76" s="1018">
        <v>148112.74</v>
      </c>
      <c r="W76" s="1021">
        <f t="shared" si="23"/>
        <v>257446</v>
      </c>
    </row>
    <row r="77" spans="1:23" ht="15" customHeight="1" x14ac:dyDescent="0.25">
      <c r="A77" s="719" t="s">
        <v>188</v>
      </c>
      <c r="B77" s="724" t="s">
        <v>189</v>
      </c>
      <c r="C77" s="923" t="s">
        <v>267</v>
      </c>
      <c r="D77" s="1027">
        <f t="shared" si="14"/>
        <v>1015634.79</v>
      </c>
      <c r="E77" s="1027">
        <f t="shared" si="15"/>
        <v>0</v>
      </c>
      <c r="F77" s="1027">
        <f t="shared" si="16"/>
        <v>1015634.79</v>
      </c>
      <c r="G77" s="1029">
        <f t="shared" si="17"/>
        <v>0</v>
      </c>
      <c r="H77" s="1029">
        <f t="shared" si="18"/>
        <v>1888318.42</v>
      </c>
      <c r="I77" s="1400">
        <f t="shared" si="19"/>
        <v>3919588</v>
      </c>
      <c r="J77" s="1028">
        <f t="shared" si="20"/>
        <v>1888318.42</v>
      </c>
      <c r="K77" s="1400">
        <f t="shared" si="21"/>
        <v>2903953.21</v>
      </c>
      <c r="L77" s="1031"/>
      <c r="M77" s="1021"/>
      <c r="N77" s="1021"/>
      <c r="O77" s="1021"/>
      <c r="P77" s="1021"/>
      <c r="Q77" s="1019">
        <f t="shared" si="22"/>
        <v>0</v>
      </c>
      <c r="R77" s="1020">
        <v>1015634.79</v>
      </c>
      <c r="S77" s="1021">
        <v>0</v>
      </c>
      <c r="T77" s="1021">
        <v>1015634.79</v>
      </c>
      <c r="U77" s="1021">
        <v>0</v>
      </c>
      <c r="V77" s="1021">
        <v>1888318.42</v>
      </c>
      <c r="W77" s="1021">
        <f t="shared" si="23"/>
        <v>3919588</v>
      </c>
    </row>
    <row r="78" spans="1:23" ht="15" customHeight="1" x14ac:dyDescent="0.25">
      <c r="A78" s="719" t="s">
        <v>190</v>
      </c>
      <c r="B78" s="724" t="s">
        <v>191</v>
      </c>
      <c r="C78" s="923" t="s">
        <v>268</v>
      </c>
      <c r="D78" s="1027">
        <f t="shared" si="14"/>
        <v>41643.040000000001</v>
      </c>
      <c r="E78" s="1027">
        <f t="shared" si="15"/>
        <v>0</v>
      </c>
      <c r="F78" s="1027">
        <f t="shared" si="16"/>
        <v>41643.040000000001</v>
      </c>
      <c r="G78" s="1029">
        <f t="shared" si="17"/>
        <v>0</v>
      </c>
      <c r="H78" s="1029">
        <f t="shared" si="18"/>
        <v>70881.919999999998</v>
      </c>
      <c r="I78" s="1400">
        <f t="shared" si="19"/>
        <v>154168</v>
      </c>
      <c r="J78" s="1028">
        <f t="shared" si="20"/>
        <v>70881.919999999998</v>
      </c>
      <c r="K78" s="1400">
        <f t="shared" si="21"/>
        <v>112524.95999999999</v>
      </c>
      <c r="L78" s="1031"/>
      <c r="M78" s="1021"/>
      <c r="N78" s="1021"/>
      <c r="O78" s="1021"/>
      <c r="P78" s="1021"/>
      <c r="Q78" s="1019">
        <f t="shared" si="22"/>
        <v>0</v>
      </c>
      <c r="R78" s="1020">
        <v>41643.040000000001</v>
      </c>
      <c r="S78" s="1021">
        <v>0</v>
      </c>
      <c r="T78" s="1021">
        <v>41643.040000000001</v>
      </c>
      <c r="U78" s="1021">
        <v>0</v>
      </c>
      <c r="V78" s="1021">
        <v>70881.919999999998</v>
      </c>
      <c r="W78" s="1021">
        <f t="shared" si="23"/>
        <v>154168</v>
      </c>
    </row>
    <row r="79" spans="1:23" ht="15" customHeight="1" x14ac:dyDescent="0.25">
      <c r="A79" s="719" t="s">
        <v>194</v>
      </c>
      <c r="B79" s="724" t="s">
        <v>195</v>
      </c>
      <c r="C79" s="923" t="s">
        <v>267</v>
      </c>
      <c r="D79" s="1027">
        <f t="shared" si="14"/>
        <v>19569.8</v>
      </c>
      <c r="E79" s="1027">
        <f t="shared" si="15"/>
        <v>0</v>
      </c>
      <c r="F79" s="1027">
        <f t="shared" si="16"/>
        <v>19569.8</v>
      </c>
      <c r="G79" s="1029">
        <f t="shared" si="17"/>
        <v>0</v>
      </c>
      <c r="H79" s="1029">
        <f t="shared" si="18"/>
        <v>38238.400000000001</v>
      </c>
      <c r="I79" s="1400">
        <f t="shared" si="19"/>
        <v>77378</v>
      </c>
      <c r="J79" s="1028">
        <f t="shared" si="20"/>
        <v>38238.400000000001</v>
      </c>
      <c r="K79" s="1400">
        <f t="shared" si="21"/>
        <v>57808.2</v>
      </c>
      <c r="L79" s="1030"/>
      <c r="M79" s="1018"/>
      <c r="N79" s="1018"/>
      <c r="O79" s="1018"/>
      <c r="P79" s="1018"/>
      <c r="Q79" s="1019">
        <f t="shared" si="22"/>
        <v>0</v>
      </c>
      <c r="R79" s="1020">
        <v>19569.8</v>
      </c>
      <c r="S79" s="1021">
        <v>0</v>
      </c>
      <c r="T79" s="1021">
        <v>19569.8</v>
      </c>
      <c r="U79" s="1021">
        <v>0</v>
      </c>
      <c r="V79" s="1021">
        <v>38238.400000000001</v>
      </c>
      <c r="W79" s="1021">
        <f t="shared" si="23"/>
        <v>77378</v>
      </c>
    </row>
    <row r="80" spans="1:23" ht="15" customHeight="1" x14ac:dyDescent="0.25">
      <c r="A80" s="719" t="s">
        <v>198</v>
      </c>
      <c r="B80" s="724" t="s">
        <v>199</v>
      </c>
      <c r="C80" s="923" t="s">
        <v>266</v>
      </c>
      <c r="D80" s="1027">
        <f t="shared" si="14"/>
        <v>13950.76</v>
      </c>
      <c r="E80" s="1027">
        <f t="shared" si="15"/>
        <v>0</v>
      </c>
      <c r="F80" s="1027">
        <f t="shared" si="16"/>
        <v>13950.76</v>
      </c>
      <c r="G80" s="1029">
        <f t="shared" si="17"/>
        <v>0</v>
      </c>
      <c r="H80" s="1029">
        <f t="shared" si="18"/>
        <v>20371.48</v>
      </c>
      <c r="I80" s="1400">
        <f t="shared" si="19"/>
        <v>48273</v>
      </c>
      <c r="J80" s="1028">
        <f t="shared" si="20"/>
        <v>20371.48</v>
      </c>
      <c r="K80" s="1400">
        <f t="shared" si="21"/>
        <v>34322.239999999998</v>
      </c>
      <c r="L80" s="1031"/>
      <c r="M80" s="1021"/>
      <c r="N80" s="1021"/>
      <c r="O80" s="1021"/>
      <c r="P80" s="1021"/>
      <c r="Q80" s="1019">
        <f t="shared" si="22"/>
        <v>0</v>
      </c>
      <c r="R80" s="1020">
        <v>13950.76</v>
      </c>
      <c r="S80" s="1021">
        <v>0</v>
      </c>
      <c r="T80" s="1021">
        <v>13950.76</v>
      </c>
      <c r="U80" s="1021">
        <v>0</v>
      </c>
      <c r="V80" s="1021">
        <v>20371.48</v>
      </c>
      <c r="W80" s="1021">
        <f t="shared" si="23"/>
        <v>48273</v>
      </c>
    </row>
    <row r="81" spans="1:23" ht="15" customHeight="1" x14ac:dyDescent="0.25">
      <c r="A81" s="719" t="s">
        <v>202</v>
      </c>
      <c r="B81" s="724" t="s">
        <v>203</v>
      </c>
      <c r="C81" s="923" t="s">
        <v>265</v>
      </c>
      <c r="D81" s="1027">
        <f t="shared" si="14"/>
        <v>162243.09</v>
      </c>
      <c r="E81" s="1027">
        <f t="shared" si="15"/>
        <v>0</v>
      </c>
      <c r="F81" s="1027">
        <f t="shared" si="16"/>
        <v>162243.09</v>
      </c>
      <c r="G81" s="1029">
        <f t="shared" si="17"/>
        <v>2307.87</v>
      </c>
      <c r="H81" s="1029">
        <f t="shared" si="18"/>
        <v>367128.82</v>
      </c>
      <c r="I81" s="1400">
        <f t="shared" si="19"/>
        <v>693922.87</v>
      </c>
      <c r="J81" s="1028">
        <f t="shared" si="20"/>
        <v>369436.69</v>
      </c>
      <c r="K81" s="1400">
        <f t="shared" si="21"/>
        <v>531679.78</v>
      </c>
      <c r="L81" s="1031">
        <v>0</v>
      </c>
      <c r="M81" s="1021">
        <v>0</v>
      </c>
      <c r="N81" s="1021">
        <v>0</v>
      </c>
      <c r="O81" s="1021">
        <v>2307.87</v>
      </c>
      <c r="P81" s="1021">
        <v>0</v>
      </c>
      <c r="Q81" s="1019">
        <f t="shared" si="22"/>
        <v>2307.87</v>
      </c>
      <c r="R81" s="1020">
        <v>162243.09</v>
      </c>
      <c r="S81" s="1021">
        <v>0</v>
      </c>
      <c r="T81" s="1021">
        <v>162243.09</v>
      </c>
      <c r="U81" s="1021">
        <v>0</v>
      </c>
      <c r="V81" s="1021">
        <v>367128.82</v>
      </c>
      <c r="W81" s="1021">
        <f t="shared" si="23"/>
        <v>691615</v>
      </c>
    </row>
    <row r="82" spans="1:23" ht="15" customHeight="1" x14ac:dyDescent="0.25">
      <c r="A82" s="719" t="s">
        <v>204</v>
      </c>
      <c r="B82" s="724" t="s">
        <v>205</v>
      </c>
      <c r="C82" s="923" t="s">
        <v>265</v>
      </c>
      <c r="D82" s="1027">
        <f t="shared" si="14"/>
        <v>24772.75</v>
      </c>
      <c r="E82" s="1027">
        <f t="shared" si="15"/>
        <v>0</v>
      </c>
      <c r="F82" s="1027">
        <f t="shared" si="16"/>
        <v>24772.75</v>
      </c>
      <c r="G82" s="1029">
        <f t="shared" si="17"/>
        <v>0</v>
      </c>
      <c r="H82" s="1029">
        <f t="shared" si="18"/>
        <v>33817.5</v>
      </c>
      <c r="I82" s="1400">
        <f t="shared" si="19"/>
        <v>83363</v>
      </c>
      <c r="J82" s="1028">
        <f t="shared" si="20"/>
        <v>33817.5</v>
      </c>
      <c r="K82" s="1400">
        <f t="shared" si="21"/>
        <v>58590.25</v>
      </c>
      <c r="L82" s="1030"/>
      <c r="M82" s="1018"/>
      <c r="N82" s="1018"/>
      <c r="O82" s="1018"/>
      <c r="P82" s="1018"/>
      <c r="Q82" s="1019">
        <f t="shared" si="22"/>
        <v>0</v>
      </c>
      <c r="R82" s="1020">
        <v>24772.75</v>
      </c>
      <c r="S82" s="1021">
        <v>0</v>
      </c>
      <c r="T82" s="1021">
        <v>24772.75</v>
      </c>
      <c r="U82" s="1021">
        <v>0</v>
      </c>
      <c r="V82" s="1021">
        <v>33817.5</v>
      </c>
      <c r="W82" s="1021">
        <f t="shared" si="23"/>
        <v>83363</v>
      </c>
    </row>
    <row r="83" spans="1:23" ht="15" customHeight="1" x14ac:dyDescent="0.25">
      <c r="A83" s="719" t="s">
        <v>206</v>
      </c>
      <c r="B83" s="724" t="s">
        <v>207</v>
      </c>
      <c r="C83" s="923" t="s">
        <v>267</v>
      </c>
      <c r="D83" s="1027">
        <f t="shared" si="14"/>
        <v>176962.97</v>
      </c>
      <c r="E83" s="1027">
        <f t="shared" si="15"/>
        <v>0</v>
      </c>
      <c r="F83" s="1027">
        <f t="shared" si="16"/>
        <v>176962.97</v>
      </c>
      <c r="G83" s="1029">
        <f t="shared" si="17"/>
        <v>0</v>
      </c>
      <c r="H83" s="1029">
        <f t="shared" si="18"/>
        <v>354243.06</v>
      </c>
      <c r="I83" s="1400">
        <f t="shared" si="19"/>
        <v>708169</v>
      </c>
      <c r="J83" s="1028">
        <f t="shared" si="20"/>
        <v>354243.06</v>
      </c>
      <c r="K83" s="1400">
        <f t="shared" si="21"/>
        <v>531206.03</v>
      </c>
      <c r="L83" s="1031"/>
      <c r="M83" s="1021"/>
      <c r="N83" s="1021"/>
      <c r="O83" s="1021"/>
      <c r="P83" s="1021"/>
      <c r="Q83" s="1019">
        <f t="shared" si="22"/>
        <v>0</v>
      </c>
      <c r="R83" s="1020">
        <v>176962.97</v>
      </c>
      <c r="S83" s="1021">
        <v>0</v>
      </c>
      <c r="T83" s="1021">
        <v>176962.97</v>
      </c>
      <c r="U83" s="1021">
        <v>0</v>
      </c>
      <c r="V83" s="1021">
        <v>354243.06</v>
      </c>
      <c r="W83" s="1021">
        <f t="shared" si="23"/>
        <v>708169</v>
      </c>
    </row>
    <row r="84" spans="1:23" ht="15" customHeight="1" x14ac:dyDescent="0.25">
      <c r="A84" s="719" t="s">
        <v>208</v>
      </c>
      <c r="B84" s="724" t="s">
        <v>209</v>
      </c>
      <c r="C84" s="923" t="s">
        <v>268</v>
      </c>
      <c r="D84" s="1027">
        <f t="shared" si="14"/>
        <v>51252.75</v>
      </c>
      <c r="E84" s="1027">
        <f t="shared" si="15"/>
        <v>0</v>
      </c>
      <c r="F84" s="1027">
        <f t="shared" si="16"/>
        <v>51252.75</v>
      </c>
      <c r="G84" s="1029">
        <f t="shared" si="17"/>
        <v>0</v>
      </c>
      <c r="H84" s="1029">
        <f t="shared" si="18"/>
        <v>85579.5</v>
      </c>
      <c r="I84" s="1400">
        <f t="shared" si="19"/>
        <v>188085</v>
      </c>
      <c r="J84" s="1028">
        <f t="shared" si="20"/>
        <v>85579.5</v>
      </c>
      <c r="K84" s="1400">
        <f t="shared" si="21"/>
        <v>136832.25</v>
      </c>
      <c r="L84" s="1031"/>
      <c r="M84" s="1021"/>
      <c r="N84" s="1021"/>
      <c r="O84" s="1021"/>
      <c r="P84" s="1021"/>
      <c r="Q84" s="1019">
        <f t="shared" si="22"/>
        <v>0</v>
      </c>
      <c r="R84" s="1020">
        <v>51252.75</v>
      </c>
      <c r="S84" s="1021">
        <v>0</v>
      </c>
      <c r="T84" s="1021">
        <v>51252.75</v>
      </c>
      <c r="U84" s="1021">
        <v>0</v>
      </c>
      <c r="V84" s="1021">
        <v>85579.5</v>
      </c>
      <c r="W84" s="1021">
        <f t="shared" si="23"/>
        <v>188085</v>
      </c>
    </row>
    <row r="85" spans="1:23" ht="15" customHeight="1" x14ac:dyDescent="0.25">
      <c r="A85" s="719" t="s">
        <v>210</v>
      </c>
      <c r="B85" s="724" t="s">
        <v>211</v>
      </c>
      <c r="C85" s="923" t="s">
        <v>268</v>
      </c>
      <c r="D85" s="1027">
        <f t="shared" si="14"/>
        <v>22319.72</v>
      </c>
      <c r="E85" s="1027">
        <f t="shared" si="15"/>
        <v>0</v>
      </c>
      <c r="F85" s="1027">
        <f t="shared" si="16"/>
        <v>22319.72</v>
      </c>
      <c r="G85" s="1029">
        <f t="shared" si="17"/>
        <v>0</v>
      </c>
      <c r="H85" s="1029">
        <f t="shared" si="18"/>
        <v>32754.560000000001</v>
      </c>
      <c r="I85" s="1400">
        <f t="shared" si="19"/>
        <v>77394</v>
      </c>
      <c r="J85" s="1028">
        <f t="shared" si="20"/>
        <v>32754.560000000001</v>
      </c>
      <c r="K85" s="1400">
        <f t="shared" si="21"/>
        <v>55074.28</v>
      </c>
      <c r="L85" s="1031"/>
      <c r="M85" s="1021"/>
      <c r="N85" s="1021"/>
      <c r="O85" s="1021"/>
      <c r="P85" s="1021"/>
      <c r="Q85" s="1019">
        <f t="shared" si="22"/>
        <v>0</v>
      </c>
      <c r="R85" s="1020">
        <v>22319.72</v>
      </c>
      <c r="S85" s="1021">
        <v>0</v>
      </c>
      <c r="T85" s="1021">
        <v>22319.72</v>
      </c>
      <c r="U85" s="1021">
        <v>0</v>
      </c>
      <c r="V85" s="1021">
        <v>32754.560000000001</v>
      </c>
      <c r="W85" s="1021">
        <f t="shared" si="23"/>
        <v>77394</v>
      </c>
    </row>
    <row r="86" spans="1:23" ht="15" customHeight="1" x14ac:dyDescent="0.25">
      <c r="A86" s="719" t="s">
        <v>212</v>
      </c>
      <c r="B86" s="724" t="s">
        <v>213</v>
      </c>
      <c r="C86" s="923" t="s">
        <v>267</v>
      </c>
      <c r="D86" s="1027">
        <f t="shared" si="14"/>
        <v>83363.87</v>
      </c>
      <c r="E86" s="1027">
        <f t="shared" si="15"/>
        <v>0</v>
      </c>
      <c r="F86" s="1027">
        <f t="shared" si="16"/>
        <v>83363.87</v>
      </c>
      <c r="G86" s="1029">
        <f t="shared" si="17"/>
        <v>0</v>
      </c>
      <c r="H86" s="1029">
        <f t="shared" si="18"/>
        <v>142934.26</v>
      </c>
      <c r="I86" s="1400">
        <f t="shared" si="19"/>
        <v>309662</v>
      </c>
      <c r="J86" s="1028">
        <f t="shared" si="20"/>
        <v>142934.26</v>
      </c>
      <c r="K86" s="1400">
        <f t="shared" si="21"/>
        <v>226298.13</v>
      </c>
      <c r="L86" s="1031"/>
      <c r="M86" s="1021"/>
      <c r="N86" s="1021"/>
      <c r="O86" s="1021"/>
      <c r="P86" s="1021"/>
      <c r="Q86" s="1019">
        <f t="shared" si="22"/>
        <v>0</v>
      </c>
      <c r="R86" s="1020">
        <v>83363.87</v>
      </c>
      <c r="S86" s="1021">
        <v>0</v>
      </c>
      <c r="T86" s="1021">
        <v>83363.87</v>
      </c>
      <c r="U86" s="1021">
        <v>0</v>
      </c>
      <c r="V86" s="1021">
        <v>142934.26</v>
      </c>
      <c r="W86" s="1021">
        <f t="shared" si="23"/>
        <v>309662</v>
      </c>
    </row>
    <row r="87" spans="1:23" ht="15" customHeight="1" x14ac:dyDescent="0.25">
      <c r="A87" s="719" t="s">
        <v>214</v>
      </c>
      <c r="B87" s="724" t="s">
        <v>215</v>
      </c>
      <c r="C87" s="923" t="s">
        <v>268</v>
      </c>
      <c r="D87" s="1027">
        <f t="shared" si="14"/>
        <v>68857.3</v>
      </c>
      <c r="E87" s="1027">
        <f t="shared" si="15"/>
        <v>0</v>
      </c>
      <c r="F87" s="1027">
        <f t="shared" si="16"/>
        <v>68857.3</v>
      </c>
      <c r="G87" s="1029">
        <f t="shared" si="17"/>
        <v>0</v>
      </c>
      <c r="H87" s="1029">
        <f t="shared" si="18"/>
        <v>103184.4</v>
      </c>
      <c r="I87" s="1400">
        <f t="shared" si="19"/>
        <v>240899</v>
      </c>
      <c r="J87" s="1028">
        <f t="shared" si="20"/>
        <v>103184.4</v>
      </c>
      <c r="K87" s="1400">
        <f t="shared" si="21"/>
        <v>172041.7</v>
      </c>
      <c r="L87" s="1031"/>
      <c r="M87" s="1021"/>
      <c r="N87" s="1021"/>
      <c r="O87" s="1021"/>
      <c r="P87" s="1021"/>
      <c r="Q87" s="1019">
        <f t="shared" si="22"/>
        <v>0</v>
      </c>
      <c r="R87" s="1020">
        <v>68857.3</v>
      </c>
      <c r="S87" s="1021">
        <v>0</v>
      </c>
      <c r="T87" s="1021">
        <v>68857.3</v>
      </c>
      <c r="U87" s="1021">
        <v>0</v>
      </c>
      <c r="V87" s="1021">
        <v>103184.4</v>
      </c>
      <c r="W87" s="1021">
        <f t="shared" si="23"/>
        <v>240899</v>
      </c>
    </row>
    <row r="88" spans="1:23" ht="15" customHeight="1" x14ac:dyDescent="0.25">
      <c r="A88" s="719" t="s">
        <v>216</v>
      </c>
      <c r="B88" s="724" t="s">
        <v>217</v>
      </c>
      <c r="C88" s="923" t="s">
        <v>264</v>
      </c>
      <c r="D88" s="1027">
        <f t="shared" si="14"/>
        <v>45847.98</v>
      </c>
      <c r="E88" s="1027">
        <f t="shared" si="15"/>
        <v>0</v>
      </c>
      <c r="F88" s="1027">
        <f t="shared" si="16"/>
        <v>45847.98</v>
      </c>
      <c r="G88" s="1029">
        <f t="shared" si="17"/>
        <v>0</v>
      </c>
      <c r="H88" s="1029">
        <f t="shared" si="18"/>
        <v>76620.039999999994</v>
      </c>
      <c r="I88" s="1400">
        <f t="shared" si="19"/>
        <v>168316</v>
      </c>
      <c r="J88" s="1028">
        <f t="shared" si="20"/>
        <v>76620.039999999994</v>
      </c>
      <c r="K88" s="1400">
        <f t="shared" si="21"/>
        <v>122468.01999999999</v>
      </c>
      <c r="L88" s="1031"/>
      <c r="M88" s="1021"/>
      <c r="N88" s="1021"/>
      <c r="O88" s="1021"/>
      <c r="P88" s="1021"/>
      <c r="Q88" s="1019">
        <f t="shared" si="22"/>
        <v>0</v>
      </c>
      <c r="R88" s="1020">
        <v>45847.98</v>
      </c>
      <c r="S88" s="1021">
        <v>0</v>
      </c>
      <c r="T88" s="1021">
        <v>45847.98</v>
      </c>
      <c r="U88" s="1021">
        <v>0</v>
      </c>
      <c r="V88" s="1021">
        <v>76620.039999999994</v>
      </c>
      <c r="W88" s="1021">
        <f t="shared" si="23"/>
        <v>168316</v>
      </c>
    </row>
    <row r="89" spans="1:23" ht="15" customHeight="1" x14ac:dyDescent="0.25">
      <c r="A89" s="719" t="s">
        <v>218</v>
      </c>
      <c r="B89" s="724" t="s">
        <v>219</v>
      </c>
      <c r="C89" s="923" t="s">
        <v>267</v>
      </c>
      <c r="D89" s="1027">
        <f t="shared" si="14"/>
        <v>200193.79</v>
      </c>
      <c r="E89" s="1027">
        <f t="shared" si="15"/>
        <v>0</v>
      </c>
      <c r="F89" s="1027">
        <f t="shared" si="16"/>
        <v>200193.79</v>
      </c>
      <c r="G89" s="1029">
        <f t="shared" si="17"/>
        <v>1500</v>
      </c>
      <c r="H89" s="1029">
        <f t="shared" si="18"/>
        <v>380682.42</v>
      </c>
      <c r="I89" s="1400">
        <f t="shared" si="19"/>
        <v>782570</v>
      </c>
      <c r="J89" s="1028">
        <f t="shared" si="20"/>
        <v>382182.42</v>
      </c>
      <c r="K89" s="1400">
        <f t="shared" si="21"/>
        <v>582376.21</v>
      </c>
      <c r="L89" s="1031">
        <v>0</v>
      </c>
      <c r="M89" s="1021">
        <v>0</v>
      </c>
      <c r="N89" s="1021">
        <v>0</v>
      </c>
      <c r="O89" s="1021">
        <v>1500</v>
      </c>
      <c r="P89" s="1021">
        <v>0</v>
      </c>
      <c r="Q89" s="1019">
        <f t="shared" si="22"/>
        <v>1500</v>
      </c>
      <c r="R89" s="1020">
        <v>200193.79</v>
      </c>
      <c r="S89" s="1021">
        <v>0</v>
      </c>
      <c r="T89" s="1021">
        <v>200193.79</v>
      </c>
      <c r="U89" s="1021">
        <v>0</v>
      </c>
      <c r="V89" s="1021">
        <v>380682.42</v>
      </c>
      <c r="W89" s="1021">
        <f t="shared" si="23"/>
        <v>781070</v>
      </c>
    </row>
    <row r="90" spans="1:23" ht="15" customHeight="1" x14ac:dyDescent="0.25">
      <c r="A90" s="719" t="s">
        <v>220</v>
      </c>
      <c r="B90" s="724" t="s">
        <v>221</v>
      </c>
      <c r="C90" s="923" t="s">
        <v>267</v>
      </c>
      <c r="D90" s="1027">
        <f t="shared" si="14"/>
        <v>140149.54999999999</v>
      </c>
      <c r="E90" s="1027">
        <f t="shared" si="15"/>
        <v>0</v>
      </c>
      <c r="F90" s="1027">
        <f t="shared" si="16"/>
        <v>140149.54999999999</v>
      </c>
      <c r="G90" s="1029">
        <f t="shared" si="17"/>
        <v>363.7</v>
      </c>
      <c r="H90" s="1029">
        <f t="shared" si="18"/>
        <v>253493.9</v>
      </c>
      <c r="I90" s="1400">
        <f t="shared" si="19"/>
        <v>534156.69999999995</v>
      </c>
      <c r="J90" s="1028">
        <f t="shared" si="20"/>
        <v>253857.6</v>
      </c>
      <c r="K90" s="1400">
        <f t="shared" si="21"/>
        <v>394007.15</v>
      </c>
      <c r="L90" s="1031">
        <v>0</v>
      </c>
      <c r="M90" s="1021">
        <v>0</v>
      </c>
      <c r="N90" s="1021">
        <v>0</v>
      </c>
      <c r="O90" s="1021">
        <v>363.7</v>
      </c>
      <c r="P90" s="1021">
        <v>0</v>
      </c>
      <c r="Q90" s="1019">
        <f t="shared" si="22"/>
        <v>363.7</v>
      </c>
      <c r="R90" s="1020">
        <v>140149.54999999999</v>
      </c>
      <c r="S90" s="1021">
        <v>0</v>
      </c>
      <c r="T90" s="1021">
        <v>140149.54999999999</v>
      </c>
      <c r="U90" s="1021">
        <v>0</v>
      </c>
      <c r="V90" s="1021">
        <v>253493.9</v>
      </c>
      <c r="W90" s="1021">
        <f t="shared" si="23"/>
        <v>533793</v>
      </c>
    </row>
    <row r="91" spans="1:23" ht="15" customHeight="1" x14ac:dyDescent="0.25">
      <c r="A91" s="719" t="s">
        <v>224</v>
      </c>
      <c r="B91" s="724" t="s">
        <v>225</v>
      </c>
      <c r="C91" s="923" t="s">
        <v>264</v>
      </c>
      <c r="D91" s="1027">
        <f t="shared" si="14"/>
        <v>52333.16</v>
      </c>
      <c r="E91" s="1027">
        <f t="shared" si="15"/>
        <v>0</v>
      </c>
      <c r="F91" s="1027">
        <f t="shared" si="16"/>
        <v>52333.16</v>
      </c>
      <c r="G91" s="1029">
        <f t="shared" si="17"/>
        <v>0</v>
      </c>
      <c r="H91" s="1029">
        <f t="shared" si="18"/>
        <v>94561.68</v>
      </c>
      <c r="I91" s="1400">
        <f t="shared" si="19"/>
        <v>199228</v>
      </c>
      <c r="J91" s="1028">
        <f t="shared" si="20"/>
        <v>94561.68</v>
      </c>
      <c r="K91" s="1400">
        <f t="shared" si="21"/>
        <v>146894.84</v>
      </c>
      <c r="L91" s="1031"/>
      <c r="M91" s="1021"/>
      <c r="N91" s="1021"/>
      <c r="O91" s="1021"/>
      <c r="P91" s="1021"/>
      <c r="Q91" s="1019">
        <f t="shared" si="22"/>
        <v>0</v>
      </c>
      <c r="R91" s="1020">
        <v>52333.16</v>
      </c>
      <c r="S91" s="1021">
        <v>0</v>
      </c>
      <c r="T91" s="1021">
        <v>52333.16</v>
      </c>
      <c r="U91" s="1021">
        <v>0</v>
      </c>
      <c r="V91" s="1021">
        <v>94561.68</v>
      </c>
      <c r="W91" s="1021">
        <f t="shared" si="23"/>
        <v>199228</v>
      </c>
    </row>
    <row r="92" spans="1:23" ht="15" customHeight="1" x14ac:dyDescent="0.25">
      <c r="A92" s="719" t="s">
        <v>226</v>
      </c>
      <c r="B92" s="724" t="s">
        <v>227</v>
      </c>
      <c r="C92" s="923" t="s">
        <v>264</v>
      </c>
      <c r="D92" s="1027">
        <f t="shared" si="14"/>
        <v>67417.52</v>
      </c>
      <c r="E92" s="1027">
        <f t="shared" si="15"/>
        <v>0</v>
      </c>
      <c r="F92" s="1027">
        <f t="shared" si="16"/>
        <v>67417.52</v>
      </c>
      <c r="G92" s="1029">
        <f t="shared" si="17"/>
        <v>508.88</v>
      </c>
      <c r="H92" s="1029">
        <f t="shared" si="18"/>
        <v>88612.96</v>
      </c>
      <c r="I92" s="1400">
        <f t="shared" si="19"/>
        <v>223956.88</v>
      </c>
      <c r="J92" s="1028">
        <f t="shared" si="20"/>
        <v>89121.840000000011</v>
      </c>
      <c r="K92" s="1400">
        <f t="shared" si="21"/>
        <v>156539.36000000002</v>
      </c>
      <c r="L92" s="1031">
        <v>0</v>
      </c>
      <c r="M92" s="1021">
        <v>0</v>
      </c>
      <c r="N92" s="1021">
        <v>0</v>
      </c>
      <c r="O92" s="1021">
        <v>508.88</v>
      </c>
      <c r="P92" s="1021">
        <v>0</v>
      </c>
      <c r="Q92" s="1019">
        <f t="shared" si="22"/>
        <v>508.88</v>
      </c>
      <c r="R92" s="1020">
        <v>67417.52</v>
      </c>
      <c r="S92" s="1021">
        <v>0</v>
      </c>
      <c r="T92" s="1021">
        <v>67417.52</v>
      </c>
      <c r="U92" s="1021">
        <v>0</v>
      </c>
      <c r="V92" s="1021">
        <v>88612.96</v>
      </c>
      <c r="W92" s="1021">
        <f t="shared" si="23"/>
        <v>223448</v>
      </c>
    </row>
    <row r="93" spans="1:23" ht="15" customHeight="1" x14ac:dyDescent="0.25">
      <c r="A93" s="719" t="s">
        <v>228</v>
      </c>
      <c r="B93" s="724" t="s">
        <v>229</v>
      </c>
      <c r="C93" s="923" t="s">
        <v>268</v>
      </c>
      <c r="D93" s="1027">
        <f t="shared" si="14"/>
        <v>55576.32</v>
      </c>
      <c r="E93" s="1027">
        <f t="shared" si="15"/>
        <v>0</v>
      </c>
      <c r="F93" s="1027">
        <f t="shared" si="16"/>
        <v>55576.32</v>
      </c>
      <c r="G93" s="1029">
        <f t="shared" si="17"/>
        <v>4201.91</v>
      </c>
      <c r="H93" s="1029">
        <f t="shared" si="18"/>
        <v>100761.36</v>
      </c>
      <c r="I93" s="1400">
        <f t="shared" si="19"/>
        <v>216115.91</v>
      </c>
      <c r="J93" s="1028">
        <f t="shared" si="20"/>
        <v>104963.27</v>
      </c>
      <c r="K93" s="1400">
        <f t="shared" si="21"/>
        <v>160539.59</v>
      </c>
      <c r="L93" s="1030">
        <v>0</v>
      </c>
      <c r="M93" s="1018">
        <v>0</v>
      </c>
      <c r="N93" s="1018">
        <v>0</v>
      </c>
      <c r="O93" s="1018">
        <v>4201.91</v>
      </c>
      <c r="P93" s="1018">
        <v>0</v>
      </c>
      <c r="Q93" s="1019">
        <f t="shared" si="22"/>
        <v>4201.91</v>
      </c>
      <c r="R93" s="1020">
        <v>55576.32</v>
      </c>
      <c r="S93" s="1021">
        <v>0</v>
      </c>
      <c r="T93" s="1021">
        <v>55576.32</v>
      </c>
      <c r="U93" s="1021">
        <v>0</v>
      </c>
      <c r="V93" s="1021">
        <v>100761.36</v>
      </c>
      <c r="W93" s="1021">
        <f t="shared" si="23"/>
        <v>211914</v>
      </c>
    </row>
    <row r="94" spans="1:23" ht="15" customHeight="1" x14ac:dyDescent="0.25">
      <c r="A94" s="719" t="s">
        <v>232</v>
      </c>
      <c r="B94" s="724" t="s">
        <v>233</v>
      </c>
      <c r="C94" s="923" t="s">
        <v>267</v>
      </c>
      <c r="D94" s="1027">
        <f t="shared" si="14"/>
        <v>33955.35</v>
      </c>
      <c r="E94" s="1027">
        <f t="shared" si="15"/>
        <v>0</v>
      </c>
      <c r="F94" s="1027">
        <f t="shared" si="16"/>
        <v>33955.35</v>
      </c>
      <c r="G94" s="1029">
        <f t="shared" si="17"/>
        <v>0</v>
      </c>
      <c r="H94" s="1029">
        <f t="shared" si="18"/>
        <v>74411.3</v>
      </c>
      <c r="I94" s="1400">
        <f t="shared" si="19"/>
        <v>142322</v>
      </c>
      <c r="J94" s="1028">
        <f t="shared" si="20"/>
        <v>74411.3</v>
      </c>
      <c r="K94" s="1400">
        <f t="shared" si="21"/>
        <v>108366.65</v>
      </c>
      <c r="L94" s="1031"/>
      <c r="M94" s="1021"/>
      <c r="N94" s="1021"/>
      <c r="O94" s="1021"/>
      <c r="P94" s="1021"/>
      <c r="Q94" s="1019">
        <f t="shared" si="22"/>
        <v>0</v>
      </c>
      <c r="R94" s="1020">
        <v>33955.35</v>
      </c>
      <c r="S94" s="1021">
        <v>0</v>
      </c>
      <c r="T94" s="1021">
        <v>33955.35</v>
      </c>
      <c r="U94" s="1021">
        <v>0</v>
      </c>
      <c r="V94" s="1021">
        <v>74411.3</v>
      </c>
      <c r="W94" s="1021">
        <f t="shared" si="23"/>
        <v>142322</v>
      </c>
    </row>
    <row r="95" spans="1:23" ht="15" customHeight="1" x14ac:dyDescent="0.25">
      <c r="A95" s="719" t="s">
        <v>234</v>
      </c>
      <c r="B95" s="724" t="s">
        <v>235</v>
      </c>
      <c r="C95" s="923" t="s">
        <v>268</v>
      </c>
      <c r="D95" s="1027">
        <f t="shared" si="14"/>
        <v>61384.18</v>
      </c>
      <c r="E95" s="1027">
        <f t="shared" si="15"/>
        <v>0</v>
      </c>
      <c r="F95" s="1027">
        <f t="shared" si="16"/>
        <v>61384.18</v>
      </c>
      <c r="G95" s="1029">
        <f t="shared" si="17"/>
        <v>22651.72</v>
      </c>
      <c r="H95" s="1029">
        <f t="shared" si="18"/>
        <v>105135.64</v>
      </c>
      <c r="I95" s="1400">
        <f t="shared" si="19"/>
        <v>250555.72000000003</v>
      </c>
      <c r="J95" s="1028">
        <f t="shared" si="20"/>
        <v>127787.36</v>
      </c>
      <c r="K95" s="1400">
        <f t="shared" si="21"/>
        <v>189171.54</v>
      </c>
      <c r="L95" s="1030">
        <v>0</v>
      </c>
      <c r="M95" s="1018">
        <v>0</v>
      </c>
      <c r="N95" s="1018">
        <v>0</v>
      </c>
      <c r="O95" s="1018">
        <v>22651.72</v>
      </c>
      <c r="P95" s="1018">
        <v>0</v>
      </c>
      <c r="Q95" s="1019">
        <f t="shared" si="22"/>
        <v>22651.72</v>
      </c>
      <c r="R95" s="1020">
        <v>61384.18</v>
      </c>
      <c r="S95" s="1021">
        <v>0</v>
      </c>
      <c r="T95" s="1021">
        <v>61384.18</v>
      </c>
      <c r="U95" s="1021">
        <v>0</v>
      </c>
      <c r="V95" s="1021">
        <v>105135.64</v>
      </c>
      <c r="W95" s="1021">
        <f t="shared" si="23"/>
        <v>227904</v>
      </c>
    </row>
    <row r="96" spans="1:23" ht="15" customHeight="1" x14ac:dyDescent="0.25">
      <c r="A96" s="719" t="s">
        <v>236</v>
      </c>
      <c r="B96" s="724" t="s">
        <v>237</v>
      </c>
      <c r="C96" s="923" t="s">
        <v>266</v>
      </c>
      <c r="D96" s="1027">
        <f t="shared" si="14"/>
        <v>46771.05</v>
      </c>
      <c r="E96" s="1027">
        <f t="shared" si="15"/>
        <v>0</v>
      </c>
      <c r="F96" s="1027">
        <f t="shared" si="16"/>
        <v>46771.05</v>
      </c>
      <c r="G96" s="1029">
        <f t="shared" si="17"/>
        <v>6947.96</v>
      </c>
      <c r="H96" s="1029">
        <f t="shared" si="18"/>
        <v>72001.899999999994</v>
      </c>
      <c r="I96" s="1400">
        <f t="shared" si="19"/>
        <v>172491.96000000002</v>
      </c>
      <c r="J96" s="1028">
        <f t="shared" si="20"/>
        <v>78949.86</v>
      </c>
      <c r="K96" s="1400">
        <f t="shared" si="21"/>
        <v>125720.91</v>
      </c>
      <c r="L96" s="1031">
        <v>0</v>
      </c>
      <c r="M96" s="1021">
        <v>0</v>
      </c>
      <c r="N96" s="1021">
        <v>0</v>
      </c>
      <c r="O96" s="1021">
        <v>6947.96</v>
      </c>
      <c r="P96" s="1021">
        <v>0</v>
      </c>
      <c r="Q96" s="1019">
        <f t="shared" si="22"/>
        <v>6947.96</v>
      </c>
      <c r="R96" s="1020">
        <v>46771.05</v>
      </c>
      <c r="S96" s="1021">
        <v>0</v>
      </c>
      <c r="T96" s="1021">
        <v>46771.05</v>
      </c>
      <c r="U96" s="1021">
        <v>0</v>
      </c>
      <c r="V96" s="1021">
        <v>72001.899999999994</v>
      </c>
      <c r="W96" s="1021">
        <f t="shared" si="23"/>
        <v>165544</v>
      </c>
    </row>
    <row r="97" spans="1:23" ht="15" customHeight="1" x14ac:dyDescent="0.25">
      <c r="A97" s="719" t="s">
        <v>242</v>
      </c>
      <c r="B97" s="724" t="s">
        <v>243</v>
      </c>
      <c r="C97" s="923" t="s">
        <v>268</v>
      </c>
      <c r="D97" s="1027">
        <f t="shared" si="14"/>
        <v>56834.1</v>
      </c>
      <c r="E97" s="1027">
        <f t="shared" si="15"/>
        <v>0</v>
      </c>
      <c r="F97" s="1027">
        <f t="shared" si="16"/>
        <v>56834.1</v>
      </c>
      <c r="G97" s="1029">
        <f t="shared" si="17"/>
        <v>0</v>
      </c>
      <c r="H97" s="1029">
        <f t="shared" si="18"/>
        <v>117105.8</v>
      </c>
      <c r="I97" s="1400">
        <f t="shared" si="19"/>
        <v>230774</v>
      </c>
      <c r="J97" s="1028">
        <f t="shared" si="20"/>
        <v>117105.8</v>
      </c>
      <c r="K97" s="1400">
        <f t="shared" si="21"/>
        <v>173939.9</v>
      </c>
      <c r="L97" s="1031"/>
      <c r="M97" s="1021"/>
      <c r="N97" s="1021"/>
      <c r="O97" s="1021"/>
      <c r="P97" s="1021"/>
      <c r="Q97" s="1019">
        <f t="shared" si="22"/>
        <v>0</v>
      </c>
      <c r="R97" s="1020">
        <v>56834.1</v>
      </c>
      <c r="S97" s="1021">
        <v>0</v>
      </c>
      <c r="T97" s="1021">
        <v>56834.1</v>
      </c>
      <c r="U97" s="1021">
        <v>0</v>
      </c>
      <c r="V97" s="1021">
        <v>117105.8</v>
      </c>
      <c r="W97" s="1021">
        <f t="shared" si="23"/>
        <v>230774</v>
      </c>
    </row>
    <row r="98" spans="1:23" ht="15" customHeight="1" x14ac:dyDescent="0.25">
      <c r="A98" s="719" t="s">
        <v>244</v>
      </c>
      <c r="B98" s="724" t="s">
        <v>245</v>
      </c>
      <c r="C98" s="923" t="s">
        <v>268</v>
      </c>
      <c r="D98" s="1027">
        <f t="shared" si="14"/>
        <v>69900.77</v>
      </c>
      <c r="E98" s="1027">
        <f t="shared" si="15"/>
        <v>0</v>
      </c>
      <c r="F98" s="1027">
        <f t="shared" si="16"/>
        <v>69900.77</v>
      </c>
      <c r="G98" s="1029">
        <f t="shared" si="17"/>
        <v>0</v>
      </c>
      <c r="H98" s="1029">
        <f t="shared" si="18"/>
        <v>104632.46</v>
      </c>
      <c r="I98" s="1400">
        <f t="shared" si="19"/>
        <v>244434</v>
      </c>
      <c r="J98" s="1028">
        <f t="shared" si="20"/>
        <v>104632.46</v>
      </c>
      <c r="K98" s="1400">
        <f t="shared" si="21"/>
        <v>174533.23</v>
      </c>
      <c r="L98" s="1031"/>
      <c r="M98" s="1021"/>
      <c r="N98" s="1021"/>
      <c r="O98" s="1021"/>
      <c r="P98" s="1021"/>
      <c r="Q98" s="1019">
        <f t="shared" si="22"/>
        <v>0</v>
      </c>
      <c r="R98" s="1020">
        <v>69900.77</v>
      </c>
      <c r="S98" s="1021">
        <v>0</v>
      </c>
      <c r="T98" s="1021">
        <v>69900.77</v>
      </c>
      <c r="U98" s="1021">
        <v>0</v>
      </c>
      <c r="V98" s="1021">
        <v>104632.46</v>
      </c>
      <c r="W98" s="1021">
        <f t="shared" si="23"/>
        <v>244434</v>
      </c>
    </row>
    <row r="99" spans="1:23" ht="15" customHeight="1" x14ac:dyDescent="0.25">
      <c r="A99" s="719" t="s">
        <v>246</v>
      </c>
      <c r="B99" s="724" t="s">
        <v>310</v>
      </c>
      <c r="C99" s="923" t="s">
        <v>264</v>
      </c>
      <c r="D99" s="1027">
        <f t="shared" si="14"/>
        <v>127848.14</v>
      </c>
      <c r="E99" s="1027">
        <f t="shared" si="15"/>
        <v>0</v>
      </c>
      <c r="F99" s="1027">
        <f t="shared" si="16"/>
        <v>127848.14</v>
      </c>
      <c r="G99" s="1029">
        <f t="shared" si="17"/>
        <v>0</v>
      </c>
      <c r="H99" s="1029">
        <f t="shared" si="18"/>
        <v>350537.72</v>
      </c>
      <c r="I99" s="1400">
        <f t="shared" si="19"/>
        <v>606234</v>
      </c>
      <c r="J99" s="1028">
        <f t="shared" si="20"/>
        <v>350537.72</v>
      </c>
      <c r="K99" s="1400">
        <f t="shared" si="21"/>
        <v>478385.86</v>
      </c>
      <c r="L99" s="1031"/>
      <c r="M99" s="1021"/>
      <c r="N99" s="1021"/>
      <c r="O99" s="1021"/>
      <c r="P99" s="1021"/>
      <c r="Q99" s="1019">
        <f t="shared" si="22"/>
        <v>0</v>
      </c>
      <c r="R99" s="1020">
        <v>127848.14</v>
      </c>
      <c r="S99" s="1021">
        <v>0</v>
      </c>
      <c r="T99" s="1021">
        <v>127848.14</v>
      </c>
      <c r="U99" s="1021">
        <v>0</v>
      </c>
      <c r="V99" s="1021">
        <v>350537.72</v>
      </c>
      <c r="W99" s="1021">
        <f t="shared" si="23"/>
        <v>606234</v>
      </c>
    </row>
    <row r="100" spans="1:23" ht="15" customHeight="1" x14ac:dyDescent="0.25">
      <c r="A100" s="719" t="s">
        <v>14</v>
      </c>
      <c r="B100" s="724" t="s">
        <v>15</v>
      </c>
      <c r="C100" s="923" t="s">
        <v>267</v>
      </c>
      <c r="D100" s="1027">
        <f t="shared" si="14"/>
        <v>616720.54</v>
      </c>
      <c r="E100" s="1027">
        <f t="shared" si="15"/>
        <v>0</v>
      </c>
      <c r="F100" s="1027">
        <f t="shared" si="16"/>
        <v>616720.54</v>
      </c>
      <c r="G100" s="1029">
        <f t="shared" si="17"/>
        <v>0</v>
      </c>
      <c r="H100" s="1029">
        <f t="shared" si="18"/>
        <v>1821827.62</v>
      </c>
      <c r="I100" s="1400">
        <f t="shared" si="19"/>
        <v>3055268.7</v>
      </c>
      <c r="J100" s="1028">
        <f t="shared" si="20"/>
        <v>1821827.62</v>
      </c>
      <c r="K100" s="1400">
        <f t="shared" si="21"/>
        <v>2438548.16</v>
      </c>
      <c r="L100" s="1031"/>
      <c r="M100" s="1021"/>
      <c r="N100" s="1021"/>
      <c r="O100" s="1021"/>
      <c r="P100" s="1021"/>
      <c r="Q100" s="1019">
        <f t="shared" si="22"/>
        <v>0</v>
      </c>
      <c r="R100" s="1020">
        <v>616720.54</v>
      </c>
      <c r="S100" s="1021">
        <v>0</v>
      </c>
      <c r="T100" s="1021">
        <v>616720.54</v>
      </c>
      <c r="U100" s="1021">
        <v>0</v>
      </c>
      <c r="V100" s="1021">
        <v>1821827.62</v>
      </c>
      <c r="W100" s="1021">
        <f t="shared" si="23"/>
        <v>3055268.7</v>
      </c>
    </row>
    <row r="101" spans="1:23" ht="15" customHeight="1" x14ac:dyDescent="0.25">
      <c r="A101" s="719" t="s">
        <v>34</v>
      </c>
      <c r="B101" s="724" t="s">
        <v>35</v>
      </c>
      <c r="C101" s="923" t="s">
        <v>268</v>
      </c>
      <c r="D101" s="1027">
        <f t="shared" si="14"/>
        <v>38354.93</v>
      </c>
      <c r="E101" s="1027">
        <f t="shared" si="15"/>
        <v>0</v>
      </c>
      <c r="F101" s="1027">
        <f t="shared" si="16"/>
        <v>38354.93</v>
      </c>
      <c r="G101" s="1029">
        <f t="shared" si="17"/>
        <v>0</v>
      </c>
      <c r="H101" s="1029">
        <f t="shared" si="18"/>
        <v>68630.14</v>
      </c>
      <c r="I101" s="1400">
        <f t="shared" si="19"/>
        <v>145340</v>
      </c>
      <c r="J101" s="1028">
        <f t="shared" si="20"/>
        <v>68630.14</v>
      </c>
      <c r="K101" s="1400">
        <f t="shared" si="21"/>
        <v>106985.07</v>
      </c>
      <c r="L101" s="1031"/>
      <c r="M101" s="1021"/>
      <c r="N101" s="1021"/>
      <c r="O101" s="1021"/>
      <c r="P101" s="1021"/>
      <c r="Q101" s="1019">
        <f t="shared" si="22"/>
        <v>0</v>
      </c>
      <c r="R101" s="1020">
        <v>38354.93</v>
      </c>
      <c r="S101" s="1021">
        <v>0</v>
      </c>
      <c r="T101" s="1021">
        <v>38354.93</v>
      </c>
      <c r="U101" s="1021">
        <v>0</v>
      </c>
      <c r="V101" s="1021">
        <v>68630.14</v>
      </c>
      <c r="W101" s="1021">
        <f t="shared" si="23"/>
        <v>145340</v>
      </c>
    </row>
    <row r="102" spans="1:23" ht="15" customHeight="1" x14ac:dyDescent="0.25">
      <c r="A102" s="719" t="s">
        <v>52</v>
      </c>
      <c r="B102" s="724" t="s">
        <v>53</v>
      </c>
      <c r="C102" s="923" t="s">
        <v>265</v>
      </c>
      <c r="D102" s="1027">
        <f t="shared" si="14"/>
        <v>90553.31</v>
      </c>
      <c r="E102" s="1027">
        <f t="shared" si="15"/>
        <v>0</v>
      </c>
      <c r="F102" s="1027">
        <f t="shared" si="16"/>
        <v>90553.31</v>
      </c>
      <c r="G102" s="1029">
        <f t="shared" si="17"/>
        <v>0</v>
      </c>
      <c r="H102" s="1029">
        <f t="shared" si="18"/>
        <v>213554.38</v>
      </c>
      <c r="I102" s="1400">
        <f t="shared" si="19"/>
        <v>394661</v>
      </c>
      <c r="J102" s="1028">
        <f t="shared" si="20"/>
        <v>213554.38</v>
      </c>
      <c r="K102" s="1400">
        <f t="shared" si="21"/>
        <v>304107.69</v>
      </c>
      <c r="L102" s="1031"/>
      <c r="M102" s="1021"/>
      <c r="N102" s="1021"/>
      <c r="O102" s="1021"/>
      <c r="P102" s="1021"/>
      <c r="Q102" s="1019">
        <f t="shared" si="22"/>
        <v>0</v>
      </c>
      <c r="R102" s="1020">
        <v>90553.31</v>
      </c>
      <c r="S102" s="1021">
        <v>0</v>
      </c>
      <c r="T102" s="1021">
        <v>90553.31</v>
      </c>
      <c r="U102" s="1021">
        <v>0</v>
      </c>
      <c r="V102" s="1021">
        <v>213554.38</v>
      </c>
      <c r="W102" s="1021">
        <f t="shared" si="23"/>
        <v>394661</v>
      </c>
    </row>
    <row r="103" spans="1:23" ht="15" customHeight="1" x14ac:dyDescent="0.25">
      <c r="A103" s="719" t="s">
        <v>54</v>
      </c>
      <c r="B103" s="724" t="s">
        <v>55</v>
      </c>
      <c r="C103" s="923" t="s">
        <v>264</v>
      </c>
      <c r="D103" s="1027">
        <f t="shared" si="14"/>
        <v>408086.61</v>
      </c>
      <c r="E103" s="1027">
        <f t="shared" si="15"/>
        <v>0</v>
      </c>
      <c r="F103" s="1027">
        <f t="shared" si="16"/>
        <v>408086.61</v>
      </c>
      <c r="G103" s="1029">
        <f t="shared" si="17"/>
        <v>0</v>
      </c>
      <c r="H103" s="1029">
        <f t="shared" si="18"/>
        <v>749170.78</v>
      </c>
      <c r="I103" s="1400">
        <f t="shared" si="19"/>
        <v>1565344</v>
      </c>
      <c r="J103" s="1028">
        <f t="shared" si="20"/>
        <v>749170.78</v>
      </c>
      <c r="K103" s="1400">
        <f t="shared" si="21"/>
        <v>1157257.3900000001</v>
      </c>
      <c r="L103" s="1031"/>
      <c r="M103" s="1021"/>
      <c r="N103" s="1021"/>
      <c r="O103" s="1021"/>
      <c r="P103" s="1021"/>
      <c r="Q103" s="1019">
        <f t="shared" si="22"/>
        <v>0</v>
      </c>
      <c r="R103" s="1020">
        <v>408086.61</v>
      </c>
      <c r="S103" s="1021">
        <v>0</v>
      </c>
      <c r="T103" s="1021">
        <v>408086.61</v>
      </c>
      <c r="U103" s="1021">
        <v>0</v>
      </c>
      <c r="V103" s="1021">
        <v>749170.78</v>
      </c>
      <c r="W103" s="1021">
        <f t="shared" si="23"/>
        <v>1565344</v>
      </c>
    </row>
    <row r="104" spans="1:23" ht="15" customHeight="1" x14ac:dyDescent="0.25">
      <c r="A104" s="719" t="s">
        <v>66</v>
      </c>
      <c r="B104" s="724" t="s">
        <v>67</v>
      </c>
      <c r="C104" s="923" t="s">
        <v>265</v>
      </c>
      <c r="D104" s="1027">
        <f t="shared" si="14"/>
        <v>199989.19</v>
      </c>
      <c r="E104" s="1027">
        <f t="shared" si="15"/>
        <v>0</v>
      </c>
      <c r="F104" s="1027">
        <f t="shared" si="16"/>
        <v>199989.19</v>
      </c>
      <c r="G104" s="1029">
        <f t="shared" si="17"/>
        <v>0</v>
      </c>
      <c r="H104" s="1029">
        <f t="shared" si="18"/>
        <v>352278.62</v>
      </c>
      <c r="I104" s="1400">
        <f t="shared" si="19"/>
        <v>752257</v>
      </c>
      <c r="J104" s="1028">
        <f t="shared" si="20"/>
        <v>352278.62</v>
      </c>
      <c r="K104" s="1400">
        <f t="shared" si="21"/>
        <v>552267.81000000006</v>
      </c>
      <c r="L104" s="1031"/>
      <c r="M104" s="1021"/>
      <c r="N104" s="1021"/>
      <c r="O104" s="1021"/>
      <c r="P104" s="1021"/>
      <c r="Q104" s="1019">
        <f t="shared" si="22"/>
        <v>0</v>
      </c>
      <c r="R104" s="1020">
        <v>199989.19</v>
      </c>
      <c r="S104" s="1021">
        <v>0</v>
      </c>
      <c r="T104" s="1021">
        <v>199989.19</v>
      </c>
      <c r="U104" s="1021">
        <v>0</v>
      </c>
      <c r="V104" s="1021">
        <v>352278.62</v>
      </c>
      <c r="W104" s="1021">
        <f t="shared" si="23"/>
        <v>752257</v>
      </c>
    </row>
    <row r="105" spans="1:23" ht="15" customHeight="1" x14ac:dyDescent="0.25">
      <c r="A105" s="719" t="s">
        <v>82</v>
      </c>
      <c r="B105" s="724" t="s">
        <v>311</v>
      </c>
      <c r="C105" s="923" t="s">
        <v>264</v>
      </c>
      <c r="D105" s="1027">
        <f t="shared" si="14"/>
        <v>24421.47</v>
      </c>
      <c r="E105" s="1027">
        <f t="shared" si="15"/>
        <v>0</v>
      </c>
      <c r="F105" s="1027">
        <f t="shared" si="16"/>
        <v>24421.47</v>
      </c>
      <c r="G105" s="1029">
        <f t="shared" si="17"/>
        <v>0</v>
      </c>
      <c r="H105" s="1029">
        <f t="shared" si="18"/>
        <v>32415.06</v>
      </c>
      <c r="I105" s="1400">
        <f t="shared" si="19"/>
        <v>81258</v>
      </c>
      <c r="J105" s="1028">
        <f t="shared" si="20"/>
        <v>32415.06</v>
      </c>
      <c r="K105" s="1400">
        <f t="shared" si="21"/>
        <v>56836.53</v>
      </c>
      <c r="L105" s="1031"/>
      <c r="M105" s="1021"/>
      <c r="N105" s="1021"/>
      <c r="O105" s="1021"/>
      <c r="P105" s="1021"/>
      <c r="Q105" s="1019">
        <f t="shared" si="22"/>
        <v>0</v>
      </c>
      <c r="R105" s="1020">
        <v>24421.47</v>
      </c>
      <c r="S105" s="1021">
        <v>0</v>
      </c>
      <c r="T105" s="1021">
        <v>24421.47</v>
      </c>
      <c r="U105" s="1021">
        <v>0</v>
      </c>
      <c r="V105" s="1021">
        <v>32415.06</v>
      </c>
      <c r="W105" s="1021">
        <f t="shared" si="23"/>
        <v>81258</v>
      </c>
    </row>
    <row r="106" spans="1:23" ht="15" customHeight="1" x14ac:dyDescent="0.25">
      <c r="A106" s="719" t="s">
        <v>88</v>
      </c>
      <c r="B106" s="724" t="s">
        <v>89</v>
      </c>
      <c r="C106" s="923" t="s">
        <v>267</v>
      </c>
      <c r="D106" s="1027">
        <f t="shared" si="14"/>
        <v>37313.56</v>
      </c>
      <c r="E106" s="1027">
        <f t="shared" si="15"/>
        <v>0</v>
      </c>
      <c r="F106" s="1027">
        <f t="shared" si="16"/>
        <v>37313.56</v>
      </c>
      <c r="G106" s="1029">
        <f t="shared" si="17"/>
        <v>0</v>
      </c>
      <c r="H106" s="1029">
        <f t="shared" si="18"/>
        <v>69686.880000000005</v>
      </c>
      <c r="I106" s="1400">
        <f t="shared" si="19"/>
        <v>144314</v>
      </c>
      <c r="J106" s="1028">
        <f t="shared" si="20"/>
        <v>69686.880000000005</v>
      </c>
      <c r="K106" s="1400">
        <f t="shared" si="21"/>
        <v>107000.44</v>
      </c>
      <c r="L106" s="1031"/>
      <c r="M106" s="1021"/>
      <c r="N106" s="1021"/>
      <c r="O106" s="1021"/>
      <c r="P106" s="1021"/>
      <c r="Q106" s="1019">
        <f t="shared" si="22"/>
        <v>0</v>
      </c>
      <c r="R106" s="1020">
        <v>37313.56</v>
      </c>
      <c r="S106" s="1021">
        <v>0</v>
      </c>
      <c r="T106" s="1021">
        <v>37313.56</v>
      </c>
      <c r="U106" s="1021">
        <v>0</v>
      </c>
      <c r="V106" s="1021">
        <v>69686.880000000005</v>
      </c>
      <c r="W106" s="1021">
        <f t="shared" si="23"/>
        <v>144314</v>
      </c>
    </row>
    <row r="107" spans="1:23" ht="15" customHeight="1" x14ac:dyDescent="0.25">
      <c r="A107" s="719" t="s">
        <v>90</v>
      </c>
      <c r="B107" s="724" t="s">
        <v>91</v>
      </c>
      <c r="C107" s="923" t="s">
        <v>268</v>
      </c>
      <c r="D107" s="1027">
        <f t="shared" si="14"/>
        <v>20192.91</v>
      </c>
      <c r="E107" s="1027">
        <f t="shared" si="15"/>
        <v>0</v>
      </c>
      <c r="F107" s="1027">
        <f t="shared" si="16"/>
        <v>20192.91</v>
      </c>
      <c r="G107" s="1029">
        <f t="shared" si="17"/>
        <v>0</v>
      </c>
      <c r="H107" s="1029">
        <f t="shared" si="18"/>
        <v>24973.18</v>
      </c>
      <c r="I107" s="1400">
        <f t="shared" si="19"/>
        <v>65359</v>
      </c>
      <c r="J107" s="1028">
        <f t="shared" si="20"/>
        <v>24973.18</v>
      </c>
      <c r="K107" s="1400">
        <f t="shared" si="21"/>
        <v>45166.09</v>
      </c>
      <c r="L107" s="1031"/>
      <c r="M107" s="1021"/>
      <c r="N107" s="1021"/>
      <c r="O107" s="1021"/>
      <c r="P107" s="1021"/>
      <c r="Q107" s="1019">
        <f t="shared" si="22"/>
        <v>0</v>
      </c>
      <c r="R107" s="1020">
        <v>20192.91</v>
      </c>
      <c r="S107" s="1021">
        <v>0</v>
      </c>
      <c r="T107" s="1021">
        <v>20192.91</v>
      </c>
      <c r="U107" s="1021">
        <v>0</v>
      </c>
      <c r="V107" s="1021">
        <v>24973.18</v>
      </c>
      <c r="W107" s="1021">
        <f t="shared" si="23"/>
        <v>65359</v>
      </c>
    </row>
    <row r="108" spans="1:23" ht="15" customHeight="1" x14ac:dyDescent="0.25">
      <c r="A108" s="719" t="s">
        <v>106</v>
      </c>
      <c r="B108" s="724" t="s">
        <v>107</v>
      </c>
      <c r="C108" s="923" t="s">
        <v>264</v>
      </c>
      <c r="D108" s="1027">
        <f t="shared" si="14"/>
        <v>150134.60999999999</v>
      </c>
      <c r="E108" s="1027">
        <f t="shared" si="15"/>
        <v>0</v>
      </c>
      <c r="F108" s="1027">
        <f t="shared" si="16"/>
        <v>150134.60999999999</v>
      </c>
      <c r="G108" s="1029">
        <f t="shared" si="17"/>
        <v>0</v>
      </c>
      <c r="H108" s="1029">
        <f t="shared" si="18"/>
        <v>217805.78</v>
      </c>
      <c r="I108" s="1400">
        <f t="shared" si="19"/>
        <v>518075</v>
      </c>
      <c r="J108" s="1028">
        <f t="shared" si="20"/>
        <v>217805.78</v>
      </c>
      <c r="K108" s="1400">
        <f t="shared" si="21"/>
        <v>367940.39</v>
      </c>
      <c r="L108" s="1031"/>
      <c r="M108" s="1021"/>
      <c r="N108" s="1021"/>
      <c r="O108" s="1021"/>
      <c r="P108" s="1021"/>
      <c r="Q108" s="1019">
        <f t="shared" si="22"/>
        <v>0</v>
      </c>
      <c r="R108" s="1020">
        <v>150134.60999999999</v>
      </c>
      <c r="S108" s="1021">
        <v>0</v>
      </c>
      <c r="T108" s="1021">
        <v>150134.60999999999</v>
      </c>
      <c r="U108" s="1021">
        <v>0</v>
      </c>
      <c r="V108" s="1021">
        <v>217805.78</v>
      </c>
      <c r="W108" s="1021">
        <f t="shared" si="23"/>
        <v>518075</v>
      </c>
    </row>
    <row r="109" spans="1:23" ht="15" customHeight="1" x14ac:dyDescent="0.25">
      <c r="A109" s="719" t="s">
        <v>116</v>
      </c>
      <c r="B109" s="724" t="s">
        <v>117</v>
      </c>
      <c r="C109" s="923" t="s">
        <v>266</v>
      </c>
      <c r="D109" s="1027">
        <f t="shared" si="14"/>
        <v>131521.12</v>
      </c>
      <c r="E109" s="1027">
        <f t="shared" si="15"/>
        <v>0</v>
      </c>
      <c r="F109" s="1027">
        <f t="shared" si="16"/>
        <v>131521.12</v>
      </c>
      <c r="G109" s="1029">
        <f t="shared" si="17"/>
        <v>0</v>
      </c>
      <c r="H109" s="1029">
        <f t="shared" si="18"/>
        <v>165160.76</v>
      </c>
      <c r="I109" s="1400">
        <f t="shared" si="19"/>
        <v>428203</v>
      </c>
      <c r="J109" s="1028">
        <f t="shared" si="20"/>
        <v>165160.76</v>
      </c>
      <c r="K109" s="1400">
        <f t="shared" si="21"/>
        <v>296681.88</v>
      </c>
      <c r="L109" s="1031"/>
      <c r="M109" s="1021"/>
      <c r="N109" s="1021"/>
      <c r="O109" s="1021"/>
      <c r="P109" s="1021"/>
      <c r="Q109" s="1019">
        <f t="shared" si="22"/>
        <v>0</v>
      </c>
      <c r="R109" s="1020">
        <v>131521.12</v>
      </c>
      <c r="S109" s="1021">
        <v>0</v>
      </c>
      <c r="T109" s="1021">
        <v>131521.12</v>
      </c>
      <c r="U109" s="1021">
        <v>0</v>
      </c>
      <c r="V109" s="1021">
        <v>165160.76</v>
      </c>
      <c r="W109" s="1021">
        <f t="shared" si="23"/>
        <v>428203</v>
      </c>
    </row>
    <row r="110" spans="1:23" ht="15" customHeight="1" x14ac:dyDescent="0.25">
      <c r="A110" s="719" t="s">
        <v>138</v>
      </c>
      <c r="B110" s="724" t="s">
        <v>139</v>
      </c>
      <c r="C110" s="923" t="s">
        <v>265</v>
      </c>
      <c r="D110" s="1027">
        <f t="shared" si="14"/>
        <v>375584.72</v>
      </c>
      <c r="E110" s="1027">
        <f t="shared" si="15"/>
        <v>0</v>
      </c>
      <c r="F110" s="1027">
        <f t="shared" si="16"/>
        <v>375584.72</v>
      </c>
      <c r="G110" s="1029">
        <f t="shared" si="17"/>
        <v>0</v>
      </c>
      <c r="H110" s="1029">
        <f t="shared" si="18"/>
        <v>761692.56</v>
      </c>
      <c r="I110" s="1400">
        <f t="shared" si="19"/>
        <v>1512862</v>
      </c>
      <c r="J110" s="1028">
        <f t="shared" si="20"/>
        <v>761692.56</v>
      </c>
      <c r="K110" s="1400">
        <f t="shared" si="21"/>
        <v>1137277.28</v>
      </c>
      <c r="L110" s="1031"/>
      <c r="M110" s="1021"/>
      <c r="N110" s="1021"/>
      <c r="O110" s="1021"/>
      <c r="P110" s="1021"/>
      <c r="Q110" s="1019">
        <f t="shared" si="22"/>
        <v>0</v>
      </c>
      <c r="R110" s="1020">
        <v>375584.72</v>
      </c>
      <c r="S110" s="1021">
        <v>0</v>
      </c>
      <c r="T110" s="1021">
        <v>375584.72</v>
      </c>
      <c r="U110" s="1021">
        <v>0</v>
      </c>
      <c r="V110" s="1021">
        <v>761692.56</v>
      </c>
      <c r="W110" s="1021">
        <f t="shared" si="23"/>
        <v>1512862</v>
      </c>
    </row>
    <row r="111" spans="1:23" ht="15" customHeight="1" x14ac:dyDescent="0.25">
      <c r="A111" s="719" t="s">
        <v>142</v>
      </c>
      <c r="B111" s="724" t="s">
        <v>143</v>
      </c>
      <c r="C111" s="923" t="s">
        <v>267</v>
      </c>
      <c r="D111" s="1027">
        <f t="shared" si="14"/>
        <v>64382.59</v>
      </c>
      <c r="E111" s="1027">
        <f t="shared" si="15"/>
        <v>0</v>
      </c>
      <c r="F111" s="1027">
        <f t="shared" si="16"/>
        <v>64382.59</v>
      </c>
      <c r="G111" s="1029">
        <f t="shared" si="17"/>
        <v>0</v>
      </c>
      <c r="H111" s="1029">
        <f t="shared" si="18"/>
        <v>114732.82</v>
      </c>
      <c r="I111" s="1400">
        <f t="shared" si="19"/>
        <v>243498</v>
      </c>
      <c r="J111" s="1028">
        <f t="shared" si="20"/>
        <v>114732.82</v>
      </c>
      <c r="K111" s="1400">
        <f t="shared" si="21"/>
        <v>179115.41</v>
      </c>
      <c r="L111" s="1031"/>
      <c r="M111" s="1021"/>
      <c r="N111" s="1021"/>
      <c r="O111" s="1021"/>
      <c r="P111" s="1021"/>
      <c r="Q111" s="1019">
        <f t="shared" si="22"/>
        <v>0</v>
      </c>
      <c r="R111" s="1020">
        <v>64382.59</v>
      </c>
      <c r="S111" s="1021">
        <v>0</v>
      </c>
      <c r="T111" s="1021">
        <v>64382.59</v>
      </c>
      <c r="U111" s="1021">
        <v>0</v>
      </c>
      <c r="V111" s="1021">
        <v>114732.82</v>
      </c>
      <c r="W111" s="1021">
        <f t="shared" si="23"/>
        <v>243498</v>
      </c>
    </row>
    <row r="112" spans="1:23" ht="15" customHeight="1" x14ac:dyDescent="0.25">
      <c r="A112" s="719" t="s">
        <v>144</v>
      </c>
      <c r="B112" s="724" t="s">
        <v>145</v>
      </c>
      <c r="C112" s="923" t="s">
        <v>267</v>
      </c>
      <c r="D112" s="1027">
        <f t="shared" si="14"/>
        <v>48163.88</v>
      </c>
      <c r="E112" s="1027">
        <f t="shared" si="15"/>
        <v>0</v>
      </c>
      <c r="F112" s="1027">
        <f t="shared" si="16"/>
        <v>48163.88</v>
      </c>
      <c r="G112" s="1029">
        <f t="shared" si="17"/>
        <v>0</v>
      </c>
      <c r="H112" s="1029">
        <f t="shared" si="18"/>
        <v>169030.24</v>
      </c>
      <c r="I112" s="1400">
        <f t="shared" si="19"/>
        <v>265358</v>
      </c>
      <c r="J112" s="1028">
        <f t="shared" si="20"/>
        <v>169030.24</v>
      </c>
      <c r="K112" s="1400">
        <f t="shared" si="21"/>
        <v>217194.12</v>
      </c>
      <c r="L112" s="1031"/>
      <c r="M112" s="1021"/>
      <c r="N112" s="1021"/>
      <c r="O112" s="1021"/>
      <c r="P112" s="1021"/>
      <c r="Q112" s="1019">
        <f t="shared" si="22"/>
        <v>0</v>
      </c>
      <c r="R112" s="1020">
        <v>48163.88</v>
      </c>
      <c r="S112" s="1021">
        <v>0</v>
      </c>
      <c r="T112" s="1021">
        <v>48163.88</v>
      </c>
      <c r="U112" s="1021">
        <v>0</v>
      </c>
      <c r="V112" s="1021">
        <v>169030.24</v>
      </c>
      <c r="W112" s="1021">
        <f t="shared" si="23"/>
        <v>265358</v>
      </c>
    </row>
    <row r="113" spans="1:23" ht="15" customHeight="1" x14ac:dyDescent="0.25">
      <c r="A113" s="719" t="s">
        <v>158</v>
      </c>
      <c r="B113" s="724" t="s">
        <v>159</v>
      </c>
      <c r="C113" s="923" t="s">
        <v>264</v>
      </c>
      <c r="D113" s="1027">
        <f t="shared" si="14"/>
        <v>212805.78</v>
      </c>
      <c r="E113" s="1027">
        <f t="shared" si="15"/>
        <v>0</v>
      </c>
      <c r="F113" s="1027">
        <f t="shared" si="16"/>
        <v>212805.78</v>
      </c>
      <c r="G113" s="1029">
        <f t="shared" si="17"/>
        <v>197029.13</v>
      </c>
      <c r="H113" s="1029">
        <f t="shared" si="18"/>
        <v>531333.43999999994</v>
      </c>
      <c r="I113" s="1400">
        <f t="shared" si="19"/>
        <v>1153974.1299999999</v>
      </c>
      <c r="J113" s="1028">
        <f t="shared" si="20"/>
        <v>728362.57</v>
      </c>
      <c r="K113" s="1400">
        <f t="shared" si="21"/>
        <v>941168.35</v>
      </c>
      <c r="L113" s="1030">
        <v>0</v>
      </c>
      <c r="M113" s="1018">
        <v>0</v>
      </c>
      <c r="N113" s="1018">
        <v>0</v>
      </c>
      <c r="O113" s="1018">
        <v>197029.13</v>
      </c>
      <c r="P113" s="1018">
        <v>0</v>
      </c>
      <c r="Q113" s="1019">
        <f t="shared" si="22"/>
        <v>197029.13</v>
      </c>
      <c r="R113" s="1020">
        <v>212805.78</v>
      </c>
      <c r="S113" s="1021">
        <v>0</v>
      </c>
      <c r="T113" s="1021">
        <v>212805.78</v>
      </c>
      <c r="U113" s="1021">
        <v>0</v>
      </c>
      <c r="V113" s="1021">
        <v>531333.43999999994</v>
      </c>
      <c r="W113" s="1021">
        <f t="shared" si="23"/>
        <v>956945</v>
      </c>
    </row>
    <row r="114" spans="1:23" ht="15" customHeight="1" x14ac:dyDescent="0.25">
      <c r="A114" s="719" t="s">
        <v>160</v>
      </c>
      <c r="B114" s="724" t="s">
        <v>161</v>
      </c>
      <c r="C114" s="923" t="s">
        <v>264</v>
      </c>
      <c r="D114" s="1027">
        <f t="shared" si="14"/>
        <v>714907.69</v>
      </c>
      <c r="E114" s="1027">
        <f t="shared" si="15"/>
        <v>0</v>
      </c>
      <c r="F114" s="1027">
        <f t="shared" si="16"/>
        <v>714907.69</v>
      </c>
      <c r="G114" s="1029">
        <f t="shared" si="17"/>
        <v>0</v>
      </c>
      <c r="H114" s="1029">
        <f t="shared" si="18"/>
        <v>1082888.6200000001</v>
      </c>
      <c r="I114" s="1400">
        <f t="shared" si="19"/>
        <v>2512704</v>
      </c>
      <c r="J114" s="1028">
        <f t="shared" si="20"/>
        <v>1082888.6200000001</v>
      </c>
      <c r="K114" s="1400">
        <f t="shared" si="21"/>
        <v>1797796.31</v>
      </c>
      <c r="L114" s="1031"/>
      <c r="M114" s="1021"/>
      <c r="N114" s="1021"/>
      <c r="O114" s="1021"/>
      <c r="P114" s="1021"/>
      <c r="Q114" s="1019">
        <f t="shared" si="22"/>
        <v>0</v>
      </c>
      <c r="R114" s="1020">
        <v>714907.69</v>
      </c>
      <c r="S114" s="1021">
        <v>0</v>
      </c>
      <c r="T114" s="1021">
        <v>714907.69</v>
      </c>
      <c r="U114" s="1021">
        <v>0</v>
      </c>
      <c r="V114" s="1021">
        <v>1082888.6200000001</v>
      </c>
      <c r="W114" s="1021">
        <f t="shared" si="23"/>
        <v>2512704</v>
      </c>
    </row>
    <row r="115" spans="1:23" ht="15" customHeight="1" x14ac:dyDescent="0.25">
      <c r="A115" s="719" t="s">
        <v>166</v>
      </c>
      <c r="B115" s="724" t="s">
        <v>167</v>
      </c>
      <c r="C115" s="923" t="s">
        <v>268</v>
      </c>
      <c r="D115" s="1027">
        <f t="shared" si="14"/>
        <v>25398.97</v>
      </c>
      <c r="E115" s="1027">
        <f t="shared" si="15"/>
        <v>0</v>
      </c>
      <c r="F115" s="1027">
        <f t="shared" si="16"/>
        <v>25398.97</v>
      </c>
      <c r="G115" s="1029">
        <f t="shared" si="17"/>
        <v>0</v>
      </c>
      <c r="H115" s="1029">
        <f t="shared" si="18"/>
        <v>43938.06</v>
      </c>
      <c r="I115" s="1400">
        <f t="shared" si="19"/>
        <v>94736</v>
      </c>
      <c r="J115" s="1028">
        <f t="shared" si="20"/>
        <v>43938.06</v>
      </c>
      <c r="K115" s="1400">
        <f t="shared" si="21"/>
        <v>69337.03</v>
      </c>
      <c r="L115" s="1031"/>
      <c r="M115" s="1021"/>
      <c r="N115" s="1021"/>
      <c r="O115" s="1021"/>
      <c r="P115" s="1021"/>
      <c r="Q115" s="1019">
        <f t="shared" si="22"/>
        <v>0</v>
      </c>
      <c r="R115" s="1020">
        <v>25398.97</v>
      </c>
      <c r="S115" s="1021">
        <v>0</v>
      </c>
      <c r="T115" s="1021">
        <v>25398.97</v>
      </c>
      <c r="U115" s="1021">
        <v>0</v>
      </c>
      <c r="V115" s="1021">
        <v>43938.06</v>
      </c>
      <c r="W115" s="1021">
        <f t="shared" si="23"/>
        <v>94736</v>
      </c>
    </row>
    <row r="116" spans="1:23" ht="15" customHeight="1" x14ac:dyDescent="0.25">
      <c r="A116" s="719" t="s">
        <v>176</v>
      </c>
      <c r="B116" s="724" t="s">
        <v>177</v>
      </c>
      <c r="C116" s="923" t="s">
        <v>266</v>
      </c>
      <c r="D116" s="1027">
        <f t="shared" si="14"/>
        <v>182877.18</v>
      </c>
      <c r="E116" s="1027">
        <f t="shared" si="15"/>
        <v>0</v>
      </c>
      <c r="F116" s="1027">
        <f t="shared" si="16"/>
        <v>182877.18</v>
      </c>
      <c r="G116" s="1029">
        <f t="shared" si="17"/>
        <v>0</v>
      </c>
      <c r="H116" s="1029">
        <f t="shared" si="18"/>
        <v>388812.64</v>
      </c>
      <c r="I116" s="1400">
        <f t="shared" si="19"/>
        <v>754567</v>
      </c>
      <c r="J116" s="1028">
        <f t="shared" si="20"/>
        <v>388812.64</v>
      </c>
      <c r="K116" s="1400">
        <f t="shared" si="21"/>
        <v>571689.82000000007</v>
      </c>
      <c r="L116" s="1031"/>
      <c r="M116" s="1021"/>
      <c r="N116" s="1021"/>
      <c r="O116" s="1021"/>
      <c r="P116" s="1021"/>
      <c r="Q116" s="1019">
        <f t="shared" si="22"/>
        <v>0</v>
      </c>
      <c r="R116" s="1020">
        <v>182877.18</v>
      </c>
      <c r="S116" s="1021">
        <v>0</v>
      </c>
      <c r="T116" s="1021">
        <v>182877.18</v>
      </c>
      <c r="U116" s="1021">
        <v>0</v>
      </c>
      <c r="V116" s="1021">
        <v>388812.64</v>
      </c>
      <c r="W116" s="1021">
        <f t="shared" si="23"/>
        <v>754567</v>
      </c>
    </row>
    <row r="117" spans="1:23" ht="15" customHeight="1" x14ac:dyDescent="0.25">
      <c r="A117" s="719" t="s">
        <v>180</v>
      </c>
      <c r="B117" s="724" t="s">
        <v>181</v>
      </c>
      <c r="C117" s="923" t="s">
        <v>264</v>
      </c>
      <c r="D117" s="1027">
        <f t="shared" si="14"/>
        <v>153659.38</v>
      </c>
      <c r="E117" s="1027">
        <f t="shared" si="15"/>
        <v>0</v>
      </c>
      <c r="F117" s="1027">
        <f t="shared" si="16"/>
        <v>153659.38</v>
      </c>
      <c r="G117" s="1029">
        <f t="shared" si="17"/>
        <v>51675.09</v>
      </c>
      <c r="H117" s="1029">
        <f t="shared" si="18"/>
        <v>294351.24</v>
      </c>
      <c r="I117" s="1400">
        <f t="shared" si="19"/>
        <v>653345.09</v>
      </c>
      <c r="J117" s="1028">
        <f t="shared" si="20"/>
        <v>346026.32999999996</v>
      </c>
      <c r="K117" s="1400">
        <f t="shared" si="21"/>
        <v>499685.70999999996</v>
      </c>
      <c r="L117" s="1030">
        <v>0</v>
      </c>
      <c r="M117" s="1018">
        <v>0</v>
      </c>
      <c r="N117" s="1018">
        <v>0</v>
      </c>
      <c r="O117" s="1018">
        <v>51675.09</v>
      </c>
      <c r="P117" s="1018">
        <v>0</v>
      </c>
      <c r="Q117" s="1019">
        <f t="shared" si="22"/>
        <v>51675.09</v>
      </c>
      <c r="R117" s="1020">
        <v>153659.38</v>
      </c>
      <c r="S117" s="1021">
        <v>0</v>
      </c>
      <c r="T117" s="1021">
        <v>153659.38</v>
      </c>
      <c r="U117" s="1021">
        <v>0</v>
      </c>
      <c r="V117" s="1021">
        <v>294351.24</v>
      </c>
      <c r="W117" s="1021">
        <f t="shared" si="23"/>
        <v>601670</v>
      </c>
    </row>
    <row r="118" spans="1:23" ht="15" customHeight="1" x14ac:dyDescent="0.25">
      <c r="A118" s="719" t="s">
        <v>192</v>
      </c>
      <c r="B118" s="724" t="s">
        <v>193</v>
      </c>
      <c r="C118" s="923" t="s">
        <v>268</v>
      </c>
      <c r="D118" s="1027">
        <f t="shared" si="14"/>
        <v>23388.78</v>
      </c>
      <c r="E118" s="1027">
        <f t="shared" si="15"/>
        <v>0</v>
      </c>
      <c r="F118" s="1027">
        <f t="shared" si="16"/>
        <v>23388.78</v>
      </c>
      <c r="G118" s="1029">
        <f t="shared" si="17"/>
        <v>0</v>
      </c>
      <c r="H118" s="1029">
        <f t="shared" si="18"/>
        <v>37725.440000000002</v>
      </c>
      <c r="I118" s="1400">
        <f t="shared" si="19"/>
        <v>84503</v>
      </c>
      <c r="J118" s="1028">
        <f t="shared" si="20"/>
        <v>37725.440000000002</v>
      </c>
      <c r="K118" s="1400">
        <f t="shared" si="21"/>
        <v>61114.22</v>
      </c>
      <c r="L118" s="1030"/>
      <c r="M118" s="1018"/>
      <c r="N118" s="1018"/>
      <c r="O118" s="1018"/>
      <c r="P118" s="1018"/>
      <c r="Q118" s="1019">
        <f t="shared" si="22"/>
        <v>0</v>
      </c>
      <c r="R118" s="1020">
        <v>23388.78</v>
      </c>
      <c r="S118" s="1021">
        <v>0</v>
      </c>
      <c r="T118" s="1021">
        <v>23388.78</v>
      </c>
      <c r="U118" s="1021">
        <v>0</v>
      </c>
      <c r="V118" s="1021">
        <v>37725.440000000002</v>
      </c>
      <c r="W118" s="1021">
        <f t="shared" si="23"/>
        <v>84503</v>
      </c>
    </row>
    <row r="119" spans="1:23" ht="15" customHeight="1" x14ac:dyDescent="0.25">
      <c r="A119" s="719" t="s">
        <v>196</v>
      </c>
      <c r="B119" s="724" t="s">
        <v>312</v>
      </c>
      <c r="C119" s="923" t="s">
        <v>266</v>
      </c>
      <c r="D119" s="1027">
        <f t="shared" si="14"/>
        <v>1121826.8999999999</v>
      </c>
      <c r="E119" s="1027">
        <f t="shared" si="15"/>
        <v>0</v>
      </c>
      <c r="F119" s="1027">
        <f t="shared" si="16"/>
        <v>1121826.8999999999</v>
      </c>
      <c r="G119" s="1029">
        <f t="shared" si="17"/>
        <v>45950.67</v>
      </c>
      <c r="H119" s="1029">
        <f t="shared" si="18"/>
        <v>2851741.2</v>
      </c>
      <c r="I119" s="1400">
        <f t="shared" si="19"/>
        <v>5141345.67</v>
      </c>
      <c r="J119" s="1028">
        <f t="shared" si="20"/>
        <v>2897691.87</v>
      </c>
      <c r="K119" s="1400">
        <f t="shared" si="21"/>
        <v>4019518.77</v>
      </c>
      <c r="L119" s="1030">
        <v>0</v>
      </c>
      <c r="M119" s="1018">
        <v>0</v>
      </c>
      <c r="N119" s="1018">
        <v>0</v>
      </c>
      <c r="O119" s="1018">
        <v>45950.67</v>
      </c>
      <c r="P119" s="1018">
        <v>0</v>
      </c>
      <c r="Q119" s="1019">
        <f t="shared" si="22"/>
        <v>45950.67</v>
      </c>
      <c r="R119" s="1020">
        <v>1121826.8999999999</v>
      </c>
      <c r="S119" s="1021">
        <v>0</v>
      </c>
      <c r="T119" s="1021">
        <v>1121826.8999999999</v>
      </c>
      <c r="U119" s="1021">
        <v>0</v>
      </c>
      <c r="V119" s="1021">
        <v>2851741.2</v>
      </c>
      <c r="W119" s="1021">
        <f t="shared" si="23"/>
        <v>5095395</v>
      </c>
    </row>
    <row r="120" spans="1:23" ht="15" customHeight="1" x14ac:dyDescent="0.25">
      <c r="A120" s="719" t="s">
        <v>200</v>
      </c>
      <c r="B120" s="724" t="s">
        <v>313</v>
      </c>
      <c r="C120" s="923" t="s">
        <v>265</v>
      </c>
      <c r="D120" s="1027">
        <f t="shared" si="14"/>
        <v>301661.95</v>
      </c>
      <c r="E120" s="1027">
        <f t="shared" si="15"/>
        <v>0</v>
      </c>
      <c r="F120" s="1027">
        <f t="shared" si="16"/>
        <v>301661.95</v>
      </c>
      <c r="G120" s="1029">
        <f t="shared" si="17"/>
        <v>0</v>
      </c>
      <c r="H120" s="1029">
        <f t="shared" si="18"/>
        <v>648430.1</v>
      </c>
      <c r="I120" s="1400">
        <f t="shared" si="19"/>
        <v>1251754</v>
      </c>
      <c r="J120" s="1028">
        <f t="shared" si="20"/>
        <v>648430.1</v>
      </c>
      <c r="K120" s="1400">
        <f t="shared" si="21"/>
        <v>950092.05</v>
      </c>
      <c r="L120" s="1031"/>
      <c r="M120" s="1021"/>
      <c r="N120" s="1021"/>
      <c r="O120" s="1021"/>
      <c r="P120" s="1021"/>
      <c r="Q120" s="1019">
        <f t="shared" si="22"/>
        <v>0</v>
      </c>
      <c r="R120" s="1020">
        <v>301661.95</v>
      </c>
      <c r="S120" s="1021">
        <v>0</v>
      </c>
      <c r="T120" s="1021">
        <v>301661.95</v>
      </c>
      <c r="U120" s="1021">
        <v>0</v>
      </c>
      <c r="V120" s="1021">
        <v>648430.1</v>
      </c>
      <c r="W120" s="1021">
        <f t="shared" si="23"/>
        <v>1251754</v>
      </c>
    </row>
    <row r="121" spans="1:23" ht="15" customHeight="1" x14ac:dyDescent="0.25">
      <c r="A121" s="719" t="s">
        <v>222</v>
      </c>
      <c r="B121" s="724" t="s">
        <v>223</v>
      </c>
      <c r="C121" s="923" t="s">
        <v>264</v>
      </c>
      <c r="D121" s="1027">
        <f t="shared" si="14"/>
        <v>158321.42000000001</v>
      </c>
      <c r="E121" s="1027">
        <f t="shared" si="15"/>
        <v>0</v>
      </c>
      <c r="F121" s="1027">
        <f t="shared" si="16"/>
        <v>158321.42000000001</v>
      </c>
      <c r="G121" s="1029">
        <f t="shared" si="17"/>
        <v>472.61</v>
      </c>
      <c r="H121" s="1029">
        <f t="shared" si="18"/>
        <v>243542.16</v>
      </c>
      <c r="I121" s="1400">
        <f t="shared" si="19"/>
        <v>560657.61</v>
      </c>
      <c r="J121" s="1028">
        <f t="shared" si="20"/>
        <v>244014.77</v>
      </c>
      <c r="K121" s="1400">
        <f t="shared" si="21"/>
        <v>402336.19</v>
      </c>
      <c r="L121" s="1031">
        <v>0</v>
      </c>
      <c r="M121" s="1021">
        <v>0</v>
      </c>
      <c r="N121" s="1021">
        <v>0</v>
      </c>
      <c r="O121" s="1021">
        <v>472.61</v>
      </c>
      <c r="P121" s="1021">
        <v>0</v>
      </c>
      <c r="Q121" s="1019">
        <f t="shared" si="22"/>
        <v>472.61</v>
      </c>
      <c r="R121" s="1020">
        <v>158321.42000000001</v>
      </c>
      <c r="S121" s="1021">
        <v>0</v>
      </c>
      <c r="T121" s="1021">
        <v>158321.42000000001</v>
      </c>
      <c r="U121" s="1021">
        <v>0</v>
      </c>
      <c r="V121" s="1021">
        <v>243542.16</v>
      </c>
      <c r="W121" s="1021">
        <f t="shared" si="23"/>
        <v>560185</v>
      </c>
    </row>
    <row r="122" spans="1:23" ht="15" customHeight="1" x14ac:dyDescent="0.25">
      <c r="A122" s="719" t="s">
        <v>230</v>
      </c>
      <c r="B122" s="724" t="s">
        <v>231</v>
      </c>
      <c r="C122" s="923" t="s">
        <v>264</v>
      </c>
      <c r="D122" s="1027">
        <f t="shared" si="14"/>
        <v>746475.18</v>
      </c>
      <c r="E122" s="1027">
        <f t="shared" si="15"/>
        <v>0</v>
      </c>
      <c r="F122" s="1027">
        <f t="shared" si="16"/>
        <v>746475.18</v>
      </c>
      <c r="G122" s="1029">
        <f t="shared" si="17"/>
        <v>0</v>
      </c>
      <c r="H122" s="1029">
        <f t="shared" si="18"/>
        <v>1628607.64</v>
      </c>
      <c r="I122" s="1400">
        <f t="shared" si="19"/>
        <v>3121558</v>
      </c>
      <c r="J122" s="1028">
        <f t="shared" si="20"/>
        <v>1628607.64</v>
      </c>
      <c r="K122" s="1400">
        <f t="shared" si="21"/>
        <v>2375082.8199999998</v>
      </c>
      <c r="L122" s="1031"/>
      <c r="M122" s="1021"/>
      <c r="N122" s="1021"/>
      <c r="O122" s="1021"/>
      <c r="P122" s="1021"/>
      <c r="Q122" s="1019">
        <f t="shared" si="22"/>
        <v>0</v>
      </c>
      <c r="R122" s="1020">
        <v>746475.18</v>
      </c>
      <c r="S122" s="1021">
        <v>0</v>
      </c>
      <c r="T122" s="1021">
        <v>746475.18</v>
      </c>
      <c r="U122" s="1021">
        <v>0</v>
      </c>
      <c r="V122" s="1021">
        <v>1628607.64</v>
      </c>
      <c r="W122" s="1021">
        <f t="shared" si="23"/>
        <v>3121558</v>
      </c>
    </row>
    <row r="123" spans="1:23" ht="15" customHeight="1" x14ac:dyDescent="0.25">
      <c r="A123" s="719" t="s">
        <v>238</v>
      </c>
      <c r="B123" s="724" t="s">
        <v>239</v>
      </c>
      <c r="C123" s="923" t="s">
        <v>264</v>
      </c>
      <c r="D123" s="1027">
        <f t="shared" si="14"/>
        <v>74712.08</v>
      </c>
      <c r="E123" s="1027">
        <f t="shared" si="15"/>
        <v>0</v>
      </c>
      <c r="F123" s="1027">
        <f t="shared" si="16"/>
        <v>74712.08</v>
      </c>
      <c r="G123" s="1029">
        <f t="shared" si="17"/>
        <v>0</v>
      </c>
      <c r="H123" s="1029">
        <f t="shared" si="18"/>
        <v>125697.84</v>
      </c>
      <c r="I123" s="1400">
        <f t="shared" si="19"/>
        <v>275122</v>
      </c>
      <c r="J123" s="1028">
        <f t="shared" si="20"/>
        <v>125697.84</v>
      </c>
      <c r="K123" s="1400">
        <f t="shared" si="21"/>
        <v>200409.91999999998</v>
      </c>
      <c r="L123" s="1031"/>
      <c r="M123" s="1021"/>
      <c r="N123" s="1021"/>
      <c r="O123" s="1021"/>
      <c r="P123" s="1021"/>
      <c r="Q123" s="1019">
        <f t="shared" si="22"/>
        <v>0</v>
      </c>
      <c r="R123" s="1020">
        <v>74712.08</v>
      </c>
      <c r="S123" s="1021">
        <v>0</v>
      </c>
      <c r="T123" s="1021">
        <v>74712.08</v>
      </c>
      <c r="U123" s="1021">
        <v>0</v>
      </c>
      <c r="V123" s="1021">
        <v>125697.84</v>
      </c>
      <c r="W123" s="1021">
        <f t="shared" si="23"/>
        <v>275122</v>
      </c>
    </row>
    <row r="124" spans="1:23" ht="15" customHeight="1" x14ac:dyDescent="0.25">
      <c r="A124" s="719" t="s">
        <v>240</v>
      </c>
      <c r="B124" s="724" t="s">
        <v>241</v>
      </c>
      <c r="C124" s="923" t="s">
        <v>267</v>
      </c>
      <c r="D124" s="1027">
        <f t="shared" si="14"/>
        <v>54684.53</v>
      </c>
      <c r="E124" s="1027">
        <f t="shared" si="15"/>
        <v>0</v>
      </c>
      <c r="F124" s="1027">
        <f t="shared" si="16"/>
        <v>54684.53</v>
      </c>
      <c r="G124" s="1029">
        <f t="shared" si="17"/>
        <v>0</v>
      </c>
      <c r="H124" s="1029">
        <f t="shared" si="18"/>
        <v>119865.94</v>
      </c>
      <c r="I124" s="1400">
        <f t="shared" si="19"/>
        <v>229235</v>
      </c>
      <c r="J124" s="1028">
        <f t="shared" si="20"/>
        <v>119865.94</v>
      </c>
      <c r="K124" s="1400">
        <f t="shared" si="21"/>
        <v>174550.47</v>
      </c>
      <c r="L124" s="1031"/>
      <c r="M124" s="1021"/>
      <c r="N124" s="1021"/>
      <c r="O124" s="1021"/>
      <c r="P124" s="1021"/>
      <c r="Q124" s="1019">
        <f t="shared" si="22"/>
        <v>0</v>
      </c>
      <c r="R124" s="1020">
        <v>54684.53</v>
      </c>
      <c r="S124" s="1021">
        <v>0</v>
      </c>
      <c r="T124" s="1021">
        <v>54684.53</v>
      </c>
      <c r="U124" s="1021">
        <v>0</v>
      </c>
      <c r="V124" s="1021">
        <v>119865.94</v>
      </c>
      <c r="W124" s="1021">
        <f t="shared" si="23"/>
        <v>229235</v>
      </c>
    </row>
    <row r="126" spans="1:23" x14ac:dyDescent="0.25">
      <c r="A126" s="270" t="s">
        <v>266</v>
      </c>
      <c r="D126" s="1867">
        <f t="shared" ref="D126:H126" si="24">D8+D19+D21+D23+D25+D29+D32+D36+D41+D46+D47+D52+D54+D55+D59+D63+D66+D68+D69+D74+D75+D80+D96+D109+D116+D119</f>
        <v>3246458.49</v>
      </c>
      <c r="E126" s="1867">
        <f t="shared" si="24"/>
        <v>0</v>
      </c>
      <c r="F126" s="1867">
        <f t="shared" si="24"/>
        <v>3246458.49</v>
      </c>
      <c r="G126" s="1867">
        <f t="shared" si="24"/>
        <v>254661.89</v>
      </c>
      <c r="H126" s="1867">
        <f t="shared" si="24"/>
        <v>6652342.0199999996</v>
      </c>
      <c r="I126" s="1867">
        <f>SUM(D126:H126)</f>
        <v>13399920.890000001</v>
      </c>
      <c r="J126" s="1867">
        <f>G126+H126</f>
        <v>6907003.9099999992</v>
      </c>
      <c r="K126" s="1867">
        <f>F126+G126+H126</f>
        <v>10153462.4</v>
      </c>
      <c r="L126" s="1867">
        <f t="shared" ref="L126:P126" si="25">L8+L19+L21+L23+L25+L29+L32+L36+L41+L46+L47+L52+L54+L55+L59+L63+L66+L68+L69+L74+L75+L80+L96+L109+L116+L119</f>
        <v>0</v>
      </c>
      <c r="M126" s="1867">
        <f t="shared" si="25"/>
        <v>0</v>
      </c>
      <c r="N126" s="1867">
        <f t="shared" si="25"/>
        <v>0</v>
      </c>
      <c r="O126" s="1867">
        <f t="shared" si="25"/>
        <v>254661.89</v>
      </c>
      <c r="P126" s="1867">
        <f t="shared" si="25"/>
        <v>0</v>
      </c>
      <c r="Q126" s="1867">
        <f>SUM(L126:P126)</f>
        <v>254661.89</v>
      </c>
      <c r="R126" s="1867">
        <f t="shared" ref="R126:V126" si="26">R8+R19+R21+R23+R25+R29+R32+R36+R41+R46+R47+R52+R54+R55+R59+R63+R66+R68+R69+R74+R75+R80+R96+R109+R116+R119</f>
        <v>3246458.49</v>
      </c>
      <c r="S126" s="1867">
        <f t="shared" si="26"/>
        <v>0</v>
      </c>
      <c r="T126" s="1867">
        <f t="shared" si="26"/>
        <v>3246458.49</v>
      </c>
      <c r="U126" s="1867">
        <f t="shared" si="26"/>
        <v>0</v>
      </c>
      <c r="V126" s="1867">
        <f t="shared" si="26"/>
        <v>6652342.0199999996</v>
      </c>
      <c r="W126" s="1867">
        <f>SUM(R126:V126)</f>
        <v>13145259</v>
      </c>
    </row>
    <row r="127" spans="1:23" x14ac:dyDescent="0.25">
      <c r="A127" s="270" t="s">
        <v>264</v>
      </c>
      <c r="D127" s="1867">
        <f t="shared" ref="D127:H127" si="27">D5+D17+D31+D40+D44+D50+D51+D61+D67+D76+D88+D91+D92+D99+D103+D105+D108+D113+D114+D117+D121+D122+D123</f>
        <v>3584024.3000000003</v>
      </c>
      <c r="E127" s="1867">
        <f t="shared" si="27"/>
        <v>0</v>
      </c>
      <c r="F127" s="1867">
        <f t="shared" si="27"/>
        <v>3584024.3000000003</v>
      </c>
      <c r="G127" s="1867">
        <f t="shared" si="27"/>
        <v>273843.51</v>
      </c>
      <c r="H127" s="1867">
        <f t="shared" si="27"/>
        <v>6718830.3999999994</v>
      </c>
      <c r="I127" s="1867">
        <f t="shared" ref="I127:I130" si="28">SUM(D127:H127)</f>
        <v>14160722.51</v>
      </c>
      <c r="J127" s="1867">
        <f t="shared" ref="J127:J130" si="29">G127+H127</f>
        <v>6992673.9099999992</v>
      </c>
      <c r="K127" s="1867">
        <f t="shared" ref="K127:K130" si="30">F127+G127+H127</f>
        <v>10576698.210000001</v>
      </c>
      <c r="L127" s="1867">
        <f t="shared" ref="L127:P127" si="31">L5+L17+L31+L40+L44+L50+L51+L61+L67+L76+L88+L91+L92+L99+L103+L105+L108+L113+L114+L117+L121+L122+L123</f>
        <v>0</v>
      </c>
      <c r="M127" s="1867">
        <f t="shared" si="31"/>
        <v>0</v>
      </c>
      <c r="N127" s="1867">
        <f t="shared" si="31"/>
        <v>0</v>
      </c>
      <c r="O127" s="1867">
        <f t="shared" si="31"/>
        <v>273843.51</v>
      </c>
      <c r="P127" s="1867">
        <f t="shared" si="31"/>
        <v>0</v>
      </c>
      <c r="Q127" s="1867">
        <f t="shared" ref="Q127:Q130" si="32">SUM(L127:P127)</f>
        <v>273843.51</v>
      </c>
      <c r="R127" s="1867">
        <f t="shared" ref="R127:V127" si="33">R5+R17+R31+R40+R44+R50+R51+R61+R67+R76+R88+R91+R92+R99+R103+R105+R108+R113+R114+R117+R121+R122+R123</f>
        <v>3584024.3000000003</v>
      </c>
      <c r="S127" s="1867">
        <f t="shared" si="33"/>
        <v>0</v>
      </c>
      <c r="T127" s="1867">
        <f t="shared" si="33"/>
        <v>3584024.3000000003</v>
      </c>
      <c r="U127" s="1867">
        <f t="shared" si="33"/>
        <v>0</v>
      </c>
      <c r="V127" s="1867">
        <f t="shared" si="33"/>
        <v>6718830.3999999994</v>
      </c>
      <c r="W127" s="1867">
        <f t="shared" ref="W127:W130" si="34">SUM(R127:V127)</f>
        <v>13886879</v>
      </c>
    </row>
    <row r="128" spans="1:23" x14ac:dyDescent="0.25">
      <c r="A128" s="270" t="s">
        <v>267</v>
      </c>
      <c r="D128" s="1867">
        <f t="shared" ref="D128:H128" si="35">D11+D26+D28+D33+D34+D38+D43+D53+D57+D58+D60+D70+D71+D77+D79+D83+D86+D89+D90+D94+D100+D106+D111+D112+D124</f>
        <v>5116514.6899999985</v>
      </c>
      <c r="E128" s="1867">
        <f t="shared" si="35"/>
        <v>0</v>
      </c>
      <c r="F128" s="1867">
        <f t="shared" si="35"/>
        <v>5116514.6899999985</v>
      </c>
      <c r="G128" s="1867">
        <f t="shared" si="35"/>
        <v>312476.96000000002</v>
      </c>
      <c r="H128" s="1867">
        <f t="shared" si="35"/>
        <v>11650942.880000001</v>
      </c>
      <c r="I128" s="1867">
        <f t="shared" si="28"/>
        <v>22196449.219999999</v>
      </c>
      <c r="J128" s="1867">
        <f t="shared" si="29"/>
        <v>11963419.840000002</v>
      </c>
      <c r="K128" s="1867">
        <f t="shared" si="30"/>
        <v>17079934.530000001</v>
      </c>
      <c r="L128" s="1867">
        <f t="shared" ref="L128:P128" si="36">L11+L26+L28+L33+L34+L38+L43+L53+L57+L58+L60+L70+L71+L77+L79+L83+L86+L89+L90+L94+L100+L106+L111+L112+L124</f>
        <v>0</v>
      </c>
      <c r="M128" s="1867">
        <f t="shared" si="36"/>
        <v>0</v>
      </c>
      <c r="N128" s="1867">
        <f t="shared" si="36"/>
        <v>0</v>
      </c>
      <c r="O128" s="1867">
        <f t="shared" si="36"/>
        <v>312476.96000000002</v>
      </c>
      <c r="P128" s="1867">
        <f t="shared" si="36"/>
        <v>0</v>
      </c>
      <c r="Q128" s="1867">
        <f t="shared" si="32"/>
        <v>312476.96000000002</v>
      </c>
      <c r="R128" s="1867">
        <f t="shared" ref="R128:V128" si="37">R11+R26+R28+R33+R34+R38+R43+R53+R57+R58+R60+R70+R71+R77+R79+R83+R86+R89+R90+R94+R100+R106+R111+R112+R124</f>
        <v>5116514.6899999985</v>
      </c>
      <c r="S128" s="1867">
        <f t="shared" si="37"/>
        <v>0</v>
      </c>
      <c r="T128" s="1867">
        <f t="shared" si="37"/>
        <v>5116514.6899999985</v>
      </c>
      <c r="U128" s="1867">
        <f t="shared" si="37"/>
        <v>0</v>
      </c>
      <c r="V128" s="1867">
        <f t="shared" si="37"/>
        <v>11650942.880000001</v>
      </c>
      <c r="W128" s="1867">
        <f t="shared" si="34"/>
        <v>21883972.259999998</v>
      </c>
    </row>
    <row r="129" spans="1:23" x14ac:dyDescent="0.25">
      <c r="A129" s="270" t="s">
        <v>265</v>
      </c>
      <c r="D129" s="1867">
        <f t="shared" ref="D129:H129" si="38">D6+D7+D9+D10+D12+D13+D14+D16+D20+D24+D27+D37+D45+D48+D49+D62+D65+D73+D81+D82+D102+D104+D110+D120</f>
        <v>2518032.7000000002</v>
      </c>
      <c r="E129" s="1867">
        <f t="shared" si="38"/>
        <v>0</v>
      </c>
      <c r="F129" s="1867">
        <f t="shared" si="38"/>
        <v>2518032.7000000002</v>
      </c>
      <c r="G129" s="1867">
        <f t="shared" si="38"/>
        <v>77740.95</v>
      </c>
      <c r="H129" s="1867">
        <f t="shared" si="38"/>
        <v>5013329.5999999996</v>
      </c>
      <c r="I129" s="1867">
        <f t="shared" si="28"/>
        <v>10127135.949999999</v>
      </c>
      <c r="J129" s="1867">
        <f t="shared" si="29"/>
        <v>5091070.55</v>
      </c>
      <c r="K129" s="1867">
        <f t="shared" si="30"/>
        <v>7609103.25</v>
      </c>
      <c r="L129" s="1867">
        <f t="shared" ref="L129:P129" si="39">L6+L7+L9+L10+L12+L13+L14+L16+L20+L24+L27+L37+L45+L48+L49+L62+L65+L73+L81+L82+L102+L104+L110+L120</f>
        <v>0</v>
      </c>
      <c r="M129" s="1867">
        <f t="shared" si="39"/>
        <v>0</v>
      </c>
      <c r="N129" s="1867">
        <f t="shared" si="39"/>
        <v>0</v>
      </c>
      <c r="O129" s="1867">
        <f t="shared" si="39"/>
        <v>77740.95</v>
      </c>
      <c r="P129" s="1867">
        <f t="shared" si="39"/>
        <v>0</v>
      </c>
      <c r="Q129" s="1867">
        <f t="shared" si="32"/>
        <v>77740.95</v>
      </c>
      <c r="R129" s="1867">
        <f t="shared" ref="R129:V129" si="40">R6+R7+R9+R10+R12+R13+R14+R16+R20+R24+R27+R37+R45+R48+R49+R62+R65+R73+R81+R82+R102+R104+R110+R120</f>
        <v>2518032.7000000002</v>
      </c>
      <c r="S129" s="1867">
        <f t="shared" si="40"/>
        <v>0</v>
      </c>
      <c r="T129" s="1867">
        <f t="shared" si="40"/>
        <v>2518032.7000000002</v>
      </c>
      <c r="U129" s="1867">
        <f t="shared" si="40"/>
        <v>0</v>
      </c>
      <c r="V129" s="1867">
        <f t="shared" si="40"/>
        <v>5013329.5999999996</v>
      </c>
      <c r="W129" s="1867">
        <f t="shared" si="34"/>
        <v>10049395</v>
      </c>
    </row>
    <row r="130" spans="1:23" x14ac:dyDescent="0.25">
      <c r="A130" s="270" t="s">
        <v>268</v>
      </c>
      <c r="D130" s="1867">
        <f t="shared" ref="D130:H130" si="41">D15+D18+D22+D30+D35+D39+D42+D56+D64+D72+D78+D84+D85+D87+D93+D95+D97+D98+D101+D107+D115+D118</f>
        <v>1100676.6099999999</v>
      </c>
      <c r="E130" s="1867">
        <f t="shared" si="41"/>
        <v>0</v>
      </c>
      <c r="F130" s="1867">
        <f t="shared" si="41"/>
        <v>1100676.6099999999</v>
      </c>
      <c r="G130" s="1867">
        <f t="shared" si="41"/>
        <v>28387.25</v>
      </c>
      <c r="H130" s="1867">
        <f t="shared" si="41"/>
        <v>1829196.7799999998</v>
      </c>
      <c r="I130" s="1867">
        <f t="shared" si="28"/>
        <v>4058937.2499999995</v>
      </c>
      <c r="J130" s="1867">
        <f t="shared" si="29"/>
        <v>1857584.0299999998</v>
      </c>
      <c r="K130" s="1867">
        <f t="shared" si="30"/>
        <v>2958260.6399999997</v>
      </c>
      <c r="L130" s="1867">
        <f t="shared" ref="L130:P130" si="42">L15+L18+L22+L30+L35+L39+L42+L56+L64+L72+L78+L84+L85+L87+L93+L95+L97+L98+L101+L107+L115+L118</f>
        <v>0</v>
      </c>
      <c r="M130" s="1867">
        <f t="shared" si="42"/>
        <v>0</v>
      </c>
      <c r="N130" s="1867">
        <f t="shared" si="42"/>
        <v>0</v>
      </c>
      <c r="O130" s="1867">
        <f t="shared" si="42"/>
        <v>28387.25</v>
      </c>
      <c r="P130" s="1867">
        <f t="shared" si="42"/>
        <v>0</v>
      </c>
      <c r="Q130" s="1867">
        <f t="shared" si="32"/>
        <v>28387.25</v>
      </c>
      <c r="R130" s="1867">
        <f t="shared" ref="R130:V130" si="43">R15+R18+R22+R30+R35+R39+R42+R56+R64+R72+R78+R84+R85+R87+R93+R95+R97+R98+R101+R107+R115+R118</f>
        <v>1100676.6099999999</v>
      </c>
      <c r="S130" s="1867">
        <f t="shared" si="43"/>
        <v>0</v>
      </c>
      <c r="T130" s="1867">
        <f t="shared" si="43"/>
        <v>1100676.6099999999</v>
      </c>
      <c r="U130" s="1867">
        <f t="shared" si="43"/>
        <v>0</v>
      </c>
      <c r="V130" s="1867">
        <f t="shared" si="43"/>
        <v>1829196.7799999998</v>
      </c>
      <c r="W130" s="1867">
        <f t="shared" si="34"/>
        <v>4030549.9999999995</v>
      </c>
    </row>
    <row r="131" spans="1:23" x14ac:dyDescent="0.25">
      <c r="A131" s="270" t="s">
        <v>9</v>
      </c>
      <c r="D131" s="1869">
        <f t="shared" ref="D131:H131" si="44">SUM(D126:D130)</f>
        <v>15565706.789999999</v>
      </c>
      <c r="E131" s="1869">
        <f t="shared" si="44"/>
        <v>0</v>
      </c>
      <c r="F131" s="1869">
        <f t="shared" si="44"/>
        <v>15565706.789999999</v>
      </c>
      <c r="G131" s="1869">
        <f t="shared" si="44"/>
        <v>947110.56</v>
      </c>
      <c r="H131" s="1869">
        <f t="shared" si="44"/>
        <v>31864641.68</v>
      </c>
      <c r="I131" s="1869">
        <f>SUM(I126:I130)</f>
        <v>63943165.819999993</v>
      </c>
      <c r="J131" s="1869">
        <f>SUM(J126:J130)</f>
        <v>32811752.240000002</v>
      </c>
      <c r="K131" s="1869">
        <f>SUM(K126:K130)</f>
        <v>48377459.030000001</v>
      </c>
      <c r="L131" s="1869">
        <f t="shared" ref="L131:P131" si="45">SUM(L126:L130)</f>
        <v>0</v>
      </c>
      <c r="M131" s="1869">
        <f t="shared" si="45"/>
        <v>0</v>
      </c>
      <c r="N131" s="1869">
        <f t="shared" si="45"/>
        <v>0</v>
      </c>
      <c r="O131" s="1869">
        <f t="shared" si="45"/>
        <v>947110.56</v>
      </c>
      <c r="P131" s="1869">
        <f t="shared" si="45"/>
        <v>0</v>
      </c>
      <c r="Q131" s="1869">
        <f>SUM(Q126:Q130)</f>
        <v>947110.56</v>
      </c>
      <c r="R131" s="1869">
        <f t="shared" ref="R131:V131" si="46">SUM(R126:R130)</f>
        <v>15565706.789999999</v>
      </c>
      <c r="S131" s="1869">
        <f t="shared" si="46"/>
        <v>0</v>
      </c>
      <c r="T131" s="1869">
        <f t="shared" si="46"/>
        <v>15565706.789999999</v>
      </c>
      <c r="U131" s="1869">
        <f t="shared" si="46"/>
        <v>0</v>
      </c>
      <c r="V131" s="1869">
        <f t="shared" si="46"/>
        <v>31864641.68</v>
      </c>
      <c r="W131" s="1869">
        <f>SUM(W126:W130)</f>
        <v>62996055.259999998</v>
      </c>
    </row>
    <row r="133" spans="1:23" s="394" customFormat="1" x14ac:dyDescent="0.25">
      <c r="A133" s="394" t="s">
        <v>1196</v>
      </c>
      <c r="B133" s="715"/>
      <c r="C133" s="715"/>
      <c r="D133" s="665"/>
      <c r="M133" s="1010"/>
    </row>
    <row r="134" spans="1:23" s="394" customFormat="1" x14ac:dyDescent="0.25">
      <c r="M134" s="1010"/>
    </row>
    <row r="135" spans="1:23" s="414" customFormat="1" x14ac:dyDescent="0.25">
      <c r="A135" s="414" t="s">
        <v>248</v>
      </c>
      <c r="M135" s="1012"/>
    </row>
    <row r="136" spans="1:23" x14ac:dyDescent="0.25">
      <c r="A136" s="415" t="s">
        <v>249</v>
      </c>
      <c r="B136" s="416" t="s">
        <v>250</v>
      </c>
      <c r="C136" s="416"/>
    </row>
  </sheetData>
  <autoFilter ref="A3:C3"/>
  <hyperlinks>
    <hyperlink ref="B136" r:id="rId1"/>
  </hyperlinks>
  <pageMargins left="0.7" right="0.7" top="0.75" bottom="0.75" header="0.3" footer="0.3"/>
  <pageSetup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G136"/>
  <sheetViews>
    <sheetView zoomScale="106" zoomScaleNormal="106" workbookViewId="0">
      <pane xSplit="3" ySplit="4" topLeftCell="EC113" activePane="bottomRight" state="frozen"/>
      <selection pane="topRight" activeCell="D1" sqref="D1"/>
      <selection pane="bottomLeft" activeCell="A6" sqref="A6"/>
      <selection pane="bottomRight" activeCell="EF134" sqref="EF134"/>
    </sheetView>
  </sheetViews>
  <sheetFormatPr defaultRowHeight="15.75" x14ac:dyDescent="0.25"/>
  <cols>
    <col min="1" max="1" width="9.5" style="270" customWidth="1"/>
    <col min="2" max="2" width="30.75" style="270" customWidth="1"/>
    <col min="3" max="3" width="16" style="270" customWidth="1"/>
    <col min="4" max="14" width="12.875" style="270" customWidth="1"/>
    <col min="15" max="15" width="12.75" style="270" customWidth="1"/>
    <col min="16" max="59" width="12.875" style="270" customWidth="1"/>
    <col min="60" max="125" width="12.875" style="721" customWidth="1"/>
    <col min="126" max="137" width="12.875" style="270" customWidth="1"/>
    <col min="138" max="16384" width="9" style="270"/>
  </cols>
  <sheetData>
    <row r="1" spans="1:137" x14ac:dyDescent="0.25">
      <c r="A1" s="64" t="s">
        <v>1194</v>
      </c>
      <c r="D1" s="721"/>
    </row>
    <row r="2" spans="1:137" x14ac:dyDescent="0.25">
      <c r="F2" s="721"/>
      <c r="G2" s="721"/>
    </row>
    <row r="3" spans="1:137" ht="34.5" customHeight="1" x14ac:dyDescent="0.25">
      <c r="A3" s="819" t="s">
        <v>4</v>
      </c>
      <c r="B3" s="820" t="s">
        <v>5</v>
      </c>
      <c r="C3" s="820" t="s">
        <v>251</v>
      </c>
      <c r="D3" s="817" t="s">
        <v>314</v>
      </c>
      <c r="E3" s="817" t="s">
        <v>315</v>
      </c>
      <c r="F3" s="817" t="s">
        <v>316</v>
      </c>
      <c r="G3" s="817" t="s">
        <v>968</v>
      </c>
      <c r="H3" s="817" t="s">
        <v>969</v>
      </c>
      <c r="I3" s="817" t="s">
        <v>281</v>
      </c>
      <c r="J3" s="821" t="s">
        <v>408</v>
      </c>
      <c r="K3" s="821" t="s">
        <v>971</v>
      </c>
      <c r="L3" s="817" t="s">
        <v>322</v>
      </c>
      <c r="M3" s="817" t="s">
        <v>323</v>
      </c>
      <c r="N3" s="817" t="s">
        <v>324</v>
      </c>
      <c r="O3" s="1413" t="s">
        <v>1042</v>
      </c>
      <c r="P3" s="1413" t="s">
        <v>1043</v>
      </c>
      <c r="Q3" s="1414" t="s">
        <v>325</v>
      </c>
      <c r="R3" s="817" t="s">
        <v>326</v>
      </c>
      <c r="S3" s="817" t="s">
        <v>327</v>
      </c>
      <c r="T3" s="817" t="s">
        <v>328</v>
      </c>
      <c r="U3" s="1413" t="s">
        <v>1044</v>
      </c>
      <c r="V3" s="1413" t="s">
        <v>1045</v>
      </c>
      <c r="W3" s="1414" t="s">
        <v>329</v>
      </c>
      <c r="X3" s="817" t="s">
        <v>854</v>
      </c>
      <c r="Y3" s="817" t="s">
        <v>855</v>
      </c>
      <c r="Z3" s="817" t="s">
        <v>856</v>
      </c>
      <c r="AA3" s="1413" t="s">
        <v>1046</v>
      </c>
      <c r="AB3" s="1413" t="s">
        <v>1047</v>
      </c>
      <c r="AC3" s="1414" t="s">
        <v>857</v>
      </c>
      <c r="AD3" s="817" t="s">
        <v>330</v>
      </c>
      <c r="AE3" s="817" t="s">
        <v>331</v>
      </c>
      <c r="AF3" s="817" t="s">
        <v>332</v>
      </c>
      <c r="AG3" s="1413" t="s">
        <v>1048</v>
      </c>
      <c r="AH3" s="1413" t="s">
        <v>1049</v>
      </c>
      <c r="AI3" s="1414" t="s">
        <v>333</v>
      </c>
      <c r="AJ3" s="817" t="s">
        <v>334</v>
      </c>
      <c r="AK3" s="817" t="s">
        <v>335</v>
      </c>
      <c r="AL3" s="817" t="s">
        <v>336</v>
      </c>
      <c r="AM3" s="1413" t="s">
        <v>1050</v>
      </c>
      <c r="AN3" s="1413" t="s">
        <v>1051</v>
      </c>
      <c r="AO3" s="1414" t="s">
        <v>337</v>
      </c>
      <c r="AP3" s="817" t="s">
        <v>763</v>
      </c>
      <c r="AQ3" s="817" t="s">
        <v>338</v>
      </c>
      <c r="AR3" s="817" t="s">
        <v>339</v>
      </c>
      <c r="AS3" s="1413" t="s">
        <v>1052</v>
      </c>
      <c r="AT3" s="1413" t="s">
        <v>1053</v>
      </c>
      <c r="AU3" s="1414" t="s">
        <v>340</v>
      </c>
      <c r="AV3" s="817" t="s">
        <v>341</v>
      </c>
      <c r="AW3" s="817" t="s">
        <v>342</v>
      </c>
      <c r="AX3" s="817" t="s">
        <v>343</v>
      </c>
      <c r="AY3" s="1413" t="s">
        <v>1054</v>
      </c>
      <c r="AZ3" s="1413" t="s">
        <v>1055</v>
      </c>
      <c r="BA3" s="1414" t="s">
        <v>344</v>
      </c>
      <c r="BB3" s="817" t="s">
        <v>345</v>
      </c>
      <c r="BC3" s="817" t="s">
        <v>346</v>
      </c>
      <c r="BD3" s="817" t="s">
        <v>347</v>
      </c>
      <c r="BE3" s="1413" t="s">
        <v>1056</v>
      </c>
      <c r="BF3" s="1413" t="s">
        <v>1057</v>
      </c>
      <c r="BG3" s="1414" t="s">
        <v>348</v>
      </c>
      <c r="BH3" s="1052" t="s">
        <v>349</v>
      </c>
      <c r="BI3" s="1052" t="s">
        <v>350</v>
      </c>
      <c r="BJ3" s="1052" t="s">
        <v>351</v>
      </c>
      <c r="BK3" s="1415" t="s">
        <v>1038</v>
      </c>
      <c r="BL3" s="1415" t="s">
        <v>1039</v>
      </c>
      <c r="BM3" s="1416" t="s">
        <v>352</v>
      </c>
      <c r="BN3" s="1052" t="s">
        <v>353</v>
      </c>
      <c r="BO3" s="1052" t="s">
        <v>354</v>
      </c>
      <c r="BP3" s="1052" t="s">
        <v>355</v>
      </c>
      <c r="BQ3" s="1415" t="s">
        <v>1041</v>
      </c>
      <c r="BR3" s="1415" t="s">
        <v>1040</v>
      </c>
      <c r="BS3" s="1416" t="s">
        <v>356</v>
      </c>
      <c r="BT3" s="1052" t="s">
        <v>357</v>
      </c>
      <c r="BU3" s="1052" t="s">
        <v>358</v>
      </c>
      <c r="BV3" s="1052" t="s">
        <v>359</v>
      </c>
      <c r="BW3" s="1415" t="s">
        <v>1058</v>
      </c>
      <c r="BX3" s="1415" t="s">
        <v>1059</v>
      </c>
      <c r="BY3" s="1416" t="s">
        <v>360</v>
      </c>
      <c r="BZ3" s="1052" t="s">
        <v>361</v>
      </c>
      <c r="CA3" s="1052" t="s">
        <v>362</v>
      </c>
      <c r="CB3" s="1052" t="s">
        <v>363</v>
      </c>
      <c r="CC3" s="1415" t="s">
        <v>1060</v>
      </c>
      <c r="CD3" s="1415" t="s">
        <v>1061</v>
      </c>
      <c r="CE3" s="1416" t="s">
        <v>364</v>
      </c>
      <c r="CF3" s="1052" t="s">
        <v>365</v>
      </c>
      <c r="CG3" s="1052" t="s">
        <v>366</v>
      </c>
      <c r="CH3" s="1052" t="s">
        <v>367</v>
      </c>
      <c r="CI3" s="1415" t="s">
        <v>1062</v>
      </c>
      <c r="CJ3" s="1415" t="s">
        <v>1063</v>
      </c>
      <c r="CK3" s="1416" t="s">
        <v>368</v>
      </c>
      <c r="CL3" s="1052" t="s">
        <v>369</v>
      </c>
      <c r="CM3" s="1052" t="s">
        <v>370</v>
      </c>
      <c r="CN3" s="1052" t="s">
        <v>371</v>
      </c>
      <c r="CO3" s="1415" t="s">
        <v>1064</v>
      </c>
      <c r="CP3" s="1415" t="s">
        <v>1065</v>
      </c>
      <c r="CQ3" s="1416" t="s">
        <v>372</v>
      </c>
      <c r="CR3" s="1052" t="s">
        <v>373</v>
      </c>
      <c r="CS3" s="1052" t="s">
        <v>374</v>
      </c>
      <c r="CT3" s="1052" t="s">
        <v>375</v>
      </c>
      <c r="CU3" s="1415" t="s">
        <v>1066</v>
      </c>
      <c r="CV3" s="1415" t="s">
        <v>1067</v>
      </c>
      <c r="CW3" s="1416" t="s">
        <v>376</v>
      </c>
      <c r="CX3" s="1052" t="s">
        <v>377</v>
      </c>
      <c r="CY3" s="1052" t="s">
        <v>378</v>
      </c>
      <c r="CZ3" s="1052" t="s">
        <v>379</v>
      </c>
      <c r="DA3" s="1415" t="s">
        <v>1068</v>
      </c>
      <c r="DB3" s="1415" t="s">
        <v>1069</v>
      </c>
      <c r="DC3" s="1416" t="s">
        <v>380</v>
      </c>
      <c r="DD3" s="1052" t="s">
        <v>381</v>
      </c>
      <c r="DE3" s="1052" t="s">
        <v>382</v>
      </c>
      <c r="DF3" s="1052" t="s">
        <v>383</v>
      </c>
      <c r="DG3" s="1415" t="s">
        <v>1070</v>
      </c>
      <c r="DH3" s="1415" t="s">
        <v>1071</v>
      </c>
      <c r="DI3" s="1416" t="s">
        <v>384</v>
      </c>
      <c r="DJ3" s="817" t="s">
        <v>858</v>
      </c>
      <c r="DK3" s="817" t="s">
        <v>859</v>
      </c>
      <c r="DL3" s="817" t="s">
        <v>860</v>
      </c>
      <c r="DM3" s="1413" t="s">
        <v>1072</v>
      </c>
      <c r="DN3" s="1413" t="s">
        <v>1073</v>
      </c>
      <c r="DO3" s="1414" t="s">
        <v>861</v>
      </c>
      <c r="DP3" s="1772" t="s">
        <v>1202</v>
      </c>
      <c r="DQ3" s="1772" t="s">
        <v>1203</v>
      </c>
      <c r="DR3" s="1772" t="s">
        <v>1201</v>
      </c>
      <c r="DS3" s="1772" t="s">
        <v>1200</v>
      </c>
      <c r="DT3" s="1772" t="s">
        <v>1199</v>
      </c>
      <c r="DU3" s="1770" t="s">
        <v>1198</v>
      </c>
      <c r="DV3" s="817" t="s">
        <v>388</v>
      </c>
      <c r="DW3" s="817" t="s">
        <v>385</v>
      </c>
      <c r="DX3" s="817" t="s">
        <v>386</v>
      </c>
      <c r="DY3" s="1413" t="s">
        <v>1074</v>
      </c>
      <c r="DZ3" s="1413" t="s">
        <v>1075</v>
      </c>
      <c r="EA3" s="1414" t="s">
        <v>387</v>
      </c>
      <c r="EB3" s="817" t="s">
        <v>388</v>
      </c>
      <c r="EC3" s="817" t="s">
        <v>389</v>
      </c>
      <c r="ED3" s="817" t="s">
        <v>390</v>
      </c>
      <c r="EE3" s="1413" t="s">
        <v>1076</v>
      </c>
      <c r="EF3" s="1413" t="s">
        <v>1077</v>
      </c>
      <c r="EG3" s="1414" t="s">
        <v>391</v>
      </c>
    </row>
    <row r="4" spans="1:137" x14ac:dyDescent="0.25">
      <c r="A4" s="822">
        <v>999</v>
      </c>
      <c r="B4" s="823" t="s">
        <v>9</v>
      </c>
      <c r="C4" s="823"/>
      <c r="D4" s="824">
        <f t="shared" ref="D4:AR4" si="0">SUM(D5:D124)</f>
        <v>12775908.935972039</v>
      </c>
      <c r="E4" s="824">
        <f t="shared" si="0"/>
        <v>8958762.1469999999</v>
      </c>
      <c r="F4" s="824">
        <f t="shared" si="0"/>
        <v>4471832.55</v>
      </c>
      <c r="G4" s="824">
        <f t="shared" si="0"/>
        <v>1404523.8399999985</v>
      </c>
      <c r="H4" s="824">
        <f t="shared" si="0"/>
        <v>2684778.9499999993</v>
      </c>
      <c r="I4" s="824">
        <f t="shared" si="0"/>
        <v>30295806.422972035</v>
      </c>
      <c r="J4" s="824">
        <f t="shared" si="0"/>
        <v>4089302.7900000014</v>
      </c>
      <c r="K4" s="824">
        <f t="shared" si="0"/>
        <v>8561135.3399999999</v>
      </c>
      <c r="L4" s="825">
        <f t="shared" si="0"/>
        <v>0</v>
      </c>
      <c r="M4" s="825">
        <f t="shared" si="0"/>
        <v>9813.2799999999988</v>
      </c>
      <c r="N4" s="825">
        <f t="shared" si="0"/>
        <v>0</v>
      </c>
      <c r="O4" s="825">
        <f t="shared" si="0"/>
        <v>850.15</v>
      </c>
      <c r="P4" s="825">
        <f t="shared" si="0"/>
        <v>0</v>
      </c>
      <c r="Q4" s="825">
        <f t="shared" si="0"/>
        <v>10663.429999999998</v>
      </c>
      <c r="R4" s="825">
        <f t="shared" si="0"/>
        <v>-75.2</v>
      </c>
      <c r="S4" s="825">
        <f t="shared" si="0"/>
        <v>0</v>
      </c>
      <c r="T4" s="825">
        <f t="shared" si="0"/>
        <v>-18.8</v>
      </c>
      <c r="U4" s="825">
        <f t="shared" si="0"/>
        <v>140962.44</v>
      </c>
      <c r="V4" s="825">
        <f t="shared" si="0"/>
        <v>178561.8</v>
      </c>
      <c r="W4" s="825">
        <f t="shared" si="0"/>
        <v>319430.24</v>
      </c>
      <c r="X4" s="825">
        <f t="shared" ref="X4:AC4" si="1">SUM(X5:X124)</f>
        <v>0</v>
      </c>
      <c r="Y4" s="825">
        <f t="shared" si="1"/>
        <v>-1000</v>
      </c>
      <c r="Z4" s="825">
        <f t="shared" si="1"/>
        <v>0</v>
      </c>
      <c r="AA4" s="825">
        <f t="shared" si="1"/>
        <v>0</v>
      </c>
      <c r="AB4" s="825">
        <f t="shared" si="1"/>
        <v>0</v>
      </c>
      <c r="AC4" s="825">
        <f t="shared" si="1"/>
        <v>-1000</v>
      </c>
      <c r="AD4" s="825">
        <f t="shared" si="0"/>
        <v>597136.14999999979</v>
      </c>
      <c r="AE4" s="825">
        <f t="shared" si="0"/>
        <v>3554.8800000000006</v>
      </c>
      <c r="AF4" s="825">
        <f t="shared" si="0"/>
        <v>110186.29000000001</v>
      </c>
      <c r="AG4" s="825">
        <f t="shared" si="0"/>
        <v>96.939999999999969</v>
      </c>
      <c r="AH4" s="825">
        <f t="shared" si="0"/>
        <v>5110.4399999999996</v>
      </c>
      <c r="AI4" s="825">
        <f t="shared" si="0"/>
        <v>716084.70000000007</v>
      </c>
      <c r="AJ4" s="825">
        <f t="shared" si="0"/>
        <v>4070650.5999999982</v>
      </c>
      <c r="AK4" s="825">
        <f t="shared" si="0"/>
        <v>0</v>
      </c>
      <c r="AL4" s="825">
        <f t="shared" si="0"/>
        <v>1017662.3799999997</v>
      </c>
      <c r="AM4" s="825">
        <f t="shared" si="0"/>
        <v>1145600.4699999997</v>
      </c>
      <c r="AN4" s="825">
        <f t="shared" si="0"/>
        <v>2191256.5099999998</v>
      </c>
      <c r="AO4" s="825">
        <f t="shared" si="0"/>
        <v>8425169.9600000009</v>
      </c>
      <c r="AP4" s="825">
        <f t="shared" si="0"/>
        <v>287554.19</v>
      </c>
      <c r="AQ4" s="825">
        <f t="shared" si="0"/>
        <v>81487.489999999991</v>
      </c>
      <c r="AR4" s="825">
        <f t="shared" si="0"/>
        <v>67694.319999999992</v>
      </c>
      <c r="AS4" s="825">
        <f t="shared" ref="AS4:BR4" si="2">SUM(AS5:AS124)</f>
        <v>-1.0500000000000005</v>
      </c>
      <c r="AT4" s="825">
        <f t="shared" si="2"/>
        <v>7.63</v>
      </c>
      <c r="AU4" s="825">
        <f t="shared" si="2"/>
        <v>436742.57999999996</v>
      </c>
      <c r="AV4" s="825">
        <f t="shared" si="2"/>
        <v>279481.72999999992</v>
      </c>
      <c r="AW4" s="825">
        <f t="shared" si="2"/>
        <v>69870.48</v>
      </c>
      <c r="AX4" s="825">
        <f t="shared" si="2"/>
        <v>0</v>
      </c>
      <c r="AY4" s="825">
        <f t="shared" si="2"/>
        <v>24.37</v>
      </c>
      <c r="AZ4" s="825">
        <f t="shared" si="2"/>
        <v>4493.58</v>
      </c>
      <c r="BA4" s="825">
        <f t="shared" si="2"/>
        <v>353870.16000000003</v>
      </c>
      <c r="BB4" s="825">
        <f t="shared" si="2"/>
        <v>609762.65</v>
      </c>
      <c r="BC4" s="825">
        <f t="shared" si="2"/>
        <v>152440.62999999998</v>
      </c>
      <c r="BD4" s="825">
        <f t="shared" si="2"/>
        <v>0</v>
      </c>
      <c r="BE4" s="825">
        <f t="shared" si="2"/>
        <v>0</v>
      </c>
      <c r="BF4" s="825">
        <f t="shared" si="2"/>
        <v>3602.4</v>
      </c>
      <c r="BG4" s="825">
        <f t="shared" si="2"/>
        <v>765805.68</v>
      </c>
      <c r="BH4" s="825">
        <f t="shared" si="2"/>
        <v>67793.240000000005</v>
      </c>
      <c r="BI4" s="825">
        <f t="shared" si="2"/>
        <v>122423.59</v>
      </c>
      <c r="BJ4" s="825">
        <f t="shared" si="2"/>
        <v>0</v>
      </c>
      <c r="BK4" s="825">
        <f t="shared" si="2"/>
        <v>99.99</v>
      </c>
      <c r="BL4" s="825">
        <f t="shared" si="2"/>
        <v>751.4</v>
      </c>
      <c r="BM4" s="825">
        <f t="shared" si="2"/>
        <v>191068.22000000003</v>
      </c>
      <c r="BN4" s="825">
        <f t="shared" si="2"/>
        <v>2549091.7399999998</v>
      </c>
      <c r="BO4" s="825">
        <f t="shared" si="2"/>
        <v>322885.95</v>
      </c>
      <c r="BP4" s="825">
        <f t="shared" si="2"/>
        <v>526812.98</v>
      </c>
      <c r="BQ4" s="825">
        <f t="shared" si="2"/>
        <v>6067.5599999999986</v>
      </c>
      <c r="BR4" s="825">
        <f t="shared" si="2"/>
        <v>3000</v>
      </c>
      <c r="BS4" s="825">
        <f t="shared" ref="BS4:CX4" si="3">SUM(BS5:BS124)</f>
        <v>3407858.2300000004</v>
      </c>
      <c r="BT4" s="825">
        <f t="shared" si="3"/>
        <v>-17460.900000000001</v>
      </c>
      <c r="BU4" s="825">
        <f t="shared" si="3"/>
        <v>-17460.900000000001</v>
      </c>
      <c r="BV4" s="825">
        <f t="shared" si="3"/>
        <v>0</v>
      </c>
      <c r="BW4" s="825">
        <f t="shared" si="3"/>
        <v>0.33</v>
      </c>
      <c r="BX4" s="825">
        <f t="shared" si="3"/>
        <v>0</v>
      </c>
      <c r="BY4" s="825">
        <f t="shared" si="3"/>
        <v>-34921.47</v>
      </c>
      <c r="BZ4" s="825">
        <f t="shared" si="3"/>
        <v>2921698.9259720347</v>
      </c>
      <c r="CA4" s="825">
        <f t="shared" si="3"/>
        <v>7844698.3870000001</v>
      </c>
      <c r="CB4" s="825">
        <f t="shared" si="3"/>
        <v>1974838.7699999996</v>
      </c>
      <c r="CC4" s="825">
        <f t="shared" si="3"/>
        <v>11801.980000000003</v>
      </c>
      <c r="CD4" s="825">
        <f t="shared" si="3"/>
        <v>280456.52</v>
      </c>
      <c r="CE4" s="825">
        <f t="shared" si="3"/>
        <v>13033494.582972031</v>
      </c>
      <c r="CF4" s="825">
        <f t="shared" si="3"/>
        <v>256936.24</v>
      </c>
      <c r="CG4" s="825">
        <f t="shared" si="3"/>
        <v>0</v>
      </c>
      <c r="CH4" s="825">
        <f t="shared" si="3"/>
        <v>433752.42</v>
      </c>
      <c r="CI4" s="825">
        <f t="shared" si="3"/>
        <v>44266.28</v>
      </c>
      <c r="CJ4" s="825">
        <f t="shared" si="3"/>
        <v>0</v>
      </c>
      <c r="CK4" s="825">
        <f t="shared" si="3"/>
        <v>734954.94000000018</v>
      </c>
      <c r="CL4" s="825">
        <f t="shared" si="3"/>
        <v>7585.9000000000005</v>
      </c>
      <c r="CM4" s="825">
        <f t="shared" si="3"/>
        <v>0</v>
      </c>
      <c r="CN4" s="825">
        <f t="shared" si="3"/>
        <v>23002.400000000001</v>
      </c>
      <c r="CO4" s="825">
        <f t="shared" si="3"/>
        <v>0</v>
      </c>
      <c r="CP4" s="825">
        <f t="shared" si="3"/>
        <v>45.77</v>
      </c>
      <c r="CQ4" s="825">
        <f t="shared" si="3"/>
        <v>30634.07</v>
      </c>
      <c r="CR4" s="825">
        <f t="shared" si="3"/>
        <v>-3531.93</v>
      </c>
      <c r="CS4" s="825">
        <f t="shared" si="3"/>
        <v>0</v>
      </c>
      <c r="CT4" s="825">
        <f t="shared" si="3"/>
        <v>0</v>
      </c>
      <c r="CU4" s="825">
        <f t="shared" si="3"/>
        <v>0</v>
      </c>
      <c r="CV4" s="825">
        <f t="shared" si="3"/>
        <v>0</v>
      </c>
      <c r="CW4" s="825">
        <f t="shared" si="3"/>
        <v>-3531.93</v>
      </c>
      <c r="CX4" s="825">
        <f t="shared" si="3"/>
        <v>-7054.91</v>
      </c>
      <c r="CY4" s="825">
        <f t="shared" ref="CY4:EG4" si="4">SUM(CY5:CY124)</f>
        <v>-7054.91</v>
      </c>
      <c r="CZ4" s="825">
        <f t="shared" si="4"/>
        <v>0</v>
      </c>
      <c r="DA4" s="825">
        <f t="shared" si="4"/>
        <v>-255.93</v>
      </c>
      <c r="DB4" s="825">
        <f t="shared" si="4"/>
        <v>0</v>
      </c>
      <c r="DC4" s="825">
        <f t="shared" si="4"/>
        <v>-14365.750000000002</v>
      </c>
      <c r="DD4" s="825">
        <f t="shared" si="4"/>
        <v>-52617.819999999992</v>
      </c>
      <c r="DE4" s="825">
        <f t="shared" si="4"/>
        <v>0</v>
      </c>
      <c r="DF4" s="825">
        <f t="shared" si="4"/>
        <v>0</v>
      </c>
      <c r="DG4" s="825">
        <f t="shared" si="4"/>
        <v>0</v>
      </c>
      <c r="DH4" s="825">
        <f t="shared" si="4"/>
        <v>0</v>
      </c>
      <c r="DI4" s="825">
        <f t="shared" si="4"/>
        <v>-52617.819999999992</v>
      </c>
      <c r="DJ4" s="825">
        <f t="shared" ref="DJ4:DU4" si="5">SUM(DJ5:DJ124)</f>
        <v>-86842.430000000008</v>
      </c>
      <c r="DK4" s="825">
        <f t="shared" si="5"/>
        <v>-2357.17</v>
      </c>
      <c r="DL4" s="825">
        <f t="shared" si="5"/>
        <v>0</v>
      </c>
      <c r="DM4" s="825">
        <f t="shared" si="5"/>
        <v>0</v>
      </c>
      <c r="DN4" s="825">
        <f t="shared" si="5"/>
        <v>0</v>
      </c>
      <c r="DO4" s="825">
        <f t="shared" si="5"/>
        <v>-89199.6</v>
      </c>
      <c r="DP4" s="1771">
        <f t="shared" si="5"/>
        <v>-28911.42</v>
      </c>
      <c r="DQ4" s="1771">
        <f t="shared" si="5"/>
        <v>-28911.42</v>
      </c>
      <c r="DR4" s="1771">
        <f t="shared" si="5"/>
        <v>0</v>
      </c>
      <c r="DS4" s="1771">
        <f t="shared" si="5"/>
        <v>0.02</v>
      </c>
      <c r="DT4" s="1771">
        <f t="shared" si="5"/>
        <v>0</v>
      </c>
      <c r="DU4" s="1771">
        <f t="shared" si="5"/>
        <v>-57822.820000000007</v>
      </c>
      <c r="DV4" s="825">
        <f t="shared" si="4"/>
        <v>591843.58000000007</v>
      </c>
      <c r="DW4" s="825">
        <f t="shared" si="4"/>
        <v>408371.8600000001</v>
      </c>
      <c r="DX4" s="825">
        <f t="shared" si="4"/>
        <v>183471.59</v>
      </c>
      <c r="DY4" s="825">
        <f t="shared" si="4"/>
        <v>2911.48</v>
      </c>
      <c r="DZ4" s="825">
        <f t="shared" si="4"/>
        <v>7333.5</v>
      </c>
      <c r="EA4" s="825">
        <f t="shared" si="4"/>
        <v>1193932.01</v>
      </c>
      <c r="EB4" s="825">
        <f t="shared" si="4"/>
        <v>732868.6</v>
      </c>
      <c r="EC4" s="825">
        <f t="shared" si="4"/>
        <v>0</v>
      </c>
      <c r="ED4" s="825">
        <f t="shared" si="4"/>
        <v>134430.19999999998</v>
      </c>
      <c r="EE4" s="825">
        <f t="shared" si="4"/>
        <v>52098.81</v>
      </c>
      <c r="EF4" s="825">
        <f t="shared" si="4"/>
        <v>10159.4</v>
      </c>
      <c r="EG4" s="825">
        <f t="shared" si="4"/>
        <v>929557.01000000013</v>
      </c>
    </row>
    <row r="5" spans="1:137" ht="15" customHeight="1" x14ac:dyDescent="0.25">
      <c r="A5" s="818" t="s">
        <v>10</v>
      </c>
      <c r="B5" s="813" t="s">
        <v>11</v>
      </c>
      <c r="C5" s="916" t="s">
        <v>264</v>
      </c>
      <c r="D5" s="814">
        <f>L5+R5+X5+AD5+AJ5+AP5+AV5+BB5+BH5+BN5+BT5+BZ5+CF5+CL5+CR5+CX5+DD5+DJ5+DP5+DV5+EB5</f>
        <v>68953.465972034144</v>
      </c>
      <c r="E5" s="814">
        <f>M5+S5+Y5+AE5+AK5+AQ5+AW5+BC5+BI5+BO5+BU5+CA5+CG5+CM5+CS5+CY5+DE5+DK5+DQ5+DW5+EC5</f>
        <v>12695.98</v>
      </c>
      <c r="F5" s="814">
        <f>N5+T5+Z5+AF5+AL5+AR5+AX5+BD5+BJ5+BP5+BV5+CB5+CH5+CN5+CT5+CZ5+DF5+DL5+DR5+DX5+ED5</f>
        <v>23814.119999999995</v>
      </c>
      <c r="G5" s="814">
        <f>O5+U5+AA5+AG5+AM5+AS5+AY5+BE5+BK5+BQ5+BW5+CC5+CI5+CO5+CU5+DA5+DG5+DM5+DS5+DY5+EE5</f>
        <v>-0.03</v>
      </c>
      <c r="H5" s="814">
        <f>P5+V5+AB5+AH5+AN5+AT5+AZ5+BF5+BL5+BR5+BX5+CD5+CJ5+CP5+CV5+DB5+DH5+DN5+DT5+DZ5+EF5</f>
        <v>0</v>
      </c>
      <c r="I5" s="1422">
        <f>SUM(D5:H5)</f>
        <v>105463.53597203414</v>
      </c>
      <c r="J5" s="815">
        <f>G5+H5</f>
        <v>-0.03</v>
      </c>
      <c r="K5" s="1423">
        <f>F5+J5</f>
        <v>23814.089999999997</v>
      </c>
      <c r="L5" s="1721"/>
      <c r="M5" s="1722"/>
      <c r="N5" s="1722"/>
      <c r="O5" s="1722"/>
      <c r="P5" s="1722"/>
      <c r="Q5" s="1044">
        <f>SUM(L5:P5)</f>
        <v>0</v>
      </c>
      <c r="R5" s="1714"/>
      <c r="S5" s="1715"/>
      <c r="T5" s="1715"/>
      <c r="U5" s="1715"/>
      <c r="V5" s="1716"/>
      <c r="W5" s="1047">
        <f>SUM(R5:V5)</f>
        <v>0</v>
      </c>
      <c r="X5" s="1714"/>
      <c r="Y5" s="1715"/>
      <c r="Z5" s="1715"/>
      <c r="AA5" s="1715"/>
      <c r="AB5" s="1715"/>
      <c r="AC5" s="1122">
        <f>SUM(X5:AB5)</f>
        <v>0</v>
      </c>
      <c r="AD5" s="1730">
        <v>1729.64</v>
      </c>
      <c r="AE5" s="1731">
        <v>10.3</v>
      </c>
      <c r="AF5" s="1731">
        <v>319.16000000000003</v>
      </c>
      <c r="AG5" s="1731">
        <v>0</v>
      </c>
      <c r="AH5" s="1732">
        <v>0</v>
      </c>
      <c r="AI5" s="1045">
        <f>SUM(AD5:AH5)</f>
        <v>2059.1</v>
      </c>
      <c r="AJ5" s="1741">
        <v>36545.31</v>
      </c>
      <c r="AK5" s="1742">
        <v>0</v>
      </c>
      <c r="AL5" s="1742">
        <v>9136.31</v>
      </c>
      <c r="AM5" s="1742">
        <v>0</v>
      </c>
      <c r="AN5" s="1743">
        <v>0</v>
      </c>
      <c r="AO5" s="1057">
        <f>SUM(AJ5:AN5)</f>
        <v>45681.619999999995</v>
      </c>
      <c r="AP5" s="1751"/>
      <c r="AQ5" s="1752"/>
      <c r="AR5" s="1752"/>
      <c r="AS5" s="1752"/>
      <c r="AT5" s="1752"/>
      <c r="AU5" s="1049">
        <f>SUM(AP5:AT5)</f>
        <v>0</v>
      </c>
      <c r="AV5" s="1753">
        <v>548</v>
      </c>
      <c r="AW5" s="1754">
        <v>137</v>
      </c>
      <c r="AX5" s="1754">
        <v>0</v>
      </c>
      <c r="AY5" s="1754">
        <v>0</v>
      </c>
      <c r="AZ5" s="1754">
        <v>0</v>
      </c>
      <c r="BA5" s="1051">
        <f>SUM(AV5:AZ5)</f>
        <v>685</v>
      </c>
      <c r="BB5" s="1762">
        <v>43.94</v>
      </c>
      <c r="BC5" s="1763">
        <v>10.99</v>
      </c>
      <c r="BD5" s="1763">
        <v>0</v>
      </c>
      <c r="BE5" s="1763">
        <v>0</v>
      </c>
      <c r="BF5" s="1716">
        <v>0</v>
      </c>
      <c r="BG5" s="1047">
        <f>SUM(BB5:BF5)</f>
        <v>54.93</v>
      </c>
      <c r="BH5" s="1767"/>
      <c r="BI5" s="1768"/>
      <c r="BJ5" s="1768"/>
      <c r="BK5" s="1768"/>
      <c r="BL5" s="1768"/>
      <c r="BM5" s="1054">
        <f>SUM(BH5:BL5)</f>
        <v>0</v>
      </c>
      <c r="BN5" s="1767">
        <v>13877.9</v>
      </c>
      <c r="BO5" s="1768">
        <v>1757.89</v>
      </c>
      <c r="BP5" s="1768">
        <v>2868.13</v>
      </c>
      <c r="BQ5" s="1768">
        <v>-0.06</v>
      </c>
      <c r="BR5" s="1768">
        <v>0</v>
      </c>
      <c r="BS5" s="1054">
        <f>SUM(BN5:BR5)</f>
        <v>18503.859999999997</v>
      </c>
      <c r="BT5" s="1741"/>
      <c r="BU5" s="1742"/>
      <c r="BV5" s="1742"/>
      <c r="BW5" s="1742"/>
      <c r="BX5" s="1743"/>
      <c r="BY5" s="1057">
        <f>SUM(BT5:BX5)</f>
        <v>0</v>
      </c>
      <c r="BZ5" s="1741">
        <v>2253.1159720341429</v>
      </c>
      <c r="CA5" s="1742">
        <v>7386</v>
      </c>
      <c r="CB5" s="1742">
        <v>1768.09</v>
      </c>
      <c r="CC5" s="1742">
        <v>-0.04</v>
      </c>
      <c r="CD5" s="1743">
        <v>0</v>
      </c>
      <c r="CE5" s="1057">
        <f>SUM(BZ5:CD5)</f>
        <v>11407.165972034141</v>
      </c>
      <c r="CF5" s="1741">
        <v>4207.8100000000004</v>
      </c>
      <c r="CG5" s="1742">
        <v>0</v>
      </c>
      <c r="CH5" s="1742">
        <v>7103.51</v>
      </c>
      <c r="CI5" s="1742">
        <v>0</v>
      </c>
      <c r="CJ5" s="1743">
        <v>0</v>
      </c>
      <c r="CK5" s="1057">
        <f>SUM(CF5:CJ5)</f>
        <v>11311.32</v>
      </c>
      <c r="CL5" s="1767"/>
      <c r="CM5" s="1768"/>
      <c r="CN5" s="1768"/>
      <c r="CO5" s="1768"/>
      <c r="CP5" s="1768"/>
      <c r="CQ5" s="1054">
        <f>SUM(CL5:CP5)</f>
        <v>0</v>
      </c>
      <c r="CR5" s="1741"/>
      <c r="CS5" s="1742"/>
      <c r="CT5" s="1742"/>
      <c r="CU5" s="1742"/>
      <c r="CV5" s="1743"/>
      <c r="CW5" s="1057">
        <f>SUM(CR5:CV5)</f>
        <v>0</v>
      </c>
      <c r="CX5" s="1767"/>
      <c r="CY5" s="1768"/>
      <c r="CZ5" s="1768"/>
      <c r="DA5" s="1768"/>
      <c r="DB5" s="1768"/>
      <c r="DC5" s="1054">
        <f>SUM(CX5:DB5)</f>
        <v>0</v>
      </c>
      <c r="DD5" s="1741"/>
      <c r="DE5" s="1742"/>
      <c r="DF5" s="1742"/>
      <c r="DG5" s="1742"/>
      <c r="DH5" s="1743"/>
      <c r="DI5" s="1057">
        <f>SUM(DD5:DH5)</f>
        <v>0</v>
      </c>
      <c r="DJ5" s="1741">
        <v>-1136</v>
      </c>
      <c r="DK5" s="1742">
        <v>0</v>
      </c>
      <c r="DL5" s="1742">
        <v>0</v>
      </c>
      <c r="DM5" s="1742">
        <v>0</v>
      </c>
      <c r="DN5" s="1742">
        <v>0</v>
      </c>
      <c r="DO5" s="1124">
        <f>SUM(DJ5:DN5)</f>
        <v>-1136</v>
      </c>
      <c r="DP5" s="1125"/>
      <c r="DQ5" s="1125"/>
      <c r="DR5" s="1125"/>
      <c r="DS5" s="1125"/>
      <c r="DT5" s="1125"/>
      <c r="DU5" s="1125">
        <f>SUM(DP5:DT5)</f>
        <v>0</v>
      </c>
      <c r="DV5" s="1741">
        <v>4918.58</v>
      </c>
      <c r="DW5" s="1742">
        <v>3393.8</v>
      </c>
      <c r="DX5" s="1742">
        <v>1524.75</v>
      </c>
      <c r="DY5" s="1742">
        <v>0</v>
      </c>
      <c r="DZ5" s="1743">
        <v>0</v>
      </c>
      <c r="EA5" s="1058">
        <f>SUM(DV5:DZ5)</f>
        <v>9837.130000000001</v>
      </c>
      <c r="EB5" s="1741">
        <v>5965.17</v>
      </c>
      <c r="EC5" s="1742">
        <v>0</v>
      </c>
      <c r="ED5" s="1742">
        <v>1094.17</v>
      </c>
      <c r="EE5" s="1742">
        <v>7.0000000000000007E-2</v>
      </c>
      <c r="EF5" s="1743">
        <v>0</v>
      </c>
      <c r="EG5" s="1057">
        <f>SUM(EB5:EF5)</f>
        <v>7059.41</v>
      </c>
    </row>
    <row r="6" spans="1:137" ht="15" customHeight="1" x14ac:dyDescent="0.25">
      <c r="A6" s="719" t="s">
        <v>12</v>
      </c>
      <c r="B6" s="816" t="s">
        <v>13</v>
      </c>
      <c r="C6" s="917" t="s">
        <v>265</v>
      </c>
      <c r="D6" s="814">
        <f t="shared" ref="D6:D69" si="6">L6+R6+X6+AD6+AJ6+AP6+AV6+BB6+BH6+BN6+BT6+BZ6+CF6+CL6+CR6+CX6+DD6+DJ6+DP6+DV6+EB6</f>
        <v>132012.38</v>
      </c>
      <c r="E6" s="814">
        <f t="shared" ref="E6:E69" si="7">M6+S6+Y6+AE6+AK6+AQ6+AW6+BC6+BI6+BO6+BU6+CA6+CG6+CM6+CS6+CY6+DE6+DK6+DQ6+DW6+EC6</f>
        <v>60116.959999999999</v>
      </c>
      <c r="F6" s="814">
        <f t="shared" ref="F6:F69" si="8">N6+T6+Z6+AF6+AL6+AR6+AX6+BD6+BJ6+BP6+BV6+CB6+CH6+CN6+CT6+CZ6+DF6+DL6+DR6+DX6+ED6</f>
        <v>30273.9</v>
      </c>
      <c r="G6" s="814">
        <f t="shared" ref="G6:G69" si="9">O6+U6+AA6+AG6+AM6+AS6+AY6+BE6+BK6+BQ6+BW6+CC6+CI6+CO6+CU6+DA6+DG6+DM6+DS6+DY6+EE6</f>
        <v>-3.9999999999999994E-2</v>
      </c>
      <c r="H6" s="814">
        <f t="shared" ref="H6:H69" si="10">P6+V6+AB6+AH6+AN6+AT6+AZ6+BF6+BL6+BR6+BX6+CD6+CJ6+CP6+CV6+DB6+DH6+DN6+DT6+DZ6+EF6</f>
        <v>803.46</v>
      </c>
      <c r="I6" s="1422">
        <f t="shared" ref="I6:I69" si="11">SUM(D6:H6)</f>
        <v>223206.65999999997</v>
      </c>
      <c r="J6" s="815">
        <f t="shared" ref="J6:J69" si="12">G6+H6</f>
        <v>803.42000000000007</v>
      </c>
      <c r="K6" s="1423">
        <f t="shared" ref="K6:K69" si="13">F6+J6</f>
        <v>31077.32</v>
      </c>
      <c r="L6" s="1723"/>
      <c r="M6" s="1043"/>
      <c r="N6" s="1043"/>
      <c r="O6" s="1043"/>
      <c r="P6" s="1043"/>
      <c r="Q6" s="1044">
        <f t="shared" ref="Q6:Q69" si="14">SUM(L6:P6)</f>
        <v>0</v>
      </c>
      <c r="R6" s="1717"/>
      <c r="S6" s="1048"/>
      <c r="T6" s="1048"/>
      <c r="U6" s="1048"/>
      <c r="V6" s="1718"/>
      <c r="W6" s="1047">
        <f t="shared" ref="W6:W69" si="15">SUM(R6:V6)</f>
        <v>0</v>
      </c>
      <c r="X6" s="1719"/>
      <c r="Y6" s="1123"/>
      <c r="Z6" s="1123"/>
      <c r="AA6" s="1123"/>
      <c r="AB6" s="1123"/>
      <c r="AC6" s="1122">
        <f t="shared" ref="AC6:AC69" si="16">SUM(X6:AB6)</f>
        <v>0</v>
      </c>
      <c r="AD6" s="1733">
        <v>10600.11</v>
      </c>
      <c r="AE6" s="1734">
        <v>63.12</v>
      </c>
      <c r="AF6" s="1734">
        <v>1955.99</v>
      </c>
      <c r="AG6" s="1734">
        <v>-0.05</v>
      </c>
      <c r="AH6" s="1735">
        <v>0</v>
      </c>
      <c r="AI6" s="1045">
        <f t="shared" ref="AI6:AI69" si="17">SUM(AD6:AH6)</f>
        <v>12619.170000000002</v>
      </c>
      <c r="AJ6" s="1744">
        <v>68732.009999999995</v>
      </c>
      <c r="AK6" s="1125">
        <v>0</v>
      </c>
      <c r="AL6" s="1125">
        <v>17182.990000000002</v>
      </c>
      <c r="AM6" s="1125">
        <v>0</v>
      </c>
      <c r="AN6" s="1745">
        <v>803.46</v>
      </c>
      <c r="AO6" s="1057">
        <f t="shared" ref="AO6:AO69" si="18">SUM(AJ6:AN6)</f>
        <v>86718.46</v>
      </c>
      <c r="AP6" s="1736"/>
      <c r="AQ6" s="1046"/>
      <c r="AR6" s="1046"/>
      <c r="AS6" s="1046"/>
      <c r="AT6" s="1046"/>
      <c r="AU6" s="1049">
        <f t="shared" ref="AU6:AU69" si="19">SUM(AP6:AT6)</f>
        <v>0</v>
      </c>
      <c r="AV6" s="1755">
        <v>16439.259999999998</v>
      </c>
      <c r="AW6" s="1756">
        <v>4109.8500000000004</v>
      </c>
      <c r="AX6" s="1756">
        <v>0</v>
      </c>
      <c r="AY6" s="1756">
        <v>0</v>
      </c>
      <c r="AZ6" s="1757">
        <v>0</v>
      </c>
      <c r="BA6" s="1051">
        <f t="shared" ref="BA6:BA69" si="20">SUM(AV6:AZ6)</f>
        <v>20549.11</v>
      </c>
      <c r="BB6" s="1764">
        <v>21651.48</v>
      </c>
      <c r="BC6" s="1765">
        <v>5412.87</v>
      </c>
      <c r="BD6" s="1765">
        <v>0</v>
      </c>
      <c r="BE6" s="1765">
        <v>0</v>
      </c>
      <c r="BF6" s="1766">
        <v>0</v>
      </c>
      <c r="BG6" s="1047">
        <f t="shared" ref="BG6:BG69" si="21">SUM(BB6:BF6)</f>
        <v>27064.35</v>
      </c>
      <c r="BH6" s="1744">
        <v>1884.5</v>
      </c>
      <c r="BI6" s="1125">
        <v>3403.1</v>
      </c>
      <c r="BJ6" s="1125">
        <v>0</v>
      </c>
      <c r="BK6" s="1125">
        <v>0</v>
      </c>
      <c r="BL6" s="1745">
        <v>0</v>
      </c>
      <c r="BM6" s="1054">
        <f t="shared" ref="BM6:BM69" si="22">SUM(BH6:BL6)</f>
        <v>5287.6</v>
      </c>
      <c r="BN6" s="1746">
        <v>0</v>
      </c>
      <c r="BO6" s="1053">
        <v>0</v>
      </c>
      <c r="BP6" s="1053">
        <v>0</v>
      </c>
      <c r="BQ6" s="1053">
        <v>0</v>
      </c>
      <c r="BR6" s="1053">
        <v>0</v>
      </c>
      <c r="BS6" s="1054">
        <f t="shared" ref="BS6:BS69" si="23">SUM(BN6:BR6)</f>
        <v>0</v>
      </c>
      <c r="BT6" s="1744"/>
      <c r="BU6" s="1125"/>
      <c r="BV6" s="1125"/>
      <c r="BW6" s="1125"/>
      <c r="BX6" s="1745"/>
      <c r="BY6" s="1057">
        <f t="shared" ref="BY6:BY69" si="24">SUM(BT6:BX6)</f>
        <v>0</v>
      </c>
      <c r="BZ6" s="1744">
        <v>13860.13</v>
      </c>
      <c r="CA6" s="1125">
        <v>47128.02</v>
      </c>
      <c r="CB6" s="1125">
        <v>11186.88</v>
      </c>
      <c r="CC6" s="1125">
        <v>-0.06</v>
      </c>
      <c r="CD6" s="1745">
        <v>0</v>
      </c>
      <c r="CE6" s="1057">
        <f t="shared" ref="CE6:CE69" si="25">SUM(BZ6:CD6)</f>
        <v>72174.97</v>
      </c>
      <c r="CF6" s="1746"/>
      <c r="CG6" s="1053"/>
      <c r="CH6" s="1053"/>
      <c r="CI6" s="1053"/>
      <c r="CJ6" s="1747"/>
      <c r="CK6" s="1057">
        <f t="shared" ref="CK6:CK69" si="26">SUM(CF6:CJ6)</f>
        <v>0</v>
      </c>
      <c r="CL6" s="1746"/>
      <c r="CM6" s="1053"/>
      <c r="CN6" s="1053"/>
      <c r="CO6" s="1053"/>
      <c r="CP6" s="1053"/>
      <c r="CQ6" s="1054">
        <f t="shared" ref="CQ6:CQ69" si="27">SUM(CL6:CP6)</f>
        <v>0</v>
      </c>
      <c r="CR6" s="1746"/>
      <c r="CS6" s="1053"/>
      <c r="CT6" s="1053"/>
      <c r="CU6" s="1053"/>
      <c r="CV6" s="1747"/>
      <c r="CW6" s="1057">
        <f t="shared" ref="CW6:CW69" si="28">SUM(CR6:CV6)</f>
        <v>0</v>
      </c>
      <c r="CX6" s="1744"/>
      <c r="CY6" s="1125"/>
      <c r="CZ6" s="1125"/>
      <c r="DA6" s="1125"/>
      <c r="DB6" s="1745"/>
      <c r="DC6" s="1054">
        <f t="shared" ref="DC6:DC69" si="29">SUM(CX6:DB6)</f>
        <v>0</v>
      </c>
      <c r="DD6" s="1744"/>
      <c r="DE6" s="1125"/>
      <c r="DF6" s="1125"/>
      <c r="DG6" s="1125"/>
      <c r="DH6" s="1745"/>
      <c r="DI6" s="1057">
        <f t="shared" ref="DI6:DI69" si="30">SUM(DD6:DH6)</f>
        <v>0</v>
      </c>
      <c r="DJ6" s="1744">
        <v>-872</v>
      </c>
      <c r="DK6" s="1125">
        <v>0</v>
      </c>
      <c r="DL6" s="1125">
        <v>0</v>
      </c>
      <c r="DM6" s="1125">
        <v>0</v>
      </c>
      <c r="DN6" s="1125">
        <v>0</v>
      </c>
      <c r="DO6" s="1124">
        <f t="shared" ref="DO6:DO69" si="31">SUM(DJ6:DN6)</f>
        <v>-872</v>
      </c>
      <c r="DP6" s="1125"/>
      <c r="DQ6" s="1125"/>
      <c r="DR6" s="1125"/>
      <c r="DS6" s="1125"/>
      <c r="DT6" s="1125"/>
      <c r="DU6" s="1125">
        <f>SUM(DP6:DT6)</f>
        <v>0</v>
      </c>
      <c r="DV6" s="1744">
        <v>0</v>
      </c>
      <c r="DW6" s="1125">
        <v>0</v>
      </c>
      <c r="DX6" s="1125">
        <v>0</v>
      </c>
      <c r="DY6" s="1125">
        <v>0</v>
      </c>
      <c r="DZ6" s="1745">
        <v>0</v>
      </c>
      <c r="EA6" s="1058">
        <f t="shared" ref="EA6:EA69" si="32">SUM(DV6:DZ6)</f>
        <v>0</v>
      </c>
      <c r="EB6" s="1746">
        <v>-283.11</v>
      </c>
      <c r="EC6" s="1053">
        <v>0</v>
      </c>
      <c r="ED6" s="1053">
        <v>-51.96</v>
      </c>
      <c r="EE6" s="1053">
        <v>7.0000000000000007E-2</v>
      </c>
      <c r="EF6" s="1747">
        <v>0</v>
      </c>
      <c r="EG6" s="1057">
        <f t="shared" ref="EG6:EG69" si="33">SUM(EB6:EF6)</f>
        <v>-335</v>
      </c>
    </row>
    <row r="7" spans="1:137" ht="15" customHeight="1" x14ac:dyDescent="0.25">
      <c r="A7" s="719" t="s">
        <v>16</v>
      </c>
      <c r="B7" s="816" t="s">
        <v>297</v>
      </c>
      <c r="C7" s="917" t="s">
        <v>265</v>
      </c>
      <c r="D7" s="814">
        <f t="shared" si="6"/>
        <v>113679.26999999999</v>
      </c>
      <c r="E7" s="814">
        <f t="shared" si="7"/>
        <v>37647.1</v>
      </c>
      <c r="F7" s="814">
        <f t="shared" si="8"/>
        <v>31750.349999999995</v>
      </c>
      <c r="G7" s="814">
        <f t="shared" si="9"/>
        <v>0</v>
      </c>
      <c r="H7" s="814">
        <f t="shared" si="10"/>
        <v>0</v>
      </c>
      <c r="I7" s="1422">
        <f t="shared" si="11"/>
        <v>183076.72</v>
      </c>
      <c r="J7" s="815">
        <f t="shared" si="12"/>
        <v>0</v>
      </c>
      <c r="K7" s="1423">
        <f t="shared" si="13"/>
        <v>31750.349999999995</v>
      </c>
      <c r="L7" s="1723"/>
      <c r="M7" s="1043"/>
      <c r="N7" s="1043"/>
      <c r="O7" s="1043"/>
      <c r="P7" s="1043"/>
      <c r="Q7" s="1044">
        <f t="shared" si="14"/>
        <v>0</v>
      </c>
      <c r="R7" s="1717"/>
      <c r="S7" s="1048"/>
      <c r="T7" s="1048"/>
      <c r="U7" s="1048"/>
      <c r="V7" s="1718"/>
      <c r="W7" s="1047">
        <f t="shared" si="15"/>
        <v>0</v>
      </c>
      <c r="X7" s="1719"/>
      <c r="Y7" s="1123"/>
      <c r="Z7" s="1123"/>
      <c r="AA7" s="1123"/>
      <c r="AB7" s="1123"/>
      <c r="AC7" s="1122">
        <f t="shared" si="16"/>
        <v>0</v>
      </c>
      <c r="AD7" s="1733">
        <v>4833.18</v>
      </c>
      <c r="AE7" s="1734">
        <v>28.79</v>
      </c>
      <c r="AF7" s="1734">
        <v>891.84</v>
      </c>
      <c r="AG7" s="1734">
        <v>-0.04</v>
      </c>
      <c r="AH7" s="1735">
        <v>0</v>
      </c>
      <c r="AI7" s="1045">
        <f t="shared" si="17"/>
        <v>5753.77</v>
      </c>
      <c r="AJ7" s="1744">
        <v>44175.06</v>
      </c>
      <c r="AK7" s="1125">
        <v>0</v>
      </c>
      <c r="AL7" s="1125">
        <v>11043.71</v>
      </c>
      <c r="AM7" s="1125">
        <v>0</v>
      </c>
      <c r="AN7" s="1745">
        <v>0</v>
      </c>
      <c r="AO7" s="1057">
        <f t="shared" si="18"/>
        <v>55218.77</v>
      </c>
      <c r="AP7" s="1736"/>
      <c r="AQ7" s="1046"/>
      <c r="AR7" s="1046"/>
      <c r="AS7" s="1046"/>
      <c r="AT7" s="1046"/>
      <c r="AU7" s="1049">
        <f t="shared" si="19"/>
        <v>0</v>
      </c>
      <c r="AV7" s="1755"/>
      <c r="AW7" s="1756"/>
      <c r="AX7" s="1756"/>
      <c r="AY7" s="1756"/>
      <c r="AZ7" s="1757"/>
      <c r="BA7" s="1051">
        <f t="shared" si="20"/>
        <v>0</v>
      </c>
      <c r="BB7" s="1764">
        <v>2469.96</v>
      </c>
      <c r="BC7" s="1765">
        <v>617.49</v>
      </c>
      <c r="BD7" s="1765">
        <v>0</v>
      </c>
      <c r="BE7" s="1765">
        <v>0</v>
      </c>
      <c r="BF7" s="1766">
        <v>0</v>
      </c>
      <c r="BG7" s="1047">
        <f t="shared" si="21"/>
        <v>3087.45</v>
      </c>
      <c r="BH7" s="1746"/>
      <c r="BI7" s="1053"/>
      <c r="BJ7" s="1053"/>
      <c r="BK7" s="1053"/>
      <c r="BL7" s="1053"/>
      <c r="BM7" s="1054">
        <f t="shared" si="22"/>
        <v>0</v>
      </c>
      <c r="BN7" s="1744">
        <v>14688.529999999999</v>
      </c>
      <c r="BO7" s="1125">
        <v>1860.56</v>
      </c>
      <c r="BP7" s="1125">
        <v>3035.6499999999996</v>
      </c>
      <c r="BQ7" s="1125">
        <v>-0.04</v>
      </c>
      <c r="BR7" s="1745">
        <v>0</v>
      </c>
      <c r="BS7" s="1054">
        <f t="shared" si="23"/>
        <v>19584.699999999997</v>
      </c>
      <c r="BT7" s="1744"/>
      <c r="BU7" s="1125"/>
      <c r="BV7" s="1125"/>
      <c r="BW7" s="1125"/>
      <c r="BX7" s="1745"/>
      <c r="BY7" s="1057">
        <f t="shared" si="24"/>
        <v>0</v>
      </c>
      <c r="BZ7" s="1744">
        <v>23285.48</v>
      </c>
      <c r="CA7" s="1125">
        <v>28315.91</v>
      </c>
      <c r="CB7" s="1125">
        <v>9464.83</v>
      </c>
      <c r="CC7" s="1125">
        <v>0.04</v>
      </c>
      <c r="CD7" s="1745">
        <v>0</v>
      </c>
      <c r="CE7" s="1057">
        <f t="shared" si="25"/>
        <v>61066.26</v>
      </c>
      <c r="CF7" s="1744">
        <v>664.19</v>
      </c>
      <c r="CG7" s="1125">
        <v>0</v>
      </c>
      <c r="CH7" s="1125">
        <v>1121.26</v>
      </c>
      <c r="CI7" s="1125">
        <v>0</v>
      </c>
      <c r="CJ7" s="1745">
        <v>0</v>
      </c>
      <c r="CK7" s="1057">
        <f t="shared" si="26"/>
        <v>1785.45</v>
      </c>
      <c r="CL7" s="1746"/>
      <c r="CM7" s="1053"/>
      <c r="CN7" s="1053"/>
      <c r="CO7" s="1053"/>
      <c r="CP7" s="1053"/>
      <c r="CQ7" s="1054">
        <f t="shared" si="27"/>
        <v>0</v>
      </c>
      <c r="CR7" s="1744">
        <v>-1200</v>
      </c>
      <c r="CS7" s="1125"/>
      <c r="CT7" s="1125"/>
      <c r="CU7" s="1125"/>
      <c r="CV7" s="1745"/>
      <c r="CW7" s="1057">
        <f t="shared" si="28"/>
        <v>-1200</v>
      </c>
      <c r="CX7" s="1746"/>
      <c r="CY7" s="1053"/>
      <c r="CZ7" s="1053"/>
      <c r="DA7" s="1053"/>
      <c r="DB7" s="1053"/>
      <c r="DC7" s="1054">
        <f t="shared" si="29"/>
        <v>0</v>
      </c>
      <c r="DD7" s="1744">
        <v>-1740</v>
      </c>
      <c r="DE7" s="1125">
        <v>0</v>
      </c>
      <c r="DF7" s="1125">
        <v>0</v>
      </c>
      <c r="DG7" s="1125">
        <v>0</v>
      </c>
      <c r="DH7" s="1745">
        <v>0</v>
      </c>
      <c r="DI7" s="1057">
        <f t="shared" si="30"/>
        <v>-1740</v>
      </c>
      <c r="DJ7" s="1744">
        <v>-435</v>
      </c>
      <c r="DK7" s="1125">
        <v>0</v>
      </c>
      <c r="DL7" s="1125">
        <v>0</v>
      </c>
      <c r="DM7" s="1125">
        <v>0</v>
      </c>
      <c r="DN7" s="1125">
        <v>0</v>
      </c>
      <c r="DO7" s="1124">
        <f t="shared" si="31"/>
        <v>-435</v>
      </c>
      <c r="DP7" s="1125"/>
      <c r="DQ7" s="1125"/>
      <c r="DR7" s="1125"/>
      <c r="DS7" s="1125"/>
      <c r="DT7" s="1125"/>
      <c r="DU7" s="1125">
        <f t="shared" ref="DU7:DU70" si="34">SUM(DP7:DT7)</f>
        <v>0</v>
      </c>
      <c r="DV7" s="1744">
        <v>9890.36</v>
      </c>
      <c r="DW7" s="1125">
        <v>6824.35</v>
      </c>
      <c r="DX7" s="1125">
        <v>3066.01</v>
      </c>
      <c r="DY7" s="1125">
        <v>0</v>
      </c>
      <c r="DZ7" s="1745">
        <v>0</v>
      </c>
      <c r="EA7" s="1058">
        <f t="shared" si="32"/>
        <v>19780.72</v>
      </c>
      <c r="EB7" s="1744">
        <v>17047.510000000002</v>
      </c>
      <c r="EC7" s="1125">
        <v>0</v>
      </c>
      <c r="ED7" s="1125">
        <v>3127.05</v>
      </c>
      <c r="EE7" s="1125">
        <v>0.04</v>
      </c>
      <c r="EF7" s="1745">
        <v>0</v>
      </c>
      <c r="EG7" s="1057">
        <f t="shared" si="33"/>
        <v>20174.600000000002</v>
      </c>
    </row>
    <row r="8" spans="1:137" ht="15" customHeight="1" x14ac:dyDescent="0.25">
      <c r="A8" s="719" t="s">
        <v>18</v>
      </c>
      <c r="B8" s="816" t="s">
        <v>19</v>
      </c>
      <c r="C8" s="917" t="s">
        <v>266</v>
      </c>
      <c r="D8" s="814">
        <f t="shared" si="6"/>
        <v>29880.690000000002</v>
      </c>
      <c r="E8" s="814">
        <f t="shared" si="7"/>
        <v>35352.400000000001</v>
      </c>
      <c r="F8" s="814">
        <f t="shared" si="8"/>
        <v>11255.26</v>
      </c>
      <c r="G8" s="814">
        <f t="shared" si="9"/>
        <v>-0.06</v>
      </c>
      <c r="H8" s="814">
        <f t="shared" si="10"/>
        <v>0</v>
      </c>
      <c r="I8" s="1422">
        <f t="shared" si="11"/>
        <v>76488.290000000008</v>
      </c>
      <c r="J8" s="815">
        <f t="shared" si="12"/>
        <v>-0.06</v>
      </c>
      <c r="K8" s="1423">
        <f t="shared" si="13"/>
        <v>11255.2</v>
      </c>
      <c r="L8" s="1723"/>
      <c r="M8" s="1043"/>
      <c r="N8" s="1043"/>
      <c r="O8" s="1043"/>
      <c r="P8" s="1043"/>
      <c r="Q8" s="1044">
        <f t="shared" si="14"/>
        <v>0</v>
      </c>
      <c r="R8" s="1719"/>
      <c r="S8" s="1123"/>
      <c r="T8" s="1123"/>
      <c r="U8" s="1123"/>
      <c r="V8" s="1720"/>
      <c r="W8" s="1047">
        <f t="shared" si="15"/>
        <v>0</v>
      </c>
      <c r="X8" s="1719"/>
      <c r="Y8" s="1123"/>
      <c r="Z8" s="1123"/>
      <c r="AA8" s="1123"/>
      <c r="AB8" s="1123"/>
      <c r="AC8" s="1122">
        <f t="shared" si="16"/>
        <v>0</v>
      </c>
      <c r="AD8" s="1733">
        <v>0</v>
      </c>
      <c r="AE8" s="1734">
        <v>0</v>
      </c>
      <c r="AF8" s="1734">
        <v>0</v>
      </c>
      <c r="AG8" s="1734">
        <v>0</v>
      </c>
      <c r="AH8" s="1735">
        <v>0</v>
      </c>
      <c r="AI8" s="1045">
        <f t="shared" si="17"/>
        <v>0</v>
      </c>
      <c r="AJ8" s="1744">
        <v>3092.44</v>
      </c>
      <c r="AK8" s="1125">
        <v>0</v>
      </c>
      <c r="AL8" s="1125">
        <v>773.11</v>
      </c>
      <c r="AM8" s="1125">
        <v>0</v>
      </c>
      <c r="AN8" s="1745">
        <v>0</v>
      </c>
      <c r="AO8" s="1057">
        <f t="shared" si="18"/>
        <v>3865.55</v>
      </c>
      <c r="AP8" s="1736"/>
      <c r="AQ8" s="1046"/>
      <c r="AR8" s="1046"/>
      <c r="AS8" s="1046"/>
      <c r="AT8" s="1046"/>
      <c r="AU8" s="1049">
        <f t="shared" si="19"/>
        <v>0</v>
      </c>
      <c r="AV8" s="1755">
        <v>3995.98</v>
      </c>
      <c r="AW8" s="1756">
        <v>998.99</v>
      </c>
      <c r="AX8" s="1756">
        <v>0</v>
      </c>
      <c r="AY8" s="1756">
        <v>0</v>
      </c>
      <c r="AZ8" s="1757">
        <v>0</v>
      </c>
      <c r="BA8" s="1051">
        <f t="shared" si="20"/>
        <v>4994.97</v>
      </c>
      <c r="BB8" s="1764">
        <v>0</v>
      </c>
      <c r="BC8" s="1765">
        <v>0</v>
      </c>
      <c r="BD8" s="1765">
        <v>0</v>
      </c>
      <c r="BE8" s="1765">
        <v>0</v>
      </c>
      <c r="BF8" s="1766">
        <v>0</v>
      </c>
      <c r="BG8" s="1047">
        <f t="shared" si="21"/>
        <v>0</v>
      </c>
      <c r="BH8" s="1746"/>
      <c r="BI8" s="1053"/>
      <c r="BJ8" s="1053"/>
      <c r="BK8" s="1053"/>
      <c r="BL8" s="1053"/>
      <c r="BM8" s="1054">
        <f t="shared" si="22"/>
        <v>0</v>
      </c>
      <c r="BN8" s="1744">
        <v>9655.23</v>
      </c>
      <c r="BO8" s="1125">
        <v>1223</v>
      </c>
      <c r="BP8" s="1125">
        <v>1995.41</v>
      </c>
      <c r="BQ8" s="1125">
        <v>0</v>
      </c>
      <c r="BR8" s="1745">
        <v>0</v>
      </c>
      <c r="BS8" s="1054">
        <f t="shared" si="23"/>
        <v>12873.64</v>
      </c>
      <c r="BT8" s="1744"/>
      <c r="BU8" s="1125"/>
      <c r="BV8" s="1125"/>
      <c r="BW8" s="1125"/>
      <c r="BX8" s="1745"/>
      <c r="BY8" s="1057">
        <f t="shared" si="24"/>
        <v>0</v>
      </c>
      <c r="BZ8" s="1744">
        <v>8906.43</v>
      </c>
      <c r="CA8" s="1125">
        <v>30284.16</v>
      </c>
      <c r="CB8" s="1125">
        <v>7188.63</v>
      </c>
      <c r="CC8" s="1125">
        <v>-0.09</v>
      </c>
      <c r="CD8" s="1745">
        <v>0</v>
      </c>
      <c r="CE8" s="1057">
        <f t="shared" si="25"/>
        <v>46379.13</v>
      </c>
      <c r="CF8" s="1746"/>
      <c r="CG8" s="1053"/>
      <c r="CH8" s="1053"/>
      <c r="CI8" s="1053"/>
      <c r="CJ8" s="1747"/>
      <c r="CK8" s="1057">
        <f t="shared" si="26"/>
        <v>0</v>
      </c>
      <c r="CL8" s="1746"/>
      <c r="CM8" s="1053"/>
      <c r="CN8" s="1053"/>
      <c r="CO8" s="1053"/>
      <c r="CP8" s="1053"/>
      <c r="CQ8" s="1054">
        <f t="shared" si="27"/>
        <v>0</v>
      </c>
      <c r="CR8" s="1744"/>
      <c r="CS8" s="1125"/>
      <c r="CT8" s="1125"/>
      <c r="CU8" s="1125"/>
      <c r="CV8" s="1745"/>
      <c r="CW8" s="1057">
        <f t="shared" si="28"/>
        <v>0</v>
      </c>
      <c r="CX8" s="1744"/>
      <c r="CY8" s="1125"/>
      <c r="CZ8" s="1125"/>
      <c r="DA8" s="1125"/>
      <c r="DB8" s="1745"/>
      <c r="DC8" s="1054">
        <f t="shared" si="29"/>
        <v>0</v>
      </c>
      <c r="DD8" s="1744"/>
      <c r="DE8" s="1125"/>
      <c r="DF8" s="1125"/>
      <c r="DG8" s="1125"/>
      <c r="DH8" s="1745"/>
      <c r="DI8" s="1057">
        <f t="shared" si="30"/>
        <v>0</v>
      </c>
      <c r="DJ8" s="1744"/>
      <c r="DK8" s="1125"/>
      <c r="DL8" s="1125"/>
      <c r="DM8" s="1125"/>
      <c r="DN8" s="1125"/>
      <c r="DO8" s="1124">
        <f t="shared" si="31"/>
        <v>0</v>
      </c>
      <c r="DP8" s="1125"/>
      <c r="DQ8" s="1125"/>
      <c r="DR8" s="1125"/>
      <c r="DS8" s="1125"/>
      <c r="DT8" s="1125"/>
      <c r="DU8" s="1125">
        <f t="shared" si="34"/>
        <v>0</v>
      </c>
      <c r="DV8" s="1744">
        <v>4125</v>
      </c>
      <c r="DW8" s="1125">
        <v>2846.25</v>
      </c>
      <c r="DX8" s="1125">
        <v>1278.75</v>
      </c>
      <c r="DY8" s="1125">
        <v>0</v>
      </c>
      <c r="DZ8" s="1745">
        <v>0</v>
      </c>
      <c r="EA8" s="1058">
        <f t="shared" si="32"/>
        <v>8250</v>
      </c>
      <c r="EB8" s="1744">
        <v>105.61</v>
      </c>
      <c r="EC8" s="1125">
        <v>0</v>
      </c>
      <c r="ED8" s="1125">
        <v>19.36</v>
      </c>
      <c r="EE8" s="1125">
        <v>0.03</v>
      </c>
      <c r="EF8" s="1745">
        <v>0</v>
      </c>
      <c r="EG8" s="1057">
        <f t="shared" si="33"/>
        <v>125</v>
      </c>
    </row>
    <row r="9" spans="1:137" ht="15" customHeight="1" x14ac:dyDescent="0.25">
      <c r="A9" s="719" t="s">
        <v>20</v>
      </c>
      <c r="B9" s="816" t="s">
        <v>21</v>
      </c>
      <c r="C9" s="917" t="s">
        <v>265</v>
      </c>
      <c r="D9" s="814">
        <f t="shared" si="6"/>
        <v>50172.750000000007</v>
      </c>
      <c r="E9" s="814">
        <f t="shared" si="7"/>
        <v>19851.2</v>
      </c>
      <c r="F9" s="814">
        <f t="shared" si="8"/>
        <v>14475.63</v>
      </c>
      <c r="G9" s="814">
        <f t="shared" si="9"/>
        <v>4.9999999999999996E-2</v>
      </c>
      <c r="H9" s="814">
        <f t="shared" si="10"/>
        <v>0</v>
      </c>
      <c r="I9" s="1422">
        <f t="shared" si="11"/>
        <v>84499.630000000019</v>
      </c>
      <c r="J9" s="815">
        <f t="shared" si="12"/>
        <v>4.9999999999999996E-2</v>
      </c>
      <c r="K9" s="1423">
        <f t="shared" si="13"/>
        <v>14475.679999999998</v>
      </c>
      <c r="L9" s="1723"/>
      <c r="M9" s="1043"/>
      <c r="N9" s="1043"/>
      <c r="O9" s="1043"/>
      <c r="P9" s="1043"/>
      <c r="Q9" s="1044">
        <f t="shared" si="14"/>
        <v>0</v>
      </c>
      <c r="R9" s="1717"/>
      <c r="S9" s="1048"/>
      <c r="T9" s="1048"/>
      <c r="U9" s="1048"/>
      <c r="V9" s="1718"/>
      <c r="W9" s="1047">
        <f t="shared" si="15"/>
        <v>0</v>
      </c>
      <c r="X9" s="1719"/>
      <c r="Y9" s="1123"/>
      <c r="Z9" s="1123"/>
      <c r="AA9" s="1123"/>
      <c r="AB9" s="1123"/>
      <c r="AC9" s="1122">
        <f t="shared" si="16"/>
        <v>0</v>
      </c>
      <c r="AD9" s="1733">
        <v>948.48</v>
      </c>
      <c r="AE9" s="1734">
        <v>5.64</v>
      </c>
      <c r="AF9" s="1734">
        <v>175.03</v>
      </c>
      <c r="AG9" s="1734">
        <v>0</v>
      </c>
      <c r="AH9" s="1735">
        <v>0</v>
      </c>
      <c r="AI9" s="1045">
        <f t="shared" si="17"/>
        <v>1129.1500000000001</v>
      </c>
      <c r="AJ9" s="1744">
        <v>26045.93</v>
      </c>
      <c r="AK9" s="1125">
        <v>0</v>
      </c>
      <c r="AL9" s="1125">
        <v>6511.48</v>
      </c>
      <c r="AM9" s="1125">
        <v>0</v>
      </c>
      <c r="AN9" s="1745">
        <v>0</v>
      </c>
      <c r="AO9" s="1057">
        <f t="shared" si="18"/>
        <v>32557.41</v>
      </c>
      <c r="AP9" s="1736"/>
      <c r="AQ9" s="1046"/>
      <c r="AR9" s="1046"/>
      <c r="AS9" s="1046"/>
      <c r="AT9" s="1046"/>
      <c r="AU9" s="1049">
        <f t="shared" si="19"/>
        <v>0</v>
      </c>
      <c r="AV9" s="1758"/>
      <c r="AW9" s="1050"/>
      <c r="AX9" s="1050"/>
      <c r="AY9" s="1050"/>
      <c r="AZ9" s="1050"/>
      <c r="BA9" s="1051">
        <f t="shared" si="20"/>
        <v>0</v>
      </c>
      <c r="BB9" s="1764">
        <v>0</v>
      </c>
      <c r="BC9" s="1765">
        <v>0</v>
      </c>
      <c r="BD9" s="1765">
        <v>0</v>
      </c>
      <c r="BE9" s="1765">
        <v>0</v>
      </c>
      <c r="BF9" s="1766">
        <v>0</v>
      </c>
      <c r="BG9" s="1047">
        <f t="shared" si="21"/>
        <v>0</v>
      </c>
      <c r="BH9" s="1744">
        <v>199.58</v>
      </c>
      <c r="BI9" s="1125">
        <v>360.42</v>
      </c>
      <c r="BJ9" s="1125">
        <v>0</v>
      </c>
      <c r="BK9" s="1125">
        <v>0</v>
      </c>
      <c r="BL9" s="1745">
        <v>0</v>
      </c>
      <c r="BM9" s="1054">
        <f t="shared" si="22"/>
        <v>560</v>
      </c>
      <c r="BN9" s="1744">
        <v>9906</v>
      </c>
      <c r="BO9" s="1125">
        <v>1254.76</v>
      </c>
      <c r="BP9" s="1125">
        <v>2047.24</v>
      </c>
      <c r="BQ9" s="1125">
        <v>0</v>
      </c>
      <c r="BR9" s="1745">
        <v>0</v>
      </c>
      <c r="BS9" s="1054">
        <f t="shared" si="23"/>
        <v>13208</v>
      </c>
      <c r="BT9" s="1744"/>
      <c r="BU9" s="1125"/>
      <c r="BV9" s="1125"/>
      <c r="BW9" s="1125"/>
      <c r="BX9" s="1745"/>
      <c r="BY9" s="1057">
        <f t="shared" si="24"/>
        <v>0</v>
      </c>
      <c r="BZ9" s="1744">
        <v>3935.3</v>
      </c>
      <c r="CA9" s="1125">
        <v>12693.82</v>
      </c>
      <c r="CB9" s="1125">
        <v>3050.23</v>
      </c>
      <c r="CC9" s="1125">
        <v>-0.04</v>
      </c>
      <c r="CD9" s="1745">
        <v>0</v>
      </c>
      <c r="CE9" s="1057">
        <f t="shared" si="25"/>
        <v>19679.309999999998</v>
      </c>
      <c r="CF9" s="1746"/>
      <c r="CG9" s="1053"/>
      <c r="CH9" s="1053"/>
      <c r="CI9" s="1053"/>
      <c r="CJ9" s="1747"/>
      <c r="CK9" s="1057">
        <f t="shared" si="26"/>
        <v>0</v>
      </c>
      <c r="CL9" s="1746"/>
      <c r="CM9" s="1053"/>
      <c r="CN9" s="1053"/>
      <c r="CO9" s="1053"/>
      <c r="CP9" s="1053"/>
      <c r="CQ9" s="1054">
        <f t="shared" si="27"/>
        <v>0</v>
      </c>
      <c r="CR9" s="1744"/>
      <c r="CS9" s="1125"/>
      <c r="CT9" s="1125"/>
      <c r="CU9" s="1125"/>
      <c r="CV9" s="1745"/>
      <c r="CW9" s="1057">
        <f t="shared" si="28"/>
        <v>0</v>
      </c>
      <c r="CX9" s="1744"/>
      <c r="CY9" s="1125"/>
      <c r="CZ9" s="1125"/>
      <c r="DA9" s="1125"/>
      <c r="DB9" s="1745"/>
      <c r="DC9" s="1054">
        <f t="shared" si="29"/>
        <v>0</v>
      </c>
      <c r="DD9" s="1744"/>
      <c r="DE9" s="1125"/>
      <c r="DF9" s="1125"/>
      <c r="DG9" s="1125"/>
      <c r="DH9" s="1745"/>
      <c r="DI9" s="1057">
        <f t="shared" si="30"/>
        <v>0</v>
      </c>
      <c r="DJ9" s="1744"/>
      <c r="DK9" s="1125"/>
      <c r="DL9" s="1125"/>
      <c r="DM9" s="1125"/>
      <c r="DN9" s="1125"/>
      <c r="DO9" s="1124">
        <f t="shared" si="31"/>
        <v>0</v>
      </c>
      <c r="DP9" s="1125"/>
      <c r="DQ9" s="1125"/>
      <c r="DR9" s="1125"/>
      <c r="DS9" s="1125"/>
      <c r="DT9" s="1125"/>
      <c r="DU9" s="1125">
        <f t="shared" si="34"/>
        <v>0</v>
      </c>
      <c r="DV9" s="1744">
        <v>8024</v>
      </c>
      <c r="DW9" s="1125">
        <v>5536.56</v>
      </c>
      <c r="DX9" s="1125">
        <v>2487.44</v>
      </c>
      <c r="DY9" s="1125">
        <v>0</v>
      </c>
      <c r="DZ9" s="1745">
        <v>0</v>
      </c>
      <c r="EA9" s="1058">
        <f t="shared" si="32"/>
        <v>16048.000000000002</v>
      </c>
      <c r="EB9" s="1744">
        <v>1113.46</v>
      </c>
      <c r="EC9" s="1125">
        <v>0</v>
      </c>
      <c r="ED9" s="1125">
        <v>204.21</v>
      </c>
      <c r="EE9" s="1125">
        <v>0.09</v>
      </c>
      <c r="EF9" s="1745">
        <v>0</v>
      </c>
      <c r="EG9" s="1057">
        <f t="shared" si="33"/>
        <v>1317.76</v>
      </c>
    </row>
    <row r="10" spans="1:137" ht="15" customHeight="1" x14ac:dyDescent="0.25">
      <c r="A10" s="719" t="s">
        <v>22</v>
      </c>
      <c r="B10" s="816" t="s">
        <v>23</v>
      </c>
      <c r="C10" s="917" t="s">
        <v>265</v>
      </c>
      <c r="D10" s="814">
        <f t="shared" si="6"/>
        <v>37473.240000000005</v>
      </c>
      <c r="E10" s="814">
        <f t="shared" si="7"/>
        <v>41751.78</v>
      </c>
      <c r="F10" s="814">
        <f t="shared" si="8"/>
        <v>13594.1</v>
      </c>
      <c r="G10" s="814">
        <f t="shared" si="9"/>
        <v>-6.9999999999999993E-2</v>
      </c>
      <c r="H10" s="814">
        <f t="shared" si="10"/>
        <v>0</v>
      </c>
      <c r="I10" s="1422">
        <f t="shared" si="11"/>
        <v>92819.05</v>
      </c>
      <c r="J10" s="815">
        <f t="shared" si="12"/>
        <v>-6.9999999999999993E-2</v>
      </c>
      <c r="K10" s="1423">
        <f t="shared" si="13"/>
        <v>13594.03</v>
      </c>
      <c r="L10" s="1723"/>
      <c r="M10" s="1043"/>
      <c r="N10" s="1043"/>
      <c r="O10" s="1043"/>
      <c r="P10" s="1043"/>
      <c r="Q10" s="1044">
        <f t="shared" si="14"/>
        <v>0</v>
      </c>
      <c r="R10" s="1717"/>
      <c r="S10" s="1048"/>
      <c r="T10" s="1048"/>
      <c r="U10" s="1048"/>
      <c r="V10" s="1718"/>
      <c r="W10" s="1047">
        <f t="shared" si="15"/>
        <v>0</v>
      </c>
      <c r="X10" s="1719"/>
      <c r="Y10" s="1123"/>
      <c r="Z10" s="1123"/>
      <c r="AA10" s="1123"/>
      <c r="AB10" s="1123"/>
      <c r="AC10" s="1122">
        <f t="shared" si="16"/>
        <v>0</v>
      </c>
      <c r="AD10" s="1733">
        <v>739.73</v>
      </c>
      <c r="AE10" s="1734">
        <v>4.41</v>
      </c>
      <c r="AF10" s="1734">
        <v>136.51</v>
      </c>
      <c r="AG10" s="1734">
        <v>-0.01</v>
      </c>
      <c r="AH10" s="1735">
        <v>0</v>
      </c>
      <c r="AI10" s="1045">
        <f t="shared" si="17"/>
        <v>880.64</v>
      </c>
      <c r="AJ10" s="1744">
        <v>1860.06</v>
      </c>
      <c r="AK10" s="1125">
        <v>0</v>
      </c>
      <c r="AL10" s="1125">
        <v>465.03</v>
      </c>
      <c r="AM10" s="1125">
        <v>0</v>
      </c>
      <c r="AN10" s="1745">
        <v>0</v>
      </c>
      <c r="AO10" s="1057">
        <f t="shared" si="18"/>
        <v>2325.09</v>
      </c>
      <c r="AP10" s="1736"/>
      <c r="AQ10" s="1046"/>
      <c r="AR10" s="1046"/>
      <c r="AS10" s="1046"/>
      <c r="AT10" s="1046"/>
      <c r="AU10" s="1049">
        <f t="shared" si="19"/>
        <v>0</v>
      </c>
      <c r="AV10" s="1758">
        <v>1910.44</v>
      </c>
      <c r="AW10" s="1050">
        <v>477.61</v>
      </c>
      <c r="AX10" s="1050">
        <v>0</v>
      </c>
      <c r="AY10" s="1050">
        <v>0</v>
      </c>
      <c r="AZ10" s="1050">
        <v>0</v>
      </c>
      <c r="BA10" s="1051">
        <f t="shared" si="20"/>
        <v>2388.0500000000002</v>
      </c>
      <c r="BB10" s="1764">
        <v>2720.84</v>
      </c>
      <c r="BC10" s="1765">
        <v>680.2</v>
      </c>
      <c r="BD10" s="1765">
        <v>0</v>
      </c>
      <c r="BE10" s="1765">
        <v>0</v>
      </c>
      <c r="BF10" s="1766">
        <v>0</v>
      </c>
      <c r="BG10" s="1047">
        <f t="shared" si="21"/>
        <v>3401.04</v>
      </c>
      <c r="BH10" s="1746"/>
      <c r="BI10" s="1053"/>
      <c r="BJ10" s="1053"/>
      <c r="BK10" s="1053"/>
      <c r="BL10" s="1053"/>
      <c r="BM10" s="1054">
        <f t="shared" si="22"/>
        <v>0</v>
      </c>
      <c r="BN10" s="1744">
        <v>11038.5</v>
      </c>
      <c r="BO10" s="1125">
        <v>1398.21</v>
      </c>
      <c r="BP10" s="1125">
        <v>2281.29</v>
      </c>
      <c r="BQ10" s="1125">
        <v>0</v>
      </c>
      <c r="BR10" s="1745">
        <v>0</v>
      </c>
      <c r="BS10" s="1054">
        <f t="shared" si="23"/>
        <v>14718</v>
      </c>
      <c r="BT10" s="1744"/>
      <c r="BU10" s="1125"/>
      <c r="BV10" s="1125"/>
      <c r="BW10" s="1125"/>
      <c r="BX10" s="1745"/>
      <c r="BY10" s="1057">
        <f t="shared" si="24"/>
        <v>0</v>
      </c>
      <c r="BZ10" s="1744">
        <v>13616.69</v>
      </c>
      <c r="CA10" s="1125">
        <v>36637.26</v>
      </c>
      <c r="CB10" s="1125">
        <v>9217.91</v>
      </c>
      <c r="CC10" s="1125">
        <v>-0.06</v>
      </c>
      <c r="CD10" s="1745">
        <v>0</v>
      </c>
      <c r="CE10" s="1057">
        <f t="shared" si="25"/>
        <v>59471.8</v>
      </c>
      <c r="CF10" s="1746"/>
      <c r="CG10" s="1053"/>
      <c r="CH10" s="1053"/>
      <c r="CI10" s="1053"/>
      <c r="CJ10" s="1747"/>
      <c r="CK10" s="1057">
        <f t="shared" si="26"/>
        <v>0</v>
      </c>
      <c r="CL10" s="1746"/>
      <c r="CM10" s="1053"/>
      <c r="CN10" s="1053"/>
      <c r="CO10" s="1053"/>
      <c r="CP10" s="1053"/>
      <c r="CQ10" s="1054">
        <f t="shared" si="27"/>
        <v>0</v>
      </c>
      <c r="CR10" s="1746"/>
      <c r="CS10" s="1053"/>
      <c r="CT10" s="1053"/>
      <c r="CU10" s="1053"/>
      <c r="CV10" s="1747"/>
      <c r="CW10" s="1057">
        <f t="shared" si="28"/>
        <v>0</v>
      </c>
      <c r="CX10" s="1746"/>
      <c r="CY10" s="1053"/>
      <c r="CZ10" s="1053"/>
      <c r="DA10" s="1053"/>
      <c r="DB10" s="1053"/>
      <c r="DC10" s="1054">
        <f t="shared" si="29"/>
        <v>0</v>
      </c>
      <c r="DD10" s="1744"/>
      <c r="DE10" s="1125"/>
      <c r="DF10" s="1125"/>
      <c r="DG10" s="1125"/>
      <c r="DH10" s="1745"/>
      <c r="DI10" s="1057">
        <f t="shared" si="30"/>
        <v>0</v>
      </c>
      <c r="DJ10" s="1744"/>
      <c r="DK10" s="1125"/>
      <c r="DL10" s="1125"/>
      <c r="DM10" s="1125"/>
      <c r="DN10" s="1125"/>
      <c r="DO10" s="1124">
        <f t="shared" si="31"/>
        <v>0</v>
      </c>
      <c r="DP10" s="1125"/>
      <c r="DQ10" s="1125"/>
      <c r="DR10" s="1125"/>
      <c r="DS10" s="1125"/>
      <c r="DT10" s="1125"/>
      <c r="DU10" s="1125">
        <f t="shared" si="34"/>
        <v>0</v>
      </c>
      <c r="DV10" s="1744">
        <v>3701.61</v>
      </c>
      <c r="DW10" s="1125">
        <v>2554.09</v>
      </c>
      <c r="DX10" s="1125">
        <v>1147.52</v>
      </c>
      <c r="DY10" s="1125">
        <v>0</v>
      </c>
      <c r="DZ10" s="1745">
        <v>0</v>
      </c>
      <c r="EA10" s="1058">
        <f t="shared" si="32"/>
        <v>7403.2200000000012</v>
      </c>
      <c r="EB10" s="1746">
        <v>1885.37</v>
      </c>
      <c r="EC10" s="1053">
        <v>0</v>
      </c>
      <c r="ED10" s="1053">
        <v>345.84</v>
      </c>
      <c r="EE10" s="1053">
        <v>0</v>
      </c>
      <c r="EF10" s="1747">
        <v>0</v>
      </c>
      <c r="EG10" s="1057">
        <f t="shared" si="33"/>
        <v>2231.21</v>
      </c>
    </row>
    <row r="11" spans="1:137" ht="15" customHeight="1" x14ac:dyDescent="0.25">
      <c r="A11" s="719" t="s">
        <v>24</v>
      </c>
      <c r="B11" s="816" t="s">
        <v>25</v>
      </c>
      <c r="C11" s="917" t="s">
        <v>267</v>
      </c>
      <c r="D11" s="814">
        <f t="shared" si="6"/>
        <v>244794.2</v>
      </c>
      <c r="E11" s="814">
        <f t="shared" si="7"/>
        <v>52383.520000000004</v>
      </c>
      <c r="F11" s="814">
        <f t="shared" si="8"/>
        <v>92442.239999999991</v>
      </c>
      <c r="G11" s="814">
        <f t="shared" si="9"/>
        <v>1028240.35</v>
      </c>
      <c r="H11" s="814">
        <f t="shared" si="10"/>
        <v>0</v>
      </c>
      <c r="I11" s="1422">
        <f t="shared" si="11"/>
        <v>1417860.31</v>
      </c>
      <c r="J11" s="815">
        <f t="shared" si="12"/>
        <v>1028240.35</v>
      </c>
      <c r="K11" s="1423">
        <f t="shared" si="13"/>
        <v>1120682.5899999999</v>
      </c>
      <c r="L11" s="1723"/>
      <c r="M11" s="1043"/>
      <c r="N11" s="1043"/>
      <c r="O11" s="1043"/>
      <c r="P11" s="1043"/>
      <c r="Q11" s="1044">
        <f t="shared" si="14"/>
        <v>0</v>
      </c>
      <c r="R11" s="1717"/>
      <c r="S11" s="1048"/>
      <c r="T11" s="1048"/>
      <c r="U11" s="1048"/>
      <c r="V11" s="1718"/>
      <c r="W11" s="1047">
        <f t="shared" si="15"/>
        <v>0</v>
      </c>
      <c r="X11" s="1719"/>
      <c r="Y11" s="1123"/>
      <c r="Z11" s="1123"/>
      <c r="AA11" s="1123"/>
      <c r="AB11" s="1123"/>
      <c r="AC11" s="1122">
        <f t="shared" si="16"/>
        <v>0</v>
      </c>
      <c r="AD11" s="1733">
        <v>10749.88</v>
      </c>
      <c r="AE11" s="1734">
        <v>63.99</v>
      </c>
      <c r="AF11" s="1734">
        <v>1983.6</v>
      </c>
      <c r="AG11" s="1734">
        <v>0</v>
      </c>
      <c r="AH11" s="1735">
        <v>0</v>
      </c>
      <c r="AI11" s="1045">
        <f t="shared" si="17"/>
        <v>12797.47</v>
      </c>
      <c r="AJ11" s="1744">
        <v>84595.29</v>
      </c>
      <c r="AK11" s="1125">
        <v>0</v>
      </c>
      <c r="AL11" s="1125">
        <v>21148.82</v>
      </c>
      <c r="AM11" s="1125">
        <v>1026947.63</v>
      </c>
      <c r="AN11" s="1745">
        <v>0</v>
      </c>
      <c r="AO11" s="1057">
        <f t="shared" si="18"/>
        <v>1132691.74</v>
      </c>
      <c r="AP11" s="1733">
        <v>7695.55</v>
      </c>
      <c r="AQ11" s="1734">
        <v>2975.38</v>
      </c>
      <c r="AR11" s="1734">
        <v>1957.43</v>
      </c>
      <c r="AS11" s="1734">
        <v>-0.09</v>
      </c>
      <c r="AT11" s="1735">
        <v>0</v>
      </c>
      <c r="AU11" s="1049">
        <f t="shared" si="19"/>
        <v>12628.27</v>
      </c>
      <c r="AV11" s="1755">
        <v>10537.48</v>
      </c>
      <c r="AW11" s="1756">
        <v>2634.37</v>
      </c>
      <c r="AX11" s="1756">
        <v>0</v>
      </c>
      <c r="AY11" s="1756">
        <v>0</v>
      </c>
      <c r="AZ11" s="1757">
        <v>0</v>
      </c>
      <c r="BA11" s="1051">
        <f t="shared" si="20"/>
        <v>13171.849999999999</v>
      </c>
      <c r="BB11" s="1764">
        <v>15323.6</v>
      </c>
      <c r="BC11" s="1765">
        <v>3830.9</v>
      </c>
      <c r="BD11" s="1765">
        <v>0</v>
      </c>
      <c r="BE11" s="1765">
        <v>0</v>
      </c>
      <c r="BF11" s="1766">
        <v>0</v>
      </c>
      <c r="BG11" s="1047">
        <f t="shared" si="21"/>
        <v>19154.5</v>
      </c>
      <c r="BH11" s="1744">
        <v>2478.92</v>
      </c>
      <c r="BI11" s="1125">
        <v>4476.5</v>
      </c>
      <c r="BJ11" s="1125">
        <v>0</v>
      </c>
      <c r="BK11" s="1125">
        <v>0</v>
      </c>
      <c r="BL11" s="1745">
        <v>0</v>
      </c>
      <c r="BM11" s="1054">
        <f t="shared" si="22"/>
        <v>6955.42</v>
      </c>
      <c r="BN11" s="1744">
        <v>47512.42</v>
      </c>
      <c r="BO11" s="1125">
        <v>6018.26</v>
      </c>
      <c r="BP11" s="1125">
        <v>9819.2099999999991</v>
      </c>
      <c r="BQ11" s="1125">
        <v>-0.02</v>
      </c>
      <c r="BR11" s="1745">
        <v>0</v>
      </c>
      <c r="BS11" s="1054">
        <f t="shared" si="23"/>
        <v>63349.87</v>
      </c>
      <c r="BT11" s="1744">
        <v>-1046.01</v>
      </c>
      <c r="BU11" s="1125">
        <v>-1046.01</v>
      </c>
      <c r="BV11" s="1125">
        <v>0</v>
      </c>
      <c r="BW11" s="1125">
        <v>0.02</v>
      </c>
      <c r="BX11" s="1745">
        <v>0</v>
      </c>
      <c r="BY11" s="1057">
        <f t="shared" si="24"/>
        <v>-2092</v>
      </c>
      <c r="BZ11" s="1744">
        <v>10981.41</v>
      </c>
      <c r="CA11" s="1125">
        <v>20534.88</v>
      </c>
      <c r="CB11" s="1125">
        <v>5780.87</v>
      </c>
      <c r="CC11" s="1125">
        <v>149.94999999999999</v>
      </c>
      <c r="CD11" s="1745">
        <v>0</v>
      </c>
      <c r="CE11" s="1057">
        <f t="shared" si="25"/>
        <v>37447.11</v>
      </c>
      <c r="CF11" s="1744">
        <v>24169.85</v>
      </c>
      <c r="CG11" s="1125">
        <v>0</v>
      </c>
      <c r="CH11" s="1125">
        <v>40802.879999999997</v>
      </c>
      <c r="CI11" s="1125">
        <v>0</v>
      </c>
      <c r="CJ11" s="1745">
        <v>0</v>
      </c>
      <c r="CK11" s="1057">
        <f t="shared" si="26"/>
        <v>64972.729999999996</v>
      </c>
      <c r="CL11" s="1744">
        <v>527</v>
      </c>
      <c r="CM11" s="1125">
        <v>0</v>
      </c>
      <c r="CN11" s="1125">
        <v>1598</v>
      </c>
      <c r="CO11" s="1125">
        <v>0</v>
      </c>
      <c r="CP11" s="1745">
        <v>0</v>
      </c>
      <c r="CQ11" s="1054">
        <f t="shared" si="27"/>
        <v>2125</v>
      </c>
      <c r="CR11" s="1744">
        <v>-209.32</v>
      </c>
      <c r="CS11" s="1125"/>
      <c r="CT11" s="1125"/>
      <c r="CU11" s="1125"/>
      <c r="CV11" s="1745"/>
      <c r="CW11" s="1057">
        <f t="shared" si="28"/>
        <v>-209.32</v>
      </c>
      <c r="CX11" s="1744">
        <v>-537.5</v>
      </c>
      <c r="CY11" s="1125">
        <v>-537.5</v>
      </c>
      <c r="CZ11" s="1125">
        <v>0</v>
      </c>
      <c r="DA11" s="1125">
        <v>0</v>
      </c>
      <c r="DB11" s="1745">
        <v>0</v>
      </c>
      <c r="DC11" s="1054">
        <f t="shared" si="29"/>
        <v>-1075</v>
      </c>
      <c r="DD11" s="1744"/>
      <c r="DE11" s="1125"/>
      <c r="DF11" s="1125"/>
      <c r="DG11" s="1125"/>
      <c r="DH11" s="1745"/>
      <c r="DI11" s="1057">
        <f t="shared" si="30"/>
        <v>0</v>
      </c>
      <c r="DJ11" s="1744">
        <v>-3590</v>
      </c>
      <c r="DK11" s="1125">
        <v>0</v>
      </c>
      <c r="DL11" s="1125">
        <v>0</v>
      </c>
      <c r="DM11" s="1125">
        <v>0</v>
      </c>
      <c r="DN11" s="1125">
        <v>0</v>
      </c>
      <c r="DO11" s="1124">
        <f t="shared" si="31"/>
        <v>-3590</v>
      </c>
      <c r="DP11" s="1125">
        <v>-971</v>
      </c>
      <c r="DQ11" s="1125">
        <v>-971</v>
      </c>
      <c r="DR11" s="1125">
        <v>0</v>
      </c>
      <c r="DS11" s="1125">
        <v>0</v>
      </c>
      <c r="DT11" s="1125">
        <v>0</v>
      </c>
      <c r="DU11" s="1125">
        <f t="shared" si="34"/>
        <v>-1942</v>
      </c>
      <c r="DV11" s="1744">
        <v>20875.03</v>
      </c>
      <c r="DW11" s="1125">
        <v>14403.75</v>
      </c>
      <c r="DX11" s="1125">
        <v>6471.26</v>
      </c>
      <c r="DY11" s="1125">
        <v>1142.8599999999999</v>
      </c>
      <c r="DZ11" s="1745">
        <v>0</v>
      </c>
      <c r="EA11" s="1058">
        <f t="shared" si="32"/>
        <v>42892.9</v>
      </c>
      <c r="EB11" s="1744">
        <v>15701.6</v>
      </c>
      <c r="EC11" s="1125">
        <v>0</v>
      </c>
      <c r="ED11" s="1125">
        <v>2880.17</v>
      </c>
      <c r="EE11" s="1125">
        <v>0</v>
      </c>
      <c r="EF11" s="1745">
        <v>0</v>
      </c>
      <c r="EG11" s="1057">
        <f t="shared" si="33"/>
        <v>18581.77</v>
      </c>
    </row>
    <row r="12" spans="1:137" ht="15" customHeight="1" x14ac:dyDescent="0.25">
      <c r="A12" s="719" t="s">
        <v>26</v>
      </c>
      <c r="B12" s="816" t="s">
        <v>686</v>
      </c>
      <c r="C12" s="917" t="s">
        <v>265</v>
      </c>
      <c r="D12" s="814">
        <f t="shared" si="6"/>
        <v>185709.85</v>
      </c>
      <c r="E12" s="814">
        <f t="shared" si="7"/>
        <v>269750.62</v>
      </c>
      <c r="F12" s="814">
        <f t="shared" si="8"/>
        <v>82560.509999999995</v>
      </c>
      <c r="G12" s="814">
        <f t="shared" si="9"/>
        <v>-0.36</v>
      </c>
      <c r="H12" s="814">
        <f t="shared" si="10"/>
        <v>0</v>
      </c>
      <c r="I12" s="1422">
        <f t="shared" si="11"/>
        <v>538020.62</v>
      </c>
      <c r="J12" s="815">
        <f t="shared" si="12"/>
        <v>-0.36</v>
      </c>
      <c r="K12" s="1423">
        <f t="shared" si="13"/>
        <v>82560.149999999994</v>
      </c>
      <c r="L12" s="1723"/>
      <c r="M12" s="1043"/>
      <c r="N12" s="1043"/>
      <c r="O12" s="1043"/>
      <c r="P12" s="1043"/>
      <c r="Q12" s="1044">
        <f t="shared" si="14"/>
        <v>0</v>
      </c>
      <c r="R12" s="1717"/>
      <c r="S12" s="1048"/>
      <c r="T12" s="1048"/>
      <c r="U12" s="1048"/>
      <c r="V12" s="1718"/>
      <c r="W12" s="1047">
        <f t="shared" si="15"/>
        <v>0</v>
      </c>
      <c r="X12" s="1719"/>
      <c r="Y12" s="1123"/>
      <c r="Z12" s="1123"/>
      <c r="AA12" s="1123"/>
      <c r="AB12" s="1123"/>
      <c r="AC12" s="1122">
        <f t="shared" si="16"/>
        <v>0</v>
      </c>
      <c r="AD12" s="1733">
        <v>9964.92</v>
      </c>
      <c r="AE12" s="1734">
        <v>59.31</v>
      </c>
      <c r="AF12" s="1734">
        <v>1838.77</v>
      </c>
      <c r="AG12" s="1734">
        <v>0</v>
      </c>
      <c r="AH12" s="1735">
        <v>0</v>
      </c>
      <c r="AI12" s="1045">
        <f t="shared" si="17"/>
        <v>11863</v>
      </c>
      <c r="AJ12" s="1744">
        <v>28857.31</v>
      </c>
      <c r="AK12" s="1125">
        <v>0</v>
      </c>
      <c r="AL12" s="1125">
        <v>7214.3</v>
      </c>
      <c r="AM12" s="1125">
        <v>0</v>
      </c>
      <c r="AN12" s="1745">
        <v>0</v>
      </c>
      <c r="AO12" s="1057">
        <f t="shared" si="18"/>
        <v>36071.61</v>
      </c>
      <c r="AP12" s="1736"/>
      <c r="AQ12" s="1046"/>
      <c r="AR12" s="1046"/>
      <c r="AS12" s="1046"/>
      <c r="AT12" s="1046"/>
      <c r="AU12" s="1049">
        <f t="shared" si="19"/>
        <v>0</v>
      </c>
      <c r="AV12" s="1755">
        <v>4969.5600000000004</v>
      </c>
      <c r="AW12" s="1756">
        <v>1242.3900000000001</v>
      </c>
      <c r="AX12" s="1756">
        <v>0</v>
      </c>
      <c r="AY12" s="1756">
        <v>0</v>
      </c>
      <c r="AZ12" s="1757">
        <v>0</v>
      </c>
      <c r="BA12" s="1051">
        <f t="shared" si="20"/>
        <v>6211.9500000000007</v>
      </c>
      <c r="BB12" s="1764">
        <v>14510</v>
      </c>
      <c r="BC12" s="1765">
        <v>3627.52</v>
      </c>
      <c r="BD12" s="1765">
        <v>0</v>
      </c>
      <c r="BE12" s="1765">
        <v>0</v>
      </c>
      <c r="BF12" s="1766">
        <v>0</v>
      </c>
      <c r="BG12" s="1047">
        <f t="shared" si="21"/>
        <v>18137.52</v>
      </c>
      <c r="BH12" s="1744">
        <v>1925.46</v>
      </c>
      <c r="BI12" s="1125">
        <v>3477.05</v>
      </c>
      <c r="BJ12" s="1125">
        <v>0</v>
      </c>
      <c r="BK12" s="1125">
        <v>-0.01</v>
      </c>
      <c r="BL12" s="1745">
        <v>0</v>
      </c>
      <c r="BM12" s="1054">
        <f t="shared" si="22"/>
        <v>5402.5</v>
      </c>
      <c r="BN12" s="1744">
        <v>28265.27</v>
      </c>
      <c r="BO12" s="1125">
        <v>3580.3</v>
      </c>
      <c r="BP12" s="1125">
        <v>5841.5</v>
      </c>
      <c r="BQ12" s="1125">
        <v>-7.0000000000000007E-2</v>
      </c>
      <c r="BR12" s="1745">
        <v>0</v>
      </c>
      <c r="BS12" s="1054">
        <f t="shared" si="23"/>
        <v>37687</v>
      </c>
      <c r="BT12" s="1744">
        <v>-199.88</v>
      </c>
      <c r="BU12" s="1125">
        <v>-199.88</v>
      </c>
      <c r="BV12" s="1125">
        <v>0</v>
      </c>
      <c r="BW12" s="1125">
        <v>0.01</v>
      </c>
      <c r="BX12" s="1745">
        <v>0</v>
      </c>
      <c r="BY12" s="1057">
        <f t="shared" si="24"/>
        <v>-399.75</v>
      </c>
      <c r="BZ12" s="1744">
        <v>79751.64</v>
      </c>
      <c r="CA12" s="1125">
        <v>251495.46000000002</v>
      </c>
      <c r="CB12" s="1125">
        <v>60759.57</v>
      </c>
      <c r="CC12" s="1125">
        <v>-0.39</v>
      </c>
      <c r="CD12" s="1745">
        <v>0</v>
      </c>
      <c r="CE12" s="1057">
        <f t="shared" si="25"/>
        <v>392006.28</v>
      </c>
      <c r="CF12" s="1744">
        <v>1216.02</v>
      </c>
      <c r="CG12" s="1125">
        <v>0</v>
      </c>
      <c r="CH12" s="1125">
        <v>2052.86</v>
      </c>
      <c r="CI12" s="1125">
        <v>0</v>
      </c>
      <c r="CJ12" s="1745">
        <v>0</v>
      </c>
      <c r="CK12" s="1057">
        <f t="shared" si="26"/>
        <v>3268.88</v>
      </c>
      <c r="CL12" s="1746"/>
      <c r="CM12" s="1053"/>
      <c r="CN12" s="1053"/>
      <c r="CO12" s="1053"/>
      <c r="CP12" s="1053"/>
      <c r="CQ12" s="1054">
        <f t="shared" si="27"/>
        <v>0</v>
      </c>
      <c r="CR12" s="1744"/>
      <c r="CS12" s="1125"/>
      <c r="CT12" s="1125"/>
      <c r="CU12" s="1125"/>
      <c r="CV12" s="1745"/>
      <c r="CW12" s="1057">
        <f t="shared" si="28"/>
        <v>0</v>
      </c>
      <c r="CX12" s="1746"/>
      <c r="CY12" s="1053"/>
      <c r="CZ12" s="1053"/>
      <c r="DA12" s="1053"/>
      <c r="DB12" s="1053"/>
      <c r="DC12" s="1054">
        <f t="shared" si="29"/>
        <v>0</v>
      </c>
      <c r="DD12" s="1744">
        <v>-2644.6200000000003</v>
      </c>
      <c r="DE12" s="1125">
        <v>0</v>
      </c>
      <c r="DF12" s="1125">
        <v>0</v>
      </c>
      <c r="DG12" s="1125">
        <v>0</v>
      </c>
      <c r="DH12" s="1745">
        <v>0</v>
      </c>
      <c r="DI12" s="1057">
        <f t="shared" si="30"/>
        <v>-2644.6200000000003</v>
      </c>
      <c r="DJ12" s="1744">
        <v>-385</v>
      </c>
      <c r="DK12" s="1125">
        <v>0</v>
      </c>
      <c r="DL12" s="1125">
        <v>0</v>
      </c>
      <c r="DM12" s="1125">
        <v>0</v>
      </c>
      <c r="DN12" s="1125">
        <v>0</v>
      </c>
      <c r="DO12" s="1124">
        <f t="shared" si="31"/>
        <v>-385</v>
      </c>
      <c r="DP12" s="1125">
        <v>-256</v>
      </c>
      <c r="DQ12" s="1125">
        <v>-256</v>
      </c>
      <c r="DR12" s="1125">
        <v>0</v>
      </c>
      <c r="DS12" s="1125">
        <v>0</v>
      </c>
      <c r="DT12" s="1125">
        <v>0</v>
      </c>
      <c r="DU12" s="1125">
        <f t="shared" si="34"/>
        <v>-512</v>
      </c>
      <c r="DV12" s="1744">
        <v>9745.64</v>
      </c>
      <c r="DW12" s="1125">
        <v>6724.47</v>
      </c>
      <c r="DX12" s="1125">
        <v>3021.15</v>
      </c>
      <c r="DY12" s="1125">
        <v>-0.01</v>
      </c>
      <c r="DZ12" s="1745">
        <v>0</v>
      </c>
      <c r="EA12" s="1058">
        <f t="shared" si="32"/>
        <v>19491.250000000004</v>
      </c>
      <c r="EB12" s="1744">
        <v>9989.5299999999988</v>
      </c>
      <c r="EC12" s="1125">
        <v>0</v>
      </c>
      <c r="ED12" s="1125">
        <v>1832.3600000000001</v>
      </c>
      <c r="EE12" s="1125">
        <v>0.11000000000000001</v>
      </c>
      <c r="EF12" s="1745">
        <v>0</v>
      </c>
      <c r="EG12" s="1057">
        <f t="shared" si="33"/>
        <v>11822</v>
      </c>
    </row>
    <row r="13" spans="1:137" ht="15" customHeight="1" x14ac:dyDescent="0.25">
      <c r="A13" s="719" t="s">
        <v>27</v>
      </c>
      <c r="B13" s="816" t="s">
        <v>28</v>
      </c>
      <c r="C13" s="917" t="s">
        <v>265</v>
      </c>
      <c r="D13" s="814">
        <f t="shared" si="6"/>
        <v>5764.71</v>
      </c>
      <c r="E13" s="814">
        <f t="shared" si="7"/>
        <v>570.72</v>
      </c>
      <c r="F13" s="814">
        <f t="shared" si="8"/>
        <v>1247.0500000000002</v>
      </c>
      <c r="G13" s="814">
        <f t="shared" si="9"/>
        <v>0.02</v>
      </c>
      <c r="H13" s="814">
        <f t="shared" si="10"/>
        <v>0</v>
      </c>
      <c r="I13" s="1422">
        <f t="shared" si="11"/>
        <v>7582.5000000000009</v>
      </c>
      <c r="J13" s="815">
        <f t="shared" si="12"/>
        <v>0.02</v>
      </c>
      <c r="K13" s="1423">
        <f t="shared" si="13"/>
        <v>1247.0700000000002</v>
      </c>
      <c r="L13" s="1723"/>
      <c r="M13" s="1043"/>
      <c r="N13" s="1043"/>
      <c r="O13" s="1043"/>
      <c r="P13" s="1043"/>
      <c r="Q13" s="1044">
        <f t="shared" si="14"/>
        <v>0</v>
      </c>
      <c r="R13" s="1717"/>
      <c r="S13" s="1048"/>
      <c r="T13" s="1048"/>
      <c r="U13" s="1048"/>
      <c r="V13" s="1718"/>
      <c r="W13" s="1047">
        <f t="shared" si="15"/>
        <v>0</v>
      </c>
      <c r="X13" s="1719"/>
      <c r="Y13" s="1123"/>
      <c r="Z13" s="1123"/>
      <c r="AA13" s="1123"/>
      <c r="AB13" s="1123"/>
      <c r="AC13" s="1122">
        <f t="shared" si="16"/>
        <v>0</v>
      </c>
      <c r="AD13" s="1733">
        <v>0</v>
      </c>
      <c r="AE13" s="1734">
        <v>0</v>
      </c>
      <c r="AF13" s="1734">
        <v>0</v>
      </c>
      <c r="AG13" s="1734">
        <v>0</v>
      </c>
      <c r="AH13" s="1735">
        <v>0</v>
      </c>
      <c r="AI13" s="1045">
        <f t="shared" si="17"/>
        <v>0</v>
      </c>
      <c r="AJ13" s="1744">
        <v>1276</v>
      </c>
      <c r="AK13" s="1125">
        <v>0</v>
      </c>
      <c r="AL13" s="1125">
        <v>319</v>
      </c>
      <c r="AM13" s="1125">
        <v>0</v>
      </c>
      <c r="AN13" s="1745">
        <v>0</v>
      </c>
      <c r="AO13" s="1057">
        <f t="shared" si="18"/>
        <v>1595</v>
      </c>
      <c r="AP13" s="1736"/>
      <c r="AQ13" s="1046"/>
      <c r="AR13" s="1046"/>
      <c r="AS13" s="1046"/>
      <c r="AT13" s="1046"/>
      <c r="AU13" s="1049">
        <f t="shared" si="19"/>
        <v>0</v>
      </c>
      <c r="AV13" s="1758"/>
      <c r="AW13" s="1050"/>
      <c r="AX13" s="1050"/>
      <c r="AY13" s="1050"/>
      <c r="AZ13" s="1050"/>
      <c r="BA13" s="1051">
        <f t="shared" si="20"/>
        <v>0</v>
      </c>
      <c r="BB13" s="1717">
        <v>0</v>
      </c>
      <c r="BC13" s="1048">
        <v>0</v>
      </c>
      <c r="BD13" s="1048">
        <v>0</v>
      </c>
      <c r="BE13" s="1048">
        <v>0</v>
      </c>
      <c r="BF13" s="1718">
        <v>0</v>
      </c>
      <c r="BG13" s="1047">
        <f t="shared" si="21"/>
        <v>0</v>
      </c>
      <c r="BH13" s="1746"/>
      <c r="BI13" s="1053"/>
      <c r="BJ13" s="1053"/>
      <c r="BK13" s="1053"/>
      <c r="BL13" s="1053"/>
      <c r="BM13" s="1054">
        <f t="shared" si="22"/>
        <v>0</v>
      </c>
      <c r="BN13" s="1744">
        <v>4505.63</v>
      </c>
      <c r="BO13" s="1125">
        <v>570.72</v>
      </c>
      <c r="BP13" s="1125">
        <v>931.17</v>
      </c>
      <c r="BQ13" s="1125">
        <v>-0.02</v>
      </c>
      <c r="BR13" s="1745">
        <v>0</v>
      </c>
      <c r="BS13" s="1054">
        <f t="shared" si="23"/>
        <v>6007.5</v>
      </c>
      <c r="BT13" s="1744"/>
      <c r="BU13" s="1125"/>
      <c r="BV13" s="1125"/>
      <c r="BW13" s="1125"/>
      <c r="BX13" s="1745"/>
      <c r="BY13" s="1057">
        <f t="shared" si="24"/>
        <v>0</v>
      </c>
      <c r="BZ13" s="1744">
        <v>0</v>
      </c>
      <c r="CA13" s="1125">
        <v>0</v>
      </c>
      <c r="CB13" s="1125">
        <v>0</v>
      </c>
      <c r="CC13" s="1125">
        <v>0</v>
      </c>
      <c r="CD13" s="1745">
        <v>0</v>
      </c>
      <c r="CE13" s="1057">
        <f t="shared" si="25"/>
        <v>0</v>
      </c>
      <c r="CF13" s="1746"/>
      <c r="CG13" s="1053"/>
      <c r="CH13" s="1053"/>
      <c r="CI13" s="1053"/>
      <c r="CJ13" s="1747"/>
      <c r="CK13" s="1057">
        <f t="shared" si="26"/>
        <v>0</v>
      </c>
      <c r="CL13" s="1746"/>
      <c r="CM13" s="1053"/>
      <c r="CN13" s="1053"/>
      <c r="CO13" s="1053"/>
      <c r="CP13" s="1053"/>
      <c r="CQ13" s="1054">
        <f t="shared" si="27"/>
        <v>0</v>
      </c>
      <c r="CR13" s="1746"/>
      <c r="CS13" s="1053"/>
      <c r="CT13" s="1053"/>
      <c r="CU13" s="1053"/>
      <c r="CV13" s="1747"/>
      <c r="CW13" s="1057">
        <f t="shared" si="28"/>
        <v>0</v>
      </c>
      <c r="CX13" s="1746"/>
      <c r="CY13" s="1053"/>
      <c r="CZ13" s="1053"/>
      <c r="DA13" s="1053"/>
      <c r="DB13" s="1053"/>
      <c r="DC13" s="1054">
        <f t="shared" si="29"/>
        <v>0</v>
      </c>
      <c r="DD13" s="1744"/>
      <c r="DE13" s="1125"/>
      <c r="DF13" s="1125"/>
      <c r="DG13" s="1125"/>
      <c r="DH13" s="1745"/>
      <c r="DI13" s="1057">
        <f t="shared" si="30"/>
        <v>0</v>
      </c>
      <c r="DJ13" s="1744"/>
      <c r="DK13" s="1125"/>
      <c r="DL13" s="1125"/>
      <c r="DM13" s="1125"/>
      <c r="DN13" s="1125"/>
      <c r="DO13" s="1124">
        <f t="shared" si="31"/>
        <v>0</v>
      </c>
      <c r="DP13" s="1125"/>
      <c r="DQ13" s="1125"/>
      <c r="DR13" s="1125"/>
      <c r="DS13" s="1125"/>
      <c r="DT13" s="1125"/>
      <c r="DU13" s="1125">
        <f t="shared" si="34"/>
        <v>0</v>
      </c>
      <c r="DV13" s="1746">
        <v>0</v>
      </c>
      <c r="DW13" s="1053">
        <v>0</v>
      </c>
      <c r="DX13" s="1053">
        <v>0</v>
      </c>
      <c r="DY13" s="1053">
        <v>0</v>
      </c>
      <c r="DZ13" s="1053">
        <v>0</v>
      </c>
      <c r="EA13" s="1058">
        <f t="shared" si="32"/>
        <v>0</v>
      </c>
      <c r="EB13" s="1746">
        <v>-16.920000000000002</v>
      </c>
      <c r="EC13" s="1053">
        <v>0</v>
      </c>
      <c r="ED13" s="1053">
        <v>-3.12</v>
      </c>
      <c r="EE13" s="1053">
        <v>0.04</v>
      </c>
      <c r="EF13" s="1747">
        <v>0</v>
      </c>
      <c r="EG13" s="1057">
        <f t="shared" si="33"/>
        <v>-20.000000000000004</v>
      </c>
    </row>
    <row r="14" spans="1:137" ht="15" customHeight="1" x14ac:dyDescent="0.25">
      <c r="A14" s="719" t="s">
        <v>29</v>
      </c>
      <c r="B14" s="816" t="s">
        <v>941</v>
      </c>
      <c r="C14" s="917" t="s">
        <v>265</v>
      </c>
      <c r="D14" s="814">
        <f t="shared" si="6"/>
        <v>117533.14000000001</v>
      </c>
      <c r="E14" s="814">
        <f t="shared" si="7"/>
        <v>90592.27</v>
      </c>
      <c r="F14" s="814">
        <f t="shared" si="8"/>
        <v>39196.630000000005</v>
      </c>
      <c r="G14" s="814">
        <f t="shared" si="9"/>
        <v>0</v>
      </c>
      <c r="H14" s="814">
        <f t="shared" si="10"/>
        <v>0</v>
      </c>
      <c r="I14" s="1422">
        <f t="shared" si="11"/>
        <v>247322.04000000004</v>
      </c>
      <c r="J14" s="815">
        <f t="shared" si="12"/>
        <v>0</v>
      </c>
      <c r="K14" s="1423">
        <f t="shared" si="13"/>
        <v>39196.630000000005</v>
      </c>
      <c r="L14" s="1723"/>
      <c r="M14" s="1043"/>
      <c r="N14" s="1043"/>
      <c r="O14" s="1043"/>
      <c r="P14" s="1043"/>
      <c r="Q14" s="1044">
        <f t="shared" si="14"/>
        <v>0</v>
      </c>
      <c r="R14" s="1717"/>
      <c r="S14" s="1048"/>
      <c r="T14" s="1048"/>
      <c r="U14" s="1048"/>
      <c r="V14" s="1718"/>
      <c r="W14" s="1047">
        <f t="shared" si="15"/>
        <v>0</v>
      </c>
      <c r="X14" s="1719"/>
      <c r="Y14" s="1123"/>
      <c r="Z14" s="1123"/>
      <c r="AA14" s="1123"/>
      <c r="AB14" s="1123"/>
      <c r="AC14" s="1122">
        <f t="shared" si="16"/>
        <v>0</v>
      </c>
      <c r="AD14" s="1733">
        <v>8030.91</v>
      </c>
      <c r="AE14" s="1734">
        <v>47.8</v>
      </c>
      <c r="AF14" s="1734">
        <v>1481.87</v>
      </c>
      <c r="AG14" s="1734">
        <v>0.02</v>
      </c>
      <c r="AH14" s="1735">
        <v>0</v>
      </c>
      <c r="AI14" s="1045">
        <f t="shared" si="17"/>
        <v>9560.6</v>
      </c>
      <c r="AJ14" s="1744">
        <v>13271.76</v>
      </c>
      <c r="AK14" s="1125">
        <v>0</v>
      </c>
      <c r="AL14" s="1125">
        <v>3317.99</v>
      </c>
      <c r="AM14" s="1125">
        <v>0</v>
      </c>
      <c r="AN14" s="1745">
        <v>0</v>
      </c>
      <c r="AO14" s="1057">
        <f t="shared" si="18"/>
        <v>16589.75</v>
      </c>
      <c r="AP14" s="1736"/>
      <c r="AQ14" s="1046"/>
      <c r="AR14" s="1046"/>
      <c r="AS14" s="1046"/>
      <c r="AT14" s="1046"/>
      <c r="AU14" s="1049">
        <f t="shared" si="19"/>
        <v>0</v>
      </c>
      <c r="AV14" s="1755">
        <v>1293.92</v>
      </c>
      <c r="AW14" s="1756">
        <v>323.48</v>
      </c>
      <c r="AX14" s="1756">
        <v>0</v>
      </c>
      <c r="AY14" s="1756">
        <v>0</v>
      </c>
      <c r="AZ14" s="1757">
        <v>0</v>
      </c>
      <c r="BA14" s="1051">
        <f t="shared" si="20"/>
        <v>1617.4</v>
      </c>
      <c r="BB14" s="1764">
        <v>7321.08</v>
      </c>
      <c r="BC14" s="1765">
        <v>1830.28</v>
      </c>
      <c r="BD14" s="1765">
        <v>0</v>
      </c>
      <c r="BE14" s="1765">
        <v>0</v>
      </c>
      <c r="BF14" s="1766">
        <v>0</v>
      </c>
      <c r="BG14" s="1047">
        <f t="shared" si="21"/>
        <v>9151.36</v>
      </c>
      <c r="BH14" s="1744">
        <v>1760.63</v>
      </c>
      <c r="BI14" s="1125">
        <v>3179.37</v>
      </c>
      <c r="BJ14" s="1125">
        <v>0</v>
      </c>
      <c r="BK14" s="1125">
        <v>0</v>
      </c>
      <c r="BL14" s="1745">
        <v>0</v>
      </c>
      <c r="BM14" s="1054">
        <f t="shared" si="22"/>
        <v>4940</v>
      </c>
      <c r="BN14" s="1744">
        <v>28850.82</v>
      </c>
      <c r="BO14" s="1125">
        <v>3654.43</v>
      </c>
      <c r="BP14" s="1125">
        <v>5962.5</v>
      </c>
      <c r="BQ14" s="1125">
        <v>0</v>
      </c>
      <c r="BR14" s="1745">
        <v>0</v>
      </c>
      <c r="BS14" s="1054">
        <f t="shared" si="23"/>
        <v>38467.75</v>
      </c>
      <c r="BT14" s="1744"/>
      <c r="BU14" s="1125"/>
      <c r="BV14" s="1125"/>
      <c r="BW14" s="1125"/>
      <c r="BX14" s="1745"/>
      <c r="BY14" s="1057">
        <f t="shared" si="24"/>
        <v>0</v>
      </c>
      <c r="BZ14" s="1744">
        <v>51806.6</v>
      </c>
      <c r="CA14" s="1125">
        <v>78535.97</v>
      </c>
      <c r="CB14" s="1125">
        <v>23907.88</v>
      </c>
      <c r="CC14" s="1125">
        <v>-0.04</v>
      </c>
      <c r="CD14" s="1745">
        <v>0</v>
      </c>
      <c r="CE14" s="1057">
        <f t="shared" si="25"/>
        <v>154250.41</v>
      </c>
      <c r="CF14" s="1744">
        <v>923.37</v>
      </c>
      <c r="CG14" s="1125">
        <v>0</v>
      </c>
      <c r="CH14" s="1125">
        <v>1558.79</v>
      </c>
      <c r="CI14" s="1125">
        <v>0</v>
      </c>
      <c r="CJ14" s="1745">
        <v>0</v>
      </c>
      <c r="CK14" s="1057">
        <f t="shared" si="26"/>
        <v>2482.16</v>
      </c>
      <c r="CL14" s="1746"/>
      <c r="CM14" s="1053"/>
      <c r="CN14" s="1053"/>
      <c r="CO14" s="1053"/>
      <c r="CP14" s="1053"/>
      <c r="CQ14" s="1054">
        <f t="shared" si="27"/>
        <v>0</v>
      </c>
      <c r="CR14" s="1744"/>
      <c r="CS14" s="1125"/>
      <c r="CT14" s="1125"/>
      <c r="CU14" s="1125"/>
      <c r="CV14" s="1745"/>
      <c r="CW14" s="1057">
        <f t="shared" si="28"/>
        <v>0</v>
      </c>
      <c r="CX14" s="1744"/>
      <c r="CY14" s="1125"/>
      <c r="CZ14" s="1125"/>
      <c r="DA14" s="1125"/>
      <c r="DB14" s="1745"/>
      <c r="DC14" s="1054">
        <f t="shared" si="29"/>
        <v>0</v>
      </c>
      <c r="DD14" s="1744">
        <v>-2432</v>
      </c>
      <c r="DE14" s="1125">
        <v>0</v>
      </c>
      <c r="DF14" s="1125">
        <v>0</v>
      </c>
      <c r="DG14" s="1125">
        <v>0</v>
      </c>
      <c r="DH14" s="1745">
        <v>0</v>
      </c>
      <c r="DI14" s="1057">
        <f t="shared" si="30"/>
        <v>-2432</v>
      </c>
      <c r="DJ14" s="1744">
        <v>-6451.26</v>
      </c>
      <c r="DK14" s="1125">
        <v>0</v>
      </c>
      <c r="DL14" s="1125">
        <v>0</v>
      </c>
      <c r="DM14" s="1125">
        <v>0</v>
      </c>
      <c r="DN14" s="1125">
        <v>0</v>
      </c>
      <c r="DO14" s="1124">
        <f t="shared" si="31"/>
        <v>-6451.26</v>
      </c>
      <c r="DP14" s="1125"/>
      <c r="DQ14" s="1125"/>
      <c r="DR14" s="1125"/>
      <c r="DS14" s="1125"/>
      <c r="DT14" s="1125"/>
      <c r="DU14" s="1125">
        <f t="shared" si="34"/>
        <v>0</v>
      </c>
      <c r="DV14" s="1744">
        <v>4378.18</v>
      </c>
      <c r="DW14" s="1125">
        <v>3020.94</v>
      </c>
      <c r="DX14" s="1125">
        <v>1357.24</v>
      </c>
      <c r="DY14" s="1125">
        <v>-0.02</v>
      </c>
      <c r="DZ14" s="1745">
        <v>0</v>
      </c>
      <c r="EA14" s="1058">
        <f t="shared" si="32"/>
        <v>8756.34</v>
      </c>
      <c r="EB14" s="1744">
        <v>8779.1299999999992</v>
      </c>
      <c r="EC14" s="1125">
        <v>0</v>
      </c>
      <c r="ED14" s="1125">
        <v>1610.36</v>
      </c>
      <c r="EE14" s="1125">
        <v>0.04</v>
      </c>
      <c r="EF14" s="1745">
        <v>0</v>
      </c>
      <c r="EG14" s="1057">
        <f t="shared" si="33"/>
        <v>10389.530000000001</v>
      </c>
    </row>
    <row r="15" spans="1:137" ht="15" customHeight="1" x14ac:dyDescent="0.25">
      <c r="A15" s="719" t="s">
        <v>30</v>
      </c>
      <c r="B15" s="816" t="s">
        <v>31</v>
      </c>
      <c r="C15" s="917" t="s">
        <v>268</v>
      </c>
      <c r="D15" s="814">
        <f t="shared" si="6"/>
        <v>34828.270000000004</v>
      </c>
      <c r="E15" s="814">
        <f t="shared" si="7"/>
        <v>7326.4400000000005</v>
      </c>
      <c r="F15" s="814">
        <f t="shared" si="8"/>
        <v>9092.91</v>
      </c>
      <c r="G15" s="814">
        <f t="shared" si="9"/>
        <v>-3.0000000000000006E-2</v>
      </c>
      <c r="H15" s="814">
        <f t="shared" si="10"/>
        <v>0</v>
      </c>
      <c r="I15" s="1422">
        <f t="shared" si="11"/>
        <v>51247.590000000011</v>
      </c>
      <c r="J15" s="815">
        <f t="shared" si="12"/>
        <v>-3.0000000000000006E-2</v>
      </c>
      <c r="K15" s="1423">
        <f t="shared" si="13"/>
        <v>9092.8799999999992</v>
      </c>
      <c r="L15" s="1723"/>
      <c r="M15" s="1043"/>
      <c r="N15" s="1043"/>
      <c r="O15" s="1043"/>
      <c r="P15" s="1043"/>
      <c r="Q15" s="1044">
        <f t="shared" si="14"/>
        <v>0</v>
      </c>
      <c r="R15" s="1717"/>
      <c r="S15" s="1048"/>
      <c r="T15" s="1048"/>
      <c r="U15" s="1048"/>
      <c r="V15" s="1718"/>
      <c r="W15" s="1047">
        <f t="shared" si="15"/>
        <v>0</v>
      </c>
      <c r="X15" s="1719"/>
      <c r="Y15" s="1123"/>
      <c r="Z15" s="1123"/>
      <c r="AA15" s="1123"/>
      <c r="AB15" s="1123"/>
      <c r="AC15" s="1122">
        <f t="shared" si="16"/>
        <v>0</v>
      </c>
      <c r="AD15" s="1736">
        <v>0</v>
      </c>
      <c r="AE15" s="1046">
        <v>0</v>
      </c>
      <c r="AF15" s="1046">
        <v>0</v>
      </c>
      <c r="AG15" s="1046">
        <v>0</v>
      </c>
      <c r="AH15" s="1737">
        <v>0</v>
      </c>
      <c r="AI15" s="1045">
        <f t="shared" si="17"/>
        <v>0</v>
      </c>
      <c r="AJ15" s="1744">
        <v>24603.79</v>
      </c>
      <c r="AK15" s="1125">
        <v>0</v>
      </c>
      <c r="AL15" s="1125">
        <v>6150.96</v>
      </c>
      <c r="AM15" s="1125">
        <v>0</v>
      </c>
      <c r="AN15" s="1745">
        <v>0</v>
      </c>
      <c r="AO15" s="1057">
        <f t="shared" si="18"/>
        <v>30754.75</v>
      </c>
      <c r="AP15" s="1736"/>
      <c r="AQ15" s="1046"/>
      <c r="AR15" s="1046"/>
      <c r="AS15" s="1046"/>
      <c r="AT15" s="1046"/>
      <c r="AU15" s="1049">
        <f t="shared" si="19"/>
        <v>0</v>
      </c>
      <c r="AV15" s="1758"/>
      <c r="AW15" s="1050"/>
      <c r="AX15" s="1050"/>
      <c r="AY15" s="1050"/>
      <c r="AZ15" s="1050"/>
      <c r="BA15" s="1051">
        <f t="shared" si="20"/>
        <v>0</v>
      </c>
      <c r="BB15" s="1719">
        <v>984.8</v>
      </c>
      <c r="BC15" s="1123">
        <v>246.2</v>
      </c>
      <c r="BD15" s="1123">
        <v>0</v>
      </c>
      <c r="BE15" s="1123">
        <v>0</v>
      </c>
      <c r="BF15" s="1720">
        <v>0</v>
      </c>
      <c r="BG15" s="1047">
        <f t="shared" si="21"/>
        <v>1231</v>
      </c>
      <c r="BH15" s="1744">
        <v>100.28</v>
      </c>
      <c r="BI15" s="1125">
        <v>181.1</v>
      </c>
      <c r="BJ15" s="1125">
        <v>0</v>
      </c>
      <c r="BK15" s="1125">
        <v>0</v>
      </c>
      <c r="BL15" s="1745">
        <v>0</v>
      </c>
      <c r="BM15" s="1054">
        <f t="shared" si="22"/>
        <v>281.38</v>
      </c>
      <c r="BN15" s="1744">
        <v>4633.8100000000004</v>
      </c>
      <c r="BO15" s="1125">
        <v>586.96</v>
      </c>
      <c r="BP15" s="1125">
        <v>957.66</v>
      </c>
      <c r="BQ15" s="1125">
        <v>-0.02</v>
      </c>
      <c r="BR15" s="1745">
        <v>0</v>
      </c>
      <c r="BS15" s="1054">
        <f t="shared" si="23"/>
        <v>6178.41</v>
      </c>
      <c r="BT15" s="1746"/>
      <c r="BU15" s="1053"/>
      <c r="BV15" s="1053"/>
      <c r="BW15" s="1053"/>
      <c r="BX15" s="1747"/>
      <c r="BY15" s="1057">
        <f t="shared" si="24"/>
        <v>0</v>
      </c>
      <c r="BZ15" s="1744">
        <v>1316.23</v>
      </c>
      <c r="CA15" s="1125">
        <v>4096.93</v>
      </c>
      <c r="CB15" s="1125">
        <v>992.92</v>
      </c>
      <c r="CC15" s="1125">
        <v>-0.03</v>
      </c>
      <c r="CD15" s="1745">
        <v>0</v>
      </c>
      <c r="CE15" s="1057">
        <f t="shared" si="25"/>
        <v>6406.05</v>
      </c>
      <c r="CF15" s="1746"/>
      <c r="CG15" s="1053"/>
      <c r="CH15" s="1053"/>
      <c r="CI15" s="1053"/>
      <c r="CJ15" s="1747"/>
      <c r="CK15" s="1057">
        <f t="shared" si="26"/>
        <v>0</v>
      </c>
      <c r="CL15" s="1746"/>
      <c r="CM15" s="1053"/>
      <c r="CN15" s="1053"/>
      <c r="CO15" s="1053"/>
      <c r="CP15" s="1053"/>
      <c r="CQ15" s="1054">
        <f t="shared" si="27"/>
        <v>0</v>
      </c>
      <c r="CR15" s="1746"/>
      <c r="CS15" s="1053"/>
      <c r="CT15" s="1053"/>
      <c r="CU15" s="1053"/>
      <c r="CV15" s="1747"/>
      <c r="CW15" s="1057">
        <f t="shared" si="28"/>
        <v>0</v>
      </c>
      <c r="CX15" s="1746"/>
      <c r="CY15" s="1053"/>
      <c r="CZ15" s="1053"/>
      <c r="DA15" s="1053"/>
      <c r="DB15" s="1053"/>
      <c r="DC15" s="1054">
        <f t="shared" si="29"/>
        <v>0</v>
      </c>
      <c r="DD15" s="1744"/>
      <c r="DE15" s="1125"/>
      <c r="DF15" s="1125"/>
      <c r="DG15" s="1125"/>
      <c r="DH15" s="1745"/>
      <c r="DI15" s="1057">
        <f t="shared" si="30"/>
        <v>0</v>
      </c>
      <c r="DJ15" s="1744"/>
      <c r="DK15" s="1125"/>
      <c r="DL15" s="1125"/>
      <c r="DM15" s="1125"/>
      <c r="DN15" s="1125"/>
      <c r="DO15" s="1124">
        <f t="shared" si="31"/>
        <v>0</v>
      </c>
      <c r="DP15" s="1125"/>
      <c r="DQ15" s="1125"/>
      <c r="DR15" s="1125"/>
      <c r="DS15" s="1125"/>
      <c r="DT15" s="1125"/>
      <c r="DU15" s="1125">
        <f t="shared" si="34"/>
        <v>0</v>
      </c>
      <c r="DV15" s="1744">
        <v>3210.5</v>
      </c>
      <c r="DW15" s="1125">
        <v>2215.25</v>
      </c>
      <c r="DX15" s="1125">
        <v>995.26</v>
      </c>
      <c r="DY15" s="1125">
        <v>-0.01</v>
      </c>
      <c r="DZ15" s="1745">
        <v>0</v>
      </c>
      <c r="EA15" s="1058">
        <f t="shared" si="32"/>
        <v>6421</v>
      </c>
      <c r="EB15" s="1744">
        <v>-21.14</v>
      </c>
      <c r="EC15" s="1125">
        <v>0</v>
      </c>
      <c r="ED15" s="1125">
        <v>-3.89</v>
      </c>
      <c r="EE15" s="1125">
        <v>0.03</v>
      </c>
      <c r="EF15" s="1745">
        <v>0</v>
      </c>
      <c r="EG15" s="1057">
        <f t="shared" si="33"/>
        <v>-25</v>
      </c>
    </row>
    <row r="16" spans="1:137" ht="15" customHeight="1" x14ac:dyDescent="0.25">
      <c r="A16" s="719" t="s">
        <v>32</v>
      </c>
      <c r="B16" s="816" t="s">
        <v>33</v>
      </c>
      <c r="C16" s="917" t="s">
        <v>265</v>
      </c>
      <c r="D16" s="814">
        <f t="shared" si="6"/>
        <v>49864.819999999992</v>
      </c>
      <c r="E16" s="814">
        <f t="shared" si="7"/>
        <v>19456.97</v>
      </c>
      <c r="F16" s="814">
        <f t="shared" si="8"/>
        <v>11572.560000000001</v>
      </c>
      <c r="G16" s="814">
        <f t="shared" si="9"/>
        <v>0.03</v>
      </c>
      <c r="H16" s="814">
        <f t="shared" si="10"/>
        <v>0</v>
      </c>
      <c r="I16" s="1422">
        <f t="shared" si="11"/>
        <v>80894.37999999999</v>
      </c>
      <c r="J16" s="815">
        <f t="shared" si="12"/>
        <v>0.03</v>
      </c>
      <c r="K16" s="1423">
        <f t="shared" si="13"/>
        <v>11572.590000000002</v>
      </c>
      <c r="L16" s="1723"/>
      <c r="M16" s="1043"/>
      <c r="N16" s="1043"/>
      <c r="O16" s="1043"/>
      <c r="P16" s="1043"/>
      <c r="Q16" s="1044">
        <f t="shared" si="14"/>
        <v>0</v>
      </c>
      <c r="R16" s="1717"/>
      <c r="S16" s="1048"/>
      <c r="T16" s="1048"/>
      <c r="U16" s="1048"/>
      <c r="V16" s="1718"/>
      <c r="W16" s="1047">
        <f t="shared" si="15"/>
        <v>0</v>
      </c>
      <c r="X16" s="1719"/>
      <c r="Y16" s="1123"/>
      <c r="Z16" s="1123"/>
      <c r="AA16" s="1123"/>
      <c r="AB16" s="1123"/>
      <c r="AC16" s="1122">
        <f t="shared" si="16"/>
        <v>0</v>
      </c>
      <c r="AD16" s="1733">
        <v>2106.62</v>
      </c>
      <c r="AE16" s="1734">
        <v>12.53</v>
      </c>
      <c r="AF16" s="1734">
        <v>388.71</v>
      </c>
      <c r="AG16" s="1734">
        <v>0.02</v>
      </c>
      <c r="AH16" s="1735">
        <v>0</v>
      </c>
      <c r="AI16" s="1045">
        <f t="shared" si="17"/>
        <v>2507.88</v>
      </c>
      <c r="AJ16" s="1744">
        <v>11643.56</v>
      </c>
      <c r="AK16" s="1125">
        <v>0</v>
      </c>
      <c r="AL16" s="1125">
        <v>2910.88</v>
      </c>
      <c r="AM16" s="1125">
        <v>0</v>
      </c>
      <c r="AN16" s="1745">
        <v>0</v>
      </c>
      <c r="AO16" s="1057">
        <f t="shared" si="18"/>
        <v>14554.439999999999</v>
      </c>
      <c r="AP16" s="1736"/>
      <c r="AQ16" s="1046"/>
      <c r="AR16" s="1046"/>
      <c r="AS16" s="1046"/>
      <c r="AT16" s="1046"/>
      <c r="AU16" s="1049">
        <f t="shared" si="19"/>
        <v>0</v>
      </c>
      <c r="AV16" s="1755">
        <v>8001.6</v>
      </c>
      <c r="AW16" s="1756">
        <v>2000.4</v>
      </c>
      <c r="AX16" s="1756">
        <v>0</v>
      </c>
      <c r="AY16" s="1756">
        <v>0</v>
      </c>
      <c r="AZ16" s="1757">
        <v>0</v>
      </c>
      <c r="BA16" s="1051">
        <f t="shared" si="20"/>
        <v>10002</v>
      </c>
      <c r="BB16" s="1764">
        <v>904.4</v>
      </c>
      <c r="BC16" s="1765">
        <v>226.1</v>
      </c>
      <c r="BD16" s="1765">
        <v>0</v>
      </c>
      <c r="BE16" s="1765">
        <v>0</v>
      </c>
      <c r="BF16" s="1766">
        <v>0</v>
      </c>
      <c r="BG16" s="1047">
        <f t="shared" si="21"/>
        <v>1130.5</v>
      </c>
      <c r="BH16" s="1746"/>
      <c r="BI16" s="1053"/>
      <c r="BJ16" s="1053"/>
      <c r="BK16" s="1053"/>
      <c r="BL16" s="1053"/>
      <c r="BM16" s="1054">
        <f t="shared" si="22"/>
        <v>0</v>
      </c>
      <c r="BN16" s="1744">
        <v>10386.049999999999</v>
      </c>
      <c r="BO16" s="1125">
        <v>1315.56</v>
      </c>
      <c r="BP16" s="1125">
        <v>2146.46</v>
      </c>
      <c r="BQ16" s="1125">
        <v>-0.02</v>
      </c>
      <c r="BR16" s="1745">
        <v>0</v>
      </c>
      <c r="BS16" s="1054">
        <f t="shared" si="23"/>
        <v>13848.05</v>
      </c>
      <c r="BT16" s="1744"/>
      <c r="BU16" s="1125"/>
      <c r="BV16" s="1125"/>
      <c r="BW16" s="1125"/>
      <c r="BX16" s="1745"/>
      <c r="BY16" s="1057">
        <f t="shared" si="24"/>
        <v>0</v>
      </c>
      <c r="BZ16" s="1744">
        <v>4776.04</v>
      </c>
      <c r="CA16" s="1125">
        <v>16239.88</v>
      </c>
      <c r="CB16" s="1125">
        <v>3854.89</v>
      </c>
      <c r="CC16" s="1125">
        <v>-0.03</v>
      </c>
      <c r="CD16" s="1745">
        <v>0</v>
      </c>
      <c r="CE16" s="1057">
        <f t="shared" si="25"/>
        <v>24870.78</v>
      </c>
      <c r="CF16" s="1746"/>
      <c r="CG16" s="1053"/>
      <c r="CH16" s="1053"/>
      <c r="CI16" s="1053"/>
      <c r="CJ16" s="1747"/>
      <c r="CK16" s="1057">
        <f t="shared" si="26"/>
        <v>0</v>
      </c>
      <c r="CL16" s="1746"/>
      <c r="CM16" s="1053"/>
      <c r="CN16" s="1053"/>
      <c r="CO16" s="1053"/>
      <c r="CP16" s="1053"/>
      <c r="CQ16" s="1054">
        <f t="shared" si="27"/>
        <v>0</v>
      </c>
      <c r="CR16" s="1744"/>
      <c r="CS16" s="1125"/>
      <c r="CT16" s="1125"/>
      <c r="CU16" s="1125"/>
      <c r="CV16" s="1745"/>
      <c r="CW16" s="1057">
        <f t="shared" si="28"/>
        <v>0</v>
      </c>
      <c r="CX16" s="1744"/>
      <c r="CY16" s="1125"/>
      <c r="CZ16" s="1125"/>
      <c r="DA16" s="1125"/>
      <c r="DB16" s="1745"/>
      <c r="DC16" s="1054">
        <f t="shared" si="29"/>
        <v>0</v>
      </c>
      <c r="DD16" s="1744"/>
      <c r="DE16" s="1125"/>
      <c r="DF16" s="1125"/>
      <c r="DG16" s="1125"/>
      <c r="DH16" s="1745"/>
      <c r="DI16" s="1057">
        <f t="shared" si="30"/>
        <v>0</v>
      </c>
      <c r="DJ16" s="1744"/>
      <c r="DK16" s="1125"/>
      <c r="DL16" s="1125"/>
      <c r="DM16" s="1125"/>
      <c r="DN16" s="1125"/>
      <c r="DO16" s="1124">
        <f t="shared" si="31"/>
        <v>0</v>
      </c>
      <c r="DP16" s="1125">
        <v>-337.5</v>
      </c>
      <c r="DQ16" s="1125">
        <v>-337.5</v>
      </c>
      <c r="DR16" s="1125">
        <v>0</v>
      </c>
      <c r="DS16" s="1125">
        <v>0</v>
      </c>
      <c r="DT16" s="1125">
        <v>0</v>
      </c>
      <c r="DU16" s="1125">
        <f t="shared" si="34"/>
        <v>-675</v>
      </c>
      <c r="DV16" s="1746">
        <v>0</v>
      </c>
      <c r="DW16" s="1053">
        <v>0</v>
      </c>
      <c r="DX16" s="1053">
        <v>0</v>
      </c>
      <c r="DY16" s="1053">
        <v>0</v>
      </c>
      <c r="DZ16" s="1053">
        <v>0</v>
      </c>
      <c r="EA16" s="1058">
        <f t="shared" si="32"/>
        <v>0</v>
      </c>
      <c r="EB16" s="1744">
        <v>12384.05</v>
      </c>
      <c r="EC16" s="1125">
        <v>0</v>
      </c>
      <c r="ED16" s="1125">
        <v>2271.62</v>
      </c>
      <c r="EE16" s="1125">
        <v>0.06</v>
      </c>
      <c r="EF16" s="1745">
        <v>0</v>
      </c>
      <c r="EG16" s="1057">
        <f t="shared" si="33"/>
        <v>14655.729999999998</v>
      </c>
    </row>
    <row r="17" spans="1:137" ht="15" customHeight="1" x14ac:dyDescent="0.25">
      <c r="A17" s="719" t="s">
        <v>36</v>
      </c>
      <c r="B17" s="816" t="s">
        <v>37</v>
      </c>
      <c r="C17" s="917" t="s">
        <v>264</v>
      </c>
      <c r="D17" s="814">
        <f t="shared" si="6"/>
        <v>49905.649999999994</v>
      </c>
      <c r="E17" s="814">
        <f t="shared" si="7"/>
        <v>24938.01</v>
      </c>
      <c r="F17" s="814">
        <f t="shared" si="8"/>
        <v>14857.16</v>
      </c>
      <c r="G17" s="814">
        <f t="shared" si="9"/>
        <v>-9.9999999999999992E-2</v>
      </c>
      <c r="H17" s="814">
        <f t="shared" si="10"/>
        <v>0</v>
      </c>
      <c r="I17" s="1422">
        <f t="shared" si="11"/>
        <v>89700.719999999987</v>
      </c>
      <c r="J17" s="815">
        <f t="shared" si="12"/>
        <v>-9.9999999999999992E-2</v>
      </c>
      <c r="K17" s="1423">
        <f t="shared" si="13"/>
        <v>14857.06</v>
      </c>
      <c r="L17" s="1723"/>
      <c r="M17" s="1043"/>
      <c r="N17" s="1043"/>
      <c r="O17" s="1043"/>
      <c r="P17" s="1043"/>
      <c r="Q17" s="1044">
        <f t="shared" si="14"/>
        <v>0</v>
      </c>
      <c r="R17" s="1717"/>
      <c r="S17" s="1048"/>
      <c r="T17" s="1048"/>
      <c r="U17" s="1048"/>
      <c r="V17" s="1718"/>
      <c r="W17" s="1047">
        <f t="shared" si="15"/>
        <v>0</v>
      </c>
      <c r="X17" s="1719"/>
      <c r="Y17" s="1123"/>
      <c r="Z17" s="1123"/>
      <c r="AA17" s="1123"/>
      <c r="AB17" s="1123"/>
      <c r="AC17" s="1122">
        <f t="shared" si="16"/>
        <v>0</v>
      </c>
      <c r="AD17" s="1733">
        <v>1331.53</v>
      </c>
      <c r="AE17" s="1734">
        <v>7.92</v>
      </c>
      <c r="AF17" s="1734">
        <v>245.69</v>
      </c>
      <c r="AG17" s="1734">
        <v>0</v>
      </c>
      <c r="AH17" s="1735">
        <v>0</v>
      </c>
      <c r="AI17" s="1045">
        <f t="shared" si="17"/>
        <v>1585.14</v>
      </c>
      <c r="AJ17" s="1744">
        <v>19539.86</v>
      </c>
      <c r="AK17" s="1125">
        <v>0</v>
      </c>
      <c r="AL17" s="1125">
        <v>4884.9799999999996</v>
      </c>
      <c r="AM17" s="1125">
        <v>0</v>
      </c>
      <c r="AN17" s="1745">
        <v>0</v>
      </c>
      <c r="AO17" s="1057">
        <f t="shared" si="18"/>
        <v>24424.84</v>
      </c>
      <c r="AP17" s="1733">
        <v>5896</v>
      </c>
      <c r="AQ17" s="1734">
        <v>4068.24</v>
      </c>
      <c r="AR17" s="1734">
        <v>1827.76</v>
      </c>
      <c r="AS17" s="1734">
        <v>0</v>
      </c>
      <c r="AT17" s="1735">
        <v>0</v>
      </c>
      <c r="AU17" s="1049">
        <f t="shared" si="19"/>
        <v>11792</v>
      </c>
      <c r="AV17" s="1755">
        <v>151.15</v>
      </c>
      <c r="AW17" s="1756">
        <v>37.79</v>
      </c>
      <c r="AX17" s="1756">
        <v>0</v>
      </c>
      <c r="AY17" s="1756">
        <v>0</v>
      </c>
      <c r="AZ17" s="1757">
        <v>0</v>
      </c>
      <c r="BA17" s="1051">
        <f t="shared" si="20"/>
        <v>188.94</v>
      </c>
      <c r="BB17" s="1764">
        <v>599.94000000000005</v>
      </c>
      <c r="BC17" s="1765">
        <v>149.99</v>
      </c>
      <c r="BD17" s="1765">
        <v>0</v>
      </c>
      <c r="BE17" s="1765">
        <v>0</v>
      </c>
      <c r="BF17" s="1766">
        <v>0</v>
      </c>
      <c r="BG17" s="1047">
        <f t="shared" si="21"/>
        <v>749.93000000000006</v>
      </c>
      <c r="BH17" s="1744"/>
      <c r="BI17" s="1125"/>
      <c r="BJ17" s="1125"/>
      <c r="BK17" s="1125"/>
      <c r="BL17" s="1745"/>
      <c r="BM17" s="1054">
        <f t="shared" si="22"/>
        <v>0</v>
      </c>
      <c r="BN17" s="1744">
        <v>9900</v>
      </c>
      <c r="BO17" s="1125">
        <v>1254</v>
      </c>
      <c r="BP17" s="1125">
        <v>2046</v>
      </c>
      <c r="BQ17" s="1125">
        <v>0</v>
      </c>
      <c r="BR17" s="1745">
        <v>0</v>
      </c>
      <c r="BS17" s="1054">
        <f t="shared" si="23"/>
        <v>13200</v>
      </c>
      <c r="BT17" s="1744"/>
      <c r="BU17" s="1125"/>
      <c r="BV17" s="1125"/>
      <c r="BW17" s="1125"/>
      <c r="BX17" s="1745"/>
      <c r="BY17" s="1057">
        <f t="shared" si="24"/>
        <v>0</v>
      </c>
      <c r="BZ17" s="1744">
        <v>5247.87</v>
      </c>
      <c r="CA17" s="1125">
        <v>17844.23</v>
      </c>
      <c r="CB17" s="1125">
        <v>4235.75</v>
      </c>
      <c r="CC17" s="1125">
        <v>-0.09</v>
      </c>
      <c r="CD17" s="1745">
        <v>0</v>
      </c>
      <c r="CE17" s="1057">
        <f t="shared" si="25"/>
        <v>27327.759999999998</v>
      </c>
      <c r="CF17" s="1746"/>
      <c r="CG17" s="1053"/>
      <c r="CH17" s="1053"/>
      <c r="CI17" s="1053"/>
      <c r="CJ17" s="1747"/>
      <c r="CK17" s="1057">
        <f t="shared" si="26"/>
        <v>0</v>
      </c>
      <c r="CL17" s="1746"/>
      <c r="CM17" s="1053"/>
      <c r="CN17" s="1053"/>
      <c r="CO17" s="1053"/>
      <c r="CP17" s="1053"/>
      <c r="CQ17" s="1054">
        <f t="shared" si="27"/>
        <v>0</v>
      </c>
      <c r="CR17" s="1746"/>
      <c r="CS17" s="1053"/>
      <c r="CT17" s="1053"/>
      <c r="CU17" s="1053"/>
      <c r="CV17" s="1747"/>
      <c r="CW17" s="1057">
        <f t="shared" si="28"/>
        <v>0</v>
      </c>
      <c r="CX17" s="1746"/>
      <c r="CY17" s="1053"/>
      <c r="CZ17" s="1053"/>
      <c r="DA17" s="1053"/>
      <c r="DB17" s="1053"/>
      <c r="DC17" s="1054">
        <f t="shared" si="29"/>
        <v>0</v>
      </c>
      <c r="DD17" s="1744"/>
      <c r="DE17" s="1125"/>
      <c r="DF17" s="1125"/>
      <c r="DG17" s="1125"/>
      <c r="DH17" s="1745"/>
      <c r="DI17" s="1057">
        <f t="shared" si="30"/>
        <v>0</v>
      </c>
      <c r="DJ17" s="1744"/>
      <c r="DK17" s="1125"/>
      <c r="DL17" s="1125"/>
      <c r="DM17" s="1125"/>
      <c r="DN17" s="1125"/>
      <c r="DO17" s="1124">
        <f t="shared" si="31"/>
        <v>0</v>
      </c>
      <c r="DP17" s="1125"/>
      <c r="DQ17" s="1125"/>
      <c r="DR17" s="1125"/>
      <c r="DS17" s="1125"/>
      <c r="DT17" s="1125"/>
      <c r="DU17" s="1125">
        <f t="shared" si="34"/>
        <v>0</v>
      </c>
      <c r="DV17" s="1744">
        <v>2283.8200000000002</v>
      </c>
      <c r="DW17" s="1125">
        <v>1575.84</v>
      </c>
      <c r="DX17" s="1125">
        <v>707.99</v>
      </c>
      <c r="DY17" s="1125">
        <v>-0.01</v>
      </c>
      <c r="DZ17" s="1745">
        <v>0</v>
      </c>
      <c r="EA17" s="1058">
        <f t="shared" si="32"/>
        <v>4567.6399999999994</v>
      </c>
      <c r="EB17" s="1744">
        <v>4955.4799999999996</v>
      </c>
      <c r="EC17" s="1125">
        <v>0</v>
      </c>
      <c r="ED17" s="1125">
        <v>908.99</v>
      </c>
      <c r="EE17" s="1125">
        <v>0</v>
      </c>
      <c r="EF17" s="1745">
        <v>0</v>
      </c>
      <c r="EG17" s="1057">
        <f t="shared" si="33"/>
        <v>5864.4699999999993</v>
      </c>
    </row>
    <row r="18" spans="1:137" ht="15" customHeight="1" x14ac:dyDescent="0.25">
      <c r="A18" s="719" t="s">
        <v>38</v>
      </c>
      <c r="B18" s="816" t="s">
        <v>39</v>
      </c>
      <c r="C18" s="917" t="s">
        <v>268</v>
      </c>
      <c r="D18" s="814">
        <f t="shared" si="6"/>
        <v>139139.51999999999</v>
      </c>
      <c r="E18" s="814">
        <f t="shared" si="7"/>
        <v>20274.150000000001</v>
      </c>
      <c r="F18" s="814">
        <f t="shared" si="8"/>
        <v>35578.85</v>
      </c>
      <c r="G18" s="814">
        <f t="shared" si="9"/>
        <v>-0.21000000000000002</v>
      </c>
      <c r="H18" s="814">
        <f t="shared" si="10"/>
        <v>0</v>
      </c>
      <c r="I18" s="1422">
        <f t="shared" si="11"/>
        <v>194992.31</v>
      </c>
      <c r="J18" s="815">
        <f t="shared" si="12"/>
        <v>-0.21000000000000002</v>
      </c>
      <c r="K18" s="1423">
        <f t="shared" si="13"/>
        <v>35578.639999999999</v>
      </c>
      <c r="L18" s="1723"/>
      <c r="M18" s="1043"/>
      <c r="N18" s="1043"/>
      <c r="O18" s="1043"/>
      <c r="P18" s="1043"/>
      <c r="Q18" s="1044">
        <f t="shared" si="14"/>
        <v>0</v>
      </c>
      <c r="R18" s="1717"/>
      <c r="S18" s="1048"/>
      <c r="T18" s="1048"/>
      <c r="U18" s="1048"/>
      <c r="V18" s="1718"/>
      <c r="W18" s="1047">
        <f t="shared" si="15"/>
        <v>0</v>
      </c>
      <c r="X18" s="1719">
        <v>0</v>
      </c>
      <c r="Y18" s="1123">
        <v>-1000</v>
      </c>
      <c r="Z18" s="1123">
        <v>0</v>
      </c>
      <c r="AA18" s="1123">
        <v>0</v>
      </c>
      <c r="AB18" s="1123">
        <v>0</v>
      </c>
      <c r="AC18" s="1122">
        <f t="shared" si="16"/>
        <v>-1000</v>
      </c>
      <c r="AD18" s="1733">
        <v>4688.6499999999996</v>
      </c>
      <c r="AE18" s="1734">
        <v>27.92</v>
      </c>
      <c r="AF18" s="1734">
        <v>865.17</v>
      </c>
      <c r="AG18" s="1734">
        <v>-0.02</v>
      </c>
      <c r="AH18" s="1735">
        <v>0</v>
      </c>
      <c r="AI18" s="1045">
        <f t="shared" si="17"/>
        <v>5581.7199999999993</v>
      </c>
      <c r="AJ18" s="1744">
        <v>105825.37</v>
      </c>
      <c r="AK18" s="1125">
        <v>0</v>
      </c>
      <c r="AL18" s="1125">
        <v>26456.31</v>
      </c>
      <c r="AM18" s="1125">
        <v>0</v>
      </c>
      <c r="AN18" s="1745">
        <v>0</v>
      </c>
      <c r="AO18" s="1057">
        <f t="shared" si="18"/>
        <v>132281.68</v>
      </c>
      <c r="AP18" s="1736"/>
      <c r="AQ18" s="1046"/>
      <c r="AR18" s="1046"/>
      <c r="AS18" s="1046"/>
      <c r="AT18" s="1046"/>
      <c r="AU18" s="1049">
        <f t="shared" si="19"/>
        <v>0</v>
      </c>
      <c r="AV18" s="1755">
        <v>1115.3800000000001</v>
      </c>
      <c r="AW18" s="1756">
        <v>278.83999999999997</v>
      </c>
      <c r="AX18" s="1756">
        <v>0</v>
      </c>
      <c r="AY18" s="1756">
        <v>0</v>
      </c>
      <c r="AZ18" s="1757">
        <v>0</v>
      </c>
      <c r="BA18" s="1051">
        <f t="shared" si="20"/>
        <v>1394.22</v>
      </c>
      <c r="BB18" s="1764">
        <v>1808.07</v>
      </c>
      <c r="BC18" s="1765">
        <v>452.02</v>
      </c>
      <c r="BD18" s="1765">
        <v>0</v>
      </c>
      <c r="BE18" s="1765">
        <v>0</v>
      </c>
      <c r="BF18" s="1766">
        <v>0</v>
      </c>
      <c r="BG18" s="1047">
        <f t="shared" si="21"/>
        <v>2260.09</v>
      </c>
      <c r="BH18" s="1744">
        <v>428.03</v>
      </c>
      <c r="BI18" s="1125">
        <v>772.97</v>
      </c>
      <c r="BJ18" s="1125">
        <v>0</v>
      </c>
      <c r="BK18" s="1125">
        <v>0</v>
      </c>
      <c r="BL18" s="1745">
        <v>0</v>
      </c>
      <c r="BM18" s="1054">
        <f t="shared" si="22"/>
        <v>1201</v>
      </c>
      <c r="BN18" s="1744">
        <v>12428.26</v>
      </c>
      <c r="BO18" s="1125">
        <v>1574.29</v>
      </c>
      <c r="BP18" s="1125">
        <v>2568.5500000000002</v>
      </c>
      <c r="BQ18" s="1125">
        <v>-0.09</v>
      </c>
      <c r="BR18" s="1745">
        <v>0</v>
      </c>
      <c r="BS18" s="1054">
        <f t="shared" si="23"/>
        <v>16571.009999999998</v>
      </c>
      <c r="BT18" s="1744"/>
      <c r="BU18" s="1125"/>
      <c r="BV18" s="1125"/>
      <c r="BW18" s="1125"/>
      <c r="BX18" s="1745"/>
      <c r="BY18" s="1057">
        <f t="shared" si="24"/>
        <v>0</v>
      </c>
      <c r="BZ18" s="1744">
        <v>5372.57</v>
      </c>
      <c r="CA18" s="1125">
        <v>15891.11</v>
      </c>
      <c r="CB18" s="1125">
        <v>3900.35</v>
      </c>
      <c r="CC18" s="1125">
        <v>-0.1</v>
      </c>
      <c r="CD18" s="1745">
        <v>0</v>
      </c>
      <c r="CE18" s="1057">
        <f t="shared" si="25"/>
        <v>25163.93</v>
      </c>
      <c r="CF18" s="1746"/>
      <c r="CG18" s="1053"/>
      <c r="CH18" s="1053"/>
      <c r="CI18" s="1053"/>
      <c r="CJ18" s="1747"/>
      <c r="CK18" s="1057">
        <f t="shared" si="26"/>
        <v>0</v>
      </c>
      <c r="CL18" s="1746"/>
      <c r="CM18" s="1053"/>
      <c r="CN18" s="1053"/>
      <c r="CO18" s="1053"/>
      <c r="CP18" s="1053"/>
      <c r="CQ18" s="1054">
        <f t="shared" si="27"/>
        <v>0</v>
      </c>
      <c r="CR18" s="1744"/>
      <c r="CS18" s="1125"/>
      <c r="CT18" s="1125"/>
      <c r="CU18" s="1125"/>
      <c r="CV18" s="1745"/>
      <c r="CW18" s="1057">
        <f t="shared" si="28"/>
        <v>0</v>
      </c>
      <c r="CX18" s="1746"/>
      <c r="CY18" s="1053"/>
      <c r="CZ18" s="1053"/>
      <c r="DA18" s="1053"/>
      <c r="DB18" s="1053"/>
      <c r="DC18" s="1054">
        <f t="shared" si="29"/>
        <v>0</v>
      </c>
      <c r="DD18" s="1744"/>
      <c r="DE18" s="1125"/>
      <c r="DF18" s="1125"/>
      <c r="DG18" s="1125"/>
      <c r="DH18" s="1745"/>
      <c r="DI18" s="1057">
        <f t="shared" si="30"/>
        <v>0</v>
      </c>
      <c r="DJ18" s="1744"/>
      <c r="DK18" s="1125"/>
      <c r="DL18" s="1125"/>
      <c r="DM18" s="1125"/>
      <c r="DN18" s="1125"/>
      <c r="DO18" s="1124">
        <f t="shared" si="31"/>
        <v>0</v>
      </c>
      <c r="DP18" s="1125"/>
      <c r="DQ18" s="1125"/>
      <c r="DR18" s="1125"/>
      <c r="DS18" s="1125"/>
      <c r="DT18" s="1125"/>
      <c r="DU18" s="1125">
        <f t="shared" si="34"/>
        <v>0</v>
      </c>
      <c r="DV18" s="1744">
        <v>3300</v>
      </c>
      <c r="DW18" s="1125">
        <v>2277</v>
      </c>
      <c r="DX18" s="1125">
        <v>1023</v>
      </c>
      <c r="DY18" s="1125">
        <v>0</v>
      </c>
      <c r="DZ18" s="1745">
        <v>0</v>
      </c>
      <c r="EA18" s="1058">
        <f t="shared" si="32"/>
        <v>6600</v>
      </c>
      <c r="EB18" s="1744">
        <v>4173.1899999999996</v>
      </c>
      <c r="EC18" s="1125">
        <v>0</v>
      </c>
      <c r="ED18" s="1125">
        <v>765.47</v>
      </c>
      <c r="EE18" s="1125">
        <v>0</v>
      </c>
      <c r="EF18" s="1745">
        <v>0</v>
      </c>
      <c r="EG18" s="1057">
        <f t="shared" si="33"/>
        <v>4938.66</v>
      </c>
    </row>
    <row r="19" spans="1:137" ht="15" customHeight="1" x14ac:dyDescent="0.25">
      <c r="A19" s="719" t="s">
        <v>40</v>
      </c>
      <c r="B19" s="816" t="s">
        <v>41</v>
      </c>
      <c r="C19" s="917" t="s">
        <v>266</v>
      </c>
      <c r="D19" s="814">
        <f t="shared" si="6"/>
        <v>32662.54</v>
      </c>
      <c r="E19" s="814">
        <f t="shared" si="7"/>
        <v>21498.5</v>
      </c>
      <c r="F19" s="814">
        <f t="shared" si="8"/>
        <v>10901.949999999999</v>
      </c>
      <c r="G19" s="814">
        <f t="shared" si="9"/>
        <v>0.01</v>
      </c>
      <c r="H19" s="814">
        <f t="shared" si="10"/>
        <v>0</v>
      </c>
      <c r="I19" s="1422">
        <f t="shared" si="11"/>
        <v>65063</v>
      </c>
      <c r="J19" s="815">
        <f t="shared" si="12"/>
        <v>0.01</v>
      </c>
      <c r="K19" s="1423">
        <f t="shared" si="13"/>
        <v>10901.96</v>
      </c>
      <c r="L19" s="1723"/>
      <c r="M19" s="1043"/>
      <c r="N19" s="1043"/>
      <c r="O19" s="1043"/>
      <c r="P19" s="1043"/>
      <c r="Q19" s="1044">
        <f t="shared" si="14"/>
        <v>0</v>
      </c>
      <c r="R19" s="1717"/>
      <c r="S19" s="1048"/>
      <c r="T19" s="1048"/>
      <c r="U19" s="1048"/>
      <c r="V19" s="1718"/>
      <c r="W19" s="1047">
        <f t="shared" si="15"/>
        <v>0</v>
      </c>
      <c r="X19" s="1719"/>
      <c r="Y19" s="1123"/>
      <c r="Z19" s="1123"/>
      <c r="AA19" s="1123"/>
      <c r="AB19" s="1123"/>
      <c r="AC19" s="1122">
        <f t="shared" si="16"/>
        <v>0</v>
      </c>
      <c r="AD19" s="1736">
        <v>220.5</v>
      </c>
      <c r="AE19" s="1046">
        <v>1.31</v>
      </c>
      <c r="AF19" s="1046">
        <v>40.69</v>
      </c>
      <c r="AG19" s="1046">
        <v>0</v>
      </c>
      <c r="AH19" s="1737">
        <v>0</v>
      </c>
      <c r="AI19" s="1045">
        <f t="shared" si="17"/>
        <v>262.5</v>
      </c>
      <c r="AJ19" s="1744">
        <v>16268.1</v>
      </c>
      <c r="AK19" s="1125">
        <v>0</v>
      </c>
      <c r="AL19" s="1125">
        <v>4067.06</v>
      </c>
      <c r="AM19" s="1125">
        <v>0</v>
      </c>
      <c r="AN19" s="1745">
        <v>0</v>
      </c>
      <c r="AO19" s="1057">
        <f t="shared" si="18"/>
        <v>20335.16</v>
      </c>
      <c r="AP19" s="1736"/>
      <c r="AQ19" s="1046"/>
      <c r="AR19" s="1046"/>
      <c r="AS19" s="1046"/>
      <c r="AT19" s="1046"/>
      <c r="AU19" s="1049">
        <f t="shared" si="19"/>
        <v>0</v>
      </c>
      <c r="AV19" s="1758"/>
      <c r="AW19" s="1050"/>
      <c r="AX19" s="1050"/>
      <c r="AY19" s="1050"/>
      <c r="AZ19" s="1050"/>
      <c r="BA19" s="1051">
        <f t="shared" si="20"/>
        <v>0</v>
      </c>
      <c r="BB19" s="1764">
        <v>360.31</v>
      </c>
      <c r="BC19" s="1765">
        <v>90.07</v>
      </c>
      <c r="BD19" s="1765">
        <v>0</v>
      </c>
      <c r="BE19" s="1765">
        <v>0</v>
      </c>
      <c r="BF19" s="1766">
        <v>0</v>
      </c>
      <c r="BG19" s="1047">
        <f t="shared" si="21"/>
        <v>450.38</v>
      </c>
      <c r="BH19" s="1746">
        <v>64.41</v>
      </c>
      <c r="BI19" s="1053">
        <v>116.31</v>
      </c>
      <c r="BJ19" s="1053">
        <v>0</v>
      </c>
      <c r="BK19" s="1053">
        <v>0</v>
      </c>
      <c r="BL19" s="1053">
        <v>0</v>
      </c>
      <c r="BM19" s="1054">
        <f t="shared" si="22"/>
        <v>180.72</v>
      </c>
      <c r="BN19" s="1744">
        <v>7125</v>
      </c>
      <c r="BO19" s="1125">
        <v>902.5</v>
      </c>
      <c r="BP19" s="1125">
        <v>1472.5</v>
      </c>
      <c r="BQ19" s="1125">
        <v>0</v>
      </c>
      <c r="BR19" s="1745">
        <v>0</v>
      </c>
      <c r="BS19" s="1054">
        <f t="shared" si="23"/>
        <v>9500</v>
      </c>
      <c r="BT19" s="1744"/>
      <c r="BU19" s="1125"/>
      <c r="BV19" s="1125"/>
      <c r="BW19" s="1125"/>
      <c r="BX19" s="1745"/>
      <c r="BY19" s="1057">
        <f t="shared" si="24"/>
        <v>0</v>
      </c>
      <c r="BZ19" s="1744">
        <v>5320.58</v>
      </c>
      <c r="CA19" s="1125">
        <v>18091.3</v>
      </c>
      <c r="CB19" s="1125">
        <v>4294.37</v>
      </c>
      <c r="CC19" s="1125">
        <v>-0.01</v>
      </c>
      <c r="CD19" s="1745">
        <v>0</v>
      </c>
      <c r="CE19" s="1057">
        <f t="shared" si="25"/>
        <v>27706.239999999998</v>
      </c>
      <c r="CF19" s="1746"/>
      <c r="CG19" s="1053"/>
      <c r="CH19" s="1053"/>
      <c r="CI19" s="1053"/>
      <c r="CJ19" s="1747"/>
      <c r="CK19" s="1057">
        <f t="shared" si="26"/>
        <v>0</v>
      </c>
      <c r="CL19" s="1746"/>
      <c r="CM19" s="1053"/>
      <c r="CN19" s="1053"/>
      <c r="CO19" s="1053"/>
      <c r="CP19" s="1053"/>
      <c r="CQ19" s="1054">
        <f t="shared" si="27"/>
        <v>0</v>
      </c>
      <c r="CR19" s="1746"/>
      <c r="CS19" s="1053"/>
      <c r="CT19" s="1053"/>
      <c r="CU19" s="1053"/>
      <c r="CV19" s="1747"/>
      <c r="CW19" s="1057">
        <f t="shared" si="28"/>
        <v>0</v>
      </c>
      <c r="CX19" s="1744"/>
      <c r="CY19" s="1125"/>
      <c r="CZ19" s="1125"/>
      <c r="DA19" s="1125"/>
      <c r="DB19" s="1745"/>
      <c r="DC19" s="1054">
        <f t="shared" si="29"/>
        <v>0</v>
      </c>
      <c r="DD19" s="1744"/>
      <c r="DE19" s="1125"/>
      <c r="DF19" s="1125"/>
      <c r="DG19" s="1125"/>
      <c r="DH19" s="1745"/>
      <c r="DI19" s="1057">
        <f t="shared" si="30"/>
        <v>0</v>
      </c>
      <c r="DJ19" s="1744"/>
      <c r="DK19" s="1125"/>
      <c r="DL19" s="1125"/>
      <c r="DM19" s="1125"/>
      <c r="DN19" s="1125"/>
      <c r="DO19" s="1124">
        <f t="shared" si="31"/>
        <v>0</v>
      </c>
      <c r="DP19" s="1125"/>
      <c r="DQ19" s="1125"/>
      <c r="DR19" s="1125"/>
      <c r="DS19" s="1125"/>
      <c r="DT19" s="1125"/>
      <c r="DU19" s="1125">
        <f t="shared" si="34"/>
        <v>0</v>
      </c>
      <c r="DV19" s="1744">
        <v>3329</v>
      </c>
      <c r="DW19" s="1125">
        <v>2297.0100000000002</v>
      </c>
      <c r="DX19" s="1125">
        <v>1031.99</v>
      </c>
      <c r="DY19" s="1125">
        <v>0</v>
      </c>
      <c r="DZ19" s="1745">
        <v>0</v>
      </c>
      <c r="EA19" s="1058">
        <f t="shared" si="32"/>
        <v>6658</v>
      </c>
      <c r="EB19" s="1746">
        <v>-25.36</v>
      </c>
      <c r="EC19" s="1053">
        <v>0</v>
      </c>
      <c r="ED19" s="1053">
        <v>-4.66</v>
      </c>
      <c r="EE19" s="1053">
        <v>0.02</v>
      </c>
      <c r="EF19" s="1747">
        <v>0</v>
      </c>
      <c r="EG19" s="1057">
        <f t="shared" si="33"/>
        <v>-30</v>
      </c>
    </row>
    <row r="20" spans="1:137" ht="15" customHeight="1" x14ac:dyDescent="0.25">
      <c r="A20" s="719" t="s">
        <v>42</v>
      </c>
      <c r="B20" s="816" t="s">
        <v>43</v>
      </c>
      <c r="C20" s="917" t="s">
        <v>265</v>
      </c>
      <c r="D20" s="814">
        <f t="shared" si="6"/>
        <v>169139.07</v>
      </c>
      <c r="E20" s="814">
        <f t="shared" si="7"/>
        <v>163771.12</v>
      </c>
      <c r="F20" s="814">
        <f t="shared" si="8"/>
        <v>65448.169999999991</v>
      </c>
      <c r="G20" s="814">
        <f t="shared" si="9"/>
        <v>-0.22000000000000003</v>
      </c>
      <c r="H20" s="814">
        <f t="shared" si="10"/>
        <v>52755.24</v>
      </c>
      <c r="I20" s="1422">
        <f t="shared" si="11"/>
        <v>451113.38</v>
      </c>
      <c r="J20" s="815">
        <f t="shared" si="12"/>
        <v>52755.02</v>
      </c>
      <c r="K20" s="1423">
        <f t="shared" si="13"/>
        <v>118203.18999999999</v>
      </c>
      <c r="L20" s="1723"/>
      <c r="M20" s="1043"/>
      <c r="N20" s="1043"/>
      <c r="O20" s="1043"/>
      <c r="P20" s="1043"/>
      <c r="Q20" s="1044">
        <f t="shared" si="14"/>
        <v>0</v>
      </c>
      <c r="R20" s="1719">
        <v>0</v>
      </c>
      <c r="S20" s="1123">
        <v>0</v>
      </c>
      <c r="T20" s="1123">
        <v>0</v>
      </c>
      <c r="U20" s="1123">
        <v>0</v>
      </c>
      <c r="V20" s="1720">
        <v>52755.24</v>
      </c>
      <c r="W20" s="1047">
        <f t="shared" si="15"/>
        <v>52755.24</v>
      </c>
      <c r="X20" s="1719"/>
      <c r="Y20" s="1123"/>
      <c r="Z20" s="1123"/>
      <c r="AA20" s="1123"/>
      <c r="AB20" s="1123"/>
      <c r="AC20" s="1122">
        <f t="shared" si="16"/>
        <v>0</v>
      </c>
      <c r="AD20" s="1733">
        <v>6566.91</v>
      </c>
      <c r="AE20" s="1734">
        <v>39.11</v>
      </c>
      <c r="AF20" s="1734">
        <v>1211.76</v>
      </c>
      <c r="AG20" s="1734">
        <v>-0.03</v>
      </c>
      <c r="AH20" s="1735">
        <v>0</v>
      </c>
      <c r="AI20" s="1045">
        <f t="shared" si="17"/>
        <v>7817.75</v>
      </c>
      <c r="AJ20" s="1744">
        <v>67915.61</v>
      </c>
      <c r="AK20" s="1125">
        <v>0</v>
      </c>
      <c r="AL20" s="1125">
        <v>16978.86</v>
      </c>
      <c r="AM20" s="1125">
        <v>0</v>
      </c>
      <c r="AN20" s="1745">
        <v>0</v>
      </c>
      <c r="AO20" s="1057">
        <f t="shared" si="18"/>
        <v>84894.47</v>
      </c>
      <c r="AP20" s="1736"/>
      <c r="AQ20" s="1046"/>
      <c r="AR20" s="1046"/>
      <c r="AS20" s="1046"/>
      <c r="AT20" s="1046"/>
      <c r="AU20" s="1049">
        <f t="shared" si="19"/>
        <v>0</v>
      </c>
      <c r="AV20" s="1755"/>
      <c r="AW20" s="1756"/>
      <c r="AX20" s="1756"/>
      <c r="AY20" s="1756"/>
      <c r="AZ20" s="1757"/>
      <c r="BA20" s="1051">
        <f t="shared" si="20"/>
        <v>0</v>
      </c>
      <c r="BB20" s="1764">
        <v>5510.41</v>
      </c>
      <c r="BC20" s="1765">
        <v>1377.59</v>
      </c>
      <c r="BD20" s="1765">
        <v>0</v>
      </c>
      <c r="BE20" s="1765">
        <v>0</v>
      </c>
      <c r="BF20" s="1766">
        <v>0</v>
      </c>
      <c r="BG20" s="1047">
        <f t="shared" si="21"/>
        <v>6888</v>
      </c>
      <c r="BH20" s="1744">
        <v>112.27</v>
      </c>
      <c r="BI20" s="1125">
        <v>202.73</v>
      </c>
      <c r="BJ20" s="1125">
        <v>0</v>
      </c>
      <c r="BK20" s="1125">
        <v>0</v>
      </c>
      <c r="BL20" s="1745">
        <v>0</v>
      </c>
      <c r="BM20" s="1054">
        <f t="shared" si="22"/>
        <v>315</v>
      </c>
      <c r="BN20" s="1744">
        <v>27731.59</v>
      </c>
      <c r="BO20" s="1125">
        <v>3512.68</v>
      </c>
      <c r="BP20" s="1125">
        <v>5731.19</v>
      </c>
      <c r="BQ20" s="1125">
        <v>-0.06</v>
      </c>
      <c r="BR20" s="1745">
        <v>0</v>
      </c>
      <c r="BS20" s="1054">
        <f t="shared" si="23"/>
        <v>36975.4</v>
      </c>
      <c r="BT20" s="1744"/>
      <c r="BU20" s="1125"/>
      <c r="BV20" s="1125"/>
      <c r="BW20" s="1125"/>
      <c r="BX20" s="1745"/>
      <c r="BY20" s="1057">
        <f t="shared" si="24"/>
        <v>0</v>
      </c>
      <c r="BZ20" s="1744">
        <v>46096.639999999999</v>
      </c>
      <c r="CA20" s="1125">
        <v>154865.82</v>
      </c>
      <c r="CB20" s="1125">
        <v>36861.919999999998</v>
      </c>
      <c r="CC20" s="1125">
        <v>-0.19</v>
      </c>
      <c r="CD20" s="1745">
        <v>0</v>
      </c>
      <c r="CE20" s="1057">
        <f t="shared" si="25"/>
        <v>237824.19</v>
      </c>
      <c r="CF20" s="1744">
        <v>777.12</v>
      </c>
      <c r="CG20" s="1125">
        <v>0</v>
      </c>
      <c r="CH20" s="1125">
        <v>1311.93</v>
      </c>
      <c r="CI20" s="1125">
        <v>0</v>
      </c>
      <c r="CJ20" s="1745">
        <v>0</v>
      </c>
      <c r="CK20" s="1057">
        <f t="shared" si="26"/>
        <v>2089.0500000000002</v>
      </c>
      <c r="CL20" s="1746"/>
      <c r="CM20" s="1053"/>
      <c r="CN20" s="1053"/>
      <c r="CO20" s="1053"/>
      <c r="CP20" s="1053"/>
      <c r="CQ20" s="1054">
        <f t="shared" si="27"/>
        <v>0</v>
      </c>
      <c r="CR20" s="1744"/>
      <c r="CS20" s="1125"/>
      <c r="CT20" s="1125"/>
      <c r="CU20" s="1125"/>
      <c r="CV20" s="1745"/>
      <c r="CW20" s="1057">
        <f t="shared" si="28"/>
        <v>0</v>
      </c>
      <c r="CX20" s="1744"/>
      <c r="CY20" s="1125"/>
      <c r="CZ20" s="1125"/>
      <c r="DA20" s="1125"/>
      <c r="DB20" s="1745"/>
      <c r="DC20" s="1054">
        <f t="shared" si="29"/>
        <v>0</v>
      </c>
      <c r="DD20" s="1744">
        <v>-75</v>
      </c>
      <c r="DE20" s="1125">
        <v>0</v>
      </c>
      <c r="DF20" s="1125">
        <v>0</v>
      </c>
      <c r="DG20" s="1125">
        <v>0</v>
      </c>
      <c r="DH20" s="1745">
        <v>0</v>
      </c>
      <c r="DI20" s="1057">
        <f t="shared" si="30"/>
        <v>-75</v>
      </c>
      <c r="DJ20" s="1744"/>
      <c r="DK20" s="1125"/>
      <c r="DL20" s="1125"/>
      <c r="DM20" s="1125"/>
      <c r="DN20" s="1125"/>
      <c r="DO20" s="1124">
        <f t="shared" si="31"/>
        <v>0</v>
      </c>
      <c r="DP20" s="1125"/>
      <c r="DQ20" s="1125"/>
      <c r="DR20" s="1125"/>
      <c r="DS20" s="1125"/>
      <c r="DT20" s="1125"/>
      <c r="DU20" s="1125">
        <f t="shared" si="34"/>
        <v>0</v>
      </c>
      <c r="DV20" s="1744">
        <v>5468.39</v>
      </c>
      <c r="DW20" s="1125">
        <v>3773.19</v>
      </c>
      <c r="DX20" s="1125">
        <v>1695.2</v>
      </c>
      <c r="DY20" s="1125">
        <v>0</v>
      </c>
      <c r="DZ20" s="1745">
        <v>0</v>
      </c>
      <c r="EA20" s="1058">
        <f t="shared" si="32"/>
        <v>10936.78</v>
      </c>
      <c r="EB20" s="1744">
        <v>9035.1299999999992</v>
      </c>
      <c r="EC20" s="1125">
        <v>0</v>
      </c>
      <c r="ED20" s="1125">
        <v>1657.31</v>
      </c>
      <c r="EE20" s="1125">
        <v>0.06</v>
      </c>
      <c r="EF20" s="1745">
        <v>0</v>
      </c>
      <c r="EG20" s="1057">
        <f t="shared" si="33"/>
        <v>10692.499999999998</v>
      </c>
    </row>
    <row r="21" spans="1:137" ht="15" customHeight="1" x14ac:dyDescent="0.25">
      <c r="A21" s="719" t="s">
        <v>44</v>
      </c>
      <c r="B21" s="816" t="s">
        <v>45</v>
      </c>
      <c r="C21" s="917" t="s">
        <v>266</v>
      </c>
      <c r="D21" s="814">
        <f t="shared" si="6"/>
        <v>56568.65</v>
      </c>
      <c r="E21" s="814">
        <f t="shared" si="7"/>
        <v>67455.55</v>
      </c>
      <c r="F21" s="814">
        <f t="shared" si="8"/>
        <v>22080.030000000002</v>
      </c>
      <c r="G21" s="814">
        <f t="shared" si="9"/>
        <v>-7.0000000000000007E-2</v>
      </c>
      <c r="H21" s="814">
        <f t="shared" si="10"/>
        <v>0</v>
      </c>
      <c r="I21" s="1422">
        <f t="shared" si="11"/>
        <v>146104.16</v>
      </c>
      <c r="J21" s="815">
        <f t="shared" si="12"/>
        <v>-7.0000000000000007E-2</v>
      </c>
      <c r="K21" s="1423">
        <f t="shared" si="13"/>
        <v>22079.960000000003</v>
      </c>
      <c r="L21" s="1723">
        <v>0</v>
      </c>
      <c r="M21" s="1043">
        <v>2500</v>
      </c>
      <c r="N21" s="1043">
        <v>0</v>
      </c>
      <c r="O21" s="1043">
        <v>0</v>
      </c>
      <c r="P21" s="1043">
        <v>0</v>
      </c>
      <c r="Q21" s="1044">
        <f t="shared" si="14"/>
        <v>2500</v>
      </c>
      <c r="R21" s="1717"/>
      <c r="S21" s="1048"/>
      <c r="T21" s="1048"/>
      <c r="U21" s="1048"/>
      <c r="V21" s="1718"/>
      <c r="W21" s="1047">
        <f t="shared" si="15"/>
        <v>0</v>
      </c>
      <c r="X21" s="1719"/>
      <c r="Y21" s="1123"/>
      <c r="Z21" s="1123"/>
      <c r="AA21" s="1123"/>
      <c r="AB21" s="1123"/>
      <c r="AC21" s="1122">
        <f t="shared" si="16"/>
        <v>0</v>
      </c>
      <c r="AD21" s="1733">
        <v>817.91</v>
      </c>
      <c r="AE21" s="1734">
        <v>4.87</v>
      </c>
      <c r="AF21" s="1734">
        <v>150.91999999999999</v>
      </c>
      <c r="AG21" s="1734">
        <v>0</v>
      </c>
      <c r="AH21" s="1735">
        <v>0</v>
      </c>
      <c r="AI21" s="1045">
        <f t="shared" si="17"/>
        <v>973.69999999999993</v>
      </c>
      <c r="AJ21" s="1744">
        <v>9310.44</v>
      </c>
      <c r="AK21" s="1125">
        <v>0</v>
      </c>
      <c r="AL21" s="1125">
        <v>2327.61</v>
      </c>
      <c r="AM21" s="1125">
        <v>0</v>
      </c>
      <c r="AN21" s="1745">
        <v>0</v>
      </c>
      <c r="AO21" s="1057">
        <f t="shared" si="18"/>
        <v>11638.050000000001</v>
      </c>
      <c r="AP21" s="1736"/>
      <c r="AQ21" s="1046"/>
      <c r="AR21" s="1046"/>
      <c r="AS21" s="1046"/>
      <c r="AT21" s="1046"/>
      <c r="AU21" s="1049">
        <f t="shared" si="19"/>
        <v>0</v>
      </c>
      <c r="AV21" s="1755">
        <v>1834.28</v>
      </c>
      <c r="AW21" s="1756">
        <v>458.57</v>
      </c>
      <c r="AX21" s="1756">
        <v>0</v>
      </c>
      <c r="AY21" s="1756">
        <v>0</v>
      </c>
      <c r="AZ21" s="1757">
        <v>0</v>
      </c>
      <c r="BA21" s="1051">
        <f t="shared" si="20"/>
        <v>2292.85</v>
      </c>
      <c r="BB21" s="1764">
        <v>1788.73</v>
      </c>
      <c r="BC21" s="1765">
        <v>447.18</v>
      </c>
      <c r="BD21" s="1765">
        <v>0</v>
      </c>
      <c r="BE21" s="1765">
        <v>0</v>
      </c>
      <c r="BF21" s="1766">
        <v>0</v>
      </c>
      <c r="BG21" s="1047">
        <f t="shared" si="21"/>
        <v>2235.91</v>
      </c>
      <c r="BH21" s="1746"/>
      <c r="BI21" s="1053"/>
      <c r="BJ21" s="1053"/>
      <c r="BK21" s="1053"/>
      <c r="BL21" s="1053"/>
      <c r="BM21" s="1054">
        <f t="shared" si="22"/>
        <v>0</v>
      </c>
      <c r="BN21" s="1744">
        <v>13769.36</v>
      </c>
      <c r="BO21" s="1125">
        <v>1744.12</v>
      </c>
      <c r="BP21" s="1125">
        <v>2845.68</v>
      </c>
      <c r="BQ21" s="1125">
        <v>-0.05</v>
      </c>
      <c r="BR21" s="1745">
        <v>0</v>
      </c>
      <c r="BS21" s="1054">
        <f t="shared" si="23"/>
        <v>18359.11</v>
      </c>
      <c r="BT21" s="1744"/>
      <c r="BU21" s="1125"/>
      <c r="BV21" s="1125"/>
      <c r="BW21" s="1125"/>
      <c r="BX21" s="1745"/>
      <c r="BY21" s="1057">
        <f t="shared" si="24"/>
        <v>0</v>
      </c>
      <c r="BZ21" s="1744">
        <v>17989.82</v>
      </c>
      <c r="CA21" s="1125">
        <v>58031.43</v>
      </c>
      <c r="CB21" s="1125">
        <v>13944.29</v>
      </c>
      <c r="CC21" s="1125">
        <v>-0.05</v>
      </c>
      <c r="CD21" s="1745">
        <v>0</v>
      </c>
      <c r="CE21" s="1057">
        <f t="shared" si="25"/>
        <v>89965.49</v>
      </c>
      <c r="CF21" s="1746"/>
      <c r="CG21" s="1053"/>
      <c r="CH21" s="1053"/>
      <c r="CI21" s="1053"/>
      <c r="CJ21" s="1747"/>
      <c r="CK21" s="1057">
        <f t="shared" si="26"/>
        <v>0</v>
      </c>
      <c r="CL21" s="1746"/>
      <c r="CM21" s="1053"/>
      <c r="CN21" s="1053"/>
      <c r="CO21" s="1053"/>
      <c r="CP21" s="1053"/>
      <c r="CQ21" s="1054">
        <f t="shared" si="27"/>
        <v>0</v>
      </c>
      <c r="CR21" s="1744"/>
      <c r="CS21" s="1125"/>
      <c r="CT21" s="1125"/>
      <c r="CU21" s="1125"/>
      <c r="CV21" s="1745"/>
      <c r="CW21" s="1057">
        <f t="shared" si="28"/>
        <v>0</v>
      </c>
      <c r="CX21" s="1746"/>
      <c r="CY21" s="1053"/>
      <c r="CZ21" s="1053"/>
      <c r="DA21" s="1053"/>
      <c r="DB21" s="1053"/>
      <c r="DC21" s="1054">
        <f t="shared" si="29"/>
        <v>0</v>
      </c>
      <c r="DD21" s="1744"/>
      <c r="DE21" s="1125"/>
      <c r="DF21" s="1125"/>
      <c r="DG21" s="1125"/>
      <c r="DH21" s="1745"/>
      <c r="DI21" s="1057">
        <f t="shared" si="30"/>
        <v>0</v>
      </c>
      <c r="DJ21" s="1744"/>
      <c r="DK21" s="1125"/>
      <c r="DL21" s="1125"/>
      <c r="DM21" s="1125"/>
      <c r="DN21" s="1125"/>
      <c r="DO21" s="1124">
        <f t="shared" si="31"/>
        <v>0</v>
      </c>
      <c r="DP21" s="1125"/>
      <c r="DQ21" s="1125"/>
      <c r="DR21" s="1125"/>
      <c r="DS21" s="1125"/>
      <c r="DT21" s="1125"/>
      <c r="DU21" s="1125">
        <f t="shared" si="34"/>
        <v>0</v>
      </c>
      <c r="DV21" s="1744">
        <v>6187.5</v>
      </c>
      <c r="DW21" s="1125">
        <v>4269.38</v>
      </c>
      <c r="DX21" s="1125">
        <v>1918.13</v>
      </c>
      <c r="DY21" s="1125">
        <v>-0.01</v>
      </c>
      <c r="DZ21" s="1745">
        <v>0</v>
      </c>
      <c r="EA21" s="1058">
        <f t="shared" si="32"/>
        <v>12375.000000000002</v>
      </c>
      <c r="EB21" s="1744">
        <v>4870.6099999999997</v>
      </c>
      <c r="EC21" s="1125">
        <v>0</v>
      </c>
      <c r="ED21" s="1125">
        <v>893.4</v>
      </c>
      <c r="EE21" s="1125">
        <v>0.04</v>
      </c>
      <c r="EF21" s="1745">
        <v>0</v>
      </c>
      <c r="EG21" s="1057">
        <f t="shared" si="33"/>
        <v>5764.0499999999993</v>
      </c>
    </row>
    <row r="22" spans="1:137" ht="15" customHeight="1" x14ac:dyDescent="0.25">
      <c r="A22" s="719" t="s">
        <v>46</v>
      </c>
      <c r="B22" s="816" t="s">
        <v>47</v>
      </c>
      <c r="C22" s="917" t="s">
        <v>268</v>
      </c>
      <c r="D22" s="814">
        <f t="shared" si="6"/>
        <v>78454.080000000002</v>
      </c>
      <c r="E22" s="814">
        <f t="shared" si="7"/>
        <v>61259.529999999992</v>
      </c>
      <c r="F22" s="814">
        <f t="shared" si="8"/>
        <v>26552.31</v>
      </c>
      <c r="G22" s="814">
        <f t="shared" si="9"/>
        <v>-0.19</v>
      </c>
      <c r="H22" s="814">
        <f t="shared" si="10"/>
        <v>0</v>
      </c>
      <c r="I22" s="1422">
        <f t="shared" si="11"/>
        <v>166265.72999999998</v>
      </c>
      <c r="J22" s="815">
        <f t="shared" si="12"/>
        <v>-0.19</v>
      </c>
      <c r="K22" s="1423">
        <f t="shared" si="13"/>
        <v>26552.120000000003</v>
      </c>
      <c r="L22" s="1723"/>
      <c r="M22" s="1043"/>
      <c r="N22" s="1043"/>
      <c r="O22" s="1043"/>
      <c r="P22" s="1043"/>
      <c r="Q22" s="1044">
        <f t="shared" si="14"/>
        <v>0</v>
      </c>
      <c r="R22" s="1717"/>
      <c r="S22" s="1048"/>
      <c r="T22" s="1048"/>
      <c r="U22" s="1048"/>
      <c r="V22" s="1718"/>
      <c r="W22" s="1047">
        <f t="shared" si="15"/>
        <v>0</v>
      </c>
      <c r="X22" s="1719"/>
      <c r="Y22" s="1123"/>
      <c r="Z22" s="1123"/>
      <c r="AA22" s="1123"/>
      <c r="AB22" s="1123"/>
      <c r="AC22" s="1122">
        <f t="shared" si="16"/>
        <v>0</v>
      </c>
      <c r="AD22" s="1733">
        <v>5799.66</v>
      </c>
      <c r="AE22" s="1734">
        <v>34.53</v>
      </c>
      <c r="AF22" s="1734">
        <v>1070.19</v>
      </c>
      <c r="AG22" s="1734">
        <v>-0.03</v>
      </c>
      <c r="AH22" s="1735">
        <v>0</v>
      </c>
      <c r="AI22" s="1045">
        <f t="shared" si="17"/>
        <v>6904.3499999999995</v>
      </c>
      <c r="AJ22" s="1744">
        <v>23265.439999999999</v>
      </c>
      <c r="AK22" s="1125">
        <v>0</v>
      </c>
      <c r="AL22" s="1125">
        <v>5816.36</v>
      </c>
      <c r="AM22" s="1125">
        <v>0</v>
      </c>
      <c r="AN22" s="1745">
        <v>0</v>
      </c>
      <c r="AO22" s="1057">
        <f t="shared" si="18"/>
        <v>29081.8</v>
      </c>
      <c r="AP22" s="1736"/>
      <c r="AQ22" s="1046"/>
      <c r="AR22" s="1046"/>
      <c r="AS22" s="1046"/>
      <c r="AT22" s="1046"/>
      <c r="AU22" s="1049">
        <f t="shared" si="19"/>
        <v>0</v>
      </c>
      <c r="AV22" s="1755"/>
      <c r="AW22" s="1756"/>
      <c r="AX22" s="1756"/>
      <c r="AY22" s="1756"/>
      <c r="AZ22" s="1757"/>
      <c r="BA22" s="1051">
        <f t="shared" si="20"/>
        <v>0</v>
      </c>
      <c r="BB22" s="1764">
        <v>3791.91</v>
      </c>
      <c r="BC22" s="1765">
        <v>947.98</v>
      </c>
      <c r="BD22" s="1765">
        <v>0</v>
      </c>
      <c r="BE22" s="1765">
        <v>0</v>
      </c>
      <c r="BF22" s="1766">
        <v>0</v>
      </c>
      <c r="BG22" s="1047">
        <f t="shared" si="21"/>
        <v>4739.8899999999994</v>
      </c>
      <c r="BH22" s="1746"/>
      <c r="BI22" s="1053"/>
      <c r="BJ22" s="1053"/>
      <c r="BK22" s="1053"/>
      <c r="BL22" s="1053"/>
      <c r="BM22" s="1054">
        <f t="shared" si="22"/>
        <v>0</v>
      </c>
      <c r="BN22" s="1744">
        <v>18631.97</v>
      </c>
      <c r="BO22" s="1125">
        <v>2360.0500000000002</v>
      </c>
      <c r="BP22" s="1125">
        <v>3850.61</v>
      </c>
      <c r="BQ22" s="1125">
        <v>-0.01</v>
      </c>
      <c r="BR22" s="1745">
        <v>0</v>
      </c>
      <c r="BS22" s="1054">
        <f t="shared" si="23"/>
        <v>24842.620000000003</v>
      </c>
      <c r="BT22" s="1744">
        <v>-10</v>
      </c>
      <c r="BU22" s="1125">
        <v>-10</v>
      </c>
      <c r="BV22" s="1125">
        <v>0</v>
      </c>
      <c r="BW22" s="1125">
        <v>0</v>
      </c>
      <c r="BX22" s="1745">
        <v>0</v>
      </c>
      <c r="BY22" s="1057">
        <f t="shared" si="24"/>
        <v>-20</v>
      </c>
      <c r="BZ22" s="1744">
        <v>16818.25</v>
      </c>
      <c r="CA22" s="1125">
        <v>55504.34</v>
      </c>
      <c r="CB22" s="1125">
        <v>13265.93</v>
      </c>
      <c r="CC22" s="1125">
        <v>-0.2</v>
      </c>
      <c r="CD22" s="1745">
        <v>0</v>
      </c>
      <c r="CE22" s="1057">
        <f t="shared" si="25"/>
        <v>85588.319999999992</v>
      </c>
      <c r="CF22" s="1746"/>
      <c r="CG22" s="1053"/>
      <c r="CH22" s="1053"/>
      <c r="CI22" s="1053"/>
      <c r="CJ22" s="1747"/>
      <c r="CK22" s="1057">
        <f t="shared" si="26"/>
        <v>0</v>
      </c>
      <c r="CL22" s="1746"/>
      <c r="CM22" s="1053"/>
      <c r="CN22" s="1053"/>
      <c r="CO22" s="1053"/>
      <c r="CP22" s="1053"/>
      <c r="CQ22" s="1054">
        <f t="shared" si="27"/>
        <v>0</v>
      </c>
      <c r="CR22" s="1744"/>
      <c r="CS22" s="1125"/>
      <c r="CT22" s="1125"/>
      <c r="CU22" s="1125"/>
      <c r="CV22" s="1745"/>
      <c r="CW22" s="1057">
        <f t="shared" si="28"/>
        <v>0</v>
      </c>
      <c r="CX22" s="1744"/>
      <c r="CY22" s="1125"/>
      <c r="CZ22" s="1125"/>
      <c r="DA22" s="1125"/>
      <c r="DB22" s="1745"/>
      <c r="DC22" s="1054">
        <f t="shared" si="29"/>
        <v>0</v>
      </c>
      <c r="DD22" s="1744"/>
      <c r="DE22" s="1125"/>
      <c r="DF22" s="1125"/>
      <c r="DG22" s="1125"/>
      <c r="DH22" s="1745"/>
      <c r="DI22" s="1057">
        <f t="shared" si="30"/>
        <v>0</v>
      </c>
      <c r="DJ22" s="1744">
        <v>-143</v>
      </c>
      <c r="DK22" s="1125">
        <v>0</v>
      </c>
      <c r="DL22" s="1125">
        <v>0</v>
      </c>
      <c r="DM22" s="1125">
        <v>0</v>
      </c>
      <c r="DN22" s="1125">
        <v>0</v>
      </c>
      <c r="DO22" s="1124">
        <f t="shared" si="31"/>
        <v>-143</v>
      </c>
      <c r="DP22" s="1125">
        <v>-587.5</v>
      </c>
      <c r="DQ22" s="1125">
        <v>-587.5</v>
      </c>
      <c r="DR22" s="1125">
        <v>0</v>
      </c>
      <c r="DS22" s="1125">
        <v>0</v>
      </c>
      <c r="DT22" s="1125">
        <v>0</v>
      </c>
      <c r="DU22" s="1125">
        <f t="shared" si="34"/>
        <v>-1175</v>
      </c>
      <c r="DV22" s="1744">
        <v>4362.5</v>
      </c>
      <c r="DW22" s="1125">
        <v>3010.13</v>
      </c>
      <c r="DX22" s="1125">
        <v>1352.38</v>
      </c>
      <c r="DY22" s="1125">
        <v>-0.01</v>
      </c>
      <c r="DZ22" s="1745">
        <v>0</v>
      </c>
      <c r="EA22" s="1058">
        <f t="shared" si="32"/>
        <v>8725</v>
      </c>
      <c r="EB22" s="1744">
        <v>6524.85</v>
      </c>
      <c r="EC22" s="1125">
        <v>0</v>
      </c>
      <c r="ED22" s="1125">
        <v>1196.8399999999999</v>
      </c>
      <c r="EE22" s="1125">
        <v>0.06</v>
      </c>
      <c r="EF22" s="1745">
        <v>0</v>
      </c>
      <c r="EG22" s="1057">
        <f t="shared" si="33"/>
        <v>7721.7500000000009</v>
      </c>
    </row>
    <row r="23" spans="1:137" ht="15" customHeight="1" x14ac:dyDescent="0.25">
      <c r="A23" s="719" t="s">
        <v>48</v>
      </c>
      <c r="B23" s="816" t="s">
        <v>269</v>
      </c>
      <c r="C23" s="917" t="s">
        <v>266</v>
      </c>
      <c r="D23" s="814">
        <f t="shared" si="6"/>
        <v>22700.98</v>
      </c>
      <c r="E23" s="814">
        <f t="shared" si="7"/>
        <v>3067.3100000000004</v>
      </c>
      <c r="F23" s="814">
        <f t="shared" si="8"/>
        <v>5648.1500000000005</v>
      </c>
      <c r="G23" s="814">
        <f t="shared" si="9"/>
        <v>-9.0000000000000011E-2</v>
      </c>
      <c r="H23" s="814">
        <f t="shared" si="10"/>
        <v>0</v>
      </c>
      <c r="I23" s="1422">
        <f t="shared" si="11"/>
        <v>31416.350000000002</v>
      </c>
      <c r="J23" s="815">
        <f t="shared" si="12"/>
        <v>-9.0000000000000011E-2</v>
      </c>
      <c r="K23" s="1423">
        <f t="shared" si="13"/>
        <v>5648.06</v>
      </c>
      <c r="L23" s="1723"/>
      <c r="M23" s="1043"/>
      <c r="N23" s="1043"/>
      <c r="O23" s="1043"/>
      <c r="P23" s="1043"/>
      <c r="Q23" s="1044">
        <f t="shared" si="14"/>
        <v>0</v>
      </c>
      <c r="R23" s="1717"/>
      <c r="S23" s="1048"/>
      <c r="T23" s="1048"/>
      <c r="U23" s="1048"/>
      <c r="V23" s="1718"/>
      <c r="W23" s="1047">
        <f t="shared" si="15"/>
        <v>0</v>
      </c>
      <c r="X23" s="1719"/>
      <c r="Y23" s="1123"/>
      <c r="Z23" s="1123"/>
      <c r="AA23" s="1123"/>
      <c r="AB23" s="1123"/>
      <c r="AC23" s="1122">
        <f t="shared" si="16"/>
        <v>0</v>
      </c>
      <c r="AD23" s="1733">
        <v>502.32</v>
      </c>
      <c r="AE23" s="1734">
        <v>3</v>
      </c>
      <c r="AF23" s="1734">
        <v>92.7</v>
      </c>
      <c r="AG23" s="1734">
        <v>-0.02</v>
      </c>
      <c r="AH23" s="1735">
        <v>0</v>
      </c>
      <c r="AI23" s="1045">
        <f t="shared" si="17"/>
        <v>598</v>
      </c>
      <c r="AJ23" s="1744">
        <v>13084.02</v>
      </c>
      <c r="AK23" s="1125">
        <v>0</v>
      </c>
      <c r="AL23" s="1125">
        <v>3271</v>
      </c>
      <c r="AM23" s="1125">
        <v>0</v>
      </c>
      <c r="AN23" s="1745">
        <v>0</v>
      </c>
      <c r="AO23" s="1057">
        <f t="shared" si="18"/>
        <v>16355.02</v>
      </c>
      <c r="AP23" s="1736"/>
      <c r="AQ23" s="1046"/>
      <c r="AR23" s="1046"/>
      <c r="AS23" s="1046"/>
      <c r="AT23" s="1046"/>
      <c r="AU23" s="1049">
        <f t="shared" si="19"/>
        <v>0</v>
      </c>
      <c r="AV23" s="1758"/>
      <c r="AW23" s="1050"/>
      <c r="AX23" s="1050"/>
      <c r="AY23" s="1050"/>
      <c r="AZ23" s="1050"/>
      <c r="BA23" s="1051">
        <f t="shared" si="20"/>
        <v>0</v>
      </c>
      <c r="BB23" s="1717">
        <v>0</v>
      </c>
      <c r="BC23" s="1048">
        <v>0</v>
      </c>
      <c r="BD23" s="1048">
        <v>0</v>
      </c>
      <c r="BE23" s="1048">
        <v>0</v>
      </c>
      <c r="BF23" s="1718">
        <v>0</v>
      </c>
      <c r="BG23" s="1047">
        <f t="shared" si="21"/>
        <v>0</v>
      </c>
      <c r="BH23" s="1746"/>
      <c r="BI23" s="1053"/>
      <c r="BJ23" s="1053"/>
      <c r="BK23" s="1053"/>
      <c r="BL23" s="1053"/>
      <c r="BM23" s="1054">
        <f t="shared" si="22"/>
        <v>0</v>
      </c>
      <c r="BN23" s="1744">
        <v>5058.75</v>
      </c>
      <c r="BO23" s="1125">
        <v>640.78</v>
      </c>
      <c r="BP23" s="1125">
        <v>1045.48</v>
      </c>
      <c r="BQ23" s="1125">
        <v>-0.01</v>
      </c>
      <c r="BR23" s="1745">
        <v>0</v>
      </c>
      <c r="BS23" s="1054">
        <f t="shared" si="23"/>
        <v>6745</v>
      </c>
      <c r="BT23" s="1744"/>
      <c r="BU23" s="1125"/>
      <c r="BV23" s="1125"/>
      <c r="BW23" s="1125"/>
      <c r="BX23" s="1745"/>
      <c r="BY23" s="1057">
        <f t="shared" si="24"/>
        <v>0</v>
      </c>
      <c r="BZ23" s="1744">
        <v>731.12</v>
      </c>
      <c r="CA23" s="1125">
        <v>2486.0300000000002</v>
      </c>
      <c r="CB23" s="1125">
        <v>590.12</v>
      </c>
      <c r="CC23" s="1125">
        <v>-0.04</v>
      </c>
      <c r="CD23" s="1745">
        <v>0</v>
      </c>
      <c r="CE23" s="1057">
        <f t="shared" si="25"/>
        <v>3807.23</v>
      </c>
      <c r="CF23" s="1746"/>
      <c r="CG23" s="1053"/>
      <c r="CH23" s="1053"/>
      <c r="CI23" s="1053"/>
      <c r="CJ23" s="1747"/>
      <c r="CK23" s="1057">
        <f t="shared" si="26"/>
        <v>0</v>
      </c>
      <c r="CL23" s="1746"/>
      <c r="CM23" s="1053"/>
      <c r="CN23" s="1053"/>
      <c r="CO23" s="1053"/>
      <c r="CP23" s="1053"/>
      <c r="CQ23" s="1054">
        <f t="shared" si="27"/>
        <v>0</v>
      </c>
      <c r="CR23" s="1744"/>
      <c r="CS23" s="1125"/>
      <c r="CT23" s="1125"/>
      <c r="CU23" s="1125"/>
      <c r="CV23" s="1745"/>
      <c r="CW23" s="1057">
        <f t="shared" si="28"/>
        <v>0</v>
      </c>
      <c r="CX23" s="1746"/>
      <c r="CY23" s="1053"/>
      <c r="CZ23" s="1053"/>
      <c r="DA23" s="1053"/>
      <c r="DB23" s="1053"/>
      <c r="DC23" s="1054">
        <f t="shared" si="29"/>
        <v>0</v>
      </c>
      <c r="DD23" s="1744"/>
      <c r="DE23" s="1125"/>
      <c r="DF23" s="1125"/>
      <c r="DG23" s="1125"/>
      <c r="DH23" s="1745"/>
      <c r="DI23" s="1057">
        <f t="shared" si="30"/>
        <v>0</v>
      </c>
      <c r="DJ23" s="1744">
        <v>-150</v>
      </c>
      <c r="DK23" s="1125">
        <v>0</v>
      </c>
      <c r="DL23" s="1125">
        <v>0</v>
      </c>
      <c r="DM23" s="1125">
        <v>0</v>
      </c>
      <c r="DN23" s="1125">
        <v>0</v>
      </c>
      <c r="DO23" s="1124">
        <f t="shared" si="31"/>
        <v>-150</v>
      </c>
      <c r="DP23" s="1125">
        <v>-62.5</v>
      </c>
      <c r="DQ23" s="1125">
        <v>-62.5</v>
      </c>
      <c r="DR23" s="1125">
        <v>0</v>
      </c>
      <c r="DS23" s="1125">
        <v>0</v>
      </c>
      <c r="DT23" s="1125">
        <v>0</v>
      </c>
      <c r="DU23" s="1125">
        <f t="shared" si="34"/>
        <v>-125</v>
      </c>
      <c r="DV23" s="1746">
        <v>0</v>
      </c>
      <c r="DW23" s="1053">
        <v>0</v>
      </c>
      <c r="DX23" s="1053">
        <v>0</v>
      </c>
      <c r="DY23" s="1053">
        <v>0</v>
      </c>
      <c r="DZ23" s="1053">
        <v>0</v>
      </c>
      <c r="EA23" s="1058">
        <f t="shared" si="32"/>
        <v>0</v>
      </c>
      <c r="EB23" s="1744">
        <v>3537.27</v>
      </c>
      <c r="EC23" s="1125">
        <v>0</v>
      </c>
      <c r="ED23" s="1125">
        <v>648.85</v>
      </c>
      <c r="EE23" s="1125">
        <v>-0.02</v>
      </c>
      <c r="EF23" s="1745">
        <v>0</v>
      </c>
      <c r="EG23" s="1057">
        <f t="shared" si="33"/>
        <v>4186.0999999999995</v>
      </c>
    </row>
    <row r="24" spans="1:137" ht="15" customHeight="1" x14ac:dyDescent="0.25">
      <c r="A24" s="719" t="s">
        <v>50</v>
      </c>
      <c r="B24" s="816" t="s">
        <v>51</v>
      </c>
      <c r="C24" s="917" t="s">
        <v>265</v>
      </c>
      <c r="D24" s="814">
        <f t="shared" si="6"/>
        <v>63814.01</v>
      </c>
      <c r="E24" s="814">
        <f t="shared" si="7"/>
        <v>14707.970000000001</v>
      </c>
      <c r="F24" s="814">
        <f t="shared" si="8"/>
        <v>16889.82</v>
      </c>
      <c r="G24" s="814">
        <f t="shared" si="9"/>
        <v>-1.0000000000000002E-2</v>
      </c>
      <c r="H24" s="814">
        <f t="shared" si="10"/>
        <v>0</v>
      </c>
      <c r="I24" s="1422">
        <f t="shared" si="11"/>
        <v>95411.790000000023</v>
      </c>
      <c r="J24" s="815">
        <f t="shared" si="12"/>
        <v>-1.0000000000000002E-2</v>
      </c>
      <c r="K24" s="1423">
        <f t="shared" si="13"/>
        <v>16889.810000000001</v>
      </c>
      <c r="L24" s="1723"/>
      <c r="M24" s="1043"/>
      <c r="N24" s="1043"/>
      <c r="O24" s="1043"/>
      <c r="P24" s="1043"/>
      <c r="Q24" s="1044">
        <f t="shared" si="14"/>
        <v>0</v>
      </c>
      <c r="R24" s="1717"/>
      <c r="S24" s="1048"/>
      <c r="T24" s="1048"/>
      <c r="U24" s="1048"/>
      <c r="V24" s="1718"/>
      <c r="W24" s="1047">
        <f t="shared" si="15"/>
        <v>0</v>
      </c>
      <c r="X24" s="1719"/>
      <c r="Y24" s="1123"/>
      <c r="Z24" s="1123"/>
      <c r="AA24" s="1123"/>
      <c r="AB24" s="1123"/>
      <c r="AC24" s="1122">
        <f t="shared" si="16"/>
        <v>0</v>
      </c>
      <c r="AD24" s="1733">
        <v>0</v>
      </c>
      <c r="AE24" s="1734">
        <v>0</v>
      </c>
      <c r="AF24" s="1734">
        <v>0</v>
      </c>
      <c r="AG24" s="1734">
        <v>0</v>
      </c>
      <c r="AH24" s="1735">
        <v>0</v>
      </c>
      <c r="AI24" s="1045">
        <f t="shared" si="17"/>
        <v>0</v>
      </c>
      <c r="AJ24" s="1744">
        <v>52452.86</v>
      </c>
      <c r="AK24" s="1125">
        <v>0</v>
      </c>
      <c r="AL24" s="1125">
        <v>13113.21</v>
      </c>
      <c r="AM24" s="1125">
        <v>0</v>
      </c>
      <c r="AN24" s="1745">
        <v>0</v>
      </c>
      <c r="AO24" s="1057">
        <f t="shared" si="18"/>
        <v>65566.070000000007</v>
      </c>
      <c r="AP24" s="1736"/>
      <c r="AQ24" s="1046"/>
      <c r="AR24" s="1046"/>
      <c r="AS24" s="1046"/>
      <c r="AT24" s="1046"/>
      <c r="AU24" s="1049">
        <f t="shared" si="19"/>
        <v>0</v>
      </c>
      <c r="AV24" s="1758">
        <v>2426.21</v>
      </c>
      <c r="AW24" s="1050">
        <v>606.55999999999995</v>
      </c>
      <c r="AX24" s="1050">
        <v>0</v>
      </c>
      <c r="AY24" s="1050">
        <v>0</v>
      </c>
      <c r="AZ24" s="1050">
        <v>0</v>
      </c>
      <c r="BA24" s="1051">
        <f t="shared" si="20"/>
        <v>3032.77</v>
      </c>
      <c r="BB24" s="1764">
        <v>1957.81</v>
      </c>
      <c r="BC24" s="1765">
        <v>489.45</v>
      </c>
      <c r="BD24" s="1765">
        <v>0</v>
      </c>
      <c r="BE24" s="1765">
        <v>0</v>
      </c>
      <c r="BF24" s="1766">
        <v>0</v>
      </c>
      <c r="BG24" s="1047">
        <f t="shared" si="21"/>
        <v>2447.2599999999998</v>
      </c>
      <c r="BH24" s="1746"/>
      <c r="BI24" s="1053"/>
      <c r="BJ24" s="1053"/>
      <c r="BK24" s="1053"/>
      <c r="BL24" s="1053"/>
      <c r="BM24" s="1054">
        <f t="shared" si="22"/>
        <v>0</v>
      </c>
      <c r="BN24" s="1746">
        <v>0</v>
      </c>
      <c r="BO24" s="1053">
        <v>0</v>
      </c>
      <c r="BP24" s="1053">
        <v>0</v>
      </c>
      <c r="BQ24" s="1053">
        <v>0</v>
      </c>
      <c r="BR24" s="1053">
        <v>0</v>
      </c>
      <c r="BS24" s="1054">
        <f t="shared" si="23"/>
        <v>0</v>
      </c>
      <c r="BT24" s="1746"/>
      <c r="BU24" s="1053"/>
      <c r="BV24" s="1053"/>
      <c r="BW24" s="1053"/>
      <c r="BX24" s="1747"/>
      <c r="BY24" s="1057">
        <f t="shared" si="24"/>
        <v>0</v>
      </c>
      <c r="BZ24" s="1744">
        <v>3311.11</v>
      </c>
      <c r="CA24" s="1125">
        <v>11050.34</v>
      </c>
      <c r="CB24" s="1125">
        <v>2634.27</v>
      </c>
      <c r="CC24" s="1125">
        <v>-0.02</v>
      </c>
      <c r="CD24" s="1745">
        <v>0</v>
      </c>
      <c r="CE24" s="1057">
        <f t="shared" si="25"/>
        <v>16995.7</v>
      </c>
      <c r="CF24" s="1746"/>
      <c r="CG24" s="1053"/>
      <c r="CH24" s="1053"/>
      <c r="CI24" s="1053"/>
      <c r="CJ24" s="1747"/>
      <c r="CK24" s="1057">
        <f t="shared" si="26"/>
        <v>0</v>
      </c>
      <c r="CL24" s="1746"/>
      <c r="CM24" s="1053"/>
      <c r="CN24" s="1053"/>
      <c r="CO24" s="1053"/>
      <c r="CP24" s="1053"/>
      <c r="CQ24" s="1054">
        <f t="shared" si="27"/>
        <v>0</v>
      </c>
      <c r="CR24" s="1746"/>
      <c r="CS24" s="1053"/>
      <c r="CT24" s="1053"/>
      <c r="CU24" s="1053"/>
      <c r="CV24" s="1747"/>
      <c r="CW24" s="1057">
        <f t="shared" si="28"/>
        <v>0</v>
      </c>
      <c r="CX24" s="1746"/>
      <c r="CY24" s="1053"/>
      <c r="CZ24" s="1053"/>
      <c r="DA24" s="1053"/>
      <c r="DB24" s="1053"/>
      <c r="DC24" s="1054">
        <f t="shared" si="29"/>
        <v>0</v>
      </c>
      <c r="DD24" s="1744"/>
      <c r="DE24" s="1125"/>
      <c r="DF24" s="1125"/>
      <c r="DG24" s="1125"/>
      <c r="DH24" s="1745"/>
      <c r="DI24" s="1057">
        <f t="shared" si="30"/>
        <v>0</v>
      </c>
      <c r="DJ24" s="1744"/>
      <c r="DK24" s="1125"/>
      <c r="DL24" s="1125"/>
      <c r="DM24" s="1125"/>
      <c r="DN24" s="1125"/>
      <c r="DO24" s="1124">
        <f t="shared" si="31"/>
        <v>0</v>
      </c>
      <c r="DP24" s="1125"/>
      <c r="DQ24" s="1125"/>
      <c r="DR24" s="1125"/>
      <c r="DS24" s="1125"/>
      <c r="DT24" s="1125"/>
      <c r="DU24" s="1125">
        <f t="shared" si="34"/>
        <v>0</v>
      </c>
      <c r="DV24" s="1744">
        <v>3712.51</v>
      </c>
      <c r="DW24" s="1125">
        <v>2561.62</v>
      </c>
      <c r="DX24" s="1125">
        <v>1150.8800000000001</v>
      </c>
      <c r="DY24" s="1125">
        <v>-0.02</v>
      </c>
      <c r="DZ24" s="1745">
        <v>0</v>
      </c>
      <c r="EA24" s="1058">
        <f t="shared" si="32"/>
        <v>7424.99</v>
      </c>
      <c r="EB24" s="1744">
        <v>-46.49</v>
      </c>
      <c r="EC24" s="1125">
        <v>0</v>
      </c>
      <c r="ED24" s="1125">
        <v>-8.5399999999999991</v>
      </c>
      <c r="EE24" s="1125">
        <v>0.03</v>
      </c>
      <c r="EF24" s="1745">
        <v>0</v>
      </c>
      <c r="EG24" s="1057">
        <f t="shared" si="33"/>
        <v>-55</v>
      </c>
    </row>
    <row r="25" spans="1:137" ht="15" customHeight="1" x14ac:dyDescent="0.25">
      <c r="A25" s="719" t="s">
        <v>56</v>
      </c>
      <c r="B25" s="816" t="s">
        <v>295</v>
      </c>
      <c r="C25" s="917" t="s">
        <v>266</v>
      </c>
      <c r="D25" s="814">
        <f t="shared" si="6"/>
        <v>264583.52</v>
      </c>
      <c r="E25" s="814">
        <f t="shared" si="7"/>
        <v>267443.27999999997</v>
      </c>
      <c r="F25" s="814">
        <f t="shared" si="8"/>
        <v>103047.49</v>
      </c>
      <c r="G25" s="814">
        <f t="shared" si="9"/>
        <v>13702.439999999999</v>
      </c>
      <c r="H25" s="814">
        <f t="shared" si="10"/>
        <v>5160.4399999999996</v>
      </c>
      <c r="I25" s="1422">
        <f t="shared" si="11"/>
        <v>653937.16999999993</v>
      </c>
      <c r="J25" s="815">
        <f t="shared" si="12"/>
        <v>18862.879999999997</v>
      </c>
      <c r="K25" s="1423">
        <f t="shared" si="13"/>
        <v>121910.37</v>
      </c>
      <c r="L25" s="1723"/>
      <c r="M25" s="1043"/>
      <c r="N25" s="1043"/>
      <c r="O25" s="1043"/>
      <c r="P25" s="1043"/>
      <c r="Q25" s="1044">
        <f t="shared" si="14"/>
        <v>0</v>
      </c>
      <c r="R25" s="1717">
        <v>-75.2</v>
      </c>
      <c r="S25" s="1048">
        <v>0</v>
      </c>
      <c r="T25" s="1048">
        <v>-18.8</v>
      </c>
      <c r="U25" s="1048">
        <v>94</v>
      </c>
      <c r="V25" s="1718">
        <v>0</v>
      </c>
      <c r="W25" s="1047">
        <f t="shared" si="15"/>
        <v>0</v>
      </c>
      <c r="X25" s="1719"/>
      <c r="Y25" s="1123"/>
      <c r="Z25" s="1123"/>
      <c r="AA25" s="1123"/>
      <c r="AB25" s="1123"/>
      <c r="AC25" s="1122">
        <f t="shared" si="16"/>
        <v>0</v>
      </c>
      <c r="AD25" s="1733">
        <v>33665.329999999994</v>
      </c>
      <c r="AE25" s="1734">
        <v>200.38</v>
      </c>
      <c r="AF25" s="1734">
        <v>6212.0599999999995</v>
      </c>
      <c r="AG25" s="1734">
        <v>-0.01</v>
      </c>
      <c r="AH25" s="1735">
        <v>5110.4399999999996</v>
      </c>
      <c r="AI25" s="1045">
        <f t="shared" si="17"/>
        <v>45188.19999999999</v>
      </c>
      <c r="AJ25" s="1744">
        <v>17591.150000000001</v>
      </c>
      <c r="AK25" s="1125">
        <v>0</v>
      </c>
      <c r="AL25" s="1125">
        <v>4397.75</v>
      </c>
      <c r="AM25" s="1125">
        <v>0</v>
      </c>
      <c r="AN25" s="1745">
        <v>0</v>
      </c>
      <c r="AO25" s="1057">
        <f t="shared" si="18"/>
        <v>21988.9</v>
      </c>
      <c r="AP25" s="1736"/>
      <c r="AQ25" s="1046"/>
      <c r="AR25" s="1046"/>
      <c r="AS25" s="1046"/>
      <c r="AT25" s="1046"/>
      <c r="AU25" s="1049">
        <f t="shared" si="19"/>
        <v>0</v>
      </c>
      <c r="AV25" s="1755">
        <v>2619.3200000000002</v>
      </c>
      <c r="AW25" s="1756">
        <v>654.83000000000004</v>
      </c>
      <c r="AX25" s="1756">
        <v>0</v>
      </c>
      <c r="AY25" s="1756">
        <v>0</v>
      </c>
      <c r="AZ25" s="1757">
        <v>0</v>
      </c>
      <c r="BA25" s="1051">
        <f t="shared" si="20"/>
        <v>3274.15</v>
      </c>
      <c r="BB25" s="1764">
        <v>6995.64</v>
      </c>
      <c r="BC25" s="1765">
        <v>1748.91</v>
      </c>
      <c r="BD25" s="1765">
        <v>0</v>
      </c>
      <c r="BE25" s="1765">
        <v>0</v>
      </c>
      <c r="BF25" s="1766">
        <v>50</v>
      </c>
      <c r="BG25" s="1047">
        <f t="shared" si="21"/>
        <v>8794.5500000000011</v>
      </c>
      <c r="BH25" s="1744">
        <v>431.24</v>
      </c>
      <c r="BI25" s="1125">
        <v>778.76</v>
      </c>
      <c r="BJ25" s="1125">
        <v>0</v>
      </c>
      <c r="BK25" s="1125">
        <v>0</v>
      </c>
      <c r="BL25" s="1745">
        <v>0</v>
      </c>
      <c r="BM25" s="1054">
        <f t="shared" si="22"/>
        <v>1210</v>
      </c>
      <c r="BN25" s="1744">
        <v>118913.61</v>
      </c>
      <c r="BO25" s="1125">
        <v>15062.41</v>
      </c>
      <c r="BP25" s="1125">
        <v>24575.489999999998</v>
      </c>
      <c r="BQ25" s="1125">
        <v>-31.46</v>
      </c>
      <c r="BR25" s="1745">
        <v>0</v>
      </c>
      <c r="BS25" s="1054">
        <f t="shared" si="23"/>
        <v>158520.04999999999</v>
      </c>
      <c r="BT25" s="1744">
        <v>-269</v>
      </c>
      <c r="BU25" s="1125">
        <v>-269</v>
      </c>
      <c r="BV25" s="1125">
        <v>0</v>
      </c>
      <c r="BW25" s="1125">
        <v>0</v>
      </c>
      <c r="BX25" s="1745">
        <v>0</v>
      </c>
      <c r="BY25" s="1057">
        <f t="shared" si="24"/>
        <v>-538</v>
      </c>
      <c r="BZ25" s="1744">
        <v>71024.62000000001</v>
      </c>
      <c r="CA25" s="1125">
        <v>241502.28999999998</v>
      </c>
      <c r="CB25" s="1125">
        <v>57325.88</v>
      </c>
      <c r="CC25" s="1125">
        <v>13639.859999999999</v>
      </c>
      <c r="CD25" s="1745">
        <v>0</v>
      </c>
      <c r="CE25" s="1057">
        <f t="shared" si="25"/>
        <v>383492.64999999997</v>
      </c>
      <c r="CF25" s="1744">
        <v>4181.97</v>
      </c>
      <c r="CG25" s="1125">
        <v>0</v>
      </c>
      <c r="CH25" s="1125">
        <v>7059.88</v>
      </c>
      <c r="CI25" s="1125">
        <v>0</v>
      </c>
      <c r="CJ25" s="1745">
        <v>0</v>
      </c>
      <c r="CK25" s="1057">
        <f t="shared" si="26"/>
        <v>11241.85</v>
      </c>
      <c r="CL25" s="1746"/>
      <c r="CM25" s="1053"/>
      <c r="CN25" s="1053"/>
      <c r="CO25" s="1053"/>
      <c r="CP25" s="1053"/>
      <c r="CQ25" s="1054">
        <f t="shared" si="27"/>
        <v>0</v>
      </c>
      <c r="CR25" s="1744"/>
      <c r="CS25" s="1125"/>
      <c r="CT25" s="1125"/>
      <c r="CU25" s="1125"/>
      <c r="CV25" s="1745"/>
      <c r="CW25" s="1057">
        <f t="shared" si="28"/>
        <v>0</v>
      </c>
      <c r="CX25" s="1744"/>
      <c r="CY25" s="1125"/>
      <c r="CZ25" s="1125"/>
      <c r="DA25" s="1125"/>
      <c r="DB25" s="1745"/>
      <c r="DC25" s="1054">
        <f t="shared" si="29"/>
        <v>0</v>
      </c>
      <c r="DD25" s="1744">
        <v>-1635.22</v>
      </c>
      <c r="DE25" s="1125">
        <v>0</v>
      </c>
      <c r="DF25" s="1125">
        <v>0</v>
      </c>
      <c r="DG25" s="1125">
        <v>0</v>
      </c>
      <c r="DH25" s="1745">
        <v>0</v>
      </c>
      <c r="DI25" s="1057">
        <f t="shared" si="30"/>
        <v>-1635.22</v>
      </c>
      <c r="DJ25" s="1744"/>
      <c r="DK25" s="1125"/>
      <c r="DL25" s="1125"/>
      <c r="DM25" s="1125"/>
      <c r="DN25" s="1125"/>
      <c r="DO25" s="1124">
        <f t="shared" si="31"/>
        <v>0</v>
      </c>
      <c r="DP25" s="1125">
        <v>-75</v>
      </c>
      <c r="DQ25" s="1125">
        <v>-75</v>
      </c>
      <c r="DR25" s="1125">
        <v>0</v>
      </c>
      <c r="DS25" s="1125">
        <v>0</v>
      </c>
      <c r="DT25" s="1125">
        <v>0</v>
      </c>
      <c r="DU25" s="1125">
        <f t="shared" si="34"/>
        <v>-150</v>
      </c>
      <c r="DV25" s="1744">
        <v>11361.88</v>
      </c>
      <c r="DW25" s="1125">
        <v>7839.7</v>
      </c>
      <c r="DX25" s="1125">
        <v>3522.18</v>
      </c>
      <c r="DY25" s="1125">
        <v>-0.01</v>
      </c>
      <c r="DZ25" s="1745">
        <v>0</v>
      </c>
      <c r="EA25" s="1058">
        <f t="shared" si="32"/>
        <v>22723.75</v>
      </c>
      <c r="EB25" s="1744">
        <v>-146.82</v>
      </c>
      <c r="EC25" s="1125">
        <v>0</v>
      </c>
      <c r="ED25" s="1125">
        <v>-26.95</v>
      </c>
      <c r="EE25" s="1125">
        <v>0.06</v>
      </c>
      <c r="EF25" s="1745">
        <v>0</v>
      </c>
      <c r="EG25" s="1057">
        <f t="shared" si="33"/>
        <v>-173.70999999999998</v>
      </c>
    </row>
    <row r="26" spans="1:137" ht="15" customHeight="1" x14ac:dyDescent="0.25">
      <c r="A26" s="719" t="s">
        <v>58</v>
      </c>
      <c r="B26" s="816" t="s">
        <v>59</v>
      </c>
      <c r="C26" s="917" t="s">
        <v>267</v>
      </c>
      <c r="D26" s="814">
        <f t="shared" si="6"/>
        <v>37628.67</v>
      </c>
      <c r="E26" s="814">
        <f t="shared" si="7"/>
        <v>9573.39</v>
      </c>
      <c r="F26" s="814">
        <f t="shared" si="8"/>
        <v>17607.91</v>
      </c>
      <c r="G26" s="814">
        <f t="shared" si="9"/>
        <v>-0.13999999999999999</v>
      </c>
      <c r="H26" s="814">
        <f t="shared" si="10"/>
        <v>0</v>
      </c>
      <c r="I26" s="1422">
        <f t="shared" si="11"/>
        <v>64809.83</v>
      </c>
      <c r="J26" s="815">
        <f t="shared" si="12"/>
        <v>-0.13999999999999999</v>
      </c>
      <c r="K26" s="1423">
        <f t="shared" si="13"/>
        <v>17607.77</v>
      </c>
      <c r="L26" s="1723"/>
      <c r="M26" s="1043"/>
      <c r="N26" s="1043"/>
      <c r="O26" s="1043"/>
      <c r="P26" s="1043"/>
      <c r="Q26" s="1044">
        <f t="shared" si="14"/>
        <v>0</v>
      </c>
      <c r="R26" s="1717"/>
      <c r="S26" s="1048"/>
      <c r="T26" s="1048"/>
      <c r="U26" s="1048"/>
      <c r="V26" s="1718"/>
      <c r="W26" s="1047">
        <f t="shared" si="15"/>
        <v>0</v>
      </c>
      <c r="X26" s="1719"/>
      <c r="Y26" s="1123"/>
      <c r="Z26" s="1123"/>
      <c r="AA26" s="1123"/>
      <c r="AB26" s="1123"/>
      <c r="AC26" s="1122">
        <f t="shared" si="16"/>
        <v>0</v>
      </c>
      <c r="AD26" s="1733">
        <v>1406.16</v>
      </c>
      <c r="AE26" s="1734">
        <v>8.3699999999999992</v>
      </c>
      <c r="AF26" s="1734">
        <v>259.48</v>
      </c>
      <c r="AG26" s="1734">
        <v>-0.01</v>
      </c>
      <c r="AH26" s="1735">
        <v>0</v>
      </c>
      <c r="AI26" s="1045">
        <f t="shared" si="17"/>
        <v>1674</v>
      </c>
      <c r="AJ26" s="1744">
        <v>8246.32</v>
      </c>
      <c r="AK26" s="1125">
        <v>0</v>
      </c>
      <c r="AL26" s="1125">
        <v>2061.61</v>
      </c>
      <c r="AM26" s="1125">
        <v>0</v>
      </c>
      <c r="AN26" s="1745">
        <v>0</v>
      </c>
      <c r="AO26" s="1057">
        <f t="shared" si="18"/>
        <v>10307.93</v>
      </c>
      <c r="AP26" s="1736"/>
      <c r="AQ26" s="1046"/>
      <c r="AR26" s="1046"/>
      <c r="AS26" s="1046"/>
      <c r="AT26" s="1046"/>
      <c r="AU26" s="1049">
        <f t="shared" si="19"/>
        <v>0</v>
      </c>
      <c r="AV26" s="1758"/>
      <c r="AW26" s="1050"/>
      <c r="AX26" s="1050"/>
      <c r="AY26" s="1050"/>
      <c r="AZ26" s="1050"/>
      <c r="BA26" s="1051">
        <f t="shared" si="20"/>
        <v>0</v>
      </c>
      <c r="BB26" s="1719">
        <v>0</v>
      </c>
      <c r="BC26" s="1123">
        <v>0</v>
      </c>
      <c r="BD26" s="1123">
        <v>0</v>
      </c>
      <c r="BE26" s="1123">
        <v>0</v>
      </c>
      <c r="BF26" s="1720">
        <v>0</v>
      </c>
      <c r="BG26" s="1047">
        <f t="shared" si="21"/>
        <v>0</v>
      </c>
      <c r="BH26" s="1746"/>
      <c r="BI26" s="1053"/>
      <c r="BJ26" s="1053"/>
      <c r="BK26" s="1053"/>
      <c r="BL26" s="1053"/>
      <c r="BM26" s="1054">
        <f t="shared" si="22"/>
        <v>0</v>
      </c>
      <c r="BN26" s="1744">
        <v>13864.48</v>
      </c>
      <c r="BO26" s="1125">
        <v>1756.18</v>
      </c>
      <c r="BP26" s="1125">
        <v>2865.36</v>
      </c>
      <c r="BQ26" s="1125">
        <v>-0.05</v>
      </c>
      <c r="BR26" s="1745">
        <v>0</v>
      </c>
      <c r="BS26" s="1054">
        <f t="shared" si="23"/>
        <v>18485.97</v>
      </c>
      <c r="BT26" s="1744"/>
      <c r="BU26" s="1125"/>
      <c r="BV26" s="1125"/>
      <c r="BW26" s="1125"/>
      <c r="BX26" s="1745"/>
      <c r="BY26" s="1057">
        <f t="shared" si="24"/>
        <v>0</v>
      </c>
      <c r="BZ26" s="1744">
        <v>2120.61</v>
      </c>
      <c r="CA26" s="1125">
        <v>6620.27</v>
      </c>
      <c r="CB26" s="1125">
        <v>1603.32</v>
      </c>
      <c r="CC26" s="1125">
        <v>-0.09</v>
      </c>
      <c r="CD26" s="1745">
        <v>0</v>
      </c>
      <c r="CE26" s="1057">
        <f t="shared" si="25"/>
        <v>10344.11</v>
      </c>
      <c r="CF26" s="1744">
        <v>5087.8</v>
      </c>
      <c r="CG26" s="1125">
        <v>0</v>
      </c>
      <c r="CH26" s="1125">
        <v>8589.09</v>
      </c>
      <c r="CI26" s="1125">
        <v>0</v>
      </c>
      <c r="CJ26" s="1745">
        <v>0</v>
      </c>
      <c r="CK26" s="1057">
        <f t="shared" si="26"/>
        <v>13676.89</v>
      </c>
      <c r="CL26" s="1744">
        <v>261.42</v>
      </c>
      <c r="CM26" s="1125">
        <v>0</v>
      </c>
      <c r="CN26" s="1125">
        <v>792.71</v>
      </c>
      <c r="CO26" s="1125">
        <v>0</v>
      </c>
      <c r="CP26" s="1745">
        <v>0</v>
      </c>
      <c r="CQ26" s="1054">
        <f t="shared" si="27"/>
        <v>1054.1300000000001</v>
      </c>
      <c r="CR26" s="1746"/>
      <c r="CS26" s="1053"/>
      <c r="CT26" s="1053"/>
      <c r="CU26" s="1053"/>
      <c r="CV26" s="1747"/>
      <c r="CW26" s="1057">
        <f t="shared" si="28"/>
        <v>0</v>
      </c>
      <c r="CX26" s="1746"/>
      <c r="CY26" s="1053"/>
      <c r="CZ26" s="1053"/>
      <c r="DA26" s="1053"/>
      <c r="DB26" s="1053"/>
      <c r="DC26" s="1054">
        <f t="shared" si="29"/>
        <v>0</v>
      </c>
      <c r="DD26" s="1744"/>
      <c r="DE26" s="1125"/>
      <c r="DF26" s="1125"/>
      <c r="DG26" s="1125"/>
      <c r="DH26" s="1745"/>
      <c r="DI26" s="1057">
        <f t="shared" si="30"/>
        <v>0</v>
      </c>
      <c r="DJ26" s="1744"/>
      <c r="DK26" s="1125"/>
      <c r="DL26" s="1125"/>
      <c r="DM26" s="1125"/>
      <c r="DN26" s="1125"/>
      <c r="DO26" s="1124">
        <f t="shared" si="31"/>
        <v>0</v>
      </c>
      <c r="DP26" s="1125"/>
      <c r="DQ26" s="1125"/>
      <c r="DR26" s="1125"/>
      <c r="DS26" s="1125"/>
      <c r="DT26" s="1125"/>
      <c r="DU26" s="1125">
        <f t="shared" si="34"/>
        <v>0</v>
      </c>
      <c r="DV26" s="1744">
        <v>1722.57</v>
      </c>
      <c r="DW26" s="1125">
        <v>1188.57</v>
      </c>
      <c r="DX26" s="1125">
        <v>534</v>
      </c>
      <c r="DY26" s="1125">
        <v>0</v>
      </c>
      <c r="DZ26" s="1745">
        <v>0</v>
      </c>
      <c r="EA26" s="1058">
        <f t="shared" si="32"/>
        <v>3445.14</v>
      </c>
      <c r="EB26" s="1744">
        <v>4919.3100000000004</v>
      </c>
      <c r="EC26" s="1125">
        <v>0</v>
      </c>
      <c r="ED26" s="1125">
        <v>902.34</v>
      </c>
      <c r="EE26" s="1125">
        <v>0.01</v>
      </c>
      <c r="EF26" s="1745">
        <v>0</v>
      </c>
      <c r="EG26" s="1057">
        <f t="shared" si="33"/>
        <v>5821.6600000000008</v>
      </c>
    </row>
    <row r="27" spans="1:137" ht="15" customHeight="1" x14ac:dyDescent="0.25">
      <c r="A27" s="719" t="s">
        <v>60</v>
      </c>
      <c r="B27" s="816" t="s">
        <v>61</v>
      </c>
      <c r="C27" s="917" t="s">
        <v>265</v>
      </c>
      <c r="D27" s="814">
        <f t="shared" si="6"/>
        <v>12124.71</v>
      </c>
      <c r="E27" s="814">
        <f t="shared" si="7"/>
        <v>6029.51</v>
      </c>
      <c r="F27" s="814">
        <f t="shared" si="8"/>
        <v>3314.51</v>
      </c>
      <c r="G27" s="814">
        <f t="shared" si="9"/>
        <v>-0.08</v>
      </c>
      <c r="H27" s="814">
        <f t="shared" si="10"/>
        <v>0</v>
      </c>
      <c r="I27" s="1422">
        <f t="shared" si="11"/>
        <v>21468.65</v>
      </c>
      <c r="J27" s="815">
        <f t="shared" si="12"/>
        <v>-0.08</v>
      </c>
      <c r="K27" s="1423">
        <f t="shared" si="13"/>
        <v>3314.4300000000003</v>
      </c>
      <c r="L27" s="1723"/>
      <c r="M27" s="1043"/>
      <c r="N27" s="1043"/>
      <c r="O27" s="1043"/>
      <c r="P27" s="1043"/>
      <c r="Q27" s="1044">
        <f t="shared" si="14"/>
        <v>0</v>
      </c>
      <c r="R27" s="1717"/>
      <c r="S27" s="1048"/>
      <c r="T27" s="1048"/>
      <c r="U27" s="1048"/>
      <c r="V27" s="1718"/>
      <c r="W27" s="1047">
        <f t="shared" si="15"/>
        <v>0</v>
      </c>
      <c r="X27" s="1719"/>
      <c r="Y27" s="1123"/>
      <c r="Z27" s="1123"/>
      <c r="AA27" s="1123"/>
      <c r="AB27" s="1123"/>
      <c r="AC27" s="1122">
        <f t="shared" si="16"/>
        <v>0</v>
      </c>
      <c r="AD27" s="1736">
        <v>73.92</v>
      </c>
      <c r="AE27" s="1046">
        <v>0.44</v>
      </c>
      <c r="AF27" s="1046">
        <v>13.64</v>
      </c>
      <c r="AG27" s="1046">
        <v>0</v>
      </c>
      <c r="AH27" s="1737">
        <v>0</v>
      </c>
      <c r="AI27" s="1045">
        <f t="shared" si="17"/>
        <v>88</v>
      </c>
      <c r="AJ27" s="1746">
        <v>524</v>
      </c>
      <c r="AK27" s="1053">
        <v>0</v>
      </c>
      <c r="AL27" s="1053">
        <v>131</v>
      </c>
      <c r="AM27" s="1053">
        <v>0</v>
      </c>
      <c r="AN27" s="1747">
        <v>0</v>
      </c>
      <c r="AO27" s="1057">
        <f t="shared" si="18"/>
        <v>655</v>
      </c>
      <c r="AP27" s="1736"/>
      <c r="AQ27" s="1046"/>
      <c r="AR27" s="1046"/>
      <c r="AS27" s="1046"/>
      <c r="AT27" s="1046"/>
      <c r="AU27" s="1049">
        <f t="shared" si="19"/>
        <v>0</v>
      </c>
      <c r="AV27" s="1755"/>
      <c r="AW27" s="1756"/>
      <c r="AX27" s="1756"/>
      <c r="AY27" s="1756"/>
      <c r="AZ27" s="1757"/>
      <c r="BA27" s="1051">
        <f t="shared" si="20"/>
        <v>0</v>
      </c>
      <c r="BB27" s="1719">
        <v>80</v>
      </c>
      <c r="BC27" s="1123">
        <v>20</v>
      </c>
      <c r="BD27" s="1123">
        <v>0</v>
      </c>
      <c r="BE27" s="1123">
        <v>0</v>
      </c>
      <c r="BF27" s="1720">
        <v>0</v>
      </c>
      <c r="BG27" s="1047">
        <f t="shared" si="21"/>
        <v>100</v>
      </c>
      <c r="BH27" s="1744">
        <v>62.37</v>
      </c>
      <c r="BI27" s="1125">
        <v>112.63</v>
      </c>
      <c r="BJ27" s="1125">
        <v>0</v>
      </c>
      <c r="BK27" s="1125">
        <v>0</v>
      </c>
      <c r="BL27" s="1745">
        <v>0</v>
      </c>
      <c r="BM27" s="1054">
        <f t="shared" si="22"/>
        <v>175</v>
      </c>
      <c r="BN27" s="1744">
        <v>5794.56</v>
      </c>
      <c r="BO27" s="1125">
        <v>734</v>
      </c>
      <c r="BP27" s="1125">
        <v>1197.56</v>
      </c>
      <c r="BQ27" s="1125">
        <v>-0.08</v>
      </c>
      <c r="BR27" s="1745">
        <v>0</v>
      </c>
      <c r="BS27" s="1054">
        <f t="shared" si="23"/>
        <v>7726.0400000000009</v>
      </c>
      <c r="BT27" s="1744"/>
      <c r="BU27" s="1125"/>
      <c r="BV27" s="1125"/>
      <c r="BW27" s="1125"/>
      <c r="BX27" s="1745"/>
      <c r="BY27" s="1057">
        <f t="shared" si="24"/>
        <v>0</v>
      </c>
      <c r="BZ27" s="1744">
        <v>475.22</v>
      </c>
      <c r="CA27" s="1125">
        <v>1615.84</v>
      </c>
      <c r="CB27" s="1125">
        <v>383.57</v>
      </c>
      <c r="CC27" s="1125">
        <v>-0.02</v>
      </c>
      <c r="CD27" s="1745">
        <v>0</v>
      </c>
      <c r="CE27" s="1057">
        <f t="shared" si="25"/>
        <v>2474.61</v>
      </c>
      <c r="CF27" s="1746"/>
      <c r="CG27" s="1053"/>
      <c r="CH27" s="1053"/>
      <c r="CI27" s="1053"/>
      <c r="CJ27" s="1747"/>
      <c r="CK27" s="1057">
        <f t="shared" si="26"/>
        <v>0</v>
      </c>
      <c r="CL27" s="1746"/>
      <c r="CM27" s="1053"/>
      <c r="CN27" s="1053"/>
      <c r="CO27" s="1053"/>
      <c r="CP27" s="1053"/>
      <c r="CQ27" s="1054">
        <f t="shared" si="27"/>
        <v>0</v>
      </c>
      <c r="CR27" s="1744"/>
      <c r="CS27" s="1125"/>
      <c r="CT27" s="1125"/>
      <c r="CU27" s="1125"/>
      <c r="CV27" s="1745"/>
      <c r="CW27" s="1057">
        <f t="shared" si="28"/>
        <v>0</v>
      </c>
      <c r="CX27" s="1744"/>
      <c r="CY27" s="1125"/>
      <c r="CZ27" s="1125"/>
      <c r="DA27" s="1125"/>
      <c r="DB27" s="1745"/>
      <c r="DC27" s="1054">
        <f t="shared" si="29"/>
        <v>0</v>
      </c>
      <c r="DD27" s="1744"/>
      <c r="DE27" s="1125"/>
      <c r="DF27" s="1125"/>
      <c r="DG27" s="1125"/>
      <c r="DH27" s="1745"/>
      <c r="DI27" s="1057">
        <f t="shared" si="30"/>
        <v>0</v>
      </c>
      <c r="DJ27" s="1744"/>
      <c r="DK27" s="1125"/>
      <c r="DL27" s="1125"/>
      <c r="DM27" s="1125"/>
      <c r="DN27" s="1125"/>
      <c r="DO27" s="1124">
        <f t="shared" si="31"/>
        <v>0</v>
      </c>
      <c r="DP27" s="1125"/>
      <c r="DQ27" s="1125"/>
      <c r="DR27" s="1125"/>
      <c r="DS27" s="1125"/>
      <c r="DT27" s="1125"/>
      <c r="DU27" s="1125">
        <f t="shared" si="34"/>
        <v>0</v>
      </c>
      <c r="DV27" s="1744">
        <v>5140</v>
      </c>
      <c r="DW27" s="1125">
        <v>3546.6</v>
      </c>
      <c r="DX27" s="1125">
        <v>1593.4</v>
      </c>
      <c r="DY27" s="1125">
        <v>0</v>
      </c>
      <c r="DZ27" s="1745">
        <v>0</v>
      </c>
      <c r="EA27" s="1058">
        <f t="shared" si="32"/>
        <v>10280</v>
      </c>
      <c r="EB27" s="1744">
        <v>-25.36</v>
      </c>
      <c r="EC27" s="1125">
        <v>0</v>
      </c>
      <c r="ED27" s="1125">
        <v>-4.66</v>
      </c>
      <c r="EE27" s="1125">
        <v>0.02</v>
      </c>
      <c r="EF27" s="1745">
        <v>0</v>
      </c>
      <c r="EG27" s="1057">
        <f t="shared" si="33"/>
        <v>-30</v>
      </c>
    </row>
    <row r="28" spans="1:137" ht="15" customHeight="1" x14ac:dyDescent="0.25">
      <c r="A28" s="719" t="s">
        <v>62</v>
      </c>
      <c r="B28" s="816" t="s">
        <v>63</v>
      </c>
      <c r="C28" s="917" t="s">
        <v>267</v>
      </c>
      <c r="D28" s="814">
        <f t="shared" si="6"/>
        <v>61900.160000000003</v>
      </c>
      <c r="E28" s="814">
        <f t="shared" si="7"/>
        <v>86714.950000000012</v>
      </c>
      <c r="F28" s="814">
        <f t="shared" si="8"/>
        <v>30634.850000000002</v>
      </c>
      <c r="G28" s="814">
        <f t="shared" si="9"/>
        <v>348.62</v>
      </c>
      <c r="H28" s="814">
        <f t="shared" si="10"/>
        <v>0</v>
      </c>
      <c r="I28" s="1422">
        <f t="shared" si="11"/>
        <v>179598.58000000002</v>
      </c>
      <c r="J28" s="815">
        <f t="shared" si="12"/>
        <v>348.62</v>
      </c>
      <c r="K28" s="1423">
        <f t="shared" si="13"/>
        <v>30983.47</v>
      </c>
      <c r="L28" s="1723"/>
      <c r="M28" s="1043"/>
      <c r="N28" s="1043"/>
      <c r="O28" s="1043"/>
      <c r="P28" s="1043"/>
      <c r="Q28" s="1044">
        <f t="shared" si="14"/>
        <v>0</v>
      </c>
      <c r="R28" s="1717"/>
      <c r="S28" s="1048"/>
      <c r="T28" s="1048"/>
      <c r="U28" s="1048"/>
      <c r="V28" s="1718"/>
      <c r="W28" s="1047">
        <f t="shared" si="15"/>
        <v>0</v>
      </c>
      <c r="X28" s="1719"/>
      <c r="Y28" s="1123"/>
      <c r="Z28" s="1123"/>
      <c r="AA28" s="1123"/>
      <c r="AB28" s="1123"/>
      <c r="AC28" s="1122">
        <f t="shared" si="16"/>
        <v>0</v>
      </c>
      <c r="AD28" s="1733">
        <v>4631.6000000000004</v>
      </c>
      <c r="AE28" s="1734">
        <v>27.57</v>
      </c>
      <c r="AF28" s="1734">
        <v>854.64</v>
      </c>
      <c r="AG28" s="1734">
        <v>-0.01</v>
      </c>
      <c r="AH28" s="1735">
        <v>0</v>
      </c>
      <c r="AI28" s="1045">
        <f t="shared" si="17"/>
        <v>5513.8</v>
      </c>
      <c r="AJ28" s="1744">
        <v>13483.8</v>
      </c>
      <c r="AK28" s="1125">
        <v>0</v>
      </c>
      <c r="AL28" s="1125">
        <v>3370.95</v>
      </c>
      <c r="AM28" s="1125">
        <v>348.81</v>
      </c>
      <c r="AN28" s="1745">
        <v>0</v>
      </c>
      <c r="AO28" s="1057">
        <f t="shared" si="18"/>
        <v>17203.560000000001</v>
      </c>
      <c r="AP28" s="1736"/>
      <c r="AQ28" s="1046"/>
      <c r="AR28" s="1046"/>
      <c r="AS28" s="1046"/>
      <c r="AT28" s="1046"/>
      <c r="AU28" s="1049">
        <f t="shared" si="19"/>
        <v>0</v>
      </c>
      <c r="AV28" s="1755">
        <v>1106.02</v>
      </c>
      <c r="AW28" s="1756">
        <v>276.5</v>
      </c>
      <c r="AX28" s="1756">
        <v>0</v>
      </c>
      <c r="AY28" s="1756">
        <v>0</v>
      </c>
      <c r="AZ28" s="1757">
        <v>0</v>
      </c>
      <c r="BA28" s="1051">
        <f t="shared" si="20"/>
        <v>1382.52</v>
      </c>
      <c r="BB28" s="1764">
        <v>4929.66</v>
      </c>
      <c r="BC28" s="1765">
        <v>1232.4100000000001</v>
      </c>
      <c r="BD28" s="1765">
        <v>0</v>
      </c>
      <c r="BE28" s="1765">
        <v>0</v>
      </c>
      <c r="BF28" s="1766">
        <v>0</v>
      </c>
      <c r="BG28" s="1047">
        <f t="shared" si="21"/>
        <v>6162.07</v>
      </c>
      <c r="BH28" s="1746">
        <v>271.58</v>
      </c>
      <c r="BI28" s="1053">
        <v>490.42</v>
      </c>
      <c r="BJ28" s="1053">
        <v>0</v>
      </c>
      <c r="BK28" s="1053">
        <v>0</v>
      </c>
      <c r="BL28" s="1053">
        <v>0</v>
      </c>
      <c r="BM28" s="1054">
        <f t="shared" si="22"/>
        <v>762</v>
      </c>
      <c r="BN28" s="1744">
        <v>3315</v>
      </c>
      <c r="BO28" s="1125">
        <v>419.9</v>
      </c>
      <c r="BP28" s="1125">
        <v>685.1</v>
      </c>
      <c r="BQ28" s="1125">
        <v>0</v>
      </c>
      <c r="BR28" s="1745">
        <v>0</v>
      </c>
      <c r="BS28" s="1054">
        <f t="shared" si="23"/>
        <v>4420</v>
      </c>
      <c r="BT28" s="1744"/>
      <c r="BU28" s="1125"/>
      <c r="BV28" s="1125"/>
      <c r="BW28" s="1125"/>
      <c r="BX28" s="1745"/>
      <c r="BY28" s="1057">
        <f t="shared" si="24"/>
        <v>0</v>
      </c>
      <c r="BZ28" s="1744">
        <v>24912.03</v>
      </c>
      <c r="CA28" s="1125">
        <v>80469.13</v>
      </c>
      <c r="CB28" s="1125">
        <v>19329.73</v>
      </c>
      <c r="CC28" s="1125">
        <v>-0.16</v>
      </c>
      <c r="CD28" s="1745">
        <v>0</v>
      </c>
      <c r="CE28" s="1057">
        <f t="shared" si="25"/>
        <v>124710.73</v>
      </c>
      <c r="CF28" s="1744">
        <v>2520.31</v>
      </c>
      <c r="CG28" s="1125">
        <v>0</v>
      </c>
      <c r="CH28" s="1125">
        <v>4254.6499999999996</v>
      </c>
      <c r="CI28" s="1125">
        <v>-0.01</v>
      </c>
      <c r="CJ28" s="1745">
        <v>0</v>
      </c>
      <c r="CK28" s="1057">
        <f t="shared" si="26"/>
        <v>6774.9499999999989</v>
      </c>
      <c r="CL28" s="1746"/>
      <c r="CM28" s="1053"/>
      <c r="CN28" s="1053"/>
      <c r="CO28" s="1053"/>
      <c r="CP28" s="1053"/>
      <c r="CQ28" s="1054">
        <f t="shared" si="27"/>
        <v>0</v>
      </c>
      <c r="CR28" s="1744"/>
      <c r="CS28" s="1125"/>
      <c r="CT28" s="1125"/>
      <c r="CU28" s="1125"/>
      <c r="CV28" s="1745"/>
      <c r="CW28" s="1057">
        <f t="shared" si="28"/>
        <v>0</v>
      </c>
      <c r="CX28" s="1744"/>
      <c r="CY28" s="1125"/>
      <c r="CZ28" s="1125"/>
      <c r="DA28" s="1125"/>
      <c r="DB28" s="1745"/>
      <c r="DC28" s="1054">
        <f t="shared" si="29"/>
        <v>0</v>
      </c>
      <c r="DD28" s="1744">
        <v>-613</v>
      </c>
      <c r="DE28" s="1125">
        <v>0</v>
      </c>
      <c r="DF28" s="1125">
        <v>0</v>
      </c>
      <c r="DG28" s="1125">
        <v>0</v>
      </c>
      <c r="DH28" s="1745">
        <v>0</v>
      </c>
      <c r="DI28" s="1057">
        <f t="shared" si="30"/>
        <v>-613</v>
      </c>
      <c r="DJ28" s="1744">
        <v>-523.08000000000004</v>
      </c>
      <c r="DK28" s="1125">
        <v>0</v>
      </c>
      <c r="DL28" s="1125">
        <v>0</v>
      </c>
      <c r="DM28" s="1125">
        <v>0</v>
      </c>
      <c r="DN28" s="1125">
        <v>0</v>
      </c>
      <c r="DO28" s="1124">
        <f t="shared" si="31"/>
        <v>-523.08000000000004</v>
      </c>
      <c r="DP28" s="1125"/>
      <c r="DQ28" s="1125"/>
      <c r="DR28" s="1125"/>
      <c r="DS28" s="1125"/>
      <c r="DT28" s="1125"/>
      <c r="DU28" s="1125">
        <f t="shared" si="34"/>
        <v>0</v>
      </c>
      <c r="DV28" s="1746">
        <v>5505.83</v>
      </c>
      <c r="DW28" s="1053">
        <v>3799.02</v>
      </c>
      <c r="DX28" s="1053">
        <v>1706.81</v>
      </c>
      <c r="DY28" s="1053">
        <v>-0.05</v>
      </c>
      <c r="DZ28" s="1053">
        <v>0</v>
      </c>
      <c r="EA28" s="1058">
        <f t="shared" si="32"/>
        <v>11011.61</v>
      </c>
      <c r="EB28" s="1744">
        <v>2360.41</v>
      </c>
      <c r="EC28" s="1125">
        <v>0</v>
      </c>
      <c r="ED28" s="1125">
        <v>432.97</v>
      </c>
      <c r="EE28" s="1125">
        <v>0.04</v>
      </c>
      <c r="EF28" s="1745">
        <v>0</v>
      </c>
      <c r="EG28" s="1057">
        <f t="shared" si="33"/>
        <v>2793.42</v>
      </c>
    </row>
    <row r="29" spans="1:137" ht="15" customHeight="1" x14ac:dyDescent="0.25">
      <c r="A29" s="719" t="s">
        <v>64</v>
      </c>
      <c r="B29" s="816" t="s">
        <v>65</v>
      </c>
      <c r="C29" s="917" t="s">
        <v>266</v>
      </c>
      <c r="D29" s="814">
        <f t="shared" si="6"/>
        <v>22354.5</v>
      </c>
      <c r="E29" s="814">
        <f t="shared" si="7"/>
        <v>48744.07</v>
      </c>
      <c r="F29" s="814">
        <f t="shared" si="8"/>
        <v>13230.449999999999</v>
      </c>
      <c r="G29" s="814">
        <f t="shared" si="9"/>
        <v>-5</v>
      </c>
      <c r="H29" s="814">
        <f t="shared" si="10"/>
        <v>0</v>
      </c>
      <c r="I29" s="1422">
        <f t="shared" si="11"/>
        <v>84324.02</v>
      </c>
      <c r="J29" s="815">
        <f t="shared" si="12"/>
        <v>-5</v>
      </c>
      <c r="K29" s="1423">
        <f t="shared" si="13"/>
        <v>13225.449999999999</v>
      </c>
      <c r="L29" s="1723"/>
      <c r="M29" s="1043"/>
      <c r="N29" s="1043"/>
      <c r="O29" s="1043"/>
      <c r="P29" s="1043"/>
      <c r="Q29" s="1044">
        <f t="shared" si="14"/>
        <v>0</v>
      </c>
      <c r="R29" s="1717"/>
      <c r="S29" s="1048"/>
      <c r="T29" s="1048"/>
      <c r="U29" s="1048"/>
      <c r="V29" s="1718"/>
      <c r="W29" s="1047">
        <f t="shared" si="15"/>
        <v>0</v>
      </c>
      <c r="X29" s="1719"/>
      <c r="Y29" s="1123"/>
      <c r="Z29" s="1123"/>
      <c r="AA29" s="1123"/>
      <c r="AB29" s="1123"/>
      <c r="AC29" s="1122">
        <f t="shared" si="16"/>
        <v>0</v>
      </c>
      <c r="AD29" s="1733">
        <v>703.53</v>
      </c>
      <c r="AE29" s="1734">
        <v>4.1900000000000004</v>
      </c>
      <c r="AF29" s="1734">
        <v>129.82</v>
      </c>
      <c r="AG29" s="1734">
        <v>0</v>
      </c>
      <c r="AH29" s="1735">
        <v>0</v>
      </c>
      <c r="AI29" s="1045">
        <f t="shared" si="17"/>
        <v>837.54</v>
      </c>
      <c r="AJ29" s="1744">
        <v>2839.69</v>
      </c>
      <c r="AK29" s="1125">
        <v>0</v>
      </c>
      <c r="AL29" s="1125">
        <v>709.94</v>
      </c>
      <c r="AM29" s="1125">
        <v>0</v>
      </c>
      <c r="AN29" s="1745">
        <v>0</v>
      </c>
      <c r="AO29" s="1057">
        <f t="shared" si="18"/>
        <v>3549.63</v>
      </c>
      <c r="AP29" s="1736"/>
      <c r="AQ29" s="1046"/>
      <c r="AR29" s="1046"/>
      <c r="AS29" s="1046"/>
      <c r="AT29" s="1046"/>
      <c r="AU29" s="1049">
        <f t="shared" si="19"/>
        <v>0</v>
      </c>
      <c r="AV29" s="1758"/>
      <c r="AW29" s="1050"/>
      <c r="AX29" s="1050"/>
      <c r="AY29" s="1050"/>
      <c r="AZ29" s="1050"/>
      <c r="BA29" s="1051">
        <f t="shared" si="20"/>
        <v>0</v>
      </c>
      <c r="BB29" s="1764">
        <v>0</v>
      </c>
      <c r="BC29" s="1765">
        <v>0</v>
      </c>
      <c r="BD29" s="1765">
        <v>0</v>
      </c>
      <c r="BE29" s="1765">
        <v>0</v>
      </c>
      <c r="BF29" s="1766">
        <v>0</v>
      </c>
      <c r="BG29" s="1047">
        <f t="shared" si="21"/>
        <v>0</v>
      </c>
      <c r="BH29" s="1746"/>
      <c r="BI29" s="1053"/>
      <c r="BJ29" s="1053"/>
      <c r="BK29" s="1053"/>
      <c r="BL29" s="1053"/>
      <c r="BM29" s="1054">
        <f t="shared" si="22"/>
        <v>0</v>
      </c>
      <c r="BN29" s="1746">
        <v>0</v>
      </c>
      <c r="BO29" s="1053">
        <v>0</v>
      </c>
      <c r="BP29" s="1053">
        <v>0</v>
      </c>
      <c r="BQ29" s="1053">
        <v>0</v>
      </c>
      <c r="BR29" s="1053">
        <v>0</v>
      </c>
      <c r="BS29" s="1054">
        <f t="shared" si="23"/>
        <v>0</v>
      </c>
      <c r="BT29" s="1744"/>
      <c r="BU29" s="1125"/>
      <c r="BV29" s="1125"/>
      <c r="BW29" s="1125"/>
      <c r="BX29" s="1745"/>
      <c r="BY29" s="1057">
        <f t="shared" si="24"/>
        <v>0</v>
      </c>
      <c r="BZ29" s="1744">
        <v>14728.56</v>
      </c>
      <c r="CA29" s="1125">
        <v>45893.63</v>
      </c>
      <c r="CB29" s="1125">
        <v>11119.72</v>
      </c>
      <c r="CC29" s="1125">
        <v>-0.06</v>
      </c>
      <c r="CD29" s="1745">
        <v>0</v>
      </c>
      <c r="CE29" s="1057">
        <f t="shared" si="25"/>
        <v>71741.849999999991</v>
      </c>
      <c r="CF29" s="1746"/>
      <c r="CG29" s="1053"/>
      <c r="CH29" s="1053"/>
      <c r="CI29" s="1053"/>
      <c r="CJ29" s="1747"/>
      <c r="CK29" s="1057">
        <f t="shared" si="26"/>
        <v>0</v>
      </c>
      <c r="CL29" s="1746"/>
      <c r="CM29" s="1053"/>
      <c r="CN29" s="1053"/>
      <c r="CO29" s="1053"/>
      <c r="CP29" s="1053"/>
      <c r="CQ29" s="1054">
        <f t="shared" si="27"/>
        <v>0</v>
      </c>
      <c r="CR29" s="1746"/>
      <c r="CS29" s="1053"/>
      <c r="CT29" s="1053"/>
      <c r="CU29" s="1053"/>
      <c r="CV29" s="1747"/>
      <c r="CW29" s="1057">
        <f t="shared" si="28"/>
        <v>0</v>
      </c>
      <c r="CX29" s="1746"/>
      <c r="CY29" s="1053"/>
      <c r="CZ29" s="1053"/>
      <c r="DA29" s="1053"/>
      <c r="DB29" s="1053"/>
      <c r="DC29" s="1054">
        <f t="shared" si="29"/>
        <v>0</v>
      </c>
      <c r="DD29" s="1744"/>
      <c r="DE29" s="1125"/>
      <c r="DF29" s="1125"/>
      <c r="DG29" s="1125"/>
      <c r="DH29" s="1745"/>
      <c r="DI29" s="1057">
        <f t="shared" si="30"/>
        <v>0</v>
      </c>
      <c r="DJ29" s="1744"/>
      <c r="DK29" s="1125"/>
      <c r="DL29" s="1125"/>
      <c r="DM29" s="1125"/>
      <c r="DN29" s="1125"/>
      <c r="DO29" s="1124">
        <f t="shared" si="31"/>
        <v>0</v>
      </c>
      <c r="DP29" s="1125"/>
      <c r="DQ29" s="1125"/>
      <c r="DR29" s="1125"/>
      <c r="DS29" s="1125"/>
      <c r="DT29" s="1125"/>
      <c r="DU29" s="1125">
        <f t="shared" si="34"/>
        <v>0</v>
      </c>
      <c r="DV29" s="1744">
        <v>4125</v>
      </c>
      <c r="DW29" s="1125">
        <v>2846.25</v>
      </c>
      <c r="DX29" s="1125">
        <v>1278.75</v>
      </c>
      <c r="DY29" s="1125">
        <v>0</v>
      </c>
      <c r="DZ29" s="1745">
        <v>0</v>
      </c>
      <c r="EA29" s="1058">
        <f t="shared" si="32"/>
        <v>8250</v>
      </c>
      <c r="EB29" s="1746">
        <v>-42.28</v>
      </c>
      <c r="EC29" s="1053">
        <v>0</v>
      </c>
      <c r="ED29" s="1053">
        <v>-7.78</v>
      </c>
      <c r="EE29" s="1053">
        <v>-4.9400000000000004</v>
      </c>
      <c r="EF29" s="1747">
        <v>0</v>
      </c>
      <c r="EG29" s="1057">
        <f t="shared" si="33"/>
        <v>-55</v>
      </c>
    </row>
    <row r="30" spans="1:137" ht="15" customHeight="1" x14ac:dyDescent="0.25">
      <c r="A30" s="719" t="s">
        <v>68</v>
      </c>
      <c r="B30" s="816" t="s">
        <v>69</v>
      </c>
      <c r="C30" s="917" t="s">
        <v>268</v>
      </c>
      <c r="D30" s="814">
        <f t="shared" si="6"/>
        <v>71270.569999999992</v>
      </c>
      <c r="E30" s="814">
        <f t="shared" si="7"/>
        <v>16846.32</v>
      </c>
      <c r="F30" s="814">
        <f t="shared" si="8"/>
        <v>21209.74</v>
      </c>
      <c r="G30" s="814">
        <f t="shared" si="9"/>
        <v>-6.9999999999999993E-2</v>
      </c>
      <c r="H30" s="814">
        <f t="shared" si="10"/>
        <v>0</v>
      </c>
      <c r="I30" s="1422">
        <f t="shared" si="11"/>
        <v>109326.55999999998</v>
      </c>
      <c r="J30" s="815">
        <f t="shared" si="12"/>
        <v>-6.9999999999999993E-2</v>
      </c>
      <c r="K30" s="1423">
        <f t="shared" si="13"/>
        <v>21209.670000000002</v>
      </c>
      <c r="L30" s="1724"/>
      <c r="M30" s="1725"/>
      <c r="N30" s="1725"/>
      <c r="O30" s="1725"/>
      <c r="P30" s="1726"/>
      <c r="Q30" s="1044">
        <f t="shared" si="14"/>
        <v>0</v>
      </c>
      <c r="R30" s="1717"/>
      <c r="S30" s="1048"/>
      <c r="T30" s="1048"/>
      <c r="U30" s="1048"/>
      <c r="V30" s="1718"/>
      <c r="W30" s="1047">
        <f t="shared" si="15"/>
        <v>0</v>
      </c>
      <c r="X30" s="1719"/>
      <c r="Y30" s="1123"/>
      <c r="Z30" s="1123"/>
      <c r="AA30" s="1123"/>
      <c r="AB30" s="1123"/>
      <c r="AC30" s="1122">
        <f t="shared" si="16"/>
        <v>0</v>
      </c>
      <c r="AD30" s="1733">
        <v>3595.8</v>
      </c>
      <c r="AE30" s="1734">
        <v>21.4</v>
      </c>
      <c r="AF30" s="1734">
        <v>663.52</v>
      </c>
      <c r="AG30" s="1734">
        <v>0.01</v>
      </c>
      <c r="AH30" s="1735">
        <v>0</v>
      </c>
      <c r="AI30" s="1045">
        <f t="shared" si="17"/>
        <v>4280.7300000000005</v>
      </c>
      <c r="AJ30" s="1744">
        <v>25231.65</v>
      </c>
      <c r="AK30" s="1125">
        <v>0</v>
      </c>
      <c r="AL30" s="1125">
        <v>6307.9</v>
      </c>
      <c r="AM30" s="1125">
        <v>0</v>
      </c>
      <c r="AN30" s="1745">
        <v>0</v>
      </c>
      <c r="AO30" s="1057">
        <f t="shared" si="18"/>
        <v>31539.550000000003</v>
      </c>
      <c r="AP30" s="1736"/>
      <c r="AQ30" s="1046"/>
      <c r="AR30" s="1046"/>
      <c r="AS30" s="1046"/>
      <c r="AT30" s="1046"/>
      <c r="AU30" s="1049">
        <f t="shared" si="19"/>
        <v>0</v>
      </c>
      <c r="AV30" s="1755">
        <v>1960.8</v>
      </c>
      <c r="AW30" s="1756">
        <v>490.2</v>
      </c>
      <c r="AX30" s="1756">
        <v>0</v>
      </c>
      <c r="AY30" s="1756">
        <v>0</v>
      </c>
      <c r="AZ30" s="1757">
        <v>0</v>
      </c>
      <c r="BA30" s="1051">
        <f t="shared" si="20"/>
        <v>2451</v>
      </c>
      <c r="BB30" s="1764">
        <v>7038.73</v>
      </c>
      <c r="BC30" s="1765">
        <v>1759.69</v>
      </c>
      <c r="BD30" s="1765">
        <v>0</v>
      </c>
      <c r="BE30" s="1765">
        <v>0</v>
      </c>
      <c r="BF30" s="1766">
        <v>0</v>
      </c>
      <c r="BG30" s="1047">
        <f t="shared" si="21"/>
        <v>8798.42</v>
      </c>
      <c r="BH30" s="1744">
        <v>365.66</v>
      </c>
      <c r="BI30" s="1125">
        <v>660.34</v>
      </c>
      <c r="BJ30" s="1125">
        <v>0</v>
      </c>
      <c r="BK30" s="1125">
        <v>0</v>
      </c>
      <c r="BL30" s="1745">
        <v>0</v>
      </c>
      <c r="BM30" s="1054">
        <f t="shared" si="22"/>
        <v>1026</v>
      </c>
      <c r="BN30" s="1744">
        <v>21952.639999999999</v>
      </c>
      <c r="BO30" s="1125">
        <v>2780.69</v>
      </c>
      <c r="BP30" s="1125">
        <v>4536.8900000000003</v>
      </c>
      <c r="BQ30" s="1125">
        <v>-0.06</v>
      </c>
      <c r="BR30" s="1745">
        <v>0</v>
      </c>
      <c r="BS30" s="1054">
        <f t="shared" si="23"/>
        <v>29270.159999999996</v>
      </c>
      <c r="BT30" s="1744"/>
      <c r="BU30" s="1125"/>
      <c r="BV30" s="1125"/>
      <c r="BW30" s="1125"/>
      <c r="BX30" s="1745"/>
      <c r="BY30" s="1057">
        <f t="shared" si="24"/>
        <v>0</v>
      </c>
      <c r="BZ30" s="1744">
        <v>2535.7800000000002</v>
      </c>
      <c r="CA30" s="1125">
        <v>8622.4</v>
      </c>
      <c r="CB30" s="1125">
        <v>2046.71</v>
      </c>
      <c r="CC30" s="1125">
        <v>-0.02</v>
      </c>
      <c r="CD30" s="1745">
        <v>0</v>
      </c>
      <c r="CE30" s="1057">
        <f t="shared" si="25"/>
        <v>13204.869999999999</v>
      </c>
      <c r="CF30" s="1744">
        <v>3158.82</v>
      </c>
      <c r="CG30" s="1125">
        <v>0</v>
      </c>
      <c r="CH30" s="1125">
        <v>5332.62</v>
      </c>
      <c r="CI30" s="1125">
        <v>0</v>
      </c>
      <c r="CJ30" s="1745">
        <v>0</v>
      </c>
      <c r="CK30" s="1057">
        <f t="shared" si="26"/>
        <v>8491.44</v>
      </c>
      <c r="CL30" s="1744">
        <v>297.29000000000002</v>
      </c>
      <c r="CM30" s="1125">
        <v>0</v>
      </c>
      <c r="CN30" s="1125">
        <v>901.43</v>
      </c>
      <c r="CO30" s="1125">
        <v>0</v>
      </c>
      <c r="CP30" s="1745">
        <v>0</v>
      </c>
      <c r="CQ30" s="1054">
        <f t="shared" si="27"/>
        <v>1198.72</v>
      </c>
      <c r="CR30" s="1744"/>
      <c r="CS30" s="1125"/>
      <c r="CT30" s="1125"/>
      <c r="CU30" s="1125"/>
      <c r="CV30" s="1745"/>
      <c r="CW30" s="1057">
        <f t="shared" si="28"/>
        <v>0</v>
      </c>
      <c r="CX30" s="1746"/>
      <c r="CY30" s="1053"/>
      <c r="CZ30" s="1053"/>
      <c r="DA30" s="1053"/>
      <c r="DB30" s="1053"/>
      <c r="DC30" s="1054">
        <f t="shared" si="29"/>
        <v>0</v>
      </c>
      <c r="DD30" s="1744"/>
      <c r="DE30" s="1125"/>
      <c r="DF30" s="1125"/>
      <c r="DG30" s="1125"/>
      <c r="DH30" s="1745"/>
      <c r="DI30" s="1057">
        <f t="shared" si="30"/>
        <v>0</v>
      </c>
      <c r="DJ30" s="1744">
        <v>-100</v>
      </c>
      <c r="DK30" s="1125">
        <v>0</v>
      </c>
      <c r="DL30" s="1125">
        <v>0</v>
      </c>
      <c r="DM30" s="1125">
        <v>0</v>
      </c>
      <c r="DN30" s="1125">
        <v>0</v>
      </c>
      <c r="DO30" s="1124">
        <f t="shared" si="31"/>
        <v>-100</v>
      </c>
      <c r="DP30" s="1125"/>
      <c r="DQ30" s="1125"/>
      <c r="DR30" s="1125"/>
      <c r="DS30" s="1125"/>
      <c r="DT30" s="1125"/>
      <c r="DU30" s="1125">
        <f t="shared" si="34"/>
        <v>0</v>
      </c>
      <c r="DV30" s="1744">
        <v>3640</v>
      </c>
      <c r="DW30" s="1125">
        <v>2511.6</v>
      </c>
      <c r="DX30" s="1125">
        <v>1128.4000000000001</v>
      </c>
      <c r="DY30" s="1125">
        <v>0</v>
      </c>
      <c r="DZ30" s="1745">
        <v>0</v>
      </c>
      <c r="EA30" s="1058">
        <f t="shared" si="32"/>
        <v>7280</v>
      </c>
      <c r="EB30" s="1744">
        <v>1593.4</v>
      </c>
      <c r="EC30" s="1125">
        <v>0</v>
      </c>
      <c r="ED30" s="1125">
        <v>292.27</v>
      </c>
      <c r="EE30" s="1125">
        <v>0</v>
      </c>
      <c r="EF30" s="1745">
        <v>0</v>
      </c>
      <c r="EG30" s="1057">
        <f t="shared" si="33"/>
        <v>1885.67</v>
      </c>
    </row>
    <row r="31" spans="1:137" ht="15" customHeight="1" x14ac:dyDescent="0.25">
      <c r="A31" s="719" t="s">
        <v>70</v>
      </c>
      <c r="B31" s="816" t="s">
        <v>71</v>
      </c>
      <c r="C31" s="917" t="s">
        <v>264</v>
      </c>
      <c r="D31" s="814">
        <f t="shared" si="6"/>
        <v>69747.03</v>
      </c>
      <c r="E31" s="814">
        <f t="shared" si="7"/>
        <v>20273.66</v>
      </c>
      <c r="F31" s="814">
        <f t="shared" si="8"/>
        <v>18335.080000000002</v>
      </c>
      <c r="G31" s="814">
        <f t="shared" si="9"/>
        <v>94842.81</v>
      </c>
      <c r="H31" s="814">
        <f t="shared" si="10"/>
        <v>0</v>
      </c>
      <c r="I31" s="1422">
        <f t="shared" si="11"/>
        <v>203198.58000000002</v>
      </c>
      <c r="J31" s="815">
        <f t="shared" si="12"/>
        <v>94842.81</v>
      </c>
      <c r="K31" s="1423">
        <f t="shared" si="13"/>
        <v>113177.89</v>
      </c>
      <c r="L31" s="1723"/>
      <c r="M31" s="1043"/>
      <c r="N31" s="1043"/>
      <c r="O31" s="1043"/>
      <c r="P31" s="1043"/>
      <c r="Q31" s="1044">
        <f t="shared" si="14"/>
        <v>0</v>
      </c>
      <c r="R31" s="1717"/>
      <c r="S31" s="1048"/>
      <c r="T31" s="1048"/>
      <c r="U31" s="1048"/>
      <c r="V31" s="1718"/>
      <c r="W31" s="1047">
        <f t="shared" si="15"/>
        <v>0</v>
      </c>
      <c r="X31" s="1719"/>
      <c r="Y31" s="1123"/>
      <c r="Z31" s="1123"/>
      <c r="AA31" s="1123"/>
      <c r="AB31" s="1123"/>
      <c r="AC31" s="1122">
        <f t="shared" si="16"/>
        <v>0</v>
      </c>
      <c r="AD31" s="1733">
        <v>857.92</v>
      </c>
      <c r="AE31" s="1734">
        <v>5.1100000000000003</v>
      </c>
      <c r="AF31" s="1734">
        <v>158.31</v>
      </c>
      <c r="AG31" s="1734">
        <v>-0.01</v>
      </c>
      <c r="AH31" s="1735">
        <v>0</v>
      </c>
      <c r="AI31" s="1045">
        <f t="shared" si="17"/>
        <v>1021.3299999999999</v>
      </c>
      <c r="AJ31" s="1744">
        <v>37711.870000000003</v>
      </c>
      <c r="AK31" s="1125">
        <v>0</v>
      </c>
      <c r="AL31" s="1125">
        <v>9427.9500000000007</v>
      </c>
      <c r="AM31" s="1125">
        <v>94842.9</v>
      </c>
      <c r="AN31" s="1745">
        <v>0</v>
      </c>
      <c r="AO31" s="1057">
        <f t="shared" si="18"/>
        <v>141982.72</v>
      </c>
      <c r="AP31" s="1736"/>
      <c r="AQ31" s="1046"/>
      <c r="AR31" s="1046"/>
      <c r="AS31" s="1046"/>
      <c r="AT31" s="1046"/>
      <c r="AU31" s="1049">
        <f t="shared" si="19"/>
        <v>0</v>
      </c>
      <c r="AV31" s="1755">
        <v>560</v>
      </c>
      <c r="AW31" s="1756">
        <v>140</v>
      </c>
      <c r="AX31" s="1756">
        <v>0</v>
      </c>
      <c r="AY31" s="1756">
        <v>0</v>
      </c>
      <c r="AZ31" s="1757">
        <v>0</v>
      </c>
      <c r="BA31" s="1051">
        <f t="shared" si="20"/>
        <v>700</v>
      </c>
      <c r="BB31" s="1764">
        <v>2440</v>
      </c>
      <c r="BC31" s="1765">
        <v>610</v>
      </c>
      <c r="BD31" s="1765">
        <v>0</v>
      </c>
      <c r="BE31" s="1765">
        <v>0</v>
      </c>
      <c r="BF31" s="1766">
        <v>0</v>
      </c>
      <c r="BG31" s="1047">
        <f t="shared" si="21"/>
        <v>3050</v>
      </c>
      <c r="BH31" s="1746"/>
      <c r="BI31" s="1053"/>
      <c r="BJ31" s="1053"/>
      <c r="BK31" s="1053"/>
      <c r="BL31" s="1053"/>
      <c r="BM31" s="1054">
        <f t="shared" si="22"/>
        <v>0</v>
      </c>
      <c r="BN31" s="1744">
        <v>14346.84</v>
      </c>
      <c r="BO31" s="1125">
        <v>1817.28</v>
      </c>
      <c r="BP31" s="1125">
        <v>2965.01</v>
      </c>
      <c r="BQ31" s="1125">
        <v>-0.02</v>
      </c>
      <c r="BR31" s="1745">
        <v>0</v>
      </c>
      <c r="BS31" s="1054">
        <f t="shared" si="23"/>
        <v>19129.11</v>
      </c>
      <c r="BT31" s="1744"/>
      <c r="BU31" s="1125"/>
      <c r="BV31" s="1125"/>
      <c r="BW31" s="1125"/>
      <c r="BX31" s="1745"/>
      <c r="BY31" s="1057">
        <f t="shared" si="24"/>
        <v>0</v>
      </c>
      <c r="BZ31" s="1744">
        <v>4575.9799999999996</v>
      </c>
      <c r="CA31" s="1125">
        <v>15359.75</v>
      </c>
      <c r="CB31" s="1125">
        <v>3656.76</v>
      </c>
      <c r="CC31" s="1125">
        <v>-0.08</v>
      </c>
      <c r="CD31" s="1745">
        <v>0</v>
      </c>
      <c r="CE31" s="1057">
        <f t="shared" si="25"/>
        <v>23592.409999999996</v>
      </c>
      <c r="CF31" s="1746"/>
      <c r="CG31" s="1053"/>
      <c r="CH31" s="1053"/>
      <c r="CI31" s="1053"/>
      <c r="CJ31" s="1747"/>
      <c r="CK31" s="1057">
        <f t="shared" si="26"/>
        <v>0</v>
      </c>
      <c r="CL31" s="1746"/>
      <c r="CM31" s="1053"/>
      <c r="CN31" s="1053"/>
      <c r="CO31" s="1053"/>
      <c r="CP31" s="1053"/>
      <c r="CQ31" s="1054">
        <f t="shared" si="27"/>
        <v>0</v>
      </c>
      <c r="CR31" s="1744"/>
      <c r="CS31" s="1125"/>
      <c r="CT31" s="1125"/>
      <c r="CU31" s="1125"/>
      <c r="CV31" s="1745"/>
      <c r="CW31" s="1057">
        <f t="shared" si="28"/>
        <v>0</v>
      </c>
      <c r="CX31" s="1744"/>
      <c r="CY31" s="1125"/>
      <c r="CZ31" s="1125"/>
      <c r="DA31" s="1125"/>
      <c r="DB31" s="1745"/>
      <c r="DC31" s="1054">
        <f t="shared" si="29"/>
        <v>0</v>
      </c>
      <c r="DD31" s="1744"/>
      <c r="DE31" s="1125"/>
      <c r="DF31" s="1125"/>
      <c r="DG31" s="1125"/>
      <c r="DH31" s="1745"/>
      <c r="DI31" s="1057">
        <f t="shared" si="30"/>
        <v>0</v>
      </c>
      <c r="DJ31" s="1744"/>
      <c r="DK31" s="1125"/>
      <c r="DL31" s="1125"/>
      <c r="DM31" s="1125"/>
      <c r="DN31" s="1125"/>
      <c r="DO31" s="1124">
        <f t="shared" si="31"/>
        <v>0</v>
      </c>
      <c r="DP31" s="1125"/>
      <c r="DQ31" s="1125"/>
      <c r="DR31" s="1125"/>
      <c r="DS31" s="1125"/>
      <c r="DT31" s="1125"/>
      <c r="DU31" s="1125">
        <f t="shared" si="34"/>
        <v>0</v>
      </c>
      <c r="DV31" s="1744">
        <v>3393.5</v>
      </c>
      <c r="DW31" s="1125">
        <v>2341.52</v>
      </c>
      <c r="DX31" s="1125">
        <v>1051.99</v>
      </c>
      <c r="DY31" s="1125">
        <v>-0.01</v>
      </c>
      <c r="DZ31" s="1745">
        <v>0</v>
      </c>
      <c r="EA31" s="1058">
        <f t="shared" si="32"/>
        <v>6787</v>
      </c>
      <c r="EB31" s="1744">
        <v>5860.92</v>
      </c>
      <c r="EC31" s="1125">
        <v>0</v>
      </c>
      <c r="ED31" s="1125">
        <v>1075.06</v>
      </c>
      <c r="EE31" s="1125">
        <v>0.03</v>
      </c>
      <c r="EF31" s="1745">
        <v>0</v>
      </c>
      <c r="EG31" s="1057">
        <f t="shared" si="33"/>
        <v>6936.0099999999993</v>
      </c>
    </row>
    <row r="32" spans="1:137" ht="15" customHeight="1" x14ac:dyDescent="0.25">
      <c r="A32" s="719" t="s">
        <v>72</v>
      </c>
      <c r="B32" s="816" t="s">
        <v>73</v>
      </c>
      <c r="C32" s="917" t="s">
        <v>266</v>
      </c>
      <c r="D32" s="814">
        <f t="shared" si="6"/>
        <v>27505.08</v>
      </c>
      <c r="E32" s="814">
        <f t="shared" si="7"/>
        <v>13942.69</v>
      </c>
      <c r="F32" s="814">
        <f t="shared" si="8"/>
        <v>7898.11</v>
      </c>
      <c r="G32" s="814">
        <f t="shared" si="9"/>
        <v>-0.1</v>
      </c>
      <c r="H32" s="814">
        <f t="shared" si="10"/>
        <v>0</v>
      </c>
      <c r="I32" s="1422">
        <f t="shared" si="11"/>
        <v>49345.780000000006</v>
      </c>
      <c r="J32" s="815">
        <f t="shared" si="12"/>
        <v>-0.1</v>
      </c>
      <c r="K32" s="1423">
        <f t="shared" si="13"/>
        <v>7898.0099999999993</v>
      </c>
      <c r="L32" s="1723"/>
      <c r="M32" s="1043"/>
      <c r="N32" s="1043"/>
      <c r="O32" s="1043"/>
      <c r="P32" s="1043"/>
      <c r="Q32" s="1044">
        <f t="shared" si="14"/>
        <v>0</v>
      </c>
      <c r="R32" s="1719"/>
      <c r="S32" s="1123"/>
      <c r="T32" s="1123"/>
      <c r="U32" s="1123"/>
      <c r="V32" s="1720"/>
      <c r="W32" s="1047">
        <f t="shared" si="15"/>
        <v>0</v>
      </c>
      <c r="X32" s="1719"/>
      <c r="Y32" s="1123"/>
      <c r="Z32" s="1123"/>
      <c r="AA32" s="1123"/>
      <c r="AB32" s="1123"/>
      <c r="AC32" s="1122">
        <f t="shared" si="16"/>
        <v>0</v>
      </c>
      <c r="AD32" s="1733">
        <v>0</v>
      </c>
      <c r="AE32" s="1734">
        <v>0</v>
      </c>
      <c r="AF32" s="1734">
        <v>0</v>
      </c>
      <c r="AG32" s="1734">
        <v>0</v>
      </c>
      <c r="AH32" s="1735">
        <v>0</v>
      </c>
      <c r="AI32" s="1045">
        <f t="shared" si="17"/>
        <v>0</v>
      </c>
      <c r="AJ32" s="1744">
        <v>11152.39</v>
      </c>
      <c r="AK32" s="1125">
        <v>0</v>
      </c>
      <c r="AL32" s="1125">
        <v>2788.11</v>
      </c>
      <c r="AM32" s="1125">
        <v>0</v>
      </c>
      <c r="AN32" s="1745">
        <v>0</v>
      </c>
      <c r="AO32" s="1057">
        <f t="shared" si="18"/>
        <v>13940.5</v>
      </c>
      <c r="AP32" s="1736"/>
      <c r="AQ32" s="1046"/>
      <c r="AR32" s="1046"/>
      <c r="AS32" s="1046"/>
      <c r="AT32" s="1046"/>
      <c r="AU32" s="1049">
        <f t="shared" si="19"/>
        <v>0</v>
      </c>
      <c r="AV32" s="1758"/>
      <c r="AW32" s="1050"/>
      <c r="AX32" s="1050"/>
      <c r="AY32" s="1050"/>
      <c r="AZ32" s="1050"/>
      <c r="BA32" s="1051">
        <f t="shared" si="20"/>
        <v>0</v>
      </c>
      <c r="BB32" s="1717">
        <v>1738.59</v>
      </c>
      <c r="BC32" s="1048">
        <v>434.65</v>
      </c>
      <c r="BD32" s="1048">
        <v>0</v>
      </c>
      <c r="BE32" s="1048">
        <v>0</v>
      </c>
      <c r="BF32" s="1718">
        <v>0</v>
      </c>
      <c r="BG32" s="1047">
        <f t="shared" si="21"/>
        <v>2173.2399999999998</v>
      </c>
      <c r="BH32" s="1746">
        <v>94.09</v>
      </c>
      <c r="BI32" s="1053">
        <v>169.91</v>
      </c>
      <c r="BJ32" s="1053">
        <v>0</v>
      </c>
      <c r="BK32" s="1053">
        <v>0</v>
      </c>
      <c r="BL32" s="1053">
        <v>0</v>
      </c>
      <c r="BM32" s="1054">
        <f t="shared" si="22"/>
        <v>264</v>
      </c>
      <c r="BN32" s="1744">
        <v>10871.64</v>
      </c>
      <c r="BO32" s="1125">
        <v>1377.09</v>
      </c>
      <c r="BP32" s="1125">
        <v>2246.81</v>
      </c>
      <c r="BQ32" s="1125">
        <v>-0.03</v>
      </c>
      <c r="BR32" s="1745">
        <v>0</v>
      </c>
      <c r="BS32" s="1054">
        <f t="shared" si="23"/>
        <v>14495.509999999998</v>
      </c>
      <c r="BT32" s="1744"/>
      <c r="BU32" s="1125"/>
      <c r="BV32" s="1125"/>
      <c r="BW32" s="1125"/>
      <c r="BX32" s="1745"/>
      <c r="BY32" s="1057">
        <f t="shared" si="24"/>
        <v>0</v>
      </c>
      <c r="BZ32" s="1744">
        <v>3548.04</v>
      </c>
      <c r="CA32" s="1125">
        <v>11961.04</v>
      </c>
      <c r="CB32" s="1125">
        <v>2844.79</v>
      </c>
      <c r="CC32" s="1125">
        <v>-7.0000000000000007E-2</v>
      </c>
      <c r="CD32" s="1745">
        <v>0</v>
      </c>
      <c r="CE32" s="1057">
        <f t="shared" si="25"/>
        <v>18353.800000000003</v>
      </c>
      <c r="CF32" s="1746"/>
      <c r="CG32" s="1053"/>
      <c r="CH32" s="1053"/>
      <c r="CI32" s="1053"/>
      <c r="CJ32" s="1747"/>
      <c r="CK32" s="1057">
        <f t="shared" si="26"/>
        <v>0</v>
      </c>
      <c r="CL32" s="1746"/>
      <c r="CM32" s="1053"/>
      <c r="CN32" s="1053"/>
      <c r="CO32" s="1053"/>
      <c r="CP32" s="1053"/>
      <c r="CQ32" s="1054">
        <f t="shared" si="27"/>
        <v>0</v>
      </c>
      <c r="CR32" s="1744"/>
      <c r="CS32" s="1125"/>
      <c r="CT32" s="1125"/>
      <c r="CU32" s="1125"/>
      <c r="CV32" s="1745"/>
      <c r="CW32" s="1057">
        <f t="shared" si="28"/>
        <v>0</v>
      </c>
      <c r="CX32" s="1744"/>
      <c r="CY32" s="1125"/>
      <c r="CZ32" s="1125"/>
      <c r="DA32" s="1125"/>
      <c r="DB32" s="1745"/>
      <c r="DC32" s="1054">
        <f t="shared" si="29"/>
        <v>0</v>
      </c>
      <c r="DD32" s="1744"/>
      <c r="DE32" s="1125"/>
      <c r="DF32" s="1125"/>
      <c r="DG32" s="1125"/>
      <c r="DH32" s="1745"/>
      <c r="DI32" s="1057">
        <f t="shared" si="30"/>
        <v>0</v>
      </c>
      <c r="DJ32" s="1744"/>
      <c r="DK32" s="1125"/>
      <c r="DL32" s="1125"/>
      <c r="DM32" s="1125"/>
      <c r="DN32" s="1125"/>
      <c r="DO32" s="1124">
        <f t="shared" si="31"/>
        <v>0</v>
      </c>
      <c r="DP32" s="1125"/>
      <c r="DQ32" s="1125"/>
      <c r="DR32" s="1125"/>
      <c r="DS32" s="1125"/>
      <c r="DT32" s="1125"/>
      <c r="DU32" s="1125">
        <f t="shared" si="34"/>
        <v>0</v>
      </c>
      <c r="DV32" s="1744">
        <v>0</v>
      </c>
      <c r="DW32" s="1125">
        <v>0</v>
      </c>
      <c r="DX32" s="1125">
        <v>0</v>
      </c>
      <c r="DY32" s="1125">
        <v>0</v>
      </c>
      <c r="DZ32" s="1745"/>
      <c r="EA32" s="1058">
        <f t="shared" si="32"/>
        <v>0</v>
      </c>
      <c r="EB32" s="1746">
        <v>100.33</v>
      </c>
      <c r="EC32" s="1053">
        <v>0</v>
      </c>
      <c r="ED32" s="1053">
        <v>18.399999999999999</v>
      </c>
      <c r="EE32" s="1053">
        <v>0</v>
      </c>
      <c r="EF32" s="1747">
        <v>0</v>
      </c>
      <c r="EG32" s="1057">
        <f t="shared" si="33"/>
        <v>118.72999999999999</v>
      </c>
    </row>
    <row r="33" spans="1:137" ht="15" customHeight="1" x14ac:dyDescent="0.25">
      <c r="A33" s="719" t="s">
        <v>74</v>
      </c>
      <c r="B33" s="816" t="s">
        <v>302</v>
      </c>
      <c r="C33" s="917" t="s">
        <v>267</v>
      </c>
      <c r="D33" s="814">
        <f t="shared" si="6"/>
        <v>1066635.3799999999</v>
      </c>
      <c r="E33" s="814">
        <f t="shared" si="7"/>
        <v>717456.07999999984</v>
      </c>
      <c r="F33" s="814">
        <f t="shared" si="8"/>
        <v>405735.23</v>
      </c>
      <c r="G33" s="814">
        <f t="shared" si="9"/>
        <v>-5010.43</v>
      </c>
      <c r="H33" s="814">
        <f t="shared" si="10"/>
        <v>1341378.0399999998</v>
      </c>
      <c r="I33" s="1422">
        <f t="shared" si="11"/>
        <v>3526194.2999999989</v>
      </c>
      <c r="J33" s="815">
        <f t="shared" si="12"/>
        <v>1336367.6099999999</v>
      </c>
      <c r="K33" s="1423">
        <f t="shared" si="13"/>
        <v>1742102.8399999999</v>
      </c>
      <c r="L33" s="1723"/>
      <c r="M33" s="1043"/>
      <c r="N33" s="1043"/>
      <c r="O33" s="1043"/>
      <c r="P33" s="1043"/>
      <c r="Q33" s="1044">
        <f t="shared" si="14"/>
        <v>0</v>
      </c>
      <c r="R33" s="1719"/>
      <c r="S33" s="1123"/>
      <c r="T33" s="1123"/>
      <c r="U33" s="1123"/>
      <c r="V33" s="1720"/>
      <c r="W33" s="1047">
        <f t="shared" si="15"/>
        <v>0</v>
      </c>
      <c r="X33" s="1719"/>
      <c r="Y33" s="1123"/>
      <c r="Z33" s="1123"/>
      <c r="AA33" s="1123"/>
      <c r="AB33" s="1123"/>
      <c r="AC33" s="1122">
        <f t="shared" si="16"/>
        <v>0</v>
      </c>
      <c r="AD33" s="1733">
        <v>30692.55</v>
      </c>
      <c r="AE33" s="1734">
        <v>182.7</v>
      </c>
      <c r="AF33" s="1734">
        <v>5663.52</v>
      </c>
      <c r="AG33" s="1734">
        <v>0</v>
      </c>
      <c r="AH33" s="1735">
        <v>0</v>
      </c>
      <c r="AI33" s="1045">
        <f t="shared" si="17"/>
        <v>36538.770000000004</v>
      </c>
      <c r="AJ33" s="1744">
        <v>491757.6</v>
      </c>
      <c r="AK33" s="1125">
        <v>0</v>
      </c>
      <c r="AL33" s="1125">
        <v>122939.4</v>
      </c>
      <c r="AM33" s="1125">
        <v>0</v>
      </c>
      <c r="AN33" s="1745">
        <v>1065750.1499999999</v>
      </c>
      <c r="AO33" s="1057">
        <f t="shared" si="18"/>
        <v>1680447.15</v>
      </c>
      <c r="AP33" s="1733">
        <v>25663.75</v>
      </c>
      <c r="AQ33" s="1734">
        <v>4093.97</v>
      </c>
      <c r="AR33" s="1734">
        <v>5458.54</v>
      </c>
      <c r="AS33" s="1734">
        <v>-0.06</v>
      </c>
      <c r="AT33" s="1735">
        <v>0</v>
      </c>
      <c r="AU33" s="1049">
        <f t="shared" si="19"/>
        <v>35216.200000000004</v>
      </c>
      <c r="AV33" s="1755">
        <v>30143.38</v>
      </c>
      <c r="AW33" s="1756">
        <v>7535.86</v>
      </c>
      <c r="AX33" s="1756">
        <v>0</v>
      </c>
      <c r="AY33" s="1756">
        <v>0</v>
      </c>
      <c r="AZ33" s="1757">
        <v>0</v>
      </c>
      <c r="BA33" s="1051">
        <f t="shared" si="20"/>
        <v>37679.24</v>
      </c>
      <c r="BB33" s="1764">
        <v>55407.199999999997</v>
      </c>
      <c r="BC33" s="1765">
        <v>13851.8</v>
      </c>
      <c r="BD33" s="1765">
        <v>0</v>
      </c>
      <c r="BE33" s="1765">
        <v>0</v>
      </c>
      <c r="BF33" s="1766">
        <v>0</v>
      </c>
      <c r="BG33" s="1047">
        <f t="shared" si="21"/>
        <v>69259</v>
      </c>
      <c r="BH33" s="1744">
        <v>7201.06</v>
      </c>
      <c r="BI33" s="1125">
        <v>13003.94</v>
      </c>
      <c r="BJ33" s="1125">
        <v>0</v>
      </c>
      <c r="BK33" s="1125">
        <v>0</v>
      </c>
      <c r="BL33" s="1745">
        <v>0</v>
      </c>
      <c r="BM33" s="1054">
        <f t="shared" si="22"/>
        <v>20205</v>
      </c>
      <c r="BN33" s="1744">
        <v>30341.06</v>
      </c>
      <c r="BO33" s="1125">
        <v>3843.2</v>
      </c>
      <c r="BP33" s="1125">
        <v>6270.5</v>
      </c>
      <c r="BQ33" s="1125">
        <v>-0.04</v>
      </c>
      <c r="BR33" s="1745">
        <v>0</v>
      </c>
      <c r="BS33" s="1054">
        <f t="shared" si="23"/>
        <v>40454.720000000001</v>
      </c>
      <c r="BT33" s="1744"/>
      <c r="BU33" s="1125"/>
      <c r="BV33" s="1125"/>
      <c r="BW33" s="1125"/>
      <c r="BX33" s="1745"/>
      <c r="BY33" s="1057">
        <f t="shared" si="24"/>
        <v>0</v>
      </c>
      <c r="BZ33" s="1744">
        <v>293013.37</v>
      </c>
      <c r="CA33" s="1125">
        <v>645498.34</v>
      </c>
      <c r="CB33" s="1125">
        <v>172146.66</v>
      </c>
      <c r="CC33" s="1125">
        <v>-0.27</v>
      </c>
      <c r="CD33" s="1745">
        <v>265468.49</v>
      </c>
      <c r="CE33" s="1057">
        <f t="shared" si="25"/>
        <v>1376126.5899999999</v>
      </c>
      <c r="CF33" s="1744">
        <v>42781.26</v>
      </c>
      <c r="CG33" s="1125">
        <v>0</v>
      </c>
      <c r="CH33" s="1125">
        <v>72222.17</v>
      </c>
      <c r="CI33" s="1125">
        <v>0</v>
      </c>
      <c r="CJ33" s="1745">
        <v>0</v>
      </c>
      <c r="CK33" s="1057">
        <f t="shared" si="26"/>
        <v>115003.43</v>
      </c>
      <c r="CL33" s="1744"/>
      <c r="CM33" s="1125"/>
      <c r="CN33" s="1125"/>
      <c r="CO33" s="1125"/>
      <c r="CP33" s="1745"/>
      <c r="CQ33" s="1054">
        <f t="shared" si="27"/>
        <v>0</v>
      </c>
      <c r="CR33" s="1744"/>
      <c r="CS33" s="1125"/>
      <c r="CT33" s="1125"/>
      <c r="CU33" s="1125"/>
      <c r="CV33" s="1745"/>
      <c r="CW33" s="1057">
        <f t="shared" si="28"/>
        <v>0</v>
      </c>
      <c r="CX33" s="1744"/>
      <c r="CY33" s="1125"/>
      <c r="CZ33" s="1125"/>
      <c r="DA33" s="1125"/>
      <c r="DB33" s="1745"/>
      <c r="DC33" s="1054">
        <f t="shared" si="29"/>
        <v>0</v>
      </c>
      <c r="DD33" s="1744"/>
      <c r="DE33" s="1125"/>
      <c r="DF33" s="1125"/>
      <c r="DG33" s="1125"/>
      <c r="DH33" s="1745"/>
      <c r="DI33" s="1057">
        <f t="shared" si="30"/>
        <v>0</v>
      </c>
      <c r="DJ33" s="1744">
        <v>-14961</v>
      </c>
      <c r="DK33" s="1125">
        <v>-447.4</v>
      </c>
      <c r="DL33" s="1125">
        <v>0</v>
      </c>
      <c r="DM33" s="1125">
        <v>0</v>
      </c>
      <c r="DN33" s="1125">
        <v>0</v>
      </c>
      <c r="DO33" s="1124">
        <f t="shared" si="31"/>
        <v>-15408.4</v>
      </c>
      <c r="DP33" s="1125">
        <v>-5091.3999999999996</v>
      </c>
      <c r="DQ33" s="1125">
        <v>-5091.3999999999996</v>
      </c>
      <c r="DR33" s="1125">
        <v>0</v>
      </c>
      <c r="DS33" s="1125">
        <v>0</v>
      </c>
      <c r="DT33" s="1125">
        <v>0</v>
      </c>
      <c r="DU33" s="1125">
        <f t="shared" si="34"/>
        <v>-10182.799999999999</v>
      </c>
      <c r="DV33" s="1744">
        <v>50703.05</v>
      </c>
      <c r="DW33" s="1125">
        <v>34985.07</v>
      </c>
      <c r="DX33" s="1125">
        <v>15717.94</v>
      </c>
      <c r="DY33" s="1125">
        <v>-0.06</v>
      </c>
      <c r="DZ33" s="1745">
        <v>0</v>
      </c>
      <c r="EA33" s="1058">
        <f t="shared" si="32"/>
        <v>101406</v>
      </c>
      <c r="EB33" s="1744">
        <v>28983.5</v>
      </c>
      <c r="EC33" s="1125">
        <v>0</v>
      </c>
      <c r="ED33" s="1125">
        <v>5316.5</v>
      </c>
      <c r="EE33" s="1125">
        <v>-5010</v>
      </c>
      <c r="EF33" s="1745">
        <v>10159.4</v>
      </c>
      <c r="EG33" s="1057">
        <f t="shared" si="33"/>
        <v>39449.4</v>
      </c>
    </row>
    <row r="34" spans="1:137" ht="15" customHeight="1" x14ac:dyDescent="0.25">
      <c r="A34" s="719" t="s">
        <v>76</v>
      </c>
      <c r="B34" s="816" t="s">
        <v>77</v>
      </c>
      <c r="C34" s="917" t="s">
        <v>267</v>
      </c>
      <c r="D34" s="814">
        <f t="shared" si="6"/>
        <v>66130.5</v>
      </c>
      <c r="E34" s="814">
        <f t="shared" si="7"/>
        <v>25416.98</v>
      </c>
      <c r="F34" s="814">
        <f t="shared" si="8"/>
        <v>28156.29</v>
      </c>
      <c r="G34" s="814">
        <f t="shared" si="9"/>
        <v>10814.12</v>
      </c>
      <c r="H34" s="814">
        <f t="shared" si="10"/>
        <v>4493.58</v>
      </c>
      <c r="I34" s="1422">
        <f t="shared" si="11"/>
        <v>135011.46999999997</v>
      </c>
      <c r="J34" s="815">
        <f t="shared" si="12"/>
        <v>15307.7</v>
      </c>
      <c r="K34" s="1423">
        <f t="shared" si="13"/>
        <v>43463.990000000005</v>
      </c>
      <c r="L34" s="1723"/>
      <c r="M34" s="1043"/>
      <c r="N34" s="1043"/>
      <c r="O34" s="1043"/>
      <c r="P34" s="1043"/>
      <c r="Q34" s="1044">
        <f t="shared" si="14"/>
        <v>0</v>
      </c>
      <c r="R34" s="1719">
        <v>0</v>
      </c>
      <c r="S34" s="1123">
        <v>0</v>
      </c>
      <c r="T34" s="1123">
        <v>0</v>
      </c>
      <c r="U34" s="1123">
        <v>248.76</v>
      </c>
      <c r="V34" s="1720">
        <v>0</v>
      </c>
      <c r="W34" s="1047">
        <f t="shared" si="15"/>
        <v>248.76</v>
      </c>
      <c r="X34" s="1719"/>
      <c r="Y34" s="1123"/>
      <c r="Z34" s="1123"/>
      <c r="AA34" s="1123"/>
      <c r="AB34" s="1123"/>
      <c r="AC34" s="1122">
        <f t="shared" si="16"/>
        <v>0</v>
      </c>
      <c r="AD34" s="1733">
        <v>371.75</v>
      </c>
      <c r="AE34" s="1734">
        <v>2.21</v>
      </c>
      <c r="AF34" s="1734">
        <v>68.599999999999994</v>
      </c>
      <c r="AG34" s="1734">
        <v>0</v>
      </c>
      <c r="AH34" s="1735">
        <v>0</v>
      </c>
      <c r="AI34" s="1045">
        <f t="shared" si="17"/>
        <v>442.55999999999995</v>
      </c>
      <c r="AJ34" s="1744">
        <v>47427.43</v>
      </c>
      <c r="AK34" s="1125">
        <v>0</v>
      </c>
      <c r="AL34" s="1125">
        <v>11856.86</v>
      </c>
      <c r="AM34" s="1125">
        <v>8978.17</v>
      </c>
      <c r="AN34" s="1745">
        <v>0</v>
      </c>
      <c r="AO34" s="1057">
        <f t="shared" si="18"/>
        <v>68262.460000000006</v>
      </c>
      <c r="AP34" s="1736"/>
      <c r="AQ34" s="1046"/>
      <c r="AR34" s="1046"/>
      <c r="AS34" s="1046"/>
      <c r="AT34" s="1046"/>
      <c r="AU34" s="1049">
        <f t="shared" si="19"/>
        <v>0</v>
      </c>
      <c r="AV34" s="1755">
        <v>776.65</v>
      </c>
      <c r="AW34" s="1756">
        <v>194.15</v>
      </c>
      <c r="AX34" s="1756">
        <v>0</v>
      </c>
      <c r="AY34" s="1756">
        <v>0</v>
      </c>
      <c r="AZ34" s="1757">
        <v>4493.58</v>
      </c>
      <c r="BA34" s="1051">
        <f t="shared" si="20"/>
        <v>5464.38</v>
      </c>
      <c r="BB34" s="1764">
        <v>822.59</v>
      </c>
      <c r="BC34" s="1765">
        <v>205.64</v>
      </c>
      <c r="BD34" s="1765">
        <v>0</v>
      </c>
      <c r="BE34" s="1765">
        <v>0</v>
      </c>
      <c r="BF34" s="1766">
        <v>0</v>
      </c>
      <c r="BG34" s="1047">
        <f t="shared" si="21"/>
        <v>1028.23</v>
      </c>
      <c r="BH34" s="1746"/>
      <c r="BI34" s="1053"/>
      <c r="BJ34" s="1053"/>
      <c r="BK34" s="1053"/>
      <c r="BL34" s="1053"/>
      <c r="BM34" s="1054">
        <f t="shared" si="22"/>
        <v>0</v>
      </c>
      <c r="BN34" s="1746">
        <v>0</v>
      </c>
      <c r="BO34" s="1053">
        <v>0</v>
      </c>
      <c r="BP34" s="1053">
        <v>0</v>
      </c>
      <c r="BQ34" s="1053">
        <v>0</v>
      </c>
      <c r="BR34" s="1053">
        <v>0</v>
      </c>
      <c r="BS34" s="1054">
        <f t="shared" si="23"/>
        <v>0</v>
      </c>
      <c r="BT34" s="1744"/>
      <c r="BU34" s="1125"/>
      <c r="BV34" s="1125"/>
      <c r="BW34" s="1125"/>
      <c r="BX34" s="1745"/>
      <c r="BY34" s="1057">
        <f t="shared" si="24"/>
        <v>0</v>
      </c>
      <c r="BZ34" s="1744">
        <v>7356.81</v>
      </c>
      <c r="CA34" s="1125">
        <v>25014.98</v>
      </c>
      <c r="CB34" s="1125">
        <v>5937.87</v>
      </c>
      <c r="CC34" s="1125">
        <v>-0.08</v>
      </c>
      <c r="CD34" s="1745">
        <v>0</v>
      </c>
      <c r="CE34" s="1057">
        <f t="shared" si="25"/>
        <v>38309.58</v>
      </c>
      <c r="CF34" s="1744">
        <v>5697.5</v>
      </c>
      <c r="CG34" s="1125">
        <v>0</v>
      </c>
      <c r="CH34" s="1125">
        <v>9618.34</v>
      </c>
      <c r="CI34" s="1125">
        <v>0</v>
      </c>
      <c r="CJ34" s="1745">
        <v>0</v>
      </c>
      <c r="CK34" s="1057">
        <f t="shared" si="26"/>
        <v>15315.84</v>
      </c>
      <c r="CL34" s="1746"/>
      <c r="CM34" s="1053"/>
      <c r="CN34" s="1053"/>
      <c r="CO34" s="1053"/>
      <c r="CP34" s="1053"/>
      <c r="CQ34" s="1054">
        <f t="shared" si="27"/>
        <v>0</v>
      </c>
      <c r="CR34" s="1744"/>
      <c r="CS34" s="1125"/>
      <c r="CT34" s="1125"/>
      <c r="CU34" s="1125"/>
      <c r="CV34" s="1745"/>
      <c r="CW34" s="1057">
        <f t="shared" si="28"/>
        <v>0</v>
      </c>
      <c r="CX34" s="1744"/>
      <c r="CY34" s="1125"/>
      <c r="CZ34" s="1125"/>
      <c r="DA34" s="1125"/>
      <c r="DB34" s="1745"/>
      <c r="DC34" s="1054">
        <f t="shared" si="29"/>
        <v>0</v>
      </c>
      <c r="DD34" s="1744"/>
      <c r="DE34" s="1125"/>
      <c r="DF34" s="1125"/>
      <c r="DG34" s="1125"/>
      <c r="DH34" s="1745"/>
      <c r="DI34" s="1057">
        <f t="shared" si="30"/>
        <v>0</v>
      </c>
      <c r="DJ34" s="1744"/>
      <c r="DK34" s="1125"/>
      <c r="DL34" s="1125"/>
      <c r="DM34" s="1125"/>
      <c r="DN34" s="1125"/>
      <c r="DO34" s="1124">
        <f t="shared" si="31"/>
        <v>0</v>
      </c>
      <c r="DP34" s="1125"/>
      <c r="DQ34" s="1125"/>
      <c r="DR34" s="1125"/>
      <c r="DS34" s="1125"/>
      <c r="DT34" s="1125"/>
      <c r="DU34" s="1125">
        <f t="shared" si="34"/>
        <v>0</v>
      </c>
      <c r="DV34" s="1744">
        <v>0</v>
      </c>
      <c r="DW34" s="1125">
        <v>0</v>
      </c>
      <c r="DX34" s="1125">
        <v>0</v>
      </c>
      <c r="DY34" s="1125">
        <v>0</v>
      </c>
      <c r="DZ34" s="1745">
        <v>0</v>
      </c>
      <c r="EA34" s="1058">
        <f t="shared" si="32"/>
        <v>0</v>
      </c>
      <c r="EB34" s="1744">
        <v>3677.77</v>
      </c>
      <c r="EC34" s="1125">
        <v>0</v>
      </c>
      <c r="ED34" s="1125">
        <v>674.62</v>
      </c>
      <c r="EE34" s="1125">
        <v>1587.27</v>
      </c>
      <c r="EF34" s="1745">
        <v>0</v>
      </c>
      <c r="EG34" s="1057">
        <f t="shared" si="33"/>
        <v>5939.66</v>
      </c>
    </row>
    <row r="35" spans="1:137" ht="15" customHeight="1" x14ac:dyDescent="0.25">
      <c r="A35" s="719" t="s">
        <v>78</v>
      </c>
      <c r="B35" s="816" t="s">
        <v>79</v>
      </c>
      <c r="C35" s="917" t="s">
        <v>268</v>
      </c>
      <c r="D35" s="814">
        <f t="shared" si="6"/>
        <v>28537.279999999999</v>
      </c>
      <c r="E35" s="814">
        <f t="shared" si="7"/>
        <v>12709.869999999999</v>
      </c>
      <c r="F35" s="814">
        <f t="shared" si="8"/>
        <v>7570.9800000000005</v>
      </c>
      <c r="G35" s="814">
        <f t="shared" si="9"/>
        <v>-0.12000000000000002</v>
      </c>
      <c r="H35" s="814">
        <f t="shared" si="10"/>
        <v>0</v>
      </c>
      <c r="I35" s="1422">
        <f t="shared" si="11"/>
        <v>48818.009999999995</v>
      </c>
      <c r="J35" s="815">
        <f t="shared" si="12"/>
        <v>-0.12000000000000002</v>
      </c>
      <c r="K35" s="1423">
        <f t="shared" si="13"/>
        <v>7570.8600000000006</v>
      </c>
      <c r="L35" s="1723"/>
      <c r="M35" s="1043"/>
      <c r="N35" s="1043"/>
      <c r="O35" s="1043"/>
      <c r="P35" s="1043"/>
      <c r="Q35" s="1044">
        <f t="shared" si="14"/>
        <v>0</v>
      </c>
      <c r="R35" s="1717"/>
      <c r="S35" s="1048"/>
      <c r="T35" s="1048"/>
      <c r="U35" s="1048"/>
      <c r="V35" s="1718"/>
      <c r="W35" s="1047">
        <f t="shared" si="15"/>
        <v>0</v>
      </c>
      <c r="X35" s="1719"/>
      <c r="Y35" s="1123"/>
      <c r="Z35" s="1123"/>
      <c r="AA35" s="1123"/>
      <c r="AB35" s="1123"/>
      <c r="AC35" s="1122">
        <f t="shared" si="16"/>
        <v>0</v>
      </c>
      <c r="AD35" s="1733">
        <v>1047.02</v>
      </c>
      <c r="AE35" s="1734">
        <v>6.23</v>
      </c>
      <c r="AF35" s="1734">
        <v>193.21</v>
      </c>
      <c r="AG35" s="1734">
        <v>-0.01</v>
      </c>
      <c r="AH35" s="1735">
        <v>0</v>
      </c>
      <c r="AI35" s="1045">
        <f t="shared" si="17"/>
        <v>1246.45</v>
      </c>
      <c r="AJ35" s="1744">
        <v>8635.99</v>
      </c>
      <c r="AK35" s="1125">
        <v>0</v>
      </c>
      <c r="AL35" s="1125">
        <v>2158.98</v>
      </c>
      <c r="AM35" s="1125">
        <v>0</v>
      </c>
      <c r="AN35" s="1745">
        <v>0</v>
      </c>
      <c r="AO35" s="1057">
        <f t="shared" si="18"/>
        <v>10794.97</v>
      </c>
      <c r="AP35" s="1736"/>
      <c r="AQ35" s="1046"/>
      <c r="AR35" s="1046"/>
      <c r="AS35" s="1046"/>
      <c r="AT35" s="1046"/>
      <c r="AU35" s="1049">
        <f t="shared" si="19"/>
        <v>0</v>
      </c>
      <c r="AV35" s="1755">
        <v>1307.2</v>
      </c>
      <c r="AW35" s="1756">
        <v>326.8</v>
      </c>
      <c r="AX35" s="1756">
        <v>0</v>
      </c>
      <c r="AY35" s="1756">
        <v>0</v>
      </c>
      <c r="AZ35" s="1757">
        <v>0</v>
      </c>
      <c r="BA35" s="1051">
        <f t="shared" si="20"/>
        <v>1634</v>
      </c>
      <c r="BB35" s="1764">
        <v>1178.32</v>
      </c>
      <c r="BC35" s="1765">
        <v>294.58</v>
      </c>
      <c r="BD35" s="1765">
        <v>0</v>
      </c>
      <c r="BE35" s="1765">
        <v>0</v>
      </c>
      <c r="BF35" s="1766">
        <v>0</v>
      </c>
      <c r="BG35" s="1047">
        <f t="shared" si="21"/>
        <v>1472.8999999999999</v>
      </c>
      <c r="BH35" s="1746"/>
      <c r="BI35" s="1053"/>
      <c r="BJ35" s="1053"/>
      <c r="BK35" s="1053"/>
      <c r="BL35" s="1053"/>
      <c r="BM35" s="1054">
        <f t="shared" si="22"/>
        <v>0</v>
      </c>
      <c r="BN35" s="1744">
        <v>10453.129999999999</v>
      </c>
      <c r="BO35" s="1125">
        <v>1324.08</v>
      </c>
      <c r="BP35" s="1125">
        <v>2160.33</v>
      </c>
      <c r="BQ35" s="1125">
        <v>-0.04</v>
      </c>
      <c r="BR35" s="1745">
        <v>0</v>
      </c>
      <c r="BS35" s="1054">
        <f t="shared" si="23"/>
        <v>13937.499999999998</v>
      </c>
      <c r="BT35" s="1744"/>
      <c r="BU35" s="1125"/>
      <c r="BV35" s="1125"/>
      <c r="BW35" s="1125"/>
      <c r="BX35" s="1745"/>
      <c r="BY35" s="1057">
        <f t="shared" si="24"/>
        <v>0</v>
      </c>
      <c r="BZ35" s="1744">
        <v>2617.27</v>
      </c>
      <c r="CA35" s="1125">
        <v>8511.8799999999992</v>
      </c>
      <c r="CB35" s="1125">
        <v>2041.4</v>
      </c>
      <c r="CC35" s="1125">
        <v>-0.09</v>
      </c>
      <c r="CD35" s="1745">
        <v>0</v>
      </c>
      <c r="CE35" s="1057">
        <f t="shared" si="25"/>
        <v>13170.46</v>
      </c>
      <c r="CF35" s="1746"/>
      <c r="CG35" s="1053"/>
      <c r="CH35" s="1053"/>
      <c r="CI35" s="1053"/>
      <c r="CJ35" s="1747"/>
      <c r="CK35" s="1057">
        <f t="shared" si="26"/>
        <v>0</v>
      </c>
      <c r="CL35" s="1746"/>
      <c r="CM35" s="1053"/>
      <c r="CN35" s="1053"/>
      <c r="CO35" s="1053"/>
      <c r="CP35" s="1053"/>
      <c r="CQ35" s="1054">
        <f t="shared" si="27"/>
        <v>0</v>
      </c>
      <c r="CR35" s="1744"/>
      <c r="CS35" s="1125"/>
      <c r="CT35" s="1125"/>
      <c r="CU35" s="1125"/>
      <c r="CV35" s="1745"/>
      <c r="CW35" s="1057">
        <f t="shared" si="28"/>
        <v>0</v>
      </c>
      <c r="CX35" s="1744"/>
      <c r="CY35" s="1125"/>
      <c r="CZ35" s="1125"/>
      <c r="DA35" s="1125"/>
      <c r="DB35" s="1745"/>
      <c r="DC35" s="1054">
        <f t="shared" si="29"/>
        <v>0</v>
      </c>
      <c r="DD35" s="1744"/>
      <c r="DE35" s="1125"/>
      <c r="DF35" s="1125"/>
      <c r="DG35" s="1125"/>
      <c r="DH35" s="1745"/>
      <c r="DI35" s="1057">
        <f t="shared" si="30"/>
        <v>0</v>
      </c>
      <c r="DJ35" s="1744"/>
      <c r="DK35" s="1125"/>
      <c r="DL35" s="1125"/>
      <c r="DM35" s="1125"/>
      <c r="DN35" s="1125"/>
      <c r="DO35" s="1124">
        <f t="shared" si="31"/>
        <v>0</v>
      </c>
      <c r="DP35" s="1125"/>
      <c r="DQ35" s="1125"/>
      <c r="DR35" s="1125"/>
      <c r="DS35" s="1125"/>
      <c r="DT35" s="1125"/>
      <c r="DU35" s="1125">
        <f t="shared" si="34"/>
        <v>0</v>
      </c>
      <c r="DV35" s="1744">
        <v>3255.5</v>
      </c>
      <c r="DW35" s="1125">
        <v>2246.3000000000002</v>
      </c>
      <c r="DX35" s="1125">
        <v>1009.21</v>
      </c>
      <c r="DY35" s="1125">
        <v>-0.01</v>
      </c>
      <c r="DZ35" s="1745">
        <v>0</v>
      </c>
      <c r="EA35" s="1058">
        <f t="shared" si="32"/>
        <v>6511</v>
      </c>
      <c r="EB35" s="1746">
        <v>42.85</v>
      </c>
      <c r="EC35" s="1053">
        <v>0</v>
      </c>
      <c r="ED35" s="1053">
        <v>7.85</v>
      </c>
      <c r="EE35" s="1053">
        <v>0.03</v>
      </c>
      <c r="EF35" s="1747">
        <v>0</v>
      </c>
      <c r="EG35" s="1057">
        <f t="shared" si="33"/>
        <v>50.730000000000004</v>
      </c>
    </row>
    <row r="36" spans="1:137" ht="15" customHeight="1" x14ac:dyDescent="0.25">
      <c r="A36" s="719" t="s">
        <v>80</v>
      </c>
      <c r="B36" s="816" t="s">
        <v>81</v>
      </c>
      <c r="C36" s="917" t="s">
        <v>266</v>
      </c>
      <c r="D36" s="814">
        <f t="shared" si="6"/>
        <v>39082.389999999992</v>
      </c>
      <c r="E36" s="814">
        <f t="shared" si="7"/>
        <v>15928.95</v>
      </c>
      <c r="F36" s="814">
        <f t="shared" si="8"/>
        <v>9427.69</v>
      </c>
      <c r="G36" s="814">
        <f t="shared" si="9"/>
        <v>-0.09</v>
      </c>
      <c r="H36" s="814">
        <f t="shared" si="10"/>
        <v>0</v>
      </c>
      <c r="I36" s="1422">
        <f t="shared" si="11"/>
        <v>64438.94</v>
      </c>
      <c r="J36" s="815">
        <f t="shared" si="12"/>
        <v>-0.09</v>
      </c>
      <c r="K36" s="1423">
        <f t="shared" si="13"/>
        <v>9427.6</v>
      </c>
      <c r="L36" s="1723">
        <v>0</v>
      </c>
      <c r="M36" s="1043">
        <v>1580.28</v>
      </c>
      <c r="N36" s="1043">
        <v>0</v>
      </c>
      <c r="O36" s="1043">
        <v>0</v>
      </c>
      <c r="P36" s="1043">
        <v>0</v>
      </c>
      <c r="Q36" s="1044">
        <f t="shared" si="14"/>
        <v>1580.28</v>
      </c>
      <c r="R36" s="1717"/>
      <c r="S36" s="1048"/>
      <c r="T36" s="1048"/>
      <c r="U36" s="1048"/>
      <c r="V36" s="1718"/>
      <c r="W36" s="1047">
        <f t="shared" si="15"/>
        <v>0</v>
      </c>
      <c r="X36" s="1719"/>
      <c r="Y36" s="1123"/>
      <c r="Z36" s="1123"/>
      <c r="AA36" s="1123"/>
      <c r="AB36" s="1123"/>
      <c r="AC36" s="1122">
        <f t="shared" si="16"/>
        <v>0</v>
      </c>
      <c r="AD36" s="1733">
        <v>2595.75</v>
      </c>
      <c r="AE36" s="1734">
        <v>15.44</v>
      </c>
      <c r="AF36" s="1734">
        <v>478.98</v>
      </c>
      <c r="AG36" s="1734">
        <v>0</v>
      </c>
      <c r="AH36" s="1735">
        <v>0</v>
      </c>
      <c r="AI36" s="1045">
        <f t="shared" si="17"/>
        <v>3090.17</v>
      </c>
      <c r="AJ36" s="1744">
        <v>8725.64</v>
      </c>
      <c r="AK36" s="1125">
        <v>0</v>
      </c>
      <c r="AL36" s="1125">
        <v>2181.38</v>
      </c>
      <c r="AM36" s="1125">
        <v>0</v>
      </c>
      <c r="AN36" s="1745">
        <v>0</v>
      </c>
      <c r="AO36" s="1057">
        <f t="shared" si="18"/>
        <v>10907.02</v>
      </c>
      <c r="AP36" s="1736"/>
      <c r="AQ36" s="1046"/>
      <c r="AR36" s="1046"/>
      <c r="AS36" s="1046"/>
      <c r="AT36" s="1046"/>
      <c r="AU36" s="1049">
        <f t="shared" si="19"/>
        <v>0</v>
      </c>
      <c r="AV36" s="1755">
        <v>1600</v>
      </c>
      <c r="AW36" s="1756">
        <v>400</v>
      </c>
      <c r="AX36" s="1756">
        <v>0</v>
      </c>
      <c r="AY36" s="1756">
        <v>0</v>
      </c>
      <c r="AZ36" s="1757">
        <v>0</v>
      </c>
      <c r="BA36" s="1051">
        <f t="shared" si="20"/>
        <v>2000</v>
      </c>
      <c r="BB36" s="1764">
        <v>3060.8</v>
      </c>
      <c r="BC36" s="1765">
        <v>765.2</v>
      </c>
      <c r="BD36" s="1765">
        <v>0</v>
      </c>
      <c r="BE36" s="1765">
        <v>0</v>
      </c>
      <c r="BF36" s="1766">
        <v>0</v>
      </c>
      <c r="BG36" s="1047">
        <f t="shared" si="21"/>
        <v>3826</v>
      </c>
      <c r="BH36" s="1746"/>
      <c r="BI36" s="1053"/>
      <c r="BJ36" s="1053"/>
      <c r="BK36" s="1053"/>
      <c r="BL36" s="1053"/>
      <c r="BM36" s="1054">
        <f t="shared" si="22"/>
        <v>0</v>
      </c>
      <c r="BN36" s="1744">
        <v>13552.33</v>
      </c>
      <c r="BO36" s="1125">
        <v>1716.64</v>
      </c>
      <c r="BP36" s="1125">
        <v>2800.84</v>
      </c>
      <c r="BQ36" s="1125">
        <v>-0.06</v>
      </c>
      <c r="BR36" s="1745">
        <v>0</v>
      </c>
      <c r="BS36" s="1054">
        <f t="shared" si="23"/>
        <v>18069.749999999996</v>
      </c>
      <c r="BT36" s="1744"/>
      <c r="BU36" s="1125"/>
      <c r="BV36" s="1125"/>
      <c r="BW36" s="1125"/>
      <c r="BX36" s="1745"/>
      <c r="BY36" s="1057">
        <f t="shared" si="24"/>
        <v>0</v>
      </c>
      <c r="BZ36" s="1744">
        <v>2883.03</v>
      </c>
      <c r="CA36" s="1125">
        <v>8955.2999999999993</v>
      </c>
      <c r="CB36" s="1125">
        <v>2171.46</v>
      </c>
      <c r="CC36" s="1125">
        <v>-0.05</v>
      </c>
      <c r="CD36" s="1745">
        <v>0</v>
      </c>
      <c r="CE36" s="1057">
        <f t="shared" si="25"/>
        <v>14009.740000000002</v>
      </c>
      <c r="CF36" s="1744"/>
      <c r="CG36" s="1125"/>
      <c r="CH36" s="1125"/>
      <c r="CI36" s="1125"/>
      <c r="CJ36" s="1745"/>
      <c r="CK36" s="1057">
        <f t="shared" si="26"/>
        <v>0</v>
      </c>
      <c r="CL36" s="1746"/>
      <c r="CM36" s="1053"/>
      <c r="CN36" s="1053"/>
      <c r="CO36" s="1053"/>
      <c r="CP36" s="1053"/>
      <c r="CQ36" s="1054">
        <f t="shared" si="27"/>
        <v>0</v>
      </c>
      <c r="CR36" s="1744"/>
      <c r="CS36" s="1125"/>
      <c r="CT36" s="1125"/>
      <c r="CU36" s="1125"/>
      <c r="CV36" s="1745"/>
      <c r="CW36" s="1057">
        <f t="shared" si="28"/>
        <v>0</v>
      </c>
      <c r="CX36" s="1744"/>
      <c r="CY36" s="1125"/>
      <c r="CZ36" s="1125"/>
      <c r="DA36" s="1125"/>
      <c r="DB36" s="1745"/>
      <c r="DC36" s="1054">
        <f t="shared" si="29"/>
        <v>0</v>
      </c>
      <c r="DD36" s="1744">
        <v>-625</v>
      </c>
      <c r="DE36" s="1125">
        <v>0</v>
      </c>
      <c r="DF36" s="1125">
        <v>0</v>
      </c>
      <c r="DG36" s="1125">
        <v>0</v>
      </c>
      <c r="DH36" s="1745">
        <v>0</v>
      </c>
      <c r="DI36" s="1057">
        <f t="shared" si="30"/>
        <v>-625</v>
      </c>
      <c r="DJ36" s="1744"/>
      <c r="DK36" s="1125"/>
      <c r="DL36" s="1125"/>
      <c r="DM36" s="1125"/>
      <c r="DN36" s="1125"/>
      <c r="DO36" s="1124">
        <f t="shared" si="31"/>
        <v>0</v>
      </c>
      <c r="DP36" s="1125"/>
      <c r="DQ36" s="1125"/>
      <c r="DR36" s="1125"/>
      <c r="DS36" s="1125"/>
      <c r="DT36" s="1125"/>
      <c r="DU36" s="1125">
        <f t="shared" si="34"/>
        <v>0</v>
      </c>
      <c r="DV36" s="1744">
        <v>3617.52</v>
      </c>
      <c r="DW36" s="1125">
        <v>2496.09</v>
      </c>
      <c r="DX36" s="1125">
        <v>1121.43</v>
      </c>
      <c r="DY36" s="1125">
        <v>-0.01</v>
      </c>
      <c r="DZ36" s="1745">
        <v>0</v>
      </c>
      <c r="EA36" s="1058">
        <f t="shared" si="32"/>
        <v>7235.0300000000007</v>
      </c>
      <c r="EB36" s="1744">
        <v>3672.32</v>
      </c>
      <c r="EC36" s="1125">
        <v>0</v>
      </c>
      <c r="ED36" s="1125">
        <v>673.6</v>
      </c>
      <c r="EE36" s="1125">
        <v>0.03</v>
      </c>
      <c r="EF36" s="1745">
        <v>0</v>
      </c>
      <c r="EG36" s="1057">
        <f t="shared" si="33"/>
        <v>4345.95</v>
      </c>
    </row>
    <row r="37" spans="1:137" ht="15" customHeight="1" x14ac:dyDescent="0.25">
      <c r="A37" s="719" t="s">
        <v>84</v>
      </c>
      <c r="B37" s="816" t="s">
        <v>308</v>
      </c>
      <c r="C37" s="917" t="s">
        <v>265</v>
      </c>
      <c r="D37" s="814">
        <f t="shared" si="6"/>
        <v>138909.6</v>
      </c>
      <c r="E37" s="814">
        <f t="shared" si="7"/>
        <v>133418.11000000002</v>
      </c>
      <c r="F37" s="814">
        <f t="shared" si="8"/>
        <v>49803.149999999994</v>
      </c>
      <c r="G37" s="814">
        <f t="shared" si="9"/>
        <v>-0.11000000000000001</v>
      </c>
      <c r="H37" s="814">
        <f t="shared" si="10"/>
        <v>0</v>
      </c>
      <c r="I37" s="1422">
        <f t="shared" si="11"/>
        <v>322130.75</v>
      </c>
      <c r="J37" s="815">
        <f t="shared" si="12"/>
        <v>-0.11000000000000001</v>
      </c>
      <c r="K37" s="1423">
        <f t="shared" si="13"/>
        <v>49803.039999999994</v>
      </c>
      <c r="L37" s="1723"/>
      <c r="M37" s="1043"/>
      <c r="N37" s="1043"/>
      <c r="O37" s="1043"/>
      <c r="P37" s="1043"/>
      <c r="Q37" s="1044">
        <f t="shared" si="14"/>
        <v>0</v>
      </c>
      <c r="R37" s="1717"/>
      <c r="S37" s="1048"/>
      <c r="T37" s="1048"/>
      <c r="U37" s="1048"/>
      <c r="V37" s="1718"/>
      <c r="W37" s="1047">
        <f t="shared" si="15"/>
        <v>0</v>
      </c>
      <c r="X37" s="1719"/>
      <c r="Y37" s="1123"/>
      <c r="Z37" s="1123"/>
      <c r="AA37" s="1123"/>
      <c r="AB37" s="1123"/>
      <c r="AC37" s="1122">
        <f t="shared" si="16"/>
        <v>0</v>
      </c>
      <c r="AD37" s="1733">
        <v>4230.1400000000003</v>
      </c>
      <c r="AE37" s="1734">
        <v>25.18</v>
      </c>
      <c r="AF37" s="1734">
        <v>780.57</v>
      </c>
      <c r="AG37" s="1734">
        <v>-0.01</v>
      </c>
      <c r="AH37" s="1735">
        <v>0</v>
      </c>
      <c r="AI37" s="1045">
        <f t="shared" si="17"/>
        <v>5035.88</v>
      </c>
      <c r="AJ37" s="1744">
        <v>30752.11</v>
      </c>
      <c r="AK37" s="1125">
        <v>0</v>
      </c>
      <c r="AL37" s="1125">
        <v>7688</v>
      </c>
      <c r="AM37" s="1125">
        <v>0</v>
      </c>
      <c r="AN37" s="1745">
        <v>0</v>
      </c>
      <c r="AO37" s="1057">
        <f t="shared" si="18"/>
        <v>38440.11</v>
      </c>
      <c r="AP37" s="1736"/>
      <c r="AQ37" s="1046"/>
      <c r="AR37" s="1046"/>
      <c r="AS37" s="1046"/>
      <c r="AT37" s="1046"/>
      <c r="AU37" s="1049">
        <f t="shared" si="19"/>
        <v>0</v>
      </c>
      <c r="AV37" s="1755">
        <v>4546.01</v>
      </c>
      <c r="AW37" s="1756">
        <v>1136.51</v>
      </c>
      <c r="AX37" s="1756">
        <v>0</v>
      </c>
      <c r="AY37" s="1756">
        <v>0</v>
      </c>
      <c r="AZ37" s="1757">
        <v>0</v>
      </c>
      <c r="BA37" s="1051">
        <f t="shared" si="20"/>
        <v>5682.52</v>
      </c>
      <c r="BB37" s="1764">
        <v>13773.46</v>
      </c>
      <c r="BC37" s="1765">
        <v>3443.38</v>
      </c>
      <c r="BD37" s="1765">
        <v>0</v>
      </c>
      <c r="BE37" s="1765">
        <v>0</v>
      </c>
      <c r="BF37" s="1766">
        <v>0</v>
      </c>
      <c r="BG37" s="1047">
        <f t="shared" si="21"/>
        <v>17216.84</v>
      </c>
      <c r="BH37" s="1744">
        <v>1700.27</v>
      </c>
      <c r="BI37" s="1125">
        <v>3070.39</v>
      </c>
      <c r="BJ37" s="1125">
        <v>0</v>
      </c>
      <c r="BK37" s="1125">
        <v>0</v>
      </c>
      <c r="BL37" s="1745">
        <v>0</v>
      </c>
      <c r="BM37" s="1054">
        <f t="shared" si="22"/>
        <v>4770.66</v>
      </c>
      <c r="BN37" s="1744">
        <v>37234.17</v>
      </c>
      <c r="BO37" s="1125">
        <v>4716.34</v>
      </c>
      <c r="BP37" s="1125">
        <v>7695.05</v>
      </c>
      <c r="BQ37" s="1125">
        <v>-0.02</v>
      </c>
      <c r="BR37" s="1745">
        <v>0</v>
      </c>
      <c r="BS37" s="1054">
        <f t="shared" si="23"/>
        <v>49645.54</v>
      </c>
      <c r="BT37" s="1744">
        <v>-707.56</v>
      </c>
      <c r="BU37" s="1125">
        <v>-707.56</v>
      </c>
      <c r="BV37" s="1125">
        <v>0</v>
      </c>
      <c r="BW37" s="1125">
        <v>0.01</v>
      </c>
      <c r="BX37" s="1745">
        <v>0</v>
      </c>
      <c r="BY37" s="1057">
        <f t="shared" si="24"/>
        <v>-1415.11</v>
      </c>
      <c r="BZ37" s="1744">
        <v>35465.53</v>
      </c>
      <c r="CA37" s="1125">
        <v>118649.83</v>
      </c>
      <c r="CB37" s="1125">
        <v>28268.880000000001</v>
      </c>
      <c r="CC37" s="1125">
        <v>-0.14000000000000001</v>
      </c>
      <c r="CD37" s="1745">
        <v>0</v>
      </c>
      <c r="CE37" s="1057">
        <f t="shared" si="25"/>
        <v>182384.09999999998</v>
      </c>
      <c r="CF37" s="1744">
        <v>1454.34</v>
      </c>
      <c r="CG37" s="1125">
        <v>0</v>
      </c>
      <c r="CH37" s="1125">
        <v>2455.17</v>
      </c>
      <c r="CI37" s="1125">
        <v>-0.01</v>
      </c>
      <c r="CJ37" s="1745">
        <v>0</v>
      </c>
      <c r="CK37" s="1057">
        <f t="shared" si="26"/>
        <v>3909.5</v>
      </c>
      <c r="CL37" s="1746"/>
      <c r="CM37" s="1053"/>
      <c r="CN37" s="1053"/>
      <c r="CO37" s="1053"/>
      <c r="CP37" s="1053"/>
      <c r="CQ37" s="1054">
        <f t="shared" si="27"/>
        <v>0</v>
      </c>
      <c r="CR37" s="1744"/>
      <c r="CS37" s="1125"/>
      <c r="CT37" s="1125"/>
      <c r="CU37" s="1125"/>
      <c r="CV37" s="1745"/>
      <c r="CW37" s="1057">
        <f t="shared" si="28"/>
        <v>0</v>
      </c>
      <c r="CX37" s="1746">
        <v>-74</v>
      </c>
      <c r="CY37" s="1053">
        <v>-74</v>
      </c>
      <c r="CZ37" s="1053">
        <v>0</v>
      </c>
      <c r="DA37" s="1053">
        <v>0</v>
      </c>
      <c r="DB37" s="1053">
        <v>0</v>
      </c>
      <c r="DC37" s="1054">
        <f t="shared" si="29"/>
        <v>-148</v>
      </c>
      <c r="DD37" s="1744">
        <v>-915</v>
      </c>
      <c r="DE37" s="1125">
        <v>0</v>
      </c>
      <c r="DF37" s="1125">
        <v>0</v>
      </c>
      <c r="DG37" s="1125">
        <v>0</v>
      </c>
      <c r="DH37" s="1745">
        <v>0</v>
      </c>
      <c r="DI37" s="1057">
        <f t="shared" si="30"/>
        <v>-915</v>
      </c>
      <c r="DJ37" s="1744">
        <v>-1261</v>
      </c>
      <c r="DK37" s="1125">
        <v>0</v>
      </c>
      <c r="DL37" s="1125">
        <v>0</v>
      </c>
      <c r="DM37" s="1125">
        <v>0</v>
      </c>
      <c r="DN37" s="1125">
        <v>0</v>
      </c>
      <c r="DO37" s="1124">
        <f t="shared" si="31"/>
        <v>-1261</v>
      </c>
      <c r="DP37" s="1125">
        <v>-12.5</v>
      </c>
      <c r="DQ37" s="1125">
        <v>-12.5</v>
      </c>
      <c r="DR37" s="1125">
        <v>0</v>
      </c>
      <c r="DS37" s="1125">
        <v>0</v>
      </c>
      <c r="DT37" s="1125">
        <v>0</v>
      </c>
      <c r="DU37" s="1125">
        <f t="shared" si="34"/>
        <v>-25</v>
      </c>
      <c r="DV37" s="1744">
        <v>4595.01</v>
      </c>
      <c r="DW37" s="1125">
        <v>3170.54</v>
      </c>
      <c r="DX37" s="1125">
        <v>1424.45</v>
      </c>
      <c r="DY37" s="1125">
        <v>0</v>
      </c>
      <c r="DZ37" s="1745">
        <v>0</v>
      </c>
      <c r="EA37" s="1058">
        <f t="shared" si="32"/>
        <v>9190</v>
      </c>
      <c r="EB37" s="1744">
        <v>8128.62</v>
      </c>
      <c r="EC37" s="1125">
        <v>0</v>
      </c>
      <c r="ED37" s="1125">
        <v>1491.03</v>
      </c>
      <c r="EE37" s="1125">
        <v>0.06</v>
      </c>
      <c r="EF37" s="1745">
        <v>0</v>
      </c>
      <c r="EG37" s="1057">
        <f t="shared" si="33"/>
        <v>9619.7099999999991</v>
      </c>
    </row>
    <row r="38" spans="1:137" ht="15" customHeight="1" x14ac:dyDescent="0.25">
      <c r="A38" s="719" t="s">
        <v>86</v>
      </c>
      <c r="B38" s="816" t="s">
        <v>87</v>
      </c>
      <c r="C38" s="917" t="s">
        <v>267</v>
      </c>
      <c r="D38" s="814">
        <f t="shared" si="6"/>
        <v>122914.65999999999</v>
      </c>
      <c r="E38" s="814">
        <f t="shared" si="7"/>
        <v>84283.83</v>
      </c>
      <c r="F38" s="814">
        <f t="shared" si="8"/>
        <v>40505.810000000005</v>
      </c>
      <c r="G38" s="814">
        <f t="shared" si="9"/>
        <v>21317.889999999996</v>
      </c>
      <c r="H38" s="814">
        <f t="shared" si="10"/>
        <v>0</v>
      </c>
      <c r="I38" s="1422">
        <f t="shared" si="11"/>
        <v>269022.19</v>
      </c>
      <c r="J38" s="815">
        <f t="shared" si="12"/>
        <v>21317.889999999996</v>
      </c>
      <c r="K38" s="1423">
        <f t="shared" si="13"/>
        <v>61823.7</v>
      </c>
      <c r="L38" s="1723"/>
      <c r="M38" s="1043"/>
      <c r="N38" s="1043"/>
      <c r="O38" s="1043"/>
      <c r="P38" s="1043"/>
      <c r="Q38" s="1044">
        <f t="shared" si="14"/>
        <v>0</v>
      </c>
      <c r="R38" s="1717"/>
      <c r="S38" s="1048"/>
      <c r="T38" s="1048"/>
      <c r="U38" s="1048"/>
      <c r="V38" s="1718"/>
      <c r="W38" s="1047">
        <f t="shared" si="15"/>
        <v>0</v>
      </c>
      <c r="X38" s="1719"/>
      <c r="Y38" s="1123"/>
      <c r="Z38" s="1123"/>
      <c r="AA38" s="1123"/>
      <c r="AB38" s="1123"/>
      <c r="AC38" s="1122">
        <f t="shared" si="16"/>
        <v>0</v>
      </c>
      <c r="AD38" s="1733">
        <v>6455.02</v>
      </c>
      <c r="AE38" s="1734">
        <v>38.43</v>
      </c>
      <c r="AF38" s="1734">
        <v>1191.1099999999999</v>
      </c>
      <c r="AG38" s="1734">
        <v>-0.01</v>
      </c>
      <c r="AH38" s="1735">
        <v>0</v>
      </c>
      <c r="AI38" s="1045">
        <f t="shared" si="17"/>
        <v>7684.55</v>
      </c>
      <c r="AJ38" s="1744">
        <v>51017.48</v>
      </c>
      <c r="AK38" s="1125">
        <v>0</v>
      </c>
      <c r="AL38" s="1125">
        <v>12754.37</v>
      </c>
      <c r="AM38" s="1125">
        <v>0</v>
      </c>
      <c r="AN38" s="1745">
        <v>0</v>
      </c>
      <c r="AO38" s="1057">
        <f t="shared" si="18"/>
        <v>63771.850000000006</v>
      </c>
      <c r="AP38" s="1736"/>
      <c r="AQ38" s="1046"/>
      <c r="AR38" s="1046"/>
      <c r="AS38" s="1046"/>
      <c r="AT38" s="1046"/>
      <c r="AU38" s="1049">
        <f t="shared" si="19"/>
        <v>0</v>
      </c>
      <c r="AV38" s="1755">
        <v>471.73</v>
      </c>
      <c r="AW38" s="1756">
        <v>117.93</v>
      </c>
      <c r="AX38" s="1756">
        <v>0</v>
      </c>
      <c r="AY38" s="1756">
        <v>0</v>
      </c>
      <c r="AZ38" s="1757">
        <v>0</v>
      </c>
      <c r="BA38" s="1051">
        <f t="shared" si="20"/>
        <v>589.66000000000008</v>
      </c>
      <c r="BB38" s="1764">
        <v>1038.6400000000001</v>
      </c>
      <c r="BC38" s="1765">
        <v>259.66000000000003</v>
      </c>
      <c r="BD38" s="1765">
        <v>0</v>
      </c>
      <c r="BE38" s="1765">
        <v>0</v>
      </c>
      <c r="BF38" s="1766">
        <v>0</v>
      </c>
      <c r="BG38" s="1047">
        <f t="shared" si="21"/>
        <v>1298.3000000000002</v>
      </c>
      <c r="BH38" s="1744">
        <v>1069.2</v>
      </c>
      <c r="BI38" s="1125">
        <v>1930.8</v>
      </c>
      <c r="BJ38" s="1125">
        <v>0</v>
      </c>
      <c r="BK38" s="1125">
        <v>0</v>
      </c>
      <c r="BL38" s="1745">
        <v>0</v>
      </c>
      <c r="BM38" s="1054">
        <f t="shared" si="22"/>
        <v>3000</v>
      </c>
      <c r="BN38" s="1746">
        <v>26467.23</v>
      </c>
      <c r="BO38" s="1053">
        <v>3352.52</v>
      </c>
      <c r="BP38" s="1053">
        <v>5469.9</v>
      </c>
      <c r="BQ38" s="1053">
        <v>-0.04</v>
      </c>
      <c r="BR38" s="1053">
        <v>0</v>
      </c>
      <c r="BS38" s="1054">
        <f t="shared" si="23"/>
        <v>35289.61</v>
      </c>
      <c r="BT38" s="1744"/>
      <c r="BU38" s="1125"/>
      <c r="BV38" s="1125"/>
      <c r="BW38" s="1125"/>
      <c r="BX38" s="1745"/>
      <c r="BY38" s="1057">
        <f t="shared" si="24"/>
        <v>0</v>
      </c>
      <c r="BZ38" s="1744">
        <v>23397.09</v>
      </c>
      <c r="CA38" s="1125">
        <v>76504.210000000006</v>
      </c>
      <c r="CB38" s="1125">
        <v>18324.59</v>
      </c>
      <c r="CC38" s="1125">
        <v>-0.08</v>
      </c>
      <c r="CD38" s="1745">
        <v>0</v>
      </c>
      <c r="CE38" s="1057">
        <f t="shared" si="25"/>
        <v>118225.81</v>
      </c>
      <c r="CF38" s="1744">
        <v>0</v>
      </c>
      <c r="CG38" s="1125">
        <v>0</v>
      </c>
      <c r="CH38" s="1125">
        <v>0</v>
      </c>
      <c r="CI38" s="1125">
        <v>21317.94</v>
      </c>
      <c r="CJ38" s="1745">
        <v>0</v>
      </c>
      <c r="CK38" s="1057">
        <f t="shared" si="26"/>
        <v>21317.94</v>
      </c>
      <c r="CL38" s="1746"/>
      <c r="CM38" s="1053"/>
      <c r="CN38" s="1053"/>
      <c r="CO38" s="1053"/>
      <c r="CP38" s="1053"/>
      <c r="CQ38" s="1054">
        <f t="shared" si="27"/>
        <v>0</v>
      </c>
      <c r="CR38" s="1744"/>
      <c r="CS38" s="1125"/>
      <c r="CT38" s="1125"/>
      <c r="CU38" s="1125"/>
      <c r="CV38" s="1745"/>
      <c r="CW38" s="1057">
        <f t="shared" si="28"/>
        <v>0</v>
      </c>
      <c r="CX38" s="1746"/>
      <c r="CY38" s="1053"/>
      <c r="CZ38" s="1053"/>
      <c r="DA38" s="1053"/>
      <c r="DB38" s="1053"/>
      <c r="DC38" s="1054">
        <f t="shared" si="29"/>
        <v>0</v>
      </c>
      <c r="DD38" s="1744"/>
      <c r="DE38" s="1125"/>
      <c r="DF38" s="1125"/>
      <c r="DG38" s="1125"/>
      <c r="DH38" s="1745"/>
      <c r="DI38" s="1057">
        <f t="shared" si="30"/>
        <v>0</v>
      </c>
      <c r="DJ38" s="1744"/>
      <c r="DK38" s="1125"/>
      <c r="DL38" s="1125"/>
      <c r="DM38" s="1125"/>
      <c r="DN38" s="1125"/>
      <c r="DO38" s="1124">
        <f t="shared" si="31"/>
        <v>0</v>
      </c>
      <c r="DP38" s="1125"/>
      <c r="DQ38" s="1125"/>
      <c r="DR38" s="1125"/>
      <c r="DS38" s="1125"/>
      <c r="DT38" s="1125"/>
      <c r="DU38" s="1125">
        <f t="shared" si="34"/>
        <v>0</v>
      </c>
      <c r="DV38" s="1744">
        <v>3014.9</v>
      </c>
      <c r="DW38" s="1125">
        <v>2080.2800000000002</v>
      </c>
      <c r="DX38" s="1125">
        <v>934.62</v>
      </c>
      <c r="DY38" s="1125">
        <v>-0.02</v>
      </c>
      <c r="DZ38" s="1745">
        <v>0</v>
      </c>
      <c r="EA38" s="1058">
        <f t="shared" si="32"/>
        <v>6029.78</v>
      </c>
      <c r="EB38" s="1744">
        <v>9983.3700000000008</v>
      </c>
      <c r="EC38" s="1125">
        <v>0</v>
      </c>
      <c r="ED38" s="1125">
        <v>1831.22</v>
      </c>
      <c r="EE38" s="1125">
        <v>0.1</v>
      </c>
      <c r="EF38" s="1745">
        <v>0</v>
      </c>
      <c r="EG38" s="1057">
        <f t="shared" si="33"/>
        <v>11814.69</v>
      </c>
    </row>
    <row r="39" spans="1:137" ht="15" customHeight="1" x14ac:dyDescent="0.25">
      <c r="A39" s="719" t="s">
        <v>92</v>
      </c>
      <c r="B39" s="816" t="s">
        <v>93</v>
      </c>
      <c r="C39" s="917" t="s">
        <v>268</v>
      </c>
      <c r="D39" s="814">
        <f t="shared" si="6"/>
        <v>40080.879999999997</v>
      </c>
      <c r="E39" s="814">
        <f t="shared" si="7"/>
        <v>9137.75</v>
      </c>
      <c r="F39" s="814">
        <f t="shared" si="8"/>
        <v>9909.2899999999991</v>
      </c>
      <c r="G39" s="814">
        <f t="shared" si="9"/>
        <v>-0.11</v>
      </c>
      <c r="H39" s="814">
        <f t="shared" si="10"/>
        <v>0</v>
      </c>
      <c r="I39" s="1422">
        <f t="shared" si="11"/>
        <v>59127.81</v>
      </c>
      <c r="J39" s="815">
        <f t="shared" si="12"/>
        <v>-0.11</v>
      </c>
      <c r="K39" s="1423">
        <f t="shared" si="13"/>
        <v>9909.1799999999985</v>
      </c>
      <c r="L39" s="1723"/>
      <c r="M39" s="1043"/>
      <c r="N39" s="1043"/>
      <c r="O39" s="1043"/>
      <c r="P39" s="1043"/>
      <c r="Q39" s="1044">
        <f t="shared" si="14"/>
        <v>0</v>
      </c>
      <c r="R39" s="1717"/>
      <c r="S39" s="1048"/>
      <c r="T39" s="1048"/>
      <c r="U39" s="1048"/>
      <c r="V39" s="1718"/>
      <c r="W39" s="1047">
        <f t="shared" si="15"/>
        <v>0</v>
      </c>
      <c r="X39" s="1719"/>
      <c r="Y39" s="1123"/>
      <c r="Z39" s="1123"/>
      <c r="AA39" s="1123"/>
      <c r="AB39" s="1123"/>
      <c r="AC39" s="1122">
        <f t="shared" si="16"/>
        <v>0</v>
      </c>
      <c r="AD39" s="1733">
        <v>2479.84</v>
      </c>
      <c r="AE39" s="1734">
        <v>14.77</v>
      </c>
      <c r="AF39" s="1734">
        <v>457.61</v>
      </c>
      <c r="AG39" s="1734">
        <v>-0.03</v>
      </c>
      <c r="AH39" s="1735">
        <v>0</v>
      </c>
      <c r="AI39" s="1045">
        <f t="shared" si="17"/>
        <v>2952.19</v>
      </c>
      <c r="AJ39" s="1744">
        <v>16376.51</v>
      </c>
      <c r="AK39" s="1125">
        <v>0</v>
      </c>
      <c r="AL39" s="1125">
        <v>4094.13</v>
      </c>
      <c r="AM39" s="1125">
        <v>0</v>
      </c>
      <c r="AN39" s="1745">
        <v>0</v>
      </c>
      <c r="AO39" s="1057">
        <f t="shared" si="18"/>
        <v>20470.64</v>
      </c>
      <c r="AP39" s="1736"/>
      <c r="AQ39" s="1046"/>
      <c r="AR39" s="1046"/>
      <c r="AS39" s="1046"/>
      <c r="AT39" s="1046"/>
      <c r="AU39" s="1049">
        <f t="shared" si="19"/>
        <v>0</v>
      </c>
      <c r="AV39" s="1755">
        <v>1841.95</v>
      </c>
      <c r="AW39" s="1756">
        <v>460.48</v>
      </c>
      <c r="AX39" s="1756">
        <v>0</v>
      </c>
      <c r="AY39" s="1756">
        <v>0</v>
      </c>
      <c r="AZ39" s="1757">
        <v>0</v>
      </c>
      <c r="BA39" s="1051">
        <f t="shared" si="20"/>
        <v>2302.4300000000003</v>
      </c>
      <c r="BB39" s="1764">
        <v>-636.99</v>
      </c>
      <c r="BC39" s="1765">
        <v>-159.25</v>
      </c>
      <c r="BD39" s="1765">
        <v>0</v>
      </c>
      <c r="BE39" s="1765">
        <v>0</v>
      </c>
      <c r="BF39" s="1766">
        <v>0</v>
      </c>
      <c r="BG39" s="1047">
        <f t="shared" si="21"/>
        <v>-796.24</v>
      </c>
      <c r="BH39" s="1746"/>
      <c r="BI39" s="1053"/>
      <c r="BJ39" s="1053"/>
      <c r="BK39" s="1053"/>
      <c r="BL39" s="1053"/>
      <c r="BM39" s="1054">
        <f t="shared" si="22"/>
        <v>0</v>
      </c>
      <c r="BN39" s="1744">
        <v>14494.25</v>
      </c>
      <c r="BO39" s="1125">
        <v>1835.94</v>
      </c>
      <c r="BP39" s="1125">
        <v>2995.48</v>
      </c>
      <c r="BQ39" s="1125">
        <v>-0.02</v>
      </c>
      <c r="BR39" s="1745">
        <v>0</v>
      </c>
      <c r="BS39" s="1054">
        <f t="shared" si="23"/>
        <v>19325.650000000001</v>
      </c>
      <c r="BT39" s="1744"/>
      <c r="BU39" s="1125"/>
      <c r="BV39" s="1125"/>
      <c r="BW39" s="1125"/>
      <c r="BX39" s="1745"/>
      <c r="BY39" s="1057">
        <f t="shared" si="24"/>
        <v>0</v>
      </c>
      <c r="BZ39" s="1744">
        <v>1766.32</v>
      </c>
      <c r="CA39" s="1125">
        <v>4139.5600000000004</v>
      </c>
      <c r="CB39" s="1125">
        <v>1083.32</v>
      </c>
      <c r="CC39" s="1125">
        <v>-0.06</v>
      </c>
      <c r="CD39" s="1745">
        <v>0</v>
      </c>
      <c r="CE39" s="1057">
        <f t="shared" si="25"/>
        <v>6989.1399999999994</v>
      </c>
      <c r="CF39" s="1746"/>
      <c r="CG39" s="1053"/>
      <c r="CH39" s="1053"/>
      <c r="CI39" s="1053"/>
      <c r="CJ39" s="1747"/>
      <c r="CK39" s="1057">
        <f t="shared" si="26"/>
        <v>0</v>
      </c>
      <c r="CL39" s="1746"/>
      <c r="CM39" s="1053"/>
      <c r="CN39" s="1053"/>
      <c r="CO39" s="1053"/>
      <c r="CP39" s="1053"/>
      <c r="CQ39" s="1054">
        <f t="shared" si="27"/>
        <v>0</v>
      </c>
      <c r="CR39" s="1744"/>
      <c r="CS39" s="1125"/>
      <c r="CT39" s="1125"/>
      <c r="CU39" s="1125"/>
      <c r="CV39" s="1745"/>
      <c r="CW39" s="1057">
        <f t="shared" si="28"/>
        <v>0</v>
      </c>
      <c r="CX39" s="1744"/>
      <c r="CY39" s="1125"/>
      <c r="CZ39" s="1125"/>
      <c r="DA39" s="1125"/>
      <c r="DB39" s="1745"/>
      <c r="DC39" s="1054">
        <f t="shared" si="29"/>
        <v>0</v>
      </c>
      <c r="DD39" s="1744"/>
      <c r="DE39" s="1125"/>
      <c r="DF39" s="1125"/>
      <c r="DG39" s="1125"/>
      <c r="DH39" s="1745"/>
      <c r="DI39" s="1057">
        <f t="shared" si="30"/>
        <v>0</v>
      </c>
      <c r="DJ39" s="1744">
        <v>-366</v>
      </c>
      <c r="DK39" s="1125">
        <v>0</v>
      </c>
      <c r="DL39" s="1125">
        <v>0</v>
      </c>
      <c r="DM39" s="1125">
        <v>0</v>
      </c>
      <c r="DN39" s="1125">
        <v>0</v>
      </c>
      <c r="DO39" s="1124">
        <f t="shared" si="31"/>
        <v>-366</v>
      </c>
      <c r="DP39" s="1125"/>
      <c r="DQ39" s="1125"/>
      <c r="DR39" s="1125"/>
      <c r="DS39" s="1125"/>
      <c r="DT39" s="1125"/>
      <c r="DU39" s="1125">
        <f t="shared" si="34"/>
        <v>0</v>
      </c>
      <c r="DV39" s="1746">
        <v>4125</v>
      </c>
      <c r="DW39" s="1053">
        <v>2846.25</v>
      </c>
      <c r="DX39" s="1053">
        <v>1278.75</v>
      </c>
      <c r="DY39" s="1053">
        <v>0</v>
      </c>
      <c r="DZ39" s="1053">
        <v>0</v>
      </c>
      <c r="EA39" s="1058">
        <f t="shared" si="32"/>
        <v>8250</v>
      </c>
      <c r="EB39" s="1746">
        <v>0</v>
      </c>
      <c r="EC39" s="1053">
        <v>0</v>
      </c>
      <c r="ED39" s="1053">
        <v>0</v>
      </c>
      <c r="EE39" s="1053">
        <v>0</v>
      </c>
      <c r="EF39" s="1747">
        <v>0</v>
      </c>
      <c r="EG39" s="1057">
        <f t="shared" si="33"/>
        <v>0</v>
      </c>
    </row>
    <row r="40" spans="1:137" ht="15" customHeight="1" x14ac:dyDescent="0.25">
      <c r="A40" s="719" t="s">
        <v>94</v>
      </c>
      <c r="B40" s="816" t="s">
        <v>95</v>
      </c>
      <c r="C40" s="917" t="s">
        <v>264</v>
      </c>
      <c r="D40" s="814">
        <f t="shared" si="6"/>
        <v>49189.600000000006</v>
      </c>
      <c r="E40" s="814">
        <f t="shared" si="7"/>
        <v>24813.84</v>
      </c>
      <c r="F40" s="814">
        <f t="shared" si="8"/>
        <v>14052.94</v>
      </c>
      <c r="G40" s="814">
        <f t="shared" si="9"/>
        <v>2.0000000000000004E-2</v>
      </c>
      <c r="H40" s="814">
        <f t="shared" si="10"/>
        <v>0</v>
      </c>
      <c r="I40" s="1422">
        <f t="shared" si="11"/>
        <v>88056.400000000009</v>
      </c>
      <c r="J40" s="815">
        <f t="shared" si="12"/>
        <v>2.0000000000000004E-2</v>
      </c>
      <c r="K40" s="1423">
        <f t="shared" si="13"/>
        <v>14052.960000000001</v>
      </c>
      <c r="L40" s="1723"/>
      <c r="M40" s="1043"/>
      <c r="N40" s="1043"/>
      <c r="O40" s="1043"/>
      <c r="P40" s="1043"/>
      <c r="Q40" s="1044">
        <f t="shared" si="14"/>
        <v>0</v>
      </c>
      <c r="R40" s="1717"/>
      <c r="S40" s="1048"/>
      <c r="T40" s="1048"/>
      <c r="U40" s="1048"/>
      <c r="V40" s="1718"/>
      <c r="W40" s="1047">
        <f t="shared" si="15"/>
        <v>0</v>
      </c>
      <c r="X40" s="1719"/>
      <c r="Y40" s="1123"/>
      <c r="Z40" s="1123"/>
      <c r="AA40" s="1123"/>
      <c r="AB40" s="1123"/>
      <c r="AC40" s="1122">
        <f t="shared" si="16"/>
        <v>0</v>
      </c>
      <c r="AD40" s="1733">
        <v>282.04000000000002</v>
      </c>
      <c r="AE40" s="1734">
        <v>1.68</v>
      </c>
      <c r="AF40" s="1734">
        <v>52.04</v>
      </c>
      <c r="AG40" s="1734">
        <v>0</v>
      </c>
      <c r="AH40" s="1735">
        <v>0</v>
      </c>
      <c r="AI40" s="1045">
        <f t="shared" si="17"/>
        <v>335.76000000000005</v>
      </c>
      <c r="AJ40" s="1744">
        <v>22540</v>
      </c>
      <c r="AK40" s="1125">
        <v>0</v>
      </c>
      <c r="AL40" s="1125">
        <v>5635</v>
      </c>
      <c r="AM40" s="1125">
        <v>0</v>
      </c>
      <c r="AN40" s="1745">
        <v>0</v>
      </c>
      <c r="AO40" s="1057">
        <f t="shared" si="18"/>
        <v>28175</v>
      </c>
      <c r="AP40" s="1736"/>
      <c r="AQ40" s="1046"/>
      <c r="AR40" s="1046"/>
      <c r="AS40" s="1046"/>
      <c r="AT40" s="1046"/>
      <c r="AU40" s="1049">
        <f t="shared" si="19"/>
        <v>0</v>
      </c>
      <c r="AV40" s="1758"/>
      <c r="AW40" s="1050"/>
      <c r="AX40" s="1050"/>
      <c r="AY40" s="1050"/>
      <c r="AZ40" s="1050"/>
      <c r="BA40" s="1051">
        <f t="shared" si="20"/>
        <v>0</v>
      </c>
      <c r="BB40" s="1764">
        <v>3162.43</v>
      </c>
      <c r="BC40" s="1765">
        <v>790.61</v>
      </c>
      <c r="BD40" s="1765">
        <v>0</v>
      </c>
      <c r="BE40" s="1765">
        <v>0</v>
      </c>
      <c r="BF40" s="1766">
        <v>0</v>
      </c>
      <c r="BG40" s="1047">
        <f t="shared" si="21"/>
        <v>3953.04</v>
      </c>
      <c r="BH40" s="1744">
        <v>576.65</v>
      </c>
      <c r="BI40" s="1125">
        <v>1041.3499999999999</v>
      </c>
      <c r="BJ40" s="1125">
        <v>0</v>
      </c>
      <c r="BK40" s="1125">
        <v>0</v>
      </c>
      <c r="BL40" s="1745">
        <v>0</v>
      </c>
      <c r="BM40" s="1054">
        <f t="shared" si="22"/>
        <v>1618</v>
      </c>
      <c r="BN40" s="1744">
        <v>14140.54</v>
      </c>
      <c r="BO40" s="1125">
        <v>1791.12</v>
      </c>
      <c r="BP40" s="1125">
        <v>2922.36</v>
      </c>
      <c r="BQ40" s="1125">
        <v>-0.02</v>
      </c>
      <c r="BR40" s="1745">
        <v>0</v>
      </c>
      <c r="BS40" s="1054">
        <f t="shared" si="23"/>
        <v>18854</v>
      </c>
      <c r="BT40" s="1744"/>
      <c r="BU40" s="1125"/>
      <c r="BV40" s="1125"/>
      <c r="BW40" s="1125"/>
      <c r="BX40" s="1745"/>
      <c r="BY40" s="1057">
        <f t="shared" si="24"/>
        <v>0</v>
      </c>
      <c r="BZ40" s="1744">
        <v>6231.62</v>
      </c>
      <c r="CA40" s="1125">
        <v>21189.08</v>
      </c>
      <c r="CB40" s="1125">
        <v>5029.6899999999996</v>
      </c>
      <c r="CC40" s="1125">
        <v>-0.04</v>
      </c>
      <c r="CD40" s="1745">
        <v>0</v>
      </c>
      <c r="CE40" s="1057">
        <f t="shared" si="25"/>
        <v>32450.35</v>
      </c>
      <c r="CF40" s="1744"/>
      <c r="CG40" s="1125"/>
      <c r="CH40" s="1125"/>
      <c r="CI40" s="1125"/>
      <c r="CJ40" s="1745"/>
      <c r="CK40" s="1057">
        <f t="shared" si="26"/>
        <v>0</v>
      </c>
      <c r="CL40" s="1746"/>
      <c r="CM40" s="1053"/>
      <c r="CN40" s="1053"/>
      <c r="CO40" s="1053"/>
      <c r="CP40" s="1053"/>
      <c r="CQ40" s="1054">
        <f t="shared" si="27"/>
        <v>0</v>
      </c>
      <c r="CR40" s="1744"/>
      <c r="CS40" s="1125"/>
      <c r="CT40" s="1125"/>
      <c r="CU40" s="1125"/>
      <c r="CV40" s="1745"/>
      <c r="CW40" s="1057">
        <f t="shared" si="28"/>
        <v>0</v>
      </c>
      <c r="CX40" s="1746"/>
      <c r="CY40" s="1053"/>
      <c r="CZ40" s="1053"/>
      <c r="DA40" s="1053"/>
      <c r="DB40" s="1053"/>
      <c r="DC40" s="1054">
        <f t="shared" si="29"/>
        <v>0</v>
      </c>
      <c r="DD40" s="1744"/>
      <c r="DE40" s="1125"/>
      <c r="DF40" s="1125"/>
      <c r="DG40" s="1125"/>
      <c r="DH40" s="1745"/>
      <c r="DI40" s="1057">
        <f t="shared" si="30"/>
        <v>0</v>
      </c>
      <c r="DJ40" s="1744"/>
      <c r="DK40" s="1125"/>
      <c r="DL40" s="1125"/>
      <c r="DM40" s="1125"/>
      <c r="DN40" s="1125"/>
      <c r="DO40" s="1124">
        <f t="shared" si="31"/>
        <v>0</v>
      </c>
      <c r="DP40" s="1125"/>
      <c r="DQ40" s="1125"/>
      <c r="DR40" s="1125"/>
      <c r="DS40" s="1125"/>
      <c r="DT40" s="1125"/>
      <c r="DU40" s="1125">
        <f t="shared" si="34"/>
        <v>0</v>
      </c>
      <c r="DV40" s="1746">
        <v>0</v>
      </c>
      <c r="DW40" s="1053">
        <v>0</v>
      </c>
      <c r="DX40" s="1053">
        <v>0</v>
      </c>
      <c r="DY40" s="1053">
        <v>0</v>
      </c>
      <c r="DZ40" s="1053">
        <v>0</v>
      </c>
      <c r="EA40" s="1058">
        <f t="shared" si="32"/>
        <v>0</v>
      </c>
      <c r="EB40" s="1744">
        <v>2256.3200000000002</v>
      </c>
      <c r="EC40" s="1125">
        <v>0</v>
      </c>
      <c r="ED40" s="1125">
        <v>413.85</v>
      </c>
      <c r="EE40" s="1125">
        <v>0.08</v>
      </c>
      <c r="EF40" s="1745">
        <v>0</v>
      </c>
      <c r="EG40" s="1057">
        <f t="shared" si="33"/>
        <v>2670.25</v>
      </c>
    </row>
    <row r="41" spans="1:137" ht="15" customHeight="1" x14ac:dyDescent="0.25">
      <c r="A41" s="719" t="s">
        <v>96</v>
      </c>
      <c r="B41" s="816" t="s">
        <v>97</v>
      </c>
      <c r="C41" s="917" t="s">
        <v>266</v>
      </c>
      <c r="D41" s="814">
        <f t="shared" si="6"/>
        <v>35568.020000000004</v>
      </c>
      <c r="E41" s="814">
        <f t="shared" si="7"/>
        <v>8819.51</v>
      </c>
      <c r="F41" s="814">
        <f t="shared" si="8"/>
        <v>9161.75</v>
      </c>
      <c r="G41" s="814">
        <f t="shared" si="9"/>
        <v>-3.0000000000000002E-2</v>
      </c>
      <c r="H41" s="814">
        <f t="shared" si="10"/>
        <v>87848.21</v>
      </c>
      <c r="I41" s="1422">
        <f t="shared" si="11"/>
        <v>141397.46000000002</v>
      </c>
      <c r="J41" s="815">
        <f t="shared" si="12"/>
        <v>87848.180000000008</v>
      </c>
      <c r="K41" s="1423">
        <f t="shared" si="13"/>
        <v>97009.930000000008</v>
      </c>
      <c r="L41" s="1723">
        <v>0</v>
      </c>
      <c r="M41" s="1043">
        <v>1520</v>
      </c>
      <c r="N41" s="1043">
        <v>0</v>
      </c>
      <c r="O41" s="1043">
        <v>0</v>
      </c>
      <c r="P41" s="1043">
        <v>0</v>
      </c>
      <c r="Q41" s="1044">
        <f t="shared" si="14"/>
        <v>1520</v>
      </c>
      <c r="R41" s="1717"/>
      <c r="S41" s="1048"/>
      <c r="T41" s="1048"/>
      <c r="U41" s="1048"/>
      <c r="V41" s="1718"/>
      <c r="W41" s="1047">
        <f t="shared" si="15"/>
        <v>0</v>
      </c>
      <c r="X41" s="1719"/>
      <c r="Y41" s="1123"/>
      <c r="Z41" s="1123"/>
      <c r="AA41" s="1123"/>
      <c r="AB41" s="1123"/>
      <c r="AC41" s="1122">
        <f t="shared" si="16"/>
        <v>0</v>
      </c>
      <c r="AD41" s="1733">
        <v>954.24</v>
      </c>
      <c r="AE41" s="1734">
        <v>5.69</v>
      </c>
      <c r="AF41" s="1734">
        <v>176.09</v>
      </c>
      <c r="AG41" s="1734">
        <v>-0.02</v>
      </c>
      <c r="AH41" s="1735">
        <v>0</v>
      </c>
      <c r="AI41" s="1045">
        <f t="shared" si="17"/>
        <v>1136</v>
      </c>
      <c r="AJ41" s="1744">
        <v>21809.91</v>
      </c>
      <c r="AK41" s="1125">
        <v>0</v>
      </c>
      <c r="AL41" s="1125">
        <v>5452.49</v>
      </c>
      <c r="AM41" s="1125">
        <v>0</v>
      </c>
      <c r="AN41" s="1745">
        <v>87848.21</v>
      </c>
      <c r="AO41" s="1057">
        <f t="shared" si="18"/>
        <v>115110.61000000002</v>
      </c>
      <c r="AP41" s="1736"/>
      <c r="AQ41" s="1046"/>
      <c r="AR41" s="1046"/>
      <c r="AS41" s="1046"/>
      <c r="AT41" s="1046"/>
      <c r="AU41" s="1049">
        <f t="shared" si="19"/>
        <v>0</v>
      </c>
      <c r="AV41" s="1755">
        <v>600.30999999999995</v>
      </c>
      <c r="AW41" s="1756">
        <v>150.08000000000001</v>
      </c>
      <c r="AX41" s="1756">
        <v>0</v>
      </c>
      <c r="AY41" s="1756">
        <v>0</v>
      </c>
      <c r="AZ41" s="1757">
        <v>0</v>
      </c>
      <c r="BA41" s="1051">
        <f t="shared" si="20"/>
        <v>750.39</v>
      </c>
      <c r="BB41" s="1764">
        <v>2408.9</v>
      </c>
      <c r="BC41" s="1765">
        <v>602.21</v>
      </c>
      <c r="BD41" s="1765">
        <v>0</v>
      </c>
      <c r="BE41" s="1765">
        <v>0</v>
      </c>
      <c r="BF41" s="1766">
        <v>0</v>
      </c>
      <c r="BG41" s="1047">
        <f t="shared" si="21"/>
        <v>3011.11</v>
      </c>
      <c r="BH41" s="1746">
        <v>44.98</v>
      </c>
      <c r="BI41" s="1053">
        <v>81.23</v>
      </c>
      <c r="BJ41" s="1053">
        <v>0</v>
      </c>
      <c r="BK41" s="1053">
        <v>0</v>
      </c>
      <c r="BL41" s="1053">
        <v>0</v>
      </c>
      <c r="BM41" s="1054">
        <f t="shared" si="22"/>
        <v>126.21000000000001</v>
      </c>
      <c r="BN41" s="1746">
        <v>894.75</v>
      </c>
      <c r="BO41" s="1053">
        <v>113.33</v>
      </c>
      <c r="BP41" s="1053">
        <v>184.92</v>
      </c>
      <c r="BQ41" s="1053">
        <v>0</v>
      </c>
      <c r="BR41" s="1053">
        <v>0</v>
      </c>
      <c r="BS41" s="1054">
        <f t="shared" si="23"/>
        <v>1193</v>
      </c>
      <c r="BT41" s="1744"/>
      <c r="BU41" s="1125"/>
      <c r="BV41" s="1125"/>
      <c r="BW41" s="1125"/>
      <c r="BX41" s="1745"/>
      <c r="BY41" s="1057">
        <f t="shared" si="24"/>
        <v>0</v>
      </c>
      <c r="BZ41" s="1744">
        <v>1005.52</v>
      </c>
      <c r="CA41" s="1125">
        <v>3145.03</v>
      </c>
      <c r="CB41" s="1125">
        <v>761.33</v>
      </c>
      <c r="CC41" s="1125">
        <v>-0.02</v>
      </c>
      <c r="CD41" s="1745">
        <v>0</v>
      </c>
      <c r="CE41" s="1057">
        <f t="shared" si="25"/>
        <v>4911.8599999999997</v>
      </c>
      <c r="CF41" s="1746">
        <v>372</v>
      </c>
      <c r="CG41" s="1053">
        <v>0</v>
      </c>
      <c r="CH41" s="1053">
        <v>628</v>
      </c>
      <c r="CI41" s="1053">
        <v>0</v>
      </c>
      <c r="CJ41" s="1747">
        <v>0</v>
      </c>
      <c r="CK41" s="1057">
        <f t="shared" si="26"/>
        <v>1000</v>
      </c>
      <c r="CL41" s="1746"/>
      <c r="CM41" s="1053"/>
      <c r="CN41" s="1053"/>
      <c r="CO41" s="1053"/>
      <c r="CP41" s="1053"/>
      <c r="CQ41" s="1054">
        <f t="shared" si="27"/>
        <v>0</v>
      </c>
      <c r="CR41" s="1744"/>
      <c r="CS41" s="1125"/>
      <c r="CT41" s="1125"/>
      <c r="CU41" s="1125"/>
      <c r="CV41" s="1745"/>
      <c r="CW41" s="1057">
        <f t="shared" si="28"/>
        <v>0</v>
      </c>
      <c r="CX41" s="1746"/>
      <c r="CY41" s="1053"/>
      <c r="CZ41" s="1053"/>
      <c r="DA41" s="1053"/>
      <c r="DB41" s="1053"/>
      <c r="DC41" s="1054">
        <f t="shared" si="29"/>
        <v>0</v>
      </c>
      <c r="DD41" s="1744"/>
      <c r="DE41" s="1125"/>
      <c r="DF41" s="1125"/>
      <c r="DG41" s="1125"/>
      <c r="DH41" s="1745"/>
      <c r="DI41" s="1057">
        <f t="shared" si="30"/>
        <v>0</v>
      </c>
      <c r="DJ41" s="1744"/>
      <c r="DK41" s="1125"/>
      <c r="DL41" s="1125"/>
      <c r="DM41" s="1125"/>
      <c r="DN41" s="1125"/>
      <c r="DO41" s="1124">
        <f t="shared" si="31"/>
        <v>0</v>
      </c>
      <c r="DP41" s="1125"/>
      <c r="DQ41" s="1125"/>
      <c r="DR41" s="1125"/>
      <c r="DS41" s="1125"/>
      <c r="DT41" s="1125"/>
      <c r="DU41" s="1125">
        <f t="shared" si="34"/>
        <v>0</v>
      </c>
      <c r="DV41" s="1744">
        <v>4640.51</v>
      </c>
      <c r="DW41" s="1125">
        <v>3201.94</v>
      </c>
      <c r="DX41" s="1125">
        <v>1438.56</v>
      </c>
      <c r="DY41" s="1125">
        <v>-0.01</v>
      </c>
      <c r="DZ41" s="1745">
        <v>0</v>
      </c>
      <c r="EA41" s="1058">
        <f t="shared" si="32"/>
        <v>9281</v>
      </c>
      <c r="EB41" s="1744">
        <v>2836.9</v>
      </c>
      <c r="EC41" s="1125">
        <v>0</v>
      </c>
      <c r="ED41" s="1125">
        <v>520.36</v>
      </c>
      <c r="EE41" s="1125">
        <v>0.02</v>
      </c>
      <c r="EF41" s="1745">
        <v>0</v>
      </c>
      <c r="EG41" s="1057">
        <f t="shared" si="33"/>
        <v>3357.28</v>
      </c>
    </row>
    <row r="42" spans="1:137" ht="15" customHeight="1" x14ac:dyDescent="0.25">
      <c r="A42" s="719" t="s">
        <v>98</v>
      </c>
      <c r="B42" s="816" t="s">
        <v>99</v>
      </c>
      <c r="C42" s="917" t="s">
        <v>268</v>
      </c>
      <c r="D42" s="814">
        <f t="shared" si="6"/>
        <v>28453.09</v>
      </c>
      <c r="E42" s="814">
        <f t="shared" si="7"/>
        <v>9590.7900000000009</v>
      </c>
      <c r="F42" s="814">
        <f t="shared" si="8"/>
        <v>7319.01</v>
      </c>
      <c r="G42" s="814">
        <f t="shared" si="9"/>
        <v>-2.0000000000000004E-2</v>
      </c>
      <c r="H42" s="814">
        <f t="shared" si="10"/>
        <v>0</v>
      </c>
      <c r="I42" s="1422">
        <f t="shared" si="11"/>
        <v>45362.87000000001</v>
      </c>
      <c r="J42" s="815">
        <f t="shared" si="12"/>
        <v>-2.0000000000000004E-2</v>
      </c>
      <c r="K42" s="1423">
        <f t="shared" si="13"/>
        <v>7318.99</v>
      </c>
      <c r="L42" s="1723"/>
      <c r="M42" s="1043"/>
      <c r="N42" s="1043"/>
      <c r="O42" s="1043"/>
      <c r="P42" s="1043"/>
      <c r="Q42" s="1044">
        <f t="shared" si="14"/>
        <v>0</v>
      </c>
      <c r="R42" s="1717"/>
      <c r="S42" s="1048"/>
      <c r="T42" s="1048"/>
      <c r="U42" s="1048"/>
      <c r="V42" s="1718"/>
      <c r="W42" s="1047">
        <f t="shared" si="15"/>
        <v>0</v>
      </c>
      <c r="X42" s="1719"/>
      <c r="Y42" s="1123"/>
      <c r="Z42" s="1123"/>
      <c r="AA42" s="1123"/>
      <c r="AB42" s="1123"/>
      <c r="AC42" s="1122">
        <f t="shared" si="16"/>
        <v>0</v>
      </c>
      <c r="AD42" s="1733">
        <v>827.92</v>
      </c>
      <c r="AE42" s="1734">
        <v>4.92</v>
      </c>
      <c r="AF42" s="1734">
        <v>152.77000000000001</v>
      </c>
      <c r="AG42" s="1734">
        <v>0</v>
      </c>
      <c r="AH42" s="1735">
        <v>0</v>
      </c>
      <c r="AI42" s="1045">
        <f t="shared" si="17"/>
        <v>985.6099999999999</v>
      </c>
      <c r="AJ42" s="1744">
        <v>5116.59</v>
      </c>
      <c r="AK42" s="1125">
        <v>0</v>
      </c>
      <c r="AL42" s="1125">
        <v>1279.18</v>
      </c>
      <c r="AM42" s="1125">
        <v>0</v>
      </c>
      <c r="AN42" s="1745">
        <v>0</v>
      </c>
      <c r="AO42" s="1057">
        <f t="shared" si="18"/>
        <v>6395.77</v>
      </c>
      <c r="AP42" s="1736"/>
      <c r="AQ42" s="1046"/>
      <c r="AR42" s="1046"/>
      <c r="AS42" s="1046"/>
      <c r="AT42" s="1046"/>
      <c r="AU42" s="1049">
        <f t="shared" si="19"/>
        <v>0</v>
      </c>
      <c r="AV42" s="1755"/>
      <c r="AW42" s="1756"/>
      <c r="AX42" s="1756"/>
      <c r="AY42" s="1756"/>
      <c r="AZ42" s="1757"/>
      <c r="BA42" s="1051">
        <f t="shared" si="20"/>
        <v>0</v>
      </c>
      <c r="BB42" s="1764">
        <v>0</v>
      </c>
      <c r="BC42" s="1765">
        <v>0</v>
      </c>
      <c r="BD42" s="1765">
        <v>0</v>
      </c>
      <c r="BE42" s="1765">
        <v>0</v>
      </c>
      <c r="BF42" s="1766">
        <v>0</v>
      </c>
      <c r="BG42" s="1047">
        <f t="shared" si="21"/>
        <v>0</v>
      </c>
      <c r="BH42" s="1746"/>
      <c r="BI42" s="1053"/>
      <c r="BJ42" s="1053"/>
      <c r="BK42" s="1053"/>
      <c r="BL42" s="1053"/>
      <c r="BM42" s="1054">
        <f t="shared" si="22"/>
        <v>0</v>
      </c>
      <c r="BN42" s="1744">
        <v>13257.34</v>
      </c>
      <c r="BO42" s="1125">
        <v>1679.28</v>
      </c>
      <c r="BP42" s="1125">
        <v>2739.86</v>
      </c>
      <c r="BQ42" s="1125">
        <v>-0.05</v>
      </c>
      <c r="BR42" s="1745">
        <v>0</v>
      </c>
      <c r="BS42" s="1054">
        <f t="shared" si="23"/>
        <v>17676.43</v>
      </c>
      <c r="BT42" s="1744"/>
      <c r="BU42" s="1125"/>
      <c r="BV42" s="1125"/>
      <c r="BW42" s="1125"/>
      <c r="BX42" s="1745"/>
      <c r="BY42" s="1057">
        <f t="shared" si="24"/>
        <v>0</v>
      </c>
      <c r="BZ42" s="1744">
        <v>1606.65</v>
      </c>
      <c r="CA42" s="1125">
        <v>5484</v>
      </c>
      <c r="CB42" s="1125">
        <v>1300.57</v>
      </c>
      <c r="CC42" s="1125">
        <v>0</v>
      </c>
      <c r="CD42" s="1745">
        <v>0</v>
      </c>
      <c r="CE42" s="1057">
        <f t="shared" si="25"/>
        <v>8391.2199999999993</v>
      </c>
      <c r="CF42" s="1746"/>
      <c r="CG42" s="1053"/>
      <c r="CH42" s="1053"/>
      <c r="CI42" s="1053"/>
      <c r="CJ42" s="1747"/>
      <c r="CK42" s="1057">
        <f t="shared" si="26"/>
        <v>0</v>
      </c>
      <c r="CL42" s="1746"/>
      <c r="CM42" s="1053"/>
      <c r="CN42" s="1053"/>
      <c r="CO42" s="1053"/>
      <c r="CP42" s="1053"/>
      <c r="CQ42" s="1054">
        <f t="shared" si="27"/>
        <v>0</v>
      </c>
      <c r="CR42" s="1746"/>
      <c r="CS42" s="1053"/>
      <c r="CT42" s="1053"/>
      <c r="CU42" s="1053"/>
      <c r="CV42" s="1747"/>
      <c r="CW42" s="1057">
        <f t="shared" si="28"/>
        <v>0</v>
      </c>
      <c r="CX42" s="1746"/>
      <c r="CY42" s="1053"/>
      <c r="CZ42" s="1053"/>
      <c r="DA42" s="1053"/>
      <c r="DB42" s="1053"/>
      <c r="DC42" s="1054">
        <f t="shared" si="29"/>
        <v>0</v>
      </c>
      <c r="DD42" s="1744"/>
      <c r="DE42" s="1125"/>
      <c r="DF42" s="1125"/>
      <c r="DG42" s="1125"/>
      <c r="DH42" s="1745"/>
      <c r="DI42" s="1057">
        <f t="shared" si="30"/>
        <v>0</v>
      </c>
      <c r="DJ42" s="1744"/>
      <c r="DK42" s="1125"/>
      <c r="DL42" s="1125"/>
      <c r="DM42" s="1125"/>
      <c r="DN42" s="1125"/>
      <c r="DO42" s="1124">
        <f t="shared" si="31"/>
        <v>0</v>
      </c>
      <c r="DP42" s="1125"/>
      <c r="DQ42" s="1125"/>
      <c r="DR42" s="1125"/>
      <c r="DS42" s="1125"/>
      <c r="DT42" s="1125"/>
      <c r="DU42" s="1125">
        <f t="shared" si="34"/>
        <v>0</v>
      </c>
      <c r="DV42" s="1746">
        <v>3511</v>
      </c>
      <c r="DW42" s="1053">
        <v>2422.59</v>
      </c>
      <c r="DX42" s="1053">
        <v>1088.4100000000001</v>
      </c>
      <c r="DY42" s="1053">
        <v>0</v>
      </c>
      <c r="DZ42" s="1053">
        <v>0</v>
      </c>
      <c r="EA42" s="1058">
        <f t="shared" si="32"/>
        <v>7022</v>
      </c>
      <c r="EB42" s="1744">
        <v>4133.59</v>
      </c>
      <c r="EC42" s="1125">
        <v>0</v>
      </c>
      <c r="ED42" s="1125">
        <v>758.22</v>
      </c>
      <c r="EE42" s="1125">
        <v>0.03</v>
      </c>
      <c r="EF42" s="1745">
        <v>0</v>
      </c>
      <c r="EG42" s="1057">
        <f t="shared" si="33"/>
        <v>4891.84</v>
      </c>
    </row>
    <row r="43" spans="1:137" ht="15" customHeight="1" x14ac:dyDescent="0.25">
      <c r="A43" s="719" t="s">
        <v>100</v>
      </c>
      <c r="B43" s="816" t="s">
        <v>101</v>
      </c>
      <c r="C43" s="917" t="s">
        <v>267</v>
      </c>
      <c r="D43" s="814">
        <f t="shared" si="6"/>
        <v>19769.809999999998</v>
      </c>
      <c r="E43" s="814">
        <f t="shared" si="7"/>
        <v>22456.960000000003</v>
      </c>
      <c r="F43" s="814">
        <f t="shared" si="8"/>
        <v>7544.43</v>
      </c>
      <c r="G43" s="814">
        <f t="shared" si="9"/>
        <v>-0.06</v>
      </c>
      <c r="H43" s="814">
        <f t="shared" si="10"/>
        <v>0</v>
      </c>
      <c r="I43" s="1422">
        <f t="shared" si="11"/>
        <v>49771.140000000007</v>
      </c>
      <c r="J43" s="815">
        <f t="shared" si="12"/>
        <v>-0.06</v>
      </c>
      <c r="K43" s="1423">
        <f t="shared" si="13"/>
        <v>7544.37</v>
      </c>
      <c r="L43" s="1723"/>
      <c r="M43" s="1043"/>
      <c r="N43" s="1043"/>
      <c r="O43" s="1043"/>
      <c r="P43" s="1043"/>
      <c r="Q43" s="1044">
        <f t="shared" si="14"/>
        <v>0</v>
      </c>
      <c r="R43" s="1717"/>
      <c r="S43" s="1048"/>
      <c r="T43" s="1048"/>
      <c r="U43" s="1048"/>
      <c r="V43" s="1718"/>
      <c r="W43" s="1047">
        <f t="shared" si="15"/>
        <v>0</v>
      </c>
      <c r="X43" s="1719"/>
      <c r="Y43" s="1123"/>
      <c r="Z43" s="1123"/>
      <c r="AA43" s="1123"/>
      <c r="AB43" s="1123"/>
      <c r="AC43" s="1122">
        <f t="shared" si="16"/>
        <v>0</v>
      </c>
      <c r="AD43" s="1733">
        <v>318.35000000000002</v>
      </c>
      <c r="AE43" s="1734">
        <v>1.89</v>
      </c>
      <c r="AF43" s="1734">
        <v>58.74</v>
      </c>
      <c r="AG43" s="1734">
        <v>0</v>
      </c>
      <c r="AH43" s="1735">
        <v>0</v>
      </c>
      <c r="AI43" s="1045">
        <f t="shared" si="17"/>
        <v>378.98</v>
      </c>
      <c r="AJ43" s="1744">
        <v>1836</v>
      </c>
      <c r="AK43" s="1125">
        <v>0</v>
      </c>
      <c r="AL43" s="1125">
        <v>459</v>
      </c>
      <c r="AM43" s="1125">
        <v>0</v>
      </c>
      <c r="AN43" s="1745">
        <v>0</v>
      </c>
      <c r="AO43" s="1057">
        <f t="shared" si="18"/>
        <v>2295</v>
      </c>
      <c r="AP43" s="1736"/>
      <c r="AQ43" s="1046"/>
      <c r="AR43" s="1046"/>
      <c r="AS43" s="1046"/>
      <c r="AT43" s="1046"/>
      <c r="AU43" s="1049">
        <f t="shared" si="19"/>
        <v>0</v>
      </c>
      <c r="AV43" s="1758"/>
      <c r="AW43" s="1050"/>
      <c r="AX43" s="1050"/>
      <c r="AY43" s="1050"/>
      <c r="AZ43" s="1050"/>
      <c r="BA43" s="1051">
        <f t="shared" si="20"/>
        <v>0</v>
      </c>
      <c r="BB43" s="1764">
        <v>1530.4</v>
      </c>
      <c r="BC43" s="1765">
        <v>382.6</v>
      </c>
      <c r="BD43" s="1765">
        <v>0</v>
      </c>
      <c r="BE43" s="1765">
        <v>0</v>
      </c>
      <c r="BF43" s="1766">
        <v>0</v>
      </c>
      <c r="BG43" s="1047">
        <f t="shared" si="21"/>
        <v>1913</v>
      </c>
      <c r="BH43" s="1746"/>
      <c r="BI43" s="1053"/>
      <c r="BJ43" s="1053"/>
      <c r="BK43" s="1053"/>
      <c r="BL43" s="1053"/>
      <c r="BM43" s="1054">
        <f t="shared" si="22"/>
        <v>0</v>
      </c>
      <c r="BN43" s="1746">
        <v>3750</v>
      </c>
      <c r="BO43" s="1053">
        <v>475</v>
      </c>
      <c r="BP43" s="1053">
        <v>775</v>
      </c>
      <c r="BQ43" s="1053">
        <v>0</v>
      </c>
      <c r="BR43" s="1053">
        <v>0</v>
      </c>
      <c r="BS43" s="1054">
        <f t="shared" si="23"/>
        <v>5000</v>
      </c>
      <c r="BT43" s="1744"/>
      <c r="BU43" s="1125"/>
      <c r="BV43" s="1125"/>
      <c r="BW43" s="1125"/>
      <c r="BX43" s="1745"/>
      <c r="BY43" s="1057">
        <f t="shared" si="24"/>
        <v>0</v>
      </c>
      <c r="BZ43" s="1744">
        <v>6069.65</v>
      </c>
      <c r="CA43" s="1125">
        <v>20638.45</v>
      </c>
      <c r="CB43" s="1125">
        <v>4899.01</v>
      </c>
      <c r="CC43" s="1125">
        <v>-0.1</v>
      </c>
      <c r="CD43" s="1745">
        <v>0</v>
      </c>
      <c r="CE43" s="1057">
        <f t="shared" si="25"/>
        <v>31607.010000000002</v>
      </c>
      <c r="CF43" s="1746"/>
      <c r="CG43" s="1053"/>
      <c r="CH43" s="1053"/>
      <c r="CI43" s="1053"/>
      <c r="CJ43" s="1747"/>
      <c r="CK43" s="1057">
        <f t="shared" si="26"/>
        <v>0</v>
      </c>
      <c r="CL43" s="1746"/>
      <c r="CM43" s="1053"/>
      <c r="CN43" s="1053"/>
      <c r="CO43" s="1053"/>
      <c r="CP43" s="1053"/>
      <c r="CQ43" s="1054">
        <f t="shared" si="27"/>
        <v>0</v>
      </c>
      <c r="CR43" s="1746"/>
      <c r="CS43" s="1053"/>
      <c r="CT43" s="1053"/>
      <c r="CU43" s="1053"/>
      <c r="CV43" s="1747"/>
      <c r="CW43" s="1057">
        <f t="shared" si="28"/>
        <v>0</v>
      </c>
      <c r="CX43" s="1744"/>
      <c r="CY43" s="1125"/>
      <c r="CZ43" s="1125"/>
      <c r="DA43" s="1125"/>
      <c r="DB43" s="1745"/>
      <c r="DC43" s="1054">
        <f t="shared" si="29"/>
        <v>0</v>
      </c>
      <c r="DD43" s="1744"/>
      <c r="DE43" s="1125"/>
      <c r="DF43" s="1125"/>
      <c r="DG43" s="1125"/>
      <c r="DH43" s="1745"/>
      <c r="DI43" s="1057">
        <f t="shared" si="30"/>
        <v>0</v>
      </c>
      <c r="DJ43" s="1744">
        <v>-75</v>
      </c>
      <c r="DK43" s="1125">
        <v>-75</v>
      </c>
      <c r="DL43" s="1125">
        <v>0</v>
      </c>
      <c r="DM43" s="1125">
        <v>0</v>
      </c>
      <c r="DN43" s="1125">
        <v>0</v>
      </c>
      <c r="DO43" s="1124">
        <f t="shared" si="31"/>
        <v>-150</v>
      </c>
      <c r="DP43" s="1125"/>
      <c r="DQ43" s="1125"/>
      <c r="DR43" s="1125"/>
      <c r="DS43" s="1125"/>
      <c r="DT43" s="1125"/>
      <c r="DU43" s="1125">
        <f t="shared" si="34"/>
        <v>0</v>
      </c>
      <c r="DV43" s="1744">
        <v>1498.58</v>
      </c>
      <c r="DW43" s="1125">
        <v>1034.02</v>
      </c>
      <c r="DX43" s="1125">
        <v>464.56</v>
      </c>
      <c r="DY43" s="1125">
        <v>-0.01</v>
      </c>
      <c r="DZ43" s="1745">
        <v>0</v>
      </c>
      <c r="EA43" s="1058">
        <f t="shared" si="32"/>
        <v>2997.1499999999996</v>
      </c>
      <c r="EB43" s="1744">
        <v>4841.83</v>
      </c>
      <c r="EC43" s="1125">
        <v>0</v>
      </c>
      <c r="ED43" s="1125">
        <v>888.12</v>
      </c>
      <c r="EE43" s="1125">
        <v>0.05</v>
      </c>
      <c r="EF43" s="1745">
        <v>0</v>
      </c>
      <c r="EG43" s="1057">
        <f t="shared" si="33"/>
        <v>5730</v>
      </c>
    </row>
    <row r="44" spans="1:137" ht="15" customHeight="1" x14ac:dyDescent="0.25">
      <c r="A44" s="719" t="s">
        <v>102</v>
      </c>
      <c r="B44" s="816" t="s">
        <v>103</v>
      </c>
      <c r="C44" s="917" t="s">
        <v>264</v>
      </c>
      <c r="D44" s="814">
        <f t="shared" si="6"/>
        <v>78887.62000000001</v>
      </c>
      <c r="E44" s="814">
        <f t="shared" si="7"/>
        <v>65882.67</v>
      </c>
      <c r="F44" s="814">
        <f t="shared" si="8"/>
        <v>28181.57</v>
      </c>
      <c r="G44" s="814">
        <f t="shared" si="9"/>
        <v>-7.0000000000000007E-2</v>
      </c>
      <c r="H44" s="814">
        <f t="shared" si="10"/>
        <v>0</v>
      </c>
      <c r="I44" s="1422">
        <f t="shared" si="11"/>
        <v>172951.79</v>
      </c>
      <c r="J44" s="815">
        <f t="shared" si="12"/>
        <v>-7.0000000000000007E-2</v>
      </c>
      <c r="K44" s="1423">
        <f t="shared" si="13"/>
        <v>28181.5</v>
      </c>
      <c r="L44" s="1723"/>
      <c r="M44" s="1043"/>
      <c r="N44" s="1043"/>
      <c r="O44" s="1043"/>
      <c r="P44" s="1043"/>
      <c r="Q44" s="1044">
        <f t="shared" si="14"/>
        <v>0</v>
      </c>
      <c r="R44" s="1717"/>
      <c r="S44" s="1048"/>
      <c r="T44" s="1048"/>
      <c r="U44" s="1048"/>
      <c r="V44" s="1718"/>
      <c r="W44" s="1047">
        <f t="shared" si="15"/>
        <v>0</v>
      </c>
      <c r="X44" s="1719"/>
      <c r="Y44" s="1123"/>
      <c r="Z44" s="1123"/>
      <c r="AA44" s="1123"/>
      <c r="AB44" s="1123"/>
      <c r="AC44" s="1122">
        <f t="shared" si="16"/>
        <v>0</v>
      </c>
      <c r="AD44" s="1736">
        <v>357</v>
      </c>
      <c r="AE44" s="1046">
        <v>2.13</v>
      </c>
      <c r="AF44" s="1046">
        <v>65.88</v>
      </c>
      <c r="AG44" s="1046">
        <v>-0.01</v>
      </c>
      <c r="AH44" s="1737">
        <v>0</v>
      </c>
      <c r="AI44" s="1045">
        <f t="shared" si="17"/>
        <v>425</v>
      </c>
      <c r="AJ44" s="1744">
        <v>25696.98</v>
      </c>
      <c r="AK44" s="1125">
        <v>0</v>
      </c>
      <c r="AL44" s="1125">
        <v>6424.21</v>
      </c>
      <c r="AM44" s="1125">
        <v>0</v>
      </c>
      <c r="AN44" s="1745">
        <v>0</v>
      </c>
      <c r="AO44" s="1057">
        <f t="shared" si="18"/>
        <v>32121.19</v>
      </c>
      <c r="AP44" s="1736"/>
      <c r="AQ44" s="1046"/>
      <c r="AR44" s="1046"/>
      <c r="AS44" s="1046"/>
      <c r="AT44" s="1046"/>
      <c r="AU44" s="1049">
        <f t="shared" si="19"/>
        <v>0</v>
      </c>
      <c r="AV44" s="1758"/>
      <c r="AW44" s="1050"/>
      <c r="AX44" s="1050"/>
      <c r="AY44" s="1050"/>
      <c r="AZ44" s="1050"/>
      <c r="BA44" s="1051">
        <f t="shared" si="20"/>
        <v>0</v>
      </c>
      <c r="BB44" s="1717">
        <v>365.6</v>
      </c>
      <c r="BC44" s="1048">
        <v>91.4</v>
      </c>
      <c r="BD44" s="1048">
        <v>0</v>
      </c>
      <c r="BE44" s="1048">
        <v>0</v>
      </c>
      <c r="BF44" s="1718">
        <v>0</v>
      </c>
      <c r="BG44" s="1047">
        <f t="shared" si="21"/>
        <v>457</v>
      </c>
      <c r="BH44" s="1746"/>
      <c r="BI44" s="1053"/>
      <c r="BJ44" s="1053"/>
      <c r="BK44" s="1053"/>
      <c r="BL44" s="1053"/>
      <c r="BM44" s="1054">
        <f t="shared" si="22"/>
        <v>0</v>
      </c>
      <c r="BN44" s="1744">
        <v>13834.36</v>
      </c>
      <c r="BO44" s="1125">
        <v>1752.35</v>
      </c>
      <c r="BP44" s="1125">
        <v>2859.1</v>
      </c>
      <c r="BQ44" s="1125">
        <v>-0.01</v>
      </c>
      <c r="BR44" s="1745">
        <v>0</v>
      </c>
      <c r="BS44" s="1054">
        <f t="shared" si="23"/>
        <v>18445.800000000003</v>
      </c>
      <c r="BT44" s="1744"/>
      <c r="BU44" s="1125"/>
      <c r="BV44" s="1125"/>
      <c r="BW44" s="1125"/>
      <c r="BX44" s="1745"/>
      <c r="BY44" s="1057">
        <f t="shared" si="24"/>
        <v>0</v>
      </c>
      <c r="BZ44" s="1744">
        <v>30621.83</v>
      </c>
      <c r="CA44" s="1125">
        <v>61449.279999999999</v>
      </c>
      <c r="CB44" s="1125">
        <v>16888.13</v>
      </c>
      <c r="CC44" s="1125">
        <v>-7.0000000000000007E-2</v>
      </c>
      <c r="CD44" s="1745">
        <v>0</v>
      </c>
      <c r="CE44" s="1057">
        <f t="shared" si="25"/>
        <v>108959.17</v>
      </c>
      <c r="CF44" s="1746"/>
      <c r="CG44" s="1053"/>
      <c r="CH44" s="1053"/>
      <c r="CI44" s="1053"/>
      <c r="CJ44" s="1747"/>
      <c r="CK44" s="1057">
        <f t="shared" si="26"/>
        <v>0</v>
      </c>
      <c r="CL44" s="1746"/>
      <c r="CM44" s="1053"/>
      <c r="CN44" s="1053"/>
      <c r="CO44" s="1053"/>
      <c r="CP44" s="1053"/>
      <c r="CQ44" s="1054">
        <f t="shared" si="27"/>
        <v>0</v>
      </c>
      <c r="CR44" s="1746"/>
      <c r="CS44" s="1053"/>
      <c r="CT44" s="1053"/>
      <c r="CU44" s="1053"/>
      <c r="CV44" s="1747"/>
      <c r="CW44" s="1057">
        <f t="shared" si="28"/>
        <v>0</v>
      </c>
      <c r="CX44" s="1746"/>
      <c r="CY44" s="1053"/>
      <c r="CZ44" s="1053"/>
      <c r="DA44" s="1053"/>
      <c r="DB44" s="1053"/>
      <c r="DC44" s="1054">
        <f t="shared" si="29"/>
        <v>0</v>
      </c>
      <c r="DD44" s="1744"/>
      <c r="DE44" s="1125"/>
      <c r="DF44" s="1125"/>
      <c r="DG44" s="1125"/>
      <c r="DH44" s="1745"/>
      <c r="DI44" s="1057">
        <f t="shared" si="30"/>
        <v>0</v>
      </c>
      <c r="DJ44" s="1744"/>
      <c r="DK44" s="1125"/>
      <c r="DL44" s="1125"/>
      <c r="DM44" s="1125"/>
      <c r="DN44" s="1125"/>
      <c r="DO44" s="1124">
        <f t="shared" si="31"/>
        <v>0</v>
      </c>
      <c r="DP44" s="1125"/>
      <c r="DQ44" s="1125"/>
      <c r="DR44" s="1125"/>
      <c r="DS44" s="1125"/>
      <c r="DT44" s="1125"/>
      <c r="DU44" s="1125">
        <f t="shared" si="34"/>
        <v>0</v>
      </c>
      <c r="DV44" s="1746">
        <v>3750</v>
      </c>
      <c r="DW44" s="1053">
        <v>2587.5100000000002</v>
      </c>
      <c r="DX44" s="1053">
        <v>1162.51</v>
      </c>
      <c r="DY44" s="1053">
        <v>-0.02</v>
      </c>
      <c r="DZ44" s="1053">
        <v>0</v>
      </c>
      <c r="EA44" s="1058">
        <f t="shared" si="32"/>
        <v>7500</v>
      </c>
      <c r="EB44" s="1744">
        <v>4261.8500000000004</v>
      </c>
      <c r="EC44" s="1125">
        <v>0</v>
      </c>
      <c r="ED44" s="1125">
        <v>781.74</v>
      </c>
      <c r="EE44" s="1125">
        <v>0.04</v>
      </c>
      <c r="EF44" s="1745">
        <v>0</v>
      </c>
      <c r="EG44" s="1057">
        <f t="shared" si="33"/>
        <v>5043.63</v>
      </c>
    </row>
    <row r="45" spans="1:137" ht="15" customHeight="1" x14ac:dyDescent="0.25">
      <c r="A45" s="719" t="s">
        <v>104</v>
      </c>
      <c r="B45" s="816" t="s">
        <v>309</v>
      </c>
      <c r="C45" s="917" t="s">
        <v>265</v>
      </c>
      <c r="D45" s="814">
        <f t="shared" si="6"/>
        <v>52847.850000000006</v>
      </c>
      <c r="E45" s="814">
        <f t="shared" si="7"/>
        <v>35373.61</v>
      </c>
      <c r="F45" s="814">
        <f t="shared" si="8"/>
        <v>17533.82</v>
      </c>
      <c r="G45" s="814">
        <f t="shared" si="9"/>
        <v>-0.06</v>
      </c>
      <c r="H45" s="814">
        <f t="shared" si="10"/>
        <v>0</v>
      </c>
      <c r="I45" s="1422">
        <f t="shared" si="11"/>
        <v>105755.22</v>
      </c>
      <c r="J45" s="815">
        <f t="shared" si="12"/>
        <v>-0.06</v>
      </c>
      <c r="K45" s="1423">
        <f t="shared" si="13"/>
        <v>17533.759999999998</v>
      </c>
      <c r="L45" s="1723"/>
      <c r="M45" s="1043"/>
      <c r="N45" s="1043"/>
      <c r="O45" s="1043"/>
      <c r="P45" s="1043"/>
      <c r="Q45" s="1044">
        <f t="shared" si="14"/>
        <v>0</v>
      </c>
      <c r="R45" s="1717"/>
      <c r="S45" s="1048"/>
      <c r="T45" s="1048"/>
      <c r="U45" s="1048"/>
      <c r="V45" s="1718"/>
      <c r="W45" s="1047">
        <f t="shared" si="15"/>
        <v>0</v>
      </c>
      <c r="X45" s="1719"/>
      <c r="Y45" s="1123"/>
      <c r="Z45" s="1123"/>
      <c r="AA45" s="1123"/>
      <c r="AB45" s="1123"/>
      <c r="AC45" s="1122">
        <f t="shared" si="16"/>
        <v>0</v>
      </c>
      <c r="AD45" s="1733">
        <v>3830.01</v>
      </c>
      <c r="AE45" s="1734">
        <v>22.8</v>
      </c>
      <c r="AF45" s="1734">
        <v>706.73</v>
      </c>
      <c r="AG45" s="1734">
        <v>0</v>
      </c>
      <c r="AH45" s="1735">
        <v>0</v>
      </c>
      <c r="AI45" s="1045">
        <f t="shared" si="17"/>
        <v>4559.5400000000009</v>
      </c>
      <c r="AJ45" s="1744">
        <v>26959.759999999998</v>
      </c>
      <c r="AK45" s="1125">
        <v>0</v>
      </c>
      <c r="AL45" s="1125">
        <v>6739.95</v>
      </c>
      <c r="AM45" s="1125">
        <v>0</v>
      </c>
      <c r="AN45" s="1745">
        <v>0</v>
      </c>
      <c r="AO45" s="1057">
        <f t="shared" si="18"/>
        <v>33699.71</v>
      </c>
      <c r="AP45" s="1736"/>
      <c r="AQ45" s="1046"/>
      <c r="AR45" s="1046"/>
      <c r="AS45" s="1046"/>
      <c r="AT45" s="1046"/>
      <c r="AU45" s="1049">
        <f t="shared" si="19"/>
        <v>0</v>
      </c>
      <c r="AV45" s="1755"/>
      <c r="AW45" s="1756"/>
      <c r="AX45" s="1756"/>
      <c r="AY45" s="1756"/>
      <c r="AZ45" s="1757"/>
      <c r="BA45" s="1051">
        <f t="shared" si="20"/>
        <v>0</v>
      </c>
      <c r="BB45" s="1764">
        <v>2066.37</v>
      </c>
      <c r="BC45" s="1765">
        <v>516.6</v>
      </c>
      <c r="BD45" s="1765">
        <v>0</v>
      </c>
      <c r="BE45" s="1765">
        <v>0</v>
      </c>
      <c r="BF45" s="1766">
        <v>0</v>
      </c>
      <c r="BG45" s="1047">
        <f t="shared" si="21"/>
        <v>2582.9699999999998</v>
      </c>
      <c r="BH45" s="1744">
        <v>63.72</v>
      </c>
      <c r="BI45" s="1125">
        <v>115.08</v>
      </c>
      <c r="BJ45" s="1125">
        <v>0</v>
      </c>
      <c r="BK45" s="1125">
        <v>0</v>
      </c>
      <c r="BL45" s="1745">
        <v>0</v>
      </c>
      <c r="BM45" s="1054">
        <f t="shared" si="22"/>
        <v>178.8</v>
      </c>
      <c r="BN45" s="1746">
        <v>7070.63</v>
      </c>
      <c r="BO45" s="1053">
        <v>895.61</v>
      </c>
      <c r="BP45" s="1053">
        <v>1461.26</v>
      </c>
      <c r="BQ45" s="1053">
        <v>0</v>
      </c>
      <c r="BR45" s="1053">
        <v>0</v>
      </c>
      <c r="BS45" s="1054">
        <f t="shared" si="23"/>
        <v>9427.5</v>
      </c>
      <c r="BT45" s="1744"/>
      <c r="BU45" s="1125"/>
      <c r="BV45" s="1125"/>
      <c r="BW45" s="1125"/>
      <c r="BX45" s="1745"/>
      <c r="BY45" s="1057">
        <f t="shared" si="24"/>
        <v>0</v>
      </c>
      <c r="BZ45" s="1744">
        <v>11117.2</v>
      </c>
      <c r="CA45" s="1125">
        <v>33823.519999999997</v>
      </c>
      <c r="CB45" s="1125">
        <v>8243.31</v>
      </c>
      <c r="CC45" s="1125">
        <v>-0.06</v>
      </c>
      <c r="CD45" s="1745">
        <v>0</v>
      </c>
      <c r="CE45" s="1057">
        <f t="shared" si="25"/>
        <v>53183.97</v>
      </c>
      <c r="CF45" s="1744">
        <v>42.11</v>
      </c>
      <c r="CG45" s="1125">
        <v>0</v>
      </c>
      <c r="CH45" s="1125">
        <v>71.099999999999994</v>
      </c>
      <c r="CI45" s="1125">
        <v>0</v>
      </c>
      <c r="CJ45" s="1745">
        <v>0</v>
      </c>
      <c r="CK45" s="1057">
        <f t="shared" si="26"/>
        <v>113.21</v>
      </c>
      <c r="CL45" s="1746"/>
      <c r="CM45" s="1053"/>
      <c r="CN45" s="1053"/>
      <c r="CO45" s="1053"/>
      <c r="CP45" s="1053"/>
      <c r="CQ45" s="1054">
        <f t="shared" si="27"/>
        <v>0</v>
      </c>
      <c r="CR45" s="1744"/>
      <c r="CS45" s="1125"/>
      <c r="CT45" s="1125"/>
      <c r="CU45" s="1125"/>
      <c r="CV45" s="1745"/>
      <c r="CW45" s="1057">
        <f t="shared" si="28"/>
        <v>0</v>
      </c>
      <c r="CX45" s="1746"/>
      <c r="CY45" s="1053"/>
      <c r="CZ45" s="1053"/>
      <c r="DA45" s="1053"/>
      <c r="DB45" s="1053"/>
      <c r="DC45" s="1054">
        <f t="shared" si="29"/>
        <v>0</v>
      </c>
      <c r="DD45" s="1744"/>
      <c r="DE45" s="1125"/>
      <c r="DF45" s="1125"/>
      <c r="DG45" s="1125"/>
      <c r="DH45" s="1745"/>
      <c r="DI45" s="1057">
        <f t="shared" si="30"/>
        <v>0</v>
      </c>
      <c r="DJ45" s="1744"/>
      <c r="DK45" s="1125"/>
      <c r="DL45" s="1125"/>
      <c r="DM45" s="1125"/>
      <c r="DN45" s="1125"/>
      <c r="DO45" s="1124">
        <f t="shared" si="31"/>
        <v>0</v>
      </c>
      <c r="DP45" s="1125"/>
      <c r="DQ45" s="1125"/>
      <c r="DR45" s="1125"/>
      <c r="DS45" s="1125"/>
      <c r="DT45" s="1125"/>
      <c r="DU45" s="1125">
        <f t="shared" si="34"/>
        <v>0</v>
      </c>
      <c r="DV45" s="1746">
        <v>0</v>
      </c>
      <c r="DW45" s="1053">
        <v>0</v>
      </c>
      <c r="DX45" s="1053">
        <v>0</v>
      </c>
      <c r="DY45" s="1053">
        <v>0</v>
      </c>
      <c r="DZ45" s="1053">
        <v>0</v>
      </c>
      <c r="EA45" s="1058">
        <f t="shared" si="32"/>
        <v>0</v>
      </c>
      <c r="EB45" s="1744">
        <v>1698.05</v>
      </c>
      <c r="EC45" s="1125">
        <v>0</v>
      </c>
      <c r="ED45" s="1125">
        <v>311.47000000000003</v>
      </c>
      <c r="EE45" s="1125">
        <v>0</v>
      </c>
      <c r="EF45" s="1745">
        <v>0</v>
      </c>
      <c r="EG45" s="1057">
        <f t="shared" si="33"/>
        <v>2009.52</v>
      </c>
    </row>
    <row r="46" spans="1:137" ht="15" customHeight="1" x14ac:dyDescent="0.25">
      <c r="A46" s="719" t="s">
        <v>108</v>
      </c>
      <c r="B46" s="816" t="s">
        <v>109</v>
      </c>
      <c r="C46" s="917" t="s">
        <v>266</v>
      </c>
      <c r="D46" s="814">
        <f t="shared" si="6"/>
        <v>50509.96</v>
      </c>
      <c r="E46" s="814">
        <f t="shared" si="7"/>
        <v>68185.87000000001</v>
      </c>
      <c r="F46" s="814">
        <f t="shared" si="8"/>
        <v>20403.429999999997</v>
      </c>
      <c r="G46" s="814">
        <f t="shared" si="9"/>
        <v>-0.11000000000000001</v>
      </c>
      <c r="H46" s="814">
        <f t="shared" si="10"/>
        <v>0</v>
      </c>
      <c r="I46" s="1422">
        <f t="shared" si="11"/>
        <v>139099.15000000002</v>
      </c>
      <c r="J46" s="815">
        <f t="shared" si="12"/>
        <v>-0.11000000000000001</v>
      </c>
      <c r="K46" s="1423">
        <f t="shared" si="13"/>
        <v>20403.319999999996</v>
      </c>
      <c r="L46" s="1723"/>
      <c r="M46" s="1043"/>
      <c r="N46" s="1043"/>
      <c r="O46" s="1043"/>
      <c r="P46" s="1043"/>
      <c r="Q46" s="1044">
        <f t="shared" si="14"/>
        <v>0</v>
      </c>
      <c r="R46" s="1717"/>
      <c r="S46" s="1048"/>
      <c r="T46" s="1048"/>
      <c r="U46" s="1048"/>
      <c r="V46" s="1718"/>
      <c r="W46" s="1047">
        <f t="shared" si="15"/>
        <v>0</v>
      </c>
      <c r="X46" s="1719"/>
      <c r="Y46" s="1123"/>
      <c r="Z46" s="1123"/>
      <c r="AA46" s="1123"/>
      <c r="AB46" s="1123"/>
      <c r="AC46" s="1122">
        <f t="shared" si="16"/>
        <v>0</v>
      </c>
      <c r="AD46" s="1733">
        <v>-2169.37</v>
      </c>
      <c r="AE46" s="1734">
        <v>-12.91</v>
      </c>
      <c r="AF46" s="1734">
        <v>-400.3</v>
      </c>
      <c r="AG46" s="1734">
        <v>0</v>
      </c>
      <c r="AH46" s="1735">
        <v>0</v>
      </c>
      <c r="AI46" s="1045">
        <f t="shared" si="17"/>
        <v>-2582.58</v>
      </c>
      <c r="AJ46" s="1744">
        <v>1945.71</v>
      </c>
      <c r="AK46" s="1125">
        <v>0</v>
      </c>
      <c r="AL46" s="1125">
        <v>486.43</v>
      </c>
      <c r="AM46" s="1125">
        <v>0</v>
      </c>
      <c r="AN46" s="1745">
        <v>0</v>
      </c>
      <c r="AO46" s="1057">
        <f t="shared" si="18"/>
        <v>2432.14</v>
      </c>
      <c r="AP46" s="1736"/>
      <c r="AQ46" s="1046"/>
      <c r="AR46" s="1046"/>
      <c r="AS46" s="1046"/>
      <c r="AT46" s="1046"/>
      <c r="AU46" s="1049">
        <f t="shared" si="19"/>
        <v>0</v>
      </c>
      <c r="AV46" s="1755">
        <v>2115.98</v>
      </c>
      <c r="AW46" s="1756">
        <v>529</v>
      </c>
      <c r="AX46" s="1756">
        <v>0</v>
      </c>
      <c r="AY46" s="1756">
        <v>0</v>
      </c>
      <c r="AZ46" s="1757">
        <v>0</v>
      </c>
      <c r="BA46" s="1051">
        <f t="shared" si="20"/>
        <v>2644.98</v>
      </c>
      <c r="BB46" s="1764">
        <v>5590.03</v>
      </c>
      <c r="BC46" s="1765">
        <v>1397.5</v>
      </c>
      <c r="BD46" s="1765">
        <v>0</v>
      </c>
      <c r="BE46" s="1765">
        <v>0</v>
      </c>
      <c r="BF46" s="1766">
        <v>0</v>
      </c>
      <c r="BG46" s="1047">
        <f t="shared" si="21"/>
        <v>6987.53</v>
      </c>
      <c r="BH46" s="1744">
        <v>231.17</v>
      </c>
      <c r="BI46" s="1125">
        <v>417.45</v>
      </c>
      <c r="BJ46" s="1125">
        <v>0</v>
      </c>
      <c r="BK46" s="1125">
        <v>0</v>
      </c>
      <c r="BL46" s="1745">
        <v>0</v>
      </c>
      <c r="BM46" s="1054">
        <f t="shared" si="22"/>
        <v>648.62</v>
      </c>
      <c r="BN46" s="1744">
        <v>18535.61</v>
      </c>
      <c r="BO46" s="1125">
        <v>2347.86</v>
      </c>
      <c r="BP46" s="1125">
        <v>3830.7</v>
      </c>
      <c r="BQ46" s="1125">
        <v>-0.06</v>
      </c>
      <c r="BR46" s="1745">
        <v>0</v>
      </c>
      <c r="BS46" s="1054">
        <f t="shared" si="23"/>
        <v>24714.11</v>
      </c>
      <c r="BT46" s="1744"/>
      <c r="BU46" s="1125"/>
      <c r="BV46" s="1125"/>
      <c r="BW46" s="1125"/>
      <c r="BX46" s="1745"/>
      <c r="BY46" s="1057">
        <f t="shared" si="24"/>
        <v>0</v>
      </c>
      <c r="BZ46" s="1744">
        <v>17422.759999999998</v>
      </c>
      <c r="CA46" s="1125">
        <v>59241.760000000002</v>
      </c>
      <c r="CB46" s="1125">
        <v>14062.34</v>
      </c>
      <c r="CC46" s="1125">
        <v>-0.09</v>
      </c>
      <c r="CD46" s="1745">
        <v>0</v>
      </c>
      <c r="CE46" s="1057">
        <f t="shared" si="25"/>
        <v>90726.77</v>
      </c>
      <c r="CF46" s="1744">
        <v>257.57</v>
      </c>
      <c r="CG46" s="1125">
        <v>0</v>
      </c>
      <c r="CH46" s="1125">
        <v>434.83</v>
      </c>
      <c r="CI46" s="1125">
        <v>-0.01</v>
      </c>
      <c r="CJ46" s="1745">
        <v>0</v>
      </c>
      <c r="CK46" s="1057">
        <f t="shared" si="26"/>
        <v>692.39</v>
      </c>
      <c r="CL46" s="1746"/>
      <c r="CM46" s="1053"/>
      <c r="CN46" s="1053"/>
      <c r="CO46" s="1053"/>
      <c r="CP46" s="1053"/>
      <c r="CQ46" s="1054">
        <f t="shared" si="27"/>
        <v>0</v>
      </c>
      <c r="CR46" s="1744"/>
      <c r="CS46" s="1125"/>
      <c r="CT46" s="1125"/>
      <c r="CU46" s="1125"/>
      <c r="CV46" s="1745"/>
      <c r="CW46" s="1057">
        <f t="shared" si="28"/>
        <v>0</v>
      </c>
      <c r="CX46" s="1746"/>
      <c r="CY46" s="1053"/>
      <c r="CZ46" s="1053"/>
      <c r="DA46" s="1053"/>
      <c r="DB46" s="1053"/>
      <c r="DC46" s="1054">
        <f t="shared" si="29"/>
        <v>0</v>
      </c>
      <c r="DD46" s="1744"/>
      <c r="DE46" s="1125"/>
      <c r="DF46" s="1125"/>
      <c r="DG46" s="1125"/>
      <c r="DH46" s="1745"/>
      <c r="DI46" s="1057">
        <f t="shared" si="30"/>
        <v>0</v>
      </c>
      <c r="DJ46" s="1744"/>
      <c r="DK46" s="1125"/>
      <c r="DL46" s="1125"/>
      <c r="DM46" s="1125"/>
      <c r="DN46" s="1125"/>
      <c r="DO46" s="1124">
        <f t="shared" si="31"/>
        <v>0</v>
      </c>
      <c r="DP46" s="1125"/>
      <c r="DQ46" s="1125"/>
      <c r="DR46" s="1125"/>
      <c r="DS46" s="1125"/>
      <c r="DT46" s="1125"/>
      <c r="DU46" s="1125">
        <f t="shared" si="34"/>
        <v>0</v>
      </c>
      <c r="DV46" s="1744">
        <v>6181.48</v>
      </c>
      <c r="DW46" s="1125">
        <v>4265.21</v>
      </c>
      <c r="DX46" s="1125">
        <v>1916.26</v>
      </c>
      <c r="DY46" s="1125">
        <v>-0.01</v>
      </c>
      <c r="DZ46" s="1745">
        <v>0</v>
      </c>
      <c r="EA46" s="1058">
        <f t="shared" si="32"/>
        <v>12362.939999999999</v>
      </c>
      <c r="EB46" s="1744">
        <v>399.02</v>
      </c>
      <c r="EC46" s="1125">
        <v>0</v>
      </c>
      <c r="ED46" s="1125">
        <v>73.17</v>
      </c>
      <c r="EE46" s="1125">
        <v>0.06</v>
      </c>
      <c r="EF46" s="1745">
        <v>0</v>
      </c>
      <c r="EG46" s="1057">
        <f t="shared" si="33"/>
        <v>472.25</v>
      </c>
    </row>
    <row r="47" spans="1:137" ht="15" customHeight="1" x14ac:dyDescent="0.25">
      <c r="A47" s="719" t="s">
        <v>110</v>
      </c>
      <c r="B47" s="816" t="s">
        <v>111</v>
      </c>
      <c r="C47" s="917" t="s">
        <v>266</v>
      </c>
      <c r="D47" s="814">
        <f t="shared" si="6"/>
        <v>556885.31000000006</v>
      </c>
      <c r="E47" s="814">
        <f t="shared" si="7"/>
        <v>920960.48</v>
      </c>
      <c r="F47" s="814">
        <f t="shared" si="8"/>
        <v>298468.61000000004</v>
      </c>
      <c r="G47" s="814">
        <f t="shared" si="9"/>
        <v>-0.42000000000000004</v>
      </c>
      <c r="H47" s="814">
        <f t="shared" si="10"/>
        <v>0</v>
      </c>
      <c r="I47" s="1422">
        <f t="shared" si="11"/>
        <v>1776313.9800000002</v>
      </c>
      <c r="J47" s="815">
        <f t="shared" si="12"/>
        <v>-0.42000000000000004</v>
      </c>
      <c r="K47" s="1423">
        <f t="shared" si="13"/>
        <v>298468.19000000006</v>
      </c>
      <c r="L47" s="1723"/>
      <c r="M47" s="1043"/>
      <c r="N47" s="1043"/>
      <c r="O47" s="1043"/>
      <c r="P47" s="1043"/>
      <c r="Q47" s="1044">
        <f t="shared" si="14"/>
        <v>0</v>
      </c>
      <c r="R47" s="1717"/>
      <c r="S47" s="1048"/>
      <c r="T47" s="1048"/>
      <c r="U47" s="1048"/>
      <c r="V47" s="1718"/>
      <c r="W47" s="1047">
        <f t="shared" si="15"/>
        <v>0</v>
      </c>
      <c r="X47" s="1719"/>
      <c r="Y47" s="1123"/>
      <c r="Z47" s="1123"/>
      <c r="AA47" s="1123"/>
      <c r="AB47" s="1123"/>
      <c r="AC47" s="1122">
        <f t="shared" si="16"/>
        <v>0</v>
      </c>
      <c r="AD47" s="1733">
        <v>32181.98</v>
      </c>
      <c r="AE47" s="1734">
        <v>191.58</v>
      </c>
      <c r="AF47" s="1734">
        <v>5938.34</v>
      </c>
      <c r="AG47" s="1734">
        <v>-0.04</v>
      </c>
      <c r="AH47" s="1735">
        <v>0</v>
      </c>
      <c r="AI47" s="1045">
        <f t="shared" si="17"/>
        <v>38311.86</v>
      </c>
      <c r="AJ47" s="1744">
        <v>72675.63</v>
      </c>
      <c r="AK47" s="1125">
        <v>0</v>
      </c>
      <c r="AL47" s="1125">
        <v>18168.89</v>
      </c>
      <c r="AM47" s="1125">
        <v>0</v>
      </c>
      <c r="AN47" s="1745">
        <v>0</v>
      </c>
      <c r="AO47" s="1057">
        <f t="shared" si="18"/>
        <v>90844.52</v>
      </c>
      <c r="AP47" s="1736"/>
      <c r="AQ47" s="1046"/>
      <c r="AR47" s="1046"/>
      <c r="AS47" s="1046"/>
      <c r="AT47" s="1046"/>
      <c r="AU47" s="1049">
        <f t="shared" si="19"/>
        <v>0</v>
      </c>
      <c r="AV47" s="1755">
        <v>4263.9799999999996</v>
      </c>
      <c r="AW47" s="1756">
        <v>1065.99</v>
      </c>
      <c r="AX47" s="1756">
        <v>0</v>
      </c>
      <c r="AY47" s="1756">
        <v>0</v>
      </c>
      <c r="AZ47" s="1757">
        <v>0</v>
      </c>
      <c r="BA47" s="1051">
        <f t="shared" si="20"/>
        <v>5329.9699999999993</v>
      </c>
      <c r="BB47" s="1764">
        <v>12544.72</v>
      </c>
      <c r="BC47" s="1765">
        <v>3136.2</v>
      </c>
      <c r="BD47" s="1765">
        <v>0</v>
      </c>
      <c r="BE47" s="1765">
        <v>0</v>
      </c>
      <c r="BF47" s="1766">
        <v>0</v>
      </c>
      <c r="BG47" s="1047">
        <f t="shared" si="21"/>
        <v>15680.919999999998</v>
      </c>
      <c r="BH47" s="1744">
        <v>1260.95</v>
      </c>
      <c r="BI47" s="1125">
        <v>2277.0500000000002</v>
      </c>
      <c r="BJ47" s="1125">
        <v>0</v>
      </c>
      <c r="BK47" s="1125">
        <v>0</v>
      </c>
      <c r="BL47" s="1745">
        <v>0</v>
      </c>
      <c r="BM47" s="1054">
        <f t="shared" si="22"/>
        <v>3538</v>
      </c>
      <c r="BN47" s="1744">
        <v>125954.88</v>
      </c>
      <c r="BO47" s="1125">
        <v>15954.32</v>
      </c>
      <c r="BP47" s="1125">
        <v>26030.7</v>
      </c>
      <c r="BQ47" s="1125">
        <v>-0.1</v>
      </c>
      <c r="BR47" s="1745">
        <v>0</v>
      </c>
      <c r="BS47" s="1054">
        <f t="shared" si="23"/>
        <v>167939.80000000002</v>
      </c>
      <c r="BT47" s="1744">
        <v>-135.88</v>
      </c>
      <c r="BU47" s="1125">
        <v>-135.88</v>
      </c>
      <c r="BV47" s="1125">
        <v>0</v>
      </c>
      <c r="BW47" s="1125">
        <v>0</v>
      </c>
      <c r="BX47" s="1745">
        <v>0</v>
      </c>
      <c r="BY47" s="1057">
        <f t="shared" si="24"/>
        <v>-271.76</v>
      </c>
      <c r="BZ47" s="1744">
        <v>269152.08</v>
      </c>
      <c r="CA47" s="1125">
        <v>888385.32</v>
      </c>
      <c r="CB47" s="1125">
        <v>212323.42</v>
      </c>
      <c r="CC47" s="1125">
        <v>-0.32</v>
      </c>
      <c r="CD47" s="1745">
        <v>0</v>
      </c>
      <c r="CE47" s="1057">
        <f t="shared" si="25"/>
        <v>1369860.4999999998</v>
      </c>
      <c r="CF47" s="1744">
        <v>17561.650000000001</v>
      </c>
      <c r="CG47" s="1125">
        <v>0</v>
      </c>
      <c r="CH47" s="1125">
        <v>29647</v>
      </c>
      <c r="CI47" s="1125">
        <v>0</v>
      </c>
      <c r="CJ47" s="1745">
        <v>0</v>
      </c>
      <c r="CK47" s="1057">
        <f t="shared" si="26"/>
        <v>47208.65</v>
      </c>
      <c r="CL47" s="1744"/>
      <c r="CM47" s="1125"/>
      <c r="CN47" s="1125"/>
      <c r="CO47" s="1125"/>
      <c r="CP47" s="1745"/>
      <c r="CQ47" s="1054">
        <f t="shared" si="27"/>
        <v>0</v>
      </c>
      <c r="CR47" s="1744"/>
      <c r="CS47" s="1125"/>
      <c r="CT47" s="1125"/>
      <c r="CU47" s="1125"/>
      <c r="CV47" s="1745"/>
      <c r="CW47" s="1057">
        <f t="shared" si="28"/>
        <v>0</v>
      </c>
      <c r="CX47" s="1744">
        <v>-141.34</v>
      </c>
      <c r="CY47" s="1125">
        <v>-141.34</v>
      </c>
      <c r="CZ47" s="1125">
        <v>0</v>
      </c>
      <c r="DA47" s="1125">
        <v>0</v>
      </c>
      <c r="DB47" s="1745">
        <v>0</v>
      </c>
      <c r="DC47" s="1054">
        <f t="shared" si="29"/>
        <v>-282.68</v>
      </c>
      <c r="DD47" s="1744">
        <v>-984.75</v>
      </c>
      <c r="DE47" s="1125">
        <v>0</v>
      </c>
      <c r="DF47" s="1125">
        <v>0</v>
      </c>
      <c r="DG47" s="1125">
        <v>0</v>
      </c>
      <c r="DH47" s="1745">
        <v>0</v>
      </c>
      <c r="DI47" s="1057">
        <f t="shared" si="30"/>
        <v>-984.75</v>
      </c>
      <c r="DJ47" s="1744">
        <v>-1477</v>
      </c>
      <c r="DK47" s="1125">
        <v>0</v>
      </c>
      <c r="DL47" s="1125">
        <v>0</v>
      </c>
      <c r="DM47" s="1125">
        <v>0</v>
      </c>
      <c r="DN47" s="1125">
        <v>0</v>
      </c>
      <c r="DO47" s="1124">
        <f t="shared" si="31"/>
        <v>-1477</v>
      </c>
      <c r="DP47" s="1125">
        <v>-209</v>
      </c>
      <c r="DQ47" s="1125">
        <v>-209</v>
      </c>
      <c r="DR47" s="1125">
        <v>0</v>
      </c>
      <c r="DS47" s="1125">
        <v>0</v>
      </c>
      <c r="DT47" s="1125">
        <v>0</v>
      </c>
      <c r="DU47" s="1125">
        <f t="shared" si="34"/>
        <v>-418</v>
      </c>
      <c r="DV47" s="1744">
        <v>15125.01</v>
      </c>
      <c r="DW47" s="1125">
        <v>10436.24</v>
      </c>
      <c r="DX47" s="1125">
        <v>4688.76</v>
      </c>
      <c r="DY47" s="1125">
        <v>-0.01</v>
      </c>
      <c r="DZ47" s="1745">
        <v>0</v>
      </c>
      <c r="EA47" s="1058">
        <f t="shared" si="32"/>
        <v>30250.000000000004</v>
      </c>
      <c r="EB47" s="1744">
        <v>9112.4</v>
      </c>
      <c r="EC47" s="1125">
        <v>0</v>
      </c>
      <c r="ED47" s="1125">
        <v>1671.5</v>
      </c>
      <c r="EE47" s="1125">
        <v>0.05</v>
      </c>
      <c r="EF47" s="1745">
        <v>0</v>
      </c>
      <c r="EG47" s="1057">
        <f t="shared" si="33"/>
        <v>10783.949999999999</v>
      </c>
    </row>
    <row r="48" spans="1:137" ht="15" customHeight="1" x14ac:dyDescent="0.25">
      <c r="A48" s="719" t="s">
        <v>112</v>
      </c>
      <c r="B48" s="816" t="s">
        <v>300</v>
      </c>
      <c r="C48" s="917" t="s">
        <v>265</v>
      </c>
      <c r="D48" s="814">
        <f t="shared" si="6"/>
        <v>134827.63</v>
      </c>
      <c r="E48" s="814">
        <f t="shared" si="7"/>
        <v>139703.19999999998</v>
      </c>
      <c r="F48" s="814">
        <f t="shared" si="8"/>
        <v>53394.92</v>
      </c>
      <c r="G48" s="814">
        <f t="shared" si="9"/>
        <v>-0.36000000000000004</v>
      </c>
      <c r="H48" s="814">
        <f t="shared" si="10"/>
        <v>0</v>
      </c>
      <c r="I48" s="1422">
        <f t="shared" si="11"/>
        <v>327925.38999999996</v>
      </c>
      <c r="J48" s="815">
        <f t="shared" si="12"/>
        <v>-0.36000000000000004</v>
      </c>
      <c r="K48" s="1423">
        <f t="shared" si="13"/>
        <v>53394.559999999998</v>
      </c>
      <c r="L48" s="1723"/>
      <c r="M48" s="1043"/>
      <c r="N48" s="1043"/>
      <c r="O48" s="1043"/>
      <c r="P48" s="1043"/>
      <c r="Q48" s="1044">
        <f t="shared" si="14"/>
        <v>0</v>
      </c>
      <c r="R48" s="1717"/>
      <c r="S48" s="1048"/>
      <c r="T48" s="1048"/>
      <c r="U48" s="1048"/>
      <c r="V48" s="1718"/>
      <c r="W48" s="1047">
        <f t="shared" si="15"/>
        <v>0</v>
      </c>
      <c r="X48" s="1719"/>
      <c r="Y48" s="1123"/>
      <c r="Z48" s="1123"/>
      <c r="AA48" s="1123"/>
      <c r="AB48" s="1123"/>
      <c r="AC48" s="1122">
        <f t="shared" si="16"/>
        <v>0</v>
      </c>
      <c r="AD48" s="1733">
        <v>8454.73</v>
      </c>
      <c r="AE48" s="1734">
        <v>50.33</v>
      </c>
      <c r="AF48" s="1734">
        <v>1560.1000000000001</v>
      </c>
      <c r="AG48" s="1734">
        <v>-0.02</v>
      </c>
      <c r="AH48" s="1735">
        <v>0</v>
      </c>
      <c r="AI48" s="1045">
        <f t="shared" si="17"/>
        <v>10065.14</v>
      </c>
      <c r="AJ48" s="1744">
        <v>42181.01</v>
      </c>
      <c r="AK48" s="1125">
        <v>0</v>
      </c>
      <c r="AL48" s="1125">
        <v>10545.25</v>
      </c>
      <c r="AM48" s="1125">
        <v>0</v>
      </c>
      <c r="AN48" s="1745">
        <v>0</v>
      </c>
      <c r="AO48" s="1057">
        <f t="shared" si="18"/>
        <v>52726.26</v>
      </c>
      <c r="AP48" s="1733">
        <v>10345.01</v>
      </c>
      <c r="AQ48" s="1734">
        <v>7018.5199999999995</v>
      </c>
      <c r="AR48" s="1734">
        <v>3185.04</v>
      </c>
      <c r="AS48" s="1734">
        <v>-0.1</v>
      </c>
      <c r="AT48" s="1735">
        <v>0</v>
      </c>
      <c r="AU48" s="1049">
        <f t="shared" si="19"/>
        <v>20548.47</v>
      </c>
      <c r="AV48" s="1755">
        <v>533.30999999999995</v>
      </c>
      <c r="AW48" s="1756">
        <v>133.32</v>
      </c>
      <c r="AX48" s="1756">
        <v>0</v>
      </c>
      <c r="AY48" s="1756">
        <v>0</v>
      </c>
      <c r="AZ48" s="1757">
        <v>0</v>
      </c>
      <c r="BA48" s="1051">
        <f t="shared" si="20"/>
        <v>666.62999999999988</v>
      </c>
      <c r="BB48" s="1764">
        <v>2932.4900000000002</v>
      </c>
      <c r="BC48" s="1765">
        <v>733.1</v>
      </c>
      <c r="BD48" s="1765">
        <v>0</v>
      </c>
      <c r="BE48" s="1765">
        <v>0</v>
      </c>
      <c r="BF48" s="1766">
        <v>0</v>
      </c>
      <c r="BG48" s="1047">
        <f t="shared" si="21"/>
        <v>3665.59</v>
      </c>
      <c r="BH48" s="1744">
        <v>490.06</v>
      </c>
      <c r="BI48" s="1125">
        <v>884.94</v>
      </c>
      <c r="BJ48" s="1125">
        <v>0</v>
      </c>
      <c r="BK48" s="1125">
        <v>0</v>
      </c>
      <c r="BL48" s="1745">
        <v>0</v>
      </c>
      <c r="BM48" s="1054">
        <f t="shared" si="22"/>
        <v>1375</v>
      </c>
      <c r="BN48" s="1744">
        <v>20085.2</v>
      </c>
      <c r="BO48" s="1125">
        <v>2544.15</v>
      </c>
      <c r="BP48" s="1125">
        <v>4150.96</v>
      </c>
      <c r="BQ48" s="1125">
        <v>-0.08</v>
      </c>
      <c r="BR48" s="1745">
        <v>0</v>
      </c>
      <c r="BS48" s="1054">
        <f t="shared" si="23"/>
        <v>26780.23</v>
      </c>
      <c r="BT48" s="1744"/>
      <c r="BU48" s="1125"/>
      <c r="BV48" s="1125"/>
      <c r="BW48" s="1125"/>
      <c r="BX48" s="1745"/>
      <c r="BY48" s="1057">
        <f t="shared" si="24"/>
        <v>0</v>
      </c>
      <c r="BZ48" s="1744">
        <v>36617.600000000006</v>
      </c>
      <c r="CA48" s="1125">
        <v>122310.65</v>
      </c>
      <c r="CB48" s="1125">
        <v>29151.75</v>
      </c>
      <c r="CC48" s="1125">
        <v>-0.21</v>
      </c>
      <c r="CD48" s="1745">
        <v>0</v>
      </c>
      <c r="CE48" s="1057">
        <f t="shared" si="25"/>
        <v>188079.79</v>
      </c>
      <c r="CF48" s="1744">
        <v>824.23</v>
      </c>
      <c r="CG48" s="1125">
        <v>0</v>
      </c>
      <c r="CH48" s="1125">
        <v>1391.44</v>
      </c>
      <c r="CI48" s="1125">
        <v>0</v>
      </c>
      <c r="CJ48" s="1745">
        <v>0</v>
      </c>
      <c r="CK48" s="1057">
        <f t="shared" si="26"/>
        <v>2215.67</v>
      </c>
      <c r="CL48" s="1746"/>
      <c r="CM48" s="1053"/>
      <c r="CN48" s="1053"/>
      <c r="CO48" s="1053"/>
      <c r="CP48" s="1053"/>
      <c r="CQ48" s="1054">
        <f t="shared" si="27"/>
        <v>0</v>
      </c>
      <c r="CR48" s="1746"/>
      <c r="CS48" s="1053"/>
      <c r="CT48" s="1053"/>
      <c r="CU48" s="1053"/>
      <c r="CV48" s="1747"/>
      <c r="CW48" s="1057">
        <f t="shared" si="28"/>
        <v>0</v>
      </c>
      <c r="CX48" s="1746"/>
      <c r="CY48" s="1053"/>
      <c r="CZ48" s="1053"/>
      <c r="DA48" s="1053"/>
      <c r="DB48" s="1053"/>
      <c r="DC48" s="1054">
        <f t="shared" si="29"/>
        <v>0</v>
      </c>
      <c r="DD48" s="1744"/>
      <c r="DE48" s="1125"/>
      <c r="DF48" s="1125"/>
      <c r="DG48" s="1125"/>
      <c r="DH48" s="1745"/>
      <c r="DI48" s="1057">
        <f t="shared" si="30"/>
        <v>0</v>
      </c>
      <c r="DJ48" s="1744">
        <v>-200</v>
      </c>
      <c r="DK48" s="1125">
        <v>0</v>
      </c>
      <c r="DL48" s="1125">
        <v>0</v>
      </c>
      <c r="DM48" s="1125">
        <v>0</v>
      </c>
      <c r="DN48" s="1125">
        <v>0</v>
      </c>
      <c r="DO48" s="1124">
        <f t="shared" si="31"/>
        <v>-200</v>
      </c>
      <c r="DP48" s="1125"/>
      <c r="DQ48" s="1125"/>
      <c r="DR48" s="1125"/>
      <c r="DS48" s="1125"/>
      <c r="DT48" s="1125"/>
      <c r="DU48" s="1125">
        <f t="shared" si="34"/>
        <v>0</v>
      </c>
      <c r="DV48" s="1744">
        <v>8736.5</v>
      </c>
      <c r="DW48" s="1125">
        <v>6028.19</v>
      </c>
      <c r="DX48" s="1125">
        <v>2708.32</v>
      </c>
      <c r="DY48" s="1125">
        <v>-0.01</v>
      </c>
      <c r="DZ48" s="1745">
        <v>0</v>
      </c>
      <c r="EA48" s="1058">
        <f t="shared" si="32"/>
        <v>17473</v>
      </c>
      <c r="EB48" s="1744">
        <v>3827.4900000000002</v>
      </c>
      <c r="EC48" s="1125">
        <v>0</v>
      </c>
      <c r="ED48" s="1125">
        <v>702.06000000000006</v>
      </c>
      <c r="EE48" s="1125">
        <v>6.0000000000000005E-2</v>
      </c>
      <c r="EF48" s="1745">
        <v>0</v>
      </c>
      <c r="EG48" s="1057">
        <f t="shared" si="33"/>
        <v>4529.6100000000006</v>
      </c>
    </row>
    <row r="49" spans="1:137" ht="15" customHeight="1" x14ac:dyDescent="0.25">
      <c r="A49" s="719" t="s">
        <v>114</v>
      </c>
      <c r="B49" s="816" t="s">
        <v>115</v>
      </c>
      <c r="C49" s="917" t="s">
        <v>265</v>
      </c>
      <c r="D49" s="814">
        <f t="shared" si="6"/>
        <v>17119.060000000001</v>
      </c>
      <c r="E49" s="814">
        <f t="shared" si="7"/>
        <v>1571.4</v>
      </c>
      <c r="F49" s="814">
        <f t="shared" si="8"/>
        <v>3630.7</v>
      </c>
      <c r="G49" s="814">
        <f t="shared" si="9"/>
        <v>-0.02</v>
      </c>
      <c r="H49" s="814">
        <f t="shared" si="10"/>
        <v>0</v>
      </c>
      <c r="I49" s="1422">
        <f t="shared" si="11"/>
        <v>22321.140000000003</v>
      </c>
      <c r="J49" s="815">
        <f t="shared" si="12"/>
        <v>-0.02</v>
      </c>
      <c r="K49" s="1423">
        <f t="shared" si="13"/>
        <v>3630.68</v>
      </c>
      <c r="L49" s="1723"/>
      <c r="M49" s="1043"/>
      <c r="N49" s="1727"/>
      <c r="O49" s="1043"/>
      <c r="P49" s="1043"/>
      <c r="Q49" s="1044">
        <f t="shared" si="14"/>
        <v>0</v>
      </c>
      <c r="R49" s="1717"/>
      <c r="S49" s="1048"/>
      <c r="T49" s="1048"/>
      <c r="U49" s="1048"/>
      <c r="V49" s="1718"/>
      <c r="W49" s="1047">
        <f t="shared" si="15"/>
        <v>0</v>
      </c>
      <c r="X49" s="1719"/>
      <c r="Y49" s="1123"/>
      <c r="Z49" s="1123"/>
      <c r="AA49" s="1123"/>
      <c r="AB49" s="1123"/>
      <c r="AC49" s="1122">
        <f t="shared" si="16"/>
        <v>0</v>
      </c>
      <c r="AD49" s="1733">
        <v>0</v>
      </c>
      <c r="AE49" s="1734">
        <v>0</v>
      </c>
      <c r="AF49" s="1734">
        <v>0</v>
      </c>
      <c r="AG49" s="1734">
        <v>0</v>
      </c>
      <c r="AH49" s="1735">
        <v>0</v>
      </c>
      <c r="AI49" s="1045">
        <f t="shared" si="17"/>
        <v>0</v>
      </c>
      <c r="AJ49" s="1744">
        <v>3038.11</v>
      </c>
      <c r="AK49" s="1125">
        <v>0</v>
      </c>
      <c r="AL49" s="1125">
        <v>759.56</v>
      </c>
      <c r="AM49" s="1125">
        <v>0</v>
      </c>
      <c r="AN49" s="1745">
        <v>0</v>
      </c>
      <c r="AO49" s="1057">
        <f t="shared" si="18"/>
        <v>3797.67</v>
      </c>
      <c r="AP49" s="1736"/>
      <c r="AQ49" s="1046"/>
      <c r="AR49" s="1046"/>
      <c r="AS49" s="1046"/>
      <c r="AT49" s="1046"/>
      <c r="AU49" s="1049">
        <f t="shared" si="19"/>
        <v>0</v>
      </c>
      <c r="AV49" s="1758"/>
      <c r="AW49" s="1050"/>
      <c r="AX49" s="1050"/>
      <c r="AY49" s="1050"/>
      <c r="AZ49" s="1050"/>
      <c r="BA49" s="1051">
        <f t="shared" si="20"/>
        <v>0</v>
      </c>
      <c r="BB49" s="1764">
        <v>0</v>
      </c>
      <c r="BC49" s="1765">
        <v>0</v>
      </c>
      <c r="BD49" s="1765">
        <v>0</v>
      </c>
      <c r="BE49" s="1765">
        <v>0</v>
      </c>
      <c r="BF49" s="1766">
        <v>0</v>
      </c>
      <c r="BG49" s="1047">
        <f t="shared" si="21"/>
        <v>0</v>
      </c>
      <c r="BH49" s="1744"/>
      <c r="BI49" s="1125"/>
      <c r="BJ49" s="1125"/>
      <c r="BK49" s="1125"/>
      <c r="BL49" s="1745"/>
      <c r="BM49" s="1054">
        <f t="shared" si="22"/>
        <v>0</v>
      </c>
      <c r="BN49" s="1744">
        <v>12405.75</v>
      </c>
      <c r="BO49" s="1125">
        <v>1571.4</v>
      </c>
      <c r="BP49" s="1125">
        <v>2563.86</v>
      </c>
      <c r="BQ49" s="1125">
        <v>-0.01</v>
      </c>
      <c r="BR49" s="1745">
        <v>0</v>
      </c>
      <c r="BS49" s="1054">
        <f t="shared" si="23"/>
        <v>16541</v>
      </c>
      <c r="BT49" s="1746"/>
      <c r="BU49" s="1053"/>
      <c r="BV49" s="1053"/>
      <c r="BW49" s="1053"/>
      <c r="BX49" s="1747"/>
      <c r="BY49" s="1057">
        <f t="shared" si="24"/>
        <v>0</v>
      </c>
      <c r="BZ49" s="1746">
        <v>0</v>
      </c>
      <c r="CA49" s="1053">
        <v>0</v>
      </c>
      <c r="CB49" s="1053">
        <v>0</v>
      </c>
      <c r="CC49" s="1053">
        <v>0</v>
      </c>
      <c r="CD49" s="1747">
        <v>0</v>
      </c>
      <c r="CE49" s="1057">
        <f t="shared" si="25"/>
        <v>0</v>
      </c>
      <c r="CF49" s="1746"/>
      <c r="CG49" s="1053"/>
      <c r="CH49" s="1053"/>
      <c r="CI49" s="1053"/>
      <c r="CJ49" s="1747"/>
      <c r="CK49" s="1057">
        <f t="shared" si="26"/>
        <v>0</v>
      </c>
      <c r="CL49" s="1746"/>
      <c r="CM49" s="1053"/>
      <c r="CN49" s="1053"/>
      <c r="CO49" s="1053"/>
      <c r="CP49" s="1053"/>
      <c r="CQ49" s="1054">
        <f t="shared" si="27"/>
        <v>0</v>
      </c>
      <c r="CR49" s="1746"/>
      <c r="CS49" s="1053"/>
      <c r="CT49" s="1053"/>
      <c r="CU49" s="1053"/>
      <c r="CV49" s="1747"/>
      <c r="CW49" s="1057">
        <f t="shared" si="28"/>
        <v>0</v>
      </c>
      <c r="CX49" s="1746"/>
      <c r="CY49" s="1053"/>
      <c r="CZ49" s="1053"/>
      <c r="DA49" s="1053"/>
      <c r="DB49" s="1053"/>
      <c r="DC49" s="1054">
        <f t="shared" si="29"/>
        <v>0</v>
      </c>
      <c r="DD49" s="1746"/>
      <c r="DE49" s="1053"/>
      <c r="DF49" s="1053"/>
      <c r="DG49" s="1053"/>
      <c r="DH49" s="1747"/>
      <c r="DI49" s="1057">
        <f t="shared" si="30"/>
        <v>0</v>
      </c>
      <c r="DJ49" s="1744"/>
      <c r="DK49" s="1125"/>
      <c r="DL49" s="1125"/>
      <c r="DM49" s="1125"/>
      <c r="DN49" s="1125"/>
      <c r="DO49" s="1124">
        <f t="shared" si="31"/>
        <v>0</v>
      </c>
      <c r="DP49" s="1125"/>
      <c r="DQ49" s="1125"/>
      <c r="DR49" s="1125"/>
      <c r="DS49" s="1125"/>
      <c r="DT49" s="1125"/>
      <c r="DU49" s="1125">
        <f t="shared" si="34"/>
        <v>0</v>
      </c>
      <c r="DV49" s="1746">
        <v>0</v>
      </c>
      <c r="DW49" s="1053">
        <v>0</v>
      </c>
      <c r="DX49" s="1053">
        <v>0</v>
      </c>
      <c r="DY49" s="1053">
        <v>0</v>
      </c>
      <c r="DZ49" s="1053">
        <v>0</v>
      </c>
      <c r="EA49" s="1058">
        <f t="shared" si="32"/>
        <v>0</v>
      </c>
      <c r="EB49" s="1744">
        <v>1675.2</v>
      </c>
      <c r="EC49" s="1125">
        <v>0</v>
      </c>
      <c r="ED49" s="1125">
        <v>307.27999999999997</v>
      </c>
      <c r="EE49" s="1125">
        <v>-0.01</v>
      </c>
      <c r="EF49" s="1745">
        <v>0</v>
      </c>
      <c r="EG49" s="1057">
        <f t="shared" si="33"/>
        <v>1982.47</v>
      </c>
    </row>
    <row r="50" spans="1:137" ht="15" customHeight="1" x14ac:dyDescent="0.25">
      <c r="A50" s="719" t="s">
        <v>118</v>
      </c>
      <c r="B50" s="816" t="s">
        <v>119</v>
      </c>
      <c r="C50" s="917" t="s">
        <v>264</v>
      </c>
      <c r="D50" s="814">
        <f t="shared" si="6"/>
        <v>39825.429999999993</v>
      </c>
      <c r="E50" s="814">
        <f t="shared" si="7"/>
        <v>14506.52</v>
      </c>
      <c r="F50" s="814">
        <f t="shared" si="8"/>
        <v>12327.039999999999</v>
      </c>
      <c r="G50" s="814">
        <f t="shared" si="9"/>
        <v>456.54999999999995</v>
      </c>
      <c r="H50" s="814">
        <f t="shared" si="10"/>
        <v>0</v>
      </c>
      <c r="I50" s="1422">
        <f t="shared" si="11"/>
        <v>67115.539999999994</v>
      </c>
      <c r="J50" s="815">
        <f t="shared" si="12"/>
        <v>456.54999999999995</v>
      </c>
      <c r="K50" s="1423">
        <f t="shared" si="13"/>
        <v>12783.589999999998</v>
      </c>
      <c r="L50" s="1723"/>
      <c r="M50" s="1043"/>
      <c r="N50" s="1043"/>
      <c r="O50" s="1043"/>
      <c r="P50" s="1043"/>
      <c r="Q50" s="1044">
        <f t="shared" si="14"/>
        <v>0</v>
      </c>
      <c r="R50" s="1719">
        <v>0</v>
      </c>
      <c r="S50" s="1123">
        <v>0</v>
      </c>
      <c r="T50" s="1123">
        <v>0</v>
      </c>
      <c r="U50" s="1123">
        <v>317.26</v>
      </c>
      <c r="V50" s="1720">
        <v>0</v>
      </c>
      <c r="W50" s="1047">
        <f t="shared" si="15"/>
        <v>317.26</v>
      </c>
      <c r="X50" s="1719"/>
      <c r="Y50" s="1123"/>
      <c r="Z50" s="1123"/>
      <c r="AA50" s="1123"/>
      <c r="AB50" s="1123"/>
      <c r="AC50" s="1122">
        <f t="shared" si="16"/>
        <v>0</v>
      </c>
      <c r="AD50" s="1733">
        <v>580.67999999999995</v>
      </c>
      <c r="AE50" s="1734">
        <v>3.46</v>
      </c>
      <c r="AF50" s="1734">
        <v>107.15</v>
      </c>
      <c r="AG50" s="1734">
        <v>-0.01</v>
      </c>
      <c r="AH50" s="1735">
        <v>0</v>
      </c>
      <c r="AI50" s="1045">
        <f t="shared" si="17"/>
        <v>691.28</v>
      </c>
      <c r="AJ50" s="1744">
        <v>24106.080000000002</v>
      </c>
      <c r="AK50" s="1125">
        <v>0</v>
      </c>
      <c r="AL50" s="1125">
        <v>6026.55</v>
      </c>
      <c r="AM50" s="1125">
        <v>0</v>
      </c>
      <c r="AN50" s="1745">
        <v>0</v>
      </c>
      <c r="AO50" s="1057">
        <f t="shared" si="18"/>
        <v>30132.63</v>
      </c>
      <c r="AP50" s="1736"/>
      <c r="AQ50" s="1046"/>
      <c r="AR50" s="1046"/>
      <c r="AS50" s="1046"/>
      <c r="AT50" s="1046"/>
      <c r="AU50" s="1049">
        <f t="shared" si="19"/>
        <v>0</v>
      </c>
      <c r="AV50" s="1758">
        <v>999.46</v>
      </c>
      <c r="AW50" s="1050">
        <v>249.86</v>
      </c>
      <c r="AX50" s="1050">
        <v>0</v>
      </c>
      <c r="AY50" s="1050">
        <v>24.37</v>
      </c>
      <c r="AZ50" s="1050">
        <v>0</v>
      </c>
      <c r="BA50" s="1051">
        <f t="shared" si="20"/>
        <v>1273.69</v>
      </c>
      <c r="BB50" s="1764">
        <v>486.36</v>
      </c>
      <c r="BC50" s="1765">
        <v>121.59</v>
      </c>
      <c r="BD50" s="1765">
        <v>0</v>
      </c>
      <c r="BE50" s="1765">
        <v>0</v>
      </c>
      <c r="BF50" s="1766">
        <v>0</v>
      </c>
      <c r="BG50" s="1047">
        <f t="shared" si="21"/>
        <v>607.95000000000005</v>
      </c>
      <c r="BH50" s="1744">
        <v>427.67</v>
      </c>
      <c r="BI50" s="1125">
        <v>772.33</v>
      </c>
      <c r="BJ50" s="1125">
        <v>0</v>
      </c>
      <c r="BK50" s="1125">
        <v>0</v>
      </c>
      <c r="BL50" s="1745">
        <v>0</v>
      </c>
      <c r="BM50" s="1054">
        <f t="shared" si="22"/>
        <v>1200</v>
      </c>
      <c r="BN50" s="1744">
        <v>5358.62</v>
      </c>
      <c r="BO50" s="1125">
        <v>678.75</v>
      </c>
      <c r="BP50" s="1125">
        <v>1107.45</v>
      </c>
      <c r="BQ50" s="1125">
        <v>-0.01</v>
      </c>
      <c r="BR50" s="1745">
        <v>0</v>
      </c>
      <c r="BS50" s="1054">
        <f t="shared" si="23"/>
        <v>7144.8099999999995</v>
      </c>
      <c r="BT50" s="1744">
        <v>-175</v>
      </c>
      <c r="BU50" s="1125">
        <v>-175</v>
      </c>
      <c r="BV50" s="1125">
        <v>0</v>
      </c>
      <c r="BW50" s="1125">
        <v>0</v>
      </c>
      <c r="BX50" s="1745">
        <v>0</v>
      </c>
      <c r="BY50" s="1057">
        <f t="shared" si="24"/>
        <v>-350</v>
      </c>
      <c r="BZ50" s="1744">
        <v>3560.19</v>
      </c>
      <c r="CA50" s="1125">
        <v>11137.16</v>
      </c>
      <c r="CB50" s="1125">
        <v>2695.9</v>
      </c>
      <c r="CC50" s="1125">
        <v>249.95</v>
      </c>
      <c r="CD50" s="1745">
        <v>0</v>
      </c>
      <c r="CE50" s="1057">
        <f t="shared" si="25"/>
        <v>17643.2</v>
      </c>
      <c r="CF50" s="1744">
        <v>426.77</v>
      </c>
      <c r="CG50" s="1125">
        <v>0</v>
      </c>
      <c r="CH50" s="1125">
        <v>720.47</v>
      </c>
      <c r="CI50" s="1125">
        <v>0</v>
      </c>
      <c r="CJ50" s="1745">
        <v>0</v>
      </c>
      <c r="CK50" s="1057">
        <f t="shared" si="26"/>
        <v>1147.24</v>
      </c>
      <c r="CL50" s="1746">
        <v>204.6</v>
      </c>
      <c r="CM50" s="1053">
        <v>0</v>
      </c>
      <c r="CN50" s="1053">
        <v>620.4</v>
      </c>
      <c r="CO50" s="1053">
        <v>0</v>
      </c>
      <c r="CP50" s="1053">
        <v>0</v>
      </c>
      <c r="CQ50" s="1054">
        <f t="shared" si="27"/>
        <v>825</v>
      </c>
      <c r="CR50" s="1744"/>
      <c r="CS50" s="1125"/>
      <c r="CT50" s="1125"/>
      <c r="CU50" s="1125"/>
      <c r="CV50" s="1745"/>
      <c r="CW50" s="1057">
        <f t="shared" si="28"/>
        <v>0</v>
      </c>
      <c r="CX50" s="1744"/>
      <c r="CY50" s="1125"/>
      <c r="CZ50" s="1125"/>
      <c r="DA50" s="1125"/>
      <c r="DB50" s="1745"/>
      <c r="DC50" s="1054">
        <f t="shared" si="29"/>
        <v>0</v>
      </c>
      <c r="DD50" s="1744">
        <v>-151</v>
      </c>
      <c r="DE50" s="1125">
        <v>0</v>
      </c>
      <c r="DF50" s="1125">
        <v>0</v>
      </c>
      <c r="DG50" s="1125">
        <v>0</v>
      </c>
      <c r="DH50" s="1745">
        <v>0</v>
      </c>
      <c r="DI50" s="1057">
        <f t="shared" si="30"/>
        <v>-151</v>
      </c>
      <c r="DJ50" s="1744"/>
      <c r="DK50" s="1125"/>
      <c r="DL50" s="1125"/>
      <c r="DM50" s="1125"/>
      <c r="DN50" s="1125"/>
      <c r="DO50" s="1124">
        <f t="shared" si="31"/>
        <v>0</v>
      </c>
      <c r="DP50" s="1125"/>
      <c r="DQ50" s="1125"/>
      <c r="DR50" s="1125"/>
      <c r="DS50" s="1125"/>
      <c r="DT50" s="1125"/>
      <c r="DU50" s="1125">
        <f t="shared" si="34"/>
        <v>0</v>
      </c>
      <c r="DV50" s="1744">
        <v>2490.4</v>
      </c>
      <c r="DW50" s="1125">
        <v>1718.37</v>
      </c>
      <c r="DX50" s="1125">
        <v>772.02</v>
      </c>
      <c r="DY50" s="1125">
        <v>-0.01</v>
      </c>
      <c r="DZ50" s="1745">
        <v>0</v>
      </c>
      <c r="EA50" s="1058">
        <f t="shared" si="32"/>
        <v>4980.7800000000007</v>
      </c>
      <c r="EB50" s="1744">
        <v>1510.6</v>
      </c>
      <c r="EC50" s="1125">
        <v>0</v>
      </c>
      <c r="ED50" s="1125">
        <v>277.10000000000002</v>
      </c>
      <c r="EE50" s="1125">
        <v>-135</v>
      </c>
      <c r="EF50" s="1745">
        <v>0</v>
      </c>
      <c r="EG50" s="1057">
        <f t="shared" si="33"/>
        <v>1652.6999999999998</v>
      </c>
    </row>
    <row r="51" spans="1:137" ht="15" customHeight="1" x14ac:dyDescent="0.25">
      <c r="A51" s="719" t="s">
        <v>120</v>
      </c>
      <c r="B51" s="816" t="s">
        <v>121</v>
      </c>
      <c r="C51" s="917" t="s">
        <v>264</v>
      </c>
      <c r="D51" s="814">
        <f t="shared" si="6"/>
        <v>46882.97</v>
      </c>
      <c r="E51" s="814">
        <f t="shared" si="7"/>
        <v>50999.57</v>
      </c>
      <c r="F51" s="814">
        <f t="shared" si="8"/>
        <v>18404.2</v>
      </c>
      <c r="G51" s="814">
        <f t="shared" si="9"/>
        <v>-256.06</v>
      </c>
      <c r="H51" s="814">
        <f t="shared" si="10"/>
        <v>0</v>
      </c>
      <c r="I51" s="1422">
        <f t="shared" si="11"/>
        <v>116030.68000000001</v>
      </c>
      <c r="J51" s="815">
        <f t="shared" si="12"/>
        <v>-256.06</v>
      </c>
      <c r="K51" s="1423">
        <f t="shared" si="13"/>
        <v>18148.14</v>
      </c>
      <c r="L51" s="1723"/>
      <c r="M51" s="1043"/>
      <c r="N51" s="1043"/>
      <c r="O51" s="1043"/>
      <c r="P51" s="1043"/>
      <c r="Q51" s="1044">
        <f t="shared" si="14"/>
        <v>0</v>
      </c>
      <c r="R51" s="1717"/>
      <c r="S51" s="1048"/>
      <c r="T51" s="1048"/>
      <c r="U51" s="1048"/>
      <c r="V51" s="1718"/>
      <c r="W51" s="1047">
        <f t="shared" si="15"/>
        <v>0</v>
      </c>
      <c r="X51" s="1719"/>
      <c r="Y51" s="1123"/>
      <c r="Z51" s="1123"/>
      <c r="AA51" s="1123"/>
      <c r="AB51" s="1123"/>
      <c r="AC51" s="1122">
        <f t="shared" si="16"/>
        <v>0</v>
      </c>
      <c r="AD51" s="1733">
        <v>5813.27</v>
      </c>
      <c r="AE51" s="1734">
        <v>34.619999999999997</v>
      </c>
      <c r="AF51" s="1734">
        <v>1072.7</v>
      </c>
      <c r="AG51" s="1734">
        <v>-0.03</v>
      </c>
      <c r="AH51" s="1735">
        <v>0</v>
      </c>
      <c r="AI51" s="1045">
        <f t="shared" si="17"/>
        <v>6920.56</v>
      </c>
      <c r="AJ51" s="1744">
        <v>17459.48</v>
      </c>
      <c r="AK51" s="1125">
        <v>0</v>
      </c>
      <c r="AL51" s="1125">
        <v>4364.87</v>
      </c>
      <c r="AM51" s="1125">
        <v>0</v>
      </c>
      <c r="AN51" s="1745">
        <v>0</v>
      </c>
      <c r="AO51" s="1057">
        <f t="shared" si="18"/>
        <v>21824.35</v>
      </c>
      <c r="AP51" s="1736"/>
      <c r="AQ51" s="1046"/>
      <c r="AR51" s="1046"/>
      <c r="AS51" s="1046"/>
      <c r="AT51" s="1046"/>
      <c r="AU51" s="1049">
        <f t="shared" si="19"/>
        <v>0</v>
      </c>
      <c r="AV51" s="1755">
        <v>1771.94</v>
      </c>
      <c r="AW51" s="1756">
        <v>442.99</v>
      </c>
      <c r="AX51" s="1756">
        <v>0</v>
      </c>
      <c r="AY51" s="1756">
        <v>0</v>
      </c>
      <c r="AZ51" s="1757">
        <v>0</v>
      </c>
      <c r="BA51" s="1051">
        <f t="shared" si="20"/>
        <v>2214.9300000000003</v>
      </c>
      <c r="BB51" s="1764">
        <v>222.8</v>
      </c>
      <c r="BC51" s="1765">
        <v>55.7</v>
      </c>
      <c r="BD51" s="1765">
        <v>0</v>
      </c>
      <c r="BE51" s="1765">
        <v>0</v>
      </c>
      <c r="BF51" s="1766">
        <v>0</v>
      </c>
      <c r="BG51" s="1047">
        <f t="shared" si="21"/>
        <v>278.5</v>
      </c>
      <c r="BH51" s="1744">
        <v>632.61</v>
      </c>
      <c r="BI51" s="1125">
        <v>1142.3900000000001</v>
      </c>
      <c r="BJ51" s="1125">
        <v>0</v>
      </c>
      <c r="BK51" s="1125">
        <v>0</v>
      </c>
      <c r="BL51" s="1745">
        <v>0</v>
      </c>
      <c r="BM51" s="1054">
        <f t="shared" si="22"/>
        <v>1775</v>
      </c>
      <c r="BN51" s="1746">
        <v>0</v>
      </c>
      <c r="BO51" s="1053">
        <v>0</v>
      </c>
      <c r="BP51" s="1053">
        <v>0</v>
      </c>
      <c r="BQ51" s="1053">
        <v>0</v>
      </c>
      <c r="BR51" s="1053">
        <v>0</v>
      </c>
      <c r="BS51" s="1054">
        <f t="shared" si="23"/>
        <v>0</v>
      </c>
      <c r="BT51" s="1744"/>
      <c r="BU51" s="1125"/>
      <c r="BV51" s="1125"/>
      <c r="BW51" s="1125"/>
      <c r="BX51" s="1745"/>
      <c r="BY51" s="1057">
        <f t="shared" si="24"/>
        <v>0</v>
      </c>
      <c r="BZ51" s="1744">
        <v>14476.32</v>
      </c>
      <c r="CA51" s="1125">
        <v>46580.61</v>
      </c>
      <c r="CB51" s="1125">
        <v>11199.5</v>
      </c>
      <c r="CC51" s="1125">
        <v>-0.09</v>
      </c>
      <c r="CD51" s="1745">
        <v>0</v>
      </c>
      <c r="CE51" s="1057">
        <f t="shared" si="25"/>
        <v>72256.34</v>
      </c>
      <c r="CF51" s="1744"/>
      <c r="CG51" s="1125"/>
      <c r="CH51" s="1125"/>
      <c r="CI51" s="1125"/>
      <c r="CJ51" s="1745"/>
      <c r="CK51" s="1057">
        <f t="shared" si="26"/>
        <v>0</v>
      </c>
      <c r="CL51" s="1744"/>
      <c r="CM51" s="1125"/>
      <c r="CN51" s="1125"/>
      <c r="CO51" s="1125"/>
      <c r="CP51" s="1745"/>
      <c r="CQ51" s="1054">
        <f t="shared" si="27"/>
        <v>0</v>
      </c>
      <c r="CR51" s="1744"/>
      <c r="CS51" s="1125"/>
      <c r="CT51" s="1125"/>
      <c r="CU51" s="1125"/>
      <c r="CV51" s="1745"/>
      <c r="CW51" s="1057">
        <f t="shared" si="28"/>
        <v>0</v>
      </c>
      <c r="CX51" s="1744">
        <v>-192</v>
      </c>
      <c r="CY51" s="1125">
        <v>-192</v>
      </c>
      <c r="CZ51" s="1125">
        <v>0</v>
      </c>
      <c r="DA51" s="1125">
        <v>-256</v>
      </c>
      <c r="DB51" s="1745">
        <v>0</v>
      </c>
      <c r="DC51" s="1054">
        <f t="shared" si="29"/>
        <v>-640</v>
      </c>
      <c r="DD51" s="1744"/>
      <c r="DE51" s="1125"/>
      <c r="DF51" s="1125"/>
      <c r="DG51" s="1125"/>
      <c r="DH51" s="1745"/>
      <c r="DI51" s="1057">
        <f t="shared" si="30"/>
        <v>0</v>
      </c>
      <c r="DJ51" s="1744"/>
      <c r="DK51" s="1125"/>
      <c r="DL51" s="1125"/>
      <c r="DM51" s="1125"/>
      <c r="DN51" s="1125"/>
      <c r="DO51" s="1124">
        <f t="shared" si="31"/>
        <v>0</v>
      </c>
      <c r="DP51" s="1125"/>
      <c r="DQ51" s="1125"/>
      <c r="DR51" s="1125"/>
      <c r="DS51" s="1125"/>
      <c r="DT51" s="1125"/>
      <c r="DU51" s="1125">
        <f t="shared" si="34"/>
        <v>0</v>
      </c>
      <c r="DV51" s="1744">
        <v>4254</v>
      </c>
      <c r="DW51" s="1125">
        <v>2935.26</v>
      </c>
      <c r="DX51" s="1125">
        <v>1318.74</v>
      </c>
      <c r="DY51" s="1125">
        <v>0</v>
      </c>
      <c r="DZ51" s="1745">
        <v>0</v>
      </c>
      <c r="EA51" s="1058">
        <f t="shared" si="32"/>
        <v>8508</v>
      </c>
      <c r="EB51" s="1744">
        <v>2444.5500000000002</v>
      </c>
      <c r="EC51" s="1125">
        <v>0</v>
      </c>
      <c r="ED51" s="1125">
        <v>448.39</v>
      </c>
      <c r="EE51" s="1125">
        <v>0.06</v>
      </c>
      <c r="EF51" s="1745">
        <v>0</v>
      </c>
      <c r="EG51" s="1057">
        <f t="shared" si="33"/>
        <v>2893</v>
      </c>
    </row>
    <row r="52" spans="1:137" ht="15" customHeight="1" x14ac:dyDescent="0.25">
      <c r="A52" s="719" t="s">
        <v>122</v>
      </c>
      <c r="B52" s="816" t="s">
        <v>271</v>
      </c>
      <c r="C52" s="917" t="s">
        <v>266</v>
      </c>
      <c r="D52" s="814">
        <f t="shared" si="6"/>
        <v>16021.98</v>
      </c>
      <c r="E52" s="814">
        <f t="shared" si="7"/>
        <v>6735.42</v>
      </c>
      <c r="F52" s="814">
        <f t="shared" si="8"/>
        <v>4174.4000000000005</v>
      </c>
      <c r="G52" s="814">
        <f t="shared" si="9"/>
        <v>-6.0000000000000012E-2</v>
      </c>
      <c r="H52" s="814">
        <f t="shared" si="10"/>
        <v>0</v>
      </c>
      <c r="I52" s="1422">
        <f t="shared" si="11"/>
        <v>26931.74</v>
      </c>
      <c r="J52" s="815">
        <f t="shared" si="12"/>
        <v>-6.0000000000000012E-2</v>
      </c>
      <c r="K52" s="1423">
        <f t="shared" si="13"/>
        <v>4174.34</v>
      </c>
      <c r="L52" s="1723"/>
      <c r="M52" s="1043"/>
      <c r="N52" s="1043"/>
      <c r="O52" s="1043"/>
      <c r="P52" s="1043"/>
      <c r="Q52" s="1044">
        <f t="shared" si="14"/>
        <v>0</v>
      </c>
      <c r="R52" s="1717"/>
      <c r="S52" s="1048"/>
      <c r="T52" s="1048"/>
      <c r="U52" s="1048"/>
      <c r="V52" s="1718"/>
      <c r="W52" s="1047">
        <f t="shared" si="15"/>
        <v>0</v>
      </c>
      <c r="X52" s="1719"/>
      <c r="Y52" s="1123"/>
      <c r="Z52" s="1123"/>
      <c r="AA52" s="1123"/>
      <c r="AB52" s="1123"/>
      <c r="AC52" s="1122">
        <f t="shared" si="16"/>
        <v>0</v>
      </c>
      <c r="AD52" s="1736">
        <v>168</v>
      </c>
      <c r="AE52" s="1046">
        <v>1</v>
      </c>
      <c r="AF52" s="1046">
        <v>31</v>
      </c>
      <c r="AG52" s="1046">
        <v>0</v>
      </c>
      <c r="AH52" s="1737">
        <v>0</v>
      </c>
      <c r="AI52" s="1045">
        <f t="shared" si="17"/>
        <v>200</v>
      </c>
      <c r="AJ52" s="1744">
        <v>0</v>
      </c>
      <c r="AK52" s="1125">
        <v>0</v>
      </c>
      <c r="AL52" s="1125">
        <v>0</v>
      </c>
      <c r="AM52" s="1125">
        <v>0</v>
      </c>
      <c r="AN52" s="1745">
        <v>0</v>
      </c>
      <c r="AO52" s="1057">
        <f t="shared" si="18"/>
        <v>0</v>
      </c>
      <c r="AP52" s="1736">
        <v>25</v>
      </c>
      <c r="AQ52" s="1046">
        <v>17.260000000000002</v>
      </c>
      <c r="AR52" s="1046">
        <v>7.76</v>
      </c>
      <c r="AS52" s="1046">
        <v>-0.02</v>
      </c>
      <c r="AT52" s="1046">
        <v>0</v>
      </c>
      <c r="AU52" s="1049">
        <f t="shared" si="19"/>
        <v>50</v>
      </c>
      <c r="AV52" s="1755"/>
      <c r="AW52" s="1756"/>
      <c r="AX52" s="1756"/>
      <c r="AY52" s="1756"/>
      <c r="AZ52" s="1757"/>
      <c r="BA52" s="1051">
        <f t="shared" si="20"/>
        <v>0</v>
      </c>
      <c r="BB52" s="1764">
        <v>0</v>
      </c>
      <c r="BC52" s="1765">
        <v>0</v>
      </c>
      <c r="BD52" s="1765">
        <v>0</v>
      </c>
      <c r="BE52" s="1765">
        <v>0</v>
      </c>
      <c r="BF52" s="1766">
        <v>0</v>
      </c>
      <c r="BG52" s="1047">
        <f t="shared" si="21"/>
        <v>0</v>
      </c>
      <c r="BH52" s="1744"/>
      <c r="BI52" s="1125"/>
      <c r="BJ52" s="1125"/>
      <c r="BK52" s="1125"/>
      <c r="BL52" s="1745"/>
      <c r="BM52" s="1054">
        <f t="shared" si="22"/>
        <v>0</v>
      </c>
      <c r="BN52" s="1744">
        <v>13500</v>
      </c>
      <c r="BO52" s="1125">
        <v>1710</v>
      </c>
      <c r="BP52" s="1125">
        <v>2790</v>
      </c>
      <c r="BQ52" s="1125">
        <v>0</v>
      </c>
      <c r="BR52" s="1745">
        <v>0</v>
      </c>
      <c r="BS52" s="1054">
        <f t="shared" si="23"/>
        <v>18000</v>
      </c>
      <c r="BT52" s="1744"/>
      <c r="BU52" s="1125"/>
      <c r="BV52" s="1125"/>
      <c r="BW52" s="1125"/>
      <c r="BX52" s="1745"/>
      <c r="BY52" s="1057">
        <f t="shared" si="24"/>
        <v>0</v>
      </c>
      <c r="BZ52" s="1744">
        <v>1553.09</v>
      </c>
      <c r="CA52" s="1125">
        <v>5007.16</v>
      </c>
      <c r="CB52" s="1125">
        <v>1203.3399999999999</v>
      </c>
      <c r="CC52" s="1125">
        <v>-0.1</v>
      </c>
      <c r="CD52" s="1745">
        <v>0</v>
      </c>
      <c r="CE52" s="1057">
        <f t="shared" si="25"/>
        <v>7763.49</v>
      </c>
      <c r="CF52" s="1746"/>
      <c r="CG52" s="1053"/>
      <c r="CH52" s="1053"/>
      <c r="CI52" s="1053"/>
      <c r="CJ52" s="1747"/>
      <c r="CK52" s="1057">
        <f t="shared" si="26"/>
        <v>0</v>
      </c>
      <c r="CL52" s="1746"/>
      <c r="CM52" s="1053"/>
      <c r="CN52" s="1053"/>
      <c r="CO52" s="1053"/>
      <c r="CP52" s="1053"/>
      <c r="CQ52" s="1054">
        <f t="shared" si="27"/>
        <v>0</v>
      </c>
      <c r="CR52" s="1746"/>
      <c r="CS52" s="1053"/>
      <c r="CT52" s="1053"/>
      <c r="CU52" s="1053"/>
      <c r="CV52" s="1747"/>
      <c r="CW52" s="1057">
        <f t="shared" si="28"/>
        <v>0</v>
      </c>
      <c r="CX52" s="1744"/>
      <c r="CY52" s="1125"/>
      <c r="CZ52" s="1125"/>
      <c r="DA52" s="1125"/>
      <c r="DB52" s="1745"/>
      <c r="DC52" s="1054">
        <f t="shared" si="29"/>
        <v>0</v>
      </c>
      <c r="DD52" s="1744"/>
      <c r="DE52" s="1125"/>
      <c r="DF52" s="1125"/>
      <c r="DG52" s="1125"/>
      <c r="DH52" s="1745"/>
      <c r="DI52" s="1057">
        <f t="shared" si="30"/>
        <v>0</v>
      </c>
      <c r="DJ52" s="1744"/>
      <c r="DK52" s="1125"/>
      <c r="DL52" s="1125"/>
      <c r="DM52" s="1125"/>
      <c r="DN52" s="1125"/>
      <c r="DO52" s="1124">
        <f t="shared" si="31"/>
        <v>0</v>
      </c>
      <c r="DP52" s="1125"/>
      <c r="DQ52" s="1125"/>
      <c r="DR52" s="1125"/>
      <c r="DS52" s="1125"/>
      <c r="DT52" s="1125"/>
      <c r="DU52" s="1125">
        <f t="shared" si="34"/>
        <v>0</v>
      </c>
      <c r="DV52" s="1744">
        <v>0</v>
      </c>
      <c r="DW52" s="1125">
        <v>0</v>
      </c>
      <c r="DX52" s="1125">
        <v>0</v>
      </c>
      <c r="DY52" s="1125">
        <v>0</v>
      </c>
      <c r="DZ52" s="1745">
        <v>0</v>
      </c>
      <c r="EA52" s="1058">
        <f t="shared" si="32"/>
        <v>0</v>
      </c>
      <c r="EB52" s="1744">
        <v>775.89</v>
      </c>
      <c r="EC52" s="1125">
        <v>0</v>
      </c>
      <c r="ED52" s="1125">
        <v>142.30000000000001</v>
      </c>
      <c r="EE52" s="1125">
        <v>0.06</v>
      </c>
      <c r="EF52" s="1745">
        <v>0</v>
      </c>
      <c r="EG52" s="1057">
        <f t="shared" si="33"/>
        <v>918.25</v>
      </c>
    </row>
    <row r="53" spans="1:137" ht="15" customHeight="1" x14ac:dyDescent="0.25">
      <c r="A53" s="719" t="s">
        <v>124</v>
      </c>
      <c r="B53" s="816" t="s">
        <v>125</v>
      </c>
      <c r="C53" s="917" t="s">
        <v>267</v>
      </c>
      <c r="D53" s="814">
        <f t="shared" si="6"/>
        <v>31976.55</v>
      </c>
      <c r="E53" s="814">
        <f t="shared" si="7"/>
        <v>16534.060000000001</v>
      </c>
      <c r="F53" s="814">
        <f t="shared" si="8"/>
        <v>8736.67</v>
      </c>
      <c r="G53" s="814">
        <f t="shared" si="9"/>
        <v>-1.0000000000000002E-2</v>
      </c>
      <c r="H53" s="814">
        <f t="shared" si="10"/>
        <v>0</v>
      </c>
      <c r="I53" s="1422">
        <f t="shared" si="11"/>
        <v>57247.27</v>
      </c>
      <c r="J53" s="815">
        <f t="shared" si="12"/>
        <v>-1.0000000000000002E-2</v>
      </c>
      <c r="K53" s="1423">
        <f t="shared" si="13"/>
        <v>8736.66</v>
      </c>
      <c r="L53" s="1723"/>
      <c r="M53" s="1043"/>
      <c r="N53" s="1043"/>
      <c r="O53" s="1043"/>
      <c r="P53" s="1043"/>
      <c r="Q53" s="1044">
        <f t="shared" si="14"/>
        <v>0</v>
      </c>
      <c r="R53" s="1717"/>
      <c r="S53" s="1048"/>
      <c r="T53" s="1048"/>
      <c r="U53" s="1048"/>
      <c r="V53" s="1718"/>
      <c r="W53" s="1047">
        <f t="shared" si="15"/>
        <v>0</v>
      </c>
      <c r="X53" s="1719"/>
      <c r="Y53" s="1123"/>
      <c r="Z53" s="1123"/>
      <c r="AA53" s="1123"/>
      <c r="AB53" s="1123"/>
      <c r="AC53" s="1122">
        <f t="shared" si="16"/>
        <v>0</v>
      </c>
      <c r="AD53" s="1733">
        <v>2630.74</v>
      </c>
      <c r="AE53" s="1734">
        <v>15.67</v>
      </c>
      <c r="AF53" s="1734">
        <v>485.44</v>
      </c>
      <c r="AG53" s="1734">
        <v>-0.02</v>
      </c>
      <c r="AH53" s="1735">
        <v>0</v>
      </c>
      <c r="AI53" s="1045">
        <f t="shared" si="17"/>
        <v>3131.83</v>
      </c>
      <c r="AJ53" s="1744">
        <v>2323.1999999999998</v>
      </c>
      <c r="AK53" s="1125">
        <v>0</v>
      </c>
      <c r="AL53" s="1125">
        <v>580.79999999999995</v>
      </c>
      <c r="AM53" s="1125">
        <v>0</v>
      </c>
      <c r="AN53" s="1745">
        <v>0</v>
      </c>
      <c r="AO53" s="1057">
        <f t="shared" si="18"/>
        <v>2904</v>
      </c>
      <c r="AP53" s="1736"/>
      <c r="AQ53" s="1046"/>
      <c r="AR53" s="1046"/>
      <c r="AS53" s="1046"/>
      <c r="AT53" s="1046"/>
      <c r="AU53" s="1049">
        <f t="shared" si="19"/>
        <v>0</v>
      </c>
      <c r="AV53" s="1755"/>
      <c r="AW53" s="1756"/>
      <c r="AX53" s="1756"/>
      <c r="AY53" s="1756"/>
      <c r="AZ53" s="1757"/>
      <c r="BA53" s="1051">
        <f t="shared" si="20"/>
        <v>0</v>
      </c>
      <c r="BB53" s="1764">
        <v>1379.34</v>
      </c>
      <c r="BC53" s="1765">
        <v>344.84</v>
      </c>
      <c r="BD53" s="1765">
        <v>0</v>
      </c>
      <c r="BE53" s="1765">
        <v>0</v>
      </c>
      <c r="BF53" s="1766">
        <v>0</v>
      </c>
      <c r="BG53" s="1047">
        <f t="shared" si="21"/>
        <v>1724.1799999999998</v>
      </c>
      <c r="BH53" s="1744"/>
      <c r="BI53" s="1125"/>
      <c r="BJ53" s="1125"/>
      <c r="BK53" s="1125"/>
      <c r="BL53" s="1745"/>
      <c r="BM53" s="1054">
        <f t="shared" si="22"/>
        <v>0</v>
      </c>
      <c r="BN53" s="1744">
        <v>15713.27</v>
      </c>
      <c r="BO53" s="1125">
        <v>1990.36</v>
      </c>
      <c r="BP53" s="1125">
        <v>3247.41</v>
      </c>
      <c r="BQ53" s="1125">
        <v>-0.02</v>
      </c>
      <c r="BR53" s="1745">
        <v>0</v>
      </c>
      <c r="BS53" s="1054">
        <f t="shared" si="23"/>
        <v>20951.02</v>
      </c>
      <c r="BT53" s="1744"/>
      <c r="BU53" s="1125"/>
      <c r="BV53" s="1125"/>
      <c r="BW53" s="1125"/>
      <c r="BX53" s="1745"/>
      <c r="BY53" s="1057">
        <f t="shared" si="24"/>
        <v>0</v>
      </c>
      <c r="BZ53" s="1744">
        <v>4171.22</v>
      </c>
      <c r="CA53" s="1125">
        <v>14183.19</v>
      </c>
      <c r="CB53" s="1125">
        <v>3366.69</v>
      </c>
      <c r="CC53" s="1125">
        <v>-0.01</v>
      </c>
      <c r="CD53" s="1745">
        <v>0</v>
      </c>
      <c r="CE53" s="1057">
        <f t="shared" si="25"/>
        <v>21721.09</v>
      </c>
      <c r="CF53" s="1746"/>
      <c r="CG53" s="1053"/>
      <c r="CH53" s="1053"/>
      <c r="CI53" s="1053"/>
      <c r="CJ53" s="1747"/>
      <c r="CK53" s="1057">
        <f t="shared" si="26"/>
        <v>0</v>
      </c>
      <c r="CL53" s="1746"/>
      <c r="CM53" s="1053"/>
      <c r="CN53" s="1053"/>
      <c r="CO53" s="1053"/>
      <c r="CP53" s="1053"/>
      <c r="CQ53" s="1054">
        <f t="shared" si="27"/>
        <v>0</v>
      </c>
      <c r="CR53" s="1744"/>
      <c r="CS53" s="1125"/>
      <c r="CT53" s="1125"/>
      <c r="CU53" s="1125"/>
      <c r="CV53" s="1745"/>
      <c r="CW53" s="1057">
        <f t="shared" si="28"/>
        <v>0</v>
      </c>
      <c r="CX53" s="1744"/>
      <c r="CY53" s="1125"/>
      <c r="CZ53" s="1125"/>
      <c r="DA53" s="1125"/>
      <c r="DB53" s="1745"/>
      <c r="DC53" s="1054">
        <f t="shared" si="29"/>
        <v>0</v>
      </c>
      <c r="DD53" s="1744"/>
      <c r="DE53" s="1125"/>
      <c r="DF53" s="1125"/>
      <c r="DG53" s="1125"/>
      <c r="DH53" s="1745"/>
      <c r="DI53" s="1057">
        <f t="shared" si="30"/>
        <v>0</v>
      </c>
      <c r="DJ53" s="1744"/>
      <c r="DK53" s="1125"/>
      <c r="DL53" s="1125"/>
      <c r="DM53" s="1125"/>
      <c r="DN53" s="1125"/>
      <c r="DO53" s="1124">
        <f t="shared" si="31"/>
        <v>0</v>
      </c>
      <c r="DP53" s="1125"/>
      <c r="DQ53" s="1125"/>
      <c r="DR53" s="1125"/>
      <c r="DS53" s="1125"/>
      <c r="DT53" s="1125"/>
      <c r="DU53" s="1125">
        <f t="shared" si="34"/>
        <v>0</v>
      </c>
      <c r="DV53" s="1744">
        <v>0</v>
      </c>
      <c r="DW53" s="1125">
        <v>0</v>
      </c>
      <c r="DX53" s="1125">
        <v>0</v>
      </c>
      <c r="DY53" s="1125">
        <v>0</v>
      </c>
      <c r="DZ53" s="1745">
        <v>0</v>
      </c>
      <c r="EA53" s="1058">
        <f t="shared" si="32"/>
        <v>0</v>
      </c>
      <c r="EB53" s="1744">
        <v>5758.78</v>
      </c>
      <c r="EC53" s="1125">
        <v>0</v>
      </c>
      <c r="ED53" s="1125">
        <v>1056.33</v>
      </c>
      <c r="EE53" s="1125">
        <v>0.04</v>
      </c>
      <c r="EF53" s="1745">
        <v>0</v>
      </c>
      <c r="EG53" s="1057">
        <f t="shared" si="33"/>
        <v>6815.15</v>
      </c>
    </row>
    <row r="54" spans="1:137" ht="15" customHeight="1" x14ac:dyDescent="0.25">
      <c r="A54" s="719" t="s">
        <v>126</v>
      </c>
      <c r="B54" s="816" t="s">
        <v>127</v>
      </c>
      <c r="C54" s="917" t="s">
        <v>266</v>
      </c>
      <c r="D54" s="814">
        <f t="shared" si="6"/>
        <v>26747.249999999996</v>
      </c>
      <c r="E54" s="814">
        <f t="shared" si="7"/>
        <v>14170.880000000001</v>
      </c>
      <c r="F54" s="814">
        <f t="shared" si="8"/>
        <v>7545.5199999999995</v>
      </c>
      <c r="G54" s="814">
        <f t="shared" si="9"/>
        <v>-0.14000000000000001</v>
      </c>
      <c r="H54" s="814">
        <f t="shared" si="10"/>
        <v>0</v>
      </c>
      <c r="I54" s="1422">
        <f t="shared" si="11"/>
        <v>48463.509999999995</v>
      </c>
      <c r="J54" s="815">
        <f t="shared" si="12"/>
        <v>-0.14000000000000001</v>
      </c>
      <c r="K54" s="1423">
        <f t="shared" si="13"/>
        <v>7545.3799999999992</v>
      </c>
      <c r="L54" s="1723"/>
      <c r="M54" s="1043"/>
      <c r="N54" s="1043"/>
      <c r="O54" s="1043"/>
      <c r="P54" s="1043"/>
      <c r="Q54" s="1044">
        <f t="shared" si="14"/>
        <v>0</v>
      </c>
      <c r="R54" s="1717"/>
      <c r="S54" s="1048"/>
      <c r="T54" s="1048"/>
      <c r="U54" s="1048"/>
      <c r="V54" s="1718"/>
      <c r="W54" s="1047">
        <f t="shared" si="15"/>
        <v>0</v>
      </c>
      <c r="X54" s="1719"/>
      <c r="Y54" s="1123"/>
      <c r="Z54" s="1123"/>
      <c r="AA54" s="1123"/>
      <c r="AB54" s="1123"/>
      <c r="AC54" s="1122">
        <f t="shared" si="16"/>
        <v>0</v>
      </c>
      <c r="AD54" s="1733">
        <v>833.46</v>
      </c>
      <c r="AE54" s="1734">
        <v>4.9800000000000004</v>
      </c>
      <c r="AF54" s="1734">
        <v>153.82</v>
      </c>
      <c r="AG54" s="1734">
        <v>-0.04</v>
      </c>
      <c r="AH54" s="1735">
        <v>0</v>
      </c>
      <c r="AI54" s="1045">
        <f t="shared" si="17"/>
        <v>992.22</v>
      </c>
      <c r="AJ54" s="1744">
        <v>2675.2</v>
      </c>
      <c r="AK54" s="1125">
        <v>0</v>
      </c>
      <c r="AL54" s="1125">
        <v>668.8</v>
      </c>
      <c r="AM54" s="1125">
        <v>0</v>
      </c>
      <c r="AN54" s="1745">
        <v>0</v>
      </c>
      <c r="AO54" s="1057">
        <f t="shared" si="18"/>
        <v>3344</v>
      </c>
      <c r="AP54" s="1736"/>
      <c r="AQ54" s="1046"/>
      <c r="AR54" s="1046"/>
      <c r="AS54" s="1046"/>
      <c r="AT54" s="1046"/>
      <c r="AU54" s="1049">
        <f t="shared" si="19"/>
        <v>0</v>
      </c>
      <c r="AV54" s="1758"/>
      <c r="AW54" s="1050"/>
      <c r="AX54" s="1050"/>
      <c r="AY54" s="1050"/>
      <c r="AZ54" s="1050"/>
      <c r="BA54" s="1051">
        <f t="shared" si="20"/>
        <v>0</v>
      </c>
      <c r="BB54" s="1764">
        <v>602.9</v>
      </c>
      <c r="BC54" s="1765">
        <v>150.72999999999999</v>
      </c>
      <c r="BD54" s="1765">
        <v>0</v>
      </c>
      <c r="BE54" s="1765">
        <v>0</v>
      </c>
      <c r="BF54" s="1766">
        <v>0</v>
      </c>
      <c r="BG54" s="1047">
        <f t="shared" si="21"/>
        <v>753.63</v>
      </c>
      <c r="BH54" s="1746"/>
      <c r="BI54" s="1053"/>
      <c r="BJ54" s="1053"/>
      <c r="BK54" s="1053"/>
      <c r="BL54" s="1053"/>
      <c r="BM54" s="1054">
        <f t="shared" si="22"/>
        <v>0</v>
      </c>
      <c r="BN54" s="1744">
        <v>13692.75</v>
      </c>
      <c r="BO54" s="1125">
        <v>1734.42</v>
      </c>
      <c r="BP54" s="1125">
        <v>2829.83</v>
      </c>
      <c r="BQ54" s="1125">
        <v>0</v>
      </c>
      <c r="BR54" s="1745">
        <v>0</v>
      </c>
      <c r="BS54" s="1054">
        <f t="shared" si="23"/>
        <v>18257</v>
      </c>
      <c r="BT54" s="1744"/>
      <c r="BU54" s="1125"/>
      <c r="BV54" s="1125"/>
      <c r="BW54" s="1125"/>
      <c r="BX54" s="1745"/>
      <c r="BY54" s="1057">
        <f t="shared" si="24"/>
        <v>0</v>
      </c>
      <c r="BZ54" s="1744">
        <v>3064.55</v>
      </c>
      <c r="CA54" s="1125">
        <v>10003.75</v>
      </c>
      <c r="CB54" s="1125">
        <v>2397.1</v>
      </c>
      <c r="CC54" s="1125">
        <v>-0.1</v>
      </c>
      <c r="CD54" s="1745">
        <v>0</v>
      </c>
      <c r="CE54" s="1057">
        <f t="shared" si="25"/>
        <v>15465.3</v>
      </c>
      <c r="CF54" s="1746"/>
      <c r="CG54" s="1053"/>
      <c r="CH54" s="1053"/>
      <c r="CI54" s="1053"/>
      <c r="CJ54" s="1747"/>
      <c r="CK54" s="1057">
        <f t="shared" si="26"/>
        <v>0</v>
      </c>
      <c r="CL54" s="1746"/>
      <c r="CM54" s="1053"/>
      <c r="CN54" s="1053"/>
      <c r="CO54" s="1053"/>
      <c r="CP54" s="1053"/>
      <c r="CQ54" s="1054">
        <f t="shared" si="27"/>
        <v>0</v>
      </c>
      <c r="CR54" s="1744"/>
      <c r="CS54" s="1125"/>
      <c r="CT54" s="1125"/>
      <c r="CU54" s="1125"/>
      <c r="CV54" s="1745"/>
      <c r="CW54" s="1057">
        <f t="shared" si="28"/>
        <v>0</v>
      </c>
      <c r="CX54" s="1744"/>
      <c r="CY54" s="1125"/>
      <c r="CZ54" s="1125"/>
      <c r="DA54" s="1125"/>
      <c r="DB54" s="1745"/>
      <c r="DC54" s="1054">
        <f t="shared" si="29"/>
        <v>0</v>
      </c>
      <c r="DD54" s="1744"/>
      <c r="DE54" s="1125"/>
      <c r="DF54" s="1125"/>
      <c r="DG54" s="1125"/>
      <c r="DH54" s="1745"/>
      <c r="DI54" s="1057">
        <f t="shared" si="30"/>
        <v>0</v>
      </c>
      <c r="DJ54" s="1744"/>
      <c r="DK54" s="1125"/>
      <c r="DL54" s="1125"/>
      <c r="DM54" s="1125"/>
      <c r="DN54" s="1125"/>
      <c r="DO54" s="1124">
        <f t="shared" si="31"/>
        <v>0</v>
      </c>
      <c r="DP54" s="1125"/>
      <c r="DQ54" s="1125"/>
      <c r="DR54" s="1125"/>
      <c r="DS54" s="1125"/>
      <c r="DT54" s="1125"/>
      <c r="DU54" s="1125">
        <f t="shared" si="34"/>
        <v>0</v>
      </c>
      <c r="DV54" s="1744">
        <v>3300</v>
      </c>
      <c r="DW54" s="1125">
        <v>2277</v>
      </c>
      <c r="DX54" s="1125">
        <v>1023</v>
      </c>
      <c r="DY54" s="1125">
        <v>0</v>
      </c>
      <c r="DZ54" s="1745">
        <v>0</v>
      </c>
      <c r="EA54" s="1058">
        <f t="shared" si="32"/>
        <v>6600</v>
      </c>
      <c r="EB54" s="1744">
        <v>2578.39</v>
      </c>
      <c r="EC54" s="1125">
        <v>0</v>
      </c>
      <c r="ED54" s="1125">
        <v>472.97</v>
      </c>
      <c r="EE54" s="1125">
        <v>0</v>
      </c>
      <c r="EF54" s="1745">
        <v>0</v>
      </c>
      <c r="EG54" s="1057">
        <f t="shared" si="33"/>
        <v>3051.3599999999997</v>
      </c>
    </row>
    <row r="55" spans="1:137" ht="15" customHeight="1" x14ac:dyDescent="0.25">
      <c r="A55" s="719" t="s">
        <v>128</v>
      </c>
      <c r="B55" s="816" t="s">
        <v>129</v>
      </c>
      <c r="C55" s="917" t="s">
        <v>266</v>
      </c>
      <c r="D55" s="814">
        <f t="shared" si="6"/>
        <v>10337.14</v>
      </c>
      <c r="E55" s="814">
        <f t="shared" si="7"/>
        <v>2610.96</v>
      </c>
      <c r="F55" s="814">
        <f t="shared" si="8"/>
        <v>2543.8000000000002</v>
      </c>
      <c r="G55" s="814">
        <f t="shared" si="9"/>
        <v>1894.96</v>
      </c>
      <c r="H55" s="814">
        <f t="shared" si="10"/>
        <v>0</v>
      </c>
      <c r="I55" s="1422">
        <f t="shared" si="11"/>
        <v>17386.859999999997</v>
      </c>
      <c r="J55" s="815">
        <f t="shared" si="12"/>
        <v>1894.96</v>
      </c>
      <c r="K55" s="1423">
        <f t="shared" si="13"/>
        <v>4438.76</v>
      </c>
      <c r="L55" s="1723"/>
      <c r="M55" s="1043"/>
      <c r="N55" s="1043"/>
      <c r="O55" s="1043"/>
      <c r="P55" s="1043"/>
      <c r="Q55" s="1044">
        <f t="shared" si="14"/>
        <v>0</v>
      </c>
      <c r="R55" s="1717"/>
      <c r="S55" s="1048"/>
      <c r="T55" s="1048"/>
      <c r="U55" s="1048"/>
      <c r="V55" s="1718"/>
      <c r="W55" s="1047">
        <f t="shared" si="15"/>
        <v>0</v>
      </c>
      <c r="X55" s="1719"/>
      <c r="Y55" s="1123"/>
      <c r="Z55" s="1123"/>
      <c r="AA55" s="1123"/>
      <c r="AB55" s="1123"/>
      <c r="AC55" s="1122">
        <f t="shared" si="16"/>
        <v>0</v>
      </c>
      <c r="AD55" s="1733">
        <v>264.60000000000002</v>
      </c>
      <c r="AE55" s="1734">
        <v>1.58</v>
      </c>
      <c r="AF55" s="1734">
        <v>48.83</v>
      </c>
      <c r="AG55" s="1734">
        <v>-0.01</v>
      </c>
      <c r="AH55" s="1735">
        <v>0</v>
      </c>
      <c r="AI55" s="1045">
        <f t="shared" si="17"/>
        <v>315</v>
      </c>
      <c r="AJ55" s="1744">
        <v>462</v>
      </c>
      <c r="AK55" s="1125">
        <v>0</v>
      </c>
      <c r="AL55" s="1125">
        <v>115.5</v>
      </c>
      <c r="AM55" s="1125">
        <v>0</v>
      </c>
      <c r="AN55" s="1745">
        <v>0</v>
      </c>
      <c r="AO55" s="1057">
        <f t="shared" si="18"/>
        <v>577.5</v>
      </c>
      <c r="AP55" s="1736"/>
      <c r="AQ55" s="1046"/>
      <c r="AR55" s="1046"/>
      <c r="AS55" s="1046"/>
      <c r="AT55" s="1046"/>
      <c r="AU55" s="1049">
        <f t="shared" si="19"/>
        <v>0</v>
      </c>
      <c r="AV55" s="1755"/>
      <c r="AW55" s="1756"/>
      <c r="AX55" s="1756"/>
      <c r="AY55" s="1756"/>
      <c r="AZ55" s="1757"/>
      <c r="BA55" s="1051">
        <f t="shared" si="20"/>
        <v>0</v>
      </c>
      <c r="BB55" s="1719">
        <v>0</v>
      </c>
      <c r="BC55" s="1123">
        <v>0</v>
      </c>
      <c r="BD55" s="1123">
        <v>0</v>
      </c>
      <c r="BE55" s="1123">
        <v>0</v>
      </c>
      <c r="BF55" s="1720">
        <v>0</v>
      </c>
      <c r="BG55" s="1047">
        <f t="shared" si="21"/>
        <v>0</v>
      </c>
      <c r="BH55" s="1746"/>
      <c r="BI55" s="1053"/>
      <c r="BJ55" s="1053"/>
      <c r="BK55" s="1053"/>
      <c r="BL55" s="1053"/>
      <c r="BM55" s="1054">
        <f t="shared" si="22"/>
        <v>0</v>
      </c>
      <c r="BN55" s="1744">
        <v>4275</v>
      </c>
      <c r="BO55" s="1125">
        <v>541.5</v>
      </c>
      <c r="BP55" s="1125">
        <v>883.5</v>
      </c>
      <c r="BQ55" s="1125">
        <v>1895</v>
      </c>
      <c r="BR55" s="1745">
        <v>0</v>
      </c>
      <c r="BS55" s="1054">
        <f t="shared" si="23"/>
        <v>7595</v>
      </c>
      <c r="BT55" s="1744"/>
      <c r="BU55" s="1125"/>
      <c r="BV55" s="1125"/>
      <c r="BW55" s="1125"/>
      <c r="BX55" s="1745"/>
      <c r="BY55" s="1057">
        <f t="shared" si="24"/>
        <v>0</v>
      </c>
      <c r="BZ55" s="1744">
        <v>1150.93</v>
      </c>
      <c r="CA55" s="1125">
        <v>2067.88</v>
      </c>
      <c r="CB55" s="1125">
        <v>590.44000000000005</v>
      </c>
      <c r="CC55" s="1125">
        <v>-0.04</v>
      </c>
      <c r="CD55" s="1745">
        <v>0</v>
      </c>
      <c r="CE55" s="1057">
        <f t="shared" si="25"/>
        <v>3809.2100000000005</v>
      </c>
      <c r="CF55" s="1746"/>
      <c r="CG55" s="1053"/>
      <c r="CH55" s="1053"/>
      <c r="CI55" s="1053"/>
      <c r="CJ55" s="1747"/>
      <c r="CK55" s="1057">
        <f t="shared" si="26"/>
        <v>0</v>
      </c>
      <c r="CL55" s="1746"/>
      <c r="CM55" s="1053"/>
      <c r="CN55" s="1053"/>
      <c r="CO55" s="1053"/>
      <c r="CP55" s="1053"/>
      <c r="CQ55" s="1054">
        <f t="shared" si="27"/>
        <v>0</v>
      </c>
      <c r="CR55" s="1746"/>
      <c r="CS55" s="1053"/>
      <c r="CT55" s="1053"/>
      <c r="CU55" s="1053"/>
      <c r="CV55" s="1747"/>
      <c r="CW55" s="1057">
        <f t="shared" si="28"/>
        <v>0</v>
      </c>
      <c r="CX55" s="1746"/>
      <c r="CY55" s="1053"/>
      <c r="CZ55" s="1053"/>
      <c r="DA55" s="1053"/>
      <c r="DB55" s="1053"/>
      <c r="DC55" s="1054">
        <f t="shared" si="29"/>
        <v>0</v>
      </c>
      <c r="DD55" s="1744"/>
      <c r="DE55" s="1125"/>
      <c r="DF55" s="1125"/>
      <c r="DG55" s="1125"/>
      <c r="DH55" s="1745"/>
      <c r="DI55" s="1057">
        <f t="shared" si="30"/>
        <v>0</v>
      </c>
      <c r="DJ55" s="1744">
        <v>-752</v>
      </c>
      <c r="DK55" s="1125">
        <v>0</v>
      </c>
      <c r="DL55" s="1125">
        <v>0</v>
      </c>
      <c r="DM55" s="1125">
        <v>0</v>
      </c>
      <c r="DN55" s="1125">
        <v>0</v>
      </c>
      <c r="DO55" s="1124">
        <f t="shared" si="31"/>
        <v>-752</v>
      </c>
      <c r="DP55" s="1125"/>
      <c r="DQ55" s="1125"/>
      <c r="DR55" s="1125"/>
      <c r="DS55" s="1125"/>
      <c r="DT55" s="1125"/>
      <c r="DU55" s="1125">
        <f t="shared" si="34"/>
        <v>0</v>
      </c>
      <c r="DV55" s="1744">
        <v>0</v>
      </c>
      <c r="DW55" s="1125">
        <v>0</v>
      </c>
      <c r="DX55" s="1125">
        <v>0</v>
      </c>
      <c r="DY55" s="1125">
        <v>0</v>
      </c>
      <c r="DZ55" s="1745">
        <v>0</v>
      </c>
      <c r="EA55" s="1058">
        <f t="shared" si="32"/>
        <v>0</v>
      </c>
      <c r="EB55" s="1744">
        <v>4936.6099999999997</v>
      </c>
      <c r="EC55" s="1125">
        <v>0</v>
      </c>
      <c r="ED55" s="1125">
        <v>905.53</v>
      </c>
      <c r="EE55" s="1125">
        <v>0.01</v>
      </c>
      <c r="EF55" s="1745">
        <v>0</v>
      </c>
      <c r="EG55" s="1057">
        <f t="shared" si="33"/>
        <v>5842.15</v>
      </c>
    </row>
    <row r="56" spans="1:137" ht="15" customHeight="1" x14ac:dyDescent="0.25">
      <c r="A56" s="719" t="s">
        <v>130</v>
      </c>
      <c r="B56" s="816" t="s">
        <v>131</v>
      </c>
      <c r="C56" s="917" t="s">
        <v>268</v>
      </c>
      <c r="D56" s="814">
        <f t="shared" si="6"/>
        <v>158147.94</v>
      </c>
      <c r="E56" s="814">
        <f t="shared" si="7"/>
        <v>128141.23000000001</v>
      </c>
      <c r="F56" s="814">
        <f t="shared" si="8"/>
        <v>58113.950000000004</v>
      </c>
      <c r="G56" s="814">
        <f t="shared" si="9"/>
        <v>354.8</v>
      </c>
      <c r="H56" s="814">
        <f t="shared" si="10"/>
        <v>0</v>
      </c>
      <c r="I56" s="1422">
        <f t="shared" si="11"/>
        <v>344757.92000000004</v>
      </c>
      <c r="J56" s="815">
        <f t="shared" si="12"/>
        <v>354.8</v>
      </c>
      <c r="K56" s="1423">
        <f t="shared" si="13"/>
        <v>58468.750000000007</v>
      </c>
      <c r="L56" s="1723"/>
      <c r="M56" s="1043"/>
      <c r="N56" s="1043"/>
      <c r="O56" s="1043"/>
      <c r="P56" s="1043"/>
      <c r="Q56" s="1044">
        <f t="shared" si="14"/>
        <v>0</v>
      </c>
      <c r="R56" s="1719"/>
      <c r="S56" s="1123"/>
      <c r="T56" s="1123"/>
      <c r="U56" s="1123"/>
      <c r="V56" s="1720"/>
      <c r="W56" s="1047">
        <f t="shared" si="15"/>
        <v>0</v>
      </c>
      <c r="X56" s="1719"/>
      <c r="Y56" s="1123"/>
      <c r="Z56" s="1123"/>
      <c r="AA56" s="1123"/>
      <c r="AB56" s="1123"/>
      <c r="AC56" s="1122">
        <f t="shared" si="16"/>
        <v>0</v>
      </c>
      <c r="AD56" s="1733">
        <v>2457.12</v>
      </c>
      <c r="AE56" s="1734">
        <v>14.63</v>
      </c>
      <c r="AF56" s="1734">
        <v>453.4</v>
      </c>
      <c r="AG56" s="1734">
        <v>-0.01</v>
      </c>
      <c r="AH56" s="1735">
        <v>0</v>
      </c>
      <c r="AI56" s="1045">
        <f t="shared" si="17"/>
        <v>2925.14</v>
      </c>
      <c r="AJ56" s="1744">
        <v>93736.85</v>
      </c>
      <c r="AK56" s="1125">
        <v>0</v>
      </c>
      <c r="AL56" s="1125">
        <v>23434.21</v>
      </c>
      <c r="AM56" s="1125">
        <v>0</v>
      </c>
      <c r="AN56" s="1745">
        <v>0</v>
      </c>
      <c r="AO56" s="1057">
        <f t="shared" si="18"/>
        <v>117171.06</v>
      </c>
      <c r="AP56" s="1736"/>
      <c r="AQ56" s="1046"/>
      <c r="AR56" s="1046"/>
      <c r="AS56" s="1046"/>
      <c r="AT56" s="1046"/>
      <c r="AU56" s="1049">
        <f t="shared" si="19"/>
        <v>0</v>
      </c>
      <c r="AV56" s="1755"/>
      <c r="AW56" s="1756"/>
      <c r="AX56" s="1756"/>
      <c r="AY56" s="1756"/>
      <c r="AZ56" s="1757"/>
      <c r="BA56" s="1051">
        <f t="shared" si="20"/>
        <v>0</v>
      </c>
      <c r="BB56" s="1764">
        <v>2789.95</v>
      </c>
      <c r="BC56" s="1765">
        <v>697.48</v>
      </c>
      <c r="BD56" s="1765">
        <v>0</v>
      </c>
      <c r="BE56" s="1765">
        <v>0</v>
      </c>
      <c r="BF56" s="1766">
        <v>0</v>
      </c>
      <c r="BG56" s="1047">
        <f t="shared" si="21"/>
        <v>3487.43</v>
      </c>
      <c r="BH56" s="1744"/>
      <c r="BI56" s="1125"/>
      <c r="BJ56" s="1125"/>
      <c r="BK56" s="1125"/>
      <c r="BL56" s="1745"/>
      <c r="BM56" s="1054">
        <f t="shared" si="22"/>
        <v>0</v>
      </c>
      <c r="BN56" s="1744">
        <v>18530.61</v>
      </c>
      <c r="BO56" s="1125">
        <v>2347.2199999999998</v>
      </c>
      <c r="BP56" s="1125">
        <v>3829.66</v>
      </c>
      <c r="BQ56" s="1125">
        <v>-0.03</v>
      </c>
      <c r="BR56" s="1745">
        <v>0</v>
      </c>
      <c r="BS56" s="1054">
        <f t="shared" si="23"/>
        <v>24707.460000000003</v>
      </c>
      <c r="BT56" s="1744"/>
      <c r="BU56" s="1125"/>
      <c r="BV56" s="1125"/>
      <c r="BW56" s="1125"/>
      <c r="BX56" s="1745"/>
      <c r="BY56" s="1057">
        <f t="shared" si="24"/>
        <v>0</v>
      </c>
      <c r="BZ56" s="1744">
        <v>36693.06</v>
      </c>
      <c r="CA56" s="1125">
        <v>122520.96000000001</v>
      </c>
      <c r="CB56" s="1125">
        <v>29204.13</v>
      </c>
      <c r="CC56" s="1125">
        <v>359.85</v>
      </c>
      <c r="CD56" s="1745">
        <v>0</v>
      </c>
      <c r="CE56" s="1057">
        <f t="shared" si="25"/>
        <v>188778.00000000003</v>
      </c>
      <c r="CF56" s="1744"/>
      <c r="CG56" s="1125"/>
      <c r="CH56" s="1125"/>
      <c r="CI56" s="1125"/>
      <c r="CJ56" s="1745"/>
      <c r="CK56" s="1057">
        <f t="shared" si="26"/>
        <v>0</v>
      </c>
      <c r="CL56" s="1746"/>
      <c r="CM56" s="1053"/>
      <c r="CN56" s="1053"/>
      <c r="CO56" s="1053"/>
      <c r="CP56" s="1053"/>
      <c r="CQ56" s="1054">
        <f t="shared" si="27"/>
        <v>0</v>
      </c>
      <c r="CR56" s="1746"/>
      <c r="CS56" s="1053"/>
      <c r="CT56" s="1053"/>
      <c r="CU56" s="1053"/>
      <c r="CV56" s="1747"/>
      <c r="CW56" s="1057">
        <f t="shared" si="28"/>
        <v>0</v>
      </c>
      <c r="CX56" s="1746"/>
      <c r="CY56" s="1053"/>
      <c r="CZ56" s="1053"/>
      <c r="DA56" s="1053"/>
      <c r="DB56" s="1053"/>
      <c r="DC56" s="1054">
        <f t="shared" si="29"/>
        <v>0</v>
      </c>
      <c r="DD56" s="1744"/>
      <c r="DE56" s="1125"/>
      <c r="DF56" s="1125"/>
      <c r="DG56" s="1125"/>
      <c r="DH56" s="1745"/>
      <c r="DI56" s="1057">
        <f t="shared" si="30"/>
        <v>0</v>
      </c>
      <c r="DJ56" s="1744"/>
      <c r="DK56" s="1125"/>
      <c r="DL56" s="1125"/>
      <c r="DM56" s="1125"/>
      <c r="DN56" s="1125"/>
      <c r="DO56" s="1124">
        <f t="shared" si="31"/>
        <v>0</v>
      </c>
      <c r="DP56" s="1125"/>
      <c r="DQ56" s="1125"/>
      <c r="DR56" s="1125"/>
      <c r="DS56" s="1125"/>
      <c r="DT56" s="1125"/>
      <c r="DU56" s="1125">
        <f t="shared" si="34"/>
        <v>0</v>
      </c>
      <c r="DV56" s="1744">
        <v>3711.5</v>
      </c>
      <c r="DW56" s="1125">
        <v>2560.94</v>
      </c>
      <c r="DX56" s="1125">
        <v>1150.57</v>
      </c>
      <c r="DY56" s="1125">
        <v>-0.01</v>
      </c>
      <c r="DZ56" s="1745">
        <v>0</v>
      </c>
      <c r="EA56" s="1058">
        <f t="shared" si="32"/>
        <v>7423</v>
      </c>
      <c r="EB56" s="1746">
        <v>228.85</v>
      </c>
      <c r="EC56" s="1053">
        <v>0</v>
      </c>
      <c r="ED56" s="1053">
        <v>41.98</v>
      </c>
      <c r="EE56" s="1053">
        <v>-5</v>
      </c>
      <c r="EF56" s="1747">
        <v>0</v>
      </c>
      <c r="EG56" s="1057">
        <f t="shared" si="33"/>
        <v>265.83</v>
      </c>
    </row>
    <row r="57" spans="1:137" ht="15" customHeight="1" x14ac:dyDescent="0.25">
      <c r="A57" s="719" t="s">
        <v>132</v>
      </c>
      <c r="B57" s="816" t="s">
        <v>133</v>
      </c>
      <c r="C57" s="917" t="s">
        <v>267</v>
      </c>
      <c r="D57" s="814">
        <f t="shared" si="6"/>
        <v>246793.61</v>
      </c>
      <c r="E57" s="814">
        <f t="shared" si="7"/>
        <v>252747.34</v>
      </c>
      <c r="F57" s="814">
        <f t="shared" si="8"/>
        <v>95283.51</v>
      </c>
      <c r="G57" s="814">
        <f t="shared" si="9"/>
        <v>-800.28</v>
      </c>
      <c r="H57" s="814">
        <f t="shared" si="10"/>
        <v>932020.45</v>
      </c>
      <c r="I57" s="1422">
        <f t="shared" si="11"/>
        <v>1526044.63</v>
      </c>
      <c r="J57" s="815">
        <f t="shared" si="12"/>
        <v>931220.16999999993</v>
      </c>
      <c r="K57" s="1423">
        <f t="shared" si="13"/>
        <v>1026503.6799999999</v>
      </c>
      <c r="L57" s="1723"/>
      <c r="M57" s="1043"/>
      <c r="N57" s="1043"/>
      <c r="O57" s="1043"/>
      <c r="P57" s="1043"/>
      <c r="Q57" s="1044">
        <f t="shared" si="14"/>
        <v>0</v>
      </c>
      <c r="R57" s="1717"/>
      <c r="S57" s="1048"/>
      <c r="T57" s="1048"/>
      <c r="U57" s="1048"/>
      <c r="V57" s="1718"/>
      <c r="W57" s="1047">
        <f t="shared" si="15"/>
        <v>0</v>
      </c>
      <c r="X57" s="1719"/>
      <c r="Y57" s="1123"/>
      <c r="Z57" s="1123"/>
      <c r="AA57" s="1123"/>
      <c r="AB57" s="1123"/>
      <c r="AC57" s="1122">
        <f t="shared" si="16"/>
        <v>0</v>
      </c>
      <c r="AD57" s="1733">
        <v>14423.99</v>
      </c>
      <c r="AE57" s="1734">
        <v>85.85</v>
      </c>
      <c r="AF57" s="1734">
        <v>2661.58</v>
      </c>
      <c r="AG57" s="1734">
        <v>-0.01</v>
      </c>
      <c r="AH57" s="1735">
        <v>0</v>
      </c>
      <c r="AI57" s="1045">
        <f t="shared" si="17"/>
        <v>17171.41</v>
      </c>
      <c r="AJ57" s="1744">
        <v>40420</v>
      </c>
      <c r="AK57" s="1125">
        <v>0</v>
      </c>
      <c r="AL57" s="1125">
        <v>10105</v>
      </c>
      <c r="AM57" s="1125">
        <v>0</v>
      </c>
      <c r="AN57" s="1745">
        <v>932020.45</v>
      </c>
      <c r="AO57" s="1057">
        <f t="shared" si="18"/>
        <v>982545.45</v>
      </c>
      <c r="AP57" s="1736"/>
      <c r="AQ57" s="1046"/>
      <c r="AR57" s="1046"/>
      <c r="AS57" s="1046"/>
      <c r="AT57" s="1046"/>
      <c r="AU57" s="1049">
        <f t="shared" si="19"/>
        <v>0</v>
      </c>
      <c r="AV57" s="1755">
        <v>5882.4</v>
      </c>
      <c r="AW57" s="1756">
        <v>1470.6</v>
      </c>
      <c r="AX57" s="1756">
        <v>0</v>
      </c>
      <c r="AY57" s="1756">
        <v>0</v>
      </c>
      <c r="AZ57" s="1757">
        <v>0</v>
      </c>
      <c r="BA57" s="1051">
        <f t="shared" si="20"/>
        <v>7353</v>
      </c>
      <c r="BB57" s="1764">
        <v>9855.52</v>
      </c>
      <c r="BC57" s="1765">
        <v>2463.88</v>
      </c>
      <c r="BD57" s="1765">
        <v>0</v>
      </c>
      <c r="BE57" s="1765">
        <v>0</v>
      </c>
      <c r="BF57" s="1766">
        <v>0</v>
      </c>
      <c r="BG57" s="1047">
        <f t="shared" si="21"/>
        <v>12319.400000000001</v>
      </c>
      <c r="BH57" s="1744">
        <v>755.57</v>
      </c>
      <c r="BI57" s="1125">
        <v>1364.43</v>
      </c>
      <c r="BJ57" s="1125">
        <v>0</v>
      </c>
      <c r="BK57" s="1125">
        <v>0</v>
      </c>
      <c r="BL57" s="1745">
        <v>0</v>
      </c>
      <c r="BM57" s="1054">
        <f t="shared" si="22"/>
        <v>2120</v>
      </c>
      <c r="BN57" s="1744">
        <v>87717.759999999995</v>
      </c>
      <c r="BO57" s="1125">
        <v>11110.91</v>
      </c>
      <c r="BP57" s="1125">
        <v>18128.34</v>
      </c>
      <c r="BQ57" s="1125">
        <v>-0.04</v>
      </c>
      <c r="BR57" s="1745">
        <v>0</v>
      </c>
      <c r="BS57" s="1054">
        <f t="shared" si="23"/>
        <v>116956.97</v>
      </c>
      <c r="BT57" s="1744"/>
      <c r="BU57" s="1125"/>
      <c r="BV57" s="1125"/>
      <c r="BW57" s="1125"/>
      <c r="BX57" s="1745"/>
      <c r="BY57" s="1057">
        <f t="shared" si="24"/>
        <v>0</v>
      </c>
      <c r="BZ57" s="1744">
        <v>77997.399999999994</v>
      </c>
      <c r="CA57" s="1125">
        <v>232503.21</v>
      </c>
      <c r="CB57" s="1125">
        <v>56954.03</v>
      </c>
      <c r="CC57" s="1125">
        <v>-0.19</v>
      </c>
      <c r="CD57" s="1745">
        <v>0</v>
      </c>
      <c r="CE57" s="1057">
        <f t="shared" si="25"/>
        <v>367454.45</v>
      </c>
      <c r="CF57" s="1744">
        <v>1673.64</v>
      </c>
      <c r="CG57" s="1125">
        <v>0</v>
      </c>
      <c r="CH57" s="1125">
        <v>2825.38</v>
      </c>
      <c r="CI57" s="1125">
        <v>0</v>
      </c>
      <c r="CJ57" s="1745">
        <v>0</v>
      </c>
      <c r="CK57" s="1057">
        <f t="shared" si="26"/>
        <v>4499.0200000000004</v>
      </c>
      <c r="CL57" s="1746"/>
      <c r="CM57" s="1053"/>
      <c r="CN57" s="1053"/>
      <c r="CO57" s="1053"/>
      <c r="CP57" s="1053"/>
      <c r="CQ57" s="1054">
        <f t="shared" si="27"/>
        <v>0</v>
      </c>
      <c r="CR57" s="1744"/>
      <c r="CS57" s="1125"/>
      <c r="CT57" s="1125"/>
      <c r="CU57" s="1125"/>
      <c r="CV57" s="1745"/>
      <c r="CW57" s="1057">
        <f t="shared" si="28"/>
        <v>0</v>
      </c>
      <c r="CX57" s="1744"/>
      <c r="CY57" s="1125"/>
      <c r="CZ57" s="1125"/>
      <c r="DA57" s="1125"/>
      <c r="DB57" s="1745"/>
      <c r="DC57" s="1054">
        <f t="shared" si="29"/>
        <v>0</v>
      </c>
      <c r="DD57" s="1744"/>
      <c r="DE57" s="1125"/>
      <c r="DF57" s="1125"/>
      <c r="DG57" s="1125"/>
      <c r="DH57" s="1745"/>
      <c r="DI57" s="1057">
        <f t="shared" si="30"/>
        <v>0</v>
      </c>
      <c r="DJ57" s="1744">
        <v>-6032.4</v>
      </c>
      <c r="DK57" s="1125">
        <v>-61</v>
      </c>
      <c r="DL57" s="1125">
        <v>0</v>
      </c>
      <c r="DM57" s="1125">
        <v>0</v>
      </c>
      <c r="DN57" s="1125">
        <v>0</v>
      </c>
      <c r="DO57" s="1124">
        <f t="shared" si="31"/>
        <v>-6093.4</v>
      </c>
      <c r="DP57" s="1125">
        <v>-3609.1</v>
      </c>
      <c r="DQ57" s="1125">
        <v>-3609.1</v>
      </c>
      <c r="DR57" s="1125">
        <v>0</v>
      </c>
      <c r="DS57" s="1125">
        <v>0</v>
      </c>
      <c r="DT57" s="1125">
        <v>0</v>
      </c>
      <c r="DU57" s="1125">
        <f t="shared" si="34"/>
        <v>-7218.2</v>
      </c>
      <c r="DV57" s="1744">
        <v>10751.5</v>
      </c>
      <c r="DW57" s="1125">
        <v>7418.56</v>
      </c>
      <c r="DX57" s="1125">
        <v>3332.98</v>
      </c>
      <c r="DY57" s="1125">
        <v>-0.04</v>
      </c>
      <c r="DZ57" s="1745">
        <v>0</v>
      </c>
      <c r="EA57" s="1058">
        <f t="shared" si="32"/>
        <v>21503</v>
      </c>
      <c r="EB57" s="1744">
        <v>6957.33</v>
      </c>
      <c r="EC57" s="1125">
        <v>0</v>
      </c>
      <c r="ED57" s="1125">
        <v>1276.2</v>
      </c>
      <c r="EE57" s="1125">
        <v>-800</v>
      </c>
      <c r="EF57" s="1745">
        <v>0</v>
      </c>
      <c r="EG57" s="1057">
        <f t="shared" si="33"/>
        <v>7433.5300000000007</v>
      </c>
    </row>
    <row r="58" spans="1:137" ht="15" customHeight="1" x14ac:dyDescent="0.25">
      <c r="A58" s="719" t="s">
        <v>134</v>
      </c>
      <c r="B58" s="816" t="s">
        <v>135</v>
      </c>
      <c r="C58" s="917" t="s">
        <v>267</v>
      </c>
      <c r="D58" s="814">
        <f t="shared" si="6"/>
        <v>38727.85</v>
      </c>
      <c r="E58" s="814">
        <f t="shared" si="7"/>
        <v>32256.9</v>
      </c>
      <c r="F58" s="814">
        <f t="shared" si="8"/>
        <v>12700</v>
      </c>
      <c r="G58" s="814">
        <f t="shared" si="9"/>
        <v>-0.16</v>
      </c>
      <c r="H58" s="814">
        <f t="shared" si="10"/>
        <v>0</v>
      </c>
      <c r="I58" s="1422">
        <f t="shared" si="11"/>
        <v>83684.59</v>
      </c>
      <c r="J58" s="815">
        <f t="shared" si="12"/>
        <v>-0.16</v>
      </c>
      <c r="K58" s="1423">
        <f t="shared" si="13"/>
        <v>12699.84</v>
      </c>
      <c r="L58" s="1723"/>
      <c r="M58" s="1043"/>
      <c r="N58" s="1043"/>
      <c r="O58" s="1043"/>
      <c r="P58" s="1043"/>
      <c r="Q58" s="1044">
        <f t="shared" si="14"/>
        <v>0</v>
      </c>
      <c r="R58" s="1717"/>
      <c r="S58" s="1048"/>
      <c r="T58" s="1048"/>
      <c r="U58" s="1048"/>
      <c r="V58" s="1718"/>
      <c r="W58" s="1047">
        <f t="shared" si="15"/>
        <v>0</v>
      </c>
      <c r="X58" s="1719"/>
      <c r="Y58" s="1123"/>
      <c r="Z58" s="1123"/>
      <c r="AA58" s="1123"/>
      <c r="AB58" s="1123"/>
      <c r="AC58" s="1122">
        <f t="shared" si="16"/>
        <v>0</v>
      </c>
      <c r="AD58" s="1733">
        <v>2884.94</v>
      </c>
      <c r="AE58" s="1734">
        <v>17.190000000000001</v>
      </c>
      <c r="AF58" s="1734">
        <v>532.34</v>
      </c>
      <c r="AG58" s="1734">
        <v>-0.02</v>
      </c>
      <c r="AH58" s="1735">
        <v>0</v>
      </c>
      <c r="AI58" s="1045">
        <f t="shared" si="17"/>
        <v>3434.4500000000003</v>
      </c>
      <c r="AJ58" s="1744">
        <v>8270.06</v>
      </c>
      <c r="AK58" s="1125">
        <v>0</v>
      </c>
      <c r="AL58" s="1125">
        <v>2067.5</v>
      </c>
      <c r="AM58" s="1125">
        <v>0</v>
      </c>
      <c r="AN58" s="1745">
        <v>0</v>
      </c>
      <c r="AO58" s="1057">
        <f t="shared" si="18"/>
        <v>10337.56</v>
      </c>
      <c r="AP58" s="1736"/>
      <c r="AQ58" s="1046"/>
      <c r="AR58" s="1046"/>
      <c r="AS58" s="1046"/>
      <c r="AT58" s="1046"/>
      <c r="AU58" s="1049">
        <f t="shared" si="19"/>
        <v>0</v>
      </c>
      <c r="AV58" s="1755">
        <v>2470.08</v>
      </c>
      <c r="AW58" s="1756">
        <v>617.52</v>
      </c>
      <c r="AX58" s="1756">
        <v>0</v>
      </c>
      <c r="AY58" s="1756">
        <v>0</v>
      </c>
      <c r="AZ58" s="1757">
        <v>0</v>
      </c>
      <c r="BA58" s="1051">
        <f t="shared" si="20"/>
        <v>3087.6</v>
      </c>
      <c r="BB58" s="1764">
        <v>2997.82</v>
      </c>
      <c r="BC58" s="1765">
        <v>749.46</v>
      </c>
      <c r="BD58" s="1765">
        <v>0</v>
      </c>
      <c r="BE58" s="1765">
        <v>0</v>
      </c>
      <c r="BF58" s="1766">
        <v>0</v>
      </c>
      <c r="BG58" s="1047">
        <f t="shared" si="21"/>
        <v>3747.28</v>
      </c>
      <c r="BH58" s="1744"/>
      <c r="BI58" s="1125"/>
      <c r="BJ58" s="1125"/>
      <c r="BK58" s="1125"/>
      <c r="BL58" s="1745"/>
      <c r="BM58" s="1054">
        <f t="shared" si="22"/>
        <v>0</v>
      </c>
      <c r="BN58" s="1744">
        <v>11342.2</v>
      </c>
      <c r="BO58" s="1125">
        <v>1436.69</v>
      </c>
      <c r="BP58" s="1125">
        <v>2344.06</v>
      </c>
      <c r="BQ58" s="1125">
        <v>-0.02</v>
      </c>
      <c r="BR58" s="1745">
        <v>0</v>
      </c>
      <c r="BS58" s="1054">
        <f t="shared" si="23"/>
        <v>15122.93</v>
      </c>
      <c r="BT58" s="1744"/>
      <c r="BU58" s="1125"/>
      <c r="BV58" s="1125"/>
      <c r="BW58" s="1125"/>
      <c r="BX58" s="1745"/>
      <c r="BY58" s="1057">
        <f t="shared" si="24"/>
        <v>0</v>
      </c>
      <c r="BZ58" s="1744">
        <v>8715.32</v>
      </c>
      <c r="CA58" s="1125">
        <v>29436.04</v>
      </c>
      <c r="CB58" s="1125">
        <v>6998.01</v>
      </c>
      <c r="CC58" s="1125">
        <v>-0.08</v>
      </c>
      <c r="CD58" s="1745">
        <v>0</v>
      </c>
      <c r="CE58" s="1057">
        <f t="shared" si="25"/>
        <v>45149.29</v>
      </c>
      <c r="CF58" s="1744">
        <v>173.91</v>
      </c>
      <c r="CG58" s="1125">
        <v>0</v>
      </c>
      <c r="CH58" s="1125">
        <v>293.58</v>
      </c>
      <c r="CI58" s="1125">
        <v>0</v>
      </c>
      <c r="CJ58" s="1745">
        <v>0</v>
      </c>
      <c r="CK58" s="1057">
        <f t="shared" si="26"/>
        <v>467.49</v>
      </c>
      <c r="CL58" s="1746"/>
      <c r="CM58" s="1053"/>
      <c r="CN58" s="1053"/>
      <c r="CO58" s="1053"/>
      <c r="CP58" s="1053"/>
      <c r="CQ58" s="1054">
        <f t="shared" si="27"/>
        <v>0</v>
      </c>
      <c r="CR58" s="1746"/>
      <c r="CS58" s="1053"/>
      <c r="CT58" s="1053"/>
      <c r="CU58" s="1053"/>
      <c r="CV58" s="1747"/>
      <c r="CW58" s="1057">
        <f t="shared" si="28"/>
        <v>0</v>
      </c>
      <c r="CX58" s="1744"/>
      <c r="CY58" s="1125"/>
      <c r="CZ58" s="1125"/>
      <c r="DA58" s="1125"/>
      <c r="DB58" s="1745"/>
      <c r="DC58" s="1054">
        <f t="shared" si="29"/>
        <v>0</v>
      </c>
      <c r="DD58" s="1744">
        <v>-612.73</v>
      </c>
      <c r="DE58" s="1125">
        <v>0</v>
      </c>
      <c r="DF58" s="1125">
        <v>0</v>
      </c>
      <c r="DG58" s="1125">
        <v>0</v>
      </c>
      <c r="DH58" s="1745">
        <v>0</v>
      </c>
      <c r="DI58" s="1057">
        <f t="shared" si="30"/>
        <v>-612.73</v>
      </c>
      <c r="DJ58" s="1744">
        <v>-46</v>
      </c>
      <c r="DK58" s="1125">
        <v>0</v>
      </c>
      <c r="DL58" s="1125">
        <v>0</v>
      </c>
      <c r="DM58" s="1125">
        <v>0</v>
      </c>
      <c r="DN58" s="1125">
        <v>0</v>
      </c>
      <c r="DO58" s="1124">
        <f t="shared" si="31"/>
        <v>-46</v>
      </c>
      <c r="DP58" s="1125"/>
      <c r="DQ58" s="1125"/>
      <c r="DR58" s="1125"/>
      <c r="DS58" s="1125"/>
      <c r="DT58" s="1125"/>
      <c r="DU58" s="1125">
        <f t="shared" si="34"/>
        <v>0</v>
      </c>
      <c r="DV58" s="1744">
        <v>0</v>
      </c>
      <c r="DW58" s="1125">
        <v>0</v>
      </c>
      <c r="DX58" s="1125">
        <v>0</v>
      </c>
      <c r="DY58" s="1125">
        <v>0</v>
      </c>
      <c r="DZ58" s="1745">
        <v>0</v>
      </c>
      <c r="EA58" s="1058">
        <f t="shared" si="32"/>
        <v>0</v>
      </c>
      <c r="EB58" s="1746">
        <v>2532.25</v>
      </c>
      <c r="EC58" s="1053">
        <v>0</v>
      </c>
      <c r="ED58" s="1053">
        <v>464.51</v>
      </c>
      <c r="EE58" s="1053">
        <v>-0.04</v>
      </c>
      <c r="EF58" s="1747">
        <v>0</v>
      </c>
      <c r="EG58" s="1057">
        <f t="shared" si="33"/>
        <v>2996.7200000000003</v>
      </c>
    </row>
    <row r="59" spans="1:137" ht="15" customHeight="1" x14ac:dyDescent="0.25">
      <c r="A59" s="719" t="s">
        <v>136</v>
      </c>
      <c r="B59" s="816" t="s">
        <v>137</v>
      </c>
      <c r="C59" s="917" t="s">
        <v>266</v>
      </c>
      <c r="D59" s="814">
        <f t="shared" si="6"/>
        <v>18256.47</v>
      </c>
      <c r="E59" s="814">
        <f t="shared" si="7"/>
        <v>8208.8700000000008</v>
      </c>
      <c r="F59" s="814">
        <f t="shared" si="8"/>
        <v>5116.13</v>
      </c>
      <c r="G59" s="814">
        <f t="shared" si="9"/>
        <v>-0.03</v>
      </c>
      <c r="H59" s="814">
        <f t="shared" si="10"/>
        <v>0</v>
      </c>
      <c r="I59" s="1422">
        <f t="shared" si="11"/>
        <v>31581.440000000006</v>
      </c>
      <c r="J59" s="815">
        <f t="shared" si="12"/>
        <v>-0.03</v>
      </c>
      <c r="K59" s="1423">
        <f t="shared" si="13"/>
        <v>5116.1000000000004</v>
      </c>
      <c r="L59" s="1723"/>
      <c r="M59" s="1043"/>
      <c r="N59" s="1043"/>
      <c r="O59" s="1043"/>
      <c r="P59" s="1043"/>
      <c r="Q59" s="1044">
        <f t="shared" si="14"/>
        <v>0</v>
      </c>
      <c r="R59" s="1717"/>
      <c r="S59" s="1048"/>
      <c r="T59" s="1048"/>
      <c r="U59" s="1048"/>
      <c r="V59" s="1718"/>
      <c r="W59" s="1047">
        <f t="shared" si="15"/>
        <v>0</v>
      </c>
      <c r="X59" s="1719"/>
      <c r="Y59" s="1123"/>
      <c r="Z59" s="1123"/>
      <c r="AA59" s="1123"/>
      <c r="AB59" s="1123"/>
      <c r="AC59" s="1122">
        <f t="shared" si="16"/>
        <v>0</v>
      </c>
      <c r="AD59" s="1733">
        <v>1078.5999999999999</v>
      </c>
      <c r="AE59" s="1734">
        <v>6.42</v>
      </c>
      <c r="AF59" s="1734">
        <v>199.03</v>
      </c>
      <c r="AG59" s="1734">
        <v>0</v>
      </c>
      <c r="AH59" s="1735">
        <v>0</v>
      </c>
      <c r="AI59" s="1045">
        <f t="shared" si="17"/>
        <v>1284.05</v>
      </c>
      <c r="AJ59" s="1744">
        <v>10980.83</v>
      </c>
      <c r="AK59" s="1125">
        <v>0</v>
      </c>
      <c r="AL59" s="1125">
        <v>2745.2</v>
      </c>
      <c r="AM59" s="1125">
        <v>0</v>
      </c>
      <c r="AN59" s="1745">
        <v>0</v>
      </c>
      <c r="AO59" s="1057">
        <f t="shared" si="18"/>
        <v>13726.029999999999</v>
      </c>
      <c r="AP59" s="1736"/>
      <c r="AQ59" s="1046"/>
      <c r="AR59" s="1046"/>
      <c r="AS59" s="1046"/>
      <c r="AT59" s="1046"/>
      <c r="AU59" s="1049">
        <f t="shared" si="19"/>
        <v>0</v>
      </c>
      <c r="AV59" s="1758"/>
      <c r="AW59" s="1050"/>
      <c r="AX59" s="1050"/>
      <c r="AY59" s="1050"/>
      <c r="AZ59" s="1050"/>
      <c r="BA59" s="1051">
        <f t="shared" si="20"/>
        <v>0</v>
      </c>
      <c r="BB59" s="1717">
        <v>2047.16</v>
      </c>
      <c r="BC59" s="1048">
        <v>511.79</v>
      </c>
      <c r="BD59" s="1048">
        <v>0</v>
      </c>
      <c r="BE59" s="1048">
        <v>0</v>
      </c>
      <c r="BF59" s="1718">
        <v>0</v>
      </c>
      <c r="BG59" s="1047">
        <f t="shared" si="21"/>
        <v>2558.9500000000003</v>
      </c>
      <c r="BH59" s="1746"/>
      <c r="BI59" s="1053"/>
      <c r="BJ59" s="1053"/>
      <c r="BK59" s="1053"/>
      <c r="BL59" s="1053"/>
      <c r="BM59" s="1054">
        <f t="shared" si="22"/>
        <v>0</v>
      </c>
      <c r="BN59" s="1746">
        <v>696.22</v>
      </c>
      <c r="BO59" s="1053">
        <v>88.19</v>
      </c>
      <c r="BP59" s="1053">
        <v>143.88</v>
      </c>
      <c r="BQ59" s="1053">
        <v>0</v>
      </c>
      <c r="BR59" s="1053">
        <v>0</v>
      </c>
      <c r="BS59" s="1054">
        <f t="shared" si="23"/>
        <v>928.29000000000008</v>
      </c>
      <c r="BT59" s="1744"/>
      <c r="BU59" s="1125"/>
      <c r="BV59" s="1125"/>
      <c r="BW59" s="1125"/>
      <c r="BX59" s="1745"/>
      <c r="BY59" s="1057">
        <f t="shared" si="24"/>
        <v>0</v>
      </c>
      <c r="BZ59" s="1744">
        <v>2339.96</v>
      </c>
      <c r="CA59" s="1125">
        <v>7602.47</v>
      </c>
      <c r="CB59" s="1125">
        <v>1823.72</v>
      </c>
      <c r="CC59" s="1125">
        <v>-0.03</v>
      </c>
      <c r="CD59" s="1745">
        <v>0</v>
      </c>
      <c r="CE59" s="1057">
        <f t="shared" si="25"/>
        <v>11766.119999999999</v>
      </c>
      <c r="CF59" s="1746"/>
      <c r="CG59" s="1053"/>
      <c r="CH59" s="1053"/>
      <c r="CI59" s="1053"/>
      <c r="CJ59" s="1747"/>
      <c r="CK59" s="1057">
        <f t="shared" si="26"/>
        <v>0</v>
      </c>
      <c r="CL59" s="1746"/>
      <c r="CM59" s="1053"/>
      <c r="CN59" s="1053"/>
      <c r="CO59" s="1053"/>
      <c r="CP59" s="1053"/>
      <c r="CQ59" s="1054">
        <f t="shared" si="27"/>
        <v>0</v>
      </c>
      <c r="CR59" s="1746"/>
      <c r="CS59" s="1053"/>
      <c r="CT59" s="1053"/>
      <c r="CU59" s="1053"/>
      <c r="CV59" s="1747"/>
      <c r="CW59" s="1057">
        <f t="shared" si="28"/>
        <v>0</v>
      </c>
      <c r="CX59" s="1744"/>
      <c r="CY59" s="1125"/>
      <c r="CZ59" s="1125"/>
      <c r="DA59" s="1125"/>
      <c r="DB59" s="1745"/>
      <c r="DC59" s="1054">
        <f t="shared" si="29"/>
        <v>0</v>
      </c>
      <c r="DD59" s="1744"/>
      <c r="DE59" s="1125"/>
      <c r="DF59" s="1125"/>
      <c r="DG59" s="1125"/>
      <c r="DH59" s="1745"/>
      <c r="DI59" s="1057">
        <f t="shared" si="30"/>
        <v>0</v>
      </c>
      <c r="DJ59" s="1744"/>
      <c r="DK59" s="1125"/>
      <c r="DL59" s="1125"/>
      <c r="DM59" s="1125"/>
      <c r="DN59" s="1125"/>
      <c r="DO59" s="1124">
        <f t="shared" si="31"/>
        <v>0</v>
      </c>
      <c r="DP59" s="1125"/>
      <c r="DQ59" s="1125"/>
      <c r="DR59" s="1125"/>
      <c r="DS59" s="1125"/>
      <c r="DT59" s="1125"/>
      <c r="DU59" s="1125">
        <f t="shared" si="34"/>
        <v>0</v>
      </c>
      <c r="DV59" s="1744">
        <v>0</v>
      </c>
      <c r="DW59" s="1125">
        <v>0</v>
      </c>
      <c r="DX59" s="1125">
        <v>0</v>
      </c>
      <c r="DY59" s="1125">
        <v>0</v>
      </c>
      <c r="DZ59" s="1745">
        <v>0</v>
      </c>
      <c r="EA59" s="1058">
        <f t="shared" si="32"/>
        <v>0</v>
      </c>
      <c r="EB59" s="1744">
        <v>1113.7</v>
      </c>
      <c r="EC59" s="1125">
        <v>0</v>
      </c>
      <c r="ED59" s="1125">
        <v>204.3</v>
      </c>
      <c r="EE59" s="1125">
        <v>0</v>
      </c>
      <c r="EF59" s="1745">
        <v>0</v>
      </c>
      <c r="EG59" s="1057">
        <f t="shared" si="33"/>
        <v>1318</v>
      </c>
    </row>
    <row r="60" spans="1:137" ht="15" customHeight="1" x14ac:dyDescent="0.25">
      <c r="A60" s="719" t="s">
        <v>140</v>
      </c>
      <c r="B60" s="816" t="s">
        <v>141</v>
      </c>
      <c r="C60" s="917" t="s">
        <v>267</v>
      </c>
      <c r="D60" s="814">
        <f t="shared" si="6"/>
        <v>26796.560000000001</v>
      </c>
      <c r="E60" s="814">
        <f t="shared" si="7"/>
        <v>7982.89</v>
      </c>
      <c r="F60" s="814">
        <f t="shared" si="8"/>
        <v>5371.04</v>
      </c>
      <c r="G60" s="814">
        <f t="shared" si="9"/>
        <v>-7.0000000000000007E-2</v>
      </c>
      <c r="H60" s="814">
        <f t="shared" si="10"/>
        <v>0</v>
      </c>
      <c r="I60" s="1422">
        <f t="shared" si="11"/>
        <v>40150.420000000006</v>
      </c>
      <c r="J60" s="815">
        <f t="shared" si="12"/>
        <v>-7.0000000000000007E-2</v>
      </c>
      <c r="K60" s="1423">
        <f t="shared" si="13"/>
        <v>5370.97</v>
      </c>
      <c r="L60" s="1723"/>
      <c r="M60" s="1043"/>
      <c r="N60" s="1043"/>
      <c r="O60" s="1043"/>
      <c r="P60" s="1043"/>
      <c r="Q60" s="1044">
        <f t="shared" si="14"/>
        <v>0</v>
      </c>
      <c r="R60" s="1717"/>
      <c r="S60" s="1048"/>
      <c r="T60" s="1048"/>
      <c r="U60" s="1048"/>
      <c r="V60" s="1718"/>
      <c r="W60" s="1047">
        <f t="shared" si="15"/>
        <v>0</v>
      </c>
      <c r="X60" s="1719"/>
      <c r="Y60" s="1123"/>
      <c r="Z60" s="1123"/>
      <c r="AA60" s="1123"/>
      <c r="AB60" s="1123"/>
      <c r="AC60" s="1122">
        <f t="shared" si="16"/>
        <v>0</v>
      </c>
      <c r="AD60" s="1733">
        <v>588</v>
      </c>
      <c r="AE60" s="1734">
        <v>3.5</v>
      </c>
      <c r="AF60" s="1734">
        <v>108.5</v>
      </c>
      <c r="AG60" s="1734">
        <v>0</v>
      </c>
      <c r="AH60" s="1735">
        <v>0</v>
      </c>
      <c r="AI60" s="1045">
        <f t="shared" si="17"/>
        <v>700</v>
      </c>
      <c r="AJ60" s="1744">
        <v>6743.25</v>
      </c>
      <c r="AK60" s="1125">
        <v>0</v>
      </c>
      <c r="AL60" s="1125">
        <v>1685.79</v>
      </c>
      <c r="AM60" s="1125">
        <v>0</v>
      </c>
      <c r="AN60" s="1745">
        <v>0</v>
      </c>
      <c r="AO60" s="1057">
        <f t="shared" si="18"/>
        <v>8429.0400000000009</v>
      </c>
      <c r="AP60" s="1736"/>
      <c r="AQ60" s="1046"/>
      <c r="AR60" s="1046"/>
      <c r="AS60" s="1046"/>
      <c r="AT60" s="1046"/>
      <c r="AU60" s="1049">
        <f t="shared" si="19"/>
        <v>0</v>
      </c>
      <c r="AV60" s="1755">
        <v>1978.5</v>
      </c>
      <c r="AW60" s="1756">
        <v>494.63</v>
      </c>
      <c r="AX60" s="1756">
        <v>0</v>
      </c>
      <c r="AY60" s="1756">
        <v>0</v>
      </c>
      <c r="AZ60" s="1757">
        <v>0</v>
      </c>
      <c r="BA60" s="1051">
        <f t="shared" si="20"/>
        <v>2473.13</v>
      </c>
      <c r="BB60" s="1764">
        <v>1505.92</v>
      </c>
      <c r="BC60" s="1765">
        <v>376.48</v>
      </c>
      <c r="BD60" s="1765">
        <v>0</v>
      </c>
      <c r="BE60" s="1765">
        <v>0</v>
      </c>
      <c r="BF60" s="1766">
        <v>0</v>
      </c>
      <c r="BG60" s="1047">
        <f t="shared" si="21"/>
        <v>1882.4</v>
      </c>
      <c r="BH60" s="1744">
        <v>1279.52</v>
      </c>
      <c r="BI60" s="1125">
        <v>2310.58</v>
      </c>
      <c r="BJ60" s="1125">
        <v>0</v>
      </c>
      <c r="BK60" s="1125">
        <v>0</v>
      </c>
      <c r="BL60" s="1745">
        <v>0</v>
      </c>
      <c r="BM60" s="1054">
        <f t="shared" si="22"/>
        <v>3590.1</v>
      </c>
      <c r="BN60" s="1744">
        <v>12587.33</v>
      </c>
      <c r="BO60" s="1125">
        <v>1594.41</v>
      </c>
      <c r="BP60" s="1125">
        <v>2601.38</v>
      </c>
      <c r="BQ60" s="1125">
        <v>-0.02</v>
      </c>
      <c r="BR60" s="1745">
        <v>0</v>
      </c>
      <c r="BS60" s="1054">
        <f t="shared" si="23"/>
        <v>16783.099999999999</v>
      </c>
      <c r="BT60" s="1744"/>
      <c r="BU60" s="1125"/>
      <c r="BV60" s="1125"/>
      <c r="BW60" s="1125"/>
      <c r="BX60" s="1745"/>
      <c r="BY60" s="1057">
        <f t="shared" si="24"/>
        <v>0</v>
      </c>
      <c r="BZ60" s="1744">
        <v>1047.6600000000001</v>
      </c>
      <c r="CA60" s="1125">
        <v>3203.29</v>
      </c>
      <c r="CB60" s="1125">
        <v>779.75</v>
      </c>
      <c r="CC60" s="1125">
        <v>-0.05</v>
      </c>
      <c r="CD60" s="1745">
        <v>0</v>
      </c>
      <c r="CE60" s="1057">
        <f t="shared" si="25"/>
        <v>5030.6499999999996</v>
      </c>
      <c r="CF60" s="1746"/>
      <c r="CG60" s="1053"/>
      <c r="CH60" s="1053"/>
      <c r="CI60" s="1053"/>
      <c r="CJ60" s="1747"/>
      <c r="CK60" s="1057">
        <f t="shared" si="26"/>
        <v>0</v>
      </c>
      <c r="CL60" s="1746"/>
      <c r="CM60" s="1053"/>
      <c r="CN60" s="1053"/>
      <c r="CO60" s="1053"/>
      <c r="CP60" s="1053"/>
      <c r="CQ60" s="1054">
        <f t="shared" si="27"/>
        <v>0</v>
      </c>
      <c r="CR60" s="1744"/>
      <c r="CS60" s="1125"/>
      <c r="CT60" s="1125"/>
      <c r="CU60" s="1125"/>
      <c r="CV60" s="1745"/>
      <c r="CW60" s="1057">
        <f t="shared" si="28"/>
        <v>0</v>
      </c>
      <c r="CX60" s="1746"/>
      <c r="CY60" s="1053"/>
      <c r="CZ60" s="1053"/>
      <c r="DA60" s="1053"/>
      <c r="DB60" s="1053"/>
      <c r="DC60" s="1054">
        <f t="shared" si="29"/>
        <v>0</v>
      </c>
      <c r="DD60" s="1744"/>
      <c r="DE60" s="1125"/>
      <c r="DF60" s="1125"/>
      <c r="DG60" s="1125"/>
      <c r="DH60" s="1745"/>
      <c r="DI60" s="1057">
        <f t="shared" si="30"/>
        <v>0</v>
      </c>
      <c r="DJ60" s="1744"/>
      <c r="DK60" s="1125"/>
      <c r="DL60" s="1125"/>
      <c r="DM60" s="1125"/>
      <c r="DN60" s="1125"/>
      <c r="DO60" s="1124">
        <f t="shared" si="31"/>
        <v>0</v>
      </c>
      <c r="DP60" s="1125"/>
      <c r="DQ60" s="1125"/>
      <c r="DR60" s="1125"/>
      <c r="DS60" s="1125"/>
      <c r="DT60" s="1125"/>
      <c r="DU60" s="1125">
        <f t="shared" si="34"/>
        <v>0</v>
      </c>
      <c r="DV60" s="1744">
        <v>0</v>
      </c>
      <c r="DW60" s="1125">
        <v>0</v>
      </c>
      <c r="DX60" s="1125">
        <v>0</v>
      </c>
      <c r="DY60" s="1125">
        <v>0</v>
      </c>
      <c r="DZ60" s="1745">
        <v>0</v>
      </c>
      <c r="EA60" s="1058">
        <f t="shared" si="32"/>
        <v>0</v>
      </c>
      <c r="EB60" s="1744">
        <v>1066.3800000000001</v>
      </c>
      <c r="EC60" s="1125">
        <v>0</v>
      </c>
      <c r="ED60" s="1125">
        <v>195.62</v>
      </c>
      <c r="EE60" s="1125">
        <v>0</v>
      </c>
      <c r="EF60" s="1745">
        <v>0</v>
      </c>
      <c r="EG60" s="1057">
        <f t="shared" si="33"/>
        <v>1262</v>
      </c>
    </row>
    <row r="61" spans="1:137" ht="15" customHeight="1" x14ac:dyDescent="0.25">
      <c r="A61" s="719" t="s">
        <v>146</v>
      </c>
      <c r="B61" s="816" t="s">
        <v>147</v>
      </c>
      <c r="C61" s="917" t="s">
        <v>264</v>
      </c>
      <c r="D61" s="814">
        <f t="shared" si="6"/>
        <v>49116.029999999992</v>
      </c>
      <c r="E61" s="814">
        <f t="shared" si="7"/>
        <v>4423.8</v>
      </c>
      <c r="F61" s="814">
        <f t="shared" si="8"/>
        <v>12391.82</v>
      </c>
      <c r="G61" s="814">
        <f t="shared" si="9"/>
        <v>349.89000000000004</v>
      </c>
      <c r="H61" s="814">
        <f t="shared" si="10"/>
        <v>0</v>
      </c>
      <c r="I61" s="1422">
        <f t="shared" si="11"/>
        <v>66281.539999999994</v>
      </c>
      <c r="J61" s="815">
        <f t="shared" si="12"/>
        <v>349.89000000000004</v>
      </c>
      <c r="K61" s="1423">
        <f t="shared" si="13"/>
        <v>12741.71</v>
      </c>
      <c r="L61" s="1723"/>
      <c r="M61" s="1043"/>
      <c r="N61" s="1043"/>
      <c r="O61" s="1043"/>
      <c r="P61" s="1043"/>
      <c r="Q61" s="1044">
        <f t="shared" si="14"/>
        <v>0</v>
      </c>
      <c r="R61" s="1717"/>
      <c r="S61" s="1048"/>
      <c r="T61" s="1048"/>
      <c r="U61" s="1048"/>
      <c r="V61" s="1718"/>
      <c r="W61" s="1047">
        <f t="shared" si="15"/>
        <v>0</v>
      </c>
      <c r="X61" s="1719"/>
      <c r="Y61" s="1123"/>
      <c r="Z61" s="1123"/>
      <c r="AA61" s="1123"/>
      <c r="AB61" s="1123"/>
      <c r="AC61" s="1122">
        <f t="shared" si="16"/>
        <v>0</v>
      </c>
      <c r="AD61" s="1733">
        <v>525</v>
      </c>
      <c r="AE61" s="1734">
        <v>3.13</v>
      </c>
      <c r="AF61" s="1734">
        <v>96.88</v>
      </c>
      <c r="AG61" s="1734">
        <v>-0.01</v>
      </c>
      <c r="AH61" s="1735">
        <v>0</v>
      </c>
      <c r="AI61" s="1045">
        <f t="shared" si="17"/>
        <v>625</v>
      </c>
      <c r="AJ61" s="1744">
        <v>32320.400000000001</v>
      </c>
      <c r="AK61" s="1125">
        <v>0</v>
      </c>
      <c r="AL61" s="1125">
        <v>8080.1</v>
      </c>
      <c r="AM61" s="1125">
        <v>0</v>
      </c>
      <c r="AN61" s="1745">
        <v>0</v>
      </c>
      <c r="AO61" s="1057">
        <f t="shared" si="18"/>
        <v>40400.5</v>
      </c>
      <c r="AP61" s="1736"/>
      <c r="AQ61" s="1046"/>
      <c r="AR61" s="1046"/>
      <c r="AS61" s="1046"/>
      <c r="AT61" s="1046"/>
      <c r="AU61" s="1049">
        <f t="shared" si="19"/>
        <v>0</v>
      </c>
      <c r="AV61" s="1758"/>
      <c r="AW61" s="1050"/>
      <c r="AX61" s="1050"/>
      <c r="AY61" s="1050"/>
      <c r="AZ61" s="1050"/>
      <c r="BA61" s="1051">
        <f t="shared" si="20"/>
        <v>0</v>
      </c>
      <c r="BB61" s="1717">
        <v>0</v>
      </c>
      <c r="BC61" s="1048">
        <v>0</v>
      </c>
      <c r="BD61" s="1048">
        <v>0</v>
      </c>
      <c r="BE61" s="1048">
        <v>0</v>
      </c>
      <c r="BF61" s="1718">
        <v>0</v>
      </c>
      <c r="BG61" s="1047">
        <f t="shared" si="21"/>
        <v>0</v>
      </c>
      <c r="BH61" s="1746">
        <v>92.24</v>
      </c>
      <c r="BI61" s="1053">
        <v>166.56</v>
      </c>
      <c r="BJ61" s="1053">
        <v>0</v>
      </c>
      <c r="BK61" s="1053">
        <v>0</v>
      </c>
      <c r="BL61" s="1053">
        <v>0</v>
      </c>
      <c r="BM61" s="1054">
        <f t="shared" si="22"/>
        <v>258.8</v>
      </c>
      <c r="BN61" s="1744">
        <v>10752.28</v>
      </c>
      <c r="BO61" s="1125">
        <v>1362.02</v>
      </c>
      <c r="BP61" s="1125">
        <v>2222.1999999999998</v>
      </c>
      <c r="BQ61" s="1125">
        <v>-0.14000000000000001</v>
      </c>
      <c r="BR61" s="1745">
        <v>0</v>
      </c>
      <c r="BS61" s="1054">
        <f t="shared" si="23"/>
        <v>14336.36</v>
      </c>
      <c r="BT61" s="1744"/>
      <c r="BU61" s="1125"/>
      <c r="BV61" s="1125"/>
      <c r="BW61" s="1125"/>
      <c r="BX61" s="1745"/>
      <c r="BY61" s="1057">
        <f t="shared" si="24"/>
        <v>0</v>
      </c>
      <c r="BZ61" s="1744">
        <v>37.700000000000003</v>
      </c>
      <c r="CA61" s="1125">
        <v>45.84</v>
      </c>
      <c r="CB61" s="1125">
        <v>15.32</v>
      </c>
      <c r="CC61" s="1125">
        <v>0</v>
      </c>
      <c r="CD61" s="1745">
        <v>0</v>
      </c>
      <c r="CE61" s="1057">
        <f t="shared" si="25"/>
        <v>98.860000000000014</v>
      </c>
      <c r="CF61" s="1744">
        <v>310.27</v>
      </c>
      <c r="CG61" s="1125">
        <v>0</v>
      </c>
      <c r="CH61" s="1125">
        <v>523.75</v>
      </c>
      <c r="CI61" s="1125">
        <v>0</v>
      </c>
      <c r="CJ61" s="1745">
        <v>0</v>
      </c>
      <c r="CK61" s="1057">
        <f t="shared" si="26"/>
        <v>834.02</v>
      </c>
      <c r="CL61" s="1746"/>
      <c r="CM61" s="1053"/>
      <c r="CN61" s="1053"/>
      <c r="CO61" s="1053"/>
      <c r="CP61" s="1053"/>
      <c r="CQ61" s="1054">
        <f t="shared" si="27"/>
        <v>0</v>
      </c>
      <c r="CR61" s="1746"/>
      <c r="CS61" s="1053"/>
      <c r="CT61" s="1053"/>
      <c r="CU61" s="1053"/>
      <c r="CV61" s="1747"/>
      <c r="CW61" s="1057">
        <f t="shared" si="28"/>
        <v>0</v>
      </c>
      <c r="CX61" s="1744"/>
      <c r="CY61" s="1125"/>
      <c r="CZ61" s="1125"/>
      <c r="DA61" s="1125"/>
      <c r="DB61" s="1745"/>
      <c r="DC61" s="1054">
        <f t="shared" si="29"/>
        <v>0</v>
      </c>
      <c r="DD61" s="1744"/>
      <c r="DE61" s="1125"/>
      <c r="DF61" s="1125"/>
      <c r="DG61" s="1125"/>
      <c r="DH61" s="1745"/>
      <c r="DI61" s="1057">
        <f t="shared" si="30"/>
        <v>0</v>
      </c>
      <c r="DJ61" s="1744"/>
      <c r="DK61" s="1125"/>
      <c r="DL61" s="1125"/>
      <c r="DM61" s="1125"/>
      <c r="DN61" s="1125"/>
      <c r="DO61" s="1124">
        <f t="shared" si="31"/>
        <v>0</v>
      </c>
      <c r="DP61" s="1125"/>
      <c r="DQ61" s="1125"/>
      <c r="DR61" s="1125"/>
      <c r="DS61" s="1125"/>
      <c r="DT61" s="1125"/>
      <c r="DU61" s="1125">
        <f t="shared" si="34"/>
        <v>0</v>
      </c>
      <c r="DV61" s="1744">
        <v>4125</v>
      </c>
      <c r="DW61" s="1125">
        <v>2846.25</v>
      </c>
      <c r="DX61" s="1125">
        <v>1278.75</v>
      </c>
      <c r="DY61" s="1125">
        <v>0</v>
      </c>
      <c r="DZ61" s="1745">
        <v>0</v>
      </c>
      <c r="EA61" s="1058">
        <f t="shared" si="32"/>
        <v>8250</v>
      </c>
      <c r="EB61" s="1744">
        <v>953.14</v>
      </c>
      <c r="EC61" s="1125">
        <v>0</v>
      </c>
      <c r="ED61" s="1125">
        <v>174.82</v>
      </c>
      <c r="EE61" s="1125">
        <v>350.04</v>
      </c>
      <c r="EF61" s="1745">
        <v>0</v>
      </c>
      <c r="EG61" s="1057">
        <f t="shared" si="33"/>
        <v>1478</v>
      </c>
    </row>
    <row r="62" spans="1:137" ht="15" customHeight="1" x14ac:dyDescent="0.25">
      <c r="A62" s="719" t="s">
        <v>148</v>
      </c>
      <c r="B62" s="816" t="s">
        <v>149</v>
      </c>
      <c r="C62" s="917" t="s">
        <v>265</v>
      </c>
      <c r="D62" s="814">
        <f t="shared" si="6"/>
        <v>34268.230000000003</v>
      </c>
      <c r="E62" s="814">
        <f t="shared" si="7"/>
        <v>23202.6</v>
      </c>
      <c r="F62" s="814">
        <f t="shared" si="8"/>
        <v>12047.36</v>
      </c>
      <c r="G62" s="814">
        <f t="shared" si="9"/>
        <v>-0.10000000000000002</v>
      </c>
      <c r="H62" s="814">
        <f t="shared" si="10"/>
        <v>0</v>
      </c>
      <c r="I62" s="1422">
        <f t="shared" si="11"/>
        <v>69518.09</v>
      </c>
      <c r="J62" s="815">
        <f t="shared" si="12"/>
        <v>-0.10000000000000002</v>
      </c>
      <c r="K62" s="1423">
        <f t="shared" si="13"/>
        <v>12047.26</v>
      </c>
      <c r="L62" s="1723"/>
      <c r="M62" s="1043"/>
      <c r="N62" s="1043"/>
      <c r="O62" s="1043"/>
      <c r="P62" s="1043"/>
      <c r="Q62" s="1044">
        <f t="shared" si="14"/>
        <v>0</v>
      </c>
      <c r="R62" s="1717"/>
      <c r="S62" s="1048"/>
      <c r="T62" s="1048"/>
      <c r="U62" s="1048"/>
      <c r="V62" s="1718"/>
      <c r="W62" s="1047">
        <f t="shared" si="15"/>
        <v>0</v>
      </c>
      <c r="X62" s="1719"/>
      <c r="Y62" s="1123"/>
      <c r="Z62" s="1123"/>
      <c r="AA62" s="1123"/>
      <c r="AB62" s="1123"/>
      <c r="AC62" s="1122">
        <f t="shared" si="16"/>
        <v>0</v>
      </c>
      <c r="AD62" s="1733">
        <v>4048.09</v>
      </c>
      <c r="AE62" s="1734">
        <v>24.1</v>
      </c>
      <c r="AF62" s="1734">
        <v>746.96</v>
      </c>
      <c r="AG62" s="1734">
        <v>0</v>
      </c>
      <c r="AH62" s="1735">
        <v>0</v>
      </c>
      <c r="AI62" s="1045">
        <f t="shared" si="17"/>
        <v>4819.1499999999996</v>
      </c>
      <c r="AJ62" s="1744">
        <v>1499.26</v>
      </c>
      <c r="AK62" s="1125">
        <v>0</v>
      </c>
      <c r="AL62" s="1125">
        <v>374.82</v>
      </c>
      <c r="AM62" s="1125">
        <v>0</v>
      </c>
      <c r="AN62" s="1745">
        <v>0</v>
      </c>
      <c r="AO62" s="1057">
        <f t="shared" si="18"/>
        <v>1874.08</v>
      </c>
      <c r="AP62" s="1736"/>
      <c r="AQ62" s="1046"/>
      <c r="AR62" s="1046"/>
      <c r="AS62" s="1046"/>
      <c r="AT62" s="1046"/>
      <c r="AU62" s="1049">
        <f t="shared" si="19"/>
        <v>0</v>
      </c>
      <c r="AV62" s="1758"/>
      <c r="AW62" s="1050"/>
      <c r="AX62" s="1050"/>
      <c r="AY62" s="1050"/>
      <c r="AZ62" s="1050"/>
      <c r="BA62" s="1051">
        <f t="shared" si="20"/>
        <v>0</v>
      </c>
      <c r="BB62" s="1717">
        <v>0</v>
      </c>
      <c r="BC62" s="1048">
        <v>0</v>
      </c>
      <c r="BD62" s="1048">
        <v>0</v>
      </c>
      <c r="BE62" s="1048">
        <v>0</v>
      </c>
      <c r="BF62" s="1718">
        <v>0</v>
      </c>
      <c r="BG62" s="1047">
        <f t="shared" si="21"/>
        <v>0</v>
      </c>
      <c r="BH62" s="1746"/>
      <c r="BI62" s="1053"/>
      <c r="BJ62" s="1053"/>
      <c r="BK62" s="1053"/>
      <c r="BL62" s="1053"/>
      <c r="BM62" s="1054">
        <f t="shared" si="22"/>
        <v>0</v>
      </c>
      <c r="BN62" s="1744">
        <v>13544.84</v>
      </c>
      <c r="BO62" s="1125">
        <v>1715.69</v>
      </c>
      <c r="BP62" s="1125">
        <v>2799.27</v>
      </c>
      <c r="BQ62" s="1125">
        <v>-0.04</v>
      </c>
      <c r="BR62" s="1745">
        <v>0</v>
      </c>
      <c r="BS62" s="1054">
        <f t="shared" si="23"/>
        <v>18059.759999999998</v>
      </c>
      <c r="BT62" s="1744"/>
      <c r="BU62" s="1125"/>
      <c r="BV62" s="1125"/>
      <c r="BW62" s="1125"/>
      <c r="BX62" s="1745"/>
      <c r="BY62" s="1057">
        <f t="shared" si="24"/>
        <v>0</v>
      </c>
      <c r="BZ62" s="1744">
        <v>6175.35</v>
      </c>
      <c r="CA62" s="1125">
        <v>20663.89</v>
      </c>
      <c r="CB62" s="1125">
        <v>4923.0200000000004</v>
      </c>
      <c r="CC62" s="1125">
        <v>-7.0000000000000007E-2</v>
      </c>
      <c r="CD62" s="1745">
        <v>0</v>
      </c>
      <c r="CE62" s="1057">
        <f t="shared" si="25"/>
        <v>31762.19</v>
      </c>
      <c r="CF62" s="1744">
        <v>914.46</v>
      </c>
      <c r="CG62" s="1125">
        <v>0</v>
      </c>
      <c r="CH62" s="1125">
        <v>1543.76</v>
      </c>
      <c r="CI62" s="1125">
        <v>0</v>
      </c>
      <c r="CJ62" s="1745">
        <v>0</v>
      </c>
      <c r="CK62" s="1057">
        <f t="shared" si="26"/>
        <v>2458.2200000000003</v>
      </c>
      <c r="CL62" s="1746"/>
      <c r="CM62" s="1053"/>
      <c r="CN62" s="1053"/>
      <c r="CO62" s="1053"/>
      <c r="CP62" s="1053"/>
      <c r="CQ62" s="1054">
        <f t="shared" si="27"/>
        <v>0</v>
      </c>
      <c r="CR62" s="1746"/>
      <c r="CS62" s="1053"/>
      <c r="CT62" s="1053"/>
      <c r="CU62" s="1053"/>
      <c r="CV62" s="1747"/>
      <c r="CW62" s="1057">
        <f t="shared" si="28"/>
        <v>0</v>
      </c>
      <c r="CX62" s="1746"/>
      <c r="CY62" s="1053"/>
      <c r="CZ62" s="1053"/>
      <c r="DA62" s="1053"/>
      <c r="DB62" s="1053"/>
      <c r="DC62" s="1054">
        <f t="shared" si="29"/>
        <v>0</v>
      </c>
      <c r="DD62" s="1744"/>
      <c r="DE62" s="1125"/>
      <c r="DF62" s="1125"/>
      <c r="DG62" s="1125"/>
      <c r="DH62" s="1745"/>
      <c r="DI62" s="1057">
        <f t="shared" si="30"/>
        <v>0</v>
      </c>
      <c r="DJ62" s="1744">
        <v>-162</v>
      </c>
      <c r="DK62" s="1125">
        <v>0</v>
      </c>
      <c r="DL62" s="1125">
        <v>0</v>
      </c>
      <c r="DM62" s="1125">
        <v>0</v>
      </c>
      <c r="DN62" s="1125">
        <v>0</v>
      </c>
      <c r="DO62" s="1124">
        <f t="shared" si="31"/>
        <v>-162</v>
      </c>
      <c r="DP62" s="1125"/>
      <c r="DQ62" s="1125"/>
      <c r="DR62" s="1125"/>
      <c r="DS62" s="1125"/>
      <c r="DT62" s="1125"/>
      <c r="DU62" s="1125">
        <f t="shared" si="34"/>
        <v>0</v>
      </c>
      <c r="DV62" s="1744">
        <v>1157.8599999999999</v>
      </c>
      <c r="DW62" s="1125">
        <v>798.92</v>
      </c>
      <c r="DX62" s="1125">
        <v>358.94</v>
      </c>
      <c r="DY62" s="1125">
        <v>0</v>
      </c>
      <c r="DZ62" s="1745">
        <v>0</v>
      </c>
      <c r="EA62" s="1058">
        <f t="shared" si="32"/>
        <v>2315.7199999999998</v>
      </c>
      <c r="EB62" s="1744">
        <v>7090.37</v>
      </c>
      <c r="EC62" s="1125">
        <v>0</v>
      </c>
      <c r="ED62" s="1125">
        <v>1300.5899999999999</v>
      </c>
      <c r="EE62" s="1125">
        <v>0.01</v>
      </c>
      <c r="EF62" s="1745">
        <v>0</v>
      </c>
      <c r="EG62" s="1057">
        <f t="shared" si="33"/>
        <v>8390.9699999999993</v>
      </c>
    </row>
    <row r="63" spans="1:137" ht="15" customHeight="1" x14ac:dyDescent="0.25">
      <c r="A63" s="719" t="s">
        <v>150</v>
      </c>
      <c r="B63" s="816" t="s">
        <v>151</v>
      </c>
      <c r="C63" s="917" t="s">
        <v>266</v>
      </c>
      <c r="D63" s="814">
        <f t="shared" si="6"/>
        <v>44202.84</v>
      </c>
      <c r="E63" s="814">
        <f t="shared" si="7"/>
        <v>29865.81</v>
      </c>
      <c r="F63" s="814">
        <f t="shared" si="8"/>
        <v>14273.81</v>
      </c>
      <c r="G63" s="814">
        <f t="shared" si="9"/>
        <v>-8.0000000000000016E-2</v>
      </c>
      <c r="H63" s="814">
        <f t="shared" si="10"/>
        <v>0</v>
      </c>
      <c r="I63" s="1422">
        <f t="shared" si="11"/>
        <v>88342.37999999999</v>
      </c>
      <c r="J63" s="815">
        <f t="shared" si="12"/>
        <v>-8.0000000000000016E-2</v>
      </c>
      <c r="K63" s="1423">
        <f t="shared" si="13"/>
        <v>14273.73</v>
      </c>
      <c r="L63" s="1723"/>
      <c r="M63" s="1043"/>
      <c r="N63" s="1043"/>
      <c r="O63" s="1043"/>
      <c r="P63" s="1043"/>
      <c r="Q63" s="1044">
        <f t="shared" si="14"/>
        <v>0</v>
      </c>
      <c r="R63" s="1717"/>
      <c r="S63" s="1048"/>
      <c r="T63" s="1048"/>
      <c r="U63" s="1048"/>
      <c r="V63" s="1718"/>
      <c r="W63" s="1047">
        <f t="shared" si="15"/>
        <v>0</v>
      </c>
      <c r="X63" s="1719"/>
      <c r="Y63" s="1123"/>
      <c r="Z63" s="1123"/>
      <c r="AA63" s="1123"/>
      <c r="AB63" s="1123"/>
      <c r="AC63" s="1122">
        <f t="shared" si="16"/>
        <v>0</v>
      </c>
      <c r="AD63" s="1733">
        <v>1335.6</v>
      </c>
      <c r="AE63" s="1734">
        <v>7.95</v>
      </c>
      <c r="AF63" s="1734">
        <v>246.45</v>
      </c>
      <c r="AG63" s="1734">
        <v>0</v>
      </c>
      <c r="AH63" s="1735">
        <v>0</v>
      </c>
      <c r="AI63" s="1045">
        <f t="shared" si="17"/>
        <v>1590</v>
      </c>
      <c r="AJ63" s="1744">
        <v>17807</v>
      </c>
      <c r="AK63" s="1125">
        <v>0</v>
      </c>
      <c r="AL63" s="1125">
        <v>4451.75</v>
      </c>
      <c r="AM63" s="1125">
        <v>0</v>
      </c>
      <c r="AN63" s="1745">
        <v>0</v>
      </c>
      <c r="AO63" s="1057">
        <f t="shared" si="18"/>
        <v>22258.75</v>
      </c>
      <c r="AP63" s="1736"/>
      <c r="AQ63" s="1046"/>
      <c r="AR63" s="1046"/>
      <c r="AS63" s="1046"/>
      <c r="AT63" s="1046"/>
      <c r="AU63" s="1049">
        <f t="shared" si="19"/>
        <v>0</v>
      </c>
      <c r="AV63" s="1755">
        <v>600</v>
      </c>
      <c r="AW63" s="1756">
        <v>150</v>
      </c>
      <c r="AX63" s="1756">
        <v>0</v>
      </c>
      <c r="AY63" s="1756">
        <v>0</v>
      </c>
      <c r="AZ63" s="1757">
        <v>0</v>
      </c>
      <c r="BA63" s="1051">
        <f t="shared" si="20"/>
        <v>750</v>
      </c>
      <c r="BB63" s="1764">
        <v>1219.73</v>
      </c>
      <c r="BC63" s="1765">
        <v>304.93</v>
      </c>
      <c r="BD63" s="1765">
        <v>0</v>
      </c>
      <c r="BE63" s="1765">
        <v>0</v>
      </c>
      <c r="BF63" s="1766">
        <v>0</v>
      </c>
      <c r="BG63" s="1047">
        <f t="shared" si="21"/>
        <v>1524.66</v>
      </c>
      <c r="BH63" s="1746">
        <v>156.82</v>
      </c>
      <c r="BI63" s="1053">
        <v>283.18</v>
      </c>
      <c r="BJ63" s="1053">
        <v>0</v>
      </c>
      <c r="BK63" s="1053">
        <v>0</v>
      </c>
      <c r="BL63" s="1053">
        <v>0</v>
      </c>
      <c r="BM63" s="1054">
        <f t="shared" si="22"/>
        <v>440</v>
      </c>
      <c r="BN63" s="1744">
        <v>14079.02</v>
      </c>
      <c r="BO63" s="1125">
        <v>1783.37</v>
      </c>
      <c r="BP63" s="1125">
        <v>2909.68</v>
      </c>
      <c r="BQ63" s="1125">
        <v>-7.0000000000000007E-2</v>
      </c>
      <c r="BR63" s="1745">
        <v>0</v>
      </c>
      <c r="BS63" s="1054">
        <f t="shared" si="23"/>
        <v>18772</v>
      </c>
      <c r="BT63" s="1744"/>
      <c r="BU63" s="1125"/>
      <c r="BV63" s="1125"/>
      <c r="BW63" s="1125"/>
      <c r="BX63" s="1745"/>
      <c r="BY63" s="1057">
        <f t="shared" si="24"/>
        <v>0</v>
      </c>
      <c r="BZ63" s="1744">
        <v>8143.63</v>
      </c>
      <c r="CA63" s="1125">
        <v>27336.38</v>
      </c>
      <c r="CB63" s="1125">
        <v>6508</v>
      </c>
      <c r="CC63" s="1125">
        <v>-0.04</v>
      </c>
      <c r="CD63" s="1745">
        <v>0</v>
      </c>
      <c r="CE63" s="1057">
        <f t="shared" si="25"/>
        <v>41987.97</v>
      </c>
      <c r="CF63" s="1744"/>
      <c r="CG63" s="1125"/>
      <c r="CH63" s="1125"/>
      <c r="CI63" s="1125"/>
      <c r="CJ63" s="1745"/>
      <c r="CK63" s="1057">
        <f t="shared" si="26"/>
        <v>0</v>
      </c>
      <c r="CL63" s="1746"/>
      <c r="CM63" s="1053"/>
      <c r="CN63" s="1053"/>
      <c r="CO63" s="1053"/>
      <c r="CP63" s="1053"/>
      <c r="CQ63" s="1054">
        <f t="shared" si="27"/>
        <v>0</v>
      </c>
      <c r="CR63" s="1744"/>
      <c r="CS63" s="1125"/>
      <c r="CT63" s="1125"/>
      <c r="CU63" s="1125"/>
      <c r="CV63" s="1745"/>
      <c r="CW63" s="1057">
        <f t="shared" si="28"/>
        <v>0</v>
      </c>
      <c r="CX63" s="1746"/>
      <c r="CY63" s="1053"/>
      <c r="CZ63" s="1053"/>
      <c r="DA63" s="1053"/>
      <c r="DB63" s="1053"/>
      <c r="DC63" s="1054">
        <f t="shared" si="29"/>
        <v>0</v>
      </c>
      <c r="DD63" s="1744"/>
      <c r="DE63" s="1125"/>
      <c r="DF63" s="1125"/>
      <c r="DG63" s="1125"/>
      <c r="DH63" s="1745"/>
      <c r="DI63" s="1057">
        <f t="shared" si="30"/>
        <v>0</v>
      </c>
      <c r="DJ63" s="1744"/>
      <c r="DK63" s="1125"/>
      <c r="DL63" s="1125"/>
      <c r="DM63" s="1125"/>
      <c r="DN63" s="1125"/>
      <c r="DO63" s="1124">
        <f t="shared" si="31"/>
        <v>0</v>
      </c>
      <c r="DP63" s="1125"/>
      <c r="DQ63" s="1125"/>
      <c r="DR63" s="1125"/>
      <c r="DS63" s="1125"/>
      <c r="DT63" s="1125"/>
      <c r="DU63" s="1125">
        <f t="shared" si="34"/>
        <v>0</v>
      </c>
      <c r="DV63" s="1744">
        <v>0</v>
      </c>
      <c r="DW63" s="1125">
        <v>0</v>
      </c>
      <c r="DX63" s="1125">
        <v>0</v>
      </c>
      <c r="DY63" s="1125">
        <v>0</v>
      </c>
      <c r="DZ63" s="1745">
        <v>0</v>
      </c>
      <c r="EA63" s="1058">
        <f t="shared" si="32"/>
        <v>0</v>
      </c>
      <c r="EB63" s="1744">
        <v>861.04</v>
      </c>
      <c r="EC63" s="1125">
        <v>0</v>
      </c>
      <c r="ED63" s="1125">
        <v>157.93</v>
      </c>
      <c r="EE63" s="1125">
        <v>0.03</v>
      </c>
      <c r="EF63" s="1745">
        <v>0</v>
      </c>
      <c r="EG63" s="1057">
        <f t="shared" si="33"/>
        <v>1019</v>
      </c>
    </row>
    <row r="64" spans="1:137" ht="15" customHeight="1" x14ac:dyDescent="0.25">
      <c r="A64" s="719" t="s">
        <v>152</v>
      </c>
      <c r="B64" s="816" t="s">
        <v>153</v>
      </c>
      <c r="C64" s="917" t="s">
        <v>268</v>
      </c>
      <c r="D64" s="814">
        <f t="shared" si="6"/>
        <v>84520.43</v>
      </c>
      <c r="E64" s="814">
        <f t="shared" si="7"/>
        <v>45094.57</v>
      </c>
      <c r="F64" s="814">
        <f t="shared" si="8"/>
        <v>23999.95</v>
      </c>
      <c r="G64" s="814">
        <f t="shared" si="9"/>
        <v>-0.08</v>
      </c>
      <c r="H64" s="814">
        <f t="shared" si="10"/>
        <v>0</v>
      </c>
      <c r="I64" s="1422">
        <f t="shared" si="11"/>
        <v>153614.87000000002</v>
      </c>
      <c r="J64" s="815">
        <f t="shared" si="12"/>
        <v>-0.08</v>
      </c>
      <c r="K64" s="1423">
        <f t="shared" si="13"/>
        <v>23999.87</v>
      </c>
      <c r="L64" s="1724">
        <v>0</v>
      </c>
      <c r="M64" s="1725">
        <v>3169</v>
      </c>
      <c r="N64" s="1727">
        <v>0</v>
      </c>
      <c r="O64" s="1725">
        <v>0</v>
      </c>
      <c r="P64" s="1726">
        <v>0</v>
      </c>
      <c r="Q64" s="1044">
        <f t="shared" si="14"/>
        <v>3169</v>
      </c>
      <c r="R64" s="1719"/>
      <c r="S64" s="1123"/>
      <c r="T64" s="1123"/>
      <c r="U64" s="1123"/>
      <c r="V64" s="1720"/>
      <c r="W64" s="1047">
        <f t="shared" si="15"/>
        <v>0</v>
      </c>
      <c r="X64" s="1719"/>
      <c r="Y64" s="1123"/>
      <c r="Z64" s="1123"/>
      <c r="AA64" s="1123"/>
      <c r="AB64" s="1123"/>
      <c r="AC64" s="1122">
        <f t="shared" si="16"/>
        <v>0</v>
      </c>
      <c r="AD64" s="1733">
        <v>5256.21</v>
      </c>
      <c r="AE64" s="1734">
        <v>31.27</v>
      </c>
      <c r="AF64" s="1734">
        <v>969.89</v>
      </c>
      <c r="AG64" s="1734">
        <v>0.02</v>
      </c>
      <c r="AH64" s="1735">
        <v>0</v>
      </c>
      <c r="AI64" s="1045">
        <f t="shared" si="17"/>
        <v>6257.3900000000012</v>
      </c>
      <c r="AJ64" s="1744">
        <v>33485.760000000002</v>
      </c>
      <c r="AK64" s="1125">
        <v>0</v>
      </c>
      <c r="AL64" s="1125">
        <v>8371.48</v>
      </c>
      <c r="AM64" s="1125">
        <v>0</v>
      </c>
      <c r="AN64" s="1745">
        <v>0</v>
      </c>
      <c r="AO64" s="1057">
        <f t="shared" si="18"/>
        <v>41857.240000000005</v>
      </c>
      <c r="AP64" s="1736"/>
      <c r="AQ64" s="1046"/>
      <c r="AR64" s="1046"/>
      <c r="AS64" s="1046"/>
      <c r="AT64" s="1046"/>
      <c r="AU64" s="1049">
        <f t="shared" si="19"/>
        <v>0</v>
      </c>
      <c r="AV64" s="1755">
        <v>997.56</v>
      </c>
      <c r="AW64" s="1756">
        <v>249.39</v>
      </c>
      <c r="AX64" s="1756">
        <v>0</v>
      </c>
      <c r="AY64" s="1756">
        <v>0</v>
      </c>
      <c r="AZ64" s="1757">
        <v>0</v>
      </c>
      <c r="BA64" s="1051">
        <f t="shared" si="20"/>
        <v>1246.9499999999998</v>
      </c>
      <c r="BB64" s="1764">
        <v>3943.06</v>
      </c>
      <c r="BC64" s="1765">
        <v>985.77</v>
      </c>
      <c r="BD64" s="1765">
        <v>0</v>
      </c>
      <c r="BE64" s="1765">
        <v>0</v>
      </c>
      <c r="BF64" s="1766">
        <v>0</v>
      </c>
      <c r="BG64" s="1047">
        <f t="shared" si="21"/>
        <v>4928.83</v>
      </c>
      <c r="BH64" s="1744">
        <v>564.16999999999996</v>
      </c>
      <c r="BI64" s="1125">
        <v>1018.79</v>
      </c>
      <c r="BJ64" s="1125">
        <v>0</v>
      </c>
      <c r="BK64" s="1125">
        <v>0</v>
      </c>
      <c r="BL64" s="1745">
        <v>0</v>
      </c>
      <c r="BM64" s="1054">
        <f t="shared" si="22"/>
        <v>1582.96</v>
      </c>
      <c r="BN64" s="1744">
        <v>14295.6</v>
      </c>
      <c r="BO64" s="1125">
        <v>1810.79</v>
      </c>
      <c r="BP64" s="1125">
        <v>2954.45</v>
      </c>
      <c r="BQ64" s="1125">
        <v>-0.05</v>
      </c>
      <c r="BR64" s="1745">
        <v>0</v>
      </c>
      <c r="BS64" s="1054">
        <f t="shared" si="23"/>
        <v>19060.79</v>
      </c>
      <c r="BT64" s="1744"/>
      <c r="BU64" s="1125"/>
      <c r="BV64" s="1125"/>
      <c r="BW64" s="1125"/>
      <c r="BX64" s="1745"/>
      <c r="BY64" s="1057">
        <f t="shared" si="24"/>
        <v>0</v>
      </c>
      <c r="BZ64" s="1744">
        <v>9381.56</v>
      </c>
      <c r="CA64" s="1125">
        <v>31899.7</v>
      </c>
      <c r="CB64" s="1125">
        <v>7572.08</v>
      </c>
      <c r="CC64" s="1125">
        <v>-0.05</v>
      </c>
      <c r="CD64" s="1745">
        <v>0</v>
      </c>
      <c r="CE64" s="1057">
        <f t="shared" si="25"/>
        <v>48853.29</v>
      </c>
      <c r="CF64" s="1746"/>
      <c r="CG64" s="1053"/>
      <c r="CH64" s="1053"/>
      <c r="CI64" s="1053"/>
      <c r="CJ64" s="1747"/>
      <c r="CK64" s="1057">
        <f t="shared" si="26"/>
        <v>0</v>
      </c>
      <c r="CL64" s="1746"/>
      <c r="CM64" s="1053"/>
      <c r="CN64" s="1053"/>
      <c r="CO64" s="1053"/>
      <c r="CP64" s="1053"/>
      <c r="CQ64" s="1054">
        <f t="shared" si="27"/>
        <v>0</v>
      </c>
      <c r="CR64" s="1744"/>
      <c r="CS64" s="1125"/>
      <c r="CT64" s="1125"/>
      <c r="CU64" s="1125"/>
      <c r="CV64" s="1745"/>
      <c r="CW64" s="1057">
        <f t="shared" si="28"/>
        <v>0</v>
      </c>
      <c r="CX64" s="1746"/>
      <c r="CY64" s="1053"/>
      <c r="CZ64" s="1053"/>
      <c r="DA64" s="1053"/>
      <c r="DB64" s="1053"/>
      <c r="DC64" s="1054">
        <f t="shared" si="29"/>
        <v>0</v>
      </c>
      <c r="DD64" s="1744"/>
      <c r="DE64" s="1125"/>
      <c r="DF64" s="1125"/>
      <c r="DG64" s="1125"/>
      <c r="DH64" s="1745"/>
      <c r="DI64" s="1057">
        <f t="shared" si="30"/>
        <v>0</v>
      </c>
      <c r="DJ64" s="1744"/>
      <c r="DK64" s="1125"/>
      <c r="DL64" s="1125"/>
      <c r="DM64" s="1125"/>
      <c r="DN64" s="1125"/>
      <c r="DO64" s="1124">
        <f t="shared" si="31"/>
        <v>0</v>
      </c>
      <c r="DP64" s="1125"/>
      <c r="DQ64" s="1125"/>
      <c r="DR64" s="1125"/>
      <c r="DS64" s="1125"/>
      <c r="DT64" s="1125"/>
      <c r="DU64" s="1125">
        <f t="shared" si="34"/>
        <v>0</v>
      </c>
      <c r="DV64" s="1744">
        <v>8594</v>
      </c>
      <c r="DW64" s="1125">
        <v>5929.86</v>
      </c>
      <c r="DX64" s="1125">
        <v>2664.14</v>
      </c>
      <c r="DY64" s="1125">
        <v>0</v>
      </c>
      <c r="DZ64" s="1745">
        <v>0</v>
      </c>
      <c r="EA64" s="1058">
        <f t="shared" si="32"/>
        <v>17188</v>
      </c>
      <c r="EB64" s="1744">
        <v>8002.51</v>
      </c>
      <c r="EC64" s="1125">
        <v>0</v>
      </c>
      <c r="ED64" s="1125">
        <v>1467.91</v>
      </c>
      <c r="EE64" s="1125">
        <v>0</v>
      </c>
      <c r="EF64" s="1745">
        <v>0</v>
      </c>
      <c r="EG64" s="1057">
        <f t="shared" si="33"/>
        <v>9470.42</v>
      </c>
    </row>
    <row r="65" spans="1:137" ht="15" customHeight="1" x14ac:dyDescent="0.25">
      <c r="A65" s="719" t="s">
        <v>154</v>
      </c>
      <c r="B65" s="816" t="s">
        <v>155</v>
      </c>
      <c r="C65" s="917" t="s">
        <v>265</v>
      </c>
      <c r="D65" s="814">
        <f t="shared" si="6"/>
        <v>10488.97</v>
      </c>
      <c r="E65" s="814">
        <f t="shared" si="7"/>
        <v>4904.4400000000005</v>
      </c>
      <c r="F65" s="814">
        <f t="shared" si="8"/>
        <v>3226.7</v>
      </c>
      <c r="G65" s="814">
        <f t="shared" si="9"/>
        <v>-6.9999999999999993E-2</v>
      </c>
      <c r="H65" s="814">
        <f t="shared" si="10"/>
        <v>0</v>
      </c>
      <c r="I65" s="1422">
        <f t="shared" si="11"/>
        <v>18620.04</v>
      </c>
      <c r="J65" s="815">
        <f t="shared" si="12"/>
        <v>-6.9999999999999993E-2</v>
      </c>
      <c r="K65" s="1423">
        <f t="shared" si="13"/>
        <v>3226.6299999999997</v>
      </c>
      <c r="L65" s="1723"/>
      <c r="M65" s="1043"/>
      <c r="N65" s="1043"/>
      <c r="O65" s="1043"/>
      <c r="P65" s="1043"/>
      <c r="Q65" s="1044">
        <f t="shared" si="14"/>
        <v>0</v>
      </c>
      <c r="R65" s="1719"/>
      <c r="S65" s="1123"/>
      <c r="T65" s="1123"/>
      <c r="U65" s="1123"/>
      <c r="V65" s="1720"/>
      <c r="W65" s="1047">
        <f t="shared" si="15"/>
        <v>0</v>
      </c>
      <c r="X65" s="1719"/>
      <c r="Y65" s="1123"/>
      <c r="Z65" s="1123"/>
      <c r="AA65" s="1123"/>
      <c r="AB65" s="1123"/>
      <c r="AC65" s="1122">
        <f t="shared" si="16"/>
        <v>0</v>
      </c>
      <c r="AD65" s="1733">
        <v>941.92</v>
      </c>
      <c r="AE65" s="1734">
        <v>5.61</v>
      </c>
      <c r="AF65" s="1734">
        <v>173.81</v>
      </c>
      <c r="AG65" s="1734">
        <v>-0.01</v>
      </c>
      <c r="AH65" s="1735">
        <v>0</v>
      </c>
      <c r="AI65" s="1045">
        <f t="shared" si="17"/>
        <v>1121.33</v>
      </c>
      <c r="AJ65" s="1744">
        <v>6054.82</v>
      </c>
      <c r="AK65" s="1125">
        <v>0</v>
      </c>
      <c r="AL65" s="1125">
        <v>1513.71</v>
      </c>
      <c r="AM65" s="1125">
        <v>0</v>
      </c>
      <c r="AN65" s="1745">
        <v>0</v>
      </c>
      <c r="AO65" s="1057">
        <f t="shared" si="18"/>
        <v>7568.53</v>
      </c>
      <c r="AP65" s="1736"/>
      <c r="AQ65" s="1046"/>
      <c r="AR65" s="1046"/>
      <c r="AS65" s="1046"/>
      <c r="AT65" s="1046"/>
      <c r="AU65" s="1049">
        <f t="shared" si="19"/>
        <v>0</v>
      </c>
      <c r="AV65" s="1758"/>
      <c r="AW65" s="1050"/>
      <c r="AX65" s="1050"/>
      <c r="AY65" s="1050"/>
      <c r="AZ65" s="1050"/>
      <c r="BA65" s="1051">
        <f t="shared" si="20"/>
        <v>0</v>
      </c>
      <c r="BB65" s="1717">
        <v>0</v>
      </c>
      <c r="BC65" s="1048">
        <v>0</v>
      </c>
      <c r="BD65" s="1048">
        <v>0</v>
      </c>
      <c r="BE65" s="1048">
        <v>0</v>
      </c>
      <c r="BF65" s="1718">
        <v>0</v>
      </c>
      <c r="BG65" s="1047">
        <f t="shared" si="21"/>
        <v>0</v>
      </c>
      <c r="BH65" s="1746"/>
      <c r="BI65" s="1053"/>
      <c r="BJ65" s="1053"/>
      <c r="BK65" s="1053"/>
      <c r="BL65" s="1053"/>
      <c r="BM65" s="1054">
        <f t="shared" si="22"/>
        <v>0</v>
      </c>
      <c r="BN65" s="1746">
        <v>0</v>
      </c>
      <c r="BO65" s="1053">
        <v>0</v>
      </c>
      <c r="BP65" s="1053">
        <v>0</v>
      </c>
      <c r="BQ65" s="1053">
        <v>0</v>
      </c>
      <c r="BR65" s="1053">
        <v>0</v>
      </c>
      <c r="BS65" s="1054">
        <f t="shared" si="23"/>
        <v>0</v>
      </c>
      <c r="BT65" s="1744"/>
      <c r="BU65" s="1125"/>
      <c r="BV65" s="1125"/>
      <c r="BW65" s="1125"/>
      <c r="BX65" s="1745"/>
      <c r="BY65" s="1057">
        <f t="shared" si="24"/>
        <v>0</v>
      </c>
      <c r="BZ65" s="1744">
        <v>1019.45</v>
      </c>
      <c r="CA65" s="1125">
        <v>3204.28</v>
      </c>
      <c r="CB65" s="1125">
        <v>774.76</v>
      </c>
      <c r="CC65" s="1125">
        <v>-0.06</v>
      </c>
      <c r="CD65" s="1745">
        <v>0</v>
      </c>
      <c r="CE65" s="1057">
        <f t="shared" si="25"/>
        <v>4998.43</v>
      </c>
      <c r="CF65" s="1746"/>
      <c r="CG65" s="1053"/>
      <c r="CH65" s="1053"/>
      <c r="CI65" s="1053"/>
      <c r="CJ65" s="1747"/>
      <c r="CK65" s="1057">
        <f t="shared" si="26"/>
        <v>0</v>
      </c>
      <c r="CL65" s="1746"/>
      <c r="CM65" s="1053"/>
      <c r="CN65" s="1053"/>
      <c r="CO65" s="1053"/>
      <c r="CP65" s="1053"/>
      <c r="CQ65" s="1054">
        <f t="shared" si="27"/>
        <v>0</v>
      </c>
      <c r="CR65" s="1744"/>
      <c r="CS65" s="1125"/>
      <c r="CT65" s="1125"/>
      <c r="CU65" s="1125"/>
      <c r="CV65" s="1745"/>
      <c r="CW65" s="1057">
        <f t="shared" si="28"/>
        <v>0</v>
      </c>
      <c r="CX65" s="1746"/>
      <c r="CY65" s="1053"/>
      <c r="CZ65" s="1053"/>
      <c r="DA65" s="1053"/>
      <c r="DB65" s="1053"/>
      <c r="DC65" s="1054">
        <f t="shared" si="29"/>
        <v>0</v>
      </c>
      <c r="DD65" s="1744"/>
      <c r="DE65" s="1125"/>
      <c r="DF65" s="1125"/>
      <c r="DG65" s="1125"/>
      <c r="DH65" s="1745"/>
      <c r="DI65" s="1057">
        <f t="shared" si="30"/>
        <v>0</v>
      </c>
      <c r="DJ65" s="1744"/>
      <c r="DK65" s="1125"/>
      <c r="DL65" s="1125"/>
      <c r="DM65" s="1125"/>
      <c r="DN65" s="1125"/>
      <c r="DO65" s="1124">
        <f t="shared" si="31"/>
        <v>0</v>
      </c>
      <c r="DP65" s="1125"/>
      <c r="DQ65" s="1125"/>
      <c r="DR65" s="1125"/>
      <c r="DS65" s="1125"/>
      <c r="DT65" s="1125"/>
      <c r="DU65" s="1125">
        <f t="shared" si="34"/>
        <v>0</v>
      </c>
      <c r="DV65" s="1744">
        <v>2455.88</v>
      </c>
      <c r="DW65" s="1125">
        <v>1694.55</v>
      </c>
      <c r="DX65" s="1125">
        <v>761.32</v>
      </c>
      <c r="DY65" s="1125">
        <v>0</v>
      </c>
      <c r="DZ65" s="1745">
        <v>0</v>
      </c>
      <c r="EA65" s="1058">
        <f t="shared" si="32"/>
        <v>4911.75</v>
      </c>
      <c r="EB65" s="1746">
        <v>16.899999999999999</v>
      </c>
      <c r="EC65" s="1053">
        <v>0</v>
      </c>
      <c r="ED65" s="1053">
        <v>3.1</v>
      </c>
      <c r="EE65" s="1053">
        <v>0</v>
      </c>
      <c r="EF65" s="1747">
        <v>0</v>
      </c>
      <c r="EG65" s="1057">
        <f t="shared" si="33"/>
        <v>20</v>
      </c>
    </row>
    <row r="66" spans="1:137" ht="15" customHeight="1" x14ac:dyDescent="0.25">
      <c r="A66" s="719" t="s">
        <v>156</v>
      </c>
      <c r="B66" s="816" t="s">
        <v>157</v>
      </c>
      <c r="C66" s="917" t="s">
        <v>266</v>
      </c>
      <c r="D66" s="814">
        <f t="shared" si="6"/>
        <v>18292.43</v>
      </c>
      <c r="E66" s="814">
        <f t="shared" si="7"/>
        <v>24213.67</v>
      </c>
      <c r="F66" s="814">
        <f t="shared" si="8"/>
        <v>7821.16</v>
      </c>
      <c r="G66" s="814">
        <f t="shared" si="9"/>
        <v>-6.0000000000000005E-2</v>
      </c>
      <c r="H66" s="814">
        <f t="shared" si="10"/>
        <v>0</v>
      </c>
      <c r="I66" s="1422">
        <f t="shared" si="11"/>
        <v>50327.199999999997</v>
      </c>
      <c r="J66" s="815">
        <f t="shared" si="12"/>
        <v>-6.0000000000000005E-2</v>
      </c>
      <c r="K66" s="1423">
        <f t="shared" si="13"/>
        <v>7821.0999999999995</v>
      </c>
      <c r="L66" s="1723"/>
      <c r="M66" s="1043"/>
      <c r="N66" s="1043"/>
      <c r="O66" s="1043"/>
      <c r="P66" s="1043"/>
      <c r="Q66" s="1044">
        <f t="shared" si="14"/>
        <v>0</v>
      </c>
      <c r="R66" s="1717"/>
      <c r="S66" s="1048"/>
      <c r="T66" s="1048"/>
      <c r="U66" s="1048"/>
      <c r="V66" s="1718"/>
      <c r="W66" s="1047">
        <f t="shared" si="15"/>
        <v>0</v>
      </c>
      <c r="X66" s="1719"/>
      <c r="Y66" s="1123"/>
      <c r="Z66" s="1123"/>
      <c r="AA66" s="1123"/>
      <c r="AB66" s="1123"/>
      <c r="AC66" s="1122">
        <f t="shared" si="16"/>
        <v>0</v>
      </c>
      <c r="AD66" s="1733">
        <v>1092</v>
      </c>
      <c r="AE66" s="1734">
        <v>6.5</v>
      </c>
      <c r="AF66" s="1734">
        <v>201.5</v>
      </c>
      <c r="AG66" s="1734">
        <v>0</v>
      </c>
      <c r="AH66" s="1735">
        <v>0</v>
      </c>
      <c r="AI66" s="1045">
        <f t="shared" si="17"/>
        <v>1300</v>
      </c>
      <c r="AJ66" s="1746">
        <v>2399.17</v>
      </c>
      <c r="AK66" s="1053">
        <v>0</v>
      </c>
      <c r="AL66" s="1053">
        <v>599.79999999999995</v>
      </c>
      <c r="AM66" s="1053">
        <v>0</v>
      </c>
      <c r="AN66" s="1747">
        <v>0</v>
      </c>
      <c r="AO66" s="1057">
        <f t="shared" si="18"/>
        <v>2998.9700000000003</v>
      </c>
      <c r="AP66" s="1736"/>
      <c r="AQ66" s="1046"/>
      <c r="AR66" s="1046"/>
      <c r="AS66" s="1046"/>
      <c r="AT66" s="1046"/>
      <c r="AU66" s="1049">
        <f t="shared" si="19"/>
        <v>0</v>
      </c>
      <c r="AV66" s="1758"/>
      <c r="AW66" s="1050"/>
      <c r="AX66" s="1050"/>
      <c r="AY66" s="1050"/>
      <c r="AZ66" s="1050"/>
      <c r="BA66" s="1051">
        <f t="shared" si="20"/>
        <v>0</v>
      </c>
      <c r="BB66" s="1717">
        <v>30.4</v>
      </c>
      <c r="BC66" s="1048">
        <v>7.6</v>
      </c>
      <c r="BD66" s="1048">
        <v>0</v>
      </c>
      <c r="BE66" s="1048">
        <v>0</v>
      </c>
      <c r="BF66" s="1718">
        <v>0</v>
      </c>
      <c r="BG66" s="1047">
        <f t="shared" si="21"/>
        <v>38</v>
      </c>
      <c r="BH66" s="1746">
        <v>249.48</v>
      </c>
      <c r="BI66" s="1053">
        <v>450.52</v>
      </c>
      <c r="BJ66" s="1053">
        <v>0</v>
      </c>
      <c r="BK66" s="1053">
        <v>0</v>
      </c>
      <c r="BL66" s="1053">
        <v>0</v>
      </c>
      <c r="BM66" s="1054">
        <f t="shared" si="22"/>
        <v>700</v>
      </c>
      <c r="BN66" s="1746">
        <v>0</v>
      </c>
      <c r="BO66" s="1053">
        <v>0</v>
      </c>
      <c r="BP66" s="1053">
        <v>0</v>
      </c>
      <c r="BQ66" s="1053">
        <v>0</v>
      </c>
      <c r="BR66" s="1053">
        <v>0</v>
      </c>
      <c r="BS66" s="1054">
        <f t="shared" si="23"/>
        <v>0</v>
      </c>
      <c r="BT66" s="1744"/>
      <c r="BU66" s="1125"/>
      <c r="BV66" s="1125"/>
      <c r="BW66" s="1125"/>
      <c r="BX66" s="1745"/>
      <c r="BY66" s="1057">
        <f t="shared" si="24"/>
        <v>0</v>
      </c>
      <c r="BZ66" s="1744">
        <v>7269.15</v>
      </c>
      <c r="CA66" s="1125">
        <v>21544.38</v>
      </c>
      <c r="CB66" s="1125">
        <v>5285.16</v>
      </c>
      <c r="CC66" s="1125">
        <v>-0.05</v>
      </c>
      <c r="CD66" s="1745">
        <v>0</v>
      </c>
      <c r="CE66" s="1057">
        <f t="shared" si="25"/>
        <v>34098.639999999999</v>
      </c>
      <c r="CF66" s="1746"/>
      <c r="CG66" s="1053"/>
      <c r="CH66" s="1053"/>
      <c r="CI66" s="1053"/>
      <c r="CJ66" s="1747"/>
      <c r="CK66" s="1057">
        <f t="shared" si="26"/>
        <v>0</v>
      </c>
      <c r="CL66" s="1746"/>
      <c r="CM66" s="1053"/>
      <c r="CN66" s="1053"/>
      <c r="CO66" s="1053"/>
      <c r="CP66" s="1053"/>
      <c r="CQ66" s="1054">
        <f t="shared" si="27"/>
        <v>0</v>
      </c>
      <c r="CR66" s="1744"/>
      <c r="CS66" s="1125"/>
      <c r="CT66" s="1125"/>
      <c r="CU66" s="1125"/>
      <c r="CV66" s="1745"/>
      <c r="CW66" s="1057">
        <f t="shared" si="28"/>
        <v>0</v>
      </c>
      <c r="CX66" s="1744"/>
      <c r="CY66" s="1125"/>
      <c r="CZ66" s="1125"/>
      <c r="DA66" s="1125"/>
      <c r="DB66" s="1745"/>
      <c r="DC66" s="1054">
        <f t="shared" si="29"/>
        <v>0</v>
      </c>
      <c r="DD66" s="1744"/>
      <c r="DE66" s="1125"/>
      <c r="DF66" s="1125"/>
      <c r="DG66" s="1125"/>
      <c r="DH66" s="1745"/>
      <c r="DI66" s="1057">
        <f t="shared" si="30"/>
        <v>0</v>
      </c>
      <c r="DJ66" s="1744"/>
      <c r="DK66" s="1125"/>
      <c r="DL66" s="1125"/>
      <c r="DM66" s="1125"/>
      <c r="DN66" s="1125"/>
      <c r="DO66" s="1124">
        <f t="shared" si="31"/>
        <v>0</v>
      </c>
      <c r="DP66" s="1125"/>
      <c r="DQ66" s="1125"/>
      <c r="DR66" s="1125"/>
      <c r="DS66" s="1125"/>
      <c r="DT66" s="1125"/>
      <c r="DU66" s="1125">
        <f t="shared" si="34"/>
        <v>0</v>
      </c>
      <c r="DV66" s="1744">
        <v>3195.17</v>
      </c>
      <c r="DW66" s="1125">
        <v>2204.67</v>
      </c>
      <c r="DX66" s="1125">
        <v>990.5</v>
      </c>
      <c r="DY66" s="1125">
        <v>0</v>
      </c>
      <c r="DZ66" s="1745">
        <v>0</v>
      </c>
      <c r="EA66" s="1058">
        <f t="shared" si="32"/>
        <v>6390.34</v>
      </c>
      <c r="EB66" s="1744">
        <v>4057.06</v>
      </c>
      <c r="EC66" s="1125">
        <v>0</v>
      </c>
      <c r="ED66" s="1125">
        <v>744.2</v>
      </c>
      <c r="EE66" s="1125">
        <v>-0.01</v>
      </c>
      <c r="EF66" s="1745">
        <v>0</v>
      </c>
      <c r="EG66" s="1057">
        <f t="shared" si="33"/>
        <v>4801.25</v>
      </c>
    </row>
    <row r="67" spans="1:137" ht="15" customHeight="1" x14ac:dyDescent="0.25">
      <c r="A67" s="719" t="s">
        <v>162</v>
      </c>
      <c r="B67" s="816" t="s">
        <v>163</v>
      </c>
      <c r="C67" s="917" t="s">
        <v>264</v>
      </c>
      <c r="D67" s="814">
        <f t="shared" si="6"/>
        <v>56129.369999999995</v>
      </c>
      <c r="E67" s="814">
        <f t="shared" si="7"/>
        <v>21993.87</v>
      </c>
      <c r="F67" s="814">
        <f t="shared" si="8"/>
        <v>16527.95</v>
      </c>
      <c r="G67" s="814">
        <f t="shared" si="9"/>
        <v>-0.08</v>
      </c>
      <c r="H67" s="814">
        <f t="shared" si="10"/>
        <v>0</v>
      </c>
      <c r="I67" s="1422">
        <f t="shared" si="11"/>
        <v>94651.109999999986</v>
      </c>
      <c r="J67" s="815">
        <f t="shared" si="12"/>
        <v>-0.08</v>
      </c>
      <c r="K67" s="1423">
        <f t="shared" si="13"/>
        <v>16527.87</v>
      </c>
      <c r="L67" s="1724"/>
      <c r="M67" s="1725"/>
      <c r="N67" s="1725"/>
      <c r="O67" s="1725"/>
      <c r="P67" s="1726"/>
      <c r="Q67" s="1044">
        <f t="shared" si="14"/>
        <v>0</v>
      </c>
      <c r="R67" s="1717"/>
      <c r="S67" s="1048"/>
      <c r="T67" s="1048"/>
      <c r="U67" s="1048"/>
      <c r="V67" s="1718"/>
      <c r="W67" s="1047">
        <f t="shared" si="15"/>
        <v>0</v>
      </c>
      <c r="X67" s="1719"/>
      <c r="Y67" s="1123"/>
      <c r="Z67" s="1123"/>
      <c r="AA67" s="1123"/>
      <c r="AB67" s="1123"/>
      <c r="AC67" s="1122">
        <f t="shared" si="16"/>
        <v>0</v>
      </c>
      <c r="AD67" s="1733">
        <v>1264.19</v>
      </c>
      <c r="AE67" s="1734">
        <v>7.54</v>
      </c>
      <c r="AF67" s="1734">
        <v>233.29</v>
      </c>
      <c r="AG67" s="1734">
        <v>-0.02</v>
      </c>
      <c r="AH67" s="1735">
        <v>0</v>
      </c>
      <c r="AI67" s="1045">
        <f t="shared" si="17"/>
        <v>1505</v>
      </c>
      <c r="AJ67" s="1744">
        <v>29523.24</v>
      </c>
      <c r="AK67" s="1125">
        <v>0</v>
      </c>
      <c r="AL67" s="1125">
        <v>7380.79</v>
      </c>
      <c r="AM67" s="1125">
        <v>0</v>
      </c>
      <c r="AN67" s="1745">
        <v>0</v>
      </c>
      <c r="AO67" s="1057">
        <f t="shared" si="18"/>
        <v>36904.03</v>
      </c>
      <c r="AP67" s="1736"/>
      <c r="AQ67" s="1046"/>
      <c r="AR67" s="1046"/>
      <c r="AS67" s="1046"/>
      <c r="AT67" s="1046"/>
      <c r="AU67" s="1049">
        <f t="shared" si="19"/>
        <v>0</v>
      </c>
      <c r="AV67" s="1758">
        <v>86.42</v>
      </c>
      <c r="AW67" s="1050">
        <v>21.61</v>
      </c>
      <c r="AX67" s="1050">
        <v>0</v>
      </c>
      <c r="AY67" s="1050">
        <v>0</v>
      </c>
      <c r="AZ67" s="1050">
        <v>0</v>
      </c>
      <c r="BA67" s="1051">
        <f t="shared" si="20"/>
        <v>108.03</v>
      </c>
      <c r="BB67" s="1764">
        <v>1622.66</v>
      </c>
      <c r="BC67" s="1765">
        <v>405.67</v>
      </c>
      <c r="BD67" s="1765">
        <v>0</v>
      </c>
      <c r="BE67" s="1765">
        <v>0</v>
      </c>
      <c r="BF67" s="1766">
        <v>0</v>
      </c>
      <c r="BG67" s="1047">
        <f t="shared" si="21"/>
        <v>2028.3300000000002</v>
      </c>
      <c r="BH67" s="1744">
        <v>187.11</v>
      </c>
      <c r="BI67" s="1125">
        <v>337.89</v>
      </c>
      <c r="BJ67" s="1125">
        <v>0</v>
      </c>
      <c r="BK67" s="1125">
        <v>0</v>
      </c>
      <c r="BL67" s="1745">
        <v>0</v>
      </c>
      <c r="BM67" s="1054">
        <f t="shared" si="22"/>
        <v>525</v>
      </c>
      <c r="BN67" s="1744">
        <v>179.99</v>
      </c>
      <c r="BO67" s="1125">
        <v>22.8</v>
      </c>
      <c r="BP67" s="1125">
        <v>37.200000000000003</v>
      </c>
      <c r="BQ67" s="1125">
        <v>0</v>
      </c>
      <c r="BR67" s="1745">
        <v>0</v>
      </c>
      <c r="BS67" s="1054">
        <f t="shared" si="23"/>
        <v>239.99</v>
      </c>
      <c r="BT67" s="1744"/>
      <c r="BU67" s="1125"/>
      <c r="BV67" s="1125"/>
      <c r="BW67" s="1125"/>
      <c r="BX67" s="1745"/>
      <c r="BY67" s="1057">
        <f t="shared" si="24"/>
        <v>0</v>
      </c>
      <c r="BZ67" s="1744">
        <v>6892.78</v>
      </c>
      <c r="CA67" s="1125">
        <v>20713.48</v>
      </c>
      <c r="CB67" s="1125">
        <v>5063.71</v>
      </c>
      <c r="CC67" s="1125">
        <v>-0.06</v>
      </c>
      <c r="CD67" s="1745">
        <v>0</v>
      </c>
      <c r="CE67" s="1057">
        <f t="shared" si="25"/>
        <v>32669.909999999996</v>
      </c>
      <c r="CF67" s="1744">
        <v>478.93</v>
      </c>
      <c r="CG67" s="1125">
        <v>0</v>
      </c>
      <c r="CH67" s="1125">
        <v>808.53</v>
      </c>
      <c r="CI67" s="1125">
        <v>0</v>
      </c>
      <c r="CJ67" s="1745">
        <v>0</v>
      </c>
      <c r="CK67" s="1057">
        <f t="shared" si="26"/>
        <v>1287.46</v>
      </c>
      <c r="CL67" s="1746"/>
      <c r="CM67" s="1053"/>
      <c r="CN67" s="1053"/>
      <c r="CO67" s="1053"/>
      <c r="CP67" s="1053"/>
      <c r="CQ67" s="1054">
        <f t="shared" si="27"/>
        <v>0</v>
      </c>
      <c r="CR67" s="1744"/>
      <c r="CS67" s="1125"/>
      <c r="CT67" s="1125"/>
      <c r="CU67" s="1125"/>
      <c r="CV67" s="1745"/>
      <c r="CW67" s="1057">
        <f t="shared" si="28"/>
        <v>0</v>
      </c>
      <c r="CX67" s="1746"/>
      <c r="CY67" s="1053"/>
      <c r="CZ67" s="1053"/>
      <c r="DA67" s="1053"/>
      <c r="DB67" s="1053"/>
      <c r="DC67" s="1054">
        <f t="shared" si="29"/>
        <v>0</v>
      </c>
      <c r="DD67" s="1744"/>
      <c r="DE67" s="1125"/>
      <c r="DF67" s="1125"/>
      <c r="DG67" s="1125"/>
      <c r="DH67" s="1745"/>
      <c r="DI67" s="1057">
        <f t="shared" si="30"/>
        <v>0</v>
      </c>
      <c r="DJ67" s="1744"/>
      <c r="DK67" s="1125"/>
      <c r="DL67" s="1125"/>
      <c r="DM67" s="1125"/>
      <c r="DN67" s="1125"/>
      <c r="DO67" s="1124">
        <f t="shared" si="31"/>
        <v>0</v>
      </c>
      <c r="DP67" s="1125"/>
      <c r="DQ67" s="1125"/>
      <c r="DR67" s="1125"/>
      <c r="DS67" s="1125"/>
      <c r="DT67" s="1125"/>
      <c r="DU67" s="1125">
        <f t="shared" si="34"/>
        <v>0</v>
      </c>
      <c r="DV67" s="1744">
        <v>702.75</v>
      </c>
      <c r="DW67" s="1125">
        <v>484.88</v>
      </c>
      <c r="DX67" s="1125">
        <v>217.87</v>
      </c>
      <c r="DY67" s="1125">
        <v>-0.02</v>
      </c>
      <c r="DZ67" s="1745">
        <v>0</v>
      </c>
      <c r="EA67" s="1058">
        <f t="shared" si="32"/>
        <v>1405.48</v>
      </c>
      <c r="EB67" s="1744">
        <v>15191.3</v>
      </c>
      <c r="EC67" s="1125">
        <v>0</v>
      </c>
      <c r="ED67" s="1125">
        <v>2786.56</v>
      </c>
      <c r="EE67" s="1125">
        <v>0.02</v>
      </c>
      <c r="EF67" s="1745">
        <v>0</v>
      </c>
      <c r="EG67" s="1057">
        <f t="shared" si="33"/>
        <v>17977.88</v>
      </c>
    </row>
    <row r="68" spans="1:137" ht="15" customHeight="1" x14ac:dyDescent="0.25">
      <c r="A68" s="719" t="s">
        <v>164</v>
      </c>
      <c r="B68" s="816" t="s">
        <v>165</v>
      </c>
      <c r="C68" s="917" t="s">
        <v>266</v>
      </c>
      <c r="D68" s="814">
        <f t="shared" si="6"/>
        <v>33794.300000000003</v>
      </c>
      <c r="E68" s="814">
        <f t="shared" si="7"/>
        <v>7844.7000000000007</v>
      </c>
      <c r="F68" s="814">
        <f t="shared" si="8"/>
        <v>8294.9499999999989</v>
      </c>
      <c r="G68" s="814">
        <f t="shared" si="9"/>
        <v>-3.0000000000000006E-2</v>
      </c>
      <c r="H68" s="814">
        <f t="shared" si="10"/>
        <v>0</v>
      </c>
      <c r="I68" s="1422">
        <f t="shared" si="11"/>
        <v>49933.919999999998</v>
      </c>
      <c r="J68" s="815">
        <f t="shared" si="12"/>
        <v>-3.0000000000000006E-2</v>
      </c>
      <c r="K68" s="1423">
        <f t="shared" si="13"/>
        <v>8294.9199999999983</v>
      </c>
      <c r="L68" s="1723"/>
      <c r="M68" s="1043"/>
      <c r="N68" s="1043"/>
      <c r="O68" s="1043"/>
      <c r="P68" s="1043"/>
      <c r="Q68" s="1044">
        <f t="shared" si="14"/>
        <v>0</v>
      </c>
      <c r="R68" s="1717"/>
      <c r="S68" s="1048"/>
      <c r="T68" s="1048"/>
      <c r="U68" s="1048"/>
      <c r="V68" s="1718"/>
      <c r="W68" s="1047">
        <f t="shared" si="15"/>
        <v>0</v>
      </c>
      <c r="X68" s="1719"/>
      <c r="Y68" s="1123"/>
      <c r="Z68" s="1123"/>
      <c r="AA68" s="1123"/>
      <c r="AB68" s="1123"/>
      <c r="AC68" s="1122">
        <f t="shared" si="16"/>
        <v>0</v>
      </c>
      <c r="AD68" s="1733">
        <v>3570</v>
      </c>
      <c r="AE68" s="1734">
        <v>21.25</v>
      </c>
      <c r="AF68" s="1734">
        <v>658.75</v>
      </c>
      <c r="AG68" s="1734">
        <v>0</v>
      </c>
      <c r="AH68" s="1735">
        <v>0</v>
      </c>
      <c r="AI68" s="1045">
        <f t="shared" si="17"/>
        <v>4250</v>
      </c>
      <c r="AJ68" s="1744">
        <v>11218.03</v>
      </c>
      <c r="AK68" s="1125">
        <v>0</v>
      </c>
      <c r="AL68" s="1125">
        <v>2804.49</v>
      </c>
      <c r="AM68" s="1125">
        <v>0</v>
      </c>
      <c r="AN68" s="1745">
        <v>0</v>
      </c>
      <c r="AO68" s="1057">
        <f t="shared" si="18"/>
        <v>14022.52</v>
      </c>
      <c r="AP68" s="1736"/>
      <c r="AQ68" s="1046"/>
      <c r="AR68" s="1046"/>
      <c r="AS68" s="1046"/>
      <c r="AT68" s="1046"/>
      <c r="AU68" s="1049">
        <f t="shared" si="19"/>
        <v>0</v>
      </c>
      <c r="AV68" s="1758"/>
      <c r="AW68" s="1050"/>
      <c r="AX68" s="1050"/>
      <c r="AY68" s="1050"/>
      <c r="AZ68" s="1050"/>
      <c r="BA68" s="1051">
        <f t="shared" si="20"/>
        <v>0</v>
      </c>
      <c r="BB68" s="1764">
        <v>306.39999999999998</v>
      </c>
      <c r="BC68" s="1765">
        <v>76.599999999999994</v>
      </c>
      <c r="BD68" s="1765">
        <v>0</v>
      </c>
      <c r="BE68" s="1765">
        <v>0</v>
      </c>
      <c r="BF68" s="1766">
        <v>0</v>
      </c>
      <c r="BG68" s="1047">
        <f t="shared" si="21"/>
        <v>383</v>
      </c>
      <c r="BH68" s="1744">
        <v>156.81</v>
      </c>
      <c r="BI68" s="1125">
        <v>283.19</v>
      </c>
      <c r="BJ68" s="1125">
        <v>0</v>
      </c>
      <c r="BK68" s="1125">
        <v>0</v>
      </c>
      <c r="BL68" s="1745">
        <v>0</v>
      </c>
      <c r="BM68" s="1054">
        <f t="shared" si="22"/>
        <v>440</v>
      </c>
      <c r="BN68" s="1744">
        <v>13500.01</v>
      </c>
      <c r="BO68" s="1125">
        <v>1710.01</v>
      </c>
      <c r="BP68" s="1125">
        <v>2790.02</v>
      </c>
      <c r="BQ68" s="1125">
        <v>-0.04</v>
      </c>
      <c r="BR68" s="1745">
        <v>0</v>
      </c>
      <c r="BS68" s="1054">
        <f t="shared" si="23"/>
        <v>18000</v>
      </c>
      <c r="BT68" s="1744"/>
      <c r="BU68" s="1125"/>
      <c r="BV68" s="1125"/>
      <c r="BW68" s="1125"/>
      <c r="BX68" s="1745"/>
      <c r="BY68" s="1057">
        <f t="shared" si="24"/>
        <v>0</v>
      </c>
      <c r="BZ68" s="1744">
        <v>1136.97</v>
      </c>
      <c r="CA68" s="1125">
        <v>3039.4</v>
      </c>
      <c r="CB68" s="1125">
        <v>766.06</v>
      </c>
      <c r="CC68" s="1125">
        <v>-0.03</v>
      </c>
      <c r="CD68" s="1745">
        <v>0</v>
      </c>
      <c r="CE68" s="1057">
        <f t="shared" si="25"/>
        <v>4942.4000000000005</v>
      </c>
      <c r="CF68" s="1746"/>
      <c r="CG68" s="1053"/>
      <c r="CH68" s="1053"/>
      <c r="CI68" s="1053"/>
      <c r="CJ68" s="1747"/>
      <c r="CK68" s="1057">
        <f t="shared" si="26"/>
        <v>0</v>
      </c>
      <c r="CL68" s="1746"/>
      <c r="CM68" s="1053"/>
      <c r="CN68" s="1053"/>
      <c r="CO68" s="1053"/>
      <c r="CP68" s="1053"/>
      <c r="CQ68" s="1054">
        <f t="shared" si="27"/>
        <v>0</v>
      </c>
      <c r="CR68" s="1744"/>
      <c r="CS68" s="1125"/>
      <c r="CT68" s="1125"/>
      <c r="CU68" s="1125"/>
      <c r="CV68" s="1745"/>
      <c r="CW68" s="1057">
        <f t="shared" si="28"/>
        <v>0</v>
      </c>
      <c r="CX68" s="1746"/>
      <c r="CY68" s="1053"/>
      <c r="CZ68" s="1053"/>
      <c r="DA68" s="1053"/>
      <c r="DB68" s="1053"/>
      <c r="DC68" s="1054">
        <f t="shared" si="29"/>
        <v>0</v>
      </c>
      <c r="DD68" s="1744"/>
      <c r="DE68" s="1125"/>
      <c r="DF68" s="1125"/>
      <c r="DG68" s="1125"/>
      <c r="DH68" s="1745"/>
      <c r="DI68" s="1057">
        <f t="shared" si="30"/>
        <v>0</v>
      </c>
      <c r="DJ68" s="1744">
        <v>-70</v>
      </c>
      <c r="DK68" s="1125">
        <v>0</v>
      </c>
      <c r="DL68" s="1125">
        <v>0</v>
      </c>
      <c r="DM68" s="1125">
        <v>0</v>
      </c>
      <c r="DN68" s="1125">
        <v>0</v>
      </c>
      <c r="DO68" s="1124">
        <f t="shared" si="31"/>
        <v>-70</v>
      </c>
      <c r="DP68" s="1125">
        <v>-132</v>
      </c>
      <c r="DQ68" s="1125">
        <v>-132</v>
      </c>
      <c r="DR68" s="1125">
        <v>0</v>
      </c>
      <c r="DS68" s="1125">
        <v>0</v>
      </c>
      <c r="DT68" s="1125">
        <v>0</v>
      </c>
      <c r="DU68" s="1125">
        <f t="shared" si="34"/>
        <v>-264</v>
      </c>
      <c r="DV68" s="1744">
        <v>4125</v>
      </c>
      <c r="DW68" s="1125">
        <v>2846.25</v>
      </c>
      <c r="DX68" s="1125">
        <v>1278.75</v>
      </c>
      <c r="DY68" s="1125">
        <v>0</v>
      </c>
      <c r="DZ68" s="1745">
        <v>0</v>
      </c>
      <c r="EA68" s="1058">
        <f t="shared" si="32"/>
        <v>8250</v>
      </c>
      <c r="EB68" s="1746">
        <v>-16.920000000000002</v>
      </c>
      <c r="EC68" s="1053">
        <v>0</v>
      </c>
      <c r="ED68" s="1053">
        <v>-3.12</v>
      </c>
      <c r="EE68" s="1053">
        <v>0.04</v>
      </c>
      <c r="EF68" s="1747">
        <v>0</v>
      </c>
      <c r="EG68" s="1057">
        <f t="shared" si="33"/>
        <v>-20.000000000000004</v>
      </c>
    </row>
    <row r="69" spans="1:137" ht="15" customHeight="1" x14ac:dyDescent="0.25">
      <c r="A69" s="719" t="s">
        <v>168</v>
      </c>
      <c r="B69" s="816" t="s">
        <v>169</v>
      </c>
      <c r="C69" s="917" t="s">
        <v>266</v>
      </c>
      <c r="D69" s="814">
        <f t="shared" si="6"/>
        <v>47685.33</v>
      </c>
      <c r="E69" s="814">
        <f t="shared" si="7"/>
        <v>64620.76</v>
      </c>
      <c r="F69" s="814">
        <f t="shared" si="8"/>
        <v>21381.77</v>
      </c>
      <c r="G69" s="814">
        <f t="shared" si="9"/>
        <v>-0.06</v>
      </c>
      <c r="H69" s="814">
        <f t="shared" si="10"/>
        <v>0</v>
      </c>
      <c r="I69" s="1422">
        <f t="shared" si="11"/>
        <v>133687.79999999999</v>
      </c>
      <c r="J69" s="815">
        <f t="shared" si="12"/>
        <v>-0.06</v>
      </c>
      <c r="K69" s="1423">
        <f t="shared" si="13"/>
        <v>21381.71</v>
      </c>
      <c r="L69" s="1723"/>
      <c r="M69" s="1043"/>
      <c r="N69" s="1043"/>
      <c r="O69" s="1043"/>
      <c r="P69" s="1043"/>
      <c r="Q69" s="1044">
        <f t="shared" si="14"/>
        <v>0</v>
      </c>
      <c r="R69" s="1717"/>
      <c r="S69" s="1048"/>
      <c r="T69" s="1048"/>
      <c r="U69" s="1048"/>
      <c r="V69" s="1718"/>
      <c r="W69" s="1047">
        <f t="shared" si="15"/>
        <v>0</v>
      </c>
      <c r="X69" s="1719"/>
      <c r="Y69" s="1123"/>
      <c r="Z69" s="1123"/>
      <c r="AA69" s="1123"/>
      <c r="AB69" s="1123"/>
      <c r="AC69" s="1122">
        <f t="shared" si="16"/>
        <v>0</v>
      </c>
      <c r="AD69" s="1733">
        <v>843.58</v>
      </c>
      <c r="AE69" s="1734">
        <v>5.0199999999999996</v>
      </c>
      <c r="AF69" s="1734">
        <v>155.66</v>
      </c>
      <c r="AG69" s="1734">
        <v>0</v>
      </c>
      <c r="AH69" s="1735">
        <v>0</v>
      </c>
      <c r="AI69" s="1045">
        <f t="shared" si="17"/>
        <v>1004.26</v>
      </c>
      <c r="AJ69" s="1744">
        <v>19104.38</v>
      </c>
      <c r="AK69" s="1125">
        <v>0</v>
      </c>
      <c r="AL69" s="1125">
        <v>4776.12</v>
      </c>
      <c r="AM69" s="1125">
        <v>0</v>
      </c>
      <c r="AN69" s="1745">
        <v>0</v>
      </c>
      <c r="AO69" s="1057">
        <f t="shared" si="18"/>
        <v>23880.5</v>
      </c>
      <c r="AP69" s="1736"/>
      <c r="AQ69" s="1046"/>
      <c r="AR69" s="1046"/>
      <c r="AS69" s="1046"/>
      <c r="AT69" s="1046"/>
      <c r="AU69" s="1049">
        <f t="shared" si="19"/>
        <v>0</v>
      </c>
      <c r="AV69" s="1758"/>
      <c r="AW69" s="1050"/>
      <c r="AX69" s="1050"/>
      <c r="AY69" s="1050"/>
      <c r="AZ69" s="1050"/>
      <c r="BA69" s="1051">
        <f t="shared" si="20"/>
        <v>0</v>
      </c>
      <c r="BB69" s="1764">
        <v>2137.5</v>
      </c>
      <c r="BC69" s="1765">
        <v>534.36</v>
      </c>
      <c r="BD69" s="1765">
        <v>0</v>
      </c>
      <c r="BE69" s="1765">
        <v>0</v>
      </c>
      <c r="BF69" s="1766">
        <v>0</v>
      </c>
      <c r="BG69" s="1047">
        <f t="shared" si="21"/>
        <v>2671.86</v>
      </c>
      <c r="BH69" s="1746"/>
      <c r="BI69" s="1053"/>
      <c r="BJ69" s="1053"/>
      <c r="BK69" s="1053"/>
      <c r="BL69" s="1053"/>
      <c r="BM69" s="1054">
        <f t="shared" si="22"/>
        <v>0</v>
      </c>
      <c r="BN69" s="1746">
        <v>6000.62</v>
      </c>
      <c r="BO69" s="1053">
        <v>760.08</v>
      </c>
      <c r="BP69" s="1053">
        <v>1240.1300000000001</v>
      </c>
      <c r="BQ69" s="1053">
        <v>0</v>
      </c>
      <c r="BR69" s="1053">
        <v>0</v>
      </c>
      <c r="BS69" s="1054">
        <f t="shared" si="23"/>
        <v>8000.83</v>
      </c>
      <c r="BT69" s="1744"/>
      <c r="BU69" s="1125"/>
      <c r="BV69" s="1125"/>
      <c r="BW69" s="1125"/>
      <c r="BX69" s="1745"/>
      <c r="BY69" s="1057">
        <f t="shared" si="24"/>
        <v>0</v>
      </c>
      <c r="BZ69" s="1744">
        <v>18718</v>
      </c>
      <c r="CA69" s="1125">
        <v>63321.3</v>
      </c>
      <c r="CB69" s="1125">
        <v>15048.24</v>
      </c>
      <c r="CC69" s="1125">
        <v>-0.11</v>
      </c>
      <c r="CD69" s="1745">
        <v>0</v>
      </c>
      <c r="CE69" s="1057">
        <f t="shared" si="25"/>
        <v>97087.430000000008</v>
      </c>
      <c r="CF69" s="1746"/>
      <c r="CG69" s="1053"/>
      <c r="CH69" s="1053"/>
      <c r="CI69" s="1053"/>
      <c r="CJ69" s="1747"/>
      <c r="CK69" s="1057">
        <f t="shared" si="26"/>
        <v>0</v>
      </c>
      <c r="CL69" s="1746"/>
      <c r="CM69" s="1053"/>
      <c r="CN69" s="1053"/>
      <c r="CO69" s="1053"/>
      <c r="CP69" s="1053"/>
      <c r="CQ69" s="1054">
        <f t="shared" si="27"/>
        <v>0</v>
      </c>
      <c r="CR69" s="1746"/>
      <c r="CS69" s="1053"/>
      <c r="CT69" s="1053"/>
      <c r="CU69" s="1053"/>
      <c r="CV69" s="1747"/>
      <c r="CW69" s="1057">
        <f t="shared" si="28"/>
        <v>0</v>
      </c>
      <c r="CX69" s="1744"/>
      <c r="CY69" s="1125"/>
      <c r="CZ69" s="1125"/>
      <c r="DA69" s="1125"/>
      <c r="DB69" s="1745"/>
      <c r="DC69" s="1054">
        <f t="shared" si="29"/>
        <v>0</v>
      </c>
      <c r="DD69" s="1744"/>
      <c r="DE69" s="1125"/>
      <c r="DF69" s="1125"/>
      <c r="DG69" s="1125"/>
      <c r="DH69" s="1745"/>
      <c r="DI69" s="1057">
        <f t="shared" si="30"/>
        <v>0</v>
      </c>
      <c r="DJ69" s="1744"/>
      <c r="DK69" s="1125"/>
      <c r="DL69" s="1125"/>
      <c r="DM69" s="1125"/>
      <c r="DN69" s="1125"/>
      <c r="DO69" s="1124">
        <f t="shared" si="31"/>
        <v>0</v>
      </c>
      <c r="DP69" s="1125"/>
      <c r="DQ69" s="1125"/>
      <c r="DR69" s="1125"/>
      <c r="DS69" s="1125"/>
      <c r="DT69" s="1125"/>
      <c r="DU69" s="1125">
        <f t="shared" si="34"/>
        <v>0</v>
      </c>
      <c r="DV69" s="1744">
        <v>0</v>
      </c>
      <c r="DW69" s="1125">
        <v>0</v>
      </c>
      <c r="DX69" s="1125">
        <v>0</v>
      </c>
      <c r="DY69" s="1125">
        <v>0</v>
      </c>
      <c r="DZ69" s="1745">
        <v>0</v>
      </c>
      <c r="EA69" s="1058">
        <f t="shared" si="32"/>
        <v>0</v>
      </c>
      <c r="EB69" s="1744">
        <v>881.25</v>
      </c>
      <c r="EC69" s="1125">
        <v>0</v>
      </c>
      <c r="ED69" s="1125">
        <v>161.62</v>
      </c>
      <c r="EE69" s="1125">
        <v>0.05</v>
      </c>
      <c r="EF69" s="1745">
        <v>0</v>
      </c>
      <c r="EG69" s="1057">
        <f t="shared" si="33"/>
        <v>1042.9199999999998</v>
      </c>
    </row>
    <row r="70" spans="1:137" ht="15" customHeight="1" x14ac:dyDescent="0.25">
      <c r="A70" s="719" t="s">
        <v>170</v>
      </c>
      <c r="B70" s="816" t="s">
        <v>171</v>
      </c>
      <c r="C70" s="917" t="s">
        <v>267</v>
      </c>
      <c r="D70" s="814">
        <f t="shared" ref="D70:D124" si="35">L70+R70+X70+AD70+AJ70+AP70+AV70+BB70+BH70+BN70+BT70+BZ70+CF70+CL70+CR70+CX70+DD70+DJ70+DP70+DV70+EB70</f>
        <v>26580.49</v>
      </c>
      <c r="E70" s="814">
        <f t="shared" ref="E70:E124" si="36">M70+S70+Y70+AE70+AK70+AQ70+AW70+BC70+BI70+BO70+BU70+CA70+CG70+CM70+CS70+CY70+DE70+DK70+DQ70+DW70+EC70</f>
        <v>20511.52</v>
      </c>
      <c r="F70" s="814">
        <f t="shared" ref="F70:F124" si="37">N70+T70+Z70+AF70+AL70+AR70+AX70+BD70+BJ70+BP70+BV70+CB70+CH70+CN70+CT70+CZ70+DF70+DL70+DR70+DX70+ED70</f>
        <v>12687.1</v>
      </c>
      <c r="G70" s="814">
        <f t="shared" ref="G70:G124" si="38">O70+U70+AA70+AG70+AM70+AS70+AY70+BE70+BK70+BQ70+BW70+CC70+CI70+CO70+CU70+DA70+DG70+DM70+DS70+DY70+EE70</f>
        <v>219.87</v>
      </c>
      <c r="H70" s="814">
        <f t="shared" ref="H70:H124" si="39">P70+V70+AB70+AH70+AN70+AT70+AZ70+BF70+BL70+BR70+BX70+CD70+CJ70+CP70+CV70+DB70+DH70+DN70+DT70+DZ70+EF70</f>
        <v>551.4</v>
      </c>
      <c r="I70" s="1422">
        <f t="shared" ref="I70:I124" si="40">SUM(D70:H70)</f>
        <v>60550.380000000005</v>
      </c>
      <c r="J70" s="815">
        <f t="shared" ref="J70:J124" si="41">G70+H70</f>
        <v>771.27</v>
      </c>
      <c r="K70" s="1423">
        <f t="shared" ref="K70:K124" si="42">F70+J70</f>
        <v>13458.37</v>
      </c>
      <c r="L70" s="1723"/>
      <c r="M70" s="1043"/>
      <c r="N70" s="1043"/>
      <c r="O70" s="1043"/>
      <c r="P70" s="1043"/>
      <c r="Q70" s="1044">
        <f t="shared" ref="Q70:Q124" si="43">SUM(L70:P70)</f>
        <v>0</v>
      </c>
      <c r="R70" s="1717"/>
      <c r="S70" s="1048"/>
      <c r="T70" s="1048"/>
      <c r="U70" s="1048"/>
      <c r="V70" s="1718"/>
      <c r="W70" s="1047">
        <f t="shared" ref="W70:W124" si="44">SUM(R70:V70)</f>
        <v>0</v>
      </c>
      <c r="X70" s="1719"/>
      <c r="Y70" s="1123"/>
      <c r="Z70" s="1123"/>
      <c r="AA70" s="1123"/>
      <c r="AB70" s="1123"/>
      <c r="AC70" s="1122">
        <f t="shared" ref="AC70:AC124" si="45">SUM(X70:AB70)</f>
        <v>0</v>
      </c>
      <c r="AD70" s="1733">
        <v>441</v>
      </c>
      <c r="AE70" s="1734">
        <v>2.63</v>
      </c>
      <c r="AF70" s="1734">
        <v>81.38</v>
      </c>
      <c r="AG70" s="1734">
        <v>-0.01</v>
      </c>
      <c r="AH70" s="1735">
        <v>0</v>
      </c>
      <c r="AI70" s="1045">
        <f t="shared" ref="AI70:AI124" si="46">SUM(AD70:AH70)</f>
        <v>525</v>
      </c>
      <c r="AJ70" s="1744">
        <v>1540</v>
      </c>
      <c r="AK70" s="1125">
        <v>0</v>
      </c>
      <c r="AL70" s="1125">
        <v>385</v>
      </c>
      <c r="AM70" s="1125">
        <v>220</v>
      </c>
      <c r="AN70" s="1745">
        <v>0</v>
      </c>
      <c r="AO70" s="1057">
        <f t="shared" ref="AO70:AO124" si="47">SUM(AJ70:AN70)</f>
        <v>2145</v>
      </c>
      <c r="AP70" s="1736"/>
      <c r="AQ70" s="1046"/>
      <c r="AR70" s="1046"/>
      <c r="AS70" s="1046"/>
      <c r="AT70" s="1046"/>
      <c r="AU70" s="1049">
        <f t="shared" ref="AU70:AU124" si="48">SUM(AP70:AT70)</f>
        <v>0</v>
      </c>
      <c r="AV70" s="1758"/>
      <c r="AW70" s="1050"/>
      <c r="AX70" s="1050"/>
      <c r="AY70" s="1050"/>
      <c r="AZ70" s="1050"/>
      <c r="BA70" s="1051">
        <f t="shared" ref="BA70:BA124" si="49">SUM(AV70:AZ70)</f>
        <v>0</v>
      </c>
      <c r="BB70" s="1764">
        <v>3266.23</v>
      </c>
      <c r="BC70" s="1765">
        <v>816.56</v>
      </c>
      <c r="BD70" s="1765">
        <v>0</v>
      </c>
      <c r="BE70" s="1765">
        <v>0</v>
      </c>
      <c r="BF70" s="1766">
        <v>0</v>
      </c>
      <c r="BG70" s="1047">
        <f t="shared" ref="BG70:BG124" si="50">SUM(BB70:BF70)</f>
        <v>4082.79</v>
      </c>
      <c r="BH70" s="1744">
        <v>641.52</v>
      </c>
      <c r="BI70" s="1125">
        <v>1158.48</v>
      </c>
      <c r="BJ70" s="1125">
        <v>0</v>
      </c>
      <c r="BK70" s="1125">
        <v>0</v>
      </c>
      <c r="BL70" s="1745">
        <v>551.4</v>
      </c>
      <c r="BM70" s="1054">
        <f t="shared" ref="BM70:BM124" si="51">SUM(BH70:BL70)</f>
        <v>2351.4</v>
      </c>
      <c r="BN70" s="1744">
        <v>11913.35</v>
      </c>
      <c r="BO70" s="1125">
        <v>1509.04</v>
      </c>
      <c r="BP70" s="1125">
        <v>2462.11</v>
      </c>
      <c r="BQ70" s="1125">
        <v>-0.05</v>
      </c>
      <c r="BR70" s="1745">
        <v>0</v>
      </c>
      <c r="BS70" s="1054">
        <f t="shared" ref="BS70:BS124" si="52">SUM(BN70:BR70)</f>
        <v>15884.45</v>
      </c>
      <c r="BT70" s="1744">
        <v>-8</v>
      </c>
      <c r="BU70" s="1125">
        <v>-8</v>
      </c>
      <c r="BV70" s="1125">
        <v>0</v>
      </c>
      <c r="BW70" s="1125">
        <v>0</v>
      </c>
      <c r="BX70" s="1745">
        <v>0</v>
      </c>
      <c r="BY70" s="1057">
        <f t="shared" ref="BY70:BY124" si="53">SUM(BT70:BX70)</f>
        <v>-16</v>
      </c>
      <c r="BZ70" s="1744">
        <v>8365.26</v>
      </c>
      <c r="CA70" s="1125">
        <v>17032.810000000001</v>
      </c>
      <c r="CB70" s="1125">
        <v>4658.66</v>
      </c>
      <c r="CC70" s="1125">
        <v>-0.06</v>
      </c>
      <c r="CD70" s="1745">
        <v>0</v>
      </c>
      <c r="CE70" s="1057">
        <f t="shared" ref="CE70:CE124" si="54">SUM(BZ70:CD70)</f>
        <v>30056.67</v>
      </c>
      <c r="CF70" s="1744">
        <v>2688.43</v>
      </c>
      <c r="CG70" s="1125">
        <v>0</v>
      </c>
      <c r="CH70" s="1125">
        <v>4538.53</v>
      </c>
      <c r="CI70" s="1125">
        <v>-0.01</v>
      </c>
      <c r="CJ70" s="1745">
        <v>0</v>
      </c>
      <c r="CK70" s="1057">
        <f t="shared" ref="CK70:CK124" si="55">SUM(CF70:CJ70)</f>
        <v>7226.9499999999989</v>
      </c>
      <c r="CL70" s="1746"/>
      <c r="CM70" s="1053"/>
      <c r="CN70" s="1053"/>
      <c r="CO70" s="1053"/>
      <c r="CP70" s="1053"/>
      <c r="CQ70" s="1054">
        <f t="shared" ref="CQ70:CQ124" si="56">SUM(CL70:CP70)</f>
        <v>0</v>
      </c>
      <c r="CR70" s="1744"/>
      <c r="CS70" s="1125"/>
      <c r="CT70" s="1125"/>
      <c r="CU70" s="1125"/>
      <c r="CV70" s="1745"/>
      <c r="CW70" s="1057">
        <f t="shared" ref="CW70:CW124" si="57">SUM(CR70:CV70)</f>
        <v>0</v>
      </c>
      <c r="CX70" s="1746"/>
      <c r="CY70" s="1053"/>
      <c r="CZ70" s="1053"/>
      <c r="DA70" s="1053"/>
      <c r="DB70" s="1053"/>
      <c r="DC70" s="1054">
        <f t="shared" ref="DC70:DC124" si="58">SUM(CX70:DB70)</f>
        <v>0</v>
      </c>
      <c r="DD70" s="1744">
        <v>-331</v>
      </c>
      <c r="DE70" s="1125">
        <v>0</v>
      </c>
      <c r="DF70" s="1125">
        <v>0</v>
      </c>
      <c r="DG70" s="1125">
        <v>0</v>
      </c>
      <c r="DH70" s="1745">
        <v>0</v>
      </c>
      <c r="DI70" s="1057">
        <f t="shared" ref="DI70:DI124" si="59">SUM(DD70:DH70)</f>
        <v>-331</v>
      </c>
      <c r="DJ70" s="1744">
        <v>-4997</v>
      </c>
      <c r="DK70" s="1125">
        <v>0</v>
      </c>
      <c r="DL70" s="1125">
        <v>0</v>
      </c>
      <c r="DM70" s="1125">
        <v>0</v>
      </c>
      <c r="DN70" s="1125">
        <v>0</v>
      </c>
      <c r="DO70" s="1124">
        <f t="shared" ref="DO70:DO124" si="60">SUM(DJ70:DN70)</f>
        <v>-4997</v>
      </c>
      <c r="DP70" s="1125"/>
      <c r="DQ70" s="1125"/>
      <c r="DR70" s="1125"/>
      <c r="DS70" s="1125"/>
      <c r="DT70" s="1125"/>
      <c r="DU70" s="1125">
        <f t="shared" si="34"/>
        <v>0</v>
      </c>
      <c r="DV70" s="1746">
        <v>0</v>
      </c>
      <c r="DW70" s="1053">
        <v>0</v>
      </c>
      <c r="DX70" s="1053">
        <v>0</v>
      </c>
      <c r="DY70" s="1053">
        <v>0</v>
      </c>
      <c r="DZ70" s="1053">
        <v>0</v>
      </c>
      <c r="EA70" s="1058">
        <f t="shared" ref="EA70:EA124" si="61">SUM(DV70:DZ70)</f>
        <v>0</v>
      </c>
      <c r="EB70" s="1744">
        <v>3060.7</v>
      </c>
      <c r="EC70" s="1125">
        <v>0</v>
      </c>
      <c r="ED70" s="1125">
        <v>561.41999999999996</v>
      </c>
      <c r="EE70" s="1125">
        <v>0</v>
      </c>
      <c r="EF70" s="1745">
        <v>0</v>
      </c>
      <c r="EG70" s="1057">
        <f t="shared" ref="EG70:EG124" si="62">SUM(EB70:EF70)</f>
        <v>3622.12</v>
      </c>
    </row>
    <row r="71" spans="1:137" ht="15" customHeight="1" x14ac:dyDescent="0.25">
      <c r="A71" s="719" t="s">
        <v>172</v>
      </c>
      <c r="B71" s="816" t="s">
        <v>173</v>
      </c>
      <c r="C71" s="917" t="s">
        <v>267</v>
      </c>
      <c r="D71" s="814">
        <f t="shared" si="35"/>
        <v>25109.17</v>
      </c>
      <c r="E71" s="814">
        <f t="shared" si="36"/>
        <v>13028.509999999998</v>
      </c>
      <c r="F71" s="814">
        <f t="shared" si="37"/>
        <v>9531.82</v>
      </c>
      <c r="G71" s="814">
        <f t="shared" si="38"/>
        <v>-24.02</v>
      </c>
      <c r="H71" s="814">
        <f t="shared" si="39"/>
        <v>0</v>
      </c>
      <c r="I71" s="1422">
        <f t="shared" si="40"/>
        <v>47645.479999999996</v>
      </c>
      <c r="J71" s="815">
        <f t="shared" si="41"/>
        <v>-24.02</v>
      </c>
      <c r="K71" s="1423">
        <f t="shared" si="42"/>
        <v>9507.7999999999993</v>
      </c>
      <c r="L71" s="1723"/>
      <c r="M71" s="1043"/>
      <c r="N71" s="1043"/>
      <c r="O71" s="1043"/>
      <c r="P71" s="1043"/>
      <c r="Q71" s="1044">
        <f t="shared" si="43"/>
        <v>0</v>
      </c>
      <c r="R71" s="1717"/>
      <c r="S71" s="1048"/>
      <c r="T71" s="1048"/>
      <c r="U71" s="1048"/>
      <c r="V71" s="1718"/>
      <c r="W71" s="1047">
        <f t="shared" si="44"/>
        <v>0</v>
      </c>
      <c r="X71" s="1719"/>
      <c r="Y71" s="1123"/>
      <c r="Z71" s="1123"/>
      <c r="AA71" s="1123"/>
      <c r="AB71" s="1123"/>
      <c r="AC71" s="1122">
        <f t="shared" si="45"/>
        <v>0</v>
      </c>
      <c r="AD71" s="1733">
        <v>1792.53</v>
      </c>
      <c r="AE71" s="1734">
        <v>10.66</v>
      </c>
      <c r="AF71" s="1734">
        <v>330.77</v>
      </c>
      <c r="AG71" s="1734">
        <v>0.01</v>
      </c>
      <c r="AH71" s="1735">
        <v>0</v>
      </c>
      <c r="AI71" s="1045">
        <f t="shared" si="46"/>
        <v>2133.9700000000003</v>
      </c>
      <c r="AJ71" s="1744">
        <v>10380.42</v>
      </c>
      <c r="AK71" s="1125">
        <v>0</v>
      </c>
      <c r="AL71" s="1125">
        <v>2595.12</v>
      </c>
      <c r="AM71" s="1125">
        <v>0</v>
      </c>
      <c r="AN71" s="1745">
        <v>0</v>
      </c>
      <c r="AO71" s="1057">
        <f t="shared" si="47"/>
        <v>12975.54</v>
      </c>
      <c r="AP71" s="1736"/>
      <c r="AQ71" s="1046"/>
      <c r="AR71" s="1046"/>
      <c r="AS71" s="1046"/>
      <c r="AT71" s="1046"/>
      <c r="AU71" s="1049">
        <f t="shared" si="48"/>
        <v>0</v>
      </c>
      <c r="AV71" s="1755"/>
      <c r="AW71" s="1756"/>
      <c r="AX71" s="1756"/>
      <c r="AY71" s="1756"/>
      <c r="AZ71" s="1757"/>
      <c r="BA71" s="1051">
        <f t="shared" si="49"/>
        <v>0</v>
      </c>
      <c r="BB71" s="1719">
        <v>235.9</v>
      </c>
      <c r="BC71" s="1123">
        <v>58.98</v>
      </c>
      <c r="BD71" s="1123">
        <v>0</v>
      </c>
      <c r="BE71" s="1123">
        <v>0</v>
      </c>
      <c r="BF71" s="1720">
        <v>0</v>
      </c>
      <c r="BG71" s="1047">
        <f t="shared" si="50"/>
        <v>294.88</v>
      </c>
      <c r="BH71" s="1744">
        <v>167.5</v>
      </c>
      <c r="BI71" s="1125">
        <v>302.5</v>
      </c>
      <c r="BJ71" s="1125">
        <v>0</v>
      </c>
      <c r="BK71" s="1125">
        <v>0</v>
      </c>
      <c r="BL71" s="1745">
        <v>0</v>
      </c>
      <c r="BM71" s="1054">
        <f t="shared" si="51"/>
        <v>470</v>
      </c>
      <c r="BN71" s="1744">
        <v>12833.29</v>
      </c>
      <c r="BO71" s="1125">
        <v>1625.56</v>
      </c>
      <c r="BP71" s="1125">
        <v>2652.21</v>
      </c>
      <c r="BQ71" s="1125">
        <v>-24</v>
      </c>
      <c r="BR71" s="1745">
        <v>0</v>
      </c>
      <c r="BS71" s="1054">
        <f t="shared" si="52"/>
        <v>17087.060000000001</v>
      </c>
      <c r="BT71" s="1744"/>
      <c r="BU71" s="1125"/>
      <c r="BV71" s="1125"/>
      <c r="BW71" s="1125"/>
      <c r="BX71" s="1745"/>
      <c r="BY71" s="1057">
        <f t="shared" si="53"/>
        <v>0</v>
      </c>
      <c r="BZ71" s="1744">
        <v>3442.19</v>
      </c>
      <c r="CA71" s="1125">
        <v>11030.81</v>
      </c>
      <c r="CB71" s="1125">
        <v>2654.74</v>
      </c>
      <c r="CC71" s="1125">
        <v>-7.0000000000000007E-2</v>
      </c>
      <c r="CD71" s="1745">
        <v>0</v>
      </c>
      <c r="CE71" s="1057">
        <f t="shared" si="54"/>
        <v>17127.669999999998</v>
      </c>
      <c r="CF71" s="1746">
        <v>752.65</v>
      </c>
      <c r="CG71" s="1053">
        <v>0</v>
      </c>
      <c r="CH71" s="1053">
        <v>1270.6199999999999</v>
      </c>
      <c r="CI71" s="1053">
        <v>0</v>
      </c>
      <c r="CJ71" s="1747">
        <v>0</v>
      </c>
      <c r="CK71" s="1057">
        <f t="shared" si="55"/>
        <v>2023.27</v>
      </c>
      <c r="CL71" s="1746"/>
      <c r="CM71" s="1053"/>
      <c r="CN71" s="1053"/>
      <c r="CO71" s="1053"/>
      <c r="CP71" s="1053"/>
      <c r="CQ71" s="1054">
        <f t="shared" si="56"/>
        <v>0</v>
      </c>
      <c r="CR71" s="1746"/>
      <c r="CS71" s="1053"/>
      <c r="CT71" s="1053"/>
      <c r="CU71" s="1053"/>
      <c r="CV71" s="1747"/>
      <c r="CW71" s="1057">
        <f t="shared" si="57"/>
        <v>0</v>
      </c>
      <c r="CX71" s="1744"/>
      <c r="CY71" s="1125"/>
      <c r="CZ71" s="1125"/>
      <c r="DA71" s="1125"/>
      <c r="DB71" s="1745"/>
      <c r="DC71" s="1054">
        <f t="shared" si="58"/>
        <v>0</v>
      </c>
      <c r="DD71" s="1744">
        <v>-4650</v>
      </c>
      <c r="DE71" s="1125">
        <v>0</v>
      </c>
      <c r="DF71" s="1125">
        <v>0</v>
      </c>
      <c r="DG71" s="1125">
        <v>0</v>
      </c>
      <c r="DH71" s="1745">
        <v>0</v>
      </c>
      <c r="DI71" s="1057">
        <f t="shared" si="59"/>
        <v>-4650</v>
      </c>
      <c r="DJ71" s="1744"/>
      <c r="DK71" s="1125"/>
      <c r="DL71" s="1125"/>
      <c r="DM71" s="1125"/>
      <c r="DN71" s="1125"/>
      <c r="DO71" s="1124">
        <f t="shared" si="60"/>
        <v>0</v>
      </c>
      <c r="DP71" s="1125"/>
      <c r="DQ71" s="1125"/>
      <c r="DR71" s="1125"/>
      <c r="DS71" s="1125"/>
      <c r="DT71" s="1125"/>
      <c r="DU71" s="1125">
        <f t="shared" ref="DU71:DU124" si="63">SUM(DP71:DT71)</f>
        <v>0</v>
      </c>
      <c r="DV71" s="1744">
        <v>0</v>
      </c>
      <c r="DW71" s="1125">
        <v>0</v>
      </c>
      <c r="DX71" s="1125">
        <v>0</v>
      </c>
      <c r="DY71" s="1125">
        <v>0</v>
      </c>
      <c r="DZ71" s="1745">
        <v>0</v>
      </c>
      <c r="EA71" s="1058">
        <f t="shared" si="61"/>
        <v>0</v>
      </c>
      <c r="EB71" s="1744">
        <v>154.69</v>
      </c>
      <c r="EC71" s="1125">
        <v>0</v>
      </c>
      <c r="ED71" s="1125">
        <v>28.36</v>
      </c>
      <c r="EE71" s="1125">
        <v>0.04</v>
      </c>
      <c r="EF71" s="1745">
        <v>0</v>
      </c>
      <c r="EG71" s="1057">
        <f t="shared" si="62"/>
        <v>183.09</v>
      </c>
    </row>
    <row r="72" spans="1:137" ht="15" customHeight="1" x14ac:dyDescent="0.25">
      <c r="A72" s="719" t="s">
        <v>174</v>
      </c>
      <c r="B72" s="816" t="s">
        <v>175</v>
      </c>
      <c r="C72" s="917" t="s">
        <v>268</v>
      </c>
      <c r="D72" s="814">
        <f t="shared" si="35"/>
        <v>36077.56</v>
      </c>
      <c r="E72" s="814">
        <f t="shared" si="36"/>
        <v>23743.02</v>
      </c>
      <c r="F72" s="814">
        <f t="shared" si="37"/>
        <v>12081.650000000001</v>
      </c>
      <c r="G72" s="814">
        <f t="shared" si="38"/>
        <v>-0.09</v>
      </c>
      <c r="H72" s="814">
        <f t="shared" si="39"/>
        <v>0</v>
      </c>
      <c r="I72" s="1422">
        <f t="shared" si="40"/>
        <v>71902.140000000014</v>
      </c>
      <c r="J72" s="815">
        <f t="shared" si="41"/>
        <v>-0.09</v>
      </c>
      <c r="K72" s="1423">
        <f t="shared" si="42"/>
        <v>12081.560000000001</v>
      </c>
      <c r="L72" s="1723"/>
      <c r="M72" s="1043"/>
      <c r="N72" s="1043"/>
      <c r="O72" s="1043"/>
      <c r="P72" s="1043"/>
      <c r="Q72" s="1044">
        <f t="shared" si="43"/>
        <v>0</v>
      </c>
      <c r="R72" s="1717"/>
      <c r="S72" s="1048"/>
      <c r="T72" s="1048"/>
      <c r="U72" s="1048"/>
      <c r="V72" s="1718"/>
      <c r="W72" s="1047">
        <f t="shared" si="44"/>
        <v>0</v>
      </c>
      <c r="X72" s="1719"/>
      <c r="Y72" s="1123"/>
      <c r="Z72" s="1123"/>
      <c r="AA72" s="1123"/>
      <c r="AB72" s="1123"/>
      <c r="AC72" s="1122">
        <f t="shared" si="45"/>
        <v>0</v>
      </c>
      <c r="AD72" s="1733">
        <v>611.07000000000005</v>
      </c>
      <c r="AE72" s="1734">
        <v>3.64</v>
      </c>
      <c r="AF72" s="1734">
        <v>112.76</v>
      </c>
      <c r="AG72" s="1734">
        <v>-0.01</v>
      </c>
      <c r="AH72" s="1735">
        <v>0</v>
      </c>
      <c r="AI72" s="1045">
        <f t="shared" si="46"/>
        <v>727.46</v>
      </c>
      <c r="AJ72" s="1744">
        <v>16655.849999999999</v>
      </c>
      <c r="AK72" s="1125">
        <v>0</v>
      </c>
      <c r="AL72" s="1125">
        <v>4163.97</v>
      </c>
      <c r="AM72" s="1125">
        <v>0</v>
      </c>
      <c r="AN72" s="1745">
        <v>0</v>
      </c>
      <c r="AO72" s="1057">
        <f t="shared" si="47"/>
        <v>20819.82</v>
      </c>
      <c r="AP72" s="1736"/>
      <c r="AQ72" s="1046"/>
      <c r="AR72" s="1046"/>
      <c r="AS72" s="1046"/>
      <c r="AT72" s="1046"/>
      <c r="AU72" s="1049">
        <f t="shared" si="48"/>
        <v>0</v>
      </c>
      <c r="AV72" s="1758"/>
      <c r="AW72" s="1050"/>
      <c r="AX72" s="1050"/>
      <c r="AY72" s="1050"/>
      <c r="AZ72" s="1050"/>
      <c r="BA72" s="1051">
        <f t="shared" si="49"/>
        <v>0</v>
      </c>
      <c r="BB72" s="1719">
        <v>0</v>
      </c>
      <c r="BC72" s="1123">
        <v>0</v>
      </c>
      <c r="BD72" s="1123">
        <v>0</v>
      </c>
      <c r="BE72" s="1123">
        <v>0</v>
      </c>
      <c r="BF72" s="1720">
        <v>0</v>
      </c>
      <c r="BG72" s="1047">
        <f t="shared" si="50"/>
        <v>0</v>
      </c>
      <c r="BH72" s="1746"/>
      <c r="BI72" s="1053"/>
      <c r="BJ72" s="1053"/>
      <c r="BK72" s="1053"/>
      <c r="BL72" s="1053"/>
      <c r="BM72" s="1054">
        <f t="shared" si="51"/>
        <v>0</v>
      </c>
      <c r="BN72" s="1744">
        <v>0</v>
      </c>
      <c r="BO72" s="1125">
        <v>0</v>
      </c>
      <c r="BP72" s="1125">
        <v>0</v>
      </c>
      <c r="BQ72" s="1125">
        <v>0</v>
      </c>
      <c r="BR72" s="1745">
        <v>0</v>
      </c>
      <c r="BS72" s="1054">
        <f t="shared" si="52"/>
        <v>0</v>
      </c>
      <c r="BT72" s="1744"/>
      <c r="BU72" s="1125"/>
      <c r="BV72" s="1125"/>
      <c r="BW72" s="1125"/>
      <c r="BX72" s="1745"/>
      <c r="BY72" s="1057">
        <f t="shared" si="53"/>
        <v>0</v>
      </c>
      <c r="BZ72" s="1744">
        <v>6095.1</v>
      </c>
      <c r="CA72" s="1125">
        <v>20725.04</v>
      </c>
      <c r="CB72" s="1125">
        <v>4919.5600000000004</v>
      </c>
      <c r="CC72" s="1125">
        <v>-0.06</v>
      </c>
      <c r="CD72" s="1745">
        <v>0</v>
      </c>
      <c r="CE72" s="1057">
        <f t="shared" si="54"/>
        <v>31739.64</v>
      </c>
      <c r="CF72" s="1746"/>
      <c r="CG72" s="1053"/>
      <c r="CH72" s="1053"/>
      <c r="CI72" s="1053"/>
      <c r="CJ72" s="1747"/>
      <c r="CK72" s="1057">
        <f t="shared" si="55"/>
        <v>0</v>
      </c>
      <c r="CL72" s="1746"/>
      <c r="CM72" s="1053"/>
      <c r="CN72" s="1053"/>
      <c r="CO72" s="1053"/>
      <c r="CP72" s="1053"/>
      <c r="CQ72" s="1054">
        <f t="shared" si="56"/>
        <v>0</v>
      </c>
      <c r="CR72" s="1744"/>
      <c r="CS72" s="1125"/>
      <c r="CT72" s="1125"/>
      <c r="CU72" s="1125"/>
      <c r="CV72" s="1745"/>
      <c r="CW72" s="1057">
        <f t="shared" si="57"/>
        <v>0</v>
      </c>
      <c r="CX72" s="1746"/>
      <c r="CY72" s="1053"/>
      <c r="CZ72" s="1053"/>
      <c r="DA72" s="1053"/>
      <c r="DB72" s="1053"/>
      <c r="DC72" s="1054">
        <f t="shared" si="58"/>
        <v>0</v>
      </c>
      <c r="DD72" s="1744"/>
      <c r="DE72" s="1125"/>
      <c r="DF72" s="1125"/>
      <c r="DG72" s="1125"/>
      <c r="DH72" s="1745"/>
      <c r="DI72" s="1057">
        <f t="shared" si="59"/>
        <v>0</v>
      </c>
      <c r="DJ72" s="1744"/>
      <c r="DK72" s="1125"/>
      <c r="DL72" s="1125"/>
      <c r="DM72" s="1125"/>
      <c r="DN72" s="1125"/>
      <c r="DO72" s="1124">
        <f t="shared" si="60"/>
        <v>0</v>
      </c>
      <c r="DP72" s="1125"/>
      <c r="DQ72" s="1125"/>
      <c r="DR72" s="1125"/>
      <c r="DS72" s="1125"/>
      <c r="DT72" s="1125"/>
      <c r="DU72" s="1125">
        <f t="shared" si="63"/>
        <v>0</v>
      </c>
      <c r="DV72" s="1744">
        <v>4368.6099999999997</v>
      </c>
      <c r="DW72" s="1125">
        <v>3014.34</v>
      </c>
      <c r="DX72" s="1125">
        <v>1354.27</v>
      </c>
      <c r="DY72" s="1125">
        <v>-0.03</v>
      </c>
      <c r="DZ72" s="1745">
        <v>0</v>
      </c>
      <c r="EA72" s="1058">
        <f t="shared" si="61"/>
        <v>8737.1899999999987</v>
      </c>
      <c r="EB72" s="1744">
        <v>8346.93</v>
      </c>
      <c r="EC72" s="1125">
        <v>0</v>
      </c>
      <c r="ED72" s="1125">
        <v>1531.09</v>
      </c>
      <c r="EE72" s="1125">
        <v>0.01</v>
      </c>
      <c r="EF72" s="1745">
        <v>0</v>
      </c>
      <c r="EG72" s="1057">
        <f t="shared" si="62"/>
        <v>9878.0300000000007</v>
      </c>
    </row>
    <row r="73" spans="1:137" ht="15" customHeight="1" x14ac:dyDescent="0.25">
      <c r="A73" s="719" t="s">
        <v>178</v>
      </c>
      <c r="B73" s="816" t="s">
        <v>179</v>
      </c>
      <c r="C73" s="917" t="s">
        <v>265</v>
      </c>
      <c r="D73" s="814">
        <f t="shared" si="35"/>
        <v>86101.98</v>
      </c>
      <c r="E73" s="814">
        <f t="shared" si="36"/>
        <v>22579.79</v>
      </c>
      <c r="F73" s="814">
        <f t="shared" si="37"/>
        <v>22221.919999999998</v>
      </c>
      <c r="G73" s="814">
        <f t="shared" si="38"/>
        <v>-0.25</v>
      </c>
      <c r="H73" s="814">
        <f t="shared" si="39"/>
        <v>0</v>
      </c>
      <c r="I73" s="1422">
        <f t="shared" si="40"/>
        <v>130903.43999999999</v>
      </c>
      <c r="J73" s="815">
        <f t="shared" si="41"/>
        <v>-0.25</v>
      </c>
      <c r="K73" s="1423">
        <f t="shared" si="42"/>
        <v>22221.67</v>
      </c>
      <c r="L73" s="1723"/>
      <c r="M73" s="1043"/>
      <c r="N73" s="1043"/>
      <c r="O73" s="1043"/>
      <c r="P73" s="1043"/>
      <c r="Q73" s="1044">
        <f t="shared" si="43"/>
        <v>0</v>
      </c>
      <c r="R73" s="1719"/>
      <c r="S73" s="1123"/>
      <c r="T73" s="1123"/>
      <c r="U73" s="1123"/>
      <c r="V73" s="1720"/>
      <c r="W73" s="1047">
        <f t="shared" si="44"/>
        <v>0</v>
      </c>
      <c r="X73" s="1719"/>
      <c r="Y73" s="1123"/>
      <c r="Z73" s="1123"/>
      <c r="AA73" s="1123"/>
      <c r="AB73" s="1123"/>
      <c r="AC73" s="1122">
        <f t="shared" si="45"/>
        <v>0</v>
      </c>
      <c r="AD73" s="1733">
        <v>1994.55</v>
      </c>
      <c r="AE73" s="1734">
        <v>11.88</v>
      </c>
      <c r="AF73" s="1734">
        <v>368.04</v>
      </c>
      <c r="AG73" s="1734">
        <v>-0.01</v>
      </c>
      <c r="AH73" s="1735">
        <v>0</v>
      </c>
      <c r="AI73" s="1045">
        <f t="shared" si="46"/>
        <v>2374.46</v>
      </c>
      <c r="AJ73" s="1744">
        <v>36732.629999999997</v>
      </c>
      <c r="AK73" s="1125">
        <v>0</v>
      </c>
      <c r="AL73" s="1125">
        <v>9183.14</v>
      </c>
      <c r="AM73" s="1125">
        <v>0</v>
      </c>
      <c r="AN73" s="1745">
        <v>0</v>
      </c>
      <c r="AO73" s="1057">
        <f t="shared" si="47"/>
        <v>45915.77</v>
      </c>
      <c r="AP73" s="1733">
        <v>7863.42</v>
      </c>
      <c r="AQ73" s="1734">
        <v>3445.16</v>
      </c>
      <c r="AR73" s="1734">
        <v>2074.37</v>
      </c>
      <c r="AS73" s="1734">
        <v>-0.05</v>
      </c>
      <c r="AT73" s="1735">
        <v>0</v>
      </c>
      <c r="AU73" s="1049">
        <f t="shared" si="48"/>
        <v>13382.900000000001</v>
      </c>
      <c r="AV73" s="1755"/>
      <c r="AW73" s="1756"/>
      <c r="AX73" s="1756"/>
      <c r="AY73" s="1756"/>
      <c r="AZ73" s="1757"/>
      <c r="BA73" s="1051">
        <f t="shared" si="49"/>
        <v>0</v>
      </c>
      <c r="BB73" s="1764">
        <v>1854.13</v>
      </c>
      <c r="BC73" s="1765">
        <v>463.54</v>
      </c>
      <c r="BD73" s="1765">
        <v>0</v>
      </c>
      <c r="BE73" s="1765">
        <v>0</v>
      </c>
      <c r="BF73" s="1766">
        <v>0</v>
      </c>
      <c r="BG73" s="1047">
        <f t="shared" si="50"/>
        <v>2317.67</v>
      </c>
      <c r="BH73" s="1744"/>
      <c r="BI73" s="1125"/>
      <c r="BJ73" s="1125"/>
      <c r="BK73" s="1125"/>
      <c r="BL73" s="1745"/>
      <c r="BM73" s="1054">
        <f t="shared" si="51"/>
        <v>0</v>
      </c>
      <c r="BN73" s="1744">
        <v>20560.59</v>
      </c>
      <c r="BO73" s="1125">
        <v>2604.36</v>
      </c>
      <c r="BP73" s="1125">
        <v>4249.16</v>
      </c>
      <c r="BQ73" s="1125">
        <v>-0.1</v>
      </c>
      <c r="BR73" s="1745">
        <v>0</v>
      </c>
      <c r="BS73" s="1054">
        <f t="shared" si="52"/>
        <v>27414.010000000002</v>
      </c>
      <c r="BT73" s="1744">
        <v>-89.5</v>
      </c>
      <c r="BU73" s="1125">
        <v>-89.5</v>
      </c>
      <c r="BV73" s="1125">
        <v>0</v>
      </c>
      <c r="BW73" s="1125">
        <v>0</v>
      </c>
      <c r="BX73" s="1745">
        <v>0</v>
      </c>
      <c r="BY73" s="1057">
        <f t="shared" si="53"/>
        <v>-179</v>
      </c>
      <c r="BZ73" s="1744">
        <v>4760.2</v>
      </c>
      <c r="CA73" s="1125">
        <v>16144.35</v>
      </c>
      <c r="CB73" s="1125">
        <v>3834.49</v>
      </c>
      <c r="CC73" s="1125">
        <v>-0.16</v>
      </c>
      <c r="CD73" s="1745">
        <v>0</v>
      </c>
      <c r="CE73" s="1057">
        <f t="shared" si="54"/>
        <v>24738.880000000001</v>
      </c>
      <c r="CF73" s="1746">
        <v>87.22</v>
      </c>
      <c r="CG73" s="1053">
        <v>0</v>
      </c>
      <c r="CH73" s="1053">
        <v>147.25</v>
      </c>
      <c r="CI73" s="1053">
        <v>0</v>
      </c>
      <c r="CJ73" s="1747">
        <v>0</v>
      </c>
      <c r="CK73" s="1057">
        <f t="shared" si="55"/>
        <v>234.47</v>
      </c>
      <c r="CL73" s="1746"/>
      <c r="CM73" s="1053"/>
      <c r="CN73" s="1053"/>
      <c r="CO73" s="1053"/>
      <c r="CP73" s="1053"/>
      <c r="CQ73" s="1054">
        <f t="shared" si="56"/>
        <v>0</v>
      </c>
      <c r="CR73" s="1744"/>
      <c r="CS73" s="1125"/>
      <c r="CT73" s="1125"/>
      <c r="CU73" s="1125"/>
      <c r="CV73" s="1745"/>
      <c r="CW73" s="1057">
        <f t="shared" si="57"/>
        <v>0</v>
      </c>
      <c r="CX73" s="1744"/>
      <c r="CY73" s="1125"/>
      <c r="CZ73" s="1125"/>
      <c r="DA73" s="1125"/>
      <c r="DB73" s="1745"/>
      <c r="DC73" s="1054">
        <f t="shared" si="58"/>
        <v>0</v>
      </c>
      <c r="DD73" s="1744">
        <v>-557</v>
      </c>
      <c r="DE73" s="1125">
        <v>0</v>
      </c>
      <c r="DF73" s="1125">
        <v>0</v>
      </c>
      <c r="DG73" s="1125">
        <v>0</v>
      </c>
      <c r="DH73" s="1745">
        <v>0</v>
      </c>
      <c r="DI73" s="1057">
        <f t="shared" si="59"/>
        <v>-557</v>
      </c>
      <c r="DJ73" s="1744"/>
      <c r="DK73" s="1125"/>
      <c r="DL73" s="1125"/>
      <c r="DM73" s="1125"/>
      <c r="DN73" s="1125"/>
      <c r="DO73" s="1124">
        <f t="shared" si="60"/>
        <v>0</v>
      </c>
      <c r="DP73" s="1125"/>
      <c r="DQ73" s="1125"/>
      <c r="DR73" s="1125"/>
      <c r="DS73" s="1125"/>
      <c r="DT73" s="1125"/>
      <c r="DU73" s="1125">
        <f t="shared" si="63"/>
        <v>0</v>
      </c>
      <c r="DV73" s="1744">
        <v>0</v>
      </c>
      <c r="DW73" s="1125">
        <v>0</v>
      </c>
      <c r="DX73" s="1125">
        <v>0</v>
      </c>
      <c r="DY73" s="1125">
        <v>0</v>
      </c>
      <c r="DZ73" s="1745">
        <v>0</v>
      </c>
      <c r="EA73" s="1058">
        <f t="shared" si="61"/>
        <v>0</v>
      </c>
      <c r="EB73" s="1744">
        <v>12895.74</v>
      </c>
      <c r="EC73" s="1125">
        <v>0</v>
      </c>
      <c r="ED73" s="1125">
        <v>2365.4699999999998</v>
      </c>
      <c r="EE73" s="1125">
        <v>7.0000000000000007E-2</v>
      </c>
      <c r="EF73" s="1745">
        <v>0</v>
      </c>
      <c r="EG73" s="1057">
        <f t="shared" si="62"/>
        <v>15261.279999999999</v>
      </c>
    </row>
    <row r="74" spans="1:137" ht="15" customHeight="1" x14ac:dyDescent="0.25">
      <c r="A74" s="719" t="s">
        <v>182</v>
      </c>
      <c r="B74" s="816" t="s">
        <v>183</v>
      </c>
      <c r="C74" s="917" t="s">
        <v>266</v>
      </c>
      <c r="D74" s="814">
        <f t="shared" si="35"/>
        <v>23867.9</v>
      </c>
      <c r="E74" s="814">
        <f t="shared" si="36"/>
        <v>15869.640000000001</v>
      </c>
      <c r="F74" s="814">
        <f t="shared" si="37"/>
        <v>7524.5400000000009</v>
      </c>
      <c r="G74" s="814">
        <f t="shared" si="38"/>
        <v>-0.1</v>
      </c>
      <c r="H74" s="814">
        <f t="shared" si="39"/>
        <v>1312.4</v>
      </c>
      <c r="I74" s="1422">
        <f t="shared" si="40"/>
        <v>48574.380000000005</v>
      </c>
      <c r="J74" s="815">
        <f t="shared" si="41"/>
        <v>1312.3000000000002</v>
      </c>
      <c r="K74" s="1423">
        <f t="shared" si="42"/>
        <v>8836.84</v>
      </c>
      <c r="L74" s="1723"/>
      <c r="M74" s="1043"/>
      <c r="N74" s="1043"/>
      <c r="O74" s="1043"/>
      <c r="P74" s="1043"/>
      <c r="Q74" s="1044">
        <f t="shared" si="43"/>
        <v>0</v>
      </c>
      <c r="R74" s="1717"/>
      <c r="S74" s="1048"/>
      <c r="T74" s="1048"/>
      <c r="U74" s="1048"/>
      <c r="V74" s="1718"/>
      <c r="W74" s="1047">
        <f t="shared" si="44"/>
        <v>0</v>
      </c>
      <c r="X74" s="1719"/>
      <c r="Y74" s="1123"/>
      <c r="Z74" s="1123"/>
      <c r="AA74" s="1123"/>
      <c r="AB74" s="1123"/>
      <c r="AC74" s="1122">
        <f t="shared" si="45"/>
        <v>0</v>
      </c>
      <c r="AD74" s="1736">
        <v>0</v>
      </c>
      <c r="AE74" s="1046">
        <v>0</v>
      </c>
      <c r="AF74" s="1046">
        <v>0</v>
      </c>
      <c r="AG74" s="1046">
        <v>0</v>
      </c>
      <c r="AH74" s="1737">
        <v>0</v>
      </c>
      <c r="AI74" s="1045">
        <f t="shared" si="46"/>
        <v>0</v>
      </c>
      <c r="AJ74" s="1744">
        <v>3536.87</v>
      </c>
      <c r="AK74" s="1125">
        <v>0</v>
      </c>
      <c r="AL74" s="1125">
        <v>884.24</v>
      </c>
      <c r="AM74" s="1125">
        <v>0</v>
      </c>
      <c r="AN74" s="1745">
        <v>0</v>
      </c>
      <c r="AO74" s="1057">
        <f t="shared" si="47"/>
        <v>4421.1099999999997</v>
      </c>
      <c r="AP74" s="1736"/>
      <c r="AQ74" s="1046"/>
      <c r="AR74" s="1046"/>
      <c r="AS74" s="1046"/>
      <c r="AT74" s="1046"/>
      <c r="AU74" s="1049">
        <f t="shared" si="48"/>
        <v>0</v>
      </c>
      <c r="AV74" s="1758"/>
      <c r="AW74" s="1050"/>
      <c r="AX74" s="1050"/>
      <c r="AY74" s="1050"/>
      <c r="AZ74" s="1050"/>
      <c r="BA74" s="1051">
        <f t="shared" si="49"/>
        <v>0</v>
      </c>
      <c r="BB74" s="1719">
        <v>0</v>
      </c>
      <c r="BC74" s="1123">
        <v>0</v>
      </c>
      <c r="BD74" s="1123">
        <v>0</v>
      </c>
      <c r="BE74" s="1123">
        <v>0</v>
      </c>
      <c r="BF74" s="1720">
        <v>1312.4</v>
      </c>
      <c r="BG74" s="1047">
        <f t="shared" si="50"/>
        <v>1312.4</v>
      </c>
      <c r="BH74" s="1746"/>
      <c r="BI74" s="1053"/>
      <c r="BJ74" s="1053"/>
      <c r="BK74" s="1053"/>
      <c r="BL74" s="1053"/>
      <c r="BM74" s="1054">
        <f t="shared" si="51"/>
        <v>0</v>
      </c>
      <c r="BN74" s="1744">
        <v>13101.47</v>
      </c>
      <c r="BO74" s="1125">
        <v>1659.53</v>
      </c>
      <c r="BP74" s="1125">
        <v>2707.65</v>
      </c>
      <c r="BQ74" s="1125">
        <v>-0.03</v>
      </c>
      <c r="BR74" s="1745">
        <v>0</v>
      </c>
      <c r="BS74" s="1054">
        <f t="shared" si="52"/>
        <v>17468.620000000003</v>
      </c>
      <c r="BT74" s="1744"/>
      <c r="BU74" s="1125"/>
      <c r="BV74" s="1125"/>
      <c r="BW74" s="1125"/>
      <c r="BX74" s="1745"/>
      <c r="BY74" s="1057">
        <f t="shared" si="53"/>
        <v>0</v>
      </c>
      <c r="BZ74" s="1744">
        <v>3929.56</v>
      </c>
      <c r="CA74" s="1125">
        <v>11933.12</v>
      </c>
      <c r="CB74" s="1125">
        <v>2909.64</v>
      </c>
      <c r="CC74" s="1125">
        <v>-7.0000000000000007E-2</v>
      </c>
      <c r="CD74" s="1745">
        <v>0</v>
      </c>
      <c r="CE74" s="1057">
        <f t="shared" si="54"/>
        <v>18772.25</v>
      </c>
      <c r="CF74" s="1746"/>
      <c r="CG74" s="1053"/>
      <c r="CH74" s="1053"/>
      <c r="CI74" s="1053"/>
      <c r="CJ74" s="1747"/>
      <c r="CK74" s="1057">
        <f t="shared" si="55"/>
        <v>0</v>
      </c>
      <c r="CL74" s="1746"/>
      <c r="CM74" s="1053"/>
      <c r="CN74" s="1053"/>
      <c r="CO74" s="1053"/>
      <c r="CP74" s="1053"/>
      <c r="CQ74" s="1054">
        <f t="shared" si="56"/>
        <v>0</v>
      </c>
      <c r="CR74" s="1744"/>
      <c r="CS74" s="1125"/>
      <c r="CT74" s="1125"/>
      <c r="CU74" s="1125"/>
      <c r="CV74" s="1745"/>
      <c r="CW74" s="1057">
        <f t="shared" si="57"/>
        <v>0</v>
      </c>
      <c r="CX74" s="1746"/>
      <c r="CY74" s="1053"/>
      <c r="CZ74" s="1053"/>
      <c r="DA74" s="1053"/>
      <c r="DB74" s="1053"/>
      <c r="DC74" s="1054">
        <f t="shared" si="58"/>
        <v>0</v>
      </c>
      <c r="DD74" s="1744"/>
      <c r="DE74" s="1125"/>
      <c r="DF74" s="1125"/>
      <c r="DG74" s="1125"/>
      <c r="DH74" s="1745"/>
      <c r="DI74" s="1057">
        <f t="shared" si="59"/>
        <v>0</v>
      </c>
      <c r="DJ74" s="1744"/>
      <c r="DK74" s="1125"/>
      <c r="DL74" s="1125"/>
      <c r="DM74" s="1125"/>
      <c r="DN74" s="1125"/>
      <c r="DO74" s="1124">
        <f t="shared" si="60"/>
        <v>0</v>
      </c>
      <c r="DP74" s="1125"/>
      <c r="DQ74" s="1125"/>
      <c r="DR74" s="1125"/>
      <c r="DS74" s="1125"/>
      <c r="DT74" s="1125"/>
      <c r="DU74" s="1125">
        <f t="shared" si="63"/>
        <v>0</v>
      </c>
      <c r="DV74" s="1744">
        <v>3300</v>
      </c>
      <c r="DW74" s="1125">
        <v>2276.9899999999998</v>
      </c>
      <c r="DX74" s="1125">
        <v>1023.01</v>
      </c>
      <c r="DY74" s="1125">
        <v>0</v>
      </c>
      <c r="DZ74" s="1745">
        <v>0</v>
      </c>
      <c r="EA74" s="1058">
        <f t="shared" si="61"/>
        <v>6600</v>
      </c>
      <c r="EB74" s="1746">
        <v>0</v>
      </c>
      <c r="EC74" s="1053">
        <v>0</v>
      </c>
      <c r="ED74" s="1053">
        <v>0</v>
      </c>
      <c r="EE74" s="1053">
        <v>0</v>
      </c>
      <c r="EF74" s="1747">
        <v>0</v>
      </c>
      <c r="EG74" s="1057">
        <f t="shared" si="62"/>
        <v>0</v>
      </c>
    </row>
    <row r="75" spans="1:137" ht="15" customHeight="1" x14ac:dyDescent="0.25">
      <c r="A75" s="719" t="s">
        <v>184</v>
      </c>
      <c r="B75" s="816" t="s">
        <v>185</v>
      </c>
      <c r="C75" s="917" t="s">
        <v>266</v>
      </c>
      <c r="D75" s="814">
        <f t="shared" si="35"/>
        <v>46989.47</v>
      </c>
      <c r="E75" s="814">
        <f t="shared" si="36"/>
        <v>102647.78</v>
      </c>
      <c r="F75" s="814">
        <f t="shared" si="37"/>
        <v>27733.750000000004</v>
      </c>
      <c r="G75" s="814">
        <f t="shared" si="38"/>
        <v>-0.06</v>
      </c>
      <c r="H75" s="814">
        <f t="shared" si="39"/>
        <v>0</v>
      </c>
      <c r="I75" s="1422">
        <f t="shared" si="40"/>
        <v>177370.94</v>
      </c>
      <c r="J75" s="815">
        <f t="shared" si="41"/>
        <v>-0.06</v>
      </c>
      <c r="K75" s="1423">
        <f t="shared" si="42"/>
        <v>27733.690000000002</v>
      </c>
      <c r="L75" s="1724"/>
      <c r="M75" s="1725"/>
      <c r="N75" s="1725"/>
      <c r="O75" s="1725"/>
      <c r="P75" s="1726"/>
      <c r="Q75" s="1044">
        <f t="shared" si="43"/>
        <v>0</v>
      </c>
      <c r="R75" s="1717"/>
      <c r="S75" s="1048"/>
      <c r="T75" s="1048"/>
      <c r="U75" s="1048"/>
      <c r="V75" s="1718"/>
      <c r="W75" s="1047">
        <f t="shared" si="44"/>
        <v>0</v>
      </c>
      <c r="X75" s="1719"/>
      <c r="Y75" s="1123"/>
      <c r="Z75" s="1123"/>
      <c r="AA75" s="1123"/>
      <c r="AB75" s="1123"/>
      <c r="AC75" s="1122">
        <f t="shared" si="45"/>
        <v>0</v>
      </c>
      <c r="AD75" s="1733">
        <v>1939.7</v>
      </c>
      <c r="AE75" s="1734">
        <v>11.55</v>
      </c>
      <c r="AF75" s="1734">
        <v>357.93</v>
      </c>
      <c r="AG75" s="1734">
        <v>-0.02</v>
      </c>
      <c r="AH75" s="1735">
        <v>0</v>
      </c>
      <c r="AI75" s="1045">
        <f t="shared" si="46"/>
        <v>2309.16</v>
      </c>
      <c r="AJ75" s="1744">
        <v>5453.67</v>
      </c>
      <c r="AK75" s="1125">
        <v>0</v>
      </c>
      <c r="AL75" s="1125">
        <v>1363.37</v>
      </c>
      <c r="AM75" s="1125">
        <v>0</v>
      </c>
      <c r="AN75" s="1745">
        <v>0</v>
      </c>
      <c r="AO75" s="1057">
        <f t="shared" si="47"/>
        <v>6817.04</v>
      </c>
      <c r="AP75" s="1736"/>
      <c r="AQ75" s="1046"/>
      <c r="AR75" s="1046"/>
      <c r="AS75" s="1046"/>
      <c r="AT75" s="1046"/>
      <c r="AU75" s="1049">
        <f t="shared" si="48"/>
        <v>0</v>
      </c>
      <c r="AV75" s="1758"/>
      <c r="AW75" s="1050"/>
      <c r="AX75" s="1050"/>
      <c r="AY75" s="1050"/>
      <c r="AZ75" s="1050"/>
      <c r="BA75" s="1051">
        <f t="shared" si="49"/>
        <v>0</v>
      </c>
      <c r="BB75" s="1764">
        <v>335.27</v>
      </c>
      <c r="BC75" s="1765">
        <v>83.82</v>
      </c>
      <c r="BD75" s="1765">
        <v>0</v>
      </c>
      <c r="BE75" s="1765">
        <v>0</v>
      </c>
      <c r="BF75" s="1766">
        <v>0</v>
      </c>
      <c r="BG75" s="1047">
        <f t="shared" si="50"/>
        <v>419.09</v>
      </c>
      <c r="BH75" s="1746"/>
      <c r="BI75" s="1053"/>
      <c r="BJ75" s="1053"/>
      <c r="BK75" s="1053"/>
      <c r="BL75" s="1053"/>
      <c r="BM75" s="1054">
        <f t="shared" si="51"/>
        <v>0</v>
      </c>
      <c r="BN75" s="1744">
        <v>5151.6499999999996</v>
      </c>
      <c r="BO75" s="1125">
        <v>652.54999999999995</v>
      </c>
      <c r="BP75" s="1125">
        <v>1064.69</v>
      </c>
      <c r="BQ75" s="1125">
        <v>-0.03</v>
      </c>
      <c r="BR75" s="1745">
        <v>0</v>
      </c>
      <c r="BS75" s="1054">
        <f t="shared" si="52"/>
        <v>6868.86</v>
      </c>
      <c r="BT75" s="1744"/>
      <c r="BU75" s="1125"/>
      <c r="BV75" s="1125"/>
      <c r="BW75" s="1125"/>
      <c r="BX75" s="1745"/>
      <c r="BY75" s="1057">
        <f t="shared" si="53"/>
        <v>0</v>
      </c>
      <c r="BZ75" s="1744">
        <v>29314.03</v>
      </c>
      <c r="CA75" s="1125">
        <v>99622.86</v>
      </c>
      <c r="CB75" s="1125">
        <v>23650.52</v>
      </c>
      <c r="CC75" s="1125">
        <v>-0.06</v>
      </c>
      <c r="CD75" s="1745">
        <v>0</v>
      </c>
      <c r="CE75" s="1057">
        <f t="shared" si="54"/>
        <v>152587.35</v>
      </c>
      <c r="CF75" s="1746"/>
      <c r="CG75" s="1053"/>
      <c r="CH75" s="1053"/>
      <c r="CI75" s="1053"/>
      <c r="CJ75" s="1747"/>
      <c r="CK75" s="1057">
        <f t="shared" si="55"/>
        <v>0</v>
      </c>
      <c r="CL75" s="1746"/>
      <c r="CM75" s="1053"/>
      <c r="CN75" s="1053"/>
      <c r="CO75" s="1053"/>
      <c r="CP75" s="1053"/>
      <c r="CQ75" s="1054">
        <f t="shared" si="56"/>
        <v>0</v>
      </c>
      <c r="CR75" s="1746"/>
      <c r="CS75" s="1053"/>
      <c r="CT75" s="1053"/>
      <c r="CU75" s="1053"/>
      <c r="CV75" s="1747"/>
      <c r="CW75" s="1057">
        <f t="shared" si="57"/>
        <v>0</v>
      </c>
      <c r="CX75" s="1744"/>
      <c r="CY75" s="1125"/>
      <c r="CZ75" s="1125"/>
      <c r="DA75" s="1125"/>
      <c r="DB75" s="1745"/>
      <c r="DC75" s="1054">
        <f t="shared" si="58"/>
        <v>0</v>
      </c>
      <c r="DD75" s="1744"/>
      <c r="DE75" s="1125"/>
      <c r="DF75" s="1125"/>
      <c r="DG75" s="1125"/>
      <c r="DH75" s="1745"/>
      <c r="DI75" s="1057">
        <f t="shared" si="59"/>
        <v>0</v>
      </c>
      <c r="DJ75" s="1744"/>
      <c r="DK75" s="1125"/>
      <c r="DL75" s="1125"/>
      <c r="DM75" s="1125"/>
      <c r="DN75" s="1125"/>
      <c r="DO75" s="1124">
        <f t="shared" si="60"/>
        <v>0</v>
      </c>
      <c r="DP75" s="1125"/>
      <c r="DQ75" s="1125"/>
      <c r="DR75" s="1125"/>
      <c r="DS75" s="1125"/>
      <c r="DT75" s="1125"/>
      <c r="DU75" s="1125">
        <f t="shared" si="63"/>
        <v>0</v>
      </c>
      <c r="DV75" s="1744">
        <v>3300</v>
      </c>
      <c r="DW75" s="1125">
        <v>2277</v>
      </c>
      <c r="DX75" s="1125">
        <v>1023</v>
      </c>
      <c r="DY75" s="1125">
        <v>0</v>
      </c>
      <c r="DZ75" s="1745">
        <v>0</v>
      </c>
      <c r="EA75" s="1058">
        <f t="shared" si="61"/>
        <v>6600</v>
      </c>
      <c r="EB75" s="1744">
        <v>1495.15</v>
      </c>
      <c r="EC75" s="1125">
        <v>0</v>
      </c>
      <c r="ED75" s="1125">
        <v>274.24</v>
      </c>
      <c r="EE75" s="1125">
        <v>0.05</v>
      </c>
      <c r="EF75" s="1745">
        <v>0</v>
      </c>
      <c r="EG75" s="1057">
        <f t="shared" si="62"/>
        <v>1769.44</v>
      </c>
    </row>
    <row r="76" spans="1:137" ht="15" customHeight="1" x14ac:dyDescent="0.25">
      <c r="A76" s="719" t="s">
        <v>186</v>
      </c>
      <c r="B76" s="816" t="s">
        <v>187</v>
      </c>
      <c r="C76" s="917" t="s">
        <v>264</v>
      </c>
      <c r="D76" s="814">
        <f t="shared" si="35"/>
        <v>31879.86</v>
      </c>
      <c r="E76" s="814">
        <f t="shared" si="36"/>
        <v>12155.130000000001</v>
      </c>
      <c r="F76" s="814">
        <f t="shared" si="37"/>
        <v>8563.64</v>
      </c>
      <c r="G76" s="814">
        <f t="shared" si="38"/>
        <v>-7.9999999999999988E-2</v>
      </c>
      <c r="H76" s="814">
        <f t="shared" si="39"/>
        <v>0</v>
      </c>
      <c r="I76" s="1422">
        <f t="shared" si="40"/>
        <v>52598.55</v>
      </c>
      <c r="J76" s="815">
        <f t="shared" si="41"/>
        <v>-7.9999999999999988E-2</v>
      </c>
      <c r="K76" s="1423">
        <f t="shared" si="42"/>
        <v>8563.56</v>
      </c>
      <c r="L76" s="1723"/>
      <c r="M76" s="1043"/>
      <c r="N76" s="1043"/>
      <c r="O76" s="1043"/>
      <c r="P76" s="1043"/>
      <c r="Q76" s="1044">
        <f t="shared" si="43"/>
        <v>0</v>
      </c>
      <c r="R76" s="1717"/>
      <c r="S76" s="1048"/>
      <c r="T76" s="1048"/>
      <c r="U76" s="1048"/>
      <c r="V76" s="1718"/>
      <c r="W76" s="1047">
        <f t="shared" si="44"/>
        <v>0</v>
      </c>
      <c r="X76" s="1719"/>
      <c r="Y76" s="1123"/>
      <c r="Z76" s="1123"/>
      <c r="AA76" s="1123"/>
      <c r="AB76" s="1123"/>
      <c r="AC76" s="1122">
        <f t="shared" si="45"/>
        <v>0</v>
      </c>
      <c r="AD76" s="1733">
        <v>1481.76</v>
      </c>
      <c r="AE76" s="1734">
        <v>8.83</v>
      </c>
      <c r="AF76" s="1734">
        <v>273.43</v>
      </c>
      <c r="AG76" s="1734">
        <v>-0.02</v>
      </c>
      <c r="AH76" s="1735">
        <v>0</v>
      </c>
      <c r="AI76" s="1045">
        <f t="shared" si="46"/>
        <v>1764</v>
      </c>
      <c r="AJ76" s="1744">
        <v>11735.51</v>
      </c>
      <c r="AK76" s="1125">
        <v>0</v>
      </c>
      <c r="AL76" s="1125">
        <v>2933.83</v>
      </c>
      <c r="AM76" s="1125">
        <v>0</v>
      </c>
      <c r="AN76" s="1745">
        <v>0</v>
      </c>
      <c r="AO76" s="1057">
        <f t="shared" si="47"/>
        <v>14669.34</v>
      </c>
      <c r="AP76" s="1736"/>
      <c r="AQ76" s="1046"/>
      <c r="AR76" s="1046"/>
      <c r="AS76" s="1046"/>
      <c r="AT76" s="1046"/>
      <c r="AU76" s="1049">
        <f t="shared" si="48"/>
        <v>0</v>
      </c>
      <c r="AV76" s="1755"/>
      <c r="AW76" s="1756"/>
      <c r="AX76" s="1756"/>
      <c r="AY76" s="1756"/>
      <c r="AZ76" s="1757"/>
      <c r="BA76" s="1051">
        <f t="shared" si="49"/>
        <v>0</v>
      </c>
      <c r="BB76" s="1764">
        <v>746.07</v>
      </c>
      <c r="BC76" s="1765">
        <v>186.52</v>
      </c>
      <c r="BD76" s="1765">
        <v>0</v>
      </c>
      <c r="BE76" s="1765">
        <v>0</v>
      </c>
      <c r="BF76" s="1766">
        <v>0</v>
      </c>
      <c r="BG76" s="1047">
        <f t="shared" si="50"/>
        <v>932.59</v>
      </c>
      <c r="BH76" s="1746">
        <v>249.48</v>
      </c>
      <c r="BI76" s="1053">
        <v>450.52</v>
      </c>
      <c r="BJ76" s="1053">
        <v>0</v>
      </c>
      <c r="BK76" s="1053">
        <v>0</v>
      </c>
      <c r="BL76" s="1053">
        <v>0</v>
      </c>
      <c r="BM76" s="1054">
        <f t="shared" si="51"/>
        <v>700</v>
      </c>
      <c r="BN76" s="1744">
        <v>7679.7</v>
      </c>
      <c r="BO76" s="1125">
        <v>972.77</v>
      </c>
      <c r="BP76" s="1125">
        <v>1587.14</v>
      </c>
      <c r="BQ76" s="1125">
        <v>-0.02</v>
      </c>
      <c r="BR76" s="1745">
        <v>0</v>
      </c>
      <c r="BS76" s="1054">
        <f t="shared" si="52"/>
        <v>10239.589999999998</v>
      </c>
      <c r="BT76" s="1744"/>
      <c r="BU76" s="1125"/>
      <c r="BV76" s="1125"/>
      <c r="BW76" s="1125"/>
      <c r="BX76" s="1745"/>
      <c r="BY76" s="1057">
        <f t="shared" si="53"/>
        <v>0</v>
      </c>
      <c r="BZ76" s="1744">
        <v>2543.17</v>
      </c>
      <c r="CA76" s="1125">
        <v>7974.86</v>
      </c>
      <c r="CB76" s="1125">
        <v>1929.28</v>
      </c>
      <c r="CC76" s="1125">
        <v>-0.05</v>
      </c>
      <c r="CD76" s="1745">
        <v>0</v>
      </c>
      <c r="CE76" s="1057">
        <f t="shared" si="54"/>
        <v>12447.26</v>
      </c>
      <c r="CF76" s="1746"/>
      <c r="CG76" s="1053"/>
      <c r="CH76" s="1053"/>
      <c r="CI76" s="1053"/>
      <c r="CJ76" s="1747"/>
      <c r="CK76" s="1057">
        <f t="shared" si="55"/>
        <v>0</v>
      </c>
      <c r="CL76" s="1746"/>
      <c r="CM76" s="1053"/>
      <c r="CN76" s="1053"/>
      <c r="CO76" s="1053"/>
      <c r="CP76" s="1053"/>
      <c r="CQ76" s="1054">
        <f t="shared" si="56"/>
        <v>0</v>
      </c>
      <c r="CR76" s="1746"/>
      <c r="CS76" s="1053"/>
      <c r="CT76" s="1053"/>
      <c r="CU76" s="1053"/>
      <c r="CV76" s="1747"/>
      <c r="CW76" s="1057">
        <f t="shared" si="57"/>
        <v>0</v>
      </c>
      <c r="CX76" s="1746"/>
      <c r="CY76" s="1053"/>
      <c r="CZ76" s="1053"/>
      <c r="DA76" s="1053"/>
      <c r="DB76" s="1053"/>
      <c r="DC76" s="1054">
        <f t="shared" si="58"/>
        <v>0</v>
      </c>
      <c r="DD76" s="1744">
        <v>-25</v>
      </c>
      <c r="DE76" s="1125">
        <v>0</v>
      </c>
      <c r="DF76" s="1125">
        <v>0</v>
      </c>
      <c r="DG76" s="1125">
        <v>0</v>
      </c>
      <c r="DH76" s="1745">
        <v>0</v>
      </c>
      <c r="DI76" s="1057">
        <f t="shared" si="59"/>
        <v>-25</v>
      </c>
      <c r="DJ76" s="1744"/>
      <c r="DK76" s="1125"/>
      <c r="DL76" s="1125"/>
      <c r="DM76" s="1125"/>
      <c r="DN76" s="1125"/>
      <c r="DO76" s="1124">
        <f t="shared" si="60"/>
        <v>0</v>
      </c>
      <c r="DP76" s="1125"/>
      <c r="DQ76" s="1125"/>
      <c r="DR76" s="1125"/>
      <c r="DS76" s="1125"/>
      <c r="DT76" s="1125"/>
      <c r="DU76" s="1125">
        <f t="shared" si="63"/>
        <v>0</v>
      </c>
      <c r="DV76" s="1744">
        <v>3712.5</v>
      </c>
      <c r="DW76" s="1125">
        <v>2561.63</v>
      </c>
      <c r="DX76" s="1125">
        <v>1150.8800000000001</v>
      </c>
      <c r="DY76" s="1125">
        <v>-0.01</v>
      </c>
      <c r="DZ76" s="1745">
        <v>0</v>
      </c>
      <c r="EA76" s="1058">
        <f t="shared" si="61"/>
        <v>7425</v>
      </c>
      <c r="EB76" s="1744">
        <v>3756.67</v>
      </c>
      <c r="EC76" s="1125">
        <v>0</v>
      </c>
      <c r="ED76" s="1125">
        <v>689.08</v>
      </c>
      <c r="EE76" s="1125">
        <v>0.02</v>
      </c>
      <c r="EF76" s="1745">
        <v>0</v>
      </c>
      <c r="EG76" s="1057">
        <f t="shared" si="62"/>
        <v>4445.7700000000004</v>
      </c>
    </row>
    <row r="77" spans="1:137" ht="15" customHeight="1" x14ac:dyDescent="0.25">
      <c r="A77" s="719" t="s">
        <v>188</v>
      </c>
      <c r="B77" s="816" t="s">
        <v>189</v>
      </c>
      <c r="C77" s="917" t="s">
        <v>267</v>
      </c>
      <c r="D77" s="814">
        <f t="shared" si="35"/>
        <v>264020.56999999995</v>
      </c>
      <c r="E77" s="814">
        <f t="shared" si="36"/>
        <v>186996.18</v>
      </c>
      <c r="F77" s="814">
        <f t="shared" si="37"/>
        <v>95093.300000000017</v>
      </c>
      <c r="G77" s="814">
        <f t="shared" si="38"/>
        <v>-0.4</v>
      </c>
      <c r="H77" s="814">
        <f t="shared" si="39"/>
        <v>7.63</v>
      </c>
      <c r="I77" s="1422">
        <f t="shared" si="40"/>
        <v>546117.27999999991</v>
      </c>
      <c r="J77" s="815">
        <f t="shared" si="41"/>
        <v>7.2299999999999995</v>
      </c>
      <c r="K77" s="1423">
        <f t="shared" si="42"/>
        <v>95100.530000000013</v>
      </c>
      <c r="L77" s="1723"/>
      <c r="M77" s="1043"/>
      <c r="N77" s="1043"/>
      <c r="O77" s="1043"/>
      <c r="P77" s="1043"/>
      <c r="Q77" s="1044">
        <f t="shared" si="43"/>
        <v>0</v>
      </c>
      <c r="R77" s="1717"/>
      <c r="S77" s="1048"/>
      <c r="T77" s="1048"/>
      <c r="U77" s="1048"/>
      <c r="V77" s="1718"/>
      <c r="W77" s="1047">
        <f t="shared" si="44"/>
        <v>0</v>
      </c>
      <c r="X77" s="1719"/>
      <c r="Y77" s="1123"/>
      <c r="Z77" s="1123"/>
      <c r="AA77" s="1123"/>
      <c r="AB77" s="1123"/>
      <c r="AC77" s="1122">
        <f t="shared" si="45"/>
        <v>0</v>
      </c>
      <c r="AD77" s="1733">
        <v>13057.57</v>
      </c>
      <c r="AE77" s="1734">
        <v>77.75</v>
      </c>
      <c r="AF77" s="1734">
        <v>2409.44</v>
      </c>
      <c r="AG77" s="1734">
        <v>-0.05</v>
      </c>
      <c r="AH77" s="1735">
        <v>0</v>
      </c>
      <c r="AI77" s="1045">
        <f t="shared" si="46"/>
        <v>15544.710000000001</v>
      </c>
      <c r="AJ77" s="1744">
        <v>24972.18</v>
      </c>
      <c r="AK77" s="1125">
        <v>0</v>
      </c>
      <c r="AL77" s="1125">
        <v>6243.06</v>
      </c>
      <c r="AM77" s="1125">
        <v>0</v>
      </c>
      <c r="AN77" s="1745">
        <v>0</v>
      </c>
      <c r="AO77" s="1057">
        <f t="shared" si="47"/>
        <v>31215.24</v>
      </c>
      <c r="AP77" s="1733">
        <v>4352.32</v>
      </c>
      <c r="AQ77" s="1734">
        <v>1606.69</v>
      </c>
      <c r="AR77" s="1734">
        <v>1093.0899999999999</v>
      </c>
      <c r="AS77" s="1734">
        <v>-0.1</v>
      </c>
      <c r="AT77" s="1735">
        <v>7.63</v>
      </c>
      <c r="AU77" s="1049">
        <f t="shared" si="48"/>
        <v>7059.63</v>
      </c>
      <c r="AV77" s="1755">
        <v>1460.73</v>
      </c>
      <c r="AW77" s="1756">
        <v>365.18</v>
      </c>
      <c r="AX77" s="1756">
        <v>0</v>
      </c>
      <c r="AY77" s="1756">
        <v>0</v>
      </c>
      <c r="AZ77" s="1757">
        <v>0</v>
      </c>
      <c r="BA77" s="1051">
        <f t="shared" si="49"/>
        <v>1825.91</v>
      </c>
      <c r="BB77" s="1764">
        <v>12630.01</v>
      </c>
      <c r="BC77" s="1765">
        <v>3157.5</v>
      </c>
      <c r="BD77" s="1765">
        <v>0</v>
      </c>
      <c r="BE77" s="1765">
        <v>0</v>
      </c>
      <c r="BF77" s="1766">
        <v>0</v>
      </c>
      <c r="BG77" s="1047">
        <f t="shared" si="50"/>
        <v>15787.51</v>
      </c>
      <c r="BH77" s="1744">
        <v>2623.1</v>
      </c>
      <c r="BI77" s="1125">
        <v>4736.8999999999996</v>
      </c>
      <c r="BJ77" s="1125">
        <v>0</v>
      </c>
      <c r="BK77" s="1125">
        <v>0</v>
      </c>
      <c r="BL77" s="1745">
        <v>0</v>
      </c>
      <c r="BM77" s="1054">
        <f t="shared" si="51"/>
        <v>7360</v>
      </c>
      <c r="BN77" s="1744">
        <v>166498.51999999999</v>
      </c>
      <c r="BO77" s="1125">
        <v>21089.8</v>
      </c>
      <c r="BP77" s="1125">
        <v>34409.68</v>
      </c>
      <c r="BQ77" s="1125">
        <v>0</v>
      </c>
      <c r="BR77" s="1745">
        <v>0</v>
      </c>
      <c r="BS77" s="1054">
        <f t="shared" si="52"/>
        <v>221997.99999999997</v>
      </c>
      <c r="BT77" s="1744">
        <v>-4102.91</v>
      </c>
      <c r="BU77" s="1125">
        <v>-4102.91</v>
      </c>
      <c r="BV77" s="1125">
        <v>0</v>
      </c>
      <c r="BW77" s="1125">
        <v>0.01</v>
      </c>
      <c r="BX77" s="1745">
        <v>0</v>
      </c>
      <c r="BY77" s="1057">
        <f t="shared" si="53"/>
        <v>-8205.81</v>
      </c>
      <c r="BZ77" s="1744">
        <v>45326.33</v>
      </c>
      <c r="CA77" s="1125">
        <v>154121.44</v>
      </c>
      <c r="CB77" s="1125">
        <v>36584.15</v>
      </c>
      <c r="CC77" s="1125">
        <v>-0.27</v>
      </c>
      <c r="CD77" s="1745">
        <v>0</v>
      </c>
      <c r="CE77" s="1057">
        <f t="shared" si="54"/>
        <v>236031.65000000002</v>
      </c>
      <c r="CF77" s="1744">
        <v>4494.22</v>
      </c>
      <c r="CG77" s="1125">
        <v>0</v>
      </c>
      <c r="CH77" s="1125">
        <v>7587.02</v>
      </c>
      <c r="CI77" s="1125">
        <v>0</v>
      </c>
      <c r="CJ77" s="1745">
        <v>0</v>
      </c>
      <c r="CK77" s="1057">
        <f t="shared" si="55"/>
        <v>12081.240000000002</v>
      </c>
      <c r="CL77" s="1746"/>
      <c r="CM77" s="1053"/>
      <c r="CN77" s="1053"/>
      <c r="CO77" s="1053"/>
      <c r="CP77" s="1053"/>
      <c r="CQ77" s="1054">
        <f t="shared" si="56"/>
        <v>0</v>
      </c>
      <c r="CR77" s="1744">
        <v>-1149</v>
      </c>
      <c r="CS77" s="1125"/>
      <c r="CT77" s="1125"/>
      <c r="CU77" s="1125"/>
      <c r="CV77" s="1745"/>
      <c r="CW77" s="1057">
        <f t="shared" si="57"/>
        <v>-1149</v>
      </c>
      <c r="CX77" s="1744">
        <v>-1629.91</v>
      </c>
      <c r="CY77" s="1125">
        <v>-1629.91</v>
      </c>
      <c r="CZ77" s="1125">
        <v>0</v>
      </c>
      <c r="DA77" s="1125">
        <v>0.01</v>
      </c>
      <c r="DB77" s="1745">
        <v>0</v>
      </c>
      <c r="DC77" s="1054">
        <f t="shared" si="58"/>
        <v>-3259.81</v>
      </c>
      <c r="DD77" s="1744">
        <v>-11854.1</v>
      </c>
      <c r="DE77" s="1125">
        <v>0</v>
      </c>
      <c r="DF77" s="1125">
        <v>0</v>
      </c>
      <c r="DG77" s="1125">
        <v>0</v>
      </c>
      <c r="DH77" s="1745">
        <v>0</v>
      </c>
      <c r="DI77" s="1057">
        <f t="shared" si="59"/>
        <v>-11854.1</v>
      </c>
      <c r="DJ77" s="1744">
        <v>-15271</v>
      </c>
      <c r="DK77" s="1125">
        <v>-341</v>
      </c>
      <c r="DL77" s="1125">
        <v>0</v>
      </c>
      <c r="DM77" s="1125">
        <v>0</v>
      </c>
      <c r="DN77" s="1125">
        <v>0</v>
      </c>
      <c r="DO77" s="1124">
        <f t="shared" si="60"/>
        <v>-15612</v>
      </c>
      <c r="DP77" s="1125">
        <v>-3181.5</v>
      </c>
      <c r="DQ77" s="1125">
        <v>-3181.5</v>
      </c>
      <c r="DR77" s="1125">
        <v>0</v>
      </c>
      <c r="DS77" s="1125">
        <v>0</v>
      </c>
      <c r="DT77" s="1125">
        <v>0</v>
      </c>
      <c r="DU77" s="1125">
        <f t="shared" si="63"/>
        <v>-6363</v>
      </c>
      <c r="DV77" s="1744">
        <v>16081.5</v>
      </c>
      <c r="DW77" s="1125">
        <v>11096.24</v>
      </c>
      <c r="DX77" s="1125">
        <v>4985.2700000000004</v>
      </c>
      <c r="DY77" s="1125">
        <v>-0.01</v>
      </c>
      <c r="DZ77" s="1745">
        <v>0</v>
      </c>
      <c r="EA77" s="1058">
        <f t="shared" si="61"/>
        <v>32163</v>
      </c>
      <c r="EB77" s="1744">
        <v>9712.51</v>
      </c>
      <c r="EC77" s="1125">
        <v>0</v>
      </c>
      <c r="ED77" s="1125">
        <v>1781.59</v>
      </c>
      <c r="EE77" s="1125">
        <v>0.01</v>
      </c>
      <c r="EF77" s="1745">
        <v>0</v>
      </c>
      <c r="EG77" s="1057">
        <f t="shared" si="62"/>
        <v>11494.11</v>
      </c>
    </row>
    <row r="78" spans="1:137" ht="15" customHeight="1" x14ac:dyDescent="0.25">
      <c r="A78" s="719" t="s">
        <v>190</v>
      </c>
      <c r="B78" s="816" t="s">
        <v>191</v>
      </c>
      <c r="C78" s="917" t="s">
        <v>268</v>
      </c>
      <c r="D78" s="814">
        <f t="shared" si="35"/>
        <v>87536.61</v>
      </c>
      <c r="E78" s="814">
        <f t="shared" si="36"/>
        <v>27635.11</v>
      </c>
      <c r="F78" s="814">
        <f t="shared" si="37"/>
        <v>21008.11</v>
      </c>
      <c r="G78" s="814">
        <f t="shared" si="38"/>
        <v>-4.0000000000000008E-2</v>
      </c>
      <c r="H78" s="814">
        <f t="shared" si="39"/>
        <v>0</v>
      </c>
      <c r="I78" s="1422">
        <f t="shared" si="40"/>
        <v>136179.79</v>
      </c>
      <c r="J78" s="815">
        <f t="shared" si="41"/>
        <v>-4.0000000000000008E-2</v>
      </c>
      <c r="K78" s="1423">
        <f t="shared" si="42"/>
        <v>21008.07</v>
      </c>
      <c r="L78" s="1723"/>
      <c r="M78" s="1043"/>
      <c r="N78" s="1043"/>
      <c r="O78" s="1043"/>
      <c r="P78" s="1043"/>
      <c r="Q78" s="1044">
        <f t="shared" si="43"/>
        <v>0</v>
      </c>
      <c r="R78" s="1717"/>
      <c r="S78" s="1048"/>
      <c r="T78" s="1048"/>
      <c r="U78" s="1048"/>
      <c r="V78" s="1718"/>
      <c r="W78" s="1047">
        <f t="shared" si="44"/>
        <v>0</v>
      </c>
      <c r="X78" s="1719"/>
      <c r="Y78" s="1123"/>
      <c r="Z78" s="1123"/>
      <c r="AA78" s="1123"/>
      <c r="AB78" s="1123"/>
      <c r="AC78" s="1122">
        <f t="shared" si="45"/>
        <v>0</v>
      </c>
      <c r="AD78" s="1733">
        <v>3064.63</v>
      </c>
      <c r="AE78" s="1734">
        <v>18.25</v>
      </c>
      <c r="AF78" s="1734">
        <v>565.5</v>
      </c>
      <c r="AG78" s="1734">
        <v>-0.01</v>
      </c>
      <c r="AH78" s="1735">
        <v>0</v>
      </c>
      <c r="AI78" s="1045">
        <f t="shared" si="46"/>
        <v>3648.37</v>
      </c>
      <c r="AJ78" s="1744">
        <v>25216.07</v>
      </c>
      <c r="AK78" s="1125">
        <v>0</v>
      </c>
      <c r="AL78" s="1125">
        <v>6304.02</v>
      </c>
      <c r="AM78" s="1125">
        <v>0</v>
      </c>
      <c r="AN78" s="1745">
        <v>0</v>
      </c>
      <c r="AO78" s="1057">
        <f t="shared" si="47"/>
        <v>31520.09</v>
      </c>
      <c r="AP78" s="1736"/>
      <c r="AQ78" s="1046"/>
      <c r="AR78" s="1046"/>
      <c r="AS78" s="1046"/>
      <c r="AT78" s="1046"/>
      <c r="AU78" s="1049">
        <f t="shared" si="48"/>
        <v>0</v>
      </c>
      <c r="AV78" s="1755">
        <v>2408.44</v>
      </c>
      <c r="AW78" s="1756">
        <v>602.11</v>
      </c>
      <c r="AX78" s="1756">
        <v>0</v>
      </c>
      <c r="AY78" s="1756">
        <v>0</v>
      </c>
      <c r="AZ78" s="1757">
        <v>0</v>
      </c>
      <c r="BA78" s="1051">
        <f t="shared" si="49"/>
        <v>3010.55</v>
      </c>
      <c r="BB78" s="1764">
        <v>5977.17</v>
      </c>
      <c r="BC78" s="1765">
        <v>1494.28</v>
      </c>
      <c r="BD78" s="1765">
        <v>0</v>
      </c>
      <c r="BE78" s="1765">
        <v>0</v>
      </c>
      <c r="BF78" s="1766">
        <v>0</v>
      </c>
      <c r="BG78" s="1047">
        <f t="shared" si="50"/>
        <v>7471.45</v>
      </c>
      <c r="BH78" s="1746"/>
      <c r="BI78" s="1053"/>
      <c r="BJ78" s="1053"/>
      <c r="BK78" s="1053"/>
      <c r="BL78" s="1053"/>
      <c r="BM78" s="1054">
        <f t="shared" si="51"/>
        <v>0</v>
      </c>
      <c r="BN78" s="1744">
        <v>30284.38</v>
      </c>
      <c r="BO78" s="1125">
        <v>3836.02</v>
      </c>
      <c r="BP78" s="1125">
        <v>6258.77</v>
      </c>
      <c r="BQ78" s="1125">
        <v>-0.03</v>
      </c>
      <c r="BR78" s="1745">
        <v>0</v>
      </c>
      <c r="BS78" s="1054">
        <f t="shared" si="52"/>
        <v>40379.14</v>
      </c>
      <c r="BT78" s="1744"/>
      <c r="BU78" s="1125"/>
      <c r="BV78" s="1125"/>
      <c r="BW78" s="1125"/>
      <c r="BX78" s="1745"/>
      <c r="BY78" s="1057">
        <f t="shared" si="53"/>
        <v>0</v>
      </c>
      <c r="BZ78" s="1744">
        <v>3974.43</v>
      </c>
      <c r="CA78" s="1125">
        <v>13145.7</v>
      </c>
      <c r="CB78" s="1125">
        <v>3140.28</v>
      </c>
      <c r="CC78" s="1125">
        <v>-0.06</v>
      </c>
      <c r="CD78" s="1745">
        <v>0</v>
      </c>
      <c r="CE78" s="1057">
        <f t="shared" si="54"/>
        <v>20260.349999999999</v>
      </c>
      <c r="CF78" s="1746"/>
      <c r="CG78" s="1053"/>
      <c r="CH78" s="1053"/>
      <c r="CI78" s="1053"/>
      <c r="CJ78" s="1747"/>
      <c r="CK78" s="1057">
        <f t="shared" si="55"/>
        <v>0</v>
      </c>
      <c r="CL78" s="1746"/>
      <c r="CM78" s="1053"/>
      <c r="CN78" s="1053"/>
      <c r="CO78" s="1053"/>
      <c r="CP78" s="1053"/>
      <c r="CQ78" s="1054">
        <f t="shared" si="56"/>
        <v>0</v>
      </c>
      <c r="CR78" s="1744"/>
      <c r="CS78" s="1125"/>
      <c r="CT78" s="1125"/>
      <c r="CU78" s="1125"/>
      <c r="CV78" s="1745"/>
      <c r="CW78" s="1057">
        <f t="shared" si="57"/>
        <v>0</v>
      </c>
      <c r="CX78" s="1746"/>
      <c r="CY78" s="1053"/>
      <c r="CZ78" s="1053"/>
      <c r="DA78" s="1053"/>
      <c r="DB78" s="1053"/>
      <c r="DC78" s="1054">
        <f t="shared" si="58"/>
        <v>0</v>
      </c>
      <c r="DD78" s="1744">
        <v>-688</v>
      </c>
      <c r="DE78" s="1125">
        <v>0</v>
      </c>
      <c r="DF78" s="1125">
        <v>0</v>
      </c>
      <c r="DG78" s="1125">
        <v>0</v>
      </c>
      <c r="DH78" s="1745">
        <v>0</v>
      </c>
      <c r="DI78" s="1057">
        <f t="shared" si="59"/>
        <v>-688</v>
      </c>
      <c r="DJ78" s="1744"/>
      <c r="DK78" s="1125"/>
      <c r="DL78" s="1125"/>
      <c r="DM78" s="1125"/>
      <c r="DN78" s="1125"/>
      <c r="DO78" s="1124">
        <f t="shared" si="60"/>
        <v>0</v>
      </c>
      <c r="DP78" s="1125"/>
      <c r="DQ78" s="1125"/>
      <c r="DR78" s="1125"/>
      <c r="DS78" s="1125"/>
      <c r="DT78" s="1125"/>
      <c r="DU78" s="1125">
        <f t="shared" si="63"/>
        <v>0</v>
      </c>
      <c r="DV78" s="1744">
        <v>12375</v>
      </c>
      <c r="DW78" s="1125">
        <v>8538.75</v>
      </c>
      <c r="DX78" s="1125">
        <v>3836.25</v>
      </c>
      <c r="DY78" s="1125">
        <v>0</v>
      </c>
      <c r="DZ78" s="1745">
        <v>0</v>
      </c>
      <c r="EA78" s="1058">
        <f t="shared" si="61"/>
        <v>24750</v>
      </c>
      <c r="EB78" s="1744">
        <v>4924.49</v>
      </c>
      <c r="EC78" s="1125">
        <v>0</v>
      </c>
      <c r="ED78" s="1125">
        <v>903.29</v>
      </c>
      <c r="EE78" s="1125">
        <v>0.06</v>
      </c>
      <c r="EF78" s="1745">
        <v>0</v>
      </c>
      <c r="EG78" s="1057">
        <f t="shared" si="62"/>
        <v>5827.84</v>
      </c>
    </row>
    <row r="79" spans="1:137" ht="15" customHeight="1" x14ac:dyDescent="0.25">
      <c r="A79" s="719" t="s">
        <v>194</v>
      </c>
      <c r="B79" s="816" t="s">
        <v>195</v>
      </c>
      <c r="C79" s="917" t="s">
        <v>267</v>
      </c>
      <c r="D79" s="814">
        <f t="shared" si="35"/>
        <v>21830.2</v>
      </c>
      <c r="E79" s="814">
        <f t="shared" si="36"/>
        <v>2315.3000000000002</v>
      </c>
      <c r="F79" s="814">
        <f t="shared" si="37"/>
        <v>4205.5599999999995</v>
      </c>
      <c r="G79" s="814">
        <f t="shared" si="38"/>
        <v>-0.09</v>
      </c>
      <c r="H79" s="814">
        <f t="shared" si="39"/>
        <v>2240</v>
      </c>
      <c r="I79" s="1422">
        <f t="shared" si="40"/>
        <v>30590.969999999998</v>
      </c>
      <c r="J79" s="815">
        <f t="shared" si="41"/>
        <v>2239.91</v>
      </c>
      <c r="K79" s="1423">
        <f t="shared" si="42"/>
        <v>6445.4699999999993</v>
      </c>
      <c r="L79" s="1723"/>
      <c r="M79" s="1043"/>
      <c r="N79" s="1043"/>
      <c r="O79" s="1043"/>
      <c r="P79" s="1043"/>
      <c r="Q79" s="1044">
        <f t="shared" si="43"/>
        <v>0</v>
      </c>
      <c r="R79" s="1717"/>
      <c r="S79" s="1048"/>
      <c r="T79" s="1048"/>
      <c r="U79" s="1048"/>
      <c r="V79" s="1718"/>
      <c r="W79" s="1047">
        <f t="shared" si="44"/>
        <v>0</v>
      </c>
      <c r="X79" s="1719"/>
      <c r="Y79" s="1123"/>
      <c r="Z79" s="1123"/>
      <c r="AA79" s="1123"/>
      <c r="AB79" s="1123"/>
      <c r="AC79" s="1122">
        <f t="shared" si="45"/>
        <v>0</v>
      </c>
      <c r="AD79" s="1736">
        <v>0</v>
      </c>
      <c r="AE79" s="1046">
        <v>0</v>
      </c>
      <c r="AF79" s="1046">
        <v>0</v>
      </c>
      <c r="AG79" s="1046">
        <v>0</v>
      </c>
      <c r="AH79" s="1737">
        <v>0</v>
      </c>
      <c r="AI79" s="1045">
        <f t="shared" si="46"/>
        <v>0</v>
      </c>
      <c r="AJ79" s="1744">
        <v>4151.1099999999997</v>
      </c>
      <c r="AK79" s="1125">
        <v>0</v>
      </c>
      <c r="AL79" s="1125">
        <v>1037.78</v>
      </c>
      <c r="AM79" s="1125">
        <v>0</v>
      </c>
      <c r="AN79" s="1745">
        <v>0</v>
      </c>
      <c r="AO79" s="1057">
        <f t="shared" si="47"/>
        <v>5188.8899999999994</v>
      </c>
      <c r="AP79" s="1736"/>
      <c r="AQ79" s="1046"/>
      <c r="AR79" s="1046"/>
      <c r="AS79" s="1046"/>
      <c r="AT79" s="1046"/>
      <c r="AU79" s="1049">
        <f t="shared" si="48"/>
        <v>0</v>
      </c>
      <c r="AV79" s="1758">
        <v>777.66</v>
      </c>
      <c r="AW79" s="1050">
        <v>194.42</v>
      </c>
      <c r="AX79" s="1050">
        <v>0</v>
      </c>
      <c r="AY79" s="1050">
        <v>0</v>
      </c>
      <c r="AZ79" s="1050">
        <v>0</v>
      </c>
      <c r="BA79" s="1051">
        <f t="shared" si="49"/>
        <v>972.07999999999993</v>
      </c>
      <c r="BB79" s="1764">
        <v>1402.41</v>
      </c>
      <c r="BC79" s="1765">
        <v>350.6</v>
      </c>
      <c r="BD79" s="1765">
        <v>0</v>
      </c>
      <c r="BE79" s="1765">
        <v>0</v>
      </c>
      <c r="BF79" s="1766">
        <v>2240</v>
      </c>
      <c r="BG79" s="1047">
        <f t="shared" si="50"/>
        <v>3993.01</v>
      </c>
      <c r="BH79" s="1746"/>
      <c r="BI79" s="1053"/>
      <c r="BJ79" s="1053"/>
      <c r="BK79" s="1053"/>
      <c r="BL79" s="1053"/>
      <c r="BM79" s="1054">
        <f t="shared" si="51"/>
        <v>0</v>
      </c>
      <c r="BN79" s="1744">
        <v>11368.76</v>
      </c>
      <c r="BO79" s="1125">
        <v>1440.06</v>
      </c>
      <c r="BP79" s="1125">
        <v>2349.5500000000002</v>
      </c>
      <c r="BQ79" s="1125">
        <v>-0.01</v>
      </c>
      <c r="BR79" s="1745">
        <v>0</v>
      </c>
      <c r="BS79" s="1054">
        <f t="shared" si="52"/>
        <v>15158.359999999999</v>
      </c>
      <c r="BT79" s="1744"/>
      <c r="BU79" s="1125"/>
      <c r="BV79" s="1125"/>
      <c r="BW79" s="1125"/>
      <c r="BX79" s="1745"/>
      <c r="BY79" s="1057">
        <f t="shared" si="53"/>
        <v>0</v>
      </c>
      <c r="BZ79" s="1744">
        <v>97.06</v>
      </c>
      <c r="CA79" s="1125">
        <v>330.22</v>
      </c>
      <c r="CB79" s="1125">
        <v>78.41</v>
      </c>
      <c r="CC79" s="1125">
        <v>-0.08</v>
      </c>
      <c r="CD79" s="1745">
        <v>0</v>
      </c>
      <c r="CE79" s="1057">
        <f t="shared" si="54"/>
        <v>505.61000000000007</v>
      </c>
      <c r="CF79" s="1746"/>
      <c r="CG79" s="1053"/>
      <c r="CH79" s="1053"/>
      <c r="CI79" s="1053"/>
      <c r="CJ79" s="1747"/>
      <c r="CK79" s="1057">
        <f t="shared" si="55"/>
        <v>0</v>
      </c>
      <c r="CL79" s="1746"/>
      <c r="CM79" s="1053"/>
      <c r="CN79" s="1053"/>
      <c r="CO79" s="1053"/>
      <c r="CP79" s="1053"/>
      <c r="CQ79" s="1054">
        <f t="shared" si="56"/>
        <v>0</v>
      </c>
      <c r="CR79" s="1744"/>
      <c r="CS79" s="1125"/>
      <c r="CT79" s="1125"/>
      <c r="CU79" s="1125"/>
      <c r="CV79" s="1745"/>
      <c r="CW79" s="1057">
        <f t="shared" si="57"/>
        <v>0</v>
      </c>
      <c r="CX79" s="1746"/>
      <c r="CY79" s="1053"/>
      <c r="CZ79" s="1053"/>
      <c r="DA79" s="1053"/>
      <c r="DB79" s="1053"/>
      <c r="DC79" s="1054">
        <f t="shared" si="58"/>
        <v>0</v>
      </c>
      <c r="DD79" s="1744"/>
      <c r="DE79" s="1125"/>
      <c r="DF79" s="1125"/>
      <c r="DG79" s="1125"/>
      <c r="DH79" s="1745"/>
      <c r="DI79" s="1057">
        <f t="shared" si="59"/>
        <v>0</v>
      </c>
      <c r="DJ79" s="1744"/>
      <c r="DK79" s="1125"/>
      <c r="DL79" s="1125"/>
      <c r="DM79" s="1125"/>
      <c r="DN79" s="1125"/>
      <c r="DO79" s="1124">
        <f t="shared" si="60"/>
        <v>0</v>
      </c>
      <c r="DP79" s="1125"/>
      <c r="DQ79" s="1125"/>
      <c r="DR79" s="1125"/>
      <c r="DS79" s="1125"/>
      <c r="DT79" s="1125"/>
      <c r="DU79" s="1125">
        <f t="shared" si="63"/>
        <v>0</v>
      </c>
      <c r="DV79" s="1746">
        <v>0</v>
      </c>
      <c r="DW79" s="1053">
        <v>0</v>
      </c>
      <c r="DX79" s="1053">
        <v>0</v>
      </c>
      <c r="DY79" s="1053">
        <v>0</v>
      </c>
      <c r="DZ79" s="1053">
        <v>0</v>
      </c>
      <c r="EA79" s="1058">
        <f t="shared" si="61"/>
        <v>0</v>
      </c>
      <c r="EB79" s="1744">
        <v>4033.2</v>
      </c>
      <c r="EC79" s="1125">
        <v>0</v>
      </c>
      <c r="ED79" s="1125">
        <v>739.82</v>
      </c>
      <c r="EE79" s="1125">
        <v>0</v>
      </c>
      <c r="EF79" s="1745">
        <v>0</v>
      </c>
      <c r="EG79" s="1057">
        <f t="shared" si="62"/>
        <v>4773.0199999999995</v>
      </c>
    </row>
    <row r="80" spans="1:137" ht="15" customHeight="1" x14ac:dyDescent="0.25">
      <c r="A80" s="719" t="s">
        <v>198</v>
      </c>
      <c r="B80" s="816" t="s">
        <v>199</v>
      </c>
      <c r="C80" s="917" t="s">
        <v>266</v>
      </c>
      <c r="D80" s="814">
        <f t="shared" si="35"/>
        <v>19795.8</v>
      </c>
      <c r="E80" s="814">
        <f t="shared" si="36"/>
        <v>4395.08</v>
      </c>
      <c r="F80" s="814">
        <f t="shared" si="37"/>
        <v>4595.7199999999993</v>
      </c>
      <c r="G80" s="814">
        <f t="shared" si="38"/>
        <v>1.9999999999999997E-2</v>
      </c>
      <c r="H80" s="814">
        <f t="shared" si="39"/>
        <v>0</v>
      </c>
      <c r="I80" s="1422">
        <f t="shared" si="40"/>
        <v>28786.62</v>
      </c>
      <c r="J80" s="815">
        <f t="shared" si="41"/>
        <v>1.9999999999999997E-2</v>
      </c>
      <c r="K80" s="1423">
        <f t="shared" si="42"/>
        <v>4595.74</v>
      </c>
      <c r="L80" s="1723"/>
      <c r="M80" s="1043"/>
      <c r="N80" s="1043"/>
      <c r="O80" s="1043"/>
      <c r="P80" s="1043"/>
      <c r="Q80" s="1044">
        <f t="shared" si="43"/>
        <v>0</v>
      </c>
      <c r="R80" s="1719"/>
      <c r="S80" s="1123"/>
      <c r="T80" s="1123"/>
      <c r="U80" s="1123"/>
      <c r="V80" s="1720"/>
      <c r="W80" s="1047">
        <f t="shared" si="44"/>
        <v>0</v>
      </c>
      <c r="X80" s="1719"/>
      <c r="Y80" s="1123"/>
      <c r="Z80" s="1123"/>
      <c r="AA80" s="1123"/>
      <c r="AB80" s="1123"/>
      <c r="AC80" s="1122">
        <f t="shared" si="45"/>
        <v>0</v>
      </c>
      <c r="AD80" s="1733">
        <v>510.55</v>
      </c>
      <c r="AE80" s="1734">
        <v>3.04</v>
      </c>
      <c r="AF80" s="1734">
        <v>94.21</v>
      </c>
      <c r="AG80" s="1734">
        <v>0</v>
      </c>
      <c r="AH80" s="1735">
        <v>0</v>
      </c>
      <c r="AI80" s="1045">
        <f t="shared" si="46"/>
        <v>607.80000000000007</v>
      </c>
      <c r="AJ80" s="1744">
        <v>2378.8000000000002</v>
      </c>
      <c r="AK80" s="1125">
        <v>0</v>
      </c>
      <c r="AL80" s="1125">
        <v>594.70000000000005</v>
      </c>
      <c r="AM80" s="1125">
        <v>0</v>
      </c>
      <c r="AN80" s="1745">
        <v>0</v>
      </c>
      <c r="AO80" s="1057">
        <f t="shared" si="47"/>
        <v>2973.5</v>
      </c>
      <c r="AP80" s="1736"/>
      <c r="AQ80" s="1046"/>
      <c r="AR80" s="1046"/>
      <c r="AS80" s="1046"/>
      <c r="AT80" s="1046"/>
      <c r="AU80" s="1049">
        <f t="shared" si="48"/>
        <v>0</v>
      </c>
      <c r="AV80" s="1758"/>
      <c r="AW80" s="1050"/>
      <c r="AX80" s="1050"/>
      <c r="AY80" s="1050"/>
      <c r="AZ80" s="1050"/>
      <c r="BA80" s="1051">
        <f t="shared" si="49"/>
        <v>0</v>
      </c>
      <c r="BB80" s="1717">
        <v>0</v>
      </c>
      <c r="BC80" s="1048">
        <v>0</v>
      </c>
      <c r="BD80" s="1048">
        <v>0</v>
      </c>
      <c r="BE80" s="1048">
        <v>0</v>
      </c>
      <c r="BF80" s="1718">
        <v>0</v>
      </c>
      <c r="BG80" s="1047">
        <f t="shared" si="50"/>
        <v>0</v>
      </c>
      <c r="BH80" s="1746"/>
      <c r="BI80" s="1053"/>
      <c r="BJ80" s="1053"/>
      <c r="BK80" s="1053"/>
      <c r="BL80" s="1053"/>
      <c r="BM80" s="1054">
        <f t="shared" si="51"/>
        <v>0</v>
      </c>
      <c r="BN80" s="1744">
        <v>13500</v>
      </c>
      <c r="BO80" s="1125">
        <v>1710</v>
      </c>
      <c r="BP80" s="1125">
        <v>2790</v>
      </c>
      <c r="BQ80" s="1125">
        <v>0</v>
      </c>
      <c r="BR80" s="1745">
        <v>0</v>
      </c>
      <c r="BS80" s="1054">
        <f t="shared" si="52"/>
        <v>18000</v>
      </c>
      <c r="BT80" s="1744"/>
      <c r="BU80" s="1125"/>
      <c r="BV80" s="1125"/>
      <c r="BW80" s="1125"/>
      <c r="BX80" s="1745"/>
      <c r="BY80" s="1057">
        <f t="shared" si="53"/>
        <v>0</v>
      </c>
      <c r="BZ80" s="1744">
        <v>119.14</v>
      </c>
      <c r="CA80" s="1125">
        <v>405.04</v>
      </c>
      <c r="CB80" s="1125">
        <v>96.15</v>
      </c>
      <c r="CC80" s="1125">
        <v>-0.01</v>
      </c>
      <c r="CD80" s="1745">
        <v>0</v>
      </c>
      <c r="CE80" s="1057">
        <f t="shared" si="54"/>
        <v>620.32000000000005</v>
      </c>
      <c r="CF80" s="1746"/>
      <c r="CG80" s="1053"/>
      <c r="CH80" s="1053"/>
      <c r="CI80" s="1053"/>
      <c r="CJ80" s="1747"/>
      <c r="CK80" s="1057">
        <f t="shared" si="55"/>
        <v>0</v>
      </c>
      <c r="CL80" s="1746"/>
      <c r="CM80" s="1053"/>
      <c r="CN80" s="1053"/>
      <c r="CO80" s="1053"/>
      <c r="CP80" s="1053"/>
      <c r="CQ80" s="1054">
        <f t="shared" si="56"/>
        <v>0</v>
      </c>
      <c r="CR80" s="1746"/>
      <c r="CS80" s="1053"/>
      <c r="CT80" s="1053"/>
      <c r="CU80" s="1053"/>
      <c r="CV80" s="1747"/>
      <c r="CW80" s="1057">
        <f t="shared" si="57"/>
        <v>0</v>
      </c>
      <c r="CX80" s="1746"/>
      <c r="CY80" s="1053"/>
      <c r="CZ80" s="1053"/>
      <c r="DA80" s="1053"/>
      <c r="DB80" s="1053"/>
      <c r="DC80" s="1054">
        <f t="shared" si="58"/>
        <v>0</v>
      </c>
      <c r="DD80" s="1744"/>
      <c r="DE80" s="1125"/>
      <c r="DF80" s="1125"/>
      <c r="DG80" s="1125"/>
      <c r="DH80" s="1745"/>
      <c r="DI80" s="1057">
        <f t="shared" si="59"/>
        <v>0</v>
      </c>
      <c r="DJ80" s="1744"/>
      <c r="DK80" s="1125"/>
      <c r="DL80" s="1125"/>
      <c r="DM80" s="1125"/>
      <c r="DN80" s="1125"/>
      <c r="DO80" s="1124">
        <f t="shared" si="60"/>
        <v>0</v>
      </c>
      <c r="DP80" s="1125"/>
      <c r="DQ80" s="1125"/>
      <c r="DR80" s="1125"/>
      <c r="DS80" s="1125"/>
      <c r="DT80" s="1125"/>
      <c r="DU80" s="1125">
        <f t="shared" si="63"/>
        <v>0</v>
      </c>
      <c r="DV80" s="1744">
        <v>3300</v>
      </c>
      <c r="DW80" s="1125">
        <v>2277</v>
      </c>
      <c r="DX80" s="1125">
        <v>1023</v>
      </c>
      <c r="DY80" s="1125">
        <v>0</v>
      </c>
      <c r="DZ80" s="1745">
        <v>0</v>
      </c>
      <c r="EA80" s="1058">
        <f t="shared" si="61"/>
        <v>6600</v>
      </c>
      <c r="EB80" s="1746">
        <v>-12.69</v>
      </c>
      <c r="EC80" s="1053">
        <v>0</v>
      </c>
      <c r="ED80" s="1053">
        <v>-2.34</v>
      </c>
      <c r="EE80" s="1053">
        <v>0.03</v>
      </c>
      <c r="EF80" s="1747">
        <v>0</v>
      </c>
      <c r="EG80" s="1057">
        <f t="shared" si="62"/>
        <v>-15</v>
      </c>
    </row>
    <row r="81" spans="1:137" ht="15" customHeight="1" x14ac:dyDescent="0.25">
      <c r="A81" s="719" t="s">
        <v>202</v>
      </c>
      <c r="B81" s="816" t="s">
        <v>203</v>
      </c>
      <c r="C81" s="917" t="s">
        <v>265</v>
      </c>
      <c r="D81" s="814">
        <f t="shared" si="35"/>
        <v>185879.26999999996</v>
      </c>
      <c r="E81" s="814">
        <f t="shared" si="36"/>
        <v>148651.78000000003</v>
      </c>
      <c r="F81" s="814">
        <f t="shared" si="37"/>
        <v>66499.760000000009</v>
      </c>
      <c r="G81" s="814">
        <f t="shared" si="38"/>
        <v>-0.41000000000000009</v>
      </c>
      <c r="H81" s="814">
        <f t="shared" si="39"/>
        <v>0</v>
      </c>
      <c r="I81" s="1422">
        <f t="shared" si="40"/>
        <v>401030.40000000002</v>
      </c>
      <c r="J81" s="815">
        <f t="shared" si="41"/>
        <v>-0.41000000000000009</v>
      </c>
      <c r="K81" s="1423">
        <f t="shared" si="42"/>
        <v>66499.350000000006</v>
      </c>
      <c r="L81" s="1723"/>
      <c r="M81" s="1043"/>
      <c r="N81" s="1043"/>
      <c r="O81" s="1043"/>
      <c r="P81" s="1043"/>
      <c r="Q81" s="1044">
        <f t="shared" si="43"/>
        <v>0</v>
      </c>
      <c r="R81" s="1717"/>
      <c r="S81" s="1048"/>
      <c r="T81" s="1048"/>
      <c r="U81" s="1048"/>
      <c r="V81" s="1718"/>
      <c r="W81" s="1047">
        <f t="shared" si="44"/>
        <v>0</v>
      </c>
      <c r="X81" s="1719"/>
      <c r="Y81" s="1123"/>
      <c r="Z81" s="1123"/>
      <c r="AA81" s="1123"/>
      <c r="AB81" s="1123"/>
      <c r="AC81" s="1122">
        <f t="shared" si="45"/>
        <v>0</v>
      </c>
      <c r="AD81" s="1733">
        <v>9431.77</v>
      </c>
      <c r="AE81" s="1734">
        <v>56.16</v>
      </c>
      <c r="AF81" s="1734">
        <v>1740.4</v>
      </c>
      <c r="AG81" s="1734">
        <v>-0.05</v>
      </c>
      <c r="AH81" s="1735">
        <v>0</v>
      </c>
      <c r="AI81" s="1045">
        <f t="shared" si="46"/>
        <v>11228.28</v>
      </c>
      <c r="AJ81" s="1744">
        <v>53209.27</v>
      </c>
      <c r="AK81" s="1125">
        <v>0</v>
      </c>
      <c r="AL81" s="1125">
        <v>13302.32</v>
      </c>
      <c r="AM81" s="1125">
        <v>0</v>
      </c>
      <c r="AN81" s="1745">
        <v>0</v>
      </c>
      <c r="AO81" s="1057">
        <f t="shared" si="47"/>
        <v>66511.59</v>
      </c>
      <c r="AP81" s="1733">
        <v>23910.27</v>
      </c>
      <c r="AQ81" s="1734">
        <v>2350.64</v>
      </c>
      <c r="AR81" s="1734">
        <v>4817.12</v>
      </c>
      <c r="AS81" s="1734">
        <v>-0.03</v>
      </c>
      <c r="AT81" s="1735">
        <v>0</v>
      </c>
      <c r="AU81" s="1049">
        <f t="shared" si="48"/>
        <v>31078</v>
      </c>
      <c r="AV81" s="1755"/>
      <c r="AW81" s="1756"/>
      <c r="AX81" s="1756"/>
      <c r="AY81" s="1756"/>
      <c r="AZ81" s="1757"/>
      <c r="BA81" s="1051">
        <f t="shared" si="49"/>
        <v>0</v>
      </c>
      <c r="BB81" s="1764">
        <v>8601.9500000000007</v>
      </c>
      <c r="BC81" s="1765">
        <v>2150.4899999999998</v>
      </c>
      <c r="BD81" s="1765">
        <v>0</v>
      </c>
      <c r="BE81" s="1765">
        <v>0</v>
      </c>
      <c r="BF81" s="1766">
        <v>0</v>
      </c>
      <c r="BG81" s="1047">
        <f t="shared" si="50"/>
        <v>10752.44</v>
      </c>
      <c r="BH81" s="1744">
        <v>766.26</v>
      </c>
      <c r="BI81" s="1125">
        <v>1383.74</v>
      </c>
      <c r="BJ81" s="1125">
        <v>0</v>
      </c>
      <c r="BK81" s="1125">
        <v>0</v>
      </c>
      <c r="BL81" s="1745">
        <v>0</v>
      </c>
      <c r="BM81" s="1054">
        <f t="shared" si="51"/>
        <v>2150</v>
      </c>
      <c r="BN81" s="1744">
        <v>37217.440000000002</v>
      </c>
      <c r="BO81" s="1125">
        <v>4714.26</v>
      </c>
      <c r="BP81" s="1125">
        <v>7691.63</v>
      </c>
      <c r="BQ81" s="1125">
        <v>-0.13</v>
      </c>
      <c r="BR81" s="1745">
        <v>0</v>
      </c>
      <c r="BS81" s="1054">
        <f t="shared" si="52"/>
        <v>49623.200000000004</v>
      </c>
      <c r="BT81" s="1744"/>
      <c r="BU81" s="1125"/>
      <c r="BV81" s="1125"/>
      <c r="BW81" s="1125"/>
      <c r="BX81" s="1745"/>
      <c r="BY81" s="1057">
        <f t="shared" si="53"/>
        <v>0</v>
      </c>
      <c r="BZ81" s="1744">
        <v>40427.9</v>
      </c>
      <c r="CA81" s="1125">
        <v>134975.39000000001</v>
      </c>
      <c r="CB81" s="1125">
        <v>32173.71</v>
      </c>
      <c r="CC81" s="1125">
        <v>-0.23</v>
      </c>
      <c r="CD81" s="1745">
        <v>0</v>
      </c>
      <c r="CE81" s="1057">
        <f t="shared" si="54"/>
        <v>207576.77</v>
      </c>
      <c r="CF81" s="1744">
        <v>2467.11</v>
      </c>
      <c r="CG81" s="1125">
        <v>0</v>
      </c>
      <c r="CH81" s="1125">
        <v>4164.9399999999996</v>
      </c>
      <c r="CI81" s="1125">
        <v>0</v>
      </c>
      <c r="CJ81" s="1745">
        <v>0</v>
      </c>
      <c r="CK81" s="1057">
        <f t="shared" si="55"/>
        <v>6632.0499999999993</v>
      </c>
      <c r="CL81" s="1746"/>
      <c r="CM81" s="1053"/>
      <c r="CN81" s="1053"/>
      <c r="CO81" s="1053"/>
      <c r="CP81" s="1053"/>
      <c r="CQ81" s="1054">
        <f t="shared" si="56"/>
        <v>0</v>
      </c>
      <c r="CR81" s="1744"/>
      <c r="CS81" s="1125"/>
      <c r="CT81" s="1125"/>
      <c r="CU81" s="1125"/>
      <c r="CV81" s="1745"/>
      <c r="CW81" s="1057">
        <f t="shared" si="57"/>
        <v>0</v>
      </c>
      <c r="CX81" s="1744"/>
      <c r="CY81" s="1125"/>
      <c r="CZ81" s="1125"/>
      <c r="DA81" s="1125"/>
      <c r="DB81" s="1745"/>
      <c r="DC81" s="1054">
        <f t="shared" si="58"/>
        <v>0</v>
      </c>
      <c r="DD81" s="1744">
        <v>-1358.44</v>
      </c>
      <c r="DE81" s="1125">
        <v>0</v>
      </c>
      <c r="DF81" s="1125">
        <v>0</v>
      </c>
      <c r="DG81" s="1125">
        <v>0</v>
      </c>
      <c r="DH81" s="1745">
        <v>0</v>
      </c>
      <c r="DI81" s="1057">
        <f t="shared" si="59"/>
        <v>-1358.44</v>
      </c>
      <c r="DJ81" s="1744"/>
      <c r="DK81" s="1125"/>
      <c r="DL81" s="1125"/>
      <c r="DM81" s="1125"/>
      <c r="DN81" s="1125"/>
      <c r="DO81" s="1124">
        <f t="shared" si="60"/>
        <v>0</v>
      </c>
      <c r="DP81" s="1125"/>
      <c r="DQ81" s="1125"/>
      <c r="DR81" s="1125"/>
      <c r="DS81" s="1125"/>
      <c r="DT81" s="1125"/>
      <c r="DU81" s="1125">
        <f t="shared" si="63"/>
        <v>0</v>
      </c>
      <c r="DV81" s="1744">
        <v>4378.43</v>
      </c>
      <c r="DW81" s="1125">
        <v>3021.1</v>
      </c>
      <c r="DX81" s="1125">
        <v>1357.32</v>
      </c>
      <c r="DY81" s="1125">
        <v>-0.03</v>
      </c>
      <c r="DZ81" s="1745">
        <v>0</v>
      </c>
      <c r="EA81" s="1058">
        <f t="shared" si="61"/>
        <v>8756.82</v>
      </c>
      <c r="EB81" s="1744">
        <v>6827.31</v>
      </c>
      <c r="EC81" s="1125">
        <v>0</v>
      </c>
      <c r="ED81" s="1125">
        <v>1252.32</v>
      </c>
      <c r="EE81" s="1125">
        <v>0.06</v>
      </c>
      <c r="EF81" s="1745">
        <v>0</v>
      </c>
      <c r="EG81" s="1057">
        <f t="shared" si="62"/>
        <v>8079.6900000000005</v>
      </c>
    </row>
    <row r="82" spans="1:137" ht="15" customHeight="1" x14ac:dyDescent="0.25">
      <c r="A82" s="719" t="s">
        <v>204</v>
      </c>
      <c r="B82" s="816" t="s">
        <v>205</v>
      </c>
      <c r="C82" s="917" t="s">
        <v>265</v>
      </c>
      <c r="D82" s="814">
        <f t="shared" si="35"/>
        <v>25725.399999999998</v>
      </c>
      <c r="E82" s="814">
        <f t="shared" si="36"/>
        <v>9530.119999999999</v>
      </c>
      <c r="F82" s="814">
        <f t="shared" si="37"/>
        <v>6848.7400000000007</v>
      </c>
      <c r="G82" s="814">
        <f t="shared" si="38"/>
        <v>-0.25</v>
      </c>
      <c r="H82" s="814">
        <f t="shared" si="39"/>
        <v>0</v>
      </c>
      <c r="I82" s="1422">
        <f t="shared" si="40"/>
        <v>42104.009999999995</v>
      </c>
      <c r="J82" s="815">
        <f t="shared" si="41"/>
        <v>-0.25</v>
      </c>
      <c r="K82" s="1423">
        <f t="shared" si="42"/>
        <v>6848.4900000000007</v>
      </c>
      <c r="L82" s="1723"/>
      <c r="M82" s="1043"/>
      <c r="N82" s="1043"/>
      <c r="O82" s="1043"/>
      <c r="P82" s="1043"/>
      <c r="Q82" s="1044">
        <f t="shared" si="43"/>
        <v>0</v>
      </c>
      <c r="R82" s="1717"/>
      <c r="S82" s="1048"/>
      <c r="T82" s="1048"/>
      <c r="U82" s="1048"/>
      <c r="V82" s="1718"/>
      <c r="W82" s="1047">
        <f t="shared" si="44"/>
        <v>0</v>
      </c>
      <c r="X82" s="1719"/>
      <c r="Y82" s="1123"/>
      <c r="Z82" s="1123"/>
      <c r="AA82" s="1123"/>
      <c r="AB82" s="1123"/>
      <c r="AC82" s="1122">
        <f t="shared" si="45"/>
        <v>0</v>
      </c>
      <c r="AD82" s="1733">
        <v>1959.1</v>
      </c>
      <c r="AE82" s="1734">
        <v>11.67</v>
      </c>
      <c r="AF82" s="1734">
        <v>361.51</v>
      </c>
      <c r="AG82" s="1734">
        <v>-0.02</v>
      </c>
      <c r="AH82" s="1735">
        <v>0</v>
      </c>
      <c r="AI82" s="1045">
        <f t="shared" si="46"/>
        <v>2332.2599999999998</v>
      </c>
      <c r="AJ82" s="1744">
        <v>9976</v>
      </c>
      <c r="AK82" s="1125">
        <v>0</v>
      </c>
      <c r="AL82" s="1125">
        <v>2494</v>
      </c>
      <c r="AM82" s="1125">
        <v>0</v>
      </c>
      <c r="AN82" s="1745">
        <v>0</v>
      </c>
      <c r="AO82" s="1057">
        <f t="shared" si="47"/>
        <v>12470</v>
      </c>
      <c r="AP82" s="1733">
        <v>78.47999999999999</v>
      </c>
      <c r="AQ82" s="1734">
        <v>-36.229999999999997</v>
      </c>
      <c r="AR82" s="1734">
        <v>7.75</v>
      </c>
      <c r="AS82" s="1734">
        <v>0</v>
      </c>
      <c r="AT82" s="1735">
        <v>0</v>
      </c>
      <c r="AU82" s="1049">
        <f t="shared" si="48"/>
        <v>49.999999999999993</v>
      </c>
      <c r="AV82" s="1755">
        <v>229.41</v>
      </c>
      <c r="AW82" s="1756">
        <v>57.35</v>
      </c>
      <c r="AX82" s="1756">
        <v>0</v>
      </c>
      <c r="AY82" s="1756">
        <v>0</v>
      </c>
      <c r="AZ82" s="1757">
        <v>0</v>
      </c>
      <c r="BA82" s="1051">
        <f t="shared" si="49"/>
        <v>286.76</v>
      </c>
      <c r="BB82" s="1764">
        <v>722.1</v>
      </c>
      <c r="BC82" s="1765">
        <v>180.52</v>
      </c>
      <c r="BD82" s="1765">
        <v>0</v>
      </c>
      <c r="BE82" s="1765">
        <v>0</v>
      </c>
      <c r="BF82" s="1766">
        <v>0</v>
      </c>
      <c r="BG82" s="1047">
        <f t="shared" si="50"/>
        <v>902.62</v>
      </c>
      <c r="BH82" s="1746">
        <v>124.74</v>
      </c>
      <c r="BI82" s="1053">
        <v>225.26</v>
      </c>
      <c r="BJ82" s="1053">
        <v>0</v>
      </c>
      <c r="BK82" s="1053">
        <v>0</v>
      </c>
      <c r="BL82" s="1053">
        <v>0</v>
      </c>
      <c r="BM82" s="1054">
        <f t="shared" si="51"/>
        <v>350</v>
      </c>
      <c r="BN82" s="1744">
        <v>9553.130000000001</v>
      </c>
      <c r="BO82" s="1125">
        <v>1210.1099999999999</v>
      </c>
      <c r="BP82" s="1125">
        <v>1974.3600000000001</v>
      </c>
      <c r="BQ82" s="1125">
        <v>-0.1</v>
      </c>
      <c r="BR82" s="1745">
        <v>0</v>
      </c>
      <c r="BS82" s="1054">
        <f t="shared" si="52"/>
        <v>12737.500000000002</v>
      </c>
      <c r="BT82" s="1744"/>
      <c r="BU82" s="1125"/>
      <c r="BV82" s="1125"/>
      <c r="BW82" s="1125"/>
      <c r="BX82" s="1745"/>
      <c r="BY82" s="1057">
        <f t="shared" si="53"/>
        <v>0</v>
      </c>
      <c r="BZ82" s="1744">
        <v>2317.75</v>
      </c>
      <c r="CA82" s="1125">
        <v>7881.44</v>
      </c>
      <c r="CB82" s="1125">
        <v>1870.88</v>
      </c>
      <c r="CC82" s="1125">
        <v>-0.2</v>
      </c>
      <c r="CD82" s="1745">
        <v>0</v>
      </c>
      <c r="CE82" s="1057">
        <f t="shared" si="54"/>
        <v>12069.869999999999</v>
      </c>
      <c r="CF82" s="1746"/>
      <c r="CG82" s="1053"/>
      <c r="CH82" s="1053"/>
      <c r="CI82" s="1053"/>
      <c r="CJ82" s="1747"/>
      <c r="CK82" s="1057">
        <f t="shared" si="55"/>
        <v>0</v>
      </c>
      <c r="CL82" s="1746"/>
      <c r="CM82" s="1053"/>
      <c r="CN82" s="1053"/>
      <c r="CO82" s="1053"/>
      <c r="CP82" s="1053"/>
      <c r="CQ82" s="1054">
        <f t="shared" si="56"/>
        <v>0</v>
      </c>
      <c r="CR82" s="1744"/>
      <c r="CS82" s="1125"/>
      <c r="CT82" s="1125"/>
      <c r="CU82" s="1125"/>
      <c r="CV82" s="1745"/>
      <c r="CW82" s="1057">
        <f t="shared" si="57"/>
        <v>0</v>
      </c>
      <c r="CX82" s="1746"/>
      <c r="CY82" s="1053"/>
      <c r="CZ82" s="1053"/>
      <c r="DA82" s="1053"/>
      <c r="DB82" s="1053"/>
      <c r="DC82" s="1054">
        <f t="shared" si="58"/>
        <v>0</v>
      </c>
      <c r="DD82" s="1744"/>
      <c r="DE82" s="1125"/>
      <c r="DF82" s="1125"/>
      <c r="DG82" s="1125"/>
      <c r="DH82" s="1745"/>
      <c r="DI82" s="1057">
        <f t="shared" si="59"/>
        <v>0</v>
      </c>
      <c r="DJ82" s="1744"/>
      <c r="DK82" s="1125"/>
      <c r="DL82" s="1125"/>
      <c r="DM82" s="1125"/>
      <c r="DN82" s="1125"/>
      <c r="DO82" s="1124">
        <f t="shared" si="60"/>
        <v>0</v>
      </c>
      <c r="DP82" s="1125"/>
      <c r="DQ82" s="1125"/>
      <c r="DR82" s="1125"/>
      <c r="DS82" s="1125"/>
      <c r="DT82" s="1125"/>
      <c r="DU82" s="1125">
        <f t="shared" si="63"/>
        <v>0</v>
      </c>
      <c r="DV82" s="1746">
        <v>0</v>
      </c>
      <c r="DW82" s="1053">
        <v>0</v>
      </c>
      <c r="DX82" s="1053">
        <v>0</v>
      </c>
      <c r="DY82" s="1053">
        <v>0</v>
      </c>
      <c r="DZ82" s="1053">
        <v>0</v>
      </c>
      <c r="EA82" s="1058">
        <f t="shared" si="61"/>
        <v>0</v>
      </c>
      <c r="EB82" s="1744">
        <v>764.68999999999994</v>
      </c>
      <c r="EC82" s="1125">
        <v>0</v>
      </c>
      <c r="ED82" s="1125">
        <v>140.23999999999998</v>
      </c>
      <c r="EE82" s="1125">
        <v>7.0000000000000007E-2</v>
      </c>
      <c r="EF82" s="1745">
        <v>0</v>
      </c>
      <c r="EG82" s="1057">
        <f t="shared" si="62"/>
        <v>905</v>
      </c>
    </row>
    <row r="83" spans="1:137" ht="15" customHeight="1" x14ac:dyDescent="0.25">
      <c r="A83" s="719" t="s">
        <v>206</v>
      </c>
      <c r="B83" s="816" t="s">
        <v>207</v>
      </c>
      <c r="C83" s="917" t="s">
        <v>267</v>
      </c>
      <c r="D83" s="814">
        <f t="shared" si="35"/>
        <v>155859.66999999998</v>
      </c>
      <c r="E83" s="814">
        <f t="shared" si="36"/>
        <v>134215.32</v>
      </c>
      <c r="F83" s="814">
        <f t="shared" si="37"/>
        <v>55161.130000000005</v>
      </c>
      <c r="G83" s="814">
        <f t="shared" si="38"/>
        <v>-0.12999999999999998</v>
      </c>
      <c r="H83" s="814">
        <f t="shared" si="39"/>
        <v>0</v>
      </c>
      <c r="I83" s="1422">
        <f t="shared" si="40"/>
        <v>345235.99</v>
      </c>
      <c r="J83" s="815">
        <f t="shared" si="41"/>
        <v>-0.12999999999999998</v>
      </c>
      <c r="K83" s="1423">
        <f t="shared" si="42"/>
        <v>55161.000000000007</v>
      </c>
      <c r="L83" s="1723"/>
      <c r="M83" s="1043"/>
      <c r="N83" s="1043"/>
      <c r="O83" s="1043"/>
      <c r="P83" s="1043"/>
      <c r="Q83" s="1044">
        <f t="shared" si="43"/>
        <v>0</v>
      </c>
      <c r="R83" s="1717"/>
      <c r="S83" s="1048"/>
      <c r="T83" s="1048"/>
      <c r="U83" s="1048"/>
      <c r="V83" s="1718"/>
      <c r="W83" s="1047">
        <f t="shared" si="44"/>
        <v>0</v>
      </c>
      <c r="X83" s="1719"/>
      <c r="Y83" s="1123"/>
      <c r="Z83" s="1123"/>
      <c r="AA83" s="1123"/>
      <c r="AB83" s="1123"/>
      <c r="AC83" s="1122">
        <f t="shared" si="45"/>
        <v>0</v>
      </c>
      <c r="AD83" s="1733">
        <v>11354.44</v>
      </c>
      <c r="AE83" s="1734">
        <v>67.61</v>
      </c>
      <c r="AF83" s="1734">
        <v>2095.1800000000003</v>
      </c>
      <c r="AG83" s="1734">
        <v>-0.03</v>
      </c>
      <c r="AH83" s="1735">
        <v>0</v>
      </c>
      <c r="AI83" s="1045">
        <f t="shared" si="46"/>
        <v>13517.2</v>
      </c>
      <c r="AJ83" s="1744">
        <v>14850.55</v>
      </c>
      <c r="AK83" s="1125">
        <v>0</v>
      </c>
      <c r="AL83" s="1125">
        <v>3712.63</v>
      </c>
      <c r="AM83" s="1125">
        <v>0</v>
      </c>
      <c r="AN83" s="1745">
        <v>0</v>
      </c>
      <c r="AO83" s="1057">
        <f t="shared" si="47"/>
        <v>18563.18</v>
      </c>
      <c r="AP83" s="1736"/>
      <c r="AQ83" s="1046"/>
      <c r="AR83" s="1046"/>
      <c r="AS83" s="1046"/>
      <c r="AT83" s="1046"/>
      <c r="AU83" s="1049">
        <f t="shared" si="48"/>
        <v>0</v>
      </c>
      <c r="AV83" s="1755">
        <v>13645.29</v>
      </c>
      <c r="AW83" s="1756">
        <v>3411.32</v>
      </c>
      <c r="AX83" s="1756">
        <v>0</v>
      </c>
      <c r="AY83" s="1756">
        <v>0</v>
      </c>
      <c r="AZ83" s="1757">
        <v>0</v>
      </c>
      <c r="BA83" s="1051">
        <f t="shared" si="49"/>
        <v>17056.61</v>
      </c>
      <c r="BB83" s="1764">
        <v>14188.19</v>
      </c>
      <c r="BC83" s="1765">
        <v>3547.0299999999997</v>
      </c>
      <c r="BD83" s="1765">
        <v>0</v>
      </c>
      <c r="BE83" s="1765">
        <v>0</v>
      </c>
      <c r="BF83" s="1766">
        <v>0</v>
      </c>
      <c r="BG83" s="1047">
        <f t="shared" si="50"/>
        <v>17735.22</v>
      </c>
      <c r="BH83" s="1744">
        <v>739.53</v>
      </c>
      <c r="BI83" s="1125">
        <v>1335.47</v>
      </c>
      <c r="BJ83" s="1125">
        <v>0</v>
      </c>
      <c r="BK83" s="1125">
        <v>0</v>
      </c>
      <c r="BL83" s="1745">
        <v>0</v>
      </c>
      <c r="BM83" s="1054">
        <f t="shared" si="51"/>
        <v>2075</v>
      </c>
      <c r="BN83" s="1744">
        <v>25047.78</v>
      </c>
      <c r="BO83" s="1125">
        <v>3172.73</v>
      </c>
      <c r="BP83" s="1125">
        <v>5176.54</v>
      </c>
      <c r="BQ83" s="1125">
        <v>-0.08</v>
      </c>
      <c r="BR83" s="1745">
        <v>0</v>
      </c>
      <c r="BS83" s="1054">
        <f t="shared" si="52"/>
        <v>33396.969999999994</v>
      </c>
      <c r="BT83" s="1744"/>
      <c r="BU83" s="1125"/>
      <c r="BV83" s="1125"/>
      <c r="BW83" s="1125"/>
      <c r="BX83" s="1745"/>
      <c r="BY83" s="1057">
        <f t="shared" si="53"/>
        <v>0</v>
      </c>
      <c r="BZ83" s="1744">
        <v>56889.08</v>
      </c>
      <c r="CA83" s="1125">
        <v>115684.56</v>
      </c>
      <c r="CB83" s="1125">
        <v>31654.33</v>
      </c>
      <c r="CC83" s="1125">
        <v>-0.12</v>
      </c>
      <c r="CD83" s="1745">
        <v>0</v>
      </c>
      <c r="CE83" s="1057">
        <f t="shared" si="54"/>
        <v>204227.85000000003</v>
      </c>
      <c r="CF83" s="1744">
        <v>5135.3</v>
      </c>
      <c r="CG83" s="1125">
        <v>0</v>
      </c>
      <c r="CH83" s="1125">
        <v>8669.2900000000009</v>
      </c>
      <c r="CI83" s="1125">
        <v>0</v>
      </c>
      <c r="CJ83" s="1745">
        <v>0</v>
      </c>
      <c r="CK83" s="1057">
        <f t="shared" si="55"/>
        <v>13804.59</v>
      </c>
      <c r="CL83" s="1746"/>
      <c r="CM83" s="1053"/>
      <c r="CN83" s="1053"/>
      <c r="CO83" s="1053"/>
      <c r="CP83" s="1053"/>
      <c r="CQ83" s="1054">
        <f t="shared" si="56"/>
        <v>0</v>
      </c>
      <c r="CR83" s="1744"/>
      <c r="CS83" s="1125"/>
      <c r="CT83" s="1125"/>
      <c r="CU83" s="1125"/>
      <c r="CV83" s="1745"/>
      <c r="CW83" s="1057">
        <f t="shared" si="57"/>
        <v>0</v>
      </c>
      <c r="CX83" s="1744"/>
      <c r="CY83" s="1125"/>
      <c r="CZ83" s="1125"/>
      <c r="DA83" s="1125"/>
      <c r="DB83" s="1745"/>
      <c r="DC83" s="1054">
        <f t="shared" si="58"/>
        <v>0</v>
      </c>
      <c r="DD83" s="1744"/>
      <c r="DE83" s="1125"/>
      <c r="DF83" s="1125"/>
      <c r="DG83" s="1125"/>
      <c r="DH83" s="1745"/>
      <c r="DI83" s="1057">
        <f t="shared" si="59"/>
        <v>0</v>
      </c>
      <c r="DJ83" s="1744"/>
      <c r="DK83" s="1125"/>
      <c r="DL83" s="1125"/>
      <c r="DM83" s="1125"/>
      <c r="DN83" s="1125"/>
      <c r="DO83" s="1124">
        <f t="shared" si="60"/>
        <v>0</v>
      </c>
      <c r="DP83" s="1125"/>
      <c r="DQ83" s="1125"/>
      <c r="DR83" s="1125"/>
      <c r="DS83" s="1125"/>
      <c r="DT83" s="1125"/>
      <c r="DU83" s="1125">
        <f t="shared" si="63"/>
        <v>0</v>
      </c>
      <c r="DV83" s="1744">
        <v>10140</v>
      </c>
      <c r="DW83" s="1125">
        <v>6996.6</v>
      </c>
      <c r="DX83" s="1125">
        <v>3143.4</v>
      </c>
      <c r="DY83" s="1125">
        <v>0</v>
      </c>
      <c r="DZ83" s="1745">
        <v>0</v>
      </c>
      <c r="EA83" s="1058">
        <f t="shared" si="61"/>
        <v>20280</v>
      </c>
      <c r="EB83" s="1744">
        <v>3869.51</v>
      </c>
      <c r="EC83" s="1125">
        <v>0</v>
      </c>
      <c r="ED83" s="1125">
        <v>709.76</v>
      </c>
      <c r="EE83" s="1125">
        <v>0.1</v>
      </c>
      <c r="EF83" s="1745">
        <v>0</v>
      </c>
      <c r="EG83" s="1057">
        <f t="shared" si="62"/>
        <v>4579.3700000000008</v>
      </c>
    </row>
    <row r="84" spans="1:137" ht="15" customHeight="1" x14ac:dyDescent="0.25">
      <c r="A84" s="719" t="s">
        <v>208</v>
      </c>
      <c r="B84" s="816" t="s">
        <v>209</v>
      </c>
      <c r="C84" s="917" t="s">
        <v>268</v>
      </c>
      <c r="D84" s="814">
        <f t="shared" si="35"/>
        <v>96071.42</v>
      </c>
      <c r="E84" s="814">
        <f t="shared" si="36"/>
        <v>44511.049999999996</v>
      </c>
      <c r="F84" s="814">
        <f t="shared" si="37"/>
        <v>26465.490000000005</v>
      </c>
      <c r="G84" s="814">
        <f t="shared" si="38"/>
        <v>-0.11999999999999998</v>
      </c>
      <c r="H84" s="814">
        <f t="shared" si="39"/>
        <v>0</v>
      </c>
      <c r="I84" s="1422">
        <f t="shared" si="40"/>
        <v>167047.84000000003</v>
      </c>
      <c r="J84" s="815">
        <f t="shared" si="41"/>
        <v>-0.11999999999999998</v>
      </c>
      <c r="K84" s="1423">
        <f t="shared" si="42"/>
        <v>26465.370000000006</v>
      </c>
      <c r="L84" s="1723"/>
      <c r="M84" s="1043"/>
      <c r="N84" s="1043"/>
      <c r="O84" s="1043"/>
      <c r="P84" s="1043"/>
      <c r="Q84" s="1044">
        <f t="shared" si="43"/>
        <v>0</v>
      </c>
      <c r="R84" s="1717"/>
      <c r="S84" s="1048"/>
      <c r="T84" s="1048"/>
      <c r="U84" s="1048"/>
      <c r="V84" s="1718"/>
      <c r="W84" s="1047">
        <f t="shared" si="44"/>
        <v>0</v>
      </c>
      <c r="X84" s="1719"/>
      <c r="Y84" s="1123"/>
      <c r="Z84" s="1123"/>
      <c r="AA84" s="1123"/>
      <c r="AB84" s="1123"/>
      <c r="AC84" s="1122">
        <f t="shared" si="45"/>
        <v>0</v>
      </c>
      <c r="AD84" s="1733">
        <v>4042.5</v>
      </c>
      <c r="AE84" s="1734">
        <v>24.06</v>
      </c>
      <c r="AF84" s="1734">
        <v>745.94</v>
      </c>
      <c r="AG84" s="1734">
        <v>0.01</v>
      </c>
      <c r="AH84" s="1735">
        <v>0</v>
      </c>
      <c r="AI84" s="1045">
        <f t="shared" si="46"/>
        <v>4812.51</v>
      </c>
      <c r="AJ84" s="1744">
        <v>32943.15</v>
      </c>
      <c r="AK84" s="1125">
        <v>0</v>
      </c>
      <c r="AL84" s="1125">
        <v>8235.7999999999993</v>
      </c>
      <c r="AM84" s="1125">
        <v>0</v>
      </c>
      <c r="AN84" s="1745">
        <v>0</v>
      </c>
      <c r="AO84" s="1057">
        <f t="shared" si="47"/>
        <v>41178.949999999997</v>
      </c>
      <c r="AP84" s="1736"/>
      <c r="AQ84" s="1046"/>
      <c r="AR84" s="1046"/>
      <c r="AS84" s="1046"/>
      <c r="AT84" s="1046"/>
      <c r="AU84" s="1049">
        <f t="shared" si="48"/>
        <v>0</v>
      </c>
      <c r="AV84" s="1758"/>
      <c r="AW84" s="1050"/>
      <c r="AX84" s="1050"/>
      <c r="AY84" s="1050"/>
      <c r="AZ84" s="1050"/>
      <c r="BA84" s="1051">
        <f t="shared" si="49"/>
        <v>0</v>
      </c>
      <c r="BB84" s="1764">
        <v>6605.32</v>
      </c>
      <c r="BC84" s="1765">
        <v>1651.33</v>
      </c>
      <c r="BD84" s="1765">
        <v>0</v>
      </c>
      <c r="BE84" s="1765">
        <v>0</v>
      </c>
      <c r="BF84" s="1766">
        <v>0</v>
      </c>
      <c r="BG84" s="1047">
        <f t="shared" si="50"/>
        <v>8256.65</v>
      </c>
      <c r="BH84" s="1746"/>
      <c r="BI84" s="1053"/>
      <c r="BJ84" s="1053"/>
      <c r="BK84" s="1053"/>
      <c r="BL84" s="1053"/>
      <c r="BM84" s="1054">
        <f t="shared" si="51"/>
        <v>0</v>
      </c>
      <c r="BN84" s="1744">
        <v>26399.42</v>
      </c>
      <c r="BO84" s="1125">
        <v>3343.95</v>
      </c>
      <c r="BP84" s="1125">
        <v>5455.89</v>
      </c>
      <c r="BQ84" s="1125">
        <v>-7.0000000000000007E-2</v>
      </c>
      <c r="BR84" s="1745">
        <v>0</v>
      </c>
      <c r="BS84" s="1054">
        <f t="shared" si="52"/>
        <v>35199.19</v>
      </c>
      <c r="BT84" s="1744"/>
      <c r="BU84" s="1125"/>
      <c r="BV84" s="1125"/>
      <c r="BW84" s="1125"/>
      <c r="BX84" s="1745"/>
      <c r="BY84" s="1057">
        <f t="shared" si="53"/>
        <v>0</v>
      </c>
      <c r="BZ84" s="1744">
        <v>11771.88</v>
      </c>
      <c r="CA84" s="1125">
        <v>36930.080000000002</v>
      </c>
      <c r="CB84" s="1125">
        <v>8933.24</v>
      </c>
      <c r="CC84" s="1125">
        <v>-0.06</v>
      </c>
      <c r="CD84" s="1745">
        <v>0</v>
      </c>
      <c r="CE84" s="1057">
        <f t="shared" si="54"/>
        <v>57635.14</v>
      </c>
      <c r="CF84" s="1746"/>
      <c r="CG84" s="1053"/>
      <c r="CH84" s="1053"/>
      <c r="CI84" s="1053"/>
      <c r="CJ84" s="1747"/>
      <c r="CK84" s="1057">
        <f t="shared" si="55"/>
        <v>0</v>
      </c>
      <c r="CL84" s="1746"/>
      <c r="CM84" s="1053"/>
      <c r="CN84" s="1053"/>
      <c r="CO84" s="1053"/>
      <c r="CP84" s="1053"/>
      <c r="CQ84" s="1054">
        <f t="shared" si="56"/>
        <v>0</v>
      </c>
      <c r="CR84" s="1746"/>
      <c r="CS84" s="1053"/>
      <c r="CT84" s="1053"/>
      <c r="CU84" s="1053"/>
      <c r="CV84" s="1747"/>
      <c r="CW84" s="1057">
        <f t="shared" si="57"/>
        <v>0</v>
      </c>
      <c r="CX84" s="1746"/>
      <c r="CY84" s="1053"/>
      <c r="CZ84" s="1053"/>
      <c r="DA84" s="1053"/>
      <c r="DB84" s="1053"/>
      <c r="DC84" s="1054">
        <f t="shared" si="58"/>
        <v>0</v>
      </c>
      <c r="DD84" s="1744"/>
      <c r="DE84" s="1125"/>
      <c r="DF84" s="1125"/>
      <c r="DG84" s="1125"/>
      <c r="DH84" s="1745"/>
      <c r="DI84" s="1057">
        <f t="shared" si="59"/>
        <v>0</v>
      </c>
      <c r="DJ84" s="1744"/>
      <c r="DK84" s="1125"/>
      <c r="DL84" s="1125"/>
      <c r="DM84" s="1125"/>
      <c r="DN84" s="1125"/>
      <c r="DO84" s="1124">
        <f t="shared" si="60"/>
        <v>0</v>
      </c>
      <c r="DP84" s="1125"/>
      <c r="DQ84" s="1125"/>
      <c r="DR84" s="1125"/>
      <c r="DS84" s="1125"/>
      <c r="DT84" s="1125"/>
      <c r="DU84" s="1125">
        <f t="shared" si="63"/>
        <v>0</v>
      </c>
      <c r="DV84" s="1746">
        <v>3712.51</v>
      </c>
      <c r="DW84" s="1053">
        <v>2561.63</v>
      </c>
      <c r="DX84" s="1053">
        <v>1150.8800000000001</v>
      </c>
      <c r="DY84" s="1053">
        <v>-0.02</v>
      </c>
      <c r="DZ84" s="1053">
        <v>0</v>
      </c>
      <c r="EA84" s="1058">
        <f t="shared" si="61"/>
        <v>7425</v>
      </c>
      <c r="EB84" s="1744">
        <v>10596.64</v>
      </c>
      <c r="EC84" s="1125">
        <v>0</v>
      </c>
      <c r="ED84" s="1125">
        <v>1943.74</v>
      </c>
      <c r="EE84" s="1125">
        <v>0.02</v>
      </c>
      <c r="EF84" s="1745">
        <v>0</v>
      </c>
      <c r="EG84" s="1057">
        <f t="shared" si="62"/>
        <v>12540.4</v>
      </c>
    </row>
    <row r="85" spans="1:137" ht="15" customHeight="1" x14ac:dyDescent="0.25">
      <c r="A85" s="719" t="s">
        <v>210</v>
      </c>
      <c r="B85" s="816" t="s">
        <v>211</v>
      </c>
      <c r="C85" s="917" t="s">
        <v>268</v>
      </c>
      <c r="D85" s="814">
        <f t="shared" si="35"/>
        <v>46149.570000000007</v>
      </c>
      <c r="E85" s="814">
        <f t="shared" si="36"/>
        <v>70137.7</v>
      </c>
      <c r="F85" s="814">
        <f t="shared" si="37"/>
        <v>19344.190000000002</v>
      </c>
      <c r="G85" s="814">
        <f t="shared" si="38"/>
        <v>-0.06</v>
      </c>
      <c r="H85" s="814">
        <f t="shared" si="39"/>
        <v>0</v>
      </c>
      <c r="I85" s="1422">
        <f t="shared" si="40"/>
        <v>135631.40000000002</v>
      </c>
      <c r="J85" s="815">
        <f t="shared" si="41"/>
        <v>-0.06</v>
      </c>
      <c r="K85" s="1423">
        <f t="shared" si="42"/>
        <v>19344.13</v>
      </c>
      <c r="L85" s="1724"/>
      <c r="M85" s="1725"/>
      <c r="N85" s="1725"/>
      <c r="O85" s="1725"/>
      <c r="P85" s="1726"/>
      <c r="Q85" s="1044">
        <f t="shared" si="43"/>
        <v>0</v>
      </c>
      <c r="R85" s="1717"/>
      <c r="S85" s="1048"/>
      <c r="T85" s="1048"/>
      <c r="U85" s="1048"/>
      <c r="V85" s="1718"/>
      <c r="W85" s="1047">
        <f t="shared" si="44"/>
        <v>0</v>
      </c>
      <c r="X85" s="1719"/>
      <c r="Y85" s="1123"/>
      <c r="Z85" s="1123"/>
      <c r="AA85" s="1123"/>
      <c r="AB85" s="1123"/>
      <c r="AC85" s="1122">
        <f t="shared" si="45"/>
        <v>0</v>
      </c>
      <c r="AD85" s="1733">
        <v>2722.03</v>
      </c>
      <c r="AE85" s="1734">
        <v>16.22</v>
      </c>
      <c r="AF85" s="1734">
        <v>502.29</v>
      </c>
      <c r="AG85" s="1734">
        <v>-0.03</v>
      </c>
      <c r="AH85" s="1735">
        <v>0</v>
      </c>
      <c r="AI85" s="1045">
        <f t="shared" si="46"/>
        <v>3240.5099999999998</v>
      </c>
      <c r="AJ85" s="1744">
        <v>6567.62</v>
      </c>
      <c r="AK85" s="1125">
        <v>0</v>
      </c>
      <c r="AL85" s="1125">
        <v>1641.9</v>
      </c>
      <c r="AM85" s="1125">
        <v>0</v>
      </c>
      <c r="AN85" s="1745">
        <v>0</v>
      </c>
      <c r="AO85" s="1057">
        <f t="shared" si="47"/>
        <v>8209.52</v>
      </c>
      <c r="AP85" s="1736"/>
      <c r="AQ85" s="1046"/>
      <c r="AR85" s="1046"/>
      <c r="AS85" s="1046"/>
      <c r="AT85" s="1046"/>
      <c r="AU85" s="1049">
        <f t="shared" si="48"/>
        <v>0</v>
      </c>
      <c r="AV85" s="1755">
        <v>6275.19</v>
      </c>
      <c r="AW85" s="1756">
        <v>1568.81</v>
      </c>
      <c r="AX85" s="1756">
        <v>0</v>
      </c>
      <c r="AY85" s="1756">
        <v>0</v>
      </c>
      <c r="AZ85" s="1757">
        <v>0</v>
      </c>
      <c r="BA85" s="1051">
        <f t="shared" si="49"/>
        <v>7844</v>
      </c>
      <c r="BB85" s="1764">
        <v>3861.77</v>
      </c>
      <c r="BC85" s="1765">
        <v>965.45</v>
      </c>
      <c r="BD85" s="1765">
        <v>0</v>
      </c>
      <c r="BE85" s="1765">
        <v>0</v>
      </c>
      <c r="BF85" s="1766">
        <v>0</v>
      </c>
      <c r="BG85" s="1047">
        <f t="shared" si="50"/>
        <v>4827.22</v>
      </c>
      <c r="BH85" s="1744">
        <v>192.45</v>
      </c>
      <c r="BI85" s="1125">
        <v>347.55</v>
      </c>
      <c r="BJ85" s="1125">
        <v>0</v>
      </c>
      <c r="BK85" s="1125">
        <v>0</v>
      </c>
      <c r="BL85" s="1745">
        <v>0</v>
      </c>
      <c r="BM85" s="1054">
        <f t="shared" si="51"/>
        <v>540</v>
      </c>
      <c r="BN85" s="1744">
        <v>0</v>
      </c>
      <c r="BO85" s="1125">
        <v>0</v>
      </c>
      <c r="BP85" s="1125">
        <v>0</v>
      </c>
      <c r="BQ85" s="1125">
        <v>0</v>
      </c>
      <c r="BR85" s="1745">
        <v>0</v>
      </c>
      <c r="BS85" s="1054">
        <f t="shared" si="52"/>
        <v>0</v>
      </c>
      <c r="BT85" s="1744"/>
      <c r="BU85" s="1125"/>
      <c r="BV85" s="1125"/>
      <c r="BW85" s="1125"/>
      <c r="BX85" s="1745"/>
      <c r="BY85" s="1057">
        <f t="shared" si="53"/>
        <v>0</v>
      </c>
      <c r="BZ85" s="1744">
        <v>19774.900000000001</v>
      </c>
      <c r="CA85" s="1125">
        <v>67239.67</v>
      </c>
      <c r="CB85" s="1125">
        <v>15960.83</v>
      </c>
      <c r="CC85" s="1125">
        <v>-0.09</v>
      </c>
      <c r="CD85" s="1745">
        <v>0</v>
      </c>
      <c r="CE85" s="1057">
        <f t="shared" si="54"/>
        <v>102975.31000000001</v>
      </c>
      <c r="CF85" s="1746"/>
      <c r="CG85" s="1053"/>
      <c r="CH85" s="1053"/>
      <c r="CI85" s="1053"/>
      <c r="CJ85" s="1747"/>
      <c r="CK85" s="1057">
        <f t="shared" si="55"/>
        <v>0</v>
      </c>
      <c r="CL85" s="1746"/>
      <c r="CM85" s="1053"/>
      <c r="CN85" s="1053"/>
      <c r="CO85" s="1053"/>
      <c r="CP85" s="1053"/>
      <c r="CQ85" s="1054">
        <f t="shared" si="56"/>
        <v>0</v>
      </c>
      <c r="CR85" s="1746"/>
      <c r="CS85" s="1053"/>
      <c r="CT85" s="1053"/>
      <c r="CU85" s="1053"/>
      <c r="CV85" s="1747"/>
      <c r="CW85" s="1057">
        <f t="shared" si="57"/>
        <v>0</v>
      </c>
      <c r="CX85" s="1746"/>
      <c r="CY85" s="1053"/>
      <c r="CZ85" s="1053"/>
      <c r="DA85" s="1053"/>
      <c r="DB85" s="1053"/>
      <c r="DC85" s="1054">
        <f t="shared" si="58"/>
        <v>0</v>
      </c>
      <c r="DD85" s="1744"/>
      <c r="DE85" s="1125"/>
      <c r="DF85" s="1125"/>
      <c r="DG85" s="1125"/>
      <c r="DH85" s="1745"/>
      <c r="DI85" s="1057">
        <f t="shared" si="59"/>
        <v>0</v>
      </c>
      <c r="DJ85" s="1744"/>
      <c r="DK85" s="1125"/>
      <c r="DL85" s="1125"/>
      <c r="DM85" s="1125"/>
      <c r="DN85" s="1125"/>
      <c r="DO85" s="1124">
        <f t="shared" si="60"/>
        <v>0</v>
      </c>
      <c r="DP85" s="1125"/>
      <c r="DQ85" s="1125"/>
      <c r="DR85" s="1125"/>
      <c r="DS85" s="1125"/>
      <c r="DT85" s="1125"/>
      <c r="DU85" s="1125">
        <f t="shared" si="63"/>
        <v>0</v>
      </c>
      <c r="DV85" s="1744">
        <v>0</v>
      </c>
      <c r="DW85" s="1125">
        <v>0</v>
      </c>
      <c r="DX85" s="1125">
        <v>0</v>
      </c>
      <c r="DY85" s="1125">
        <v>0</v>
      </c>
      <c r="DZ85" s="1745">
        <v>0</v>
      </c>
      <c r="EA85" s="1058">
        <f t="shared" si="61"/>
        <v>0</v>
      </c>
      <c r="EB85" s="1744">
        <v>6755.61</v>
      </c>
      <c r="EC85" s="1125">
        <v>0</v>
      </c>
      <c r="ED85" s="1125">
        <v>1239.17</v>
      </c>
      <c r="EE85" s="1125">
        <v>0.06</v>
      </c>
      <c r="EF85" s="1745">
        <v>0</v>
      </c>
      <c r="EG85" s="1057">
        <f t="shared" si="62"/>
        <v>7994.84</v>
      </c>
    </row>
    <row r="86" spans="1:137" ht="15" customHeight="1" x14ac:dyDescent="0.25">
      <c r="A86" s="719" t="s">
        <v>212</v>
      </c>
      <c r="B86" s="816" t="s">
        <v>213</v>
      </c>
      <c r="C86" s="917" t="s">
        <v>267</v>
      </c>
      <c r="D86" s="814">
        <f t="shared" si="35"/>
        <v>38672.409999999996</v>
      </c>
      <c r="E86" s="814">
        <f t="shared" si="36"/>
        <v>17548.55</v>
      </c>
      <c r="F86" s="814">
        <f t="shared" si="37"/>
        <v>11050.33</v>
      </c>
      <c r="G86" s="814">
        <f t="shared" si="38"/>
        <v>850.06000000000006</v>
      </c>
      <c r="H86" s="814">
        <f t="shared" si="39"/>
        <v>0</v>
      </c>
      <c r="I86" s="1422">
        <f t="shared" si="40"/>
        <v>68121.349999999991</v>
      </c>
      <c r="J86" s="815">
        <f t="shared" si="41"/>
        <v>850.06000000000006</v>
      </c>
      <c r="K86" s="1423">
        <f t="shared" si="42"/>
        <v>11900.39</v>
      </c>
      <c r="L86" s="1724">
        <v>0</v>
      </c>
      <c r="M86" s="1725">
        <v>0</v>
      </c>
      <c r="N86" s="1725">
        <v>0</v>
      </c>
      <c r="O86" s="1725">
        <v>850.15</v>
      </c>
      <c r="P86" s="1726">
        <v>0</v>
      </c>
      <c r="Q86" s="1044">
        <f t="shared" si="43"/>
        <v>850.15</v>
      </c>
      <c r="R86" s="1719"/>
      <c r="S86" s="1123"/>
      <c r="T86" s="1123"/>
      <c r="U86" s="1123"/>
      <c r="V86" s="1720"/>
      <c r="W86" s="1047">
        <f t="shared" si="44"/>
        <v>0</v>
      </c>
      <c r="X86" s="1719"/>
      <c r="Y86" s="1123"/>
      <c r="Z86" s="1123"/>
      <c r="AA86" s="1123"/>
      <c r="AB86" s="1123"/>
      <c r="AC86" s="1122">
        <f t="shared" si="45"/>
        <v>0</v>
      </c>
      <c r="AD86" s="1733">
        <v>5621.47</v>
      </c>
      <c r="AE86" s="1734">
        <v>33.479999999999997</v>
      </c>
      <c r="AF86" s="1734">
        <v>1037.31</v>
      </c>
      <c r="AG86" s="1734">
        <v>-0.04</v>
      </c>
      <c r="AH86" s="1735">
        <v>0</v>
      </c>
      <c r="AI86" s="1045">
        <f t="shared" si="46"/>
        <v>6692.22</v>
      </c>
      <c r="AJ86" s="1744">
        <v>6287.81</v>
      </c>
      <c r="AK86" s="1125">
        <v>0</v>
      </c>
      <c r="AL86" s="1125">
        <v>1571.93</v>
      </c>
      <c r="AM86" s="1125">
        <v>0</v>
      </c>
      <c r="AN86" s="1745">
        <v>0</v>
      </c>
      <c r="AO86" s="1057">
        <f t="shared" si="47"/>
        <v>7859.7400000000007</v>
      </c>
      <c r="AP86" s="1736"/>
      <c r="AQ86" s="1046"/>
      <c r="AR86" s="1046"/>
      <c r="AS86" s="1046"/>
      <c r="AT86" s="1046"/>
      <c r="AU86" s="1049">
        <f t="shared" si="48"/>
        <v>0</v>
      </c>
      <c r="AV86" s="1755"/>
      <c r="AW86" s="1756"/>
      <c r="AX86" s="1756"/>
      <c r="AY86" s="1756"/>
      <c r="AZ86" s="1757"/>
      <c r="BA86" s="1051">
        <f t="shared" si="49"/>
        <v>0</v>
      </c>
      <c r="BB86" s="1764">
        <v>3101.45</v>
      </c>
      <c r="BC86" s="1765">
        <v>775.37</v>
      </c>
      <c r="BD86" s="1765">
        <v>0</v>
      </c>
      <c r="BE86" s="1765">
        <v>0</v>
      </c>
      <c r="BF86" s="1766">
        <v>0</v>
      </c>
      <c r="BG86" s="1047">
        <f t="shared" si="50"/>
        <v>3876.8199999999997</v>
      </c>
      <c r="BH86" s="1746">
        <v>276.20999999999998</v>
      </c>
      <c r="BI86" s="1053">
        <v>498.79</v>
      </c>
      <c r="BJ86" s="1053">
        <v>0</v>
      </c>
      <c r="BK86" s="1053">
        <v>0</v>
      </c>
      <c r="BL86" s="1053">
        <v>0</v>
      </c>
      <c r="BM86" s="1054">
        <f t="shared" si="51"/>
        <v>775</v>
      </c>
      <c r="BN86" s="1744">
        <v>9191.25</v>
      </c>
      <c r="BO86" s="1125">
        <v>1164.24</v>
      </c>
      <c r="BP86" s="1125">
        <v>1899.54</v>
      </c>
      <c r="BQ86" s="1125">
        <v>-0.03</v>
      </c>
      <c r="BR86" s="1745">
        <v>0</v>
      </c>
      <c r="BS86" s="1054">
        <f t="shared" si="52"/>
        <v>12254.999999999998</v>
      </c>
      <c r="BT86" s="1744"/>
      <c r="BU86" s="1125"/>
      <c r="BV86" s="1125"/>
      <c r="BW86" s="1125"/>
      <c r="BX86" s="1745"/>
      <c r="BY86" s="1057">
        <f t="shared" si="53"/>
        <v>0</v>
      </c>
      <c r="BZ86" s="1744">
        <v>4453.58</v>
      </c>
      <c r="CA86" s="1125">
        <v>12629.35</v>
      </c>
      <c r="CB86" s="1125">
        <v>3133.46</v>
      </c>
      <c r="CC86" s="1125">
        <v>-0.05</v>
      </c>
      <c r="CD86" s="1745">
        <v>0</v>
      </c>
      <c r="CE86" s="1057">
        <f t="shared" si="54"/>
        <v>20216.34</v>
      </c>
      <c r="CF86" s="1744">
        <v>754.8</v>
      </c>
      <c r="CG86" s="1125">
        <v>0</v>
      </c>
      <c r="CH86" s="1125">
        <v>1274.22</v>
      </c>
      <c r="CI86" s="1125">
        <v>0</v>
      </c>
      <c r="CJ86" s="1745">
        <v>0</v>
      </c>
      <c r="CK86" s="1057">
        <f t="shared" si="55"/>
        <v>2029.02</v>
      </c>
      <c r="CL86" s="1746"/>
      <c r="CM86" s="1053"/>
      <c r="CN86" s="1053"/>
      <c r="CO86" s="1053"/>
      <c r="CP86" s="1053"/>
      <c r="CQ86" s="1054">
        <f t="shared" si="56"/>
        <v>0</v>
      </c>
      <c r="CR86" s="1746"/>
      <c r="CS86" s="1053"/>
      <c r="CT86" s="1053"/>
      <c r="CU86" s="1053"/>
      <c r="CV86" s="1747"/>
      <c r="CW86" s="1057">
        <f t="shared" si="57"/>
        <v>0</v>
      </c>
      <c r="CX86" s="1744"/>
      <c r="CY86" s="1125"/>
      <c r="CZ86" s="1125"/>
      <c r="DA86" s="1125"/>
      <c r="DB86" s="1745"/>
      <c r="DC86" s="1054">
        <f t="shared" si="58"/>
        <v>0</v>
      </c>
      <c r="DD86" s="1744"/>
      <c r="DE86" s="1125"/>
      <c r="DF86" s="1125"/>
      <c r="DG86" s="1125"/>
      <c r="DH86" s="1745"/>
      <c r="DI86" s="1057">
        <f t="shared" si="59"/>
        <v>0</v>
      </c>
      <c r="DJ86" s="1744">
        <v>-200</v>
      </c>
      <c r="DK86" s="1125">
        <v>0</v>
      </c>
      <c r="DL86" s="1125">
        <v>0</v>
      </c>
      <c r="DM86" s="1125">
        <v>0</v>
      </c>
      <c r="DN86" s="1125">
        <v>0</v>
      </c>
      <c r="DO86" s="1124">
        <f t="shared" si="60"/>
        <v>-200</v>
      </c>
      <c r="DP86" s="1125"/>
      <c r="DQ86" s="1125"/>
      <c r="DR86" s="1125"/>
      <c r="DS86" s="1125"/>
      <c r="DT86" s="1125"/>
      <c r="DU86" s="1125">
        <f t="shared" si="63"/>
        <v>0</v>
      </c>
      <c r="DV86" s="1744">
        <v>3546.85</v>
      </c>
      <c r="DW86" s="1125">
        <v>2447.3200000000002</v>
      </c>
      <c r="DX86" s="1125">
        <v>1099.53</v>
      </c>
      <c r="DY86" s="1125">
        <v>-0.02</v>
      </c>
      <c r="DZ86" s="1745">
        <v>0</v>
      </c>
      <c r="EA86" s="1058">
        <f t="shared" si="61"/>
        <v>7093.6799999999994</v>
      </c>
      <c r="EB86" s="1744">
        <v>5638.99</v>
      </c>
      <c r="EC86" s="1125">
        <v>0</v>
      </c>
      <c r="ED86" s="1125">
        <v>1034.3399999999999</v>
      </c>
      <c r="EE86" s="1125">
        <v>0.05</v>
      </c>
      <c r="EF86" s="1745">
        <v>0</v>
      </c>
      <c r="EG86" s="1057">
        <f t="shared" si="62"/>
        <v>6673.38</v>
      </c>
    </row>
    <row r="87" spans="1:137" ht="15" customHeight="1" x14ac:dyDescent="0.25">
      <c r="A87" s="719" t="s">
        <v>214</v>
      </c>
      <c r="B87" s="816" t="s">
        <v>215</v>
      </c>
      <c r="C87" s="917" t="s">
        <v>268</v>
      </c>
      <c r="D87" s="814">
        <f t="shared" si="35"/>
        <v>97011.06</v>
      </c>
      <c r="E87" s="814">
        <f t="shared" si="36"/>
        <v>43817.82</v>
      </c>
      <c r="F87" s="814">
        <f t="shared" si="37"/>
        <v>28909.739999999998</v>
      </c>
      <c r="G87" s="814">
        <f t="shared" si="38"/>
        <v>-1.0000000000000009E-2</v>
      </c>
      <c r="H87" s="814">
        <f t="shared" si="39"/>
        <v>0</v>
      </c>
      <c r="I87" s="1422">
        <f t="shared" si="40"/>
        <v>169738.61</v>
      </c>
      <c r="J87" s="815">
        <f t="shared" si="41"/>
        <v>-1.0000000000000009E-2</v>
      </c>
      <c r="K87" s="1423">
        <f t="shared" si="42"/>
        <v>28909.73</v>
      </c>
      <c r="L87" s="1723"/>
      <c r="M87" s="1043"/>
      <c r="N87" s="1043"/>
      <c r="O87" s="1043"/>
      <c r="P87" s="1043"/>
      <c r="Q87" s="1044">
        <f t="shared" si="43"/>
        <v>0</v>
      </c>
      <c r="R87" s="1717"/>
      <c r="S87" s="1048"/>
      <c r="T87" s="1048"/>
      <c r="U87" s="1048"/>
      <c r="V87" s="1718"/>
      <c r="W87" s="1047">
        <f t="shared" si="44"/>
        <v>0</v>
      </c>
      <c r="X87" s="1719"/>
      <c r="Y87" s="1123"/>
      <c r="Z87" s="1123"/>
      <c r="AA87" s="1123"/>
      <c r="AB87" s="1123"/>
      <c r="AC87" s="1122">
        <f t="shared" si="45"/>
        <v>0</v>
      </c>
      <c r="AD87" s="1733">
        <v>6903.29</v>
      </c>
      <c r="AE87" s="1734">
        <v>41.1</v>
      </c>
      <c r="AF87" s="1734">
        <v>1273.82</v>
      </c>
      <c r="AG87" s="1734">
        <v>-0.02</v>
      </c>
      <c r="AH87" s="1735">
        <v>0</v>
      </c>
      <c r="AI87" s="1045">
        <f t="shared" si="46"/>
        <v>8218.19</v>
      </c>
      <c r="AJ87" s="1744">
        <v>54477.919999999998</v>
      </c>
      <c r="AK87" s="1125">
        <v>0</v>
      </c>
      <c r="AL87" s="1125">
        <v>13619.46</v>
      </c>
      <c r="AM87" s="1125">
        <v>0</v>
      </c>
      <c r="AN87" s="1745">
        <v>0</v>
      </c>
      <c r="AO87" s="1057">
        <f t="shared" si="47"/>
        <v>68097.38</v>
      </c>
      <c r="AP87" s="1736"/>
      <c r="AQ87" s="1046"/>
      <c r="AR87" s="1046"/>
      <c r="AS87" s="1046"/>
      <c r="AT87" s="1046"/>
      <c r="AU87" s="1049">
        <f t="shared" si="48"/>
        <v>0</v>
      </c>
      <c r="AV87" s="1755"/>
      <c r="AW87" s="1756"/>
      <c r="AX87" s="1756"/>
      <c r="AY87" s="1756"/>
      <c r="AZ87" s="1757"/>
      <c r="BA87" s="1051">
        <f t="shared" si="49"/>
        <v>0</v>
      </c>
      <c r="BB87" s="1764">
        <v>2393.0300000000002</v>
      </c>
      <c r="BC87" s="1765">
        <v>598.26</v>
      </c>
      <c r="BD87" s="1765">
        <v>0</v>
      </c>
      <c r="BE87" s="1765">
        <v>0</v>
      </c>
      <c r="BF87" s="1766">
        <v>0</v>
      </c>
      <c r="BG87" s="1047">
        <f t="shared" si="50"/>
        <v>2991.29</v>
      </c>
      <c r="BH87" s="1744"/>
      <c r="BI87" s="1125"/>
      <c r="BJ87" s="1125"/>
      <c r="BK87" s="1125"/>
      <c r="BL87" s="1745"/>
      <c r="BM87" s="1054">
        <f t="shared" si="51"/>
        <v>0</v>
      </c>
      <c r="BN87" s="1746">
        <v>0</v>
      </c>
      <c r="BO87" s="1053">
        <v>0</v>
      </c>
      <c r="BP87" s="1053">
        <v>0</v>
      </c>
      <c r="BQ87" s="1053">
        <v>0</v>
      </c>
      <c r="BR87" s="1053">
        <v>0</v>
      </c>
      <c r="BS87" s="1054">
        <f t="shared" si="52"/>
        <v>0</v>
      </c>
      <c r="BT87" s="1744"/>
      <c r="BU87" s="1125"/>
      <c r="BV87" s="1125"/>
      <c r="BW87" s="1125"/>
      <c r="BX87" s="1745"/>
      <c r="BY87" s="1057">
        <f t="shared" si="53"/>
        <v>0</v>
      </c>
      <c r="BZ87" s="1744">
        <v>20265.2</v>
      </c>
      <c r="CA87" s="1125">
        <v>39774.589999999997</v>
      </c>
      <c r="CB87" s="1125">
        <v>11012.74</v>
      </c>
      <c r="CC87" s="1125">
        <v>-0.01</v>
      </c>
      <c r="CD87" s="1745">
        <v>0</v>
      </c>
      <c r="CE87" s="1057">
        <f t="shared" si="54"/>
        <v>71052.52</v>
      </c>
      <c r="CF87" s="1746"/>
      <c r="CG87" s="1053"/>
      <c r="CH87" s="1053"/>
      <c r="CI87" s="1053"/>
      <c r="CJ87" s="1747"/>
      <c r="CK87" s="1057">
        <f t="shared" si="55"/>
        <v>0</v>
      </c>
      <c r="CL87" s="1746"/>
      <c r="CM87" s="1053"/>
      <c r="CN87" s="1053"/>
      <c r="CO87" s="1053"/>
      <c r="CP87" s="1053"/>
      <c r="CQ87" s="1054">
        <f t="shared" si="56"/>
        <v>0</v>
      </c>
      <c r="CR87" s="1744"/>
      <c r="CS87" s="1125"/>
      <c r="CT87" s="1125"/>
      <c r="CU87" s="1125"/>
      <c r="CV87" s="1745"/>
      <c r="CW87" s="1057">
        <f t="shared" si="57"/>
        <v>0</v>
      </c>
      <c r="CX87" s="1746"/>
      <c r="CY87" s="1053"/>
      <c r="CZ87" s="1053"/>
      <c r="DA87" s="1053"/>
      <c r="DB87" s="1053"/>
      <c r="DC87" s="1054">
        <f t="shared" si="58"/>
        <v>0</v>
      </c>
      <c r="DD87" s="1744"/>
      <c r="DE87" s="1125"/>
      <c r="DF87" s="1125"/>
      <c r="DG87" s="1125"/>
      <c r="DH87" s="1745"/>
      <c r="DI87" s="1057">
        <f t="shared" si="59"/>
        <v>0</v>
      </c>
      <c r="DJ87" s="1744"/>
      <c r="DK87" s="1125"/>
      <c r="DL87" s="1125"/>
      <c r="DM87" s="1125"/>
      <c r="DN87" s="1125"/>
      <c r="DO87" s="1124">
        <f t="shared" si="60"/>
        <v>0</v>
      </c>
      <c r="DP87" s="1125"/>
      <c r="DQ87" s="1125"/>
      <c r="DR87" s="1125"/>
      <c r="DS87" s="1125"/>
      <c r="DT87" s="1125"/>
      <c r="DU87" s="1125">
        <f t="shared" si="63"/>
        <v>0</v>
      </c>
      <c r="DV87" s="1744">
        <v>4933.1499999999996</v>
      </c>
      <c r="DW87" s="1125">
        <v>3403.87</v>
      </c>
      <c r="DX87" s="1125">
        <v>1529.25</v>
      </c>
      <c r="DY87" s="1125">
        <v>-0.04</v>
      </c>
      <c r="DZ87" s="1745">
        <v>0</v>
      </c>
      <c r="EA87" s="1058">
        <f t="shared" si="61"/>
        <v>9866.23</v>
      </c>
      <c r="EB87" s="1744">
        <v>8038.47</v>
      </c>
      <c r="EC87" s="1125">
        <v>0</v>
      </c>
      <c r="ED87" s="1125">
        <v>1474.47</v>
      </c>
      <c r="EE87" s="1125">
        <v>0.06</v>
      </c>
      <c r="EF87" s="1745">
        <v>0</v>
      </c>
      <c r="EG87" s="1057">
        <f t="shared" si="62"/>
        <v>9513</v>
      </c>
    </row>
    <row r="88" spans="1:137" ht="15" customHeight="1" x14ac:dyDescent="0.25">
      <c r="A88" s="719" t="s">
        <v>216</v>
      </c>
      <c r="B88" s="816" t="s">
        <v>217</v>
      </c>
      <c r="C88" s="917" t="s">
        <v>264</v>
      </c>
      <c r="D88" s="814">
        <f t="shared" si="35"/>
        <v>64924.30000000001</v>
      </c>
      <c r="E88" s="814">
        <f t="shared" si="36"/>
        <v>25321.170000000002</v>
      </c>
      <c r="F88" s="814">
        <f t="shared" si="37"/>
        <v>18962.03</v>
      </c>
      <c r="G88" s="814">
        <f t="shared" si="38"/>
        <v>-0.15</v>
      </c>
      <c r="H88" s="814">
        <f t="shared" si="39"/>
        <v>0</v>
      </c>
      <c r="I88" s="1422">
        <f t="shared" si="40"/>
        <v>109207.35000000002</v>
      </c>
      <c r="J88" s="815">
        <f t="shared" si="41"/>
        <v>-0.15</v>
      </c>
      <c r="K88" s="1423">
        <f t="shared" si="42"/>
        <v>18961.879999999997</v>
      </c>
      <c r="L88" s="1723"/>
      <c r="M88" s="1043"/>
      <c r="N88" s="1043"/>
      <c r="O88" s="1043"/>
      <c r="P88" s="1043"/>
      <c r="Q88" s="1044">
        <f t="shared" si="43"/>
        <v>0</v>
      </c>
      <c r="R88" s="1719"/>
      <c r="S88" s="1123"/>
      <c r="T88" s="1123"/>
      <c r="U88" s="1123"/>
      <c r="V88" s="1720"/>
      <c r="W88" s="1047">
        <f t="shared" si="44"/>
        <v>0</v>
      </c>
      <c r="X88" s="1719"/>
      <c r="Y88" s="1123"/>
      <c r="Z88" s="1123"/>
      <c r="AA88" s="1123"/>
      <c r="AB88" s="1123"/>
      <c r="AC88" s="1122">
        <f t="shared" si="45"/>
        <v>0</v>
      </c>
      <c r="AD88" s="1733">
        <v>775.41</v>
      </c>
      <c r="AE88" s="1734">
        <v>4.62</v>
      </c>
      <c r="AF88" s="1734">
        <v>143.09</v>
      </c>
      <c r="AG88" s="1734">
        <v>-0.01</v>
      </c>
      <c r="AH88" s="1735">
        <v>0</v>
      </c>
      <c r="AI88" s="1045">
        <f t="shared" si="46"/>
        <v>923.11</v>
      </c>
      <c r="AJ88" s="1744">
        <v>34234.910000000003</v>
      </c>
      <c r="AK88" s="1125">
        <v>0</v>
      </c>
      <c r="AL88" s="1125">
        <v>8558.73</v>
      </c>
      <c r="AM88" s="1125">
        <v>0</v>
      </c>
      <c r="AN88" s="1745">
        <v>0</v>
      </c>
      <c r="AO88" s="1057">
        <f t="shared" si="47"/>
        <v>42793.64</v>
      </c>
      <c r="AP88" s="1736"/>
      <c r="AQ88" s="1046"/>
      <c r="AR88" s="1046"/>
      <c r="AS88" s="1046"/>
      <c r="AT88" s="1046"/>
      <c r="AU88" s="1049">
        <f t="shared" si="48"/>
        <v>0</v>
      </c>
      <c r="AV88" s="1758"/>
      <c r="AW88" s="1050"/>
      <c r="AX88" s="1050"/>
      <c r="AY88" s="1050"/>
      <c r="AZ88" s="1050"/>
      <c r="BA88" s="1051">
        <f t="shared" si="49"/>
        <v>0</v>
      </c>
      <c r="BB88" s="1764">
        <v>0</v>
      </c>
      <c r="BC88" s="1765">
        <v>0</v>
      </c>
      <c r="BD88" s="1765">
        <v>0</v>
      </c>
      <c r="BE88" s="1765">
        <v>0</v>
      </c>
      <c r="BF88" s="1766">
        <v>0</v>
      </c>
      <c r="BG88" s="1047">
        <f t="shared" si="50"/>
        <v>0</v>
      </c>
      <c r="BH88" s="1746"/>
      <c r="BI88" s="1053"/>
      <c r="BJ88" s="1053"/>
      <c r="BK88" s="1053"/>
      <c r="BL88" s="1053"/>
      <c r="BM88" s="1054">
        <f t="shared" si="51"/>
        <v>0</v>
      </c>
      <c r="BN88" s="1744">
        <v>13429.51</v>
      </c>
      <c r="BO88" s="1125">
        <v>1701.08</v>
      </c>
      <c r="BP88" s="1125">
        <v>2775.43</v>
      </c>
      <c r="BQ88" s="1125">
        <v>-0.01</v>
      </c>
      <c r="BR88" s="1745">
        <v>0</v>
      </c>
      <c r="BS88" s="1054">
        <f t="shared" si="52"/>
        <v>17906.010000000002</v>
      </c>
      <c r="BT88" s="1744">
        <v>-10</v>
      </c>
      <c r="BU88" s="1125">
        <v>-10</v>
      </c>
      <c r="BV88" s="1125">
        <v>0</v>
      </c>
      <c r="BW88" s="1125">
        <v>0</v>
      </c>
      <c r="BX88" s="1745">
        <v>0</v>
      </c>
      <c r="BY88" s="1057">
        <f t="shared" si="53"/>
        <v>-20</v>
      </c>
      <c r="BZ88" s="1744">
        <v>7826.75</v>
      </c>
      <c r="CA88" s="1125">
        <v>23967.97</v>
      </c>
      <c r="CB88" s="1125">
        <v>5832</v>
      </c>
      <c r="CC88" s="1125">
        <v>-0.13</v>
      </c>
      <c r="CD88" s="1745">
        <v>0</v>
      </c>
      <c r="CE88" s="1057">
        <f t="shared" si="54"/>
        <v>37626.590000000004</v>
      </c>
      <c r="CF88" s="1746"/>
      <c r="CG88" s="1053"/>
      <c r="CH88" s="1053"/>
      <c r="CI88" s="1053"/>
      <c r="CJ88" s="1747"/>
      <c r="CK88" s="1057">
        <f t="shared" si="55"/>
        <v>0</v>
      </c>
      <c r="CL88" s="1746"/>
      <c r="CM88" s="1053"/>
      <c r="CN88" s="1053"/>
      <c r="CO88" s="1053"/>
      <c r="CP88" s="1053"/>
      <c r="CQ88" s="1054">
        <f t="shared" si="56"/>
        <v>0</v>
      </c>
      <c r="CR88" s="1744"/>
      <c r="CS88" s="1125"/>
      <c r="CT88" s="1125"/>
      <c r="CU88" s="1125"/>
      <c r="CV88" s="1745"/>
      <c r="CW88" s="1057">
        <f t="shared" si="57"/>
        <v>0</v>
      </c>
      <c r="CX88" s="1744"/>
      <c r="CY88" s="1125"/>
      <c r="CZ88" s="1125"/>
      <c r="DA88" s="1125"/>
      <c r="DB88" s="1745"/>
      <c r="DC88" s="1054">
        <f t="shared" si="58"/>
        <v>0</v>
      </c>
      <c r="DD88" s="1744"/>
      <c r="DE88" s="1125"/>
      <c r="DF88" s="1125"/>
      <c r="DG88" s="1125"/>
      <c r="DH88" s="1745"/>
      <c r="DI88" s="1057">
        <f t="shared" si="59"/>
        <v>0</v>
      </c>
      <c r="DJ88" s="1744"/>
      <c r="DK88" s="1125"/>
      <c r="DL88" s="1125"/>
      <c r="DM88" s="1125"/>
      <c r="DN88" s="1125"/>
      <c r="DO88" s="1124">
        <f t="shared" si="60"/>
        <v>0</v>
      </c>
      <c r="DP88" s="1125">
        <v>-342.5</v>
      </c>
      <c r="DQ88" s="1125">
        <v>-342.5</v>
      </c>
      <c r="DR88" s="1125">
        <v>0</v>
      </c>
      <c r="DS88" s="1125">
        <v>0</v>
      </c>
      <c r="DT88" s="1125">
        <v>0</v>
      </c>
      <c r="DU88" s="1125">
        <f t="shared" si="63"/>
        <v>-685</v>
      </c>
      <c r="DV88" s="1744">
        <v>0</v>
      </c>
      <c r="DW88" s="1125">
        <v>0</v>
      </c>
      <c r="DX88" s="1125">
        <v>0</v>
      </c>
      <c r="DY88" s="1125">
        <v>0</v>
      </c>
      <c r="DZ88" s="1745">
        <v>0</v>
      </c>
      <c r="EA88" s="1058">
        <f t="shared" si="61"/>
        <v>0</v>
      </c>
      <c r="EB88" s="1744">
        <v>9010.2199999999993</v>
      </c>
      <c r="EC88" s="1125">
        <v>0</v>
      </c>
      <c r="ED88" s="1125">
        <v>1652.78</v>
      </c>
      <c r="EE88" s="1125">
        <v>0</v>
      </c>
      <c r="EF88" s="1745">
        <v>0</v>
      </c>
      <c r="EG88" s="1057">
        <f t="shared" si="62"/>
        <v>10663</v>
      </c>
    </row>
    <row r="89" spans="1:137" ht="15" customHeight="1" x14ac:dyDescent="0.25">
      <c r="A89" s="719" t="s">
        <v>218</v>
      </c>
      <c r="B89" s="816" t="s">
        <v>219</v>
      </c>
      <c r="C89" s="917" t="s">
        <v>267</v>
      </c>
      <c r="D89" s="814">
        <f t="shared" si="35"/>
        <v>163675.17000000001</v>
      </c>
      <c r="E89" s="814">
        <f t="shared" si="36"/>
        <v>132679.57</v>
      </c>
      <c r="F89" s="814">
        <f t="shared" si="37"/>
        <v>59231.33</v>
      </c>
      <c r="G89" s="814">
        <f t="shared" si="38"/>
        <v>2881.55</v>
      </c>
      <c r="H89" s="814">
        <f t="shared" si="39"/>
        <v>0</v>
      </c>
      <c r="I89" s="1422">
        <f t="shared" si="40"/>
        <v>358467.62</v>
      </c>
      <c r="J89" s="815">
        <f t="shared" si="41"/>
        <v>2881.55</v>
      </c>
      <c r="K89" s="1423">
        <f t="shared" si="42"/>
        <v>62112.880000000005</v>
      </c>
      <c r="L89" s="1723"/>
      <c r="M89" s="1043"/>
      <c r="N89" s="1043"/>
      <c r="O89" s="1043"/>
      <c r="P89" s="1043"/>
      <c r="Q89" s="1044">
        <f t="shared" si="43"/>
        <v>0</v>
      </c>
      <c r="R89" s="1719">
        <v>0</v>
      </c>
      <c r="S89" s="1123">
        <v>0</v>
      </c>
      <c r="T89" s="1123">
        <v>0</v>
      </c>
      <c r="U89" s="1123">
        <v>2881.6</v>
      </c>
      <c r="V89" s="1720">
        <v>0</v>
      </c>
      <c r="W89" s="1047">
        <f t="shared" si="44"/>
        <v>2881.6</v>
      </c>
      <c r="X89" s="1719"/>
      <c r="Y89" s="1123"/>
      <c r="Z89" s="1123"/>
      <c r="AA89" s="1123"/>
      <c r="AB89" s="1123"/>
      <c r="AC89" s="1122">
        <f t="shared" si="45"/>
        <v>0</v>
      </c>
      <c r="AD89" s="1733">
        <v>15889.84</v>
      </c>
      <c r="AE89" s="1734">
        <v>94.58</v>
      </c>
      <c r="AF89" s="1734">
        <v>2932.06</v>
      </c>
      <c r="AG89" s="1734">
        <v>0</v>
      </c>
      <c r="AH89" s="1735">
        <v>0</v>
      </c>
      <c r="AI89" s="1045">
        <f t="shared" si="46"/>
        <v>18916.48</v>
      </c>
      <c r="AJ89" s="1744">
        <v>32820.21</v>
      </c>
      <c r="AK89" s="1125">
        <v>0</v>
      </c>
      <c r="AL89" s="1125">
        <v>8205.01</v>
      </c>
      <c r="AM89" s="1125">
        <v>0</v>
      </c>
      <c r="AN89" s="1745">
        <v>0</v>
      </c>
      <c r="AO89" s="1057">
        <f t="shared" si="47"/>
        <v>41025.22</v>
      </c>
      <c r="AP89" s="1736"/>
      <c r="AQ89" s="1046"/>
      <c r="AR89" s="1046"/>
      <c r="AS89" s="1046"/>
      <c r="AT89" s="1046"/>
      <c r="AU89" s="1049">
        <f t="shared" si="48"/>
        <v>0</v>
      </c>
      <c r="AV89" s="1755">
        <v>6052.01</v>
      </c>
      <c r="AW89" s="1756">
        <v>1513</v>
      </c>
      <c r="AX89" s="1756">
        <v>0</v>
      </c>
      <c r="AY89" s="1756">
        <v>0</v>
      </c>
      <c r="AZ89" s="1757">
        <v>0</v>
      </c>
      <c r="BA89" s="1051">
        <f t="shared" si="49"/>
        <v>7565.01</v>
      </c>
      <c r="BB89" s="1764">
        <v>15658.29</v>
      </c>
      <c r="BC89" s="1765">
        <v>3914.57</v>
      </c>
      <c r="BD89" s="1765">
        <v>0</v>
      </c>
      <c r="BE89" s="1765">
        <v>0</v>
      </c>
      <c r="BF89" s="1766">
        <v>0</v>
      </c>
      <c r="BG89" s="1047">
        <f t="shared" si="50"/>
        <v>19572.86</v>
      </c>
      <c r="BH89" s="1744">
        <v>2943.86</v>
      </c>
      <c r="BI89" s="1125">
        <v>5316.14</v>
      </c>
      <c r="BJ89" s="1125">
        <v>0</v>
      </c>
      <c r="BK89" s="1125">
        <v>0</v>
      </c>
      <c r="BL89" s="1745">
        <v>0</v>
      </c>
      <c r="BM89" s="1054">
        <f t="shared" si="51"/>
        <v>8260</v>
      </c>
      <c r="BN89" s="1744">
        <v>37348.019999999997</v>
      </c>
      <c r="BO89" s="1125">
        <v>4730.76</v>
      </c>
      <c r="BP89" s="1125">
        <v>7718.59</v>
      </c>
      <c r="BQ89" s="1125">
        <v>-0.05</v>
      </c>
      <c r="BR89" s="1745">
        <v>0</v>
      </c>
      <c r="BS89" s="1054">
        <f t="shared" si="52"/>
        <v>49797.319999999992</v>
      </c>
      <c r="BT89" s="1744">
        <v>-143.77000000000001</v>
      </c>
      <c r="BU89" s="1125">
        <v>-143.77000000000001</v>
      </c>
      <c r="BV89" s="1125">
        <v>0</v>
      </c>
      <c r="BW89" s="1125">
        <v>0.05</v>
      </c>
      <c r="BX89" s="1745">
        <v>0</v>
      </c>
      <c r="BY89" s="1057">
        <f t="shared" si="53"/>
        <v>-287.49</v>
      </c>
      <c r="BZ89" s="1744">
        <v>35711.949999999997</v>
      </c>
      <c r="CA89" s="1125">
        <v>119041.12</v>
      </c>
      <c r="CB89" s="1125">
        <v>28385.88</v>
      </c>
      <c r="CC89" s="1125">
        <v>-0.08</v>
      </c>
      <c r="CD89" s="1745">
        <v>0</v>
      </c>
      <c r="CE89" s="1057">
        <f t="shared" si="54"/>
        <v>183138.87000000002</v>
      </c>
      <c r="CF89" s="1744">
        <v>5041.4799999999996</v>
      </c>
      <c r="CG89" s="1125">
        <v>0</v>
      </c>
      <c r="CH89" s="1125">
        <v>8510.93</v>
      </c>
      <c r="CI89" s="1125">
        <v>0</v>
      </c>
      <c r="CJ89" s="1745">
        <v>0</v>
      </c>
      <c r="CK89" s="1057">
        <f t="shared" si="55"/>
        <v>13552.41</v>
      </c>
      <c r="CL89" s="1746"/>
      <c r="CM89" s="1053"/>
      <c r="CN89" s="1053"/>
      <c r="CO89" s="1053"/>
      <c r="CP89" s="1053"/>
      <c r="CQ89" s="1054">
        <f t="shared" si="56"/>
        <v>0</v>
      </c>
      <c r="CR89" s="1744"/>
      <c r="CS89" s="1125"/>
      <c r="CT89" s="1125"/>
      <c r="CU89" s="1125"/>
      <c r="CV89" s="1745"/>
      <c r="CW89" s="1057">
        <f t="shared" si="57"/>
        <v>0</v>
      </c>
      <c r="CX89" s="1746"/>
      <c r="CY89" s="1053"/>
      <c r="CZ89" s="1053"/>
      <c r="DA89" s="1053"/>
      <c r="DB89" s="1053"/>
      <c r="DC89" s="1054">
        <f t="shared" si="58"/>
        <v>0</v>
      </c>
      <c r="DD89" s="1744"/>
      <c r="DE89" s="1125"/>
      <c r="DF89" s="1125"/>
      <c r="DG89" s="1125"/>
      <c r="DH89" s="1745"/>
      <c r="DI89" s="1057">
        <f t="shared" si="59"/>
        <v>0</v>
      </c>
      <c r="DJ89" s="1744">
        <v>-74</v>
      </c>
      <c r="DK89" s="1125">
        <v>0</v>
      </c>
      <c r="DL89" s="1125">
        <v>0</v>
      </c>
      <c r="DM89" s="1125">
        <v>0</v>
      </c>
      <c r="DN89" s="1125">
        <v>0</v>
      </c>
      <c r="DO89" s="1124">
        <f t="shared" si="60"/>
        <v>-74</v>
      </c>
      <c r="DP89" s="1125">
        <v>-4162.5</v>
      </c>
      <c r="DQ89" s="1125">
        <v>-4162.5</v>
      </c>
      <c r="DR89" s="1125">
        <v>0</v>
      </c>
      <c r="DS89" s="1125">
        <v>0</v>
      </c>
      <c r="DT89" s="1125">
        <v>0</v>
      </c>
      <c r="DU89" s="1125">
        <f t="shared" si="63"/>
        <v>-8325</v>
      </c>
      <c r="DV89" s="1744">
        <v>3443</v>
      </c>
      <c r="DW89" s="1125">
        <v>2375.67</v>
      </c>
      <c r="DX89" s="1125">
        <v>1067.33</v>
      </c>
      <c r="DY89" s="1125">
        <v>0</v>
      </c>
      <c r="DZ89" s="1745">
        <v>0</v>
      </c>
      <c r="EA89" s="1058">
        <f t="shared" si="61"/>
        <v>6886</v>
      </c>
      <c r="EB89" s="1744">
        <v>13146.78</v>
      </c>
      <c r="EC89" s="1125">
        <v>0</v>
      </c>
      <c r="ED89" s="1125">
        <v>2411.5300000000002</v>
      </c>
      <c r="EE89" s="1125">
        <v>0.03</v>
      </c>
      <c r="EF89" s="1745">
        <v>0</v>
      </c>
      <c r="EG89" s="1057">
        <f t="shared" si="62"/>
        <v>15558.340000000002</v>
      </c>
    </row>
    <row r="90" spans="1:137" ht="15" customHeight="1" x14ac:dyDescent="0.25">
      <c r="A90" s="719" t="s">
        <v>220</v>
      </c>
      <c r="B90" s="816" t="s">
        <v>221</v>
      </c>
      <c r="C90" s="917" t="s">
        <v>267</v>
      </c>
      <c r="D90" s="814">
        <f t="shared" si="35"/>
        <v>40592.439999999995</v>
      </c>
      <c r="E90" s="814">
        <f t="shared" si="36"/>
        <v>38393.767</v>
      </c>
      <c r="F90" s="814">
        <f t="shared" si="37"/>
        <v>15690.039999999999</v>
      </c>
      <c r="G90" s="814">
        <f t="shared" si="38"/>
        <v>23248.23</v>
      </c>
      <c r="H90" s="814">
        <f t="shared" si="39"/>
        <v>0</v>
      </c>
      <c r="I90" s="1422">
        <f t="shared" si="40"/>
        <v>117924.47699999998</v>
      </c>
      <c r="J90" s="815">
        <f t="shared" si="41"/>
        <v>23248.23</v>
      </c>
      <c r="K90" s="1423">
        <f t="shared" si="42"/>
        <v>38938.269999999997</v>
      </c>
      <c r="L90" s="1723"/>
      <c r="M90" s="1043"/>
      <c r="N90" s="1043"/>
      <c r="O90" s="1043"/>
      <c r="P90" s="1043"/>
      <c r="Q90" s="1044">
        <f t="shared" si="43"/>
        <v>0</v>
      </c>
      <c r="R90" s="1719">
        <v>0</v>
      </c>
      <c r="S90" s="1123">
        <v>0</v>
      </c>
      <c r="T90" s="1123">
        <v>0</v>
      </c>
      <c r="U90" s="1123">
        <v>23833.26</v>
      </c>
      <c r="V90" s="1720">
        <v>0</v>
      </c>
      <c r="W90" s="1047">
        <f t="shared" si="44"/>
        <v>23833.26</v>
      </c>
      <c r="X90" s="1719"/>
      <c r="Y90" s="1123"/>
      <c r="Z90" s="1123"/>
      <c r="AA90" s="1123"/>
      <c r="AB90" s="1123"/>
      <c r="AC90" s="1122">
        <f t="shared" si="45"/>
        <v>0</v>
      </c>
      <c r="AD90" s="1733">
        <v>414.38</v>
      </c>
      <c r="AE90" s="1734">
        <v>2.48</v>
      </c>
      <c r="AF90" s="1734">
        <v>76.47</v>
      </c>
      <c r="AG90" s="1734">
        <v>-0.02</v>
      </c>
      <c r="AH90" s="1735">
        <v>0</v>
      </c>
      <c r="AI90" s="1045">
        <f t="shared" si="46"/>
        <v>493.31000000000006</v>
      </c>
      <c r="AJ90" s="1744">
        <v>13833.6</v>
      </c>
      <c r="AK90" s="1125">
        <v>0</v>
      </c>
      <c r="AL90" s="1125">
        <v>3458.4</v>
      </c>
      <c r="AM90" s="1125">
        <v>0</v>
      </c>
      <c r="AN90" s="1745">
        <v>0</v>
      </c>
      <c r="AO90" s="1057">
        <f t="shared" si="47"/>
        <v>17292</v>
      </c>
      <c r="AP90" s="1736"/>
      <c r="AQ90" s="1046"/>
      <c r="AR90" s="1046"/>
      <c r="AS90" s="1046"/>
      <c r="AT90" s="1046"/>
      <c r="AU90" s="1049">
        <f t="shared" si="48"/>
        <v>0</v>
      </c>
      <c r="AV90" s="1755">
        <v>3102.81</v>
      </c>
      <c r="AW90" s="1756">
        <v>775.69</v>
      </c>
      <c r="AX90" s="1756">
        <v>0</v>
      </c>
      <c r="AY90" s="1756">
        <v>0</v>
      </c>
      <c r="AZ90" s="1757">
        <v>0</v>
      </c>
      <c r="BA90" s="1051">
        <f t="shared" si="49"/>
        <v>3878.5</v>
      </c>
      <c r="BB90" s="1764">
        <v>4935.16</v>
      </c>
      <c r="BC90" s="1765">
        <v>1233.79</v>
      </c>
      <c r="BD90" s="1765">
        <v>0</v>
      </c>
      <c r="BE90" s="1765">
        <v>0</v>
      </c>
      <c r="BF90" s="1766">
        <v>0</v>
      </c>
      <c r="BG90" s="1047">
        <f t="shared" si="50"/>
        <v>6168.95</v>
      </c>
      <c r="BH90" s="1744">
        <v>1773.09</v>
      </c>
      <c r="BI90" s="1125">
        <v>3201.91</v>
      </c>
      <c r="BJ90" s="1125">
        <v>0</v>
      </c>
      <c r="BK90" s="1125">
        <v>0</v>
      </c>
      <c r="BL90" s="1745">
        <v>0</v>
      </c>
      <c r="BM90" s="1054">
        <f t="shared" si="51"/>
        <v>4975</v>
      </c>
      <c r="BN90" s="1746">
        <v>0</v>
      </c>
      <c r="BO90" s="1053">
        <v>0</v>
      </c>
      <c r="BP90" s="1053">
        <v>0</v>
      </c>
      <c r="BQ90" s="1053">
        <v>0</v>
      </c>
      <c r="BR90" s="1053">
        <v>0</v>
      </c>
      <c r="BS90" s="1054">
        <f t="shared" si="52"/>
        <v>0</v>
      </c>
      <c r="BT90" s="1744">
        <v>-55</v>
      </c>
      <c r="BU90" s="1125">
        <v>-55</v>
      </c>
      <c r="BV90" s="1125">
        <v>0</v>
      </c>
      <c r="BW90" s="1125">
        <v>0</v>
      </c>
      <c r="BX90" s="1745">
        <v>0</v>
      </c>
      <c r="BY90" s="1057">
        <f t="shared" si="53"/>
        <v>-110</v>
      </c>
      <c r="BZ90" s="1744">
        <v>8686.42</v>
      </c>
      <c r="CA90" s="1125">
        <v>29536.007000000001</v>
      </c>
      <c r="CB90" s="1125">
        <v>7011.05</v>
      </c>
      <c r="CC90" s="1125">
        <v>0</v>
      </c>
      <c r="CD90" s="1745">
        <v>0</v>
      </c>
      <c r="CE90" s="1057">
        <f t="shared" si="54"/>
        <v>45233.477000000006</v>
      </c>
      <c r="CF90" s="1744">
        <v>2004.42</v>
      </c>
      <c r="CG90" s="1125">
        <v>0</v>
      </c>
      <c r="CH90" s="1125">
        <v>3383.82</v>
      </c>
      <c r="CI90" s="1125">
        <v>0</v>
      </c>
      <c r="CJ90" s="1745">
        <v>0</v>
      </c>
      <c r="CK90" s="1057">
        <f t="shared" si="55"/>
        <v>5388.24</v>
      </c>
      <c r="CL90" s="1746"/>
      <c r="CM90" s="1053"/>
      <c r="CN90" s="1053"/>
      <c r="CO90" s="1053"/>
      <c r="CP90" s="1053"/>
      <c r="CQ90" s="1054">
        <f t="shared" si="56"/>
        <v>0</v>
      </c>
      <c r="CR90" s="1744"/>
      <c r="CS90" s="1125"/>
      <c r="CT90" s="1125"/>
      <c r="CU90" s="1125"/>
      <c r="CV90" s="1745"/>
      <c r="CW90" s="1057">
        <f t="shared" si="57"/>
        <v>0</v>
      </c>
      <c r="CX90" s="1744"/>
      <c r="CY90" s="1125"/>
      <c r="CZ90" s="1125"/>
      <c r="DA90" s="1125"/>
      <c r="DB90" s="1745"/>
      <c r="DC90" s="1054">
        <f t="shared" si="58"/>
        <v>0</v>
      </c>
      <c r="DD90" s="1744"/>
      <c r="DE90" s="1125"/>
      <c r="DF90" s="1125"/>
      <c r="DG90" s="1125"/>
      <c r="DH90" s="1745"/>
      <c r="DI90" s="1057">
        <f t="shared" si="59"/>
        <v>0</v>
      </c>
      <c r="DJ90" s="1744"/>
      <c r="DK90" s="1125"/>
      <c r="DL90" s="1125"/>
      <c r="DM90" s="1125"/>
      <c r="DN90" s="1125"/>
      <c r="DO90" s="1124">
        <f t="shared" si="60"/>
        <v>0</v>
      </c>
      <c r="DP90" s="1125"/>
      <c r="DQ90" s="1125"/>
      <c r="DR90" s="1125"/>
      <c r="DS90" s="1125"/>
      <c r="DT90" s="1125"/>
      <c r="DU90" s="1125">
        <f t="shared" si="63"/>
        <v>0</v>
      </c>
      <c r="DV90" s="1744">
        <v>5360.71</v>
      </c>
      <c r="DW90" s="1125">
        <v>3698.89</v>
      </c>
      <c r="DX90" s="1125">
        <v>1661.82</v>
      </c>
      <c r="DY90" s="1125">
        <v>-0.01</v>
      </c>
      <c r="DZ90" s="1745">
        <v>0</v>
      </c>
      <c r="EA90" s="1058">
        <f t="shared" si="61"/>
        <v>10721.41</v>
      </c>
      <c r="EB90" s="1744">
        <v>536.85</v>
      </c>
      <c r="EC90" s="1125">
        <v>0</v>
      </c>
      <c r="ED90" s="1125">
        <v>98.48</v>
      </c>
      <c r="EE90" s="1125">
        <v>-585</v>
      </c>
      <c r="EF90" s="1745">
        <v>0</v>
      </c>
      <c r="EG90" s="1057">
        <f t="shared" si="62"/>
        <v>50.330000000000041</v>
      </c>
    </row>
    <row r="91" spans="1:137" ht="15" customHeight="1" x14ac:dyDescent="0.25">
      <c r="A91" s="719" t="s">
        <v>224</v>
      </c>
      <c r="B91" s="816" t="s">
        <v>225</v>
      </c>
      <c r="C91" s="917" t="s">
        <v>264</v>
      </c>
      <c r="D91" s="814">
        <f t="shared" si="35"/>
        <v>85572.479999999996</v>
      </c>
      <c r="E91" s="814">
        <f t="shared" si="36"/>
        <v>15155.71</v>
      </c>
      <c r="F91" s="814">
        <f t="shared" si="37"/>
        <v>22461.940000000002</v>
      </c>
      <c r="G91" s="814">
        <f t="shared" si="38"/>
        <v>6427.7499999999982</v>
      </c>
      <c r="H91" s="814">
        <f t="shared" si="39"/>
        <v>2372.83</v>
      </c>
      <c r="I91" s="1422">
        <f t="shared" si="40"/>
        <v>131990.71</v>
      </c>
      <c r="J91" s="815">
        <f t="shared" si="41"/>
        <v>8800.5799999999981</v>
      </c>
      <c r="K91" s="1423">
        <f t="shared" si="42"/>
        <v>31262.52</v>
      </c>
      <c r="L91" s="1723"/>
      <c r="M91" s="1043"/>
      <c r="N91" s="1043"/>
      <c r="O91" s="1043"/>
      <c r="P91" s="1043"/>
      <c r="Q91" s="1044">
        <f t="shared" si="43"/>
        <v>0</v>
      </c>
      <c r="R91" s="1717"/>
      <c r="S91" s="1048"/>
      <c r="T91" s="1048"/>
      <c r="U91" s="1048"/>
      <c r="V91" s="1718"/>
      <c r="W91" s="1047">
        <f t="shared" si="44"/>
        <v>0</v>
      </c>
      <c r="X91" s="1719"/>
      <c r="Y91" s="1123"/>
      <c r="Z91" s="1123"/>
      <c r="AA91" s="1123"/>
      <c r="AB91" s="1123"/>
      <c r="AC91" s="1122">
        <f t="shared" si="45"/>
        <v>0</v>
      </c>
      <c r="AD91" s="1733">
        <v>576.47</v>
      </c>
      <c r="AE91" s="1734">
        <v>3.43</v>
      </c>
      <c r="AF91" s="1734">
        <v>106.37</v>
      </c>
      <c r="AG91" s="1734">
        <v>0</v>
      </c>
      <c r="AH91" s="1735">
        <v>0</v>
      </c>
      <c r="AI91" s="1045">
        <f t="shared" si="46"/>
        <v>686.27</v>
      </c>
      <c r="AJ91" s="1744">
        <v>59866.5</v>
      </c>
      <c r="AK91" s="1125">
        <v>0</v>
      </c>
      <c r="AL91" s="1125">
        <v>14966.65</v>
      </c>
      <c r="AM91" s="1125">
        <v>6177.19</v>
      </c>
      <c r="AN91" s="1745">
        <v>2372.83</v>
      </c>
      <c r="AO91" s="1057">
        <f t="shared" si="47"/>
        <v>83383.17</v>
      </c>
      <c r="AP91" s="1733">
        <v>2511.46</v>
      </c>
      <c r="AQ91" s="1734">
        <v>1636.69</v>
      </c>
      <c r="AR91" s="1734">
        <v>760.9</v>
      </c>
      <c r="AS91" s="1734">
        <v>-0.02</v>
      </c>
      <c r="AT91" s="1735">
        <v>0</v>
      </c>
      <c r="AU91" s="1049">
        <f t="shared" si="48"/>
        <v>4909.0299999999988</v>
      </c>
      <c r="AV91" s="1758"/>
      <c r="AW91" s="1050"/>
      <c r="AX91" s="1050"/>
      <c r="AY91" s="1050"/>
      <c r="AZ91" s="1050"/>
      <c r="BA91" s="1051">
        <f t="shared" si="49"/>
        <v>0</v>
      </c>
      <c r="BB91" s="1719">
        <v>0</v>
      </c>
      <c r="BC91" s="1123">
        <v>0</v>
      </c>
      <c r="BD91" s="1123">
        <v>0</v>
      </c>
      <c r="BE91" s="1123">
        <v>0</v>
      </c>
      <c r="BF91" s="1720">
        <v>0</v>
      </c>
      <c r="BG91" s="1047">
        <f t="shared" si="50"/>
        <v>0</v>
      </c>
      <c r="BH91" s="1746"/>
      <c r="BI91" s="1053"/>
      <c r="BJ91" s="1053"/>
      <c r="BK91" s="1053"/>
      <c r="BL91" s="1053"/>
      <c r="BM91" s="1054">
        <f t="shared" si="51"/>
        <v>0</v>
      </c>
      <c r="BN91" s="1744">
        <v>5725.93</v>
      </c>
      <c r="BO91" s="1125">
        <v>725.29</v>
      </c>
      <c r="BP91" s="1125">
        <v>1183.3699999999999</v>
      </c>
      <c r="BQ91" s="1125">
        <v>-0.05</v>
      </c>
      <c r="BR91" s="1745">
        <v>0</v>
      </c>
      <c r="BS91" s="1054">
        <f t="shared" si="52"/>
        <v>7634.54</v>
      </c>
      <c r="BT91" s="1744"/>
      <c r="BU91" s="1125"/>
      <c r="BV91" s="1125"/>
      <c r="BW91" s="1125"/>
      <c r="BX91" s="1745"/>
      <c r="BY91" s="1057">
        <f t="shared" si="53"/>
        <v>0</v>
      </c>
      <c r="BZ91" s="1744">
        <v>3329.25</v>
      </c>
      <c r="CA91" s="1125">
        <v>10513.3</v>
      </c>
      <c r="CB91" s="1125">
        <v>2539.11</v>
      </c>
      <c r="CC91" s="1125">
        <v>184.78</v>
      </c>
      <c r="CD91" s="1745">
        <v>0</v>
      </c>
      <c r="CE91" s="1057">
        <f t="shared" si="54"/>
        <v>16566.439999999999</v>
      </c>
      <c r="CF91" s="1746"/>
      <c r="CG91" s="1053"/>
      <c r="CH91" s="1053"/>
      <c r="CI91" s="1053"/>
      <c r="CJ91" s="1747"/>
      <c r="CK91" s="1057">
        <f t="shared" si="55"/>
        <v>0</v>
      </c>
      <c r="CL91" s="1746"/>
      <c r="CM91" s="1053"/>
      <c r="CN91" s="1053"/>
      <c r="CO91" s="1053"/>
      <c r="CP91" s="1053"/>
      <c r="CQ91" s="1054">
        <f t="shared" si="56"/>
        <v>0</v>
      </c>
      <c r="CR91" s="1744"/>
      <c r="CS91" s="1125"/>
      <c r="CT91" s="1125"/>
      <c r="CU91" s="1125"/>
      <c r="CV91" s="1745"/>
      <c r="CW91" s="1057">
        <f t="shared" si="57"/>
        <v>0</v>
      </c>
      <c r="CX91" s="1746"/>
      <c r="CY91" s="1053"/>
      <c r="CZ91" s="1053"/>
      <c r="DA91" s="1053"/>
      <c r="DB91" s="1053"/>
      <c r="DC91" s="1054">
        <f t="shared" si="58"/>
        <v>0</v>
      </c>
      <c r="DD91" s="1744"/>
      <c r="DE91" s="1125"/>
      <c r="DF91" s="1125"/>
      <c r="DG91" s="1125"/>
      <c r="DH91" s="1745"/>
      <c r="DI91" s="1057">
        <f t="shared" si="59"/>
        <v>0</v>
      </c>
      <c r="DJ91" s="1744"/>
      <c r="DK91" s="1125"/>
      <c r="DL91" s="1125"/>
      <c r="DM91" s="1125"/>
      <c r="DN91" s="1125"/>
      <c r="DO91" s="1124">
        <f t="shared" si="60"/>
        <v>0</v>
      </c>
      <c r="DP91" s="1125"/>
      <c r="DQ91" s="1125"/>
      <c r="DR91" s="1125"/>
      <c r="DS91" s="1125"/>
      <c r="DT91" s="1125"/>
      <c r="DU91" s="1125">
        <f t="shared" si="63"/>
        <v>0</v>
      </c>
      <c r="DV91" s="1744">
        <v>3300.01</v>
      </c>
      <c r="DW91" s="1125">
        <v>2277</v>
      </c>
      <c r="DX91" s="1125">
        <v>1023</v>
      </c>
      <c r="DY91" s="1125">
        <v>65.86</v>
      </c>
      <c r="DZ91" s="1745">
        <v>0</v>
      </c>
      <c r="EA91" s="1058">
        <f t="shared" si="61"/>
        <v>6665.87</v>
      </c>
      <c r="EB91" s="1744">
        <v>10262.86</v>
      </c>
      <c r="EC91" s="1125">
        <v>0</v>
      </c>
      <c r="ED91" s="1125">
        <v>1882.54</v>
      </c>
      <c r="EE91" s="1125">
        <v>-0.01</v>
      </c>
      <c r="EF91" s="1745">
        <v>0</v>
      </c>
      <c r="EG91" s="1057">
        <f t="shared" si="62"/>
        <v>12145.390000000001</v>
      </c>
    </row>
    <row r="92" spans="1:137" ht="15" customHeight="1" x14ac:dyDescent="0.25">
      <c r="A92" s="719" t="s">
        <v>226</v>
      </c>
      <c r="B92" s="816" t="s">
        <v>227</v>
      </c>
      <c r="C92" s="917" t="s">
        <v>264</v>
      </c>
      <c r="D92" s="814">
        <f t="shared" si="35"/>
        <v>50756.17</v>
      </c>
      <c r="E92" s="814">
        <f t="shared" si="36"/>
        <v>12246.080000000002</v>
      </c>
      <c r="F92" s="814">
        <f t="shared" si="37"/>
        <v>13807.039999999999</v>
      </c>
      <c r="G92" s="814">
        <f t="shared" si="38"/>
        <v>-0.06</v>
      </c>
      <c r="H92" s="814">
        <f t="shared" si="39"/>
        <v>188.94</v>
      </c>
      <c r="I92" s="1422">
        <f t="shared" si="40"/>
        <v>76998.17</v>
      </c>
      <c r="J92" s="815">
        <f t="shared" si="41"/>
        <v>188.88</v>
      </c>
      <c r="K92" s="1423">
        <f t="shared" si="42"/>
        <v>13995.919999999998</v>
      </c>
      <c r="L92" s="1723"/>
      <c r="M92" s="1043"/>
      <c r="N92" s="1043"/>
      <c r="O92" s="1043"/>
      <c r="P92" s="1043"/>
      <c r="Q92" s="1044">
        <f t="shared" si="43"/>
        <v>0</v>
      </c>
      <c r="R92" s="1719"/>
      <c r="S92" s="1123"/>
      <c r="T92" s="1123"/>
      <c r="U92" s="1123"/>
      <c r="V92" s="1720"/>
      <c r="W92" s="1047">
        <f t="shared" si="44"/>
        <v>0</v>
      </c>
      <c r="X92" s="1719"/>
      <c r="Y92" s="1123"/>
      <c r="Z92" s="1123"/>
      <c r="AA92" s="1123"/>
      <c r="AB92" s="1123"/>
      <c r="AC92" s="1122">
        <f t="shared" si="45"/>
        <v>0</v>
      </c>
      <c r="AD92" s="1733">
        <v>416.6</v>
      </c>
      <c r="AE92" s="1734">
        <v>2.48</v>
      </c>
      <c r="AF92" s="1734">
        <v>76.87</v>
      </c>
      <c r="AG92" s="1734">
        <v>0</v>
      </c>
      <c r="AH92" s="1735">
        <v>0</v>
      </c>
      <c r="AI92" s="1045">
        <f t="shared" si="46"/>
        <v>495.95000000000005</v>
      </c>
      <c r="AJ92" s="1744">
        <v>33807.97</v>
      </c>
      <c r="AK92" s="1125">
        <v>0</v>
      </c>
      <c r="AL92" s="1125">
        <v>8451.9699999999993</v>
      </c>
      <c r="AM92" s="1125">
        <v>0</v>
      </c>
      <c r="AN92" s="1745">
        <v>188.94</v>
      </c>
      <c r="AO92" s="1057">
        <f t="shared" si="47"/>
        <v>42448.880000000005</v>
      </c>
      <c r="AP92" s="1736"/>
      <c r="AQ92" s="1046"/>
      <c r="AR92" s="1046"/>
      <c r="AS92" s="1046"/>
      <c r="AT92" s="1046"/>
      <c r="AU92" s="1049">
        <f t="shared" si="48"/>
        <v>0</v>
      </c>
      <c r="AV92" s="1758"/>
      <c r="AW92" s="1050"/>
      <c r="AX92" s="1050"/>
      <c r="AY92" s="1050"/>
      <c r="AZ92" s="1050"/>
      <c r="BA92" s="1051">
        <f t="shared" si="49"/>
        <v>0</v>
      </c>
      <c r="BB92" s="1764">
        <v>0</v>
      </c>
      <c r="BC92" s="1765">
        <v>0</v>
      </c>
      <c r="BD92" s="1765">
        <v>0</v>
      </c>
      <c r="BE92" s="1765">
        <v>0</v>
      </c>
      <c r="BF92" s="1766">
        <v>0</v>
      </c>
      <c r="BG92" s="1047">
        <f t="shared" si="50"/>
        <v>0</v>
      </c>
      <c r="BH92" s="1746"/>
      <c r="BI92" s="1053"/>
      <c r="BJ92" s="1053"/>
      <c r="BK92" s="1053"/>
      <c r="BL92" s="1053"/>
      <c r="BM92" s="1054">
        <f t="shared" si="51"/>
        <v>0</v>
      </c>
      <c r="BN92" s="1744">
        <v>173.36</v>
      </c>
      <c r="BO92" s="1125">
        <v>21.96</v>
      </c>
      <c r="BP92" s="1125">
        <v>35.83</v>
      </c>
      <c r="BQ92" s="1125">
        <v>0</v>
      </c>
      <c r="BR92" s="1745">
        <v>0</v>
      </c>
      <c r="BS92" s="1054">
        <f t="shared" si="52"/>
        <v>231.15000000000003</v>
      </c>
      <c r="BT92" s="1744"/>
      <c r="BU92" s="1125"/>
      <c r="BV92" s="1125"/>
      <c r="BW92" s="1125"/>
      <c r="BX92" s="1745"/>
      <c r="BY92" s="1057">
        <f t="shared" si="53"/>
        <v>0</v>
      </c>
      <c r="BZ92" s="1744">
        <v>3828.83</v>
      </c>
      <c r="CA92" s="1125">
        <v>9900.5400000000009</v>
      </c>
      <c r="CB92" s="1125">
        <v>2518.33</v>
      </c>
      <c r="CC92" s="1125">
        <v>-0.08</v>
      </c>
      <c r="CD92" s="1745">
        <v>0</v>
      </c>
      <c r="CE92" s="1057">
        <f t="shared" si="54"/>
        <v>16247.62</v>
      </c>
      <c r="CF92" s="1746"/>
      <c r="CG92" s="1053"/>
      <c r="CH92" s="1053"/>
      <c r="CI92" s="1053"/>
      <c r="CJ92" s="1747"/>
      <c r="CK92" s="1057">
        <f t="shared" si="55"/>
        <v>0</v>
      </c>
      <c r="CL92" s="1746"/>
      <c r="CM92" s="1053"/>
      <c r="CN92" s="1053"/>
      <c r="CO92" s="1053"/>
      <c r="CP92" s="1053"/>
      <c r="CQ92" s="1054">
        <f t="shared" si="56"/>
        <v>0</v>
      </c>
      <c r="CR92" s="1746"/>
      <c r="CS92" s="1053"/>
      <c r="CT92" s="1053"/>
      <c r="CU92" s="1053"/>
      <c r="CV92" s="1747"/>
      <c r="CW92" s="1057">
        <f t="shared" si="57"/>
        <v>0</v>
      </c>
      <c r="CX92" s="1746"/>
      <c r="CY92" s="1053"/>
      <c r="CZ92" s="1053"/>
      <c r="DA92" s="1053"/>
      <c r="DB92" s="1053"/>
      <c r="DC92" s="1054">
        <f t="shared" si="58"/>
        <v>0</v>
      </c>
      <c r="DD92" s="1744"/>
      <c r="DE92" s="1125"/>
      <c r="DF92" s="1125"/>
      <c r="DG92" s="1125"/>
      <c r="DH92" s="1745"/>
      <c r="DI92" s="1057">
        <f t="shared" si="59"/>
        <v>0</v>
      </c>
      <c r="DJ92" s="1744"/>
      <c r="DK92" s="1125"/>
      <c r="DL92" s="1125"/>
      <c r="DM92" s="1125"/>
      <c r="DN92" s="1125"/>
      <c r="DO92" s="1124">
        <f t="shared" si="60"/>
        <v>0</v>
      </c>
      <c r="DP92" s="1125"/>
      <c r="DQ92" s="1125"/>
      <c r="DR92" s="1125"/>
      <c r="DS92" s="1125"/>
      <c r="DT92" s="1125"/>
      <c r="DU92" s="1125">
        <f t="shared" si="63"/>
        <v>0</v>
      </c>
      <c r="DV92" s="1744">
        <v>3363.93</v>
      </c>
      <c r="DW92" s="1125">
        <v>2321.1</v>
      </c>
      <c r="DX92" s="1125">
        <v>1042.81</v>
      </c>
      <c r="DY92" s="1125">
        <v>0</v>
      </c>
      <c r="DZ92" s="1745">
        <v>0</v>
      </c>
      <c r="EA92" s="1058">
        <f t="shared" si="61"/>
        <v>6727.84</v>
      </c>
      <c r="EB92" s="1744">
        <v>9165.48</v>
      </c>
      <c r="EC92" s="1125">
        <v>0</v>
      </c>
      <c r="ED92" s="1125">
        <v>1681.23</v>
      </c>
      <c r="EE92" s="1125">
        <v>0.02</v>
      </c>
      <c r="EF92" s="1745">
        <v>0</v>
      </c>
      <c r="EG92" s="1057">
        <f t="shared" si="62"/>
        <v>10846.73</v>
      </c>
    </row>
    <row r="93" spans="1:137" ht="15" customHeight="1" x14ac:dyDescent="0.25">
      <c r="A93" s="719" t="s">
        <v>228</v>
      </c>
      <c r="B93" s="816" t="s">
        <v>229</v>
      </c>
      <c r="C93" s="917" t="s">
        <v>268</v>
      </c>
      <c r="D93" s="814">
        <f t="shared" si="35"/>
        <v>114278.31000000001</v>
      </c>
      <c r="E93" s="814">
        <f t="shared" si="36"/>
        <v>83393.33</v>
      </c>
      <c r="F93" s="814">
        <f t="shared" si="37"/>
        <v>35488.630000000005</v>
      </c>
      <c r="G93" s="814">
        <f t="shared" si="38"/>
        <v>-0.22000000000000003</v>
      </c>
      <c r="H93" s="814">
        <f t="shared" si="39"/>
        <v>0</v>
      </c>
      <c r="I93" s="1422">
        <f t="shared" si="40"/>
        <v>233160.05000000002</v>
      </c>
      <c r="J93" s="815">
        <f t="shared" si="41"/>
        <v>-0.22000000000000003</v>
      </c>
      <c r="K93" s="1423">
        <f t="shared" si="42"/>
        <v>35488.410000000003</v>
      </c>
      <c r="L93" s="1723"/>
      <c r="M93" s="1043"/>
      <c r="N93" s="1043"/>
      <c r="O93" s="1043"/>
      <c r="P93" s="1043"/>
      <c r="Q93" s="1044">
        <f t="shared" si="43"/>
        <v>0</v>
      </c>
      <c r="R93" s="1717"/>
      <c r="S93" s="1048"/>
      <c r="T93" s="1048"/>
      <c r="U93" s="1048"/>
      <c r="V93" s="1718"/>
      <c r="W93" s="1047">
        <f t="shared" si="44"/>
        <v>0</v>
      </c>
      <c r="X93" s="1719"/>
      <c r="Y93" s="1123"/>
      <c r="Z93" s="1123"/>
      <c r="AA93" s="1123"/>
      <c r="AB93" s="1123"/>
      <c r="AC93" s="1122">
        <f t="shared" si="45"/>
        <v>0</v>
      </c>
      <c r="AD93" s="1733">
        <v>0</v>
      </c>
      <c r="AE93" s="1734">
        <v>0</v>
      </c>
      <c r="AF93" s="1734">
        <v>0</v>
      </c>
      <c r="AG93" s="1734">
        <v>0</v>
      </c>
      <c r="AH93" s="1735">
        <v>0</v>
      </c>
      <c r="AI93" s="1045">
        <f t="shared" si="46"/>
        <v>0</v>
      </c>
      <c r="AJ93" s="1744">
        <v>23719.69</v>
      </c>
      <c r="AK93" s="1125">
        <v>0</v>
      </c>
      <c r="AL93" s="1125">
        <v>5929.94</v>
      </c>
      <c r="AM93" s="1125">
        <v>0</v>
      </c>
      <c r="AN93" s="1745">
        <v>0</v>
      </c>
      <c r="AO93" s="1057">
        <f t="shared" si="47"/>
        <v>29649.629999999997</v>
      </c>
      <c r="AP93" s="1733">
        <v>26147.43</v>
      </c>
      <c r="AQ93" s="1734">
        <v>8455.7900000000009</v>
      </c>
      <c r="AR93" s="1734">
        <v>6347.38</v>
      </c>
      <c r="AS93" s="1734">
        <v>-0.11</v>
      </c>
      <c r="AT93" s="1735">
        <v>0</v>
      </c>
      <c r="AU93" s="1049">
        <f t="shared" si="48"/>
        <v>40950.49</v>
      </c>
      <c r="AV93" s="1755"/>
      <c r="AW93" s="1756"/>
      <c r="AX93" s="1756"/>
      <c r="AY93" s="1756"/>
      <c r="AZ93" s="1757"/>
      <c r="BA93" s="1051">
        <f t="shared" si="49"/>
        <v>0</v>
      </c>
      <c r="BB93" s="1764">
        <v>10337.65</v>
      </c>
      <c r="BC93" s="1765">
        <v>2584.4299999999998</v>
      </c>
      <c r="BD93" s="1765">
        <v>0</v>
      </c>
      <c r="BE93" s="1765">
        <v>0</v>
      </c>
      <c r="BF93" s="1766">
        <v>0</v>
      </c>
      <c r="BG93" s="1047">
        <f t="shared" si="50"/>
        <v>12922.08</v>
      </c>
      <c r="BH93" s="1744">
        <v>62.37</v>
      </c>
      <c r="BI93" s="1125">
        <v>112.63</v>
      </c>
      <c r="BJ93" s="1125">
        <v>0</v>
      </c>
      <c r="BK93" s="1125">
        <v>0</v>
      </c>
      <c r="BL93" s="1745">
        <v>0</v>
      </c>
      <c r="BM93" s="1054">
        <f t="shared" si="51"/>
        <v>175</v>
      </c>
      <c r="BN93" s="1744">
        <v>27423.55</v>
      </c>
      <c r="BO93" s="1125">
        <v>3473.67</v>
      </c>
      <c r="BP93" s="1125">
        <v>5667.55</v>
      </c>
      <c r="BQ93" s="1125">
        <v>-0.05</v>
      </c>
      <c r="BR93" s="1745">
        <v>0</v>
      </c>
      <c r="BS93" s="1054">
        <f t="shared" si="52"/>
        <v>36564.720000000001</v>
      </c>
      <c r="BT93" s="1744">
        <v>-46</v>
      </c>
      <c r="BU93" s="1125">
        <v>-46</v>
      </c>
      <c r="BV93" s="1125">
        <v>0</v>
      </c>
      <c r="BW93" s="1125">
        <v>0</v>
      </c>
      <c r="BX93" s="1745">
        <v>0</v>
      </c>
      <c r="BY93" s="1057">
        <f t="shared" si="53"/>
        <v>-92</v>
      </c>
      <c r="BZ93" s="1744">
        <v>20698.82</v>
      </c>
      <c r="CA93" s="1125">
        <v>66602.87</v>
      </c>
      <c r="CB93" s="1125">
        <v>16013.45</v>
      </c>
      <c r="CC93" s="1125">
        <v>-0.12</v>
      </c>
      <c r="CD93" s="1745">
        <v>0</v>
      </c>
      <c r="CE93" s="1057">
        <f t="shared" si="54"/>
        <v>103315.02</v>
      </c>
      <c r="CF93" s="1746"/>
      <c r="CG93" s="1053"/>
      <c r="CH93" s="1053"/>
      <c r="CI93" s="1053"/>
      <c r="CJ93" s="1747"/>
      <c r="CK93" s="1057">
        <f t="shared" si="55"/>
        <v>0</v>
      </c>
      <c r="CL93" s="1746"/>
      <c r="CM93" s="1053"/>
      <c r="CN93" s="1053"/>
      <c r="CO93" s="1053"/>
      <c r="CP93" s="1053"/>
      <c r="CQ93" s="1054">
        <f t="shared" si="56"/>
        <v>0</v>
      </c>
      <c r="CR93" s="1744"/>
      <c r="CS93" s="1125"/>
      <c r="CT93" s="1125"/>
      <c r="CU93" s="1125"/>
      <c r="CV93" s="1745"/>
      <c r="CW93" s="1057">
        <f t="shared" si="57"/>
        <v>0</v>
      </c>
      <c r="CX93" s="1746"/>
      <c r="CY93" s="1053"/>
      <c r="CZ93" s="1053"/>
      <c r="DA93" s="1053"/>
      <c r="DB93" s="1053"/>
      <c r="DC93" s="1054">
        <f t="shared" si="58"/>
        <v>0</v>
      </c>
      <c r="DD93" s="1744">
        <v>-198</v>
      </c>
      <c r="DE93" s="1125">
        <v>0</v>
      </c>
      <c r="DF93" s="1125">
        <v>0</v>
      </c>
      <c r="DG93" s="1125">
        <v>0</v>
      </c>
      <c r="DH93" s="1745">
        <v>0</v>
      </c>
      <c r="DI93" s="1057">
        <f t="shared" si="59"/>
        <v>-198</v>
      </c>
      <c r="DJ93" s="1744"/>
      <c r="DK93" s="1125"/>
      <c r="DL93" s="1125"/>
      <c r="DM93" s="1125"/>
      <c r="DN93" s="1125"/>
      <c r="DO93" s="1124">
        <f t="shared" si="60"/>
        <v>0</v>
      </c>
      <c r="DP93" s="1125"/>
      <c r="DQ93" s="1125"/>
      <c r="DR93" s="1125"/>
      <c r="DS93" s="1125"/>
      <c r="DT93" s="1125"/>
      <c r="DU93" s="1125">
        <f t="shared" si="63"/>
        <v>0</v>
      </c>
      <c r="DV93" s="1744">
        <v>3202.81</v>
      </c>
      <c r="DW93" s="1125">
        <v>2209.94</v>
      </c>
      <c r="DX93" s="1125">
        <v>992.87</v>
      </c>
      <c r="DY93" s="1125">
        <v>-0.01</v>
      </c>
      <c r="DZ93" s="1745">
        <v>0</v>
      </c>
      <c r="EA93" s="1058">
        <f t="shared" si="61"/>
        <v>6405.61</v>
      </c>
      <c r="EB93" s="1744">
        <v>2929.99</v>
      </c>
      <c r="EC93" s="1125">
        <v>0</v>
      </c>
      <c r="ED93" s="1125">
        <v>537.44000000000005</v>
      </c>
      <c r="EE93" s="1125">
        <v>7.0000000000000007E-2</v>
      </c>
      <c r="EF93" s="1745">
        <v>0</v>
      </c>
      <c r="EG93" s="1057">
        <f t="shared" si="62"/>
        <v>3467.5</v>
      </c>
    </row>
    <row r="94" spans="1:137" ht="15" customHeight="1" x14ac:dyDescent="0.25">
      <c r="A94" s="719" t="s">
        <v>232</v>
      </c>
      <c r="B94" s="816" t="s">
        <v>233</v>
      </c>
      <c r="C94" s="917" t="s">
        <v>267</v>
      </c>
      <c r="D94" s="814">
        <f t="shared" si="35"/>
        <v>30427.989999999998</v>
      </c>
      <c r="E94" s="814">
        <f t="shared" si="36"/>
        <v>44642.7</v>
      </c>
      <c r="F94" s="814">
        <f t="shared" si="37"/>
        <v>14937.19</v>
      </c>
      <c r="G94" s="814">
        <f t="shared" si="38"/>
        <v>-0.16</v>
      </c>
      <c r="H94" s="814">
        <f t="shared" si="39"/>
        <v>0</v>
      </c>
      <c r="I94" s="1422">
        <f t="shared" si="40"/>
        <v>90007.72</v>
      </c>
      <c r="J94" s="815">
        <f t="shared" si="41"/>
        <v>-0.16</v>
      </c>
      <c r="K94" s="1423">
        <f t="shared" si="42"/>
        <v>14937.03</v>
      </c>
      <c r="L94" s="1723"/>
      <c r="M94" s="1043"/>
      <c r="N94" s="1043"/>
      <c r="O94" s="1043"/>
      <c r="P94" s="1043"/>
      <c r="Q94" s="1044">
        <f t="shared" si="43"/>
        <v>0</v>
      </c>
      <c r="R94" s="1717"/>
      <c r="S94" s="1048"/>
      <c r="T94" s="1048"/>
      <c r="U94" s="1048"/>
      <c r="V94" s="1718"/>
      <c r="W94" s="1047">
        <f t="shared" si="44"/>
        <v>0</v>
      </c>
      <c r="X94" s="1719"/>
      <c r="Y94" s="1123"/>
      <c r="Z94" s="1123"/>
      <c r="AA94" s="1123"/>
      <c r="AB94" s="1123"/>
      <c r="AC94" s="1122">
        <f t="shared" si="45"/>
        <v>0</v>
      </c>
      <c r="AD94" s="1733">
        <v>1568.72</v>
      </c>
      <c r="AE94" s="1734">
        <v>9.35</v>
      </c>
      <c r="AF94" s="1734">
        <v>289.48</v>
      </c>
      <c r="AG94" s="1734">
        <v>-0.01</v>
      </c>
      <c r="AH94" s="1735">
        <v>0</v>
      </c>
      <c r="AI94" s="1045">
        <f t="shared" si="46"/>
        <v>1867.54</v>
      </c>
      <c r="AJ94" s="1744">
        <v>1545.02</v>
      </c>
      <c r="AK94" s="1125">
        <v>0</v>
      </c>
      <c r="AL94" s="1125">
        <v>386.27</v>
      </c>
      <c r="AM94" s="1125">
        <v>0</v>
      </c>
      <c r="AN94" s="1745">
        <v>0</v>
      </c>
      <c r="AO94" s="1057">
        <f t="shared" si="47"/>
        <v>1931.29</v>
      </c>
      <c r="AP94" s="1736"/>
      <c r="AQ94" s="1046"/>
      <c r="AR94" s="1046"/>
      <c r="AS94" s="1046"/>
      <c r="AT94" s="1046"/>
      <c r="AU94" s="1049">
        <f t="shared" si="48"/>
        <v>0</v>
      </c>
      <c r="AV94" s="1755">
        <v>1753.7</v>
      </c>
      <c r="AW94" s="1756">
        <v>438.43</v>
      </c>
      <c r="AX94" s="1756">
        <v>0</v>
      </c>
      <c r="AY94" s="1756">
        <v>0</v>
      </c>
      <c r="AZ94" s="1757">
        <v>0</v>
      </c>
      <c r="BA94" s="1051">
        <f t="shared" si="49"/>
        <v>2192.13</v>
      </c>
      <c r="BB94" s="1764">
        <v>767.77</v>
      </c>
      <c r="BC94" s="1765">
        <v>191.95</v>
      </c>
      <c r="BD94" s="1765">
        <v>0</v>
      </c>
      <c r="BE94" s="1765">
        <v>0</v>
      </c>
      <c r="BF94" s="1766">
        <v>0</v>
      </c>
      <c r="BG94" s="1047">
        <f t="shared" si="50"/>
        <v>959.72</v>
      </c>
      <c r="BH94" s="1744">
        <v>71.28</v>
      </c>
      <c r="BI94" s="1125">
        <v>128.72</v>
      </c>
      <c r="BJ94" s="1125">
        <v>0</v>
      </c>
      <c r="BK94" s="1125">
        <v>0</v>
      </c>
      <c r="BL94" s="1745">
        <v>0</v>
      </c>
      <c r="BM94" s="1054">
        <f t="shared" si="51"/>
        <v>200</v>
      </c>
      <c r="BN94" s="1744">
        <v>3902.6</v>
      </c>
      <c r="BO94" s="1125">
        <v>494.33</v>
      </c>
      <c r="BP94" s="1125">
        <v>806.54</v>
      </c>
      <c r="BQ94" s="1125">
        <v>-0.01</v>
      </c>
      <c r="BR94" s="1745">
        <v>0</v>
      </c>
      <c r="BS94" s="1054">
        <f t="shared" si="52"/>
        <v>5203.46</v>
      </c>
      <c r="BT94" s="1744"/>
      <c r="BU94" s="1125"/>
      <c r="BV94" s="1125"/>
      <c r="BW94" s="1125"/>
      <c r="BX94" s="1745"/>
      <c r="BY94" s="1057">
        <f t="shared" si="53"/>
        <v>0</v>
      </c>
      <c r="BZ94" s="1744">
        <v>12291.71</v>
      </c>
      <c r="CA94" s="1125">
        <v>41795.15</v>
      </c>
      <c r="CB94" s="1125">
        <v>9921.02</v>
      </c>
      <c r="CC94" s="1125">
        <v>-0.11</v>
      </c>
      <c r="CD94" s="1745">
        <v>0</v>
      </c>
      <c r="CE94" s="1057">
        <f t="shared" si="54"/>
        <v>64007.770000000004</v>
      </c>
      <c r="CF94" s="1744">
        <v>1115.8599999999999</v>
      </c>
      <c r="CG94" s="1125">
        <v>0</v>
      </c>
      <c r="CH94" s="1125">
        <v>1883.71</v>
      </c>
      <c r="CI94" s="1125">
        <v>0</v>
      </c>
      <c r="CJ94" s="1745">
        <v>0</v>
      </c>
      <c r="CK94" s="1057">
        <f t="shared" si="55"/>
        <v>2999.5699999999997</v>
      </c>
      <c r="CL94" s="1746"/>
      <c r="CM94" s="1053"/>
      <c r="CN94" s="1053"/>
      <c r="CO94" s="1053"/>
      <c r="CP94" s="1053"/>
      <c r="CQ94" s="1054">
        <f t="shared" si="56"/>
        <v>0</v>
      </c>
      <c r="CR94" s="1744"/>
      <c r="CS94" s="1125"/>
      <c r="CT94" s="1125"/>
      <c r="CU94" s="1125"/>
      <c r="CV94" s="1745"/>
      <c r="CW94" s="1057">
        <f t="shared" si="57"/>
        <v>0</v>
      </c>
      <c r="CX94" s="1744"/>
      <c r="CY94" s="1125"/>
      <c r="CZ94" s="1125"/>
      <c r="DA94" s="1125"/>
      <c r="DB94" s="1745"/>
      <c r="DC94" s="1054">
        <f t="shared" si="58"/>
        <v>0</v>
      </c>
      <c r="DD94" s="1744"/>
      <c r="DE94" s="1125"/>
      <c r="DF94" s="1125"/>
      <c r="DG94" s="1125"/>
      <c r="DH94" s="1745"/>
      <c r="DI94" s="1057">
        <f t="shared" si="59"/>
        <v>0</v>
      </c>
      <c r="DJ94" s="1744"/>
      <c r="DK94" s="1125"/>
      <c r="DL94" s="1125"/>
      <c r="DM94" s="1125"/>
      <c r="DN94" s="1125"/>
      <c r="DO94" s="1124">
        <f t="shared" si="60"/>
        <v>0</v>
      </c>
      <c r="DP94" s="1125"/>
      <c r="DQ94" s="1125"/>
      <c r="DR94" s="1125"/>
      <c r="DS94" s="1125"/>
      <c r="DT94" s="1125"/>
      <c r="DU94" s="1125">
        <f t="shared" si="63"/>
        <v>0</v>
      </c>
      <c r="DV94" s="1744">
        <v>2296.77</v>
      </c>
      <c r="DW94" s="1125">
        <v>1584.77</v>
      </c>
      <c r="DX94" s="1125">
        <v>712</v>
      </c>
      <c r="DY94" s="1125">
        <v>-0.02</v>
      </c>
      <c r="DZ94" s="1745">
        <v>0</v>
      </c>
      <c r="EA94" s="1058">
        <f t="shared" si="61"/>
        <v>4593.5199999999995</v>
      </c>
      <c r="EB94" s="1744">
        <v>5114.5600000000004</v>
      </c>
      <c r="EC94" s="1125">
        <v>0</v>
      </c>
      <c r="ED94" s="1125">
        <v>938.17</v>
      </c>
      <c r="EE94" s="1125">
        <v>-0.01</v>
      </c>
      <c r="EF94" s="1745">
        <v>0</v>
      </c>
      <c r="EG94" s="1057">
        <f t="shared" si="62"/>
        <v>6052.72</v>
      </c>
    </row>
    <row r="95" spans="1:137" ht="15" customHeight="1" x14ac:dyDescent="0.25">
      <c r="A95" s="719" t="s">
        <v>234</v>
      </c>
      <c r="B95" s="816" t="s">
        <v>235</v>
      </c>
      <c r="C95" s="917" t="s">
        <v>268</v>
      </c>
      <c r="D95" s="814">
        <f t="shared" si="35"/>
        <v>91957.99</v>
      </c>
      <c r="E95" s="814">
        <f t="shared" si="36"/>
        <v>36641.049999999996</v>
      </c>
      <c r="F95" s="814">
        <f t="shared" si="37"/>
        <v>28354.539999999997</v>
      </c>
      <c r="G95" s="814">
        <f t="shared" si="38"/>
        <v>869.33999999999992</v>
      </c>
      <c r="H95" s="814">
        <f t="shared" si="39"/>
        <v>0</v>
      </c>
      <c r="I95" s="1422">
        <f t="shared" si="40"/>
        <v>157822.92000000001</v>
      </c>
      <c r="J95" s="815">
        <f t="shared" si="41"/>
        <v>869.33999999999992</v>
      </c>
      <c r="K95" s="1423">
        <f t="shared" si="42"/>
        <v>29223.879999999997</v>
      </c>
      <c r="L95" s="1723"/>
      <c r="M95" s="1043"/>
      <c r="N95" s="1043"/>
      <c r="O95" s="1043"/>
      <c r="P95" s="1043"/>
      <c r="Q95" s="1044">
        <f t="shared" si="43"/>
        <v>0</v>
      </c>
      <c r="R95" s="1719"/>
      <c r="S95" s="1123"/>
      <c r="T95" s="1123"/>
      <c r="U95" s="1123"/>
      <c r="V95" s="1720"/>
      <c r="W95" s="1047">
        <f t="shared" si="44"/>
        <v>0</v>
      </c>
      <c r="X95" s="1719"/>
      <c r="Y95" s="1123"/>
      <c r="Z95" s="1123"/>
      <c r="AA95" s="1123"/>
      <c r="AB95" s="1123"/>
      <c r="AC95" s="1122">
        <f t="shared" si="45"/>
        <v>0</v>
      </c>
      <c r="AD95" s="1733">
        <v>8003.52</v>
      </c>
      <c r="AE95" s="1734">
        <v>47.67</v>
      </c>
      <c r="AF95" s="1734">
        <v>1476.86</v>
      </c>
      <c r="AG95" s="1734">
        <v>98.02</v>
      </c>
      <c r="AH95" s="1735">
        <v>0</v>
      </c>
      <c r="AI95" s="1045">
        <f t="shared" si="46"/>
        <v>9626.0700000000015</v>
      </c>
      <c r="AJ95" s="1744">
        <v>32744.29</v>
      </c>
      <c r="AK95" s="1125">
        <v>0</v>
      </c>
      <c r="AL95" s="1125">
        <v>8186.11</v>
      </c>
      <c r="AM95" s="1125">
        <v>0</v>
      </c>
      <c r="AN95" s="1745">
        <v>0</v>
      </c>
      <c r="AO95" s="1057">
        <f t="shared" si="47"/>
        <v>40930.400000000001</v>
      </c>
      <c r="AP95" s="1736"/>
      <c r="AQ95" s="1046"/>
      <c r="AR95" s="1046"/>
      <c r="AS95" s="1046"/>
      <c r="AT95" s="1046"/>
      <c r="AU95" s="1049">
        <f t="shared" si="48"/>
        <v>0</v>
      </c>
      <c r="AV95" s="1758"/>
      <c r="AW95" s="1050"/>
      <c r="AX95" s="1050"/>
      <c r="AY95" s="1050"/>
      <c r="AZ95" s="1050"/>
      <c r="BA95" s="1051">
        <f t="shared" si="49"/>
        <v>0</v>
      </c>
      <c r="BB95" s="1764">
        <v>2295.36</v>
      </c>
      <c r="BC95" s="1765">
        <v>573.84</v>
      </c>
      <c r="BD95" s="1765">
        <v>0</v>
      </c>
      <c r="BE95" s="1765">
        <v>0</v>
      </c>
      <c r="BF95" s="1766">
        <v>0</v>
      </c>
      <c r="BG95" s="1047">
        <f t="shared" si="50"/>
        <v>2869.2000000000003</v>
      </c>
      <c r="BH95" s="1744">
        <v>187.11</v>
      </c>
      <c r="BI95" s="1125">
        <v>337.89</v>
      </c>
      <c r="BJ95" s="1125">
        <v>0</v>
      </c>
      <c r="BK95" s="1125">
        <v>0</v>
      </c>
      <c r="BL95" s="1745">
        <v>0</v>
      </c>
      <c r="BM95" s="1054">
        <f t="shared" si="51"/>
        <v>525</v>
      </c>
      <c r="BN95" s="1744">
        <v>29097.040000000001</v>
      </c>
      <c r="BO95" s="1125">
        <v>3685.62</v>
      </c>
      <c r="BP95" s="1125">
        <v>6013.37</v>
      </c>
      <c r="BQ95" s="1125">
        <v>571.54999999999995</v>
      </c>
      <c r="BR95" s="1745">
        <v>0</v>
      </c>
      <c r="BS95" s="1054">
        <f t="shared" si="52"/>
        <v>39367.580000000009</v>
      </c>
      <c r="BT95" s="1744"/>
      <c r="BU95" s="1125"/>
      <c r="BV95" s="1125"/>
      <c r="BW95" s="1125"/>
      <c r="BX95" s="1745"/>
      <c r="BY95" s="1057">
        <f t="shared" si="53"/>
        <v>0</v>
      </c>
      <c r="BZ95" s="1744">
        <v>9207.02</v>
      </c>
      <c r="CA95" s="1125">
        <v>31306.03</v>
      </c>
      <c r="CB95" s="1125">
        <v>7431.23</v>
      </c>
      <c r="CC95" s="1125">
        <v>-0.11</v>
      </c>
      <c r="CD95" s="1745">
        <v>0</v>
      </c>
      <c r="CE95" s="1057">
        <f t="shared" si="54"/>
        <v>47944.17</v>
      </c>
      <c r="CF95" s="1744">
        <v>2132.1799999999998</v>
      </c>
      <c r="CG95" s="1125">
        <v>0</v>
      </c>
      <c r="CH95" s="1125">
        <v>3599.49</v>
      </c>
      <c r="CI95" s="1125">
        <v>-0.01</v>
      </c>
      <c r="CJ95" s="1745">
        <v>0</v>
      </c>
      <c r="CK95" s="1057">
        <f t="shared" si="55"/>
        <v>5731.66</v>
      </c>
      <c r="CL95" s="1746"/>
      <c r="CM95" s="1053"/>
      <c r="CN95" s="1053"/>
      <c r="CO95" s="1053"/>
      <c r="CP95" s="1053"/>
      <c r="CQ95" s="1054">
        <f t="shared" si="56"/>
        <v>0</v>
      </c>
      <c r="CR95" s="1744"/>
      <c r="CS95" s="1125"/>
      <c r="CT95" s="1125"/>
      <c r="CU95" s="1125"/>
      <c r="CV95" s="1745"/>
      <c r="CW95" s="1057">
        <f t="shared" si="57"/>
        <v>0</v>
      </c>
      <c r="CX95" s="1744"/>
      <c r="CY95" s="1125"/>
      <c r="CZ95" s="1125"/>
      <c r="DA95" s="1125"/>
      <c r="DB95" s="1745"/>
      <c r="DC95" s="1054">
        <f t="shared" si="58"/>
        <v>0</v>
      </c>
      <c r="DD95" s="1744"/>
      <c r="DE95" s="1125"/>
      <c r="DF95" s="1125"/>
      <c r="DG95" s="1125"/>
      <c r="DH95" s="1745"/>
      <c r="DI95" s="1057">
        <f t="shared" si="59"/>
        <v>0</v>
      </c>
      <c r="DJ95" s="1744"/>
      <c r="DK95" s="1125"/>
      <c r="DL95" s="1125"/>
      <c r="DM95" s="1125"/>
      <c r="DN95" s="1125"/>
      <c r="DO95" s="1124">
        <f t="shared" si="60"/>
        <v>0</v>
      </c>
      <c r="DP95" s="1125"/>
      <c r="DQ95" s="1125"/>
      <c r="DR95" s="1125"/>
      <c r="DS95" s="1125"/>
      <c r="DT95" s="1125"/>
      <c r="DU95" s="1125">
        <f t="shared" si="63"/>
        <v>0</v>
      </c>
      <c r="DV95" s="1744">
        <v>1000</v>
      </c>
      <c r="DW95" s="1125">
        <v>690</v>
      </c>
      <c r="DX95" s="1125">
        <v>310</v>
      </c>
      <c r="DY95" s="1125">
        <v>0</v>
      </c>
      <c r="DZ95" s="1745">
        <v>0</v>
      </c>
      <c r="EA95" s="1058">
        <f t="shared" si="61"/>
        <v>2000</v>
      </c>
      <c r="EB95" s="1744">
        <v>7291.47</v>
      </c>
      <c r="EC95" s="1125">
        <v>0</v>
      </c>
      <c r="ED95" s="1125">
        <v>1337.48</v>
      </c>
      <c r="EE95" s="1125">
        <v>199.89</v>
      </c>
      <c r="EF95" s="1745">
        <v>0</v>
      </c>
      <c r="EG95" s="1057">
        <f t="shared" si="62"/>
        <v>8828.84</v>
      </c>
    </row>
    <row r="96" spans="1:137" ht="15" customHeight="1" x14ac:dyDescent="0.25">
      <c r="A96" s="719" t="s">
        <v>236</v>
      </c>
      <c r="B96" s="816" t="s">
        <v>237</v>
      </c>
      <c r="C96" s="917" t="s">
        <v>266</v>
      </c>
      <c r="D96" s="814">
        <f t="shared" si="35"/>
        <v>25798.33</v>
      </c>
      <c r="E96" s="814">
        <f t="shared" si="36"/>
        <v>12779.14</v>
      </c>
      <c r="F96" s="814">
        <f t="shared" si="37"/>
        <v>7366.99</v>
      </c>
      <c r="G96" s="814">
        <f t="shared" si="38"/>
        <v>-4.9999999999999989E-2</v>
      </c>
      <c r="H96" s="814">
        <f t="shared" si="39"/>
        <v>0</v>
      </c>
      <c r="I96" s="1422">
        <f t="shared" si="40"/>
        <v>45944.409999999996</v>
      </c>
      <c r="J96" s="815">
        <f t="shared" si="41"/>
        <v>-4.9999999999999989E-2</v>
      </c>
      <c r="K96" s="1423">
        <f t="shared" si="42"/>
        <v>7366.94</v>
      </c>
      <c r="L96" s="1723"/>
      <c r="M96" s="1043"/>
      <c r="N96" s="1043"/>
      <c r="O96" s="1043"/>
      <c r="P96" s="1043"/>
      <c r="Q96" s="1044">
        <f t="shared" si="43"/>
        <v>0</v>
      </c>
      <c r="R96" s="1717"/>
      <c r="S96" s="1048"/>
      <c r="T96" s="1048"/>
      <c r="U96" s="1048"/>
      <c r="V96" s="1718"/>
      <c r="W96" s="1047">
        <f t="shared" si="44"/>
        <v>0</v>
      </c>
      <c r="X96" s="1719"/>
      <c r="Y96" s="1123"/>
      <c r="Z96" s="1123"/>
      <c r="AA96" s="1123"/>
      <c r="AB96" s="1123"/>
      <c r="AC96" s="1122">
        <f t="shared" si="45"/>
        <v>0</v>
      </c>
      <c r="AD96" s="1733">
        <v>1055.99</v>
      </c>
      <c r="AE96" s="1734">
        <v>6.29</v>
      </c>
      <c r="AF96" s="1734">
        <v>194.87</v>
      </c>
      <c r="AG96" s="1734">
        <v>-0.01</v>
      </c>
      <c r="AH96" s="1735">
        <v>0</v>
      </c>
      <c r="AI96" s="1045">
        <f t="shared" si="46"/>
        <v>1257.1400000000001</v>
      </c>
      <c r="AJ96" s="1744">
        <v>7530.4</v>
      </c>
      <c r="AK96" s="1125">
        <v>0</v>
      </c>
      <c r="AL96" s="1125">
        <v>1882.6</v>
      </c>
      <c r="AM96" s="1125">
        <v>0</v>
      </c>
      <c r="AN96" s="1745">
        <v>0</v>
      </c>
      <c r="AO96" s="1057">
        <f t="shared" si="47"/>
        <v>9413</v>
      </c>
      <c r="AP96" s="1736"/>
      <c r="AQ96" s="1046"/>
      <c r="AR96" s="1046"/>
      <c r="AS96" s="1046"/>
      <c r="AT96" s="1046"/>
      <c r="AU96" s="1049">
        <f t="shared" si="48"/>
        <v>0</v>
      </c>
      <c r="AV96" s="1758"/>
      <c r="AW96" s="1050"/>
      <c r="AX96" s="1050"/>
      <c r="AY96" s="1050"/>
      <c r="AZ96" s="1050"/>
      <c r="BA96" s="1051">
        <f t="shared" si="49"/>
        <v>0</v>
      </c>
      <c r="BB96" s="1764">
        <v>918.4</v>
      </c>
      <c r="BC96" s="1765">
        <v>229.6</v>
      </c>
      <c r="BD96" s="1765">
        <v>0</v>
      </c>
      <c r="BE96" s="1765">
        <v>0</v>
      </c>
      <c r="BF96" s="1766">
        <v>0</v>
      </c>
      <c r="BG96" s="1047">
        <f t="shared" si="50"/>
        <v>1148</v>
      </c>
      <c r="BH96" s="1746"/>
      <c r="BI96" s="1053"/>
      <c r="BJ96" s="1053"/>
      <c r="BK96" s="1053"/>
      <c r="BL96" s="1053"/>
      <c r="BM96" s="1054">
        <f t="shared" si="51"/>
        <v>0</v>
      </c>
      <c r="BN96" s="1744">
        <v>8968.0300000000007</v>
      </c>
      <c r="BO96" s="1125">
        <v>1135.96</v>
      </c>
      <c r="BP96" s="1125">
        <v>1853.4</v>
      </c>
      <c r="BQ96" s="1125">
        <v>-0.03</v>
      </c>
      <c r="BR96" s="1745">
        <v>0</v>
      </c>
      <c r="BS96" s="1054">
        <f t="shared" si="52"/>
        <v>11957.36</v>
      </c>
      <c r="BT96" s="1744"/>
      <c r="BU96" s="1125"/>
      <c r="BV96" s="1125"/>
      <c r="BW96" s="1125"/>
      <c r="BX96" s="1745"/>
      <c r="BY96" s="1057">
        <f t="shared" si="53"/>
        <v>0</v>
      </c>
      <c r="BZ96" s="1744">
        <v>3009.29</v>
      </c>
      <c r="CA96" s="1125">
        <v>8845.66</v>
      </c>
      <c r="CB96" s="1125">
        <v>2174.5100000000002</v>
      </c>
      <c r="CC96" s="1125">
        <v>-0.02</v>
      </c>
      <c r="CD96" s="1745">
        <v>0</v>
      </c>
      <c r="CE96" s="1057">
        <f t="shared" si="54"/>
        <v>14029.44</v>
      </c>
      <c r="CF96" s="1746"/>
      <c r="CG96" s="1053"/>
      <c r="CH96" s="1053"/>
      <c r="CI96" s="1053"/>
      <c r="CJ96" s="1747"/>
      <c r="CK96" s="1057">
        <f t="shared" si="55"/>
        <v>0</v>
      </c>
      <c r="CL96" s="1746"/>
      <c r="CM96" s="1053"/>
      <c r="CN96" s="1053"/>
      <c r="CO96" s="1053"/>
      <c r="CP96" s="1053"/>
      <c r="CQ96" s="1054">
        <f t="shared" si="56"/>
        <v>0</v>
      </c>
      <c r="CR96" s="1746"/>
      <c r="CS96" s="1053"/>
      <c r="CT96" s="1053"/>
      <c r="CU96" s="1053"/>
      <c r="CV96" s="1747"/>
      <c r="CW96" s="1057">
        <f t="shared" si="57"/>
        <v>0</v>
      </c>
      <c r="CX96" s="1746"/>
      <c r="CY96" s="1053"/>
      <c r="CZ96" s="1053"/>
      <c r="DA96" s="1053"/>
      <c r="DB96" s="1053"/>
      <c r="DC96" s="1054">
        <f t="shared" si="58"/>
        <v>0</v>
      </c>
      <c r="DD96" s="1744"/>
      <c r="DE96" s="1125"/>
      <c r="DF96" s="1125"/>
      <c r="DG96" s="1125"/>
      <c r="DH96" s="1745"/>
      <c r="DI96" s="1057">
        <f t="shared" si="59"/>
        <v>0</v>
      </c>
      <c r="DJ96" s="1744"/>
      <c r="DK96" s="1125"/>
      <c r="DL96" s="1125"/>
      <c r="DM96" s="1125"/>
      <c r="DN96" s="1125"/>
      <c r="DO96" s="1124">
        <f t="shared" si="60"/>
        <v>0</v>
      </c>
      <c r="DP96" s="1125"/>
      <c r="DQ96" s="1125"/>
      <c r="DR96" s="1125"/>
      <c r="DS96" s="1125"/>
      <c r="DT96" s="1125"/>
      <c r="DU96" s="1125">
        <f t="shared" si="63"/>
        <v>0</v>
      </c>
      <c r="DV96" s="1744">
        <v>3712.5</v>
      </c>
      <c r="DW96" s="1125">
        <v>2561.63</v>
      </c>
      <c r="DX96" s="1125">
        <v>1150.8800000000001</v>
      </c>
      <c r="DY96" s="1125">
        <v>-0.01</v>
      </c>
      <c r="DZ96" s="1745">
        <v>0</v>
      </c>
      <c r="EA96" s="1058">
        <f t="shared" si="61"/>
        <v>7425</v>
      </c>
      <c r="EB96" s="1744">
        <v>603.72</v>
      </c>
      <c r="EC96" s="1125">
        <v>0</v>
      </c>
      <c r="ED96" s="1125">
        <v>110.73</v>
      </c>
      <c r="EE96" s="1125">
        <v>0.02</v>
      </c>
      <c r="EF96" s="1745">
        <v>0</v>
      </c>
      <c r="EG96" s="1057">
        <f t="shared" si="62"/>
        <v>714.47</v>
      </c>
    </row>
    <row r="97" spans="1:137" ht="15" customHeight="1" x14ac:dyDescent="0.25">
      <c r="A97" s="719" t="s">
        <v>242</v>
      </c>
      <c r="B97" s="816" t="s">
        <v>243</v>
      </c>
      <c r="C97" s="917" t="s">
        <v>268</v>
      </c>
      <c r="D97" s="814">
        <f t="shared" si="35"/>
        <v>260810.72000000003</v>
      </c>
      <c r="E97" s="814">
        <f t="shared" si="36"/>
        <v>160221.95000000001</v>
      </c>
      <c r="F97" s="814">
        <f t="shared" si="37"/>
        <v>79617.52</v>
      </c>
      <c r="G97" s="814">
        <f t="shared" si="38"/>
        <v>-0.10999999999999996</v>
      </c>
      <c r="H97" s="814">
        <f t="shared" si="39"/>
        <v>0</v>
      </c>
      <c r="I97" s="1422">
        <f t="shared" si="40"/>
        <v>500650.08000000007</v>
      </c>
      <c r="J97" s="815">
        <f t="shared" si="41"/>
        <v>-0.10999999999999996</v>
      </c>
      <c r="K97" s="1423">
        <f t="shared" si="42"/>
        <v>79617.41</v>
      </c>
      <c r="L97" s="1723"/>
      <c r="M97" s="1043"/>
      <c r="N97" s="1043"/>
      <c r="O97" s="1043"/>
      <c r="P97" s="1043"/>
      <c r="Q97" s="1044">
        <f t="shared" si="43"/>
        <v>0</v>
      </c>
      <c r="R97" s="1717"/>
      <c r="S97" s="1048"/>
      <c r="T97" s="1048"/>
      <c r="U97" s="1048"/>
      <c r="V97" s="1718"/>
      <c r="W97" s="1047">
        <f t="shared" si="44"/>
        <v>0</v>
      </c>
      <c r="X97" s="1719"/>
      <c r="Y97" s="1123"/>
      <c r="Z97" s="1123"/>
      <c r="AA97" s="1123"/>
      <c r="AB97" s="1123"/>
      <c r="AC97" s="1122">
        <f t="shared" si="45"/>
        <v>0</v>
      </c>
      <c r="AD97" s="1733">
        <v>7259.5</v>
      </c>
      <c r="AE97" s="1734">
        <v>43.21</v>
      </c>
      <c r="AF97" s="1734">
        <v>1339.54</v>
      </c>
      <c r="AG97" s="1734">
        <v>0.02</v>
      </c>
      <c r="AH97" s="1735">
        <v>0</v>
      </c>
      <c r="AI97" s="1045">
        <f t="shared" si="46"/>
        <v>8642.27</v>
      </c>
      <c r="AJ97" s="1744">
        <v>135648.57</v>
      </c>
      <c r="AK97" s="1125">
        <v>0</v>
      </c>
      <c r="AL97" s="1125">
        <v>33912.15</v>
      </c>
      <c r="AM97" s="1125">
        <v>0</v>
      </c>
      <c r="AN97" s="1745">
        <v>0</v>
      </c>
      <c r="AO97" s="1057">
        <f t="shared" si="47"/>
        <v>169560.72</v>
      </c>
      <c r="AP97" s="1736"/>
      <c r="AQ97" s="1046"/>
      <c r="AR97" s="1046"/>
      <c r="AS97" s="1046"/>
      <c r="AT97" s="1046"/>
      <c r="AU97" s="1049">
        <f t="shared" si="48"/>
        <v>0</v>
      </c>
      <c r="AV97" s="1755">
        <v>9150.41</v>
      </c>
      <c r="AW97" s="1756">
        <v>2287.59</v>
      </c>
      <c r="AX97" s="1756">
        <v>0</v>
      </c>
      <c r="AY97" s="1756">
        <v>0</v>
      </c>
      <c r="AZ97" s="1757">
        <v>0</v>
      </c>
      <c r="BA97" s="1051">
        <f t="shared" si="49"/>
        <v>11438</v>
      </c>
      <c r="BB97" s="1764">
        <v>17754.419999999998</v>
      </c>
      <c r="BC97" s="1765">
        <v>4438.58</v>
      </c>
      <c r="BD97" s="1765">
        <v>0</v>
      </c>
      <c r="BE97" s="1765">
        <v>0</v>
      </c>
      <c r="BF97" s="1766">
        <v>0</v>
      </c>
      <c r="BG97" s="1047">
        <f t="shared" si="50"/>
        <v>22193</v>
      </c>
      <c r="BH97" s="1744">
        <v>919.5</v>
      </c>
      <c r="BI97" s="1125">
        <v>1660.5</v>
      </c>
      <c r="BJ97" s="1125">
        <v>0</v>
      </c>
      <c r="BK97" s="1125">
        <v>0</v>
      </c>
      <c r="BL97" s="1745">
        <v>0</v>
      </c>
      <c r="BM97" s="1054">
        <f t="shared" si="51"/>
        <v>2580</v>
      </c>
      <c r="BN97" s="1744">
        <v>30952.28</v>
      </c>
      <c r="BO97" s="1125">
        <v>3920.65</v>
      </c>
      <c r="BP97" s="1125">
        <v>6396.83</v>
      </c>
      <c r="BQ97" s="1125">
        <v>-0.06</v>
      </c>
      <c r="BR97" s="1745">
        <v>0</v>
      </c>
      <c r="BS97" s="1054">
        <f t="shared" si="52"/>
        <v>41269.700000000004</v>
      </c>
      <c r="BT97" s="1744"/>
      <c r="BU97" s="1125"/>
      <c r="BV97" s="1125"/>
      <c r="BW97" s="1125"/>
      <c r="BX97" s="1745"/>
      <c r="BY97" s="1057">
        <f t="shared" si="53"/>
        <v>0</v>
      </c>
      <c r="BZ97" s="1744">
        <v>42938.26</v>
      </c>
      <c r="CA97" s="1125">
        <v>145929.16</v>
      </c>
      <c r="CB97" s="1125">
        <v>34643.39</v>
      </c>
      <c r="CC97" s="1125">
        <v>-0.12</v>
      </c>
      <c r="CD97" s="1745">
        <v>0</v>
      </c>
      <c r="CE97" s="1057">
        <f t="shared" si="54"/>
        <v>223510.69</v>
      </c>
      <c r="CF97" s="1746"/>
      <c r="CG97" s="1053"/>
      <c r="CH97" s="1053"/>
      <c r="CI97" s="1053"/>
      <c r="CJ97" s="1747"/>
      <c r="CK97" s="1057">
        <f t="shared" si="55"/>
        <v>0</v>
      </c>
      <c r="CL97" s="1746"/>
      <c r="CM97" s="1053"/>
      <c r="CN97" s="1053"/>
      <c r="CO97" s="1053"/>
      <c r="CP97" s="1053"/>
      <c r="CQ97" s="1054">
        <f t="shared" si="56"/>
        <v>0</v>
      </c>
      <c r="CR97" s="1746"/>
      <c r="CS97" s="1053"/>
      <c r="CT97" s="1053"/>
      <c r="CU97" s="1053"/>
      <c r="CV97" s="1747"/>
      <c r="CW97" s="1057">
        <f t="shared" si="57"/>
        <v>0</v>
      </c>
      <c r="CX97" s="1746"/>
      <c r="CY97" s="1053"/>
      <c r="CZ97" s="1053"/>
      <c r="DA97" s="1053"/>
      <c r="DB97" s="1053"/>
      <c r="DC97" s="1054">
        <f t="shared" si="58"/>
        <v>0</v>
      </c>
      <c r="DD97" s="1744"/>
      <c r="DE97" s="1125"/>
      <c r="DF97" s="1125"/>
      <c r="DG97" s="1125"/>
      <c r="DH97" s="1745"/>
      <c r="DI97" s="1057">
        <f t="shared" si="59"/>
        <v>0</v>
      </c>
      <c r="DJ97" s="1744"/>
      <c r="DK97" s="1125"/>
      <c r="DL97" s="1125"/>
      <c r="DM97" s="1125"/>
      <c r="DN97" s="1125"/>
      <c r="DO97" s="1124">
        <f t="shared" si="60"/>
        <v>0</v>
      </c>
      <c r="DP97" s="1125"/>
      <c r="DQ97" s="1125"/>
      <c r="DR97" s="1125"/>
      <c r="DS97" s="1125"/>
      <c r="DT97" s="1125"/>
      <c r="DU97" s="1125">
        <f t="shared" si="63"/>
        <v>0</v>
      </c>
      <c r="DV97" s="1746">
        <v>2814.85</v>
      </c>
      <c r="DW97" s="1053">
        <v>1942.26</v>
      </c>
      <c r="DX97" s="1053">
        <v>872.61</v>
      </c>
      <c r="DY97" s="1053">
        <v>-0.02</v>
      </c>
      <c r="DZ97" s="1053">
        <v>0</v>
      </c>
      <c r="EA97" s="1058">
        <f t="shared" si="61"/>
        <v>5629.6999999999989</v>
      </c>
      <c r="EB97" s="1744">
        <v>13372.93</v>
      </c>
      <c r="EC97" s="1125">
        <v>0</v>
      </c>
      <c r="ED97" s="1125">
        <v>2453</v>
      </c>
      <c r="EE97" s="1125">
        <v>7.0000000000000007E-2</v>
      </c>
      <c r="EF97" s="1745">
        <v>0</v>
      </c>
      <c r="EG97" s="1057">
        <f t="shared" si="62"/>
        <v>15826</v>
      </c>
    </row>
    <row r="98" spans="1:137" ht="15" customHeight="1" x14ac:dyDescent="0.25">
      <c r="A98" s="719" t="s">
        <v>244</v>
      </c>
      <c r="B98" s="816" t="s">
        <v>245</v>
      </c>
      <c r="C98" s="917" t="s">
        <v>268</v>
      </c>
      <c r="D98" s="814">
        <f t="shared" si="35"/>
        <v>100403.68000000001</v>
      </c>
      <c r="E98" s="814">
        <f t="shared" si="36"/>
        <v>28387.219999999998</v>
      </c>
      <c r="F98" s="814">
        <f t="shared" si="37"/>
        <v>23696.129999999997</v>
      </c>
      <c r="G98" s="814">
        <f t="shared" si="38"/>
        <v>99.9</v>
      </c>
      <c r="H98" s="814">
        <f t="shared" si="39"/>
        <v>0</v>
      </c>
      <c r="I98" s="1422">
        <f t="shared" si="40"/>
        <v>152586.93</v>
      </c>
      <c r="J98" s="815">
        <f t="shared" si="41"/>
        <v>99.9</v>
      </c>
      <c r="K98" s="1423">
        <f t="shared" si="42"/>
        <v>23796.03</v>
      </c>
      <c r="L98" s="1723"/>
      <c r="M98" s="1043"/>
      <c r="N98" s="1043"/>
      <c r="O98" s="1043"/>
      <c r="P98" s="1043"/>
      <c r="Q98" s="1044">
        <f t="shared" si="43"/>
        <v>0</v>
      </c>
      <c r="R98" s="1717"/>
      <c r="S98" s="1048"/>
      <c r="T98" s="1048"/>
      <c r="U98" s="1048"/>
      <c r="V98" s="1718"/>
      <c r="W98" s="1047">
        <f t="shared" si="44"/>
        <v>0</v>
      </c>
      <c r="X98" s="1719"/>
      <c r="Y98" s="1123"/>
      <c r="Z98" s="1123"/>
      <c r="AA98" s="1123"/>
      <c r="AB98" s="1123"/>
      <c r="AC98" s="1122">
        <f t="shared" si="45"/>
        <v>0</v>
      </c>
      <c r="AD98" s="1733">
        <v>5294.71</v>
      </c>
      <c r="AE98" s="1734">
        <v>31.53</v>
      </c>
      <c r="AF98" s="1734">
        <v>977.01</v>
      </c>
      <c r="AG98" s="1734">
        <v>-0.02</v>
      </c>
      <c r="AH98" s="1735">
        <v>0</v>
      </c>
      <c r="AI98" s="1045">
        <f t="shared" si="46"/>
        <v>6303.23</v>
      </c>
      <c r="AJ98" s="1744">
        <v>56501.94</v>
      </c>
      <c r="AK98" s="1125">
        <v>0</v>
      </c>
      <c r="AL98" s="1125">
        <v>14125.46</v>
      </c>
      <c r="AM98" s="1125">
        <v>0</v>
      </c>
      <c r="AN98" s="1745">
        <v>0</v>
      </c>
      <c r="AO98" s="1057">
        <f t="shared" si="47"/>
        <v>70627.399999999994</v>
      </c>
      <c r="AP98" s="1736"/>
      <c r="AQ98" s="1046"/>
      <c r="AR98" s="1046"/>
      <c r="AS98" s="1046"/>
      <c r="AT98" s="1046"/>
      <c r="AU98" s="1049">
        <f t="shared" si="48"/>
        <v>0</v>
      </c>
      <c r="AV98" s="1755">
        <v>2076.1</v>
      </c>
      <c r="AW98" s="1756">
        <v>519.03</v>
      </c>
      <c r="AX98" s="1756">
        <v>0</v>
      </c>
      <c r="AY98" s="1756">
        <v>0</v>
      </c>
      <c r="AZ98" s="1757">
        <v>0</v>
      </c>
      <c r="BA98" s="1051">
        <f t="shared" si="49"/>
        <v>2595.13</v>
      </c>
      <c r="BB98" s="1764">
        <v>11510.01</v>
      </c>
      <c r="BC98" s="1765">
        <v>2877.51</v>
      </c>
      <c r="BD98" s="1765">
        <v>0</v>
      </c>
      <c r="BE98" s="1765">
        <v>0</v>
      </c>
      <c r="BF98" s="1766">
        <v>0</v>
      </c>
      <c r="BG98" s="1047">
        <f t="shared" si="50"/>
        <v>14387.52</v>
      </c>
      <c r="BH98" s="1744">
        <v>1149.3900000000001</v>
      </c>
      <c r="BI98" s="1125">
        <v>2075.61</v>
      </c>
      <c r="BJ98" s="1125">
        <v>0</v>
      </c>
      <c r="BK98" s="1125">
        <v>100</v>
      </c>
      <c r="BL98" s="1745">
        <v>0</v>
      </c>
      <c r="BM98" s="1054">
        <f t="shared" si="51"/>
        <v>3325</v>
      </c>
      <c r="BN98" s="1744">
        <v>10143.61</v>
      </c>
      <c r="BO98" s="1125">
        <v>1284.8699999999999</v>
      </c>
      <c r="BP98" s="1125">
        <v>2096.38</v>
      </c>
      <c r="BQ98" s="1125">
        <v>-0.06</v>
      </c>
      <c r="BR98" s="1745">
        <v>0</v>
      </c>
      <c r="BS98" s="1054">
        <f t="shared" si="52"/>
        <v>13524.800000000001</v>
      </c>
      <c r="BT98" s="1744"/>
      <c r="BU98" s="1125"/>
      <c r="BV98" s="1125"/>
      <c r="BW98" s="1125"/>
      <c r="BX98" s="1745"/>
      <c r="BY98" s="1057">
        <f t="shared" si="53"/>
        <v>0</v>
      </c>
      <c r="BZ98" s="1744">
        <v>5235.96</v>
      </c>
      <c r="CA98" s="1125">
        <v>17803.71</v>
      </c>
      <c r="CB98" s="1125">
        <v>4226.1099999999997</v>
      </c>
      <c r="CC98" s="1125">
        <v>-0.11</v>
      </c>
      <c r="CD98" s="1745">
        <v>0</v>
      </c>
      <c r="CE98" s="1057">
        <f t="shared" si="54"/>
        <v>27265.67</v>
      </c>
      <c r="CF98" s="1746"/>
      <c r="CG98" s="1053"/>
      <c r="CH98" s="1053"/>
      <c r="CI98" s="1053"/>
      <c r="CJ98" s="1747"/>
      <c r="CK98" s="1057">
        <f t="shared" si="55"/>
        <v>0</v>
      </c>
      <c r="CL98" s="1746"/>
      <c r="CM98" s="1053"/>
      <c r="CN98" s="1053"/>
      <c r="CO98" s="1053"/>
      <c r="CP98" s="1053"/>
      <c r="CQ98" s="1054">
        <f t="shared" si="56"/>
        <v>0</v>
      </c>
      <c r="CR98" s="1744"/>
      <c r="CS98" s="1125"/>
      <c r="CT98" s="1125"/>
      <c r="CU98" s="1125"/>
      <c r="CV98" s="1745"/>
      <c r="CW98" s="1057">
        <f t="shared" si="57"/>
        <v>0</v>
      </c>
      <c r="CX98" s="1744"/>
      <c r="CY98" s="1125"/>
      <c r="CZ98" s="1125"/>
      <c r="DA98" s="1125"/>
      <c r="DB98" s="1745"/>
      <c r="DC98" s="1054">
        <f t="shared" si="58"/>
        <v>0</v>
      </c>
      <c r="DD98" s="1744">
        <v>-94.8</v>
      </c>
      <c r="DE98" s="1125">
        <v>0</v>
      </c>
      <c r="DF98" s="1125">
        <v>0</v>
      </c>
      <c r="DG98" s="1125">
        <v>0</v>
      </c>
      <c r="DH98" s="1745">
        <v>0</v>
      </c>
      <c r="DI98" s="1057">
        <f t="shared" si="59"/>
        <v>-94.8</v>
      </c>
      <c r="DJ98" s="1744"/>
      <c r="DK98" s="1125"/>
      <c r="DL98" s="1125"/>
      <c r="DM98" s="1125"/>
      <c r="DN98" s="1125"/>
      <c r="DO98" s="1124">
        <f t="shared" si="60"/>
        <v>0</v>
      </c>
      <c r="DP98" s="1125"/>
      <c r="DQ98" s="1125"/>
      <c r="DR98" s="1125"/>
      <c r="DS98" s="1125"/>
      <c r="DT98" s="1125"/>
      <c r="DU98" s="1125">
        <f t="shared" si="63"/>
        <v>0</v>
      </c>
      <c r="DV98" s="1744">
        <v>5499.94</v>
      </c>
      <c r="DW98" s="1125">
        <v>3794.96</v>
      </c>
      <c r="DX98" s="1125">
        <v>1704.98</v>
      </c>
      <c r="DY98" s="1125">
        <v>0.01</v>
      </c>
      <c r="DZ98" s="1745">
        <v>0</v>
      </c>
      <c r="EA98" s="1058">
        <f t="shared" si="61"/>
        <v>10999.89</v>
      </c>
      <c r="EB98" s="1744">
        <v>3086.82</v>
      </c>
      <c r="EC98" s="1125">
        <v>0</v>
      </c>
      <c r="ED98" s="1125">
        <v>566.19000000000005</v>
      </c>
      <c r="EE98" s="1125">
        <v>0.08</v>
      </c>
      <c r="EF98" s="1745">
        <v>0</v>
      </c>
      <c r="EG98" s="1057">
        <f t="shared" si="62"/>
        <v>3653.09</v>
      </c>
    </row>
    <row r="99" spans="1:137" ht="15" customHeight="1" x14ac:dyDescent="0.25">
      <c r="A99" s="719" t="s">
        <v>246</v>
      </c>
      <c r="B99" s="816" t="s">
        <v>310</v>
      </c>
      <c r="C99" s="917" t="s">
        <v>264</v>
      </c>
      <c r="D99" s="814">
        <f t="shared" si="35"/>
        <v>100605.58</v>
      </c>
      <c r="E99" s="814">
        <f t="shared" si="36"/>
        <v>63351.24</v>
      </c>
      <c r="F99" s="814">
        <f t="shared" si="37"/>
        <v>39773.65</v>
      </c>
      <c r="G99" s="814">
        <f t="shared" si="38"/>
        <v>-0.04</v>
      </c>
      <c r="H99" s="814">
        <f t="shared" si="39"/>
        <v>0.01</v>
      </c>
      <c r="I99" s="1422">
        <f t="shared" si="40"/>
        <v>203730.44</v>
      </c>
      <c r="J99" s="815">
        <f t="shared" si="41"/>
        <v>-0.03</v>
      </c>
      <c r="K99" s="1423">
        <f t="shared" si="42"/>
        <v>39773.620000000003</v>
      </c>
      <c r="L99" s="1723"/>
      <c r="M99" s="1043"/>
      <c r="N99" s="1043"/>
      <c r="O99" s="1043"/>
      <c r="P99" s="1043"/>
      <c r="Q99" s="1044">
        <f t="shared" si="43"/>
        <v>0</v>
      </c>
      <c r="R99" s="1717"/>
      <c r="S99" s="1048"/>
      <c r="T99" s="1048"/>
      <c r="U99" s="1048"/>
      <c r="V99" s="1718"/>
      <c r="W99" s="1047">
        <f t="shared" si="44"/>
        <v>0</v>
      </c>
      <c r="X99" s="1719"/>
      <c r="Y99" s="1123"/>
      <c r="Z99" s="1123"/>
      <c r="AA99" s="1123"/>
      <c r="AB99" s="1123"/>
      <c r="AC99" s="1122">
        <f t="shared" si="45"/>
        <v>0</v>
      </c>
      <c r="AD99" s="1733">
        <v>4034.97</v>
      </c>
      <c r="AE99" s="1734">
        <v>24.02</v>
      </c>
      <c r="AF99" s="1734">
        <v>744.55</v>
      </c>
      <c r="AG99" s="1734">
        <v>0</v>
      </c>
      <c r="AH99" s="1735">
        <v>0</v>
      </c>
      <c r="AI99" s="1045">
        <f t="shared" si="46"/>
        <v>4803.54</v>
      </c>
      <c r="AJ99" s="1744">
        <v>40649.379999999997</v>
      </c>
      <c r="AK99" s="1125">
        <v>0</v>
      </c>
      <c r="AL99" s="1125">
        <v>10162.35</v>
      </c>
      <c r="AM99" s="1125">
        <v>0</v>
      </c>
      <c r="AN99" s="1745">
        <v>0.01</v>
      </c>
      <c r="AO99" s="1057">
        <f t="shared" si="47"/>
        <v>50811.74</v>
      </c>
      <c r="AP99" s="1736"/>
      <c r="AQ99" s="1046"/>
      <c r="AR99" s="1046"/>
      <c r="AS99" s="1046"/>
      <c r="AT99" s="1046"/>
      <c r="AU99" s="1049">
        <f t="shared" si="48"/>
        <v>0</v>
      </c>
      <c r="AV99" s="1758">
        <v>-376</v>
      </c>
      <c r="AW99" s="1050">
        <v>-94</v>
      </c>
      <c r="AX99" s="1050">
        <v>0</v>
      </c>
      <c r="AY99" s="1050">
        <v>0</v>
      </c>
      <c r="AZ99" s="1050">
        <v>0</v>
      </c>
      <c r="BA99" s="1051">
        <f t="shared" si="49"/>
        <v>-470</v>
      </c>
      <c r="BB99" s="1764">
        <v>978.4</v>
      </c>
      <c r="BC99" s="1765">
        <v>244.6</v>
      </c>
      <c r="BD99" s="1765">
        <v>0</v>
      </c>
      <c r="BE99" s="1765">
        <v>0</v>
      </c>
      <c r="BF99" s="1766">
        <v>0</v>
      </c>
      <c r="BG99" s="1047">
        <f t="shared" si="50"/>
        <v>1223</v>
      </c>
      <c r="BH99" s="1744">
        <v>187.11</v>
      </c>
      <c r="BI99" s="1125">
        <v>337.89</v>
      </c>
      <c r="BJ99" s="1125">
        <v>0</v>
      </c>
      <c r="BK99" s="1125">
        <v>0</v>
      </c>
      <c r="BL99" s="1745">
        <v>0</v>
      </c>
      <c r="BM99" s="1054">
        <f t="shared" si="51"/>
        <v>525</v>
      </c>
      <c r="BN99" s="1744">
        <v>16045.14</v>
      </c>
      <c r="BO99" s="1125">
        <v>2032.38</v>
      </c>
      <c r="BP99" s="1125">
        <v>3315.99</v>
      </c>
      <c r="BQ99" s="1125">
        <v>-0.02</v>
      </c>
      <c r="BR99" s="1745">
        <v>0</v>
      </c>
      <c r="BS99" s="1054">
        <f t="shared" si="52"/>
        <v>21393.49</v>
      </c>
      <c r="BT99" s="1744"/>
      <c r="BU99" s="1125"/>
      <c r="BV99" s="1125"/>
      <c r="BW99" s="1125"/>
      <c r="BX99" s="1745"/>
      <c r="BY99" s="1057">
        <f t="shared" si="53"/>
        <v>0</v>
      </c>
      <c r="BZ99" s="1744">
        <v>16803.740000000002</v>
      </c>
      <c r="CA99" s="1125">
        <v>55389.74</v>
      </c>
      <c r="CB99" s="1125">
        <v>13242.22</v>
      </c>
      <c r="CC99" s="1125">
        <v>-0.06</v>
      </c>
      <c r="CD99" s="1745">
        <v>0</v>
      </c>
      <c r="CE99" s="1057">
        <f t="shared" si="54"/>
        <v>85435.64</v>
      </c>
      <c r="CF99" s="1744">
        <v>4664.78</v>
      </c>
      <c r="CG99" s="1125">
        <v>0</v>
      </c>
      <c r="CH99" s="1125">
        <v>7874.89</v>
      </c>
      <c r="CI99" s="1125">
        <v>0</v>
      </c>
      <c r="CJ99" s="1745">
        <v>0</v>
      </c>
      <c r="CK99" s="1057">
        <f t="shared" si="55"/>
        <v>12539.67</v>
      </c>
      <c r="CL99" s="1746"/>
      <c r="CM99" s="1053"/>
      <c r="CN99" s="1053"/>
      <c r="CO99" s="1053"/>
      <c r="CP99" s="1053"/>
      <c r="CQ99" s="1054">
        <f t="shared" si="56"/>
        <v>0</v>
      </c>
      <c r="CR99" s="1744">
        <v>-160</v>
      </c>
      <c r="CS99" s="1125"/>
      <c r="CT99" s="1125"/>
      <c r="CU99" s="1125"/>
      <c r="CV99" s="1745"/>
      <c r="CW99" s="1057">
        <f t="shared" si="57"/>
        <v>-160</v>
      </c>
      <c r="CX99" s="1744"/>
      <c r="CY99" s="1125"/>
      <c r="CZ99" s="1125"/>
      <c r="DA99" s="1125"/>
      <c r="DB99" s="1745"/>
      <c r="DC99" s="1054">
        <f t="shared" si="58"/>
        <v>0</v>
      </c>
      <c r="DD99" s="1744">
        <v>-916</v>
      </c>
      <c r="DE99" s="1125">
        <v>0</v>
      </c>
      <c r="DF99" s="1125">
        <v>0</v>
      </c>
      <c r="DG99" s="1125">
        <v>0</v>
      </c>
      <c r="DH99" s="1745">
        <v>0</v>
      </c>
      <c r="DI99" s="1057">
        <f t="shared" si="59"/>
        <v>-916</v>
      </c>
      <c r="DJ99" s="1744">
        <v>-60</v>
      </c>
      <c r="DK99" s="1125">
        <v>0</v>
      </c>
      <c r="DL99" s="1125">
        <v>0</v>
      </c>
      <c r="DM99" s="1125">
        <v>0</v>
      </c>
      <c r="DN99" s="1125">
        <v>0</v>
      </c>
      <c r="DO99" s="1124">
        <f t="shared" si="60"/>
        <v>-60</v>
      </c>
      <c r="DP99" s="1125"/>
      <c r="DQ99" s="1125"/>
      <c r="DR99" s="1125"/>
      <c r="DS99" s="1125"/>
      <c r="DT99" s="1125"/>
      <c r="DU99" s="1125">
        <f t="shared" si="63"/>
        <v>0</v>
      </c>
      <c r="DV99" s="1744">
        <v>7850.15</v>
      </c>
      <c r="DW99" s="1125">
        <v>5416.61</v>
      </c>
      <c r="DX99" s="1125">
        <v>2433.54</v>
      </c>
      <c r="DY99" s="1125">
        <v>0</v>
      </c>
      <c r="DZ99" s="1745">
        <v>0</v>
      </c>
      <c r="EA99" s="1058">
        <f t="shared" si="61"/>
        <v>15700.3</v>
      </c>
      <c r="EB99" s="1744">
        <v>10903.91</v>
      </c>
      <c r="EC99" s="1125">
        <v>0</v>
      </c>
      <c r="ED99" s="1125">
        <v>2000.11</v>
      </c>
      <c r="EE99" s="1125">
        <v>0.04</v>
      </c>
      <c r="EF99" s="1745">
        <v>0</v>
      </c>
      <c r="EG99" s="1057">
        <f t="shared" si="62"/>
        <v>12904.060000000001</v>
      </c>
    </row>
    <row r="100" spans="1:137" ht="15" customHeight="1" x14ac:dyDescent="0.25">
      <c r="A100" s="719" t="s">
        <v>14</v>
      </c>
      <c r="B100" s="816" t="s">
        <v>15</v>
      </c>
      <c r="C100" s="917" t="s">
        <v>267</v>
      </c>
      <c r="D100" s="814">
        <f t="shared" si="35"/>
        <v>195380.21000000002</v>
      </c>
      <c r="E100" s="814">
        <f t="shared" si="36"/>
        <v>46999.53</v>
      </c>
      <c r="F100" s="814">
        <f t="shared" si="37"/>
        <v>66292.450000000012</v>
      </c>
      <c r="G100" s="814">
        <f t="shared" si="38"/>
        <v>-9.0000000000000011E-2</v>
      </c>
      <c r="H100" s="814">
        <f t="shared" si="39"/>
        <v>88176.01</v>
      </c>
      <c r="I100" s="1422">
        <f t="shared" si="40"/>
        <v>396848.11000000004</v>
      </c>
      <c r="J100" s="815">
        <f t="shared" si="41"/>
        <v>88175.92</v>
      </c>
      <c r="K100" s="1423">
        <f t="shared" si="42"/>
        <v>154468.37</v>
      </c>
      <c r="L100" s="1723"/>
      <c r="M100" s="1043"/>
      <c r="N100" s="1043"/>
      <c r="O100" s="1043"/>
      <c r="P100" s="1043"/>
      <c r="Q100" s="1044">
        <f t="shared" si="43"/>
        <v>0</v>
      </c>
      <c r="R100" s="1717"/>
      <c r="S100" s="1048"/>
      <c r="T100" s="1048"/>
      <c r="U100" s="1048"/>
      <c r="V100" s="1718"/>
      <c r="W100" s="1047">
        <f t="shared" si="44"/>
        <v>0</v>
      </c>
      <c r="X100" s="1719"/>
      <c r="Y100" s="1123"/>
      <c r="Z100" s="1123"/>
      <c r="AA100" s="1123"/>
      <c r="AB100" s="1123"/>
      <c r="AC100" s="1122">
        <f t="shared" si="45"/>
        <v>0</v>
      </c>
      <c r="AD100" s="1733">
        <v>4365.2299999999996</v>
      </c>
      <c r="AE100" s="1734">
        <v>25.99</v>
      </c>
      <c r="AF100" s="1734">
        <v>805.49</v>
      </c>
      <c r="AG100" s="1734">
        <v>0</v>
      </c>
      <c r="AH100" s="1735">
        <v>0</v>
      </c>
      <c r="AI100" s="1045">
        <f t="shared" si="46"/>
        <v>5196.7099999999991</v>
      </c>
      <c r="AJ100" s="1744">
        <v>93661.11</v>
      </c>
      <c r="AK100" s="1125">
        <v>0</v>
      </c>
      <c r="AL100" s="1125">
        <v>23415.279999999999</v>
      </c>
      <c r="AM100" s="1125">
        <v>0</v>
      </c>
      <c r="AN100" s="1745">
        <v>88176.01</v>
      </c>
      <c r="AO100" s="1057">
        <f t="shared" si="47"/>
        <v>205252.4</v>
      </c>
      <c r="AP100" s="1733">
        <v>10101.219999999999</v>
      </c>
      <c r="AQ100" s="1734">
        <v>2594.0700000000002</v>
      </c>
      <c r="AR100" s="1734">
        <v>2328.73</v>
      </c>
      <c r="AS100" s="1734">
        <v>-0.02</v>
      </c>
      <c r="AT100" s="1735">
        <v>0</v>
      </c>
      <c r="AU100" s="1049">
        <f t="shared" si="48"/>
        <v>15023.999999999998</v>
      </c>
      <c r="AV100" s="1755">
        <v>10784.21</v>
      </c>
      <c r="AW100" s="1756">
        <v>2696.06</v>
      </c>
      <c r="AX100" s="1756">
        <v>0</v>
      </c>
      <c r="AY100" s="1756">
        <v>0</v>
      </c>
      <c r="AZ100" s="1757">
        <v>0</v>
      </c>
      <c r="BA100" s="1051">
        <f t="shared" si="49"/>
        <v>13480.269999999999</v>
      </c>
      <c r="BB100" s="1764">
        <v>10986.57</v>
      </c>
      <c r="BC100" s="1765">
        <v>2746.64</v>
      </c>
      <c r="BD100" s="1765">
        <v>0</v>
      </c>
      <c r="BE100" s="1765">
        <v>0</v>
      </c>
      <c r="BF100" s="1766">
        <v>0</v>
      </c>
      <c r="BG100" s="1047">
        <f t="shared" si="50"/>
        <v>13733.21</v>
      </c>
      <c r="BH100" s="1744"/>
      <c r="BI100" s="1125"/>
      <c r="BJ100" s="1125"/>
      <c r="BK100" s="1125"/>
      <c r="BL100" s="1745"/>
      <c r="BM100" s="1054">
        <f t="shared" si="51"/>
        <v>0</v>
      </c>
      <c r="BN100" s="1744">
        <v>23438.11</v>
      </c>
      <c r="BO100" s="1125">
        <v>2968.81</v>
      </c>
      <c r="BP100" s="1125">
        <v>4843.88</v>
      </c>
      <c r="BQ100" s="1125">
        <v>0</v>
      </c>
      <c r="BR100" s="1745">
        <v>0</v>
      </c>
      <c r="BS100" s="1054">
        <f t="shared" si="52"/>
        <v>31250.800000000003</v>
      </c>
      <c r="BT100" s="1744"/>
      <c r="BU100" s="1125"/>
      <c r="BV100" s="1125"/>
      <c r="BW100" s="1125"/>
      <c r="BX100" s="1745"/>
      <c r="BY100" s="1057">
        <f t="shared" si="53"/>
        <v>0</v>
      </c>
      <c r="BZ100" s="1744">
        <v>13757.51</v>
      </c>
      <c r="CA100" s="1125">
        <v>26557.42</v>
      </c>
      <c r="CB100" s="1125">
        <v>7394.75</v>
      </c>
      <c r="CC100" s="1125">
        <v>-0.05</v>
      </c>
      <c r="CD100" s="1745">
        <v>0</v>
      </c>
      <c r="CE100" s="1057">
        <f t="shared" si="54"/>
        <v>47709.63</v>
      </c>
      <c r="CF100" s="1744">
        <v>13683.12</v>
      </c>
      <c r="CG100" s="1125">
        <v>0</v>
      </c>
      <c r="CH100" s="1125">
        <v>23099.439999999999</v>
      </c>
      <c r="CI100" s="1125">
        <v>0</v>
      </c>
      <c r="CJ100" s="1745">
        <v>0</v>
      </c>
      <c r="CK100" s="1057">
        <f t="shared" si="55"/>
        <v>36782.559999999998</v>
      </c>
      <c r="CL100" s="1746"/>
      <c r="CM100" s="1053"/>
      <c r="CN100" s="1053"/>
      <c r="CO100" s="1053"/>
      <c r="CP100" s="1053"/>
      <c r="CQ100" s="1054">
        <f t="shared" si="56"/>
        <v>0</v>
      </c>
      <c r="CR100" s="1744"/>
      <c r="CS100" s="1125"/>
      <c r="CT100" s="1125"/>
      <c r="CU100" s="1125"/>
      <c r="CV100" s="1745"/>
      <c r="CW100" s="1057">
        <f t="shared" si="57"/>
        <v>0</v>
      </c>
      <c r="CX100" s="1744"/>
      <c r="CY100" s="1125"/>
      <c r="CZ100" s="1125"/>
      <c r="DA100" s="1125"/>
      <c r="DB100" s="1745"/>
      <c r="DC100" s="1054">
        <f t="shared" si="58"/>
        <v>0</v>
      </c>
      <c r="DD100" s="1744"/>
      <c r="DE100" s="1125"/>
      <c r="DF100" s="1125"/>
      <c r="DG100" s="1125"/>
      <c r="DH100" s="1745"/>
      <c r="DI100" s="1057">
        <f t="shared" si="59"/>
        <v>0</v>
      </c>
      <c r="DJ100" s="1744"/>
      <c r="DK100" s="1125"/>
      <c r="DL100" s="1125"/>
      <c r="DM100" s="1125"/>
      <c r="DN100" s="1125"/>
      <c r="DO100" s="1124">
        <f t="shared" si="60"/>
        <v>0</v>
      </c>
      <c r="DP100" s="1125"/>
      <c r="DQ100" s="1125"/>
      <c r="DR100" s="1125"/>
      <c r="DS100" s="1125"/>
      <c r="DT100" s="1125"/>
      <c r="DU100" s="1125">
        <f t="shared" si="63"/>
        <v>0</v>
      </c>
      <c r="DV100" s="1744">
        <v>13638.45</v>
      </c>
      <c r="DW100" s="1125">
        <v>9410.5400000000009</v>
      </c>
      <c r="DX100" s="1125">
        <v>4227.92</v>
      </c>
      <c r="DY100" s="1125">
        <v>-0.02</v>
      </c>
      <c r="DZ100" s="1745">
        <v>0</v>
      </c>
      <c r="EA100" s="1058">
        <f t="shared" si="61"/>
        <v>27276.890000000003</v>
      </c>
      <c r="EB100" s="1744">
        <v>964.68</v>
      </c>
      <c r="EC100" s="1125">
        <v>0</v>
      </c>
      <c r="ED100" s="1125">
        <v>176.96</v>
      </c>
      <c r="EE100" s="1125">
        <v>0</v>
      </c>
      <c r="EF100" s="1745">
        <v>0</v>
      </c>
      <c r="EG100" s="1057">
        <f t="shared" si="62"/>
        <v>1141.6399999999999</v>
      </c>
    </row>
    <row r="101" spans="1:137" ht="15" customHeight="1" x14ac:dyDescent="0.25">
      <c r="A101" s="719" t="s">
        <v>34</v>
      </c>
      <c r="B101" s="816" t="s">
        <v>35</v>
      </c>
      <c r="C101" s="917" t="s">
        <v>268</v>
      </c>
      <c r="D101" s="814">
        <f t="shared" si="35"/>
        <v>100286.61</v>
      </c>
      <c r="E101" s="814">
        <f t="shared" si="36"/>
        <v>117954.72</v>
      </c>
      <c r="F101" s="814">
        <f t="shared" si="37"/>
        <v>43403.27</v>
      </c>
      <c r="G101" s="814">
        <f t="shared" si="38"/>
        <v>-0.2</v>
      </c>
      <c r="H101" s="814">
        <f t="shared" si="39"/>
        <v>0</v>
      </c>
      <c r="I101" s="1422">
        <f t="shared" si="40"/>
        <v>261644.4</v>
      </c>
      <c r="J101" s="815">
        <f t="shared" si="41"/>
        <v>-0.2</v>
      </c>
      <c r="K101" s="1423">
        <f t="shared" si="42"/>
        <v>43403.07</v>
      </c>
      <c r="L101" s="1723"/>
      <c r="M101" s="1043"/>
      <c r="N101" s="1043"/>
      <c r="O101" s="1043"/>
      <c r="P101" s="1043"/>
      <c r="Q101" s="1044">
        <f t="shared" si="43"/>
        <v>0</v>
      </c>
      <c r="R101" s="1717"/>
      <c r="S101" s="1048"/>
      <c r="T101" s="1048"/>
      <c r="U101" s="1048"/>
      <c r="V101" s="1718"/>
      <c r="W101" s="1047">
        <f t="shared" si="44"/>
        <v>0</v>
      </c>
      <c r="X101" s="1719"/>
      <c r="Y101" s="1123"/>
      <c r="Z101" s="1123"/>
      <c r="AA101" s="1123"/>
      <c r="AB101" s="1123"/>
      <c r="AC101" s="1122">
        <f t="shared" si="45"/>
        <v>0</v>
      </c>
      <c r="AD101" s="1733">
        <v>2573.98</v>
      </c>
      <c r="AE101" s="1734">
        <v>15.33</v>
      </c>
      <c r="AF101" s="1734">
        <v>474.97</v>
      </c>
      <c r="AG101" s="1734">
        <v>0</v>
      </c>
      <c r="AH101" s="1735">
        <v>0</v>
      </c>
      <c r="AI101" s="1045">
        <f t="shared" si="46"/>
        <v>3064.2799999999997</v>
      </c>
      <c r="AJ101" s="1744">
        <v>19496.36</v>
      </c>
      <c r="AK101" s="1125">
        <v>0</v>
      </c>
      <c r="AL101" s="1125">
        <v>4874.04</v>
      </c>
      <c r="AM101" s="1125">
        <v>0</v>
      </c>
      <c r="AN101" s="1745">
        <v>0</v>
      </c>
      <c r="AO101" s="1057">
        <f t="shared" si="47"/>
        <v>24370.400000000001</v>
      </c>
      <c r="AP101" s="1733">
        <v>5480.76</v>
      </c>
      <c r="AQ101" s="1734">
        <v>1843.91</v>
      </c>
      <c r="AR101" s="1734">
        <v>1343.59</v>
      </c>
      <c r="AS101" s="1734">
        <v>-0.02</v>
      </c>
      <c r="AT101" s="1735">
        <v>0</v>
      </c>
      <c r="AU101" s="1049">
        <f t="shared" si="48"/>
        <v>8668.24</v>
      </c>
      <c r="AV101" s="1755">
        <v>1193.06</v>
      </c>
      <c r="AW101" s="1756">
        <v>298.26</v>
      </c>
      <c r="AX101" s="1756">
        <v>0</v>
      </c>
      <c r="AY101" s="1756">
        <v>0</v>
      </c>
      <c r="AZ101" s="1757">
        <v>0</v>
      </c>
      <c r="BA101" s="1051">
        <f t="shared" si="49"/>
        <v>1491.32</v>
      </c>
      <c r="BB101" s="1764">
        <v>8256.74</v>
      </c>
      <c r="BC101" s="1765">
        <v>2064.19</v>
      </c>
      <c r="BD101" s="1765">
        <v>0</v>
      </c>
      <c r="BE101" s="1765">
        <v>0</v>
      </c>
      <c r="BF101" s="1766">
        <v>0</v>
      </c>
      <c r="BG101" s="1047">
        <f t="shared" si="50"/>
        <v>10320.93</v>
      </c>
      <c r="BH101" s="1744">
        <v>96.15</v>
      </c>
      <c r="BI101" s="1125">
        <v>173.65</v>
      </c>
      <c r="BJ101" s="1125">
        <v>0</v>
      </c>
      <c r="BK101" s="1125">
        <v>0</v>
      </c>
      <c r="BL101" s="1745">
        <v>0</v>
      </c>
      <c r="BM101" s="1054">
        <f t="shared" si="51"/>
        <v>269.8</v>
      </c>
      <c r="BN101" s="1744">
        <v>17367.75</v>
      </c>
      <c r="BO101" s="1125">
        <v>2199.92</v>
      </c>
      <c r="BP101" s="1125">
        <v>3589.32</v>
      </c>
      <c r="BQ101" s="1125">
        <v>-0.03</v>
      </c>
      <c r="BR101" s="1745">
        <v>0</v>
      </c>
      <c r="BS101" s="1054">
        <f t="shared" si="52"/>
        <v>23156.959999999999</v>
      </c>
      <c r="BT101" s="1744"/>
      <c r="BU101" s="1125"/>
      <c r="BV101" s="1125"/>
      <c r="BW101" s="1125"/>
      <c r="BX101" s="1745"/>
      <c r="BY101" s="1057">
        <f t="shared" si="53"/>
        <v>0</v>
      </c>
      <c r="BZ101" s="1744">
        <v>35431.08</v>
      </c>
      <c r="CA101" s="1125">
        <v>109863.77</v>
      </c>
      <c r="CB101" s="1125">
        <v>26650.92</v>
      </c>
      <c r="CC101" s="1125">
        <v>-0.15</v>
      </c>
      <c r="CD101" s="1745">
        <v>0</v>
      </c>
      <c r="CE101" s="1057">
        <f t="shared" si="54"/>
        <v>171945.62000000002</v>
      </c>
      <c r="CF101" s="1744">
        <v>2844.75</v>
      </c>
      <c r="CG101" s="1125">
        <v>0</v>
      </c>
      <c r="CH101" s="1125">
        <v>4802.46</v>
      </c>
      <c r="CI101" s="1125">
        <v>0</v>
      </c>
      <c r="CJ101" s="1745">
        <v>0</v>
      </c>
      <c r="CK101" s="1057">
        <f t="shared" si="55"/>
        <v>7647.21</v>
      </c>
      <c r="CL101" s="1746"/>
      <c r="CM101" s="1053"/>
      <c r="CN101" s="1053"/>
      <c r="CO101" s="1053"/>
      <c r="CP101" s="1053"/>
      <c r="CQ101" s="1054">
        <f t="shared" si="56"/>
        <v>0</v>
      </c>
      <c r="CR101" s="1744"/>
      <c r="CS101" s="1125"/>
      <c r="CT101" s="1125"/>
      <c r="CU101" s="1125"/>
      <c r="CV101" s="1745"/>
      <c r="CW101" s="1057">
        <f t="shared" si="57"/>
        <v>0</v>
      </c>
      <c r="CX101" s="1744"/>
      <c r="CY101" s="1125"/>
      <c r="CZ101" s="1125"/>
      <c r="DA101" s="1125"/>
      <c r="DB101" s="1745"/>
      <c r="DC101" s="1054">
        <f t="shared" si="58"/>
        <v>0</v>
      </c>
      <c r="DD101" s="1744">
        <v>-51.35</v>
      </c>
      <c r="DE101" s="1125">
        <v>0</v>
      </c>
      <c r="DF101" s="1125">
        <v>0</v>
      </c>
      <c r="DG101" s="1125">
        <v>0</v>
      </c>
      <c r="DH101" s="1745">
        <v>0</v>
      </c>
      <c r="DI101" s="1057">
        <f t="shared" si="59"/>
        <v>-51.35</v>
      </c>
      <c r="DJ101" s="1744"/>
      <c r="DK101" s="1125"/>
      <c r="DL101" s="1125"/>
      <c r="DM101" s="1125"/>
      <c r="DN101" s="1125"/>
      <c r="DO101" s="1124">
        <f t="shared" si="60"/>
        <v>0</v>
      </c>
      <c r="DP101" s="1125"/>
      <c r="DQ101" s="1125"/>
      <c r="DR101" s="1125"/>
      <c r="DS101" s="1125"/>
      <c r="DT101" s="1125"/>
      <c r="DU101" s="1125">
        <f t="shared" si="63"/>
        <v>0</v>
      </c>
      <c r="DV101" s="1744">
        <v>2167.67</v>
      </c>
      <c r="DW101" s="1125">
        <v>1495.69</v>
      </c>
      <c r="DX101" s="1125">
        <v>671.98</v>
      </c>
      <c r="DY101" s="1125">
        <v>0</v>
      </c>
      <c r="DZ101" s="1745">
        <v>0</v>
      </c>
      <c r="EA101" s="1058">
        <f t="shared" si="61"/>
        <v>4335.34</v>
      </c>
      <c r="EB101" s="1744">
        <v>5429.66</v>
      </c>
      <c r="EC101" s="1125">
        <v>0</v>
      </c>
      <c r="ED101" s="1125">
        <v>995.99</v>
      </c>
      <c r="EE101" s="1125">
        <v>0</v>
      </c>
      <c r="EF101" s="1745">
        <v>0</v>
      </c>
      <c r="EG101" s="1057">
        <f t="shared" si="62"/>
        <v>6425.65</v>
      </c>
    </row>
    <row r="102" spans="1:137" ht="15" customHeight="1" x14ac:dyDescent="0.25">
      <c r="A102" s="719" t="s">
        <v>52</v>
      </c>
      <c r="B102" s="816" t="s">
        <v>53</v>
      </c>
      <c r="C102" s="917" t="s">
        <v>265</v>
      </c>
      <c r="D102" s="814">
        <f t="shared" si="35"/>
        <v>187301.74</v>
      </c>
      <c r="E102" s="814">
        <f t="shared" si="36"/>
        <v>80998.91</v>
      </c>
      <c r="F102" s="814">
        <f t="shared" si="37"/>
        <v>67835.490000000005</v>
      </c>
      <c r="G102" s="814">
        <f t="shared" si="38"/>
        <v>-0.36000000000000004</v>
      </c>
      <c r="H102" s="814">
        <f t="shared" si="39"/>
        <v>0</v>
      </c>
      <c r="I102" s="1422">
        <f t="shared" si="40"/>
        <v>336135.78</v>
      </c>
      <c r="J102" s="815">
        <f t="shared" si="41"/>
        <v>-0.36000000000000004</v>
      </c>
      <c r="K102" s="1423">
        <f t="shared" si="42"/>
        <v>67835.13</v>
      </c>
      <c r="L102" s="1723"/>
      <c r="M102" s="1043"/>
      <c r="N102" s="1043"/>
      <c r="O102" s="1043"/>
      <c r="P102" s="1043"/>
      <c r="Q102" s="1044">
        <f t="shared" si="43"/>
        <v>0</v>
      </c>
      <c r="R102" s="1717"/>
      <c r="S102" s="1048"/>
      <c r="T102" s="1048"/>
      <c r="U102" s="1048"/>
      <c r="V102" s="1718"/>
      <c r="W102" s="1047">
        <f t="shared" si="44"/>
        <v>0</v>
      </c>
      <c r="X102" s="1719"/>
      <c r="Y102" s="1123"/>
      <c r="Z102" s="1123"/>
      <c r="AA102" s="1123"/>
      <c r="AB102" s="1123"/>
      <c r="AC102" s="1122">
        <f t="shared" si="45"/>
        <v>0</v>
      </c>
      <c r="AD102" s="1733">
        <v>9244.18</v>
      </c>
      <c r="AE102" s="1734">
        <v>55.04</v>
      </c>
      <c r="AF102" s="1734">
        <v>1705.78</v>
      </c>
      <c r="AG102" s="1734">
        <v>-0.06</v>
      </c>
      <c r="AH102" s="1735">
        <v>0</v>
      </c>
      <c r="AI102" s="1045">
        <f t="shared" si="46"/>
        <v>11004.940000000002</v>
      </c>
      <c r="AJ102" s="1744">
        <v>25748.6</v>
      </c>
      <c r="AK102" s="1125">
        <v>0</v>
      </c>
      <c r="AL102" s="1125">
        <v>6437.15</v>
      </c>
      <c r="AM102" s="1125">
        <v>0</v>
      </c>
      <c r="AN102" s="1745">
        <v>0</v>
      </c>
      <c r="AO102" s="1057">
        <f t="shared" si="47"/>
        <v>32185.75</v>
      </c>
      <c r="AP102" s="1736"/>
      <c r="AQ102" s="1046"/>
      <c r="AR102" s="1046"/>
      <c r="AS102" s="1046"/>
      <c r="AT102" s="1046"/>
      <c r="AU102" s="1049">
        <f t="shared" si="48"/>
        <v>0</v>
      </c>
      <c r="AV102" s="1755">
        <v>8650.42</v>
      </c>
      <c r="AW102" s="1756">
        <v>2162.61</v>
      </c>
      <c r="AX102" s="1756">
        <v>0</v>
      </c>
      <c r="AY102" s="1756">
        <v>0</v>
      </c>
      <c r="AZ102" s="1757">
        <v>0</v>
      </c>
      <c r="BA102" s="1051">
        <f t="shared" si="49"/>
        <v>10813.03</v>
      </c>
      <c r="BB102" s="1764">
        <v>18060.79</v>
      </c>
      <c r="BC102" s="1765">
        <v>4515.21</v>
      </c>
      <c r="BD102" s="1765">
        <v>0</v>
      </c>
      <c r="BE102" s="1765">
        <v>0</v>
      </c>
      <c r="BF102" s="1766">
        <v>0</v>
      </c>
      <c r="BG102" s="1047">
        <f t="shared" si="50"/>
        <v>22576</v>
      </c>
      <c r="BH102" s="1744">
        <v>2361.15</v>
      </c>
      <c r="BI102" s="1125">
        <v>4263.8500000000004</v>
      </c>
      <c r="BJ102" s="1125">
        <v>0</v>
      </c>
      <c r="BK102" s="1125">
        <v>0</v>
      </c>
      <c r="BL102" s="1745">
        <v>0</v>
      </c>
      <c r="BM102" s="1054">
        <f t="shared" si="51"/>
        <v>6625</v>
      </c>
      <c r="BN102" s="1744">
        <v>61857.71</v>
      </c>
      <c r="BO102" s="1125">
        <v>7835.35</v>
      </c>
      <c r="BP102" s="1125">
        <v>12783.94</v>
      </c>
      <c r="BQ102" s="1125">
        <v>-0.09</v>
      </c>
      <c r="BR102" s="1745">
        <v>0</v>
      </c>
      <c r="BS102" s="1054">
        <f t="shared" si="52"/>
        <v>82476.91</v>
      </c>
      <c r="BT102" s="1744">
        <v>-941.46</v>
      </c>
      <c r="BU102" s="1125">
        <v>-941.46</v>
      </c>
      <c r="BV102" s="1125">
        <v>0</v>
      </c>
      <c r="BW102" s="1125">
        <v>0.01</v>
      </c>
      <c r="BX102" s="1745">
        <v>0</v>
      </c>
      <c r="BY102" s="1057">
        <f t="shared" si="53"/>
        <v>-1882.91</v>
      </c>
      <c r="BZ102" s="1744">
        <v>24261.040000000001</v>
      </c>
      <c r="CA102" s="1125">
        <v>54746.43</v>
      </c>
      <c r="CB102" s="1125">
        <v>14491.98</v>
      </c>
      <c r="CC102" s="1125">
        <v>-0.26</v>
      </c>
      <c r="CD102" s="1745">
        <v>0</v>
      </c>
      <c r="CE102" s="1057">
        <f t="shared" si="54"/>
        <v>93499.19</v>
      </c>
      <c r="CF102" s="1744">
        <v>15864.85</v>
      </c>
      <c r="CG102" s="1125">
        <v>0</v>
      </c>
      <c r="CH102" s="1125">
        <v>26782.61</v>
      </c>
      <c r="CI102" s="1125">
        <v>0</v>
      </c>
      <c r="CJ102" s="1745">
        <v>0</v>
      </c>
      <c r="CK102" s="1057">
        <f t="shared" si="55"/>
        <v>42647.46</v>
      </c>
      <c r="CL102" s="1746"/>
      <c r="CM102" s="1053"/>
      <c r="CN102" s="1053"/>
      <c r="CO102" s="1053"/>
      <c r="CP102" s="1053"/>
      <c r="CQ102" s="1054">
        <f t="shared" si="56"/>
        <v>0</v>
      </c>
      <c r="CR102" s="1744"/>
      <c r="CS102" s="1125"/>
      <c r="CT102" s="1125"/>
      <c r="CU102" s="1125"/>
      <c r="CV102" s="1745"/>
      <c r="CW102" s="1057">
        <f t="shared" si="57"/>
        <v>0</v>
      </c>
      <c r="CX102" s="1744">
        <v>-79.12</v>
      </c>
      <c r="CY102" s="1125">
        <v>-79.12</v>
      </c>
      <c r="CZ102" s="1125">
        <v>0</v>
      </c>
      <c r="DA102" s="1125">
        <v>0</v>
      </c>
      <c r="DB102" s="1745">
        <v>0</v>
      </c>
      <c r="DC102" s="1054">
        <f t="shared" si="58"/>
        <v>-158.24</v>
      </c>
      <c r="DD102" s="1744"/>
      <c r="DE102" s="1125"/>
      <c r="DF102" s="1125"/>
      <c r="DG102" s="1125"/>
      <c r="DH102" s="1745"/>
      <c r="DI102" s="1057">
        <f t="shared" si="59"/>
        <v>0</v>
      </c>
      <c r="DJ102" s="1744"/>
      <c r="DK102" s="1125"/>
      <c r="DL102" s="1125"/>
      <c r="DM102" s="1125"/>
      <c r="DN102" s="1125"/>
      <c r="DO102" s="1124">
        <f t="shared" si="60"/>
        <v>0</v>
      </c>
      <c r="DP102" s="1125"/>
      <c r="DQ102" s="1125"/>
      <c r="DR102" s="1125"/>
      <c r="DS102" s="1125"/>
      <c r="DT102" s="1125"/>
      <c r="DU102" s="1125">
        <f t="shared" si="63"/>
        <v>0</v>
      </c>
      <c r="DV102" s="1746">
        <v>12233.33</v>
      </c>
      <c r="DW102" s="1053">
        <v>8441</v>
      </c>
      <c r="DX102" s="1053">
        <v>3792.34</v>
      </c>
      <c r="DY102" s="1053">
        <v>-0.02</v>
      </c>
      <c r="DZ102" s="1053">
        <v>0</v>
      </c>
      <c r="EA102" s="1058">
        <f t="shared" si="61"/>
        <v>24466.65</v>
      </c>
      <c r="EB102" s="1744">
        <v>10040.25</v>
      </c>
      <c r="EC102" s="1125">
        <v>0</v>
      </c>
      <c r="ED102" s="1125">
        <v>1841.69</v>
      </c>
      <c r="EE102" s="1125">
        <v>0.06</v>
      </c>
      <c r="EF102" s="1745">
        <v>0</v>
      </c>
      <c r="EG102" s="1057">
        <f t="shared" si="62"/>
        <v>11882</v>
      </c>
    </row>
    <row r="103" spans="1:137" ht="15" customHeight="1" x14ac:dyDescent="0.25">
      <c r="A103" s="719" t="s">
        <v>54</v>
      </c>
      <c r="B103" s="816" t="s">
        <v>55</v>
      </c>
      <c r="C103" s="917" t="s">
        <v>264</v>
      </c>
      <c r="D103" s="814">
        <f t="shared" si="35"/>
        <v>274672.87999999995</v>
      </c>
      <c r="E103" s="814">
        <f t="shared" si="36"/>
        <v>208730.99</v>
      </c>
      <c r="F103" s="814">
        <f t="shared" si="37"/>
        <v>87961.030000000013</v>
      </c>
      <c r="G103" s="814">
        <f t="shared" si="38"/>
        <v>1588.65</v>
      </c>
      <c r="H103" s="814">
        <f t="shared" si="39"/>
        <v>0</v>
      </c>
      <c r="I103" s="1422">
        <f t="shared" si="40"/>
        <v>572953.54999999993</v>
      </c>
      <c r="J103" s="815">
        <f t="shared" si="41"/>
        <v>1588.65</v>
      </c>
      <c r="K103" s="1423">
        <f t="shared" si="42"/>
        <v>89549.680000000008</v>
      </c>
      <c r="L103" s="1723"/>
      <c r="M103" s="1043"/>
      <c r="N103" s="1043"/>
      <c r="O103" s="1043"/>
      <c r="P103" s="1043"/>
      <c r="Q103" s="1044">
        <f t="shared" si="43"/>
        <v>0</v>
      </c>
      <c r="R103" s="1719"/>
      <c r="S103" s="1123"/>
      <c r="T103" s="1123"/>
      <c r="U103" s="1123"/>
      <c r="V103" s="1720"/>
      <c r="W103" s="1047">
        <f t="shared" si="44"/>
        <v>0</v>
      </c>
      <c r="X103" s="1719"/>
      <c r="Y103" s="1123"/>
      <c r="Z103" s="1123"/>
      <c r="AA103" s="1123"/>
      <c r="AB103" s="1123"/>
      <c r="AC103" s="1122">
        <f t="shared" si="45"/>
        <v>0</v>
      </c>
      <c r="AD103" s="1733">
        <v>18792.560000000001</v>
      </c>
      <c r="AE103" s="1734">
        <v>111.85</v>
      </c>
      <c r="AF103" s="1734">
        <v>3467.68</v>
      </c>
      <c r="AG103" s="1734">
        <v>0</v>
      </c>
      <c r="AH103" s="1735">
        <v>0</v>
      </c>
      <c r="AI103" s="1045">
        <f t="shared" si="46"/>
        <v>22372.09</v>
      </c>
      <c r="AJ103" s="1744">
        <v>43088.800000000003</v>
      </c>
      <c r="AK103" s="1125">
        <v>0</v>
      </c>
      <c r="AL103" s="1125">
        <v>10772.2</v>
      </c>
      <c r="AM103" s="1125">
        <v>0</v>
      </c>
      <c r="AN103" s="1745">
        <v>0</v>
      </c>
      <c r="AO103" s="1057">
        <f t="shared" si="47"/>
        <v>53861</v>
      </c>
      <c r="AP103" s="1733">
        <v>3815.93</v>
      </c>
      <c r="AQ103" s="1734">
        <v>2551.36</v>
      </c>
      <c r="AR103" s="1734">
        <v>1167.97</v>
      </c>
      <c r="AS103" s="1734">
        <v>-0.01</v>
      </c>
      <c r="AT103" s="1735">
        <v>0</v>
      </c>
      <c r="AU103" s="1049">
        <f t="shared" si="48"/>
        <v>7535.25</v>
      </c>
      <c r="AV103" s="1755">
        <v>1760.81</v>
      </c>
      <c r="AW103" s="1756">
        <v>440.21</v>
      </c>
      <c r="AX103" s="1756">
        <v>0</v>
      </c>
      <c r="AY103" s="1756">
        <v>0</v>
      </c>
      <c r="AZ103" s="1757">
        <v>0</v>
      </c>
      <c r="BA103" s="1051">
        <f t="shared" si="49"/>
        <v>2201.02</v>
      </c>
      <c r="BB103" s="1764">
        <v>7748</v>
      </c>
      <c r="BC103" s="1765">
        <v>1937</v>
      </c>
      <c r="BD103" s="1765">
        <v>0</v>
      </c>
      <c r="BE103" s="1765">
        <v>0</v>
      </c>
      <c r="BF103" s="1766">
        <v>0</v>
      </c>
      <c r="BG103" s="1047">
        <f t="shared" si="50"/>
        <v>9685</v>
      </c>
      <c r="BH103" s="1744">
        <v>4180.57</v>
      </c>
      <c r="BI103" s="1125">
        <v>7549.43</v>
      </c>
      <c r="BJ103" s="1125">
        <v>0</v>
      </c>
      <c r="BK103" s="1125">
        <v>0</v>
      </c>
      <c r="BL103" s="1745">
        <v>0</v>
      </c>
      <c r="BM103" s="1054">
        <f t="shared" si="51"/>
        <v>11730</v>
      </c>
      <c r="BN103" s="1744">
        <v>40736.65</v>
      </c>
      <c r="BO103" s="1125">
        <v>5159.9799999999996</v>
      </c>
      <c r="BP103" s="1125">
        <v>8418.91</v>
      </c>
      <c r="BQ103" s="1125">
        <v>-0.04</v>
      </c>
      <c r="BR103" s="1745">
        <v>0</v>
      </c>
      <c r="BS103" s="1054">
        <f t="shared" si="52"/>
        <v>54315.500000000007</v>
      </c>
      <c r="BT103" s="1744">
        <v>-901.17</v>
      </c>
      <c r="BU103" s="1125">
        <v>-901.17</v>
      </c>
      <c r="BV103" s="1125">
        <v>0</v>
      </c>
      <c r="BW103" s="1125">
        <v>0.01</v>
      </c>
      <c r="BX103" s="1745">
        <v>0</v>
      </c>
      <c r="BY103" s="1057">
        <f t="shared" si="53"/>
        <v>-1802.33</v>
      </c>
      <c r="BZ103" s="1744">
        <v>141733.25</v>
      </c>
      <c r="CA103" s="1125">
        <v>192098.33</v>
      </c>
      <c r="CB103" s="1125">
        <v>61232.25</v>
      </c>
      <c r="CC103" s="1125">
        <v>0</v>
      </c>
      <c r="CD103" s="1745">
        <v>0</v>
      </c>
      <c r="CE103" s="1057">
        <f t="shared" si="54"/>
        <v>395063.82999999996</v>
      </c>
      <c r="CF103" s="1744">
        <v>167.4</v>
      </c>
      <c r="CG103" s="1125">
        <v>0</v>
      </c>
      <c r="CH103" s="1125">
        <v>282.60000000000002</v>
      </c>
      <c r="CI103" s="1125">
        <v>0</v>
      </c>
      <c r="CJ103" s="1745">
        <v>0</v>
      </c>
      <c r="CK103" s="1057">
        <f t="shared" si="55"/>
        <v>450</v>
      </c>
      <c r="CL103" s="1746"/>
      <c r="CM103" s="1053"/>
      <c r="CN103" s="1053"/>
      <c r="CO103" s="1053"/>
      <c r="CP103" s="1053"/>
      <c r="CQ103" s="1054">
        <f t="shared" si="56"/>
        <v>0</v>
      </c>
      <c r="CR103" s="1744"/>
      <c r="CS103" s="1125"/>
      <c r="CT103" s="1125"/>
      <c r="CU103" s="1125"/>
      <c r="CV103" s="1745"/>
      <c r="CW103" s="1057">
        <f t="shared" si="57"/>
        <v>0</v>
      </c>
      <c r="CX103" s="1744"/>
      <c r="CY103" s="1125"/>
      <c r="CZ103" s="1125"/>
      <c r="DA103" s="1125"/>
      <c r="DB103" s="1745"/>
      <c r="DC103" s="1054">
        <f t="shared" si="58"/>
        <v>0</v>
      </c>
      <c r="DD103" s="1744">
        <v>-85</v>
      </c>
      <c r="DE103" s="1125">
        <v>0</v>
      </c>
      <c r="DF103" s="1125">
        <v>0</v>
      </c>
      <c r="DG103" s="1125">
        <v>0</v>
      </c>
      <c r="DH103" s="1745">
        <v>0</v>
      </c>
      <c r="DI103" s="1057">
        <f t="shared" si="59"/>
        <v>-85</v>
      </c>
      <c r="DJ103" s="1744">
        <v>-429</v>
      </c>
      <c r="DK103" s="1125">
        <v>0</v>
      </c>
      <c r="DL103" s="1125">
        <v>0</v>
      </c>
      <c r="DM103" s="1125">
        <v>0</v>
      </c>
      <c r="DN103" s="1125">
        <v>0</v>
      </c>
      <c r="DO103" s="1124">
        <f t="shared" si="60"/>
        <v>-429</v>
      </c>
      <c r="DP103" s="1125">
        <v>-216</v>
      </c>
      <c r="DQ103" s="1125">
        <v>-216</v>
      </c>
      <c r="DR103" s="1125">
        <v>0</v>
      </c>
      <c r="DS103" s="1125">
        <v>0</v>
      </c>
      <c r="DT103" s="1125">
        <v>0</v>
      </c>
      <c r="DU103" s="1125">
        <f t="shared" si="63"/>
        <v>-432</v>
      </c>
      <c r="DV103" s="1744">
        <v>0</v>
      </c>
      <c r="DW103" s="1125">
        <v>0</v>
      </c>
      <c r="DX103" s="1125">
        <v>0</v>
      </c>
      <c r="DY103" s="1125">
        <v>1588.65</v>
      </c>
      <c r="DZ103" s="1745">
        <v>0</v>
      </c>
      <c r="EA103" s="1058">
        <f t="shared" si="61"/>
        <v>1588.65</v>
      </c>
      <c r="EB103" s="1744">
        <v>14280.08</v>
      </c>
      <c r="EC103" s="1125">
        <v>0</v>
      </c>
      <c r="ED103" s="1125">
        <v>2619.42</v>
      </c>
      <c r="EE103" s="1125">
        <v>0.04</v>
      </c>
      <c r="EF103" s="1745">
        <v>0</v>
      </c>
      <c r="EG103" s="1057">
        <f t="shared" si="62"/>
        <v>16899.54</v>
      </c>
    </row>
    <row r="104" spans="1:137" ht="15" customHeight="1" x14ac:dyDescent="0.25">
      <c r="A104" s="719" t="s">
        <v>66</v>
      </c>
      <c r="B104" s="816" t="s">
        <v>67</v>
      </c>
      <c r="C104" s="917" t="s">
        <v>265</v>
      </c>
      <c r="D104" s="814">
        <f t="shared" si="35"/>
        <v>115261.96000000002</v>
      </c>
      <c r="E104" s="814">
        <f t="shared" si="36"/>
        <v>48786.7</v>
      </c>
      <c r="F104" s="814">
        <f t="shared" si="37"/>
        <v>33329.589999999997</v>
      </c>
      <c r="G104" s="814">
        <f t="shared" si="38"/>
        <v>-0.30000000000000004</v>
      </c>
      <c r="H104" s="814">
        <f t="shared" si="39"/>
        <v>0</v>
      </c>
      <c r="I104" s="1422">
        <f t="shared" si="40"/>
        <v>197377.95000000004</v>
      </c>
      <c r="J104" s="815">
        <f t="shared" si="41"/>
        <v>-0.30000000000000004</v>
      </c>
      <c r="K104" s="1423">
        <f t="shared" si="42"/>
        <v>33329.289999999994</v>
      </c>
      <c r="L104" s="1723"/>
      <c r="M104" s="1043"/>
      <c r="N104" s="1043"/>
      <c r="O104" s="1043"/>
      <c r="P104" s="1043"/>
      <c r="Q104" s="1044">
        <f t="shared" si="43"/>
        <v>0</v>
      </c>
      <c r="R104" s="1717"/>
      <c r="S104" s="1048"/>
      <c r="T104" s="1048"/>
      <c r="U104" s="1048"/>
      <c r="V104" s="1718"/>
      <c r="W104" s="1047">
        <f t="shared" si="44"/>
        <v>0</v>
      </c>
      <c r="X104" s="1719"/>
      <c r="Y104" s="1123"/>
      <c r="Z104" s="1123"/>
      <c r="AA104" s="1123"/>
      <c r="AB104" s="1123"/>
      <c r="AC104" s="1122">
        <f t="shared" si="45"/>
        <v>0</v>
      </c>
      <c r="AD104" s="1733">
        <v>5603.93</v>
      </c>
      <c r="AE104" s="1734">
        <v>33.369999999999997</v>
      </c>
      <c r="AF104" s="1734">
        <v>1034.06</v>
      </c>
      <c r="AG104" s="1734">
        <v>-0.02</v>
      </c>
      <c r="AH104" s="1735">
        <v>0</v>
      </c>
      <c r="AI104" s="1045">
        <f t="shared" si="46"/>
        <v>6671.34</v>
      </c>
      <c r="AJ104" s="1744">
        <v>39179.360000000001</v>
      </c>
      <c r="AK104" s="1125">
        <v>0</v>
      </c>
      <c r="AL104" s="1125">
        <v>9794.84</v>
      </c>
      <c r="AM104" s="1125">
        <v>0</v>
      </c>
      <c r="AN104" s="1745">
        <v>0</v>
      </c>
      <c r="AO104" s="1057">
        <f t="shared" si="47"/>
        <v>48974.2</v>
      </c>
      <c r="AP104" s="1733">
        <v>11345.53</v>
      </c>
      <c r="AQ104" s="1734">
        <v>3062.56</v>
      </c>
      <c r="AR104" s="1734">
        <v>2642.92</v>
      </c>
      <c r="AS104" s="1734">
        <v>-7.0000000000000007E-2</v>
      </c>
      <c r="AT104" s="1735">
        <v>0</v>
      </c>
      <c r="AU104" s="1049">
        <f t="shared" si="48"/>
        <v>17050.940000000002</v>
      </c>
      <c r="AV104" s="1755">
        <v>2548.4</v>
      </c>
      <c r="AW104" s="1756">
        <v>637.1</v>
      </c>
      <c r="AX104" s="1756">
        <v>0</v>
      </c>
      <c r="AY104" s="1756">
        <v>0</v>
      </c>
      <c r="AZ104" s="1757">
        <v>0</v>
      </c>
      <c r="BA104" s="1051">
        <f t="shared" si="49"/>
        <v>3185.5</v>
      </c>
      <c r="BB104" s="1764">
        <v>6897.33</v>
      </c>
      <c r="BC104" s="1765">
        <v>1724.32</v>
      </c>
      <c r="BD104" s="1765">
        <v>0</v>
      </c>
      <c r="BE104" s="1765">
        <v>0</v>
      </c>
      <c r="BF104" s="1766">
        <v>0</v>
      </c>
      <c r="BG104" s="1047">
        <f t="shared" si="50"/>
        <v>8621.65</v>
      </c>
      <c r="BH104" s="1744">
        <v>153.96</v>
      </c>
      <c r="BI104" s="1125">
        <v>278.04000000000002</v>
      </c>
      <c r="BJ104" s="1125">
        <v>0</v>
      </c>
      <c r="BK104" s="1125">
        <v>0</v>
      </c>
      <c r="BL104" s="1745">
        <v>0</v>
      </c>
      <c r="BM104" s="1054">
        <f t="shared" si="51"/>
        <v>432</v>
      </c>
      <c r="BN104" s="1744">
        <v>28875.39</v>
      </c>
      <c r="BO104" s="1125">
        <v>3657.59</v>
      </c>
      <c r="BP104" s="1125">
        <v>5967.62</v>
      </c>
      <c r="BQ104" s="1125">
        <v>-0.12</v>
      </c>
      <c r="BR104" s="1745">
        <v>0</v>
      </c>
      <c r="BS104" s="1054">
        <f t="shared" si="52"/>
        <v>38500.479999999996</v>
      </c>
      <c r="BT104" s="1744"/>
      <c r="BU104" s="1125"/>
      <c r="BV104" s="1125"/>
      <c r="BW104" s="1125"/>
      <c r="BX104" s="1745"/>
      <c r="BY104" s="1057">
        <f t="shared" si="53"/>
        <v>0</v>
      </c>
      <c r="BZ104" s="1744">
        <v>10698.46</v>
      </c>
      <c r="CA104" s="1125">
        <v>36377.410000000003</v>
      </c>
      <c r="CB104" s="1125">
        <v>8634.99</v>
      </c>
      <c r="CC104" s="1125">
        <v>-0.08</v>
      </c>
      <c r="CD104" s="1745">
        <v>0</v>
      </c>
      <c r="CE104" s="1057">
        <f t="shared" si="54"/>
        <v>55710.78</v>
      </c>
      <c r="CF104" s="1744">
        <v>1827.21</v>
      </c>
      <c r="CG104" s="1125">
        <v>0</v>
      </c>
      <c r="CH104" s="1125">
        <v>3084.67</v>
      </c>
      <c r="CI104" s="1125">
        <v>0</v>
      </c>
      <c r="CJ104" s="1745">
        <v>0</v>
      </c>
      <c r="CK104" s="1057">
        <f t="shared" si="55"/>
        <v>4911.88</v>
      </c>
      <c r="CL104" s="1746"/>
      <c r="CM104" s="1053"/>
      <c r="CN104" s="1053"/>
      <c r="CO104" s="1053"/>
      <c r="CP104" s="1053"/>
      <c r="CQ104" s="1054">
        <f t="shared" si="56"/>
        <v>0</v>
      </c>
      <c r="CR104" s="1744"/>
      <c r="CS104" s="1125"/>
      <c r="CT104" s="1125"/>
      <c r="CU104" s="1125"/>
      <c r="CV104" s="1745"/>
      <c r="CW104" s="1057">
        <f t="shared" si="57"/>
        <v>0</v>
      </c>
      <c r="CX104" s="1744"/>
      <c r="CY104" s="1125"/>
      <c r="CZ104" s="1125"/>
      <c r="DA104" s="1125"/>
      <c r="DB104" s="1745"/>
      <c r="DC104" s="1054">
        <f t="shared" si="58"/>
        <v>0</v>
      </c>
      <c r="DD104" s="1744"/>
      <c r="DE104" s="1125"/>
      <c r="DF104" s="1125"/>
      <c r="DG104" s="1125"/>
      <c r="DH104" s="1745"/>
      <c r="DI104" s="1057">
        <f t="shared" si="59"/>
        <v>0</v>
      </c>
      <c r="DJ104" s="1744">
        <v>-295</v>
      </c>
      <c r="DK104" s="1125">
        <v>0</v>
      </c>
      <c r="DL104" s="1125">
        <v>0</v>
      </c>
      <c r="DM104" s="1125">
        <v>0</v>
      </c>
      <c r="DN104" s="1125">
        <v>0</v>
      </c>
      <c r="DO104" s="1124">
        <f t="shared" si="60"/>
        <v>-295</v>
      </c>
      <c r="DP104" s="1125">
        <v>-194.5</v>
      </c>
      <c r="DQ104" s="1125">
        <v>-194.5</v>
      </c>
      <c r="DR104" s="1125">
        <v>0</v>
      </c>
      <c r="DS104" s="1125">
        <v>0</v>
      </c>
      <c r="DT104" s="1125">
        <v>0</v>
      </c>
      <c r="DU104" s="1125">
        <f t="shared" si="63"/>
        <v>-389</v>
      </c>
      <c r="DV104" s="1744">
        <v>4653.3599999999997</v>
      </c>
      <c r="DW104" s="1125">
        <v>3210.81</v>
      </c>
      <c r="DX104" s="1125">
        <v>1442.54</v>
      </c>
      <c r="DY104" s="1125">
        <v>0</v>
      </c>
      <c r="DZ104" s="1745">
        <v>0</v>
      </c>
      <c r="EA104" s="1058">
        <f t="shared" si="61"/>
        <v>9306.7099999999991</v>
      </c>
      <c r="EB104" s="1744">
        <v>3968.53</v>
      </c>
      <c r="EC104" s="1125">
        <v>0</v>
      </c>
      <c r="ED104" s="1125">
        <v>727.95</v>
      </c>
      <c r="EE104" s="1125">
        <v>-0.01</v>
      </c>
      <c r="EF104" s="1745">
        <v>0</v>
      </c>
      <c r="EG104" s="1057">
        <f t="shared" si="62"/>
        <v>4696.47</v>
      </c>
    </row>
    <row r="105" spans="1:137" ht="15" customHeight="1" x14ac:dyDescent="0.25">
      <c r="A105" s="719" t="s">
        <v>82</v>
      </c>
      <c r="B105" s="816" t="s">
        <v>311</v>
      </c>
      <c r="C105" s="917" t="s">
        <v>264</v>
      </c>
      <c r="D105" s="814">
        <f t="shared" si="35"/>
        <v>18839.63</v>
      </c>
      <c r="E105" s="814">
        <f t="shared" si="36"/>
        <v>14740.24</v>
      </c>
      <c r="F105" s="814">
        <f t="shared" si="37"/>
        <v>6055.53</v>
      </c>
      <c r="G105" s="814">
        <f t="shared" si="38"/>
        <v>-9.0000000000000011E-2</v>
      </c>
      <c r="H105" s="814">
        <f t="shared" si="39"/>
        <v>0</v>
      </c>
      <c r="I105" s="1422">
        <f t="shared" si="40"/>
        <v>39635.310000000005</v>
      </c>
      <c r="J105" s="815">
        <f t="shared" si="41"/>
        <v>-9.0000000000000011E-2</v>
      </c>
      <c r="K105" s="1423">
        <f t="shared" si="42"/>
        <v>6055.44</v>
      </c>
      <c r="L105" s="1723"/>
      <c r="M105" s="1043"/>
      <c r="N105" s="1043"/>
      <c r="O105" s="1043"/>
      <c r="P105" s="1043"/>
      <c r="Q105" s="1044">
        <f t="shared" si="43"/>
        <v>0</v>
      </c>
      <c r="R105" s="1717"/>
      <c r="S105" s="1048"/>
      <c r="T105" s="1048"/>
      <c r="U105" s="1048"/>
      <c r="V105" s="1718"/>
      <c r="W105" s="1047">
        <f t="shared" si="44"/>
        <v>0</v>
      </c>
      <c r="X105" s="1719"/>
      <c r="Y105" s="1123"/>
      <c r="Z105" s="1123"/>
      <c r="AA105" s="1123"/>
      <c r="AB105" s="1123"/>
      <c r="AC105" s="1122">
        <f t="shared" si="45"/>
        <v>0</v>
      </c>
      <c r="AD105" s="1733">
        <v>462.29</v>
      </c>
      <c r="AE105" s="1734">
        <v>2.76</v>
      </c>
      <c r="AF105" s="1734">
        <v>85.31</v>
      </c>
      <c r="AG105" s="1734">
        <v>-0.01</v>
      </c>
      <c r="AH105" s="1735">
        <v>0</v>
      </c>
      <c r="AI105" s="1045">
        <f t="shared" si="46"/>
        <v>550.35</v>
      </c>
      <c r="AJ105" s="1744">
        <v>533.58000000000004</v>
      </c>
      <c r="AK105" s="1125">
        <v>0</v>
      </c>
      <c r="AL105" s="1125">
        <v>133.4</v>
      </c>
      <c r="AM105" s="1125">
        <v>0</v>
      </c>
      <c r="AN105" s="1745">
        <v>0</v>
      </c>
      <c r="AO105" s="1057">
        <f t="shared" si="47"/>
        <v>666.98</v>
      </c>
      <c r="AP105" s="1736"/>
      <c r="AQ105" s="1046"/>
      <c r="AR105" s="1046"/>
      <c r="AS105" s="1046"/>
      <c r="AT105" s="1046"/>
      <c r="AU105" s="1049">
        <f t="shared" si="48"/>
        <v>0</v>
      </c>
      <c r="AV105" s="1755"/>
      <c r="AW105" s="1756"/>
      <c r="AX105" s="1756"/>
      <c r="AY105" s="1756"/>
      <c r="AZ105" s="1757"/>
      <c r="BA105" s="1051">
        <f t="shared" si="49"/>
        <v>0</v>
      </c>
      <c r="BB105" s="1764">
        <v>608.52</v>
      </c>
      <c r="BC105" s="1765">
        <v>152.12</v>
      </c>
      <c r="BD105" s="1765">
        <v>0</v>
      </c>
      <c r="BE105" s="1765">
        <v>0</v>
      </c>
      <c r="BF105" s="1766">
        <v>0</v>
      </c>
      <c r="BG105" s="1047">
        <f t="shared" si="50"/>
        <v>760.64</v>
      </c>
      <c r="BH105" s="1746"/>
      <c r="BI105" s="1053"/>
      <c r="BJ105" s="1053"/>
      <c r="BK105" s="1053"/>
      <c r="BL105" s="1053"/>
      <c r="BM105" s="1054">
        <f t="shared" si="51"/>
        <v>0</v>
      </c>
      <c r="BN105" s="1744">
        <v>11920.88</v>
      </c>
      <c r="BO105" s="1125">
        <v>1509.97</v>
      </c>
      <c r="BP105" s="1125">
        <v>2463.65</v>
      </c>
      <c r="BQ105" s="1125">
        <v>-0.01</v>
      </c>
      <c r="BR105" s="1745">
        <v>0</v>
      </c>
      <c r="BS105" s="1054">
        <f t="shared" si="52"/>
        <v>15894.489999999998</v>
      </c>
      <c r="BT105" s="1744"/>
      <c r="BU105" s="1125"/>
      <c r="BV105" s="1125"/>
      <c r="BW105" s="1125"/>
      <c r="BX105" s="1745"/>
      <c r="BY105" s="1057">
        <f t="shared" si="53"/>
        <v>0</v>
      </c>
      <c r="BZ105" s="1744">
        <v>5065.09</v>
      </c>
      <c r="CA105" s="1125">
        <v>13075.39</v>
      </c>
      <c r="CB105" s="1125">
        <v>3327.45</v>
      </c>
      <c r="CC105" s="1125">
        <v>-0.08</v>
      </c>
      <c r="CD105" s="1745">
        <v>0</v>
      </c>
      <c r="CE105" s="1057">
        <f t="shared" si="54"/>
        <v>21467.85</v>
      </c>
      <c r="CF105" s="1746"/>
      <c r="CG105" s="1053"/>
      <c r="CH105" s="1053"/>
      <c r="CI105" s="1053"/>
      <c r="CJ105" s="1747"/>
      <c r="CK105" s="1057">
        <f t="shared" si="55"/>
        <v>0</v>
      </c>
      <c r="CL105" s="1746"/>
      <c r="CM105" s="1053"/>
      <c r="CN105" s="1053"/>
      <c r="CO105" s="1053"/>
      <c r="CP105" s="1053"/>
      <c r="CQ105" s="1054">
        <f t="shared" si="56"/>
        <v>0</v>
      </c>
      <c r="CR105" s="1746"/>
      <c r="CS105" s="1053"/>
      <c r="CT105" s="1053"/>
      <c r="CU105" s="1053"/>
      <c r="CV105" s="1747"/>
      <c r="CW105" s="1057">
        <f t="shared" si="57"/>
        <v>0</v>
      </c>
      <c r="CX105" s="1746"/>
      <c r="CY105" s="1053"/>
      <c r="CZ105" s="1053"/>
      <c r="DA105" s="1053"/>
      <c r="DB105" s="1053"/>
      <c r="DC105" s="1054">
        <f t="shared" si="58"/>
        <v>0</v>
      </c>
      <c r="DD105" s="1744"/>
      <c r="DE105" s="1125"/>
      <c r="DF105" s="1125"/>
      <c r="DG105" s="1125"/>
      <c r="DH105" s="1745"/>
      <c r="DI105" s="1057">
        <f t="shared" si="59"/>
        <v>0</v>
      </c>
      <c r="DJ105" s="1744"/>
      <c r="DK105" s="1125"/>
      <c r="DL105" s="1125"/>
      <c r="DM105" s="1125"/>
      <c r="DN105" s="1125"/>
      <c r="DO105" s="1124">
        <f t="shared" si="60"/>
        <v>0</v>
      </c>
      <c r="DP105" s="1125"/>
      <c r="DQ105" s="1125"/>
      <c r="DR105" s="1125"/>
      <c r="DS105" s="1125"/>
      <c r="DT105" s="1125"/>
      <c r="DU105" s="1125">
        <f t="shared" si="63"/>
        <v>0</v>
      </c>
      <c r="DV105" s="1744">
        <v>0</v>
      </c>
      <c r="DW105" s="1125">
        <v>0</v>
      </c>
      <c r="DX105" s="1125">
        <v>0</v>
      </c>
      <c r="DY105" s="1125">
        <v>0</v>
      </c>
      <c r="DZ105" s="1745">
        <v>0</v>
      </c>
      <c r="EA105" s="1058">
        <f t="shared" si="61"/>
        <v>0</v>
      </c>
      <c r="EB105" s="1744">
        <v>249.27</v>
      </c>
      <c r="EC105" s="1125">
        <v>0</v>
      </c>
      <c r="ED105" s="1125">
        <v>45.72</v>
      </c>
      <c r="EE105" s="1125">
        <v>0.01</v>
      </c>
      <c r="EF105" s="1745">
        <v>0</v>
      </c>
      <c r="EG105" s="1057">
        <f t="shared" si="62"/>
        <v>295</v>
      </c>
    </row>
    <row r="106" spans="1:137" ht="15" customHeight="1" x14ac:dyDescent="0.25">
      <c r="A106" s="719" t="s">
        <v>88</v>
      </c>
      <c r="B106" s="816" t="s">
        <v>89</v>
      </c>
      <c r="C106" s="917" t="s">
        <v>267</v>
      </c>
      <c r="D106" s="814">
        <f t="shared" si="35"/>
        <v>55146.57</v>
      </c>
      <c r="E106" s="814">
        <f t="shared" si="36"/>
        <v>29997.119999999999</v>
      </c>
      <c r="F106" s="814">
        <f t="shared" si="37"/>
        <v>26050.43</v>
      </c>
      <c r="G106" s="814">
        <f t="shared" si="38"/>
        <v>-0.19</v>
      </c>
      <c r="H106" s="814">
        <f t="shared" si="39"/>
        <v>0</v>
      </c>
      <c r="I106" s="1422">
        <f t="shared" si="40"/>
        <v>111193.93</v>
      </c>
      <c r="J106" s="815">
        <f t="shared" si="41"/>
        <v>-0.19</v>
      </c>
      <c r="K106" s="1423">
        <f t="shared" si="42"/>
        <v>26050.240000000002</v>
      </c>
      <c r="L106" s="1724"/>
      <c r="M106" s="1725"/>
      <c r="N106" s="1725"/>
      <c r="O106" s="1725"/>
      <c r="P106" s="1726"/>
      <c r="Q106" s="1044">
        <f t="shared" si="43"/>
        <v>0</v>
      </c>
      <c r="R106" s="1717"/>
      <c r="S106" s="1048"/>
      <c r="T106" s="1048"/>
      <c r="U106" s="1048"/>
      <c r="V106" s="1718"/>
      <c r="W106" s="1047">
        <f t="shared" si="44"/>
        <v>0</v>
      </c>
      <c r="X106" s="1719"/>
      <c r="Y106" s="1123"/>
      <c r="Z106" s="1123"/>
      <c r="AA106" s="1123"/>
      <c r="AB106" s="1123"/>
      <c r="AC106" s="1122">
        <f t="shared" si="45"/>
        <v>0</v>
      </c>
      <c r="AD106" s="1733">
        <v>4341.83</v>
      </c>
      <c r="AE106" s="1734">
        <v>25.84</v>
      </c>
      <c r="AF106" s="1734">
        <v>801.17</v>
      </c>
      <c r="AG106" s="1734">
        <v>0</v>
      </c>
      <c r="AH106" s="1735">
        <v>0</v>
      </c>
      <c r="AI106" s="1045">
        <f t="shared" si="46"/>
        <v>5168.84</v>
      </c>
      <c r="AJ106" s="1744">
        <v>8475.9699999999993</v>
      </c>
      <c r="AK106" s="1125">
        <v>0</v>
      </c>
      <c r="AL106" s="1125">
        <v>2118.9899999999998</v>
      </c>
      <c r="AM106" s="1125">
        <v>0</v>
      </c>
      <c r="AN106" s="1745">
        <v>0</v>
      </c>
      <c r="AO106" s="1057">
        <f t="shared" si="47"/>
        <v>10594.96</v>
      </c>
      <c r="AP106" s="1736"/>
      <c r="AQ106" s="1046"/>
      <c r="AR106" s="1046"/>
      <c r="AS106" s="1046"/>
      <c r="AT106" s="1046"/>
      <c r="AU106" s="1049">
        <f t="shared" si="48"/>
        <v>0</v>
      </c>
      <c r="AV106" s="1755">
        <v>988.49</v>
      </c>
      <c r="AW106" s="1756">
        <v>247.12</v>
      </c>
      <c r="AX106" s="1756">
        <v>0</v>
      </c>
      <c r="AY106" s="1756">
        <v>0</v>
      </c>
      <c r="AZ106" s="1757">
        <v>0</v>
      </c>
      <c r="BA106" s="1051">
        <f t="shared" si="49"/>
        <v>1235.6100000000001</v>
      </c>
      <c r="BB106" s="1764">
        <v>3036.07</v>
      </c>
      <c r="BC106" s="1765">
        <v>759.02</v>
      </c>
      <c r="BD106" s="1765">
        <v>0</v>
      </c>
      <c r="BE106" s="1765">
        <v>0</v>
      </c>
      <c r="BF106" s="1766">
        <v>0</v>
      </c>
      <c r="BG106" s="1047">
        <f t="shared" si="50"/>
        <v>3795.09</v>
      </c>
      <c r="BH106" s="1744">
        <v>256.61</v>
      </c>
      <c r="BI106" s="1125">
        <v>463.39</v>
      </c>
      <c r="BJ106" s="1125">
        <v>0</v>
      </c>
      <c r="BK106" s="1125">
        <v>0</v>
      </c>
      <c r="BL106" s="1745">
        <v>0</v>
      </c>
      <c r="BM106" s="1054">
        <f t="shared" si="51"/>
        <v>720</v>
      </c>
      <c r="BN106" s="1744">
        <v>15113.52</v>
      </c>
      <c r="BO106" s="1125">
        <v>1914.41</v>
      </c>
      <c r="BP106" s="1125">
        <v>3123.48</v>
      </c>
      <c r="BQ106" s="1125">
        <v>-0.09</v>
      </c>
      <c r="BR106" s="1745">
        <v>0</v>
      </c>
      <c r="BS106" s="1054">
        <f t="shared" si="52"/>
        <v>20151.32</v>
      </c>
      <c r="BT106" s="1744"/>
      <c r="BU106" s="1125"/>
      <c r="BV106" s="1125"/>
      <c r="BW106" s="1125"/>
      <c r="BX106" s="1745"/>
      <c r="BY106" s="1057">
        <f t="shared" si="53"/>
        <v>0</v>
      </c>
      <c r="BZ106" s="1744">
        <v>10993.24</v>
      </c>
      <c r="CA106" s="1125">
        <v>26587.34</v>
      </c>
      <c r="CB106" s="1125">
        <v>6893.24</v>
      </c>
      <c r="CC106" s="1125">
        <v>-0.13</v>
      </c>
      <c r="CD106" s="1745">
        <v>0</v>
      </c>
      <c r="CE106" s="1057">
        <f t="shared" si="54"/>
        <v>44473.69</v>
      </c>
      <c r="CF106" s="1744">
        <v>6812.7</v>
      </c>
      <c r="CG106" s="1125">
        <v>0</v>
      </c>
      <c r="CH106" s="1125">
        <v>11501.01</v>
      </c>
      <c r="CI106" s="1125">
        <v>0</v>
      </c>
      <c r="CJ106" s="1745">
        <v>0</v>
      </c>
      <c r="CK106" s="1057">
        <f t="shared" si="55"/>
        <v>18313.71</v>
      </c>
      <c r="CL106" s="1744">
        <v>235.85</v>
      </c>
      <c r="CM106" s="1125">
        <v>0</v>
      </c>
      <c r="CN106" s="1125">
        <v>715.15</v>
      </c>
      <c r="CO106" s="1125">
        <v>0</v>
      </c>
      <c r="CP106" s="1745">
        <v>0</v>
      </c>
      <c r="CQ106" s="1054">
        <f t="shared" si="56"/>
        <v>951</v>
      </c>
      <c r="CR106" s="1744"/>
      <c r="CS106" s="1125"/>
      <c r="CT106" s="1125"/>
      <c r="CU106" s="1125"/>
      <c r="CV106" s="1745"/>
      <c r="CW106" s="1057">
        <f t="shared" si="57"/>
        <v>0</v>
      </c>
      <c r="CX106" s="1744"/>
      <c r="CY106" s="1125"/>
      <c r="CZ106" s="1125"/>
      <c r="DA106" s="1125"/>
      <c r="DB106" s="1745"/>
      <c r="DC106" s="1054">
        <f t="shared" si="58"/>
        <v>0</v>
      </c>
      <c r="DD106" s="1744"/>
      <c r="DE106" s="1125"/>
      <c r="DF106" s="1125"/>
      <c r="DG106" s="1125"/>
      <c r="DH106" s="1745"/>
      <c r="DI106" s="1057">
        <f t="shared" si="59"/>
        <v>0</v>
      </c>
      <c r="DJ106" s="1744"/>
      <c r="DK106" s="1125"/>
      <c r="DL106" s="1125"/>
      <c r="DM106" s="1125"/>
      <c r="DN106" s="1125"/>
      <c r="DO106" s="1124">
        <f t="shared" si="60"/>
        <v>0</v>
      </c>
      <c r="DP106" s="1125"/>
      <c r="DQ106" s="1125"/>
      <c r="DR106" s="1125"/>
      <c r="DS106" s="1125"/>
      <c r="DT106" s="1125"/>
      <c r="DU106" s="1125">
        <f t="shared" si="63"/>
        <v>0</v>
      </c>
      <c r="DV106" s="1744">
        <v>0</v>
      </c>
      <c r="DW106" s="1125">
        <v>0</v>
      </c>
      <c r="DX106" s="1125">
        <v>0</v>
      </c>
      <c r="DY106" s="1125">
        <v>0</v>
      </c>
      <c r="DZ106" s="1745">
        <v>0</v>
      </c>
      <c r="EA106" s="1058">
        <f t="shared" si="61"/>
        <v>0</v>
      </c>
      <c r="EB106" s="1744">
        <v>4892.29</v>
      </c>
      <c r="EC106" s="1125">
        <v>0</v>
      </c>
      <c r="ED106" s="1125">
        <v>897.39</v>
      </c>
      <c r="EE106" s="1125">
        <v>0.03</v>
      </c>
      <c r="EF106" s="1745">
        <v>0</v>
      </c>
      <c r="EG106" s="1057">
        <f t="shared" si="62"/>
        <v>5789.71</v>
      </c>
    </row>
    <row r="107" spans="1:137" ht="15" customHeight="1" x14ac:dyDescent="0.25">
      <c r="A107" s="719" t="s">
        <v>90</v>
      </c>
      <c r="B107" s="816" t="s">
        <v>91</v>
      </c>
      <c r="C107" s="917" t="s">
        <v>268</v>
      </c>
      <c r="D107" s="814">
        <f t="shared" si="35"/>
        <v>28285.560000000005</v>
      </c>
      <c r="E107" s="814">
        <f t="shared" si="36"/>
        <v>12574.76</v>
      </c>
      <c r="F107" s="814">
        <f t="shared" si="37"/>
        <v>7946.58</v>
      </c>
      <c r="G107" s="814">
        <f t="shared" si="38"/>
        <v>-0.05</v>
      </c>
      <c r="H107" s="814">
        <f t="shared" si="39"/>
        <v>0</v>
      </c>
      <c r="I107" s="1422">
        <f t="shared" si="40"/>
        <v>48806.850000000006</v>
      </c>
      <c r="J107" s="815">
        <f t="shared" si="41"/>
        <v>-0.05</v>
      </c>
      <c r="K107" s="1423">
        <f t="shared" si="42"/>
        <v>7946.53</v>
      </c>
      <c r="L107" s="1723">
        <v>0</v>
      </c>
      <c r="M107" s="1043">
        <v>1044</v>
      </c>
      <c r="N107" s="1043">
        <v>0</v>
      </c>
      <c r="O107" s="1043">
        <v>0</v>
      </c>
      <c r="P107" s="1043">
        <v>0</v>
      </c>
      <c r="Q107" s="1044">
        <f t="shared" si="43"/>
        <v>1044</v>
      </c>
      <c r="R107" s="1717"/>
      <c r="S107" s="1048"/>
      <c r="T107" s="1048"/>
      <c r="U107" s="1048"/>
      <c r="V107" s="1718"/>
      <c r="W107" s="1047">
        <f t="shared" si="44"/>
        <v>0</v>
      </c>
      <c r="X107" s="1719"/>
      <c r="Y107" s="1123"/>
      <c r="Z107" s="1123"/>
      <c r="AA107" s="1123"/>
      <c r="AB107" s="1123"/>
      <c r="AC107" s="1122">
        <f t="shared" si="45"/>
        <v>0</v>
      </c>
      <c r="AD107" s="1733">
        <v>247.52</v>
      </c>
      <c r="AE107" s="1734">
        <v>1.48</v>
      </c>
      <c r="AF107" s="1734">
        <v>45.67</v>
      </c>
      <c r="AG107" s="1734">
        <v>-0.01</v>
      </c>
      <c r="AH107" s="1735">
        <v>0</v>
      </c>
      <c r="AI107" s="1045">
        <f t="shared" si="46"/>
        <v>294.66000000000003</v>
      </c>
      <c r="AJ107" s="1744">
        <v>7620.84</v>
      </c>
      <c r="AK107" s="1125">
        <v>0</v>
      </c>
      <c r="AL107" s="1125">
        <v>1905.2</v>
      </c>
      <c r="AM107" s="1125">
        <v>0</v>
      </c>
      <c r="AN107" s="1745">
        <v>0</v>
      </c>
      <c r="AO107" s="1057">
        <f t="shared" si="47"/>
        <v>9526.0400000000009</v>
      </c>
      <c r="AP107" s="1736"/>
      <c r="AQ107" s="1046"/>
      <c r="AR107" s="1046"/>
      <c r="AS107" s="1046"/>
      <c r="AT107" s="1046"/>
      <c r="AU107" s="1049">
        <f t="shared" si="48"/>
        <v>0</v>
      </c>
      <c r="AV107" s="1758"/>
      <c r="AW107" s="1050"/>
      <c r="AX107" s="1050"/>
      <c r="AY107" s="1050"/>
      <c r="AZ107" s="1050"/>
      <c r="BA107" s="1051">
        <f t="shared" si="49"/>
        <v>0</v>
      </c>
      <c r="BB107" s="1717">
        <v>0</v>
      </c>
      <c r="BC107" s="1048">
        <v>0</v>
      </c>
      <c r="BD107" s="1048">
        <v>0</v>
      </c>
      <c r="BE107" s="1048">
        <v>0</v>
      </c>
      <c r="BF107" s="1718">
        <v>0</v>
      </c>
      <c r="BG107" s="1047">
        <f t="shared" si="50"/>
        <v>0</v>
      </c>
      <c r="BH107" s="1746"/>
      <c r="BI107" s="1053"/>
      <c r="BJ107" s="1053"/>
      <c r="BK107" s="1053"/>
      <c r="BL107" s="1053"/>
      <c r="BM107" s="1054">
        <f t="shared" si="51"/>
        <v>0</v>
      </c>
      <c r="BN107" s="1744">
        <v>9302.51</v>
      </c>
      <c r="BO107" s="1125">
        <v>1178.32</v>
      </c>
      <c r="BP107" s="1125">
        <v>1922.51</v>
      </c>
      <c r="BQ107" s="1125">
        <v>0</v>
      </c>
      <c r="BR107" s="1745">
        <v>0</v>
      </c>
      <c r="BS107" s="1054">
        <f t="shared" si="52"/>
        <v>12403.34</v>
      </c>
      <c r="BT107" s="1744"/>
      <c r="BU107" s="1125"/>
      <c r="BV107" s="1125"/>
      <c r="BW107" s="1125"/>
      <c r="BX107" s="1745"/>
      <c r="BY107" s="1057">
        <f t="shared" si="53"/>
        <v>0</v>
      </c>
      <c r="BZ107" s="1744">
        <v>2260.4699999999998</v>
      </c>
      <c r="CA107" s="1125">
        <v>7314.95</v>
      </c>
      <c r="CB107" s="1125">
        <v>1756.42</v>
      </c>
      <c r="CC107" s="1125">
        <v>-7.0000000000000007E-2</v>
      </c>
      <c r="CD107" s="1745">
        <v>0</v>
      </c>
      <c r="CE107" s="1057">
        <f t="shared" si="54"/>
        <v>11331.77</v>
      </c>
      <c r="CF107" s="1746"/>
      <c r="CG107" s="1053"/>
      <c r="CH107" s="1053"/>
      <c r="CI107" s="1053"/>
      <c r="CJ107" s="1747"/>
      <c r="CK107" s="1057">
        <f t="shared" si="55"/>
        <v>0</v>
      </c>
      <c r="CL107" s="1746"/>
      <c r="CM107" s="1053"/>
      <c r="CN107" s="1053"/>
      <c r="CO107" s="1053"/>
      <c r="CP107" s="1053"/>
      <c r="CQ107" s="1054">
        <f t="shared" si="56"/>
        <v>0</v>
      </c>
      <c r="CR107" s="1744"/>
      <c r="CS107" s="1125"/>
      <c r="CT107" s="1125"/>
      <c r="CU107" s="1125"/>
      <c r="CV107" s="1745"/>
      <c r="CW107" s="1057">
        <f t="shared" si="57"/>
        <v>0</v>
      </c>
      <c r="CX107" s="1744"/>
      <c r="CY107" s="1125"/>
      <c r="CZ107" s="1125"/>
      <c r="DA107" s="1125"/>
      <c r="DB107" s="1745"/>
      <c r="DC107" s="1054">
        <f t="shared" si="58"/>
        <v>0</v>
      </c>
      <c r="DD107" s="1744">
        <v>-740</v>
      </c>
      <c r="DE107" s="1125">
        <v>0</v>
      </c>
      <c r="DF107" s="1125">
        <v>0</v>
      </c>
      <c r="DG107" s="1125">
        <v>0</v>
      </c>
      <c r="DH107" s="1745">
        <v>0</v>
      </c>
      <c r="DI107" s="1057">
        <f t="shared" si="59"/>
        <v>-740</v>
      </c>
      <c r="DJ107" s="1744"/>
      <c r="DK107" s="1125"/>
      <c r="DL107" s="1125"/>
      <c r="DM107" s="1125"/>
      <c r="DN107" s="1125"/>
      <c r="DO107" s="1124">
        <f t="shared" si="60"/>
        <v>0</v>
      </c>
      <c r="DP107" s="1125"/>
      <c r="DQ107" s="1125"/>
      <c r="DR107" s="1125"/>
      <c r="DS107" s="1125"/>
      <c r="DT107" s="1125"/>
      <c r="DU107" s="1125">
        <f t="shared" si="63"/>
        <v>0</v>
      </c>
      <c r="DV107" s="1744">
        <v>4400.01</v>
      </c>
      <c r="DW107" s="1125">
        <v>3036.01</v>
      </c>
      <c r="DX107" s="1125">
        <v>1364</v>
      </c>
      <c r="DY107" s="1125">
        <v>-0.02</v>
      </c>
      <c r="DZ107" s="1745">
        <v>0</v>
      </c>
      <c r="EA107" s="1058">
        <f t="shared" si="61"/>
        <v>8800</v>
      </c>
      <c r="EB107" s="1744">
        <v>5194.21</v>
      </c>
      <c r="EC107" s="1125">
        <v>0</v>
      </c>
      <c r="ED107" s="1125">
        <v>952.78</v>
      </c>
      <c r="EE107" s="1125">
        <v>0.05</v>
      </c>
      <c r="EF107" s="1745">
        <v>0</v>
      </c>
      <c r="EG107" s="1057">
        <f t="shared" si="62"/>
        <v>6147.04</v>
      </c>
    </row>
    <row r="108" spans="1:137" ht="15" customHeight="1" x14ac:dyDescent="0.25">
      <c r="A108" s="719" t="s">
        <v>106</v>
      </c>
      <c r="B108" s="816" t="s">
        <v>107</v>
      </c>
      <c r="C108" s="917" t="s">
        <v>264</v>
      </c>
      <c r="D108" s="814">
        <f t="shared" si="35"/>
        <v>367002.27999999991</v>
      </c>
      <c r="E108" s="814">
        <f t="shared" si="36"/>
        <v>255562.71</v>
      </c>
      <c r="F108" s="814">
        <f t="shared" si="37"/>
        <v>141550.93</v>
      </c>
      <c r="G108" s="814">
        <f t="shared" si="38"/>
        <v>-670.21</v>
      </c>
      <c r="H108" s="814">
        <f t="shared" si="39"/>
        <v>0</v>
      </c>
      <c r="I108" s="1422">
        <f t="shared" si="40"/>
        <v>763445.71</v>
      </c>
      <c r="J108" s="815">
        <f t="shared" si="41"/>
        <v>-670.21</v>
      </c>
      <c r="K108" s="1423">
        <f t="shared" si="42"/>
        <v>140880.72</v>
      </c>
      <c r="L108" s="1723"/>
      <c r="M108" s="1043"/>
      <c r="N108" s="1043"/>
      <c r="O108" s="1043"/>
      <c r="P108" s="1043"/>
      <c r="Q108" s="1044">
        <f t="shared" si="43"/>
        <v>0</v>
      </c>
      <c r="R108" s="1717"/>
      <c r="S108" s="1048"/>
      <c r="T108" s="1048"/>
      <c r="U108" s="1048"/>
      <c r="V108" s="1718"/>
      <c r="W108" s="1047">
        <f t="shared" si="44"/>
        <v>0</v>
      </c>
      <c r="X108" s="1719"/>
      <c r="Y108" s="1123"/>
      <c r="Z108" s="1123"/>
      <c r="AA108" s="1123"/>
      <c r="AB108" s="1123"/>
      <c r="AC108" s="1122">
        <f t="shared" si="45"/>
        <v>0</v>
      </c>
      <c r="AD108" s="1733">
        <v>21142.58</v>
      </c>
      <c r="AE108" s="1734">
        <v>125.85</v>
      </c>
      <c r="AF108" s="1734">
        <v>3901.31</v>
      </c>
      <c r="AG108" s="1734">
        <v>-0.01</v>
      </c>
      <c r="AH108" s="1735">
        <v>0</v>
      </c>
      <c r="AI108" s="1045">
        <f t="shared" si="46"/>
        <v>25169.730000000003</v>
      </c>
      <c r="AJ108" s="1744">
        <v>75467.240000000005</v>
      </c>
      <c r="AK108" s="1125">
        <v>0</v>
      </c>
      <c r="AL108" s="1125">
        <v>18866.82</v>
      </c>
      <c r="AM108" s="1125">
        <v>0</v>
      </c>
      <c r="AN108" s="1745">
        <v>0</v>
      </c>
      <c r="AO108" s="1057">
        <f t="shared" si="47"/>
        <v>94334.06</v>
      </c>
      <c r="AP108" s="1733">
        <v>6424.79</v>
      </c>
      <c r="AQ108" s="1734">
        <v>340.84</v>
      </c>
      <c r="AR108" s="1734">
        <v>1241.02</v>
      </c>
      <c r="AS108" s="1734">
        <v>-0.05</v>
      </c>
      <c r="AT108" s="1735">
        <v>0</v>
      </c>
      <c r="AU108" s="1049">
        <f t="shared" si="48"/>
        <v>8006.5999999999995</v>
      </c>
      <c r="AV108" s="1755">
        <v>2797.08</v>
      </c>
      <c r="AW108" s="1756">
        <v>699.27</v>
      </c>
      <c r="AX108" s="1756">
        <v>0</v>
      </c>
      <c r="AY108" s="1756">
        <v>0</v>
      </c>
      <c r="AZ108" s="1757">
        <v>0</v>
      </c>
      <c r="BA108" s="1051">
        <f t="shared" si="49"/>
        <v>3496.35</v>
      </c>
      <c r="BB108" s="1764">
        <v>6158.19</v>
      </c>
      <c r="BC108" s="1765">
        <v>1539.54</v>
      </c>
      <c r="BD108" s="1765">
        <v>0</v>
      </c>
      <c r="BE108" s="1765">
        <v>0</v>
      </c>
      <c r="BF108" s="1766">
        <v>0</v>
      </c>
      <c r="BG108" s="1047">
        <f t="shared" si="50"/>
        <v>7697.73</v>
      </c>
      <c r="BH108" s="1744">
        <v>1417.56</v>
      </c>
      <c r="BI108" s="1125">
        <v>2559.89</v>
      </c>
      <c r="BJ108" s="1125">
        <v>0</v>
      </c>
      <c r="BK108" s="1125">
        <v>0</v>
      </c>
      <c r="BL108" s="1745">
        <v>0</v>
      </c>
      <c r="BM108" s="1054">
        <f t="shared" si="51"/>
        <v>3977.45</v>
      </c>
      <c r="BN108" s="1744">
        <v>55874.82</v>
      </c>
      <c r="BO108" s="1125">
        <v>7077.48</v>
      </c>
      <c r="BP108" s="1125">
        <v>11547.43</v>
      </c>
      <c r="BQ108" s="1125">
        <v>0</v>
      </c>
      <c r="BR108" s="1745">
        <v>0</v>
      </c>
      <c r="BS108" s="1054">
        <f t="shared" si="52"/>
        <v>74499.73000000001</v>
      </c>
      <c r="BT108" s="1744">
        <v>-327.78</v>
      </c>
      <c r="BU108" s="1125">
        <v>-327.78</v>
      </c>
      <c r="BV108" s="1125">
        <v>0</v>
      </c>
      <c r="BW108" s="1125">
        <v>0.01</v>
      </c>
      <c r="BX108" s="1745">
        <v>0</v>
      </c>
      <c r="BY108" s="1057">
        <f t="shared" si="53"/>
        <v>-655.55</v>
      </c>
      <c r="BZ108" s="1744">
        <v>157165.88</v>
      </c>
      <c r="CA108" s="1125">
        <v>237264.07</v>
      </c>
      <c r="CB108" s="1125">
        <v>72347.63</v>
      </c>
      <c r="CC108" s="1125">
        <v>-0.14000000000000001</v>
      </c>
      <c r="CD108" s="1745">
        <v>0</v>
      </c>
      <c r="CE108" s="1057">
        <f t="shared" si="54"/>
        <v>466777.44</v>
      </c>
      <c r="CF108" s="1744">
        <v>16247.35</v>
      </c>
      <c r="CG108" s="1125">
        <v>0</v>
      </c>
      <c r="CH108" s="1125">
        <v>27428.27</v>
      </c>
      <c r="CI108" s="1125">
        <v>0</v>
      </c>
      <c r="CJ108" s="1745">
        <v>0</v>
      </c>
      <c r="CK108" s="1057">
        <f t="shared" si="55"/>
        <v>43675.62</v>
      </c>
      <c r="CL108" s="1744">
        <v>156.22999999999999</v>
      </c>
      <c r="CM108" s="1125">
        <v>0</v>
      </c>
      <c r="CN108" s="1125">
        <v>473.72</v>
      </c>
      <c r="CO108" s="1125">
        <v>0</v>
      </c>
      <c r="CP108" s="1745">
        <v>0</v>
      </c>
      <c r="CQ108" s="1054">
        <f t="shared" si="56"/>
        <v>629.95000000000005</v>
      </c>
      <c r="CR108" s="1744"/>
      <c r="CS108" s="1125"/>
      <c r="CT108" s="1125"/>
      <c r="CU108" s="1125"/>
      <c r="CV108" s="1745"/>
      <c r="CW108" s="1057">
        <f t="shared" si="57"/>
        <v>0</v>
      </c>
      <c r="CX108" s="1746"/>
      <c r="CY108" s="1053"/>
      <c r="CZ108" s="1053"/>
      <c r="DA108" s="1053"/>
      <c r="DB108" s="1053"/>
      <c r="DC108" s="1054">
        <f t="shared" si="58"/>
        <v>0</v>
      </c>
      <c r="DD108" s="1744">
        <v>-161</v>
      </c>
      <c r="DE108" s="1125">
        <v>0</v>
      </c>
      <c r="DF108" s="1125">
        <v>0</v>
      </c>
      <c r="DG108" s="1125">
        <v>0</v>
      </c>
      <c r="DH108" s="1745">
        <v>0</v>
      </c>
      <c r="DI108" s="1057">
        <f t="shared" si="59"/>
        <v>-161</v>
      </c>
      <c r="DJ108" s="1744">
        <v>-53</v>
      </c>
      <c r="DK108" s="1125">
        <v>0</v>
      </c>
      <c r="DL108" s="1125">
        <v>0</v>
      </c>
      <c r="DM108" s="1125">
        <v>0</v>
      </c>
      <c r="DN108" s="1125">
        <v>0</v>
      </c>
      <c r="DO108" s="1124">
        <f t="shared" si="60"/>
        <v>-53</v>
      </c>
      <c r="DP108" s="1125">
        <v>-171</v>
      </c>
      <c r="DQ108" s="1125">
        <v>-171</v>
      </c>
      <c r="DR108" s="1125">
        <v>0</v>
      </c>
      <c r="DS108" s="1125">
        <v>0</v>
      </c>
      <c r="DT108" s="1125">
        <v>0</v>
      </c>
      <c r="DU108" s="1125">
        <f t="shared" si="63"/>
        <v>-342</v>
      </c>
      <c r="DV108" s="1744">
        <v>9354.43</v>
      </c>
      <c r="DW108" s="1125">
        <v>6454.55</v>
      </c>
      <c r="DX108" s="1125">
        <v>2899.87</v>
      </c>
      <c r="DY108" s="1125">
        <v>0</v>
      </c>
      <c r="DZ108" s="1745">
        <v>0</v>
      </c>
      <c r="EA108" s="1058">
        <f t="shared" si="61"/>
        <v>18708.849999999999</v>
      </c>
      <c r="EB108" s="1744">
        <v>15508.91</v>
      </c>
      <c r="EC108" s="1125">
        <v>0</v>
      </c>
      <c r="ED108" s="1125">
        <v>2844.86</v>
      </c>
      <c r="EE108" s="1125">
        <v>-670.02</v>
      </c>
      <c r="EF108" s="1745">
        <v>0</v>
      </c>
      <c r="EG108" s="1057">
        <f t="shared" si="62"/>
        <v>17683.75</v>
      </c>
    </row>
    <row r="109" spans="1:137" ht="15" customHeight="1" x14ac:dyDescent="0.25">
      <c r="A109" s="719" t="s">
        <v>116</v>
      </c>
      <c r="B109" s="816" t="s">
        <v>117</v>
      </c>
      <c r="C109" s="917" t="s">
        <v>266</v>
      </c>
      <c r="D109" s="814">
        <f t="shared" si="35"/>
        <v>104980.47999999998</v>
      </c>
      <c r="E109" s="814">
        <f t="shared" si="36"/>
        <v>163836.88</v>
      </c>
      <c r="F109" s="814">
        <f t="shared" si="37"/>
        <v>49733.500000000007</v>
      </c>
      <c r="G109" s="814">
        <f t="shared" si="38"/>
        <v>-0.13</v>
      </c>
      <c r="H109" s="814">
        <f t="shared" si="39"/>
        <v>0</v>
      </c>
      <c r="I109" s="1422">
        <f t="shared" si="40"/>
        <v>318550.73</v>
      </c>
      <c r="J109" s="815">
        <f t="shared" si="41"/>
        <v>-0.13</v>
      </c>
      <c r="K109" s="1423">
        <f t="shared" si="42"/>
        <v>49733.37000000001</v>
      </c>
      <c r="L109" s="1723"/>
      <c r="M109" s="1043"/>
      <c r="N109" s="1043"/>
      <c r="O109" s="1043"/>
      <c r="P109" s="1043"/>
      <c r="Q109" s="1044">
        <f t="shared" si="43"/>
        <v>0</v>
      </c>
      <c r="R109" s="1717"/>
      <c r="S109" s="1048"/>
      <c r="T109" s="1048"/>
      <c r="U109" s="1048"/>
      <c r="V109" s="1718"/>
      <c r="W109" s="1047">
        <f t="shared" si="44"/>
        <v>0</v>
      </c>
      <c r="X109" s="1719"/>
      <c r="Y109" s="1123"/>
      <c r="Z109" s="1123"/>
      <c r="AA109" s="1123"/>
      <c r="AB109" s="1123"/>
      <c r="AC109" s="1122">
        <f t="shared" si="45"/>
        <v>0</v>
      </c>
      <c r="AD109" s="1733">
        <v>2557.8000000000002</v>
      </c>
      <c r="AE109" s="1734">
        <v>15.23</v>
      </c>
      <c r="AF109" s="1734">
        <v>471.98</v>
      </c>
      <c r="AG109" s="1734">
        <v>-0.01</v>
      </c>
      <c r="AH109" s="1735">
        <v>0</v>
      </c>
      <c r="AI109" s="1045">
        <f t="shared" si="46"/>
        <v>3045</v>
      </c>
      <c r="AJ109" s="1744">
        <v>23839.279999999999</v>
      </c>
      <c r="AK109" s="1125">
        <v>0</v>
      </c>
      <c r="AL109" s="1125">
        <v>5959.83</v>
      </c>
      <c r="AM109" s="1125">
        <v>0</v>
      </c>
      <c r="AN109" s="1745">
        <v>0</v>
      </c>
      <c r="AO109" s="1057">
        <f t="shared" si="47"/>
        <v>29799.11</v>
      </c>
      <c r="AP109" s="1736"/>
      <c r="AQ109" s="1046"/>
      <c r="AR109" s="1046"/>
      <c r="AS109" s="1046"/>
      <c r="AT109" s="1046"/>
      <c r="AU109" s="1049">
        <f t="shared" si="48"/>
        <v>0</v>
      </c>
      <c r="AV109" s="1758">
        <v>3485.6</v>
      </c>
      <c r="AW109" s="1050">
        <v>871.4</v>
      </c>
      <c r="AX109" s="1050">
        <v>0</v>
      </c>
      <c r="AY109" s="1050">
        <v>0</v>
      </c>
      <c r="AZ109" s="1050">
        <v>0</v>
      </c>
      <c r="BA109" s="1051">
        <f t="shared" si="49"/>
        <v>4357</v>
      </c>
      <c r="BB109" s="1764">
        <v>2508.42</v>
      </c>
      <c r="BC109" s="1765">
        <v>627.1</v>
      </c>
      <c r="BD109" s="1765">
        <v>0</v>
      </c>
      <c r="BE109" s="1765">
        <v>0</v>
      </c>
      <c r="BF109" s="1766">
        <v>0</v>
      </c>
      <c r="BG109" s="1047">
        <f t="shared" si="50"/>
        <v>3135.52</v>
      </c>
      <c r="BH109" s="1746">
        <v>45.39</v>
      </c>
      <c r="BI109" s="1053">
        <v>81.97</v>
      </c>
      <c r="BJ109" s="1053">
        <v>0</v>
      </c>
      <c r="BK109" s="1053">
        <v>0</v>
      </c>
      <c r="BL109" s="1053">
        <v>0</v>
      </c>
      <c r="BM109" s="1054">
        <f t="shared" si="51"/>
        <v>127.36</v>
      </c>
      <c r="BN109" s="1744">
        <v>9820.1299999999992</v>
      </c>
      <c r="BO109" s="1125">
        <v>1243.8900000000001</v>
      </c>
      <c r="BP109" s="1125">
        <v>2029.49</v>
      </c>
      <c r="BQ109" s="1125">
        <v>-0.02</v>
      </c>
      <c r="BR109" s="1745">
        <v>0</v>
      </c>
      <c r="BS109" s="1054">
        <f t="shared" si="52"/>
        <v>13093.489999999998</v>
      </c>
      <c r="BT109" s="1744"/>
      <c r="BU109" s="1125"/>
      <c r="BV109" s="1125"/>
      <c r="BW109" s="1125"/>
      <c r="BX109" s="1745"/>
      <c r="BY109" s="1057">
        <f t="shared" si="53"/>
        <v>0</v>
      </c>
      <c r="BZ109" s="1744">
        <v>57068.42</v>
      </c>
      <c r="CA109" s="1125">
        <v>158444.29</v>
      </c>
      <c r="CB109" s="1125">
        <v>39530.660000000003</v>
      </c>
      <c r="CC109" s="1125">
        <v>-0.09</v>
      </c>
      <c r="CD109" s="1745">
        <v>0</v>
      </c>
      <c r="CE109" s="1057">
        <f t="shared" si="54"/>
        <v>255043.28000000003</v>
      </c>
      <c r="CF109" s="1744">
        <v>133.26</v>
      </c>
      <c r="CG109" s="1125">
        <v>0</v>
      </c>
      <c r="CH109" s="1125">
        <v>224.96</v>
      </c>
      <c r="CI109" s="1125">
        <v>0</v>
      </c>
      <c r="CJ109" s="1745">
        <v>0</v>
      </c>
      <c r="CK109" s="1057">
        <f t="shared" si="55"/>
        <v>358.22</v>
      </c>
      <c r="CL109" s="1746">
        <v>12.4</v>
      </c>
      <c r="CM109" s="1053">
        <v>0</v>
      </c>
      <c r="CN109" s="1053">
        <v>37.6</v>
      </c>
      <c r="CO109" s="1053">
        <v>0</v>
      </c>
      <c r="CP109" s="1053">
        <v>0</v>
      </c>
      <c r="CQ109" s="1054">
        <f t="shared" si="56"/>
        <v>50</v>
      </c>
      <c r="CR109" s="1744"/>
      <c r="CS109" s="1125"/>
      <c r="CT109" s="1125"/>
      <c r="CU109" s="1125"/>
      <c r="CV109" s="1745"/>
      <c r="CW109" s="1057">
        <f t="shared" si="57"/>
        <v>0</v>
      </c>
      <c r="CX109" s="1746"/>
      <c r="CY109" s="1053"/>
      <c r="CZ109" s="1053"/>
      <c r="DA109" s="1053"/>
      <c r="DB109" s="1053"/>
      <c r="DC109" s="1054">
        <f t="shared" si="58"/>
        <v>0</v>
      </c>
      <c r="DD109" s="1744"/>
      <c r="DE109" s="1125"/>
      <c r="DF109" s="1125"/>
      <c r="DG109" s="1125"/>
      <c r="DH109" s="1745"/>
      <c r="DI109" s="1057">
        <f t="shared" si="59"/>
        <v>0</v>
      </c>
      <c r="DJ109" s="1744"/>
      <c r="DK109" s="1125"/>
      <c r="DL109" s="1125"/>
      <c r="DM109" s="1125"/>
      <c r="DN109" s="1125"/>
      <c r="DO109" s="1124">
        <f t="shared" si="60"/>
        <v>0</v>
      </c>
      <c r="DP109" s="1125"/>
      <c r="DQ109" s="1125"/>
      <c r="DR109" s="1125"/>
      <c r="DS109" s="1125"/>
      <c r="DT109" s="1125"/>
      <c r="DU109" s="1125">
        <f t="shared" si="63"/>
        <v>0</v>
      </c>
      <c r="DV109" s="1744">
        <v>3700.01</v>
      </c>
      <c r="DW109" s="1125">
        <v>2553</v>
      </c>
      <c r="DX109" s="1125">
        <v>1147</v>
      </c>
      <c r="DY109" s="1125">
        <v>0</v>
      </c>
      <c r="DZ109" s="1745">
        <v>0</v>
      </c>
      <c r="EA109" s="1058">
        <f t="shared" si="61"/>
        <v>7400.01</v>
      </c>
      <c r="EB109" s="1744">
        <v>1809.77</v>
      </c>
      <c r="EC109" s="1125">
        <v>0</v>
      </c>
      <c r="ED109" s="1125">
        <v>331.98</v>
      </c>
      <c r="EE109" s="1125">
        <v>-0.01</v>
      </c>
      <c r="EF109" s="1745">
        <v>0</v>
      </c>
      <c r="EG109" s="1057">
        <f t="shared" si="62"/>
        <v>2141.7399999999998</v>
      </c>
    </row>
    <row r="110" spans="1:137" ht="15" customHeight="1" x14ac:dyDescent="0.25">
      <c r="A110" s="719" t="s">
        <v>138</v>
      </c>
      <c r="B110" s="816" t="s">
        <v>139</v>
      </c>
      <c r="C110" s="917" t="s">
        <v>265</v>
      </c>
      <c r="D110" s="814">
        <f t="shared" si="35"/>
        <v>207256.29</v>
      </c>
      <c r="E110" s="814">
        <f t="shared" si="36"/>
        <v>99092.83</v>
      </c>
      <c r="F110" s="814">
        <f t="shared" si="37"/>
        <v>59111.92</v>
      </c>
      <c r="G110" s="814">
        <f t="shared" si="38"/>
        <v>-0.03</v>
      </c>
      <c r="H110" s="814">
        <f t="shared" si="39"/>
        <v>0</v>
      </c>
      <c r="I110" s="1422">
        <f t="shared" si="40"/>
        <v>365461.00999999995</v>
      </c>
      <c r="J110" s="815">
        <f t="shared" si="41"/>
        <v>-0.03</v>
      </c>
      <c r="K110" s="1423">
        <f t="shared" si="42"/>
        <v>59111.89</v>
      </c>
      <c r="L110" s="1723"/>
      <c r="M110" s="1043"/>
      <c r="N110" s="1043"/>
      <c r="O110" s="1043"/>
      <c r="P110" s="1043"/>
      <c r="Q110" s="1044">
        <f t="shared" si="43"/>
        <v>0</v>
      </c>
      <c r="R110" s="1717"/>
      <c r="S110" s="1048"/>
      <c r="T110" s="1048"/>
      <c r="U110" s="1048"/>
      <c r="V110" s="1718"/>
      <c r="W110" s="1047">
        <f t="shared" si="44"/>
        <v>0</v>
      </c>
      <c r="X110" s="1719"/>
      <c r="Y110" s="1123"/>
      <c r="Z110" s="1123"/>
      <c r="AA110" s="1123"/>
      <c r="AB110" s="1123"/>
      <c r="AC110" s="1122">
        <f t="shared" si="45"/>
        <v>0</v>
      </c>
      <c r="AD110" s="1733">
        <v>5780.2</v>
      </c>
      <c r="AE110" s="1734">
        <v>34.4</v>
      </c>
      <c r="AF110" s="1734">
        <v>1066.5999999999999</v>
      </c>
      <c r="AG110" s="1734">
        <v>0</v>
      </c>
      <c r="AH110" s="1735">
        <v>0</v>
      </c>
      <c r="AI110" s="1045">
        <f t="shared" si="46"/>
        <v>6881.1999999999989</v>
      </c>
      <c r="AJ110" s="1744">
        <v>68861.11</v>
      </c>
      <c r="AK110" s="1125">
        <v>0</v>
      </c>
      <c r="AL110" s="1125">
        <v>17215.27</v>
      </c>
      <c r="AM110" s="1125">
        <v>0</v>
      </c>
      <c r="AN110" s="1745">
        <v>0</v>
      </c>
      <c r="AO110" s="1057">
        <f t="shared" si="47"/>
        <v>86076.38</v>
      </c>
      <c r="AP110" s="1736"/>
      <c r="AQ110" s="1046"/>
      <c r="AR110" s="1046"/>
      <c r="AS110" s="1046"/>
      <c r="AT110" s="1046"/>
      <c r="AU110" s="1049">
        <f t="shared" si="48"/>
        <v>0</v>
      </c>
      <c r="AV110" s="1755">
        <v>9146.86</v>
      </c>
      <c r="AW110" s="1756">
        <v>2286.73</v>
      </c>
      <c r="AX110" s="1756">
        <v>0</v>
      </c>
      <c r="AY110" s="1756">
        <v>0</v>
      </c>
      <c r="AZ110" s="1757">
        <v>0</v>
      </c>
      <c r="BA110" s="1051">
        <f t="shared" si="49"/>
        <v>11433.59</v>
      </c>
      <c r="BB110" s="1764">
        <v>16520.86</v>
      </c>
      <c r="BC110" s="1765">
        <v>4130.22</v>
      </c>
      <c r="BD110" s="1765">
        <v>0</v>
      </c>
      <c r="BE110" s="1765">
        <v>0</v>
      </c>
      <c r="BF110" s="1766">
        <v>0</v>
      </c>
      <c r="BG110" s="1047">
        <f t="shared" si="50"/>
        <v>20651.080000000002</v>
      </c>
      <c r="BH110" s="1744">
        <v>4203.7299999999996</v>
      </c>
      <c r="BI110" s="1125">
        <v>7591.27</v>
      </c>
      <c r="BJ110" s="1125">
        <v>0</v>
      </c>
      <c r="BK110" s="1125">
        <v>0</v>
      </c>
      <c r="BL110" s="1745">
        <v>0</v>
      </c>
      <c r="BM110" s="1054">
        <f t="shared" si="51"/>
        <v>11795</v>
      </c>
      <c r="BN110" s="1744">
        <v>54168.42</v>
      </c>
      <c r="BO110" s="1125">
        <v>6861.34</v>
      </c>
      <c r="BP110" s="1125">
        <v>11194.81</v>
      </c>
      <c r="BQ110" s="1125">
        <v>-0.02</v>
      </c>
      <c r="BR110" s="1745">
        <v>0</v>
      </c>
      <c r="BS110" s="1054">
        <f t="shared" si="52"/>
        <v>72224.549999999988</v>
      </c>
      <c r="BT110" s="1744"/>
      <c r="BU110" s="1125"/>
      <c r="BV110" s="1125"/>
      <c r="BW110" s="1125"/>
      <c r="BX110" s="1745"/>
      <c r="BY110" s="1057">
        <f t="shared" si="53"/>
        <v>0</v>
      </c>
      <c r="BZ110" s="1744">
        <v>20669.89</v>
      </c>
      <c r="CA110" s="1125">
        <v>70283.13</v>
      </c>
      <c r="CB110" s="1125">
        <v>16683.25</v>
      </c>
      <c r="CC110" s="1125">
        <v>-0.06</v>
      </c>
      <c r="CD110" s="1745">
        <v>0</v>
      </c>
      <c r="CE110" s="1057">
        <f t="shared" si="54"/>
        <v>107636.21</v>
      </c>
      <c r="CF110" s="1744">
        <v>4142.42</v>
      </c>
      <c r="CG110" s="1125">
        <v>0</v>
      </c>
      <c r="CH110" s="1125">
        <v>6993.14</v>
      </c>
      <c r="CI110" s="1125">
        <v>0</v>
      </c>
      <c r="CJ110" s="1745">
        <v>0</v>
      </c>
      <c r="CK110" s="1057">
        <f t="shared" si="55"/>
        <v>11135.560000000001</v>
      </c>
      <c r="CL110" s="1746"/>
      <c r="CM110" s="1053"/>
      <c r="CN110" s="1053"/>
      <c r="CO110" s="1053"/>
      <c r="CP110" s="1053"/>
      <c r="CQ110" s="1054">
        <f t="shared" si="56"/>
        <v>0</v>
      </c>
      <c r="CR110" s="1744"/>
      <c r="CS110" s="1125"/>
      <c r="CT110" s="1125"/>
      <c r="CU110" s="1125"/>
      <c r="CV110" s="1745"/>
      <c r="CW110" s="1057">
        <f t="shared" si="57"/>
        <v>0</v>
      </c>
      <c r="CX110" s="1744"/>
      <c r="CY110" s="1125"/>
      <c r="CZ110" s="1125"/>
      <c r="DA110" s="1125"/>
      <c r="DB110" s="1745"/>
      <c r="DC110" s="1054">
        <f t="shared" si="58"/>
        <v>0</v>
      </c>
      <c r="DD110" s="1744"/>
      <c r="DE110" s="1125"/>
      <c r="DF110" s="1125"/>
      <c r="DG110" s="1125"/>
      <c r="DH110" s="1745"/>
      <c r="DI110" s="1057">
        <f t="shared" si="59"/>
        <v>0</v>
      </c>
      <c r="DJ110" s="1744">
        <v>-250.5</v>
      </c>
      <c r="DK110" s="1125">
        <v>-225.5</v>
      </c>
      <c r="DL110" s="1125">
        <v>0</v>
      </c>
      <c r="DM110" s="1125">
        <v>0</v>
      </c>
      <c r="DN110" s="1125">
        <v>0</v>
      </c>
      <c r="DO110" s="1124">
        <f t="shared" si="60"/>
        <v>-476</v>
      </c>
      <c r="DP110" s="1125">
        <v>-170.5</v>
      </c>
      <c r="DQ110" s="1125">
        <v>-170.5</v>
      </c>
      <c r="DR110" s="1125">
        <v>0</v>
      </c>
      <c r="DS110" s="1125">
        <v>0</v>
      </c>
      <c r="DT110" s="1125">
        <v>0</v>
      </c>
      <c r="DU110" s="1125">
        <f t="shared" si="63"/>
        <v>-341</v>
      </c>
      <c r="DV110" s="1746">
        <v>12031.5</v>
      </c>
      <c r="DW110" s="1053">
        <v>8301.74</v>
      </c>
      <c r="DX110" s="1053">
        <v>3729.77</v>
      </c>
      <c r="DY110" s="1053">
        <v>-0.01</v>
      </c>
      <c r="DZ110" s="1053">
        <v>0</v>
      </c>
      <c r="EA110" s="1058">
        <f t="shared" si="61"/>
        <v>24063</v>
      </c>
      <c r="EB110" s="1744">
        <v>12152.3</v>
      </c>
      <c r="EC110" s="1125">
        <v>0</v>
      </c>
      <c r="ED110" s="1125">
        <v>2229.08</v>
      </c>
      <c r="EE110" s="1125">
        <v>0.06</v>
      </c>
      <c r="EF110" s="1745">
        <v>0</v>
      </c>
      <c r="EG110" s="1057">
        <f t="shared" si="62"/>
        <v>14381.439999999999</v>
      </c>
    </row>
    <row r="111" spans="1:137" ht="15" customHeight="1" x14ac:dyDescent="0.25">
      <c r="A111" s="719" t="s">
        <v>142</v>
      </c>
      <c r="B111" s="816" t="s">
        <v>143</v>
      </c>
      <c r="C111" s="917" t="s">
        <v>267</v>
      </c>
      <c r="D111" s="814">
        <f t="shared" si="35"/>
        <v>37442.089999999997</v>
      </c>
      <c r="E111" s="814">
        <f t="shared" si="36"/>
        <v>38869.879999999997</v>
      </c>
      <c r="F111" s="814">
        <f t="shared" si="37"/>
        <v>16791.16</v>
      </c>
      <c r="G111" s="814">
        <f t="shared" si="38"/>
        <v>3101.4900000000002</v>
      </c>
      <c r="H111" s="814">
        <f t="shared" si="39"/>
        <v>0</v>
      </c>
      <c r="I111" s="1422">
        <f t="shared" si="40"/>
        <v>96204.62000000001</v>
      </c>
      <c r="J111" s="815">
        <f t="shared" si="41"/>
        <v>3101.4900000000002</v>
      </c>
      <c r="K111" s="1423">
        <f t="shared" si="42"/>
        <v>19892.650000000001</v>
      </c>
      <c r="L111" s="1723"/>
      <c r="M111" s="1043"/>
      <c r="N111" s="1043"/>
      <c r="O111" s="1043"/>
      <c r="P111" s="1043"/>
      <c r="Q111" s="1044">
        <f t="shared" si="43"/>
        <v>0</v>
      </c>
      <c r="R111" s="1717"/>
      <c r="S111" s="1048"/>
      <c r="T111" s="1048"/>
      <c r="U111" s="1048"/>
      <c r="V111" s="1718"/>
      <c r="W111" s="1047">
        <f t="shared" si="44"/>
        <v>0</v>
      </c>
      <c r="X111" s="1719"/>
      <c r="Y111" s="1123"/>
      <c r="Z111" s="1123"/>
      <c r="AA111" s="1123"/>
      <c r="AB111" s="1123"/>
      <c r="AC111" s="1122">
        <f t="shared" si="45"/>
        <v>0</v>
      </c>
      <c r="AD111" s="1733">
        <v>2289.5100000000002</v>
      </c>
      <c r="AE111" s="1734">
        <v>13.63</v>
      </c>
      <c r="AF111" s="1734">
        <v>422.47</v>
      </c>
      <c r="AG111" s="1734">
        <v>0</v>
      </c>
      <c r="AH111" s="1735">
        <v>0</v>
      </c>
      <c r="AI111" s="1045">
        <f t="shared" si="46"/>
        <v>2725.6100000000006</v>
      </c>
      <c r="AJ111" s="1744">
        <v>1181.69</v>
      </c>
      <c r="AK111" s="1125">
        <v>0</v>
      </c>
      <c r="AL111" s="1125">
        <v>295.43</v>
      </c>
      <c r="AM111" s="1125">
        <v>0</v>
      </c>
      <c r="AN111" s="1745">
        <v>0</v>
      </c>
      <c r="AO111" s="1057">
        <f t="shared" si="47"/>
        <v>1477.1200000000001</v>
      </c>
      <c r="AP111" s="1736"/>
      <c r="AQ111" s="1046"/>
      <c r="AR111" s="1046"/>
      <c r="AS111" s="1046"/>
      <c r="AT111" s="1046"/>
      <c r="AU111" s="1049">
        <f t="shared" si="48"/>
        <v>0</v>
      </c>
      <c r="AV111" s="1758"/>
      <c r="AW111" s="1050"/>
      <c r="AX111" s="1050"/>
      <c r="AY111" s="1050"/>
      <c r="AZ111" s="1050"/>
      <c r="BA111" s="1051">
        <f t="shared" si="49"/>
        <v>0</v>
      </c>
      <c r="BB111" s="1764">
        <v>0</v>
      </c>
      <c r="BC111" s="1765">
        <v>0</v>
      </c>
      <c r="BD111" s="1765">
        <v>0</v>
      </c>
      <c r="BE111" s="1765">
        <v>0</v>
      </c>
      <c r="BF111" s="1766">
        <v>0</v>
      </c>
      <c r="BG111" s="1047">
        <f t="shared" si="50"/>
        <v>0</v>
      </c>
      <c r="BH111" s="1746">
        <v>445.5</v>
      </c>
      <c r="BI111" s="1053">
        <v>804.5</v>
      </c>
      <c r="BJ111" s="1053">
        <v>0</v>
      </c>
      <c r="BK111" s="1053">
        <v>0</v>
      </c>
      <c r="BL111" s="1053">
        <v>0</v>
      </c>
      <c r="BM111" s="1054">
        <f t="shared" si="51"/>
        <v>1250</v>
      </c>
      <c r="BN111" s="1744">
        <v>11571.75</v>
      </c>
      <c r="BO111" s="1125">
        <v>1465.75</v>
      </c>
      <c r="BP111" s="1125">
        <v>2391.5</v>
      </c>
      <c r="BQ111" s="1125">
        <v>0</v>
      </c>
      <c r="BR111" s="1745">
        <v>0</v>
      </c>
      <c r="BS111" s="1054">
        <f t="shared" si="52"/>
        <v>15429</v>
      </c>
      <c r="BT111" s="1744"/>
      <c r="BU111" s="1125"/>
      <c r="BV111" s="1125"/>
      <c r="BW111" s="1125"/>
      <c r="BX111" s="1745"/>
      <c r="BY111" s="1057">
        <f t="shared" si="53"/>
        <v>0</v>
      </c>
      <c r="BZ111" s="1744">
        <v>10519.33</v>
      </c>
      <c r="CA111" s="1125">
        <v>33170.5</v>
      </c>
      <c r="CB111" s="1125">
        <v>8013.89</v>
      </c>
      <c r="CC111" s="1125">
        <v>-0.09</v>
      </c>
      <c r="CD111" s="1745">
        <v>0</v>
      </c>
      <c r="CE111" s="1057">
        <f t="shared" si="54"/>
        <v>51703.630000000005</v>
      </c>
      <c r="CF111" s="1744">
        <v>1956.43</v>
      </c>
      <c r="CG111" s="1125">
        <v>0</v>
      </c>
      <c r="CH111" s="1125">
        <v>3302.81</v>
      </c>
      <c r="CI111" s="1125">
        <v>3101.53</v>
      </c>
      <c r="CJ111" s="1745">
        <v>0</v>
      </c>
      <c r="CK111" s="1057">
        <f t="shared" si="55"/>
        <v>8360.77</v>
      </c>
      <c r="CL111" s="1746"/>
      <c r="CM111" s="1053"/>
      <c r="CN111" s="1053"/>
      <c r="CO111" s="1053"/>
      <c r="CP111" s="1053"/>
      <c r="CQ111" s="1054">
        <f t="shared" si="56"/>
        <v>0</v>
      </c>
      <c r="CR111" s="1744"/>
      <c r="CS111" s="1125"/>
      <c r="CT111" s="1125"/>
      <c r="CU111" s="1125"/>
      <c r="CV111" s="1745"/>
      <c r="CW111" s="1057">
        <f t="shared" si="57"/>
        <v>0</v>
      </c>
      <c r="CX111" s="1744"/>
      <c r="CY111" s="1125"/>
      <c r="CZ111" s="1125"/>
      <c r="DA111" s="1125"/>
      <c r="DB111" s="1745"/>
      <c r="DC111" s="1054">
        <f t="shared" si="58"/>
        <v>0</v>
      </c>
      <c r="DD111" s="1744"/>
      <c r="DE111" s="1125"/>
      <c r="DF111" s="1125"/>
      <c r="DG111" s="1125"/>
      <c r="DH111" s="1745"/>
      <c r="DI111" s="1057">
        <f t="shared" si="59"/>
        <v>0</v>
      </c>
      <c r="DJ111" s="1744"/>
      <c r="DK111" s="1125"/>
      <c r="DL111" s="1125"/>
      <c r="DM111" s="1125"/>
      <c r="DN111" s="1125"/>
      <c r="DO111" s="1124">
        <f t="shared" si="60"/>
        <v>0</v>
      </c>
      <c r="DP111" s="1125"/>
      <c r="DQ111" s="1125"/>
      <c r="DR111" s="1125"/>
      <c r="DS111" s="1125"/>
      <c r="DT111" s="1125"/>
      <c r="DU111" s="1125">
        <f t="shared" si="63"/>
        <v>0</v>
      </c>
      <c r="DV111" s="1744">
        <v>4950</v>
      </c>
      <c r="DW111" s="1125">
        <v>3415.5</v>
      </c>
      <c r="DX111" s="1125">
        <v>1534.5</v>
      </c>
      <c r="DY111" s="1125">
        <v>0</v>
      </c>
      <c r="DZ111" s="1745">
        <v>0</v>
      </c>
      <c r="EA111" s="1058">
        <f t="shared" si="61"/>
        <v>9900</v>
      </c>
      <c r="EB111" s="1744">
        <v>4527.88</v>
      </c>
      <c r="EC111" s="1125">
        <v>0</v>
      </c>
      <c r="ED111" s="1125">
        <v>830.56</v>
      </c>
      <c r="EE111" s="1125">
        <v>0.05</v>
      </c>
      <c r="EF111" s="1745">
        <v>0</v>
      </c>
      <c r="EG111" s="1057">
        <f t="shared" si="62"/>
        <v>5358.4900000000007</v>
      </c>
    </row>
    <row r="112" spans="1:137" ht="15" customHeight="1" x14ac:dyDescent="0.25">
      <c r="A112" s="719" t="s">
        <v>144</v>
      </c>
      <c r="B112" s="816" t="s">
        <v>145</v>
      </c>
      <c r="C112" s="917" t="s">
        <v>267</v>
      </c>
      <c r="D112" s="814">
        <f t="shared" si="35"/>
        <v>28721.879999999997</v>
      </c>
      <c r="E112" s="814">
        <f t="shared" si="36"/>
        <v>7738.8899999999994</v>
      </c>
      <c r="F112" s="814">
        <f t="shared" si="37"/>
        <v>6881.3599999999988</v>
      </c>
      <c r="G112" s="814">
        <f t="shared" si="38"/>
        <v>0</v>
      </c>
      <c r="H112" s="814">
        <f t="shared" si="39"/>
        <v>0</v>
      </c>
      <c r="I112" s="1422">
        <f t="shared" si="40"/>
        <v>43342.13</v>
      </c>
      <c r="J112" s="815">
        <f t="shared" si="41"/>
        <v>0</v>
      </c>
      <c r="K112" s="1423">
        <f t="shared" si="42"/>
        <v>6881.3599999999988</v>
      </c>
      <c r="L112" s="1723"/>
      <c r="M112" s="1043"/>
      <c r="N112" s="1043"/>
      <c r="O112" s="1043"/>
      <c r="P112" s="1043"/>
      <c r="Q112" s="1044">
        <f t="shared" si="43"/>
        <v>0</v>
      </c>
      <c r="R112" s="1717"/>
      <c r="S112" s="1048"/>
      <c r="T112" s="1048"/>
      <c r="U112" s="1048"/>
      <c r="V112" s="1718"/>
      <c r="W112" s="1047">
        <f t="shared" si="44"/>
        <v>0</v>
      </c>
      <c r="X112" s="1719"/>
      <c r="Y112" s="1123"/>
      <c r="Z112" s="1123"/>
      <c r="AA112" s="1123"/>
      <c r="AB112" s="1123"/>
      <c r="AC112" s="1122">
        <f t="shared" si="45"/>
        <v>0</v>
      </c>
      <c r="AD112" s="1733">
        <v>447.37</v>
      </c>
      <c r="AE112" s="1734">
        <v>2.67</v>
      </c>
      <c r="AF112" s="1734">
        <v>82.55</v>
      </c>
      <c r="AG112" s="1734">
        <v>0</v>
      </c>
      <c r="AH112" s="1735">
        <v>0</v>
      </c>
      <c r="AI112" s="1045">
        <f t="shared" si="46"/>
        <v>532.59</v>
      </c>
      <c r="AJ112" s="1744">
        <v>2121.6</v>
      </c>
      <c r="AK112" s="1125">
        <v>0</v>
      </c>
      <c r="AL112" s="1125">
        <v>530.4</v>
      </c>
      <c r="AM112" s="1125">
        <v>0</v>
      </c>
      <c r="AN112" s="1745">
        <v>0</v>
      </c>
      <c r="AO112" s="1057">
        <f t="shared" si="47"/>
        <v>2652</v>
      </c>
      <c r="AP112" s="1736"/>
      <c r="AQ112" s="1046"/>
      <c r="AR112" s="1046"/>
      <c r="AS112" s="1046"/>
      <c r="AT112" s="1046"/>
      <c r="AU112" s="1049">
        <f t="shared" si="48"/>
        <v>0</v>
      </c>
      <c r="AV112" s="1758"/>
      <c r="AW112" s="1050"/>
      <c r="AX112" s="1050"/>
      <c r="AY112" s="1050"/>
      <c r="AZ112" s="1050"/>
      <c r="BA112" s="1051">
        <f t="shared" si="49"/>
        <v>0</v>
      </c>
      <c r="BB112" s="1764">
        <v>0</v>
      </c>
      <c r="BC112" s="1765">
        <v>0</v>
      </c>
      <c r="BD112" s="1765">
        <v>0</v>
      </c>
      <c r="BE112" s="1765">
        <v>0</v>
      </c>
      <c r="BF112" s="1766">
        <v>0</v>
      </c>
      <c r="BG112" s="1047">
        <f t="shared" si="50"/>
        <v>0</v>
      </c>
      <c r="BH112" s="1746"/>
      <c r="BI112" s="1053"/>
      <c r="BJ112" s="1053"/>
      <c r="BK112" s="1053"/>
      <c r="BL112" s="1053"/>
      <c r="BM112" s="1054">
        <f t="shared" si="51"/>
        <v>0</v>
      </c>
      <c r="BN112" s="1744">
        <v>12778.13</v>
      </c>
      <c r="BO112" s="1125">
        <v>1618.57</v>
      </c>
      <c r="BP112" s="1125">
        <v>2640.82</v>
      </c>
      <c r="BQ112" s="1125">
        <v>-0.01</v>
      </c>
      <c r="BR112" s="1745">
        <v>0</v>
      </c>
      <c r="BS112" s="1054">
        <f t="shared" si="52"/>
        <v>17037.510000000002</v>
      </c>
      <c r="BT112" s="1744"/>
      <c r="BU112" s="1125"/>
      <c r="BV112" s="1125"/>
      <c r="BW112" s="1125"/>
      <c r="BX112" s="1745"/>
      <c r="BY112" s="1057">
        <f t="shared" si="53"/>
        <v>0</v>
      </c>
      <c r="BZ112" s="1744">
        <v>1840.94</v>
      </c>
      <c r="CA112" s="1125">
        <v>6259.65</v>
      </c>
      <c r="CB112" s="1125">
        <v>1485.87</v>
      </c>
      <c r="CC112" s="1125">
        <v>-0.02</v>
      </c>
      <c r="CD112" s="1745">
        <v>0</v>
      </c>
      <c r="CE112" s="1057">
        <f t="shared" si="54"/>
        <v>9586.4399999999987</v>
      </c>
      <c r="CF112" s="1746"/>
      <c r="CG112" s="1053"/>
      <c r="CH112" s="1053"/>
      <c r="CI112" s="1053"/>
      <c r="CJ112" s="1747"/>
      <c r="CK112" s="1057">
        <f t="shared" si="55"/>
        <v>0</v>
      </c>
      <c r="CL112" s="1746"/>
      <c r="CM112" s="1053"/>
      <c r="CN112" s="1053"/>
      <c r="CO112" s="1053"/>
      <c r="CP112" s="1053"/>
      <c r="CQ112" s="1054">
        <f t="shared" si="56"/>
        <v>0</v>
      </c>
      <c r="CR112" s="1744"/>
      <c r="CS112" s="1125"/>
      <c r="CT112" s="1125"/>
      <c r="CU112" s="1125"/>
      <c r="CV112" s="1745"/>
      <c r="CW112" s="1057">
        <f t="shared" si="57"/>
        <v>0</v>
      </c>
      <c r="CX112" s="1744">
        <v>-142</v>
      </c>
      <c r="CY112" s="1125">
        <v>-142</v>
      </c>
      <c r="CZ112" s="1125">
        <v>0</v>
      </c>
      <c r="DA112" s="1125">
        <v>0</v>
      </c>
      <c r="DB112" s="1745">
        <v>0</v>
      </c>
      <c r="DC112" s="1054">
        <f t="shared" si="58"/>
        <v>-284</v>
      </c>
      <c r="DD112" s="1744"/>
      <c r="DE112" s="1125"/>
      <c r="DF112" s="1125"/>
      <c r="DG112" s="1125"/>
      <c r="DH112" s="1745"/>
      <c r="DI112" s="1057">
        <f t="shared" si="59"/>
        <v>0</v>
      </c>
      <c r="DJ112" s="1744"/>
      <c r="DK112" s="1125"/>
      <c r="DL112" s="1125"/>
      <c r="DM112" s="1125"/>
      <c r="DN112" s="1125"/>
      <c r="DO112" s="1124">
        <f t="shared" si="60"/>
        <v>0</v>
      </c>
      <c r="DP112" s="1125"/>
      <c r="DQ112" s="1125"/>
      <c r="DR112" s="1125"/>
      <c r="DS112" s="1125"/>
      <c r="DT112" s="1125"/>
      <c r="DU112" s="1125">
        <f t="shared" si="63"/>
        <v>0</v>
      </c>
      <c r="DV112" s="1744">
        <v>0</v>
      </c>
      <c r="DW112" s="1125">
        <v>0</v>
      </c>
      <c r="DX112" s="1125">
        <v>0</v>
      </c>
      <c r="DY112" s="1125">
        <v>0</v>
      </c>
      <c r="DZ112" s="1745">
        <v>0</v>
      </c>
      <c r="EA112" s="1058">
        <f t="shared" si="61"/>
        <v>0</v>
      </c>
      <c r="EB112" s="1744">
        <v>11675.84</v>
      </c>
      <c r="EC112" s="1125">
        <v>0</v>
      </c>
      <c r="ED112" s="1125">
        <v>2141.7199999999998</v>
      </c>
      <c r="EE112" s="1125">
        <v>0.03</v>
      </c>
      <c r="EF112" s="1745">
        <v>0</v>
      </c>
      <c r="EG112" s="1057">
        <f t="shared" si="62"/>
        <v>13817.59</v>
      </c>
    </row>
    <row r="113" spans="1:137" ht="15" customHeight="1" x14ac:dyDescent="0.25">
      <c r="A113" s="719" t="s">
        <v>158</v>
      </c>
      <c r="B113" s="816" t="s">
        <v>159</v>
      </c>
      <c r="C113" s="917" t="s">
        <v>264</v>
      </c>
      <c r="D113" s="814">
        <f t="shared" si="35"/>
        <v>449304.58999999997</v>
      </c>
      <c r="E113" s="814">
        <f t="shared" si="36"/>
        <v>355582.17999999993</v>
      </c>
      <c r="F113" s="814">
        <f t="shared" si="37"/>
        <v>164788.97</v>
      </c>
      <c r="G113" s="814">
        <f t="shared" si="38"/>
        <v>-0.17999999999999997</v>
      </c>
      <c r="H113" s="814">
        <f t="shared" si="39"/>
        <v>29009.480000000003</v>
      </c>
      <c r="I113" s="1422">
        <f t="shared" si="40"/>
        <v>998685.0399999998</v>
      </c>
      <c r="J113" s="815">
        <f t="shared" si="41"/>
        <v>29009.300000000003</v>
      </c>
      <c r="K113" s="1423">
        <f t="shared" si="42"/>
        <v>193798.27000000002</v>
      </c>
      <c r="L113" s="1723"/>
      <c r="M113" s="1043"/>
      <c r="N113" s="1043"/>
      <c r="O113" s="1043"/>
      <c r="P113" s="1043"/>
      <c r="Q113" s="1044">
        <f t="shared" si="43"/>
        <v>0</v>
      </c>
      <c r="R113" s="1717"/>
      <c r="S113" s="1048"/>
      <c r="T113" s="1048"/>
      <c r="U113" s="1048"/>
      <c r="V113" s="1718"/>
      <c r="W113" s="1047">
        <f t="shared" si="44"/>
        <v>0</v>
      </c>
      <c r="X113" s="1719"/>
      <c r="Y113" s="1123"/>
      <c r="Z113" s="1123"/>
      <c r="AA113" s="1123"/>
      <c r="AB113" s="1123"/>
      <c r="AC113" s="1122">
        <f t="shared" si="45"/>
        <v>0</v>
      </c>
      <c r="AD113" s="1733">
        <v>29144.01</v>
      </c>
      <c r="AE113" s="1734">
        <v>173.47</v>
      </c>
      <c r="AF113" s="1734">
        <v>5377.77</v>
      </c>
      <c r="AG113" s="1734">
        <v>0</v>
      </c>
      <c r="AH113" s="1735">
        <v>0</v>
      </c>
      <c r="AI113" s="1045">
        <f t="shared" si="46"/>
        <v>34695.25</v>
      </c>
      <c r="AJ113" s="1744">
        <v>135878.6</v>
      </c>
      <c r="AK113" s="1125">
        <v>0</v>
      </c>
      <c r="AL113" s="1125">
        <v>33969.64</v>
      </c>
      <c r="AM113" s="1125">
        <v>0</v>
      </c>
      <c r="AN113" s="1745">
        <v>14096.45</v>
      </c>
      <c r="AO113" s="1057">
        <f t="shared" si="47"/>
        <v>183944.69</v>
      </c>
      <c r="AP113" s="1733">
        <v>2146.4699999999998</v>
      </c>
      <c r="AQ113" s="1734">
        <v>1064.2</v>
      </c>
      <c r="AR113" s="1734">
        <v>588.96</v>
      </c>
      <c r="AS113" s="1734">
        <v>-0.04</v>
      </c>
      <c r="AT113" s="1735">
        <v>0</v>
      </c>
      <c r="AU113" s="1049">
        <f t="shared" si="48"/>
        <v>3799.59</v>
      </c>
      <c r="AV113" s="1755">
        <v>8232.9500000000007</v>
      </c>
      <c r="AW113" s="1756">
        <v>2058.2399999999998</v>
      </c>
      <c r="AX113" s="1756">
        <v>0</v>
      </c>
      <c r="AY113" s="1756">
        <v>0</v>
      </c>
      <c r="AZ113" s="1757">
        <v>0</v>
      </c>
      <c r="BA113" s="1051">
        <f t="shared" si="49"/>
        <v>10291.19</v>
      </c>
      <c r="BB113" s="1764">
        <v>18722.09</v>
      </c>
      <c r="BC113" s="1765">
        <v>4680.5200000000004</v>
      </c>
      <c r="BD113" s="1765">
        <v>0</v>
      </c>
      <c r="BE113" s="1765">
        <v>0</v>
      </c>
      <c r="BF113" s="1766">
        <v>0</v>
      </c>
      <c r="BG113" s="1047">
        <f t="shared" si="50"/>
        <v>23402.61</v>
      </c>
      <c r="BH113" s="1744">
        <v>861.56</v>
      </c>
      <c r="BI113" s="1125">
        <v>1555.84</v>
      </c>
      <c r="BJ113" s="1125">
        <v>0</v>
      </c>
      <c r="BK113" s="1125">
        <v>0</v>
      </c>
      <c r="BL113" s="1745">
        <v>0</v>
      </c>
      <c r="BM113" s="1054">
        <f t="shared" si="51"/>
        <v>2417.3999999999996</v>
      </c>
      <c r="BN113" s="1744">
        <v>15364.63</v>
      </c>
      <c r="BO113" s="1125">
        <v>1946.17</v>
      </c>
      <c r="BP113" s="1125">
        <v>3175.36</v>
      </c>
      <c r="BQ113" s="1125">
        <v>-0.02</v>
      </c>
      <c r="BR113" s="1745">
        <v>0</v>
      </c>
      <c r="BS113" s="1054">
        <f t="shared" si="52"/>
        <v>20486.14</v>
      </c>
      <c r="BT113" s="1744">
        <v>-4026.57</v>
      </c>
      <c r="BU113" s="1125">
        <v>-4026.57</v>
      </c>
      <c r="BV113" s="1125">
        <v>0</v>
      </c>
      <c r="BW113" s="1125">
        <v>0.01</v>
      </c>
      <c r="BX113" s="1745">
        <v>0</v>
      </c>
      <c r="BY113" s="1057">
        <f t="shared" si="53"/>
        <v>-8053.13</v>
      </c>
      <c r="BZ113" s="1744">
        <v>199364.41</v>
      </c>
      <c r="CA113" s="1125">
        <v>337486.35</v>
      </c>
      <c r="CB113" s="1125">
        <v>98471.27</v>
      </c>
      <c r="CC113" s="1125">
        <v>-0.15</v>
      </c>
      <c r="CD113" s="1745">
        <v>14913.03</v>
      </c>
      <c r="CE113" s="1057">
        <f t="shared" si="54"/>
        <v>650234.91</v>
      </c>
      <c r="CF113" s="1744">
        <v>6652</v>
      </c>
      <c r="CG113" s="1125">
        <v>0</v>
      </c>
      <c r="CH113" s="1125">
        <v>11229.7</v>
      </c>
      <c r="CI113" s="1125">
        <v>0</v>
      </c>
      <c r="CJ113" s="1745">
        <v>0</v>
      </c>
      <c r="CK113" s="1057">
        <f t="shared" si="55"/>
        <v>17881.7</v>
      </c>
      <c r="CL113" s="1746"/>
      <c r="CM113" s="1053"/>
      <c r="CN113" s="1053"/>
      <c r="CO113" s="1053"/>
      <c r="CP113" s="1053"/>
      <c r="CQ113" s="1054">
        <f t="shared" si="56"/>
        <v>0</v>
      </c>
      <c r="CR113" s="1744">
        <v>-439</v>
      </c>
      <c r="CS113" s="1125"/>
      <c r="CT113" s="1125"/>
      <c r="CU113" s="1125"/>
      <c r="CV113" s="1745"/>
      <c r="CW113" s="1057">
        <f t="shared" si="57"/>
        <v>-439</v>
      </c>
      <c r="CX113" s="1744">
        <v>-3737.59</v>
      </c>
      <c r="CY113" s="1125">
        <v>-3737.59</v>
      </c>
      <c r="CZ113" s="1125">
        <v>0</v>
      </c>
      <c r="DA113" s="1125">
        <v>0.03</v>
      </c>
      <c r="DB113" s="1745">
        <v>0</v>
      </c>
      <c r="DC113" s="1054">
        <f t="shared" si="58"/>
        <v>-7475.1500000000005</v>
      </c>
      <c r="DD113" s="1744"/>
      <c r="DE113" s="1125"/>
      <c r="DF113" s="1125"/>
      <c r="DG113" s="1125"/>
      <c r="DH113" s="1745"/>
      <c r="DI113" s="1057">
        <f t="shared" si="59"/>
        <v>0</v>
      </c>
      <c r="DJ113" s="1744">
        <v>-3726.5</v>
      </c>
      <c r="DK113" s="1125">
        <v>-244.5</v>
      </c>
      <c r="DL113" s="1125">
        <v>0</v>
      </c>
      <c r="DM113" s="1125">
        <v>0</v>
      </c>
      <c r="DN113" s="1125">
        <v>0</v>
      </c>
      <c r="DO113" s="1124">
        <f t="shared" si="60"/>
        <v>-3971</v>
      </c>
      <c r="DP113" s="1125">
        <v>-2898.21</v>
      </c>
      <c r="DQ113" s="1125">
        <v>-2898.21</v>
      </c>
      <c r="DR113" s="1125">
        <v>0</v>
      </c>
      <c r="DS113" s="1125">
        <v>0.01</v>
      </c>
      <c r="DT113" s="1125">
        <v>0</v>
      </c>
      <c r="DU113" s="1125">
        <f t="shared" si="63"/>
        <v>-5796.41</v>
      </c>
      <c r="DV113" s="1744">
        <v>25397.49</v>
      </c>
      <c r="DW113" s="1125">
        <v>17524.259999999998</v>
      </c>
      <c r="DX113" s="1125">
        <v>7873.22</v>
      </c>
      <c r="DY113" s="1125">
        <v>-0.02</v>
      </c>
      <c r="DZ113" s="1745">
        <v>0</v>
      </c>
      <c r="EA113" s="1058">
        <f t="shared" si="61"/>
        <v>50794.950000000004</v>
      </c>
      <c r="EB113" s="1744">
        <v>22368.25</v>
      </c>
      <c r="EC113" s="1125">
        <v>0</v>
      </c>
      <c r="ED113" s="1125">
        <v>4103.05</v>
      </c>
      <c r="EE113" s="1125">
        <v>0</v>
      </c>
      <c r="EF113" s="1745">
        <v>0</v>
      </c>
      <c r="EG113" s="1057">
        <f t="shared" si="62"/>
        <v>26471.3</v>
      </c>
    </row>
    <row r="114" spans="1:137" ht="15" customHeight="1" x14ac:dyDescent="0.25">
      <c r="A114" s="719" t="s">
        <v>160</v>
      </c>
      <c r="B114" s="816" t="s">
        <v>161</v>
      </c>
      <c r="C114" s="917" t="s">
        <v>264</v>
      </c>
      <c r="D114" s="814">
        <f t="shared" si="35"/>
        <v>432114.24000000005</v>
      </c>
      <c r="E114" s="814">
        <f t="shared" si="36"/>
        <v>296305.97000000003</v>
      </c>
      <c r="F114" s="814">
        <f t="shared" si="37"/>
        <v>137196.53</v>
      </c>
      <c r="G114" s="814">
        <f t="shared" si="38"/>
        <v>-0.33999999999999997</v>
      </c>
      <c r="H114" s="814">
        <f t="shared" si="39"/>
        <v>0</v>
      </c>
      <c r="I114" s="1422">
        <f t="shared" si="40"/>
        <v>865616.40000000014</v>
      </c>
      <c r="J114" s="815">
        <f t="shared" si="41"/>
        <v>-0.33999999999999997</v>
      </c>
      <c r="K114" s="1423">
        <f t="shared" si="42"/>
        <v>137196.19</v>
      </c>
      <c r="L114" s="1723"/>
      <c r="M114" s="1043"/>
      <c r="N114" s="1043"/>
      <c r="O114" s="1043"/>
      <c r="P114" s="1043"/>
      <c r="Q114" s="1044">
        <f t="shared" si="43"/>
        <v>0</v>
      </c>
      <c r="R114" s="1717"/>
      <c r="S114" s="1048"/>
      <c r="T114" s="1048"/>
      <c r="U114" s="1048"/>
      <c r="V114" s="1718"/>
      <c r="W114" s="1047">
        <f t="shared" si="44"/>
        <v>0</v>
      </c>
      <c r="X114" s="1719"/>
      <c r="Y114" s="1123"/>
      <c r="Z114" s="1123"/>
      <c r="AA114" s="1123"/>
      <c r="AB114" s="1123"/>
      <c r="AC114" s="1122">
        <f t="shared" si="45"/>
        <v>0</v>
      </c>
      <c r="AD114" s="1733">
        <v>39499.129999999997</v>
      </c>
      <c r="AE114" s="1734">
        <v>235.11</v>
      </c>
      <c r="AF114" s="1734">
        <v>7288.53</v>
      </c>
      <c r="AG114" s="1734">
        <v>-0.01</v>
      </c>
      <c r="AH114" s="1735">
        <v>0</v>
      </c>
      <c r="AI114" s="1045">
        <f t="shared" si="46"/>
        <v>47022.759999999995</v>
      </c>
      <c r="AJ114" s="1744">
        <v>49200.800000000003</v>
      </c>
      <c r="AK114" s="1125">
        <v>0</v>
      </c>
      <c r="AL114" s="1125">
        <v>12300.2</v>
      </c>
      <c r="AM114" s="1125">
        <v>0</v>
      </c>
      <c r="AN114" s="1745">
        <v>0</v>
      </c>
      <c r="AO114" s="1057">
        <f t="shared" si="47"/>
        <v>61501</v>
      </c>
      <c r="AP114" s="1733">
        <v>63726.53</v>
      </c>
      <c r="AQ114" s="1734">
        <v>10419.67</v>
      </c>
      <c r="AR114" s="1734">
        <v>13600.79</v>
      </c>
      <c r="AS114" s="1734">
        <v>-0.04</v>
      </c>
      <c r="AT114" s="1735">
        <v>0</v>
      </c>
      <c r="AU114" s="1049">
        <f t="shared" si="48"/>
        <v>87746.95</v>
      </c>
      <c r="AV114" s="1755">
        <v>4655.1400000000003</v>
      </c>
      <c r="AW114" s="1756">
        <v>1163.78</v>
      </c>
      <c r="AX114" s="1756">
        <v>0</v>
      </c>
      <c r="AY114" s="1756">
        <v>0</v>
      </c>
      <c r="AZ114" s="1757">
        <v>0</v>
      </c>
      <c r="BA114" s="1051">
        <f t="shared" si="49"/>
        <v>5818.92</v>
      </c>
      <c r="BB114" s="1764">
        <v>17185.32</v>
      </c>
      <c r="BC114" s="1765">
        <v>4296.3100000000004</v>
      </c>
      <c r="BD114" s="1765">
        <v>0</v>
      </c>
      <c r="BE114" s="1765">
        <v>0</v>
      </c>
      <c r="BF114" s="1766">
        <v>0</v>
      </c>
      <c r="BG114" s="1047">
        <f t="shared" si="50"/>
        <v>21481.63</v>
      </c>
      <c r="BH114" s="1744">
        <v>1574.94</v>
      </c>
      <c r="BI114" s="1125">
        <v>2844.1</v>
      </c>
      <c r="BJ114" s="1125">
        <v>0</v>
      </c>
      <c r="BK114" s="1125">
        <v>0</v>
      </c>
      <c r="BL114" s="1745">
        <v>0</v>
      </c>
      <c r="BM114" s="1054">
        <f t="shared" si="51"/>
        <v>4419.04</v>
      </c>
      <c r="BN114" s="1744">
        <v>106394.15</v>
      </c>
      <c r="BO114" s="1125">
        <v>13476.61</v>
      </c>
      <c r="BP114" s="1125">
        <v>21988.12</v>
      </c>
      <c r="BQ114" s="1125">
        <v>-0.04</v>
      </c>
      <c r="BR114" s="1745">
        <v>0</v>
      </c>
      <c r="BS114" s="1054">
        <f t="shared" si="52"/>
        <v>141858.84</v>
      </c>
      <c r="BT114" s="1744">
        <v>-353.1</v>
      </c>
      <c r="BU114" s="1125">
        <v>-353.1</v>
      </c>
      <c r="BV114" s="1125">
        <v>0</v>
      </c>
      <c r="BW114" s="1125">
        <v>0</v>
      </c>
      <c r="BX114" s="1745">
        <v>0</v>
      </c>
      <c r="BY114" s="1057">
        <f t="shared" si="53"/>
        <v>-706.2</v>
      </c>
      <c r="BZ114" s="1744">
        <v>74773.179999999993</v>
      </c>
      <c r="CA114" s="1125">
        <v>251179.78</v>
      </c>
      <c r="CB114" s="1125">
        <v>59788.62</v>
      </c>
      <c r="CC114" s="1125">
        <v>-0.24</v>
      </c>
      <c r="CD114" s="1745">
        <v>0</v>
      </c>
      <c r="CE114" s="1057">
        <f t="shared" si="54"/>
        <v>385741.33999999997</v>
      </c>
      <c r="CF114" s="1744">
        <v>3952.83</v>
      </c>
      <c r="CG114" s="1125">
        <v>0</v>
      </c>
      <c r="CH114" s="1125">
        <v>6673.05</v>
      </c>
      <c r="CI114" s="1125">
        <v>0</v>
      </c>
      <c r="CJ114" s="1745">
        <v>0</v>
      </c>
      <c r="CK114" s="1057">
        <f t="shared" si="55"/>
        <v>10625.880000000001</v>
      </c>
      <c r="CL114" s="1746"/>
      <c r="CM114" s="1053"/>
      <c r="CN114" s="1053"/>
      <c r="CO114" s="1053"/>
      <c r="CP114" s="1053"/>
      <c r="CQ114" s="1054">
        <f t="shared" si="56"/>
        <v>0</v>
      </c>
      <c r="CR114" s="1744"/>
      <c r="CS114" s="1125"/>
      <c r="CT114" s="1125"/>
      <c r="CU114" s="1125"/>
      <c r="CV114" s="1745"/>
      <c r="CW114" s="1057">
        <f t="shared" si="57"/>
        <v>0</v>
      </c>
      <c r="CX114" s="1746"/>
      <c r="CY114" s="1053"/>
      <c r="CZ114" s="1053"/>
      <c r="DA114" s="1053"/>
      <c r="DB114" s="1053"/>
      <c r="DC114" s="1054">
        <f t="shared" si="58"/>
        <v>0</v>
      </c>
      <c r="DD114" s="1744"/>
      <c r="DE114" s="1125"/>
      <c r="DF114" s="1125"/>
      <c r="DG114" s="1125"/>
      <c r="DH114" s="1745"/>
      <c r="DI114" s="1057">
        <f t="shared" si="59"/>
        <v>0</v>
      </c>
      <c r="DJ114" s="1744">
        <v>-138</v>
      </c>
      <c r="DK114" s="1125">
        <v>0</v>
      </c>
      <c r="DL114" s="1125">
        <v>0</v>
      </c>
      <c r="DM114" s="1125">
        <v>0</v>
      </c>
      <c r="DN114" s="1125">
        <v>0</v>
      </c>
      <c r="DO114" s="1124">
        <f t="shared" si="60"/>
        <v>-138</v>
      </c>
      <c r="DP114" s="1125">
        <v>-62.5</v>
      </c>
      <c r="DQ114" s="1125">
        <v>-62.5</v>
      </c>
      <c r="DR114" s="1125">
        <v>0</v>
      </c>
      <c r="DS114" s="1125">
        <v>0</v>
      </c>
      <c r="DT114" s="1125">
        <v>0</v>
      </c>
      <c r="DU114" s="1125">
        <f t="shared" si="63"/>
        <v>-125</v>
      </c>
      <c r="DV114" s="1744">
        <v>18994.509999999998</v>
      </c>
      <c r="DW114" s="1125">
        <v>13106.21</v>
      </c>
      <c r="DX114" s="1125">
        <v>5888.29</v>
      </c>
      <c r="DY114" s="1125">
        <v>-0.01</v>
      </c>
      <c r="DZ114" s="1745">
        <v>0</v>
      </c>
      <c r="EA114" s="1058">
        <f t="shared" si="61"/>
        <v>37988.999999999993</v>
      </c>
      <c r="EB114" s="1744">
        <v>52711.31</v>
      </c>
      <c r="EC114" s="1125">
        <v>0</v>
      </c>
      <c r="ED114" s="1125">
        <v>9668.93</v>
      </c>
      <c r="EE114" s="1125">
        <v>0</v>
      </c>
      <c r="EF114" s="1745">
        <v>0</v>
      </c>
      <c r="EG114" s="1057">
        <f t="shared" si="62"/>
        <v>62380.24</v>
      </c>
    </row>
    <row r="115" spans="1:137" ht="15" customHeight="1" x14ac:dyDescent="0.25">
      <c r="A115" s="719" t="s">
        <v>166</v>
      </c>
      <c r="B115" s="816" t="s">
        <v>167</v>
      </c>
      <c r="C115" s="917" t="s">
        <v>268</v>
      </c>
      <c r="D115" s="814">
        <f t="shared" si="35"/>
        <v>21501.02</v>
      </c>
      <c r="E115" s="814">
        <f t="shared" si="36"/>
        <v>10594.369999999999</v>
      </c>
      <c r="F115" s="814">
        <f t="shared" si="37"/>
        <v>6207.8700000000008</v>
      </c>
      <c r="G115" s="814">
        <f t="shared" si="38"/>
        <v>-0.1</v>
      </c>
      <c r="H115" s="814">
        <f t="shared" si="39"/>
        <v>0</v>
      </c>
      <c r="I115" s="1422">
        <f t="shared" si="40"/>
        <v>38303.160000000003</v>
      </c>
      <c r="J115" s="815">
        <f t="shared" si="41"/>
        <v>-0.1</v>
      </c>
      <c r="K115" s="1423">
        <f t="shared" si="42"/>
        <v>6207.77</v>
      </c>
      <c r="L115" s="1723"/>
      <c r="M115" s="1043"/>
      <c r="N115" s="1043"/>
      <c r="O115" s="1043"/>
      <c r="P115" s="1043"/>
      <c r="Q115" s="1044">
        <f t="shared" si="43"/>
        <v>0</v>
      </c>
      <c r="R115" s="1717"/>
      <c r="S115" s="1048"/>
      <c r="T115" s="1048"/>
      <c r="U115" s="1048"/>
      <c r="V115" s="1718"/>
      <c r="W115" s="1047">
        <f t="shared" si="44"/>
        <v>0</v>
      </c>
      <c r="X115" s="1719"/>
      <c r="Y115" s="1123"/>
      <c r="Z115" s="1123"/>
      <c r="AA115" s="1123"/>
      <c r="AB115" s="1123"/>
      <c r="AC115" s="1122">
        <f t="shared" si="45"/>
        <v>0</v>
      </c>
      <c r="AD115" s="1733">
        <v>579.47</v>
      </c>
      <c r="AE115" s="1734">
        <v>3.45</v>
      </c>
      <c r="AF115" s="1734">
        <v>106.93</v>
      </c>
      <c r="AG115" s="1734">
        <v>-0.01</v>
      </c>
      <c r="AH115" s="1735">
        <v>0</v>
      </c>
      <c r="AI115" s="1045">
        <f t="shared" si="46"/>
        <v>689.84000000000015</v>
      </c>
      <c r="AJ115" s="1744">
        <v>4816</v>
      </c>
      <c r="AK115" s="1125">
        <v>0</v>
      </c>
      <c r="AL115" s="1125">
        <v>1204</v>
      </c>
      <c r="AM115" s="1125">
        <v>0</v>
      </c>
      <c r="AN115" s="1745">
        <v>0</v>
      </c>
      <c r="AO115" s="1057">
        <f t="shared" si="47"/>
        <v>6020</v>
      </c>
      <c r="AP115" s="1736"/>
      <c r="AQ115" s="1046"/>
      <c r="AR115" s="1046"/>
      <c r="AS115" s="1046"/>
      <c r="AT115" s="1046"/>
      <c r="AU115" s="1049">
        <f t="shared" si="48"/>
        <v>0</v>
      </c>
      <c r="AV115" s="1758"/>
      <c r="AW115" s="1050"/>
      <c r="AX115" s="1050"/>
      <c r="AY115" s="1050"/>
      <c r="AZ115" s="1050"/>
      <c r="BA115" s="1051">
        <f t="shared" si="49"/>
        <v>0</v>
      </c>
      <c r="BB115" s="1717">
        <v>0</v>
      </c>
      <c r="BC115" s="1048">
        <v>0</v>
      </c>
      <c r="BD115" s="1048">
        <v>0</v>
      </c>
      <c r="BE115" s="1048"/>
      <c r="BF115" s="1718">
        <v>0</v>
      </c>
      <c r="BG115" s="1047">
        <f t="shared" si="50"/>
        <v>0</v>
      </c>
      <c r="BH115" s="1746"/>
      <c r="BI115" s="1053"/>
      <c r="BJ115" s="1053"/>
      <c r="BK115" s="1053"/>
      <c r="BL115" s="1053"/>
      <c r="BM115" s="1054">
        <f t="shared" si="51"/>
        <v>0</v>
      </c>
      <c r="BN115" s="1744">
        <v>13083</v>
      </c>
      <c r="BO115" s="1125">
        <v>1657.19</v>
      </c>
      <c r="BP115" s="1125">
        <v>2703.83</v>
      </c>
      <c r="BQ115" s="1125">
        <v>-0.02</v>
      </c>
      <c r="BR115" s="1745">
        <v>0</v>
      </c>
      <c r="BS115" s="1054">
        <f t="shared" si="52"/>
        <v>17444</v>
      </c>
      <c r="BT115" s="1744"/>
      <c r="BU115" s="1125"/>
      <c r="BV115" s="1125"/>
      <c r="BW115" s="1125"/>
      <c r="BX115" s="1745"/>
      <c r="BY115" s="1057">
        <f t="shared" si="53"/>
        <v>0</v>
      </c>
      <c r="BZ115" s="1744">
        <v>3022.55</v>
      </c>
      <c r="CA115" s="1125">
        <v>8933.73</v>
      </c>
      <c r="CB115" s="1125">
        <v>2193.11</v>
      </c>
      <c r="CC115" s="1125">
        <v>-7.0000000000000007E-2</v>
      </c>
      <c r="CD115" s="1745">
        <v>0</v>
      </c>
      <c r="CE115" s="1057">
        <f t="shared" si="54"/>
        <v>14149.32</v>
      </c>
      <c r="CF115" s="1746"/>
      <c r="CG115" s="1053"/>
      <c r="CH115" s="1053"/>
      <c r="CI115" s="1053"/>
      <c r="CJ115" s="1747"/>
      <c r="CK115" s="1057">
        <f t="shared" si="55"/>
        <v>0</v>
      </c>
      <c r="CL115" s="1746"/>
      <c r="CM115" s="1053"/>
      <c r="CN115" s="1053"/>
      <c r="CO115" s="1053"/>
      <c r="CP115" s="1053"/>
      <c r="CQ115" s="1054">
        <f t="shared" si="56"/>
        <v>0</v>
      </c>
      <c r="CR115" s="1746"/>
      <c r="CS115" s="1053"/>
      <c r="CT115" s="1053"/>
      <c r="CU115" s="1053"/>
      <c r="CV115" s="1747"/>
      <c r="CW115" s="1057">
        <f t="shared" si="57"/>
        <v>0</v>
      </c>
      <c r="CX115" s="1744"/>
      <c r="CY115" s="1125"/>
      <c r="CZ115" s="1125"/>
      <c r="DA115" s="1125"/>
      <c r="DB115" s="1745"/>
      <c r="DC115" s="1054">
        <f t="shared" si="58"/>
        <v>0</v>
      </c>
      <c r="DD115" s="1744"/>
      <c r="DE115" s="1125"/>
      <c r="DF115" s="1125"/>
      <c r="DG115" s="1125"/>
      <c r="DH115" s="1745"/>
      <c r="DI115" s="1057">
        <f t="shared" si="59"/>
        <v>0</v>
      </c>
      <c r="DJ115" s="1744"/>
      <c r="DK115" s="1125"/>
      <c r="DL115" s="1125"/>
      <c r="DM115" s="1125"/>
      <c r="DN115" s="1125"/>
      <c r="DO115" s="1124">
        <f t="shared" si="60"/>
        <v>0</v>
      </c>
      <c r="DP115" s="1125"/>
      <c r="DQ115" s="1125"/>
      <c r="DR115" s="1125"/>
      <c r="DS115" s="1125"/>
      <c r="DT115" s="1125"/>
      <c r="DU115" s="1125">
        <f t="shared" si="63"/>
        <v>0</v>
      </c>
      <c r="DV115" s="1744">
        <v>0</v>
      </c>
      <c r="DW115" s="1125">
        <v>0</v>
      </c>
      <c r="DX115" s="1125">
        <v>0</v>
      </c>
      <c r="DY115" s="1125">
        <v>0</v>
      </c>
      <c r="DZ115" s="1745">
        <v>0</v>
      </c>
      <c r="EA115" s="1058">
        <f t="shared" si="61"/>
        <v>0</v>
      </c>
      <c r="EB115" s="1744">
        <v>0</v>
      </c>
      <c r="EC115" s="1125">
        <v>0</v>
      </c>
      <c r="ED115" s="1125">
        <v>0</v>
      </c>
      <c r="EE115" s="1125">
        <v>0</v>
      </c>
      <c r="EF115" s="1745">
        <v>0</v>
      </c>
      <c r="EG115" s="1057">
        <f t="shared" si="62"/>
        <v>0</v>
      </c>
    </row>
    <row r="116" spans="1:137" ht="15" customHeight="1" x14ac:dyDescent="0.25">
      <c r="A116" s="719" t="s">
        <v>176</v>
      </c>
      <c r="B116" s="816" t="s">
        <v>177</v>
      </c>
      <c r="C116" s="917" t="s">
        <v>266</v>
      </c>
      <c r="D116" s="814">
        <f t="shared" si="35"/>
        <v>113040.98999999999</v>
      </c>
      <c r="E116" s="814">
        <f t="shared" si="36"/>
        <v>176700.38</v>
      </c>
      <c r="F116" s="814">
        <f t="shared" si="37"/>
        <v>54094.239999999998</v>
      </c>
      <c r="G116" s="814">
        <f t="shared" si="38"/>
        <v>4117.5400000000009</v>
      </c>
      <c r="H116" s="814">
        <f t="shared" si="39"/>
        <v>0</v>
      </c>
      <c r="I116" s="1422">
        <f t="shared" si="40"/>
        <v>347953.14999999997</v>
      </c>
      <c r="J116" s="815">
        <f t="shared" si="41"/>
        <v>4117.5400000000009</v>
      </c>
      <c r="K116" s="1423">
        <f t="shared" si="42"/>
        <v>58211.78</v>
      </c>
      <c r="L116" s="1723"/>
      <c r="M116" s="1043"/>
      <c r="N116" s="1043"/>
      <c r="O116" s="1043"/>
      <c r="P116" s="1043"/>
      <c r="Q116" s="1044">
        <f t="shared" si="43"/>
        <v>0</v>
      </c>
      <c r="R116" s="1717"/>
      <c r="S116" s="1048"/>
      <c r="T116" s="1048"/>
      <c r="U116" s="1048"/>
      <c r="V116" s="1718"/>
      <c r="W116" s="1047">
        <f t="shared" si="44"/>
        <v>0</v>
      </c>
      <c r="X116" s="1719"/>
      <c r="Y116" s="1123"/>
      <c r="Z116" s="1123"/>
      <c r="AA116" s="1123"/>
      <c r="AB116" s="1123"/>
      <c r="AC116" s="1122">
        <f t="shared" si="45"/>
        <v>0</v>
      </c>
      <c r="AD116" s="1733">
        <v>3923.68</v>
      </c>
      <c r="AE116" s="1734">
        <v>23.35</v>
      </c>
      <c r="AF116" s="1734">
        <v>724</v>
      </c>
      <c r="AG116" s="1734">
        <v>0</v>
      </c>
      <c r="AH116" s="1735">
        <v>0</v>
      </c>
      <c r="AI116" s="1045">
        <f t="shared" si="46"/>
        <v>4671.03</v>
      </c>
      <c r="AJ116" s="1744">
        <v>31078.81</v>
      </c>
      <c r="AK116" s="1125">
        <v>0</v>
      </c>
      <c r="AL116" s="1125">
        <v>7769.7</v>
      </c>
      <c r="AM116" s="1125">
        <v>4117.6400000000003</v>
      </c>
      <c r="AN116" s="1745">
        <v>0</v>
      </c>
      <c r="AO116" s="1057">
        <f t="shared" si="47"/>
        <v>42966.15</v>
      </c>
      <c r="AP116" s="1736"/>
      <c r="AQ116" s="1046"/>
      <c r="AR116" s="1046"/>
      <c r="AS116" s="1046"/>
      <c r="AT116" s="1046"/>
      <c r="AU116" s="1049">
        <f t="shared" si="48"/>
        <v>0</v>
      </c>
      <c r="AV116" s="1755">
        <v>1303.95</v>
      </c>
      <c r="AW116" s="1756">
        <v>325.99</v>
      </c>
      <c r="AX116" s="1756">
        <v>0</v>
      </c>
      <c r="AY116" s="1756">
        <v>0</v>
      </c>
      <c r="AZ116" s="1757">
        <v>0</v>
      </c>
      <c r="BA116" s="1051">
        <f t="shared" si="49"/>
        <v>1629.94</v>
      </c>
      <c r="BB116" s="1764">
        <v>4543.79</v>
      </c>
      <c r="BC116" s="1765">
        <v>1135.94</v>
      </c>
      <c r="BD116" s="1765">
        <v>0</v>
      </c>
      <c r="BE116" s="1765">
        <v>0</v>
      </c>
      <c r="BF116" s="1766">
        <v>0</v>
      </c>
      <c r="BG116" s="1047">
        <f t="shared" si="50"/>
        <v>5679.73</v>
      </c>
      <c r="BH116" s="1746">
        <v>312.2</v>
      </c>
      <c r="BI116" s="1053">
        <v>563.79999999999995</v>
      </c>
      <c r="BJ116" s="1053">
        <v>0</v>
      </c>
      <c r="BK116" s="1053">
        <v>0</v>
      </c>
      <c r="BL116" s="1053">
        <v>0</v>
      </c>
      <c r="BM116" s="1054">
        <f t="shared" si="51"/>
        <v>876</v>
      </c>
      <c r="BN116" s="1744">
        <v>7972.29</v>
      </c>
      <c r="BO116" s="1125">
        <v>1009.83</v>
      </c>
      <c r="BP116" s="1125">
        <v>1647.62</v>
      </c>
      <c r="BQ116" s="1125">
        <v>-0.02</v>
      </c>
      <c r="BR116" s="1745">
        <v>0</v>
      </c>
      <c r="BS116" s="1054">
        <f t="shared" si="52"/>
        <v>10629.720000000001</v>
      </c>
      <c r="BT116" s="1744"/>
      <c r="BU116" s="1125"/>
      <c r="BV116" s="1125"/>
      <c r="BW116" s="1125"/>
      <c r="BX116" s="1745"/>
      <c r="BY116" s="1057">
        <f t="shared" si="53"/>
        <v>0</v>
      </c>
      <c r="BZ116" s="1744">
        <v>52849.42</v>
      </c>
      <c r="CA116" s="1125">
        <v>172191.41</v>
      </c>
      <c r="CB116" s="1125">
        <v>41278.519999999997</v>
      </c>
      <c r="CC116" s="1125">
        <v>-0.16</v>
      </c>
      <c r="CD116" s="1745">
        <v>0</v>
      </c>
      <c r="CE116" s="1057">
        <f t="shared" si="54"/>
        <v>266319.19000000006</v>
      </c>
      <c r="CF116" s="1744">
        <v>186.34</v>
      </c>
      <c r="CG116" s="1125">
        <v>0</v>
      </c>
      <c r="CH116" s="1125">
        <v>314.58</v>
      </c>
      <c r="CI116" s="1125">
        <v>0</v>
      </c>
      <c r="CJ116" s="1745">
        <v>0</v>
      </c>
      <c r="CK116" s="1057">
        <f t="shared" si="55"/>
        <v>500.91999999999996</v>
      </c>
      <c r="CL116" s="1746"/>
      <c r="CM116" s="1053"/>
      <c r="CN116" s="1053"/>
      <c r="CO116" s="1053"/>
      <c r="CP116" s="1053"/>
      <c r="CQ116" s="1054">
        <f t="shared" si="56"/>
        <v>0</v>
      </c>
      <c r="CR116" s="1744"/>
      <c r="CS116" s="1125"/>
      <c r="CT116" s="1125"/>
      <c r="CU116" s="1125"/>
      <c r="CV116" s="1745"/>
      <c r="CW116" s="1057">
        <f t="shared" si="57"/>
        <v>0</v>
      </c>
      <c r="CX116" s="1744">
        <v>-272.26</v>
      </c>
      <c r="CY116" s="1125">
        <v>-272.26</v>
      </c>
      <c r="CZ116" s="1125">
        <v>0</v>
      </c>
      <c r="DA116" s="1125">
        <v>0.02</v>
      </c>
      <c r="DB116" s="1745">
        <v>0</v>
      </c>
      <c r="DC116" s="1054">
        <f t="shared" si="58"/>
        <v>-544.5</v>
      </c>
      <c r="DD116" s="1744"/>
      <c r="DE116" s="1125"/>
      <c r="DF116" s="1125"/>
      <c r="DG116" s="1125"/>
      <c r="DH116" s="1745"/>
      <c r="DI116" s="1057">
        <f t="shared" si="59"/>
        <v>0</v>
      </c>
      <c r="DJ116" s="1744"/>
      <c r="DK116" s="1125"/>
      <c r="DL116" s="1125"/>
      <c r="DM116" s="1125"/>
      <c r="DN116" s="1125"/>
      <c r="DO116" s="1124">
        <f t="shared" si="60"/>
        <v>0</v>
      </c>
      <c r="DP116" s="1125"/>
      <c r="DQ116" s="1125"/>
      <c r="DR116" s="1125"/>
      <c r="DS116" s="1125"/>
      <c r="DT116" s="1125"/>
      <c r="DU116" s="1125">
        <f t="shared" si="63"/>
        <v>0</v>
      </c>
      <c r="DV116" s="1744">
        <v>2496.11</v>
      </c>
      <c r="DW116" s="1125">
        <v>1722.32</v>
      </c>
      <c r="DX116" s="1125">
        <v>773.79</v>
      </c>
      <c r="DY116" s="1125">
        <v>0</v>
      </c>
      <c r="DZ116" s="1745">
        <v>0</v>
      </c>
      <c r="EA116" s="1058">
        <f t="shared" si="61"/>
        <v>4992.22</v>
      </c>
      <c r="EB116" s="1744">
        <v>8646.66</v>
      </c>
      <c r="EC116" s="1125">
        <v>0</v>
      </c>
      <c r="ED116" s="1125">
        <v>1586.03</v>
      </c>
      <c r="EE116" s="1125">
        <v>0.06</v>
      </c>
      <c r="EF116" s="1745">
        <v>0</v>
      </c>
      <c r="EG116" s="1057">
        <f t="shared" si="62"/>
        <v>10232.75</v>
      </c>
    </row>
    <row r="117" spans="1:137" ht="15" customHeight="1" x14ac:dyDescent="0.25">
      <c r="A117" s="719" t="s">
        <v>180</v>
      </c>
      <c r="B117" s="816" t="s">
        <v>181</v>
      </c>
      <c r="C117" s="917" t="s">
        <v>264</v>
      </c>
      <c r="D117" s="814">
        <f t="shared" si="35"/>
        <v>207384.82000000004</v>
      </c>
      <c r="E117" s="814">
        <f t="shared" si="36"/>
        <v>101904.76</v>
      </c>
      <c r="F117" s="814">
        <f t="shared" si="37"/>
        <v>68863.050000000017</v>
      </c>
      <c r="G117" s="814">
        <f t="shared" si="38"/>
        <v>-0.16999999999999998</v>
      </c>
      <c r="H117" s="814">
        <f t="shared" si="39"/>
        <v>0</v>
      </c>
      <c r="I117" s="1422">
        <f t="shared" si="40"/>
        <v>378152.46</v>
      </c>
      <c r="J117" s="815">
        <f t="shared" si="41"/>
        <v>-0.16999999999999998</v>
      </c>
      <c r="K117" s="1423">
        <f t="shared" si="42"/>
        <v>68862.880000000019</v>
      </c>
      <c r="L117" s="1723"/>
      <c r="M117" s="1043"/>
      <c r="N117" s="1043"/>
      <c r="O117" s="1043"/>
      <c r="P117" s="1043"/>
      <c r="Q117" s="1044">
        <f t="shared" si="43"/>
        <v>0</v>
      </c>
      <c r="R117" s="1717"/>
      <c r="S117" s="1048"/>
      <c r="T117" s="1048"/>
      <c r="U117" s="1048"/>
      <c r="V117" s="1718"/>
      <c r="W117" s="1047">
        <f t="shared" si="44"/>
        <v>0</v>
      </c>
      <c r="X117" s="1719"/>
      <c r="Y117" s="1123"/>
      <c r="Z117" s="1123"/>
      <c r="AA117" s="1123"/>
      <c r="AB117" s="1123"/>
      <c r="AC117" s="1122">
        <f t="shared" si="45"/>
        <v>0</v>
      </c>
      <c r="AD117" s="1733">
        <v>12104.25</v>
      </c>
      <c r="AE117" s="1734">
        <v>72.05</v>
      </c>
      <c r="AF117" s="1734">
        <v>2233.52</v>
      </c>
      <c r="AG117" s="1734">
        <v>0</v>
      </c>
      <c r="AH117" s="1735">
        <v>0</v>
      </c>
      <c r="AI117" s="1045">
        <f t="shared" si="46"/>
        <v>14409.82</v>
      </c>
      <c r="AJ117" s="1744">
        <v>34731.769999999997</v>
      </c>
      <c r="AK117" s="1125">
        <v>0</v>
      </c>
      <c r="AL117" s="1125">
        <v>8682.92</v>
      </c>
      <c r="AM117" s="1125">
        <v>0</v>
      </c>
      <c r="AN117" s="1745">
        <v>0</v>
      </c>
      <c r="AO117" s="1057">
        <f t="shared" si="47"/>
        <v>43414.689999999995</v>
      </c>
      <c r="AP117" s="1733">
        <v>26617.71</v>
      </c>
      <c r="AQ117" s="1734">
        <v>6276.51</v>
      </c>
      <c r="AR117" s="1734">
        <v>6033.85</v>
      </c>
      <c r="AS117" s="1734">
        <v>-0.03</v>
      </c>
      <c r="AT117" s="1735">
        <v>0</v>
      </c>
      <c r="AU117" s="1049">
        <f t="shared" si="48"/>
        <v>38928.04</v>
      </c>
      <c r="AV117" s="1755">
        <v>8507.94</v>
      </c>
      <c r="AW117" s="1756">
        <v>2126.98</v>
      </c>
      <c r="AX117" s="1756">
        <v>0</v>
      </c>
      <c r="AY117" s="1756">
        <v>0</v>
      </c>
      <c r="AZ117" s="1757">
        <v>0</v>
      </c>
      <c r="BA117" s="1051">
        <f t="shared" si="49"/>
        <v>10634.92</v>
      </c>
      <c r="BB117" s="1764">
        <v>12034.74</v>
      </c>
      <c r="BC117" s="1765">
        <v>3008.69</v>
      </c>
      <c r="BD117" s="1765">
        <v>0</v>
      </c>
      <c r="BE117" s="1765">
        <v>0</v>
      </c>
      <c r="BF117" s="1766">
        <v>0</v>
      </c>
      <c r="BG117" s="1047">
        <f t="shared" si="50"/>
        <v>15043.43</v>
      </c>
      <c r="BH117" s="1744">
        <v>891</v>
      </c>
      <c r="BI117" s="1125">
        <v>1609</v>
      </c>
      <c r="BJ117" s="1125">
        <v>0</v>
      </c>
      <c r="BK117" s="1125">
        <v>0</v>
      </c>
      <c r="BL117" s="1745">
        <v>0</v>
      </c>
      <c r="BM117" s="1054">
        <f t="shared" si="51"/>
        <v>2500</v>
      </c>
      <c r="BN117" s="1744">
        <v>53045.32</v>
      </c>
      <c r="BO117" s="1125">
        <v>6719.07</v>
      </c>
      <c r="BP117" s="1125">
        <v>10962.71</v>
      </c>
      <c r="BQ117" s="1125">
        <v>-0.03</v>
      </c>
      <c r="BR117" s="1745">
        <v>0</v>
      </c>
      <c r="BS117" s="1054">
        <f t="shared" si="52"/>
        <v>70727.070000000007</v>
      </c>
      <c r="BT117" s="1744">
        <v>-97.5</v>
      </c>
      <c r="BU117" s="1125">
        <v>-97.5</v>
      </c>
      <c r="BV117" s="1125">
        <v>0</v>
      </c>
      <c r="BW117" s="1125">
        <v>0</v>
      </c>
      <c r="BX117" s="1745">
        <v>0</v>
      </c>
      <c r="BY117" s="1057">
        <f t="shared" si="53"/>
        <v>-195</v>
      </c>
      <c r="BZ117" s="1744">
        <v>45366.66</v>
      </c>
      <c r="CA117" s="1125">
        <v>77486.67</v>
      </c>
      <c r="CB117" s="1125">
        <v>22534.240000000002</v>
      </c>
      <c r="CC117" s="1125">
        <v>-0.09</v>
      </c>
      <c r="CD117" s="1745">
        <v>0</v>
      </c>
      <c r="CE117" s="1057">
        <f t="shared" si="54"/>
        <v>145387.48000000001</v>
      </c>
      <c r="CF117" s="1744">
        <v>2300.2600000000002</v>
      </c>
      <c r="CG117" s="1125">
        <v>0</v>
      </c>
      <c r="CH117" s="1125">
        <v>3883.25</v>
      </c>
      <c r="CI117" s="1125">
        <v>0</v>
      </c>
      <c r="CJ117" s="1745">
        <v>0</v>
      </c>
      <c r="CK117" s="1057">
        <f t="shared" si="55"/>
        <v>6183.51</v>
      </c>
      <c r="CL117" s="1744">
        <v>4006.32</v>
      </c>
      <c r="CM117" s="1125">
        <v>0</v>
      </c>
      <c r="CN117" s="1125">
        <v>12148.18</v>
      </c>
      <c r="CO117" s="1125">
        <v>0</v>
      </c>
      <c r="CP117" s="1745">
        <v>0</v>
      </c>
      <c r="CQ117" s="1054">
        <f t="shared" si="56"/>
        <v>16154.5</v>
      </c>
      <c r="CR117" s="1744"/>
      <c r="CS117" s="1125"/>
      <c r="CT117" s="1125"/>
      <c r="CU117" s="1125"/>
      <c r="CV117" s="1745"/>
      <c r="CW117" s="1057">
        <f t="shared" si="57"/>
        <v>0</v>
      </c>
      <c r="CX117" s="1746"/>
      <c r="CY117" s="1053"/>
      <c r="CZ117" s="1053"/>
      <c r="DA117" s="1053"/>
      <c r="DB117" s="1053"/>
      <c r="DC117" s="1054">
        <f t="shared" si="58"/>
        <v>0</v>
      </c>
      <c r="DD117" s="1744"/>
      <c r="DE117" s="1125"/>
      <c r="DF117" s="1125"/>
      <c r="DG117" s="1125"/>
      <c r="DH117" s="1745"/>
      <c r="DI117" s="1057">
        <f t="shared" si="59"/>
        <v>0</v>
      </c>
      <c r="DJ117" s="1744">
        <v>-9</v>
      </c>
      <c r="DK117" s="1125">
        <v>-9</v>
      </c>
      <c r="DL117" s="1125">
        <v>0</v>
      </c>
      <c r="DM117" s="1125">
        <v>0</v>
      </c>
      <c r="DN117" s="1125">
        <v>0</v>
      </c>
      <c r="DO117" s="1124">
        <f t="shared" si="60"/>
        <v>-18</v>
      </c>
      <c r="DP117" s="1125">
        <v>-200.5</v>
      </c>
      <c r="DQ117" s="1125">
        <v>-200.5</v>
      </c>
      <c r="DR117" s="1125">
        <v>0</v>
      </c>
      <c r="DS117" s="1125">
        <v>0</v>
      </c>
      <c r="DT117" s="1125">
        <v>0</v>
      </c>
      <c r="DU117" s="1125">
        <f t="shared" si="63"/>
        <v>-401</v>
      </c>
      <c r="DV117" s="1744">
        <v>7120</v>
      </c>
      <c r="DW117" s="1125">
        <v>4912.79</v>
      </c>
      <c r="DX117" s="1125">
        <v>2207.21</v>
      </c>
      <c r="DY117" s="1125">
        <v>-0.02</v>
      </c>
      <c r="DZ117" s="1745">
        <v>0</v>
      </c>
      <c r="EA117" s="1058">
        <f t="shared" si="61"/>
        <v>14239.98</v>
      </c>
      <c r="EB117" s="1744">
        <v>965.85</v>
      </c>
      <c r="EC117" s="1125">
        <v>0</v>
      </c>
      <c r="ED117" s="1125">
        <v>177.17</v>
      </c>
      <c r="EE117" s="1125">
        <v>0</v>
      </c>
      <c r="EF117" s="1745">
        <v>0</v>
      </c>
      <c r="EG117" s="1057">
        <f t="shared" si="62"/>
        <v>1143.02</v>
      </c>
    </row>
    <row r="118" spans="1:137" ht="15" customHeight="1" x14ac:dyDescent="0.25">
      <c r="A118" s="719" t="s">
        <v>192</v>
      </c>
      <c r="B118" s="816" t="s">
        <v>193</v>
      </c>
      <c r="C118" s="917" t="s">
        <v>268</v>
      </c>
      <c r="D118" s="814">
        <f t="shared" si="35"/>
        <v>15079.130000000001</v>
      </c>
      <c r="E118" s="814">
        <f t="shared" si="36"/>
        <v>10215.58</v>
      </c>
      <c r="F118" s="814">
        <f t="shared" si="37"/>
        <v>4052.87</v>
      </c>
      <c r="G118" s="814">
        <f t="shared" si="38"/>
        <v>5066.1099999999997</v>
      </c>
      <c r="H118" s="814">
        <f t="shared" si="39"/>
        <v>75</v>
      </c>
      <c r="I118" s="1422">
        <f t="shared" si="40"/>
        <v>34488.689999999995</v>
      </c>
      <c r="J118" s="815">
        <f t="shared" si="41"/>
        <v>5141.1099999999997</v>
      </c>
      <c r="K118" s="1423">
        <f t="shared" si="42"/>
        <v>9193.98</v>
      </c>
      <c r="L118" s="1723"/>
      <c r="M118" s="1043"/>
      <c r="N118" s="1043"/>
      <c r="O118" s="1043"/>
      <c r="P118" s="1043"/>
      <c r="Q118" s="1044">
        <f t="shared" si="43"/>
        <v>0</v>
      </c>
      <c r="R118" s="1719">
        <v>0</v>
      </c>
      <c r="S118" s="1123">
        <v>0</v>
      </c>
      <c r="T118" s="1123">
        <v>0</v>
      </c>
      <c r="U118" s="1123">
        <v>5066.25</v>
      </c>
      <c r="V118" s="1720">
        <v>0</v>
      </c>
      <c r="W118" s="1047">
        <f t="shared" si="44"/>
        <v>5066.25</v>
      </c>
      <c r="X118" s="1719"/>
      <c r="Y118" s="1123"/>
      <c r="Z118" s="1123"/>
      <c r="AA118" s="1123"/>
      <c r="AB118" s="1123"/>
      <c r="AC118" s="1122">
        <f t="shared" si="45"/>
        <v>0</v>
      </c>
      <c r="AD118" s="1733">
        <v>466.32</v>
      </c>
      <c r="AE118" s="1734">
        <v>2.77</v>
      </c>
      <c r="AF118" s="1734">
        <v>86.05</v>
      </c>
      <c r="AG118" s="1734">
        <v>0</v>
      </c>
      <c r="AH118" s="1735">
        <v>0</v>
      </c>
      <c r="AI118" s="1045">
        <f t="shared" si="46"/>
        <v>555.14</v>
      </c>
      <c r="AJ118" s="1744">
        <v>3573.54</v>
      </c>
      <c r="AK118" s="1125">
        <v>0</v>
      </c>
      <c r="AL118" s="1125">
        <v>893.33</v>
      </c>
      <c r="AM118" s="1125">
        <v>0</v>
      </c>
      <c r="AN118" s="1745">
        <v>0</v>
      </c>
      <c r="AO118" s="1057">
        <f t="shared" si="47"/>
        <v>4466.87</v>
      </c>
      <c r="AP118" s="1736"/>
      <c r="AQ118" s="1046"/>
      <c r="AR118" s="1046"/>
      <c r="AS118" s="1046"/>
      <c r="AT118" s="1046"/>
      <c r="AU118" s="1049">
        <f t="shared" si="48"/>
        <v>0</v>
      </c>
      <c r="AV118" s="1755">
        <v>1031.02</v>
      </c>
      <c r="AW118" s="1756">
        <v>257.75</v>
      </c>
      <c r="AX118" s="1756">
        <v>0</v>
      </c>
      <c r="AY118" s="1756">
        <v>0</v>
      </c>
      <c r="AZ118" s="1757">
        <v>0</v>
      </c>
      <c r="BA118" s="1051">
        <f t="shared" si="49"/>
        <v>1288.77</v>
      </c>
      <c r="BB118" s="1719">
        <v>2566.27</v>
      </c>
      <c r="BC118" s="1123">
        <v>641.55999999999995</v>
      </c>
      <c r="BD118" s="1123">
        <v>0</v>
      </c>
      <c r="BE118" s="1123">
        <v>0</v>
      </c>
      <c r="BF118" s="1720">
        <v>0</v>
      </c>
      <c r="BG118" s="1047">
        <f t="shared" si="50"/>
        <v>3207.83</v>
      </c>
      <c r="BH118" s="1746"/>
      <c r="BI118" s="1053"/>
      <c r="BJ118" s="1053"/>
      <c r="BK118" s="1053"/>
      <c r="BL118" s="1053"/>
      <c r="BM118" s="1054">
        <f t="shared" si="51"/>
        <v>0</v>
      </c>
      <c r="BN118" s="1744">
        <v>0</v>
      </c>
      <c r="BO118" s="1125">
        <v>0</v>
      </c>
      <c r="BP118" s="1125">
        <v>0</v>
      </c>
      <c r="BQ118" s="1125">
        <v>0</v>
      </c>
      <c r="BR118" s="1745">
        <v>0</v>
      </c>
      <c r="BS118" s="1054">
        <f t="shared" si="52"/>
        <v>0</v>
      </c>
      <c r="BT118" s="1744"/>
      <c r="BU118" s="1125"/>
      <c r="BV118" s="1125"/>
      <c r="BW118" s="1125"/>
      <c r="BX118" s="1745"/>
      <c r="BY118" s="1057">
        <f t="shared" si="53"/>
        <v>0</v>
      </c>
      <c r="BZ118" s="1744">
        <v>1905.6</v>
      </c>
      <c r="CA118" s="1125">
        <v>6467.25</v>
      </c>
      <c r="CB118" s="1125">
        <v>1535.85</v>
      </c>
      <c r="CC118" s="1125">
        <v>-0.14000000000000001</v>
      </c>
      <c r="CD118" s="1745">
        <v>75</v>
      </c>
      <c r="CE118" s="1057">
        <f t="shared" si="54"/>
        <v>9983.5600000000013</v>
      </c>
      <c r="CF118" s="1746"/>
      <c r="CG118" s="1053"/>
      <c r="CH118" s="1053"/>
      <c r="CI118" s="1053"/>
      <c r="CJ118" s="1747"/>
      <c r="CK118" s="1057">
        <f t="shared" si="55"/>
        <v>0</v>
      </c>
      <c r="CL118" s="1746"/>
      <c r="CM118" s="1053"/>
      <c r="CN118" s="1053"/>
      <c r="CO118" s="1053"/>
      <c r="CP118" s="1053"/>
      <c r="CQ118" s="1054">
        <f t="shared" si="56"/>
        <v>0</v>
      </c>
      <c r="CR118" s="1744"/>
      <c r="CS118" s="1125"/>
      <c r="CT118" s="1125"/>
      <c r="CU118" s="1125"/>
      <c r="CV118" s="1745"/>
      <c r="CW118" s="1057">
        <f t="shared" si="57"/>
        <v>0</v>
      </c>
      <c r="CX118" s="1746"/>
      <c r="CY118" s="1053"/>
      <c r="CZ118" s="1053"/>
      <c r="DA118" s="1053"/>
      <c r="DB118" s="1053"/>
      <c r="DC118" s="1054">
        <f t="shared" si="58"/>
        <v>0</v>
      </c>
      <c r="DD118" s="1744"/>
      <c r="DE118" s="1125"/>
      <c r="DF118" s="1125"/>
      <c r="DG118" s="1125"/>
      <c r="DH118" s="1745"/>
      <c r="DI118" s="1057">
        <f t="shared" si="59"/>
        <v>0</v>
      </c>
      <c r="DJ118" s="1744"/>
      <c r="DK118" s="1125"/>
      <c r="DL118" s="1125"/>
      <c r="DM118" s="1125"/>
      <c r="DN118" s="1125"/>
      <c r="DO118" s="1124">
        <f t="shared" si="60"/>
        <v>0</v>
      </c>
      <c r="DP118" s="1125"/>
      <c r="DQ118" s="1125"/>
      <c r="DR118" s="1125"/>
      <c r="DS118" s="1125"/>
      <c r="DT118" s="1125"/>
      <c r="DU118" s="1125">
        <f t="shared" si="63"/>
        <v>0</v>
      </c>
      <c r="DV118" s="1744">
        <v>4125</v>
      </c>
      <c r="DW118" s="1125">
        <v>2846.25</v>
      </c>
      <c r="DX118" s="1125">
        <v>1278.75</v>
      </c>
      <c r="DY118" s="1125">
        <v>0</v>
      </c>
      <c r="DZ118" s="1745">
        <v>0</v>
      </c>
      <c r="EA118" s="1058">
        <f t="shared" si="61"/>
        <v>8250</v>
      </c>
      <c r="EB118" s="1744">
        <v>1411.38</v>
      </c>
      <c r="EC118" s="1125">
        <v>0</v>
      </c>
      <c r="ED118" s="1125">
        <v>258.89</v>
      </c>
      <c r="EE118" s="1125">
        <v>0</v>
      </c>
      <c r="EF118" s="1745">
        <v>0</v>
      </c>
      <c r="EG118" s="1057">
        <f t="shared" si="62"/>
        <v>1670.27</v>
      </c>
    </row>
    <row r="119" spans="1:137" ht="15" customHeight="1" x14ac:dyDescent="0.25">
      <c r="A119" s="719" t="s">
        <v>196</v>
      </c>
      <c r="B119" s="816" t="s">
        <v>312</v>
      </c>
      <c r="C119" s="917" t="s">
        <v>266</v>
      </c>
      <c r="D119" s="814">
        <f t="shared" si="35"/>
        <v>525821.09999999986</v>
      </c>
      <c r="E119" s="814">
        <f t="shared" si="36"/>
        <v>212472.51</v>
      </c>
      <c r="F119" s="814">
        <f t="shared" si="37"/>
        <v>152347.24</v>
      </c>
      <c r="G119" s="814">
        <f t="shared" si="38"/>
        <v>513.4</v>
      </c>
      <c r="H119" s="814">
        <f t="shared" si="39"/>
        <v>7333.5</v>
      </c>
      <c r="I119" s="1422">
        <f t="shared" si="40"/>
        <v>898487.74999999988</v>
      </c>
      <c r="J119" s="815">
        <f t="shared" si="41"/>
        <v>7846.9</v>
      </c>
      <c r="K119" s="1423">
        <f t="shared" si="42"/>
        <v>160194.13999999998</v>
      </c>
      <c r="L119" s="1723"/>
      <c r="M119" s="1043"/>
      <c r="N119" s="1043"/>
      <c r="O119" s="1043"/>
      <c r="P119" s="1043"/>
      <c r="Q119" s="1044">
        <f t="shared" si="43"/>
        <v>0</v>
      </c>
      <c r="R119" s="1719">
        <v>0</v>
      </c>
      <c r="S119" s="1123">
        <v>0</v>
      </c>
      <c r="T119" s="1123">
        <v>0</v>
      </c>
      <c r="U119" s="1123">
        <v>513.89</v>
      </c>
      <c r="V119" s="1720">
        <v>0</v>
      </c>
      <c r="W119" s="1047">
        <f t="shared" si="44"/>
        <v>513.89</v>
      </c>
      <c r="X119" s="1719"/>
      <c r="Y119" s="1123"/>
      <c r="Z119" s="1123"/>
      <c r="AA119" s="1123"/>
      <c r="AB119" s="1123"/>
      <c r="AC119" s="1122">
        <f t="shared" si="45"/>
        <v>0</v>
      </c>
      <c r="AD119" s="1733">
        <v>18430.05</v>
      </c>
      <c r="AE119" s="1734">
        <v>109.71</v>
      </c>
      <c r="AF119" s="1734">
        <v>3400.78</v>
      </c>
      <c r="AG119" s="1734">
        <v>-0.01</v>
      </c>
      <c r="AH119" s="1735">
        <v>0</v>
      </c>
      <c r="AI119" s="1045">
        <f t="shared" si="46"/>
        <v>21940.53</v>
      </c>
      <c r="AJ119" s="1744">
        <v>232904.8</v>
      </c>
      <c r="AK119" s="1125">
        <v>0</v>
      </c>
      <c r="AL119" s="1125">
        <v>58226.2</v>
      </c>
      <c r="AM119" s="1125">
        <v>0</v>
      </c>
      <c r="AN119" s="1745">
        <v>0</v>
      </c>
      <c r="AO119" s="1057">
        <f t="shared" si="47"/>
        <v>291131</v>
      </c>
      <c r="AP119" s="1733">
        <v>15926.07</v>
      </c>
      <c r="AQ119" s="1734">
        <v>10323.02</v>
      </c>
      <c r="AR119" s="1734">
        <v>4814.96</v>
      </c>
      <c r="AS119" s="1734">
        <v>-7.0000000000000007E-2</v>
      </c>
      <c r="AT119" s="1735">
        <v>0</v>
      </c>
      <c r="AU119" s="1049">
        <f t="shared" si="48"/>
        <v>31063.98</v>
      </c>
      <c r="AV119" s="1755">
        <v>19647.189999999999</v>
      </c>
      <c r="AW119" s="1756">
        <v>4911.8100000000004</v>
      </c>
      <c r="AX119" s="1756">
        <v>0</v>
      </c>
      <c r="AY119" s="1756">
        <v>0</v>
      </c>
      <c r="AZ119" s="1757">
        <v>0</v>
      </c>
      <c r="BA119" s="1051">
        <f t="shared" si="49"/>
        <v>24559</v>
      </c>
      <c r="BB119" s="1764">
        <v>19970.47</v>
      </c>
      <c r="BC119" s="1765">
        <v>4992.62</v>
      </c>
      <c r="BD119" s="1765">
        <v>0</v>
      </c>
      <c r="BE119" s="1765">
        <v>0</v>
      </c>
      <c r="BF119" s="1766">
        <v>0</v>
      </c>
      <c r="BG119" s="1047">
        <f t="shared" si="50"/>
        <v>24963.09</v>
      </c>
      <c r="BH119" s="1744">
        <v>3312.73</v>
      </c>
      <c r="BI119" s="1125">
        <v>5982.27</v>
      </c>
      <c r="BJ119" s="1125">
        <v>0</v>
      </c>
      <c r="BK119" s="1125">
        <v>0</v>
      </c>
      <c r="BL119" s="1745">
        <v>0</v>
      </c>
      <c r="BM119" s="1054">
        <f t="shared" si="51"/>
        <v>9295</v>
      </c>
      <c r="BN119" s="1744">
        <v>115916.39</v>
      </c>
      <c r="BO119" s="1125">
        <v>14682.72</v>
      </c>
      <c r="BP119" s="1125">
        <v>23956.080000000002</v>
      </c>
      <c r="BQ119" s="1125">
        <v>-0.03</v>
      </c>
      <c r="BR119" s="1745">
        <v>0</v>
      </c>
      <c r="BS119" s="1054">
        <f t="shared" si="52"/>
        <v>154555.16</v>
      </c>
      <c r="BT119" s="1744"/>
      <c r="BU119" s="1125"/>
      <c r="BV119" s="1125"/>
      <c r="BW119" s="1125"/>
      <c r="BX119" s="1745"/>
      <c r="BY119" s="1057">
        <f t="shared" si="53"/>
        <v>0</v>
      </c>
      <c r="BZ119" s="1744">
        <v>56842.13</v>
      </c>
      <c r="CA119" s="1125">
        <v>147779.89000000001</v>
      </c>
      <c r="CB119" s="1125">
        <v>37533.089999999997</v>
      </c>
      <c r="CC119" s="1125">
        <v>-0.35</v>
      </c>
      <c r="CD119" s="1745">
        <v>0</v>
      </c>
      <c r="CE119" s="1057">
        <f t="shared" si="54"/>
        <v>242154.76</v>
      </c>
      <c r="CF119" s="1744">
        <v>7336.22</v>
      </c>
      <c r="CG119" s="1125">
        <v>0</v>
      </c>
      <c r="CH119" s="1125">
        <v>12384.81</v>
      </c>
      <c r="CI119" s="1125">
        <v>0</v>
      </c>
      <c r="CJ119" s="1745">
        <v>0</v>
      </c>
      <c r="CK119" s="1057">
        <f t="shared" si="55"/>
        <v>19721.03</v>
      </c>
      <c r="CL119" s="1746"/>
      <c r="CM119" s="1053"/>
      <c r="CN119" s="1053"/>
      <c r="CO119" s="1053"/>
      <c r="CP119" s="1053"/>
      <c r="CQ119" s="1054">
        <f t="shared" si="56"/>
        <v>0</v>
      </c>
      <c r="CR119" s="1744"/>
      <c r="CS119" s="1125"/>
      <c r="CT119" s="1125"/>
      <c r="CU119" s="1125"/>
      <c r="CV119" s="1745"/>
      <c r="CW119" s="1057">
        <f t="shared" si="57"/>
        <v>0</v>
      </c>
      <c r="CX119" s="1746"/>
      <c r="CY119" s="1053"/>
      <c r="CZ119" s="1053"/>
      <c r="DA119" s="1053"/>
      <c r="DB119" s="1053"/>
      <c r="DC119" s="1054">
        <f t="shared" si="58"/>
        <v>0</v>
      </c>
      <c r="DD119" s="1744">
        <v>-6364.53</v>
      </c>
      <c r="DE119" s="1125">
        <v>0</v>
      </c>
      <c r="DF119" s="1125">
        <v>0</v>
      </c>
      <c r="DG119" s="1125">
        <v>0</v>
      </c>
      <c r="DH119" s="1745">
        <v>0</v>
      </c>
      <c r="DI119" s="1057">
        <f t="shared" si="59"/>
        <v>-6364.53</v>
      </c>
      <c r="DJ119" s="1744"/>
      <c r="DK119" s="1125"/>
      <c r="DL119" s="1125"/>
      <c r="DM119" s="1125"/>
      <c r="DN119" s="1125"/>
      <c r="DO119" s="1124">
        <f t="shared" si="60"/>
        <v>0</v>
      </c>
      <c r="DP119" s="1125"/>
      <c r="DQ119" s="1125"/>
      <c r="DR119" s="1125"/>
      <c r="DS119" s="1125"/>
      <c r="DT119" s="1125"/>
      <c r="DU119" s="1125">
        <f t="shared" si="63"/>
        <v>0</v>
      </c>
      <c r="DV119" s="1744">
        <v>34334</v>
      </c>
      <c r="DW119" s="1125">
        <v>23690.47</v>
      </c>
      <c r="DX119" s="1125">
        <v>10643.55</v>
      </c>
      <c r="DY119" s="1125">
        <v>-0.02</v>
      </c>
      <c r="DZ119" s="1745">
        <v>7333.5</v>
      </c>
      <c r="EA119" s="1058">
        <f t="shared" si="61"/>
        <v>76001.5</v>
      </c>
      <c r="EB119" s="1744">
        <v>7565.58</v>
      </c>
      <c r="EC119" s="1125">
        <v>0</v>
      </c>
      <c r="ED119" s="1125">
        <v>1387.77</v>
      </c>
      <c r="EE119" s="1125">
        <v>-0.01</v>
      </c>
      <c r="EF119" s="1745">
        <v>0</v>
      </c>
      <c r="EG119" s="1057">
        <f t="shared" si="62"/>
        <v>8953.34</v>
      </c>
    </row>
    <row r="120" spans="1:137" ht="15" customHeight="1" x14ac:dyDescent="0.25">
      <c r="A120" s="719" t="s">
        <v>200</v>
      </c>
      <c r="B120" s="816" t="s">
        <v>313</v>
      </c>
      <c r="C120" s="917" t="s">
        <v>265</v>
      </c>
      <c r="D120" s="814">
        <f t="shared" si="35"/>
        <v>331060.13</v>
      </c>
      <c r="E120" s="814">
        <f t="shared" si="36"/>
        <v>360012.15</v>
      </c>
      <c r="F120" s="814">
        <f t="shared" si="37"/>
        <v>129392.7</v>
      </c>
      <c r="G120" s="814">
        <f t="shared" si="38"/>
        <v>-339.33</v>
      </c>
      <c r="H120" s="814">
        <f t="shared" si="39"/>
        <v>0</v>
      </c>
      <c r="I120" s="1422">
        <f t="shared" si="40"/>
        <v>820125.65</v>
      </c>
      <c r="J120" s="815">
        <f t="shared" si="41"/>
        <v>-339.33</v>
      </c>
      <c r="K120" s="1423">
        <f t="shared" si="42"/>
        <v>129053.37</v>
      </c>
      <c r="L120" s="1723"/>
      <c r="M120" s="1043"/>
      <c r="N120" s="1043"/>
      <c r="O120" s="1043"/>
      <c r="P120" s="1043"/>
      <c r="Q120" s="1044">
        <f t="shared" si="43"/>
        <v>0</v>
      </c>
      <c r="R120" s="1717"/>
      <c r="S120" s="1048"/>
      <c r="T120" s="1048"/>
      <c r="U120" s="1048"/>
      <c r="V120" s="1718"/>
      <c r="W120" s="1047">
        <f t="shared" si="44"/>
        <v>0</v>
      </c>
      <c r="X120" s="1719"/>
      <c r="Y120" s="1123"/>
      <c r="Z120" s="1123"/>
      <c r="AA120" s="1123"/>
      <c r="AB120" s="1123"/>
      <c r="AC120" s="1122">
        <f t="shared" si="45"/>
        <v>0</v>
      </c>
      <c r="AD120" s="1733">
        <v>11114.85</v>
      </c>
      <c r="AE120" s="1734">
        <v>66.16</v>
      </c>
      <c r="AF120" s="1734">
        <v>2050.94</v>
      </c>
      <c r="AG120" s="1734">
        <v>0</v>
      </c>
      <c r="AH120" s="1735">
        <v>0</v>
      </c>
      <c r="AI120" s="1045">
        <f t="shared" si="46"/>
        <v>13231.95</v>
      </c>
      <c r="AJ120" s="1744">
        <v>33207.82</v>
      </c>
      <c r="AK120" s="1125">
        <v>0</v>
      </c>
      <c r="AL120" s="1125">
        <v>8301.9599999999991</v>
      </c>
      <c r="AM120" s="1125">
        <v>0</v>
      </c>
      <c r="AN120" s="1745">
        <v>0</v>
      </c>
      <c r="AO120" s="1057">
        <f t="shared" si="47"/>
        <v>41509.78</v>
      </c>
      <c r="AP120" s="1733">
        <v>19644.64</v>
      </c>
      <c r="AQ120" s="1734">
        <v>2634.26</v>
      </c>
      <c r="AR120" s="1734">
        <v>4086.67</v>
      </c>
      <c r="AS120" s="1734">
        <v>-0.06</v>
      </c>
      <c r="AT120" s="1735">
        <v>0</v>
      </c>
      <c r="AU120" s="1049">
        <f t="shared" si="48"/>
        <v>26365.51</v>
      </c>
      <c r="AV120" s="1755">
        <v>11108.2</v>
      </c>
      <c r="AW120" s="1756">
        <v>2777.05</v>
      </c>
      <c r="AX120" s="1756">
        <v>0</v>
      </c>
      <c r="AY120" s="1756">
        <v>0</v>
      </c>
      <c r="AZ120" s="1757">
        <v>0</v>
      </c>
      <c r="BA120" s="1051">
        <f t="shared" si="49"/>
        <v>13885.25</v>
      </c>
      <c r="BB120" s="1764">
        <v>36413.5</v>
      </c>
      <c r="BC120" s="1765">
        <v>9103.3700000000008</v>
      </c>
      <c r="BD120" s="1765">
        <v>0</v>
      </c>
      <c r="BE120" s="1765">
        <v>0</v>
      </c>
      <c r="BF120" s="1766">
        <v>0</v>
      </c>
      <c r="BG120" s="1047">
        <f t="shared" si="50"/>
        <v>45516.87</v>
      </c>
      <c r="BH120" s="1744">
        <v>3417.89</v>
      </c>
      <c r="BI120" s="1125">
        <v>6172.11</v>
      </c>
      <c r="BJ120" s="1125">
        <v>0</v>
      </c>
      <c r="BK120" s="1125">
        <v>0</v>
      </c>
      <c r="BL120" s="1745">
        <v>0</v>
      </c>
      <c r="BM120" s="1054">
        <f t="shared" si="51"/>
        <v>9590</v>
      </c>
      <c r="BN120" s="1744">
        <v>72700.759999999995</v>
      </c>
      <c r="BO120" s="1125">
        <v>9208.77</v>
      </c>
      <c r="BP120" s="1125">
        <v>15024.84</v>
      </c>
      <c r="BQ120" s="1125">
        <v>-0.09</v>
      </c>
      <c r="BR120" s="1745">
        <v>0</v>
      </c>
      <c r="BS120" s="1054">
        <f t="shared" si="52"/>
        <v>96934.28</v>
      </c>
      <c r="BT120" s="1744">
        <v>-1333.35</v>
      </c>
      <c r="BU120" s="1125">
        <v>-1333.35</v>
      </c>
      <c r="BV120" s="1125">
        <v>0</v>
      </c>
      <c r="BW120" s="1125">
        <v>0.01</v>
      </c>
      <c r="BX120" s="1745">
        <v>0</v>
      </c>
      <c r="BY120" s="1057">
        <f t="shared" si="53"/>
        <v>-2666.6899999999996</v>
      </c>
      <c r="BZ120" s="1744">
        <v>112238.44</v>
      </c>
      <c r="CA120" s="1125">
        <v>323339.32</v>
      </c>
      <c r="CB120" s="1125">
        <v>79896.429999999993</v>
      </c>
      <c r="CC120" s="1125">
        <v>-0.26</v>
      </c>
      <c r="CD120" s="1745">
        <v>0</v>
      </c>
      <c r="CE120" s="1057">
        <f t="shared" si="54"/>
        <v>515473.93</v>
      </c>
      <c r="CF120" s="1744">
        <v>7983.17</v>
      </c>
      <c r="CG120" s="1125">
        <v>0</v>
      </c>
      <c r="CH120" s="1125">
        <v>13476.94</v>
      </c>
      <c r="CI120" s="1125">
        <v>-0.06</v>
      </c>
      <c r="CJ120" s="1745">
        <v>0</v>
      </c>
      <c r="CK120" s="1057">
        <f t="shared" si="55"/>
        <v>21460.05</v>
      </c>
      <c r="CL120" s="1746"/>
      <c r="CM120" s="1053"/>
      <c r="CN120" s="1053"/>
      <c r="CO120" s="1053"/>
      <c r="CP120" s="1053"/>
      <c r="CQ120" s="1054">
        <f t="shared" si="56"/>
        <v>0</v>
      </c>
      <c r="CR120" s="1744">
        <v>-374.61</v>
      </c>
      <c r="CS120" s="1125"/>
      <c r="CT120" s="1125"/>
      <c r="CU120" s="1125"/>
      <c r="CV120" s="1745"/>
      <c r="CW120" s="1057">
        <f t="shared" si="57"/>
        <v>-374.61</v>
      </c>
      <c r="CX120" s="1744">
        <v>-249.19</v>
      </c>
      <c r="CY120" s="1125">
        <v>-249.19</v>
      </c>
      <c r="CZ120" s="1125">
        <v>0</v>
      </c>
      <c r="DA120" s="1125">
        <v>0.01</v>
      </c>
      <c r="DB120" s="1745">
        <v>0</v>
      </c>
      <c r="DC120" s="1054">
        <f t="shared" si="58"/>
        <v>-498.37</v>
      </c>
      <c r="DD120" s="1744">
        <v>-2253.31</v>
      </c>
      <c r="DE120" s="1125">
        <v>0</v>
      </c>
      <c r="DF120" s="1125">
        <v>0</v>
      </c>
      <c r="DG120" s="1125">
        <v>0</v>
      </c>
      <c r="DH120" s="1745">
        <v>0</v>
      </c>
      <c r="DI120" s="1057">
        <f t="shared" si="59"/>
        <v>-2253.31</v>
      </c>
      <c r="DJ120" s="1744"/>
      <c r="DK120" s="1125"/>
      <c r="DL120" s="1125"/>
      <c r="DM120" s="1125"/>
      <c r="DN120" s="1125"/>
      <c r="DO120" s="1124">
        <f t="shared" si="60"/>
        <v>0</v>
      </c>
      <c r="DP120" s="1125"/>
      <c r="DQ120" s="1125"/>
      <c r="DR120" s="1125"/>
      <c r="DS120" s="1125"/>
      <c r="DT120" s="1125"/>
      <c r="DU120" s="1125">
        <f t="shared" si="63"/>
        <v>0</v>
      </c>
      <c r="DV120" s="1744">
        <v>12019.81</v>
      </c>
      <c r="DW120" s="1125">
        <v>8293.65</v>
      </c>
      <c r="DX120" s="1125">
        <v>3726.13</v>
      </c>
      <c r="DY120" s="1125">
        <v>-0.01</v>
      </c>
      <c r="DZ120" s="1745">
        <v>0</v>
      </c>
      <c r="EA120" s="1058">
        <f t="shared" si="61"/>
        <v>24039.58</v>
      </c>
      <c r="EB120" s="1744">
        <v>15421.51</v>
      </c>
      <c r="EC120" s="1125">
        <v>0</v>
      </c>
      <c r="ED120" s="1125">
        <v>2828.79</v>
      </c>
      <c r="EE120" s="1125">
        <v>-338.87</v>
      </c>
      <c r="EF120" s="1745">
        <v>0</v>
      </c>
      <c r="EG120" s="1057">
        <f t="shared" si="62"/>
        <v>17911.43</v>
      </c>
    </row>
    <row r="121" spans="1:137" ht="15" customHeight="1" x14ac:dyDescent="0.25">
      <c r="A121" s="719" t="s">
        <v>222</v>
      </c>
      <c r="B121" s="816" t="s">
        <v>223</v>
      </c>
      <c r="C121" s="917" t="s">
        <v>264</v>
      </c>
      <c r="D121" s="814">
        <f t="shared" si="35"/>
        <v>170530.26999999996</v>
      </c>
      <c r="E121" s="814">
        <f t="shared" si="36"/>
        <v>39322.300000000003</v>
      </c>
      <c r="F121" s="814">
        <f t="shared" si="37"/>
        <v>58346.259999999995</v>
      </c>
      <c r="G121" s="814">
        <f t="shared" si="38"/>
        <v>3774.81</v>
      </c>
      <c r="H121" s="814">
        <f t="shared" si="39"/>
        <v>129052.33</v>
      </c>
      <c r="I121" s="1422">
        <f t="shared" si="40"/>
        <v>401025.97</v>
      </c>
      <c r="J121" s="815">
        <f t="shared" si="41"/>
        <v>132827.14000000001</v>
      </c>
      <c r="K121" s="1423">
        <f t="shared" si="42"/>
        <v>191173.40000000002</v>
      </c>
      <c r="L121" s="1723"/>
      <c r="M121" s="1043"/>
      <c r="N121" s="1043"/>
      <c r="O121" s="1043"/>
      <c r="P121" s="1043"/>
      <c r="Q121" s="1044">
        <f t="shared" si="43"/>
        <v>0</v>
      </c>
      <c r="R121" s="1719">
        <v>0</v>
      </c>
      <c r="S121" s="1123">
        <v>0</v>
      </c>
      <c r="T121" s="1123">
        <v>0</v>
      </c>
      <c r="U121" s="1123">
        <v>0</v>
      </c>
      <c r="V121" s="1720">
        <v>125806.56</v>
      </c>
      <c r="W121" s="1047">
        <f t="shared" si="44"/>
        <v>125806.56</v>
      </c>
      <c r="X121" s="1719"/>
      <c r="Y121" s="1123"/>
      <c r="Z121" s="1123"/>
      <c r="AA121" s="1123"/>
      <c r="AB121" s="1123"/>
      <c r="AC121" s="1122">
        <f t="shared" si="45"/>
        <v>0</v>
      </c>
      <c r="AD121" s="1733">
        <v>9549.11</v>
      </c>
      <c r="AE121" s="1734">
        <v>56.84</v>
      </c>
      <c r="AF121" s="1734">
        <v>1762.05</v>
      </c>
      <c r="AG121" s="1734">
        <v>0</v>
      </c>
      <c r="AH121" s="1735">
        <v>0</v>
      </c>
      <c r="AI121" s="1045">
        <f t="shared" si="46"/>
        <v>11368</v>
      </c>
      <c r="AJ121" s="1744">
        <v>80590.899999999994</v>
      </c>
      <c r="AK121" s="1125">
        <v>0</v>
      </c>
      <c r="AL121" s="1125">
        <v>20147.759999999998</v>
      </c>
      <c r="AM121" s="1125">
        <v>0</v>
      </c>
      <c r="AN121" s="1745">
        <v>0</v>
      </c>
      <c r="AO121" s="1057">
        <f t="shared" si="47"/>
        <v>100738.65999999999</v>
      </c>
      <c r="AP121" s="1736"/>
      <c r="AQ121" s="1046"/>
      <c r="AR121" s="1046"/>
      <c r="AS121" s="1046"/>
      <c r="AT121" s="1046"/>
      <c r="AU121" s="1049">
        <f t="shared" si="48"/>
        <v>0</v>
      </c>
      <c r="AV121" s="1755">
        <v>3249.3</v>
      </c>
      <c r="AW121" s="1756">
        <v>812.32</v>
      </c>
      <c r="AX121" s="1756">
        <v>0</v>
      </c>
      <c r="AY121" s="1756">
        <v>0</v>
      </c>
      <c r="AZ121" s="1757">
        <v>0</v>
      </c>
      <c r="BA121" s="1051">
        <f t="shared" si="49"/>
        <v>4061.6200000000003</v>
      </c>
      <c r="BB121" s="1764">
        <v>9464.64</v>
      </c>
      <c r="BC121" s="1765">
        <v>2366.15</v>
      </c>
      <c r="BD121" s="1765">
        <v>0</v>
      </c>
      <c r="BE121" s="1765">
        <v>0</v>
      </c>
      <c r="BF121" s="1766">
        <v>0</v>
      </c>
      <c r="BG121" s="1047">
        <f t="shared" si="50"/>
        <v>11830.789999999999</v>
      </c>
      <c r="BH121" s="1746">
        <v>0</v>
      </c>
      <c r="BI121" s="1053">
        <v>0</v>
      </c>
      <c r="BJ121" s="1053">
        <v>0</v>
      </c>
      <c r="BK121" s="1053">
        <v>0</v>
      </c>
      <c r="BL121" s="1053">
        <v>200</v>
      </c>
      <c r="BM121" s="1054">
        <f t="shared" si="51"/>
        <v>200</v>
      </c>
      <c r="BN121" s="1744">
        <v>32613.14</v>
      </c>
      <c r="BO121" s="1125">
        <v>4131.01</v>
      </c>
      <c r="BP121" s="1125">
        <v>6740.04</v>
      </c>
      <c r="BQ121" s="1125">
        <v>3659.97</v>
      </c>
      <c r="BR121" s="1745">
        <v>3000</v>
      </c>
      <c r="BS121" s="1054">
        <f t="shared" si="52"/>
        <v>50144.160000000003</v>
      </c>
      <c r="BT121" s="1744">
        <v>-177</v>
      </c>
      <c r="BU121" s="1125">
        <v>-177</v>
      </c>
      <c r="BV121" s="1125">
        <v>0</v>
      </c>
      <c r="BW121" s="1125">
        <v>0</v>
      </c>
      <c r="BX121" s="1745">
        <v>0</v>
      </c>
      <c r="BY121" s="1057">
        <f t="shared" si="53"/>
        <v>-354</v>
      </c>
      <c r="BZ121" s="1744">
        <v>9230.43</v>
      </c>
      <c r="CA121" s="1125">
        <v>26838.62</v>
      </c>
      <c r="CB121" s="1125">
        <v>6616.03</v>
      </c>
      <c r="CC121" s="1125">
        <v>-0.11</v>
      </c>
      <c r="CD121" s="1745">
        <v>0</v>
      </c>
      <c r="CE121" s="1057">
        <f t="shared" si="54"/>
        <v>42684.97</v>
      </c>
      <c r="CF121" s="1744">
        <v>7570.84</v>
      </c>
      <c r="CG121" s="1125">
        <v>0</v>
      </c>
      <c r="CH121" s="1125">
        <v>12780.93</v>
      </c>
      <c r="CI121" s="1125">
        <v>0</v>
      </c>
      <c r="CJ121" s="1745">
        <v>0</v>
      </c>
      <c r="CK121" s="1057">
        <f t="shared" si="55"/>
        <v>20351.77</v>
      </c>
      <c r="CL121" s="1744">
        <v>1884.79</v>
      </c>
      <c r="CM121" s="1125">
        <v>0</v>
      </c>
      <c r="CN121" s="1125">
        <v>5715.21</v>
      </c>
      <c r="CO121" s="1125">
        <v>0</v>
      </c>
      <c r="CP121" s="1745">
        <v>45.77</v>
      </c>
      <c r="CQ121" s="1054">
        <f t="shared" si="56"/>
        <v>7645.77</v>
      </c>
      <c r="CR121" s="1744"/>
      <c r="CS121" s="1125"/>
      <c r="CT121" s="1125"/>
      <c r="CU121" s="1125"/>
      <c r="CV121" s="1745"/>
      <c r="CW121" s="1057">
        <f t="shared" si="57"/>
        <v>0</v>
      </c>
      <c r="CX121" s="1746"/>
      <c r="CY121" s="1053"/>
      <c r="CZ121" s="1053"/>
      <c r="DA121" s="1053"/>
      <c r="DB121" s="1053"/>
      <c r="DC121" s="1054">
        <f t="shared" si="58"/>
        <v>0</v>
      </c>
      <c r="DD121" s="1744">
        <v>-161</v>
      </c>
      <c r="DE121" s="1125">
        <v>0</v>
      </c>
      <c r="DF121" s="1125">
        <v>0</v>
      </c>
      <c r="DG121" s="1125">
        <v>0</v>
      </c>
      <c r="DH121" s="1745">
        <v>0</v>
      </c>
      <c r="DI121" s="1057">
        <f t="shared" si="59"/>
        <v>-161</v>
      </c>
      <c r="DJ121" s="1744">
        <v>-1711.2</v>
      </c>
      <c r="DK121" s="1125">
        <v>0</v>
      </c>
      <c r="DL121" s="1125">
        <v>0</v>
      </c>
      <c r="DM121" s="1125">
        <v>0</v>
      </c>
      <c r="DN121" s="1125">
        <v>0</v>
      </c>
      <c r="DO121" s="1124">
        <f t="shared" si="60"/>
        <v>-1711.2</v>
      </c>
      <c r="DP121" s="1125">
        <v>-635.5</v>
      </c>
      <c r="DQ121" s="1125">
        <v>-635.5</v>
      </c>
      <c r="DR121" s="1125">
        <v>0</v>
      </c>
      <c r="DS121" s="1125">
        <v>0</v>
      </c>
      <c r="DT121" s="1125">
        <v>0</v>
      </c>
      <c r="DU121" s="1125">
        <f t="shared" si="63"/>
        <v>-1271</v>
      </c>
      <c r="DV121" s="1744">
        <v>8594.02</v>
      </c>
      <c r="DW121" s="1125">
        <v>5929.86</v>
      </c>
      <c r="DX121" s="1125">
        <v>2664.13</v>
      </c>
      <c r="DY121" s="1125">
        <v>114.9</v>
      </c>
      <c r="DZ121" s="1745">
        <v>0</v>
      </c>
      <c r="EA121" s="1058">
        <f t="shared" si="61"/>
        <v>17302.910000000003</v>
      </c>
      <c r="EB121" s="1744">
        <v>10467.799999999999</v>
      </c>
      <c r="EC121" s="1125">
        <v>0</v>
      </c>
      <c r="ED121" s="1125">
        <v>1920.11</v>
      </c>
      <c r="EE121" s="1125">
        <v>0.05</v>
      </c>
      <c r="EF121" s="1745">
        <v>0</v>
      </c>
      <c r="EG121" s="1057">
        <f t="shared" si="62"/>
        <v>12387.96</v>
      </c>
    </row>
    <row r="122" spans="1:137" ht="15" customHeight="1" x14ac:dyDescent="0.25">
      <c r="A122" s="719" t="s">
        <v>230</v>
      </c>
      <c r="B122" s="816" t="s">
        <v>231</v>
      </c>
      <c r="C122" s="917" t="s">
        <v>264</v>
      </c>
      <c r="D122" s="814">
        <f t="shared" si="35"/>
        <v>463444.04999999993</v>
      </c>
      <c r="E122" s="814">
        <f t="shared" si="36"/>
        <v>102206.84999999999</v>
      </c>
      <c r="F122" s="814">
        <f t="shared" si="37"/>
        <v>126271.01000000001</v>
      </c>
      <c r="G122" s="814">
        <f t="shared" si="38"/>
        <v>166710.94</v>
      </c>
      <c r="H122" s="814">
        <f t="shared" si="39"/>
        <v>0</v>
      </c>
      <c r="I122" s="1422">
        <f t="shared" si="40"/>
        <v>858632.84999999986</v>
      </c>
      <c r="J122" s="815">
        <f t="shared" si="41"/>
        <v>166710.94</v>
      </c>
      <c r="K122" s="1423">
        <f t="shared" si="42"/>
        <v>292981.95</v>
      </c>
      <c r="L122" s="1723"/>
      <c r="M122" s="1043"/>
      <c r="N122" s="1043"/>
      <c r="O122" s="1043"/>
      <c r="P122" s="1043"/>
      <c r="Q122" s="1044">
        <f t="shared" si="43"/>
        <v>0</v>
      </c>
      <c r="R122" s="1719">
        <v>0</v>
      </c>
      <c r="S122" s="1123">
        <v>0</v>
      </c>
      <c r="T122" s="1123">
        <v>0</v>
      </c>
      <c r="U122" s="1123">
        <v>108007.42</v>
      </c>
      <c r="V122" s="1720">
        <v>0</v>
      </c>
      <c r="W122" s="1047">
        <f t="shared" si="44"/>
        <v>108007.42</v>
      </c>
      <c r="X122" s="1719"/>
      <c r="Y122" s="1123"/>
      <c r="Z122" s="1123"/>
      <c r="AA122" s="1123"/>
      <c r="AB122" s="1123"/>
      <c r="AC122" s="1122">
        <f t="shared" si="45"/>
        <v>0</v>
      </c>
      <c r="AD122" s="1736">
        <v>18509.41</v>
      </c>
      <c r="AE122" s="1046">
        <v>110.19</v>
      </c>
      <c r="AF122" s="1046">
        <v>3415.43</v>
      </c>
      <c r="AG122" s="1046">
        <v>-0.02</v>
      </c>
      <c r="AH122" s="1737">
        <v>0</v>
      </c>
      <c r="AI122" s="1045">
        <f t="shared" si="46"/>
        <v>22035.01</v>
      </c>
      <c r="AJ122" s="1744">
        <v>242976</v>
      </c>
      <c r="AK122" s="1125">
        <v>0</v>
      </c>
      <c r="AL122" s="1125">
        <v>60744</v>
      </c>
      <c r="AM122" s="1125">
        <v>3968.13</v>
      </c>
      <c r="AN122" s="1745">
        <v>0</v>
      </c>
      <c r="AO122" s="1057">
        <f t="shared" si="47"/>
        <v>307688.13</v>
      </c>
      <c r="AP122" s="1733">
        <v>7835.85</v>
      </c>
      <c r="AQ122" s="1734">
        <v>4744.9799999999996</v>
      </c>
      <c r="AR122" s="1734">
        <v>2307.7199999999998</v>
      </c>
      <c r="AS122" s="1734">
        <v>-0.06</v>
      </c>
      <c r="AT122" s="1735">
        <v>0</v>
      </c>
      <c r="AU122" s="1049">
        <f t="shared" si="48"/>
        <v>14888.49</v>
      </c>
      <c r="AV122" s="1755">
        <v>10457.6</v>
      </c>
      <c r="AW122" s="1756">
        <v>2614.4</v>
      </c>
      <c r="AX122" s="1756">
        <v>0</v>
      </c>
      <c r="AY122" s="1756">
        <v>0</v>
      </c>
      <c r="AZ122" s="1757">
        <v>0</v>
      </c>
      <c r="BA122" s="1051">
        <f t="shared" si="49"/>
        <v>13072</v>
      </c>
      <c r="BB122" s="1764">
        <v>32207.52</v>
      </c>
      <c r="BC122" s="1765">
        <v>8051.9</v>
      </c>
      <c r="BD122" s="1765">
        <v>0</v>
      </c>
      <c r="BE122" s="1765">
        <v>0</v>
      </c>
      <c r="BF122" s="1766">
        <v>0</v>
      </c>
      <c r="BG122" s="1047">
        <f t="shared" si="50"/>
        <v>40259.42</v>
      </c>
      <c r="BH122" s="1744">
        <v>2717.55</v>
      </c>
      <c r="BI122" s="1125">
        <v>4907.45</v>
      </c>
      <c r="BJ122" s="1125">
        <v>0</v>
      </c>
      <c r="BK122" s="1125">
        <v>0</v>
      </c>
      <c r="BL122" s="1745">
        <v>0</v>
      </c>
      <c r="BM122" s="1054">
        <f t="shared" si="51"/>
        <v>7625</v>
      </c>
      <c r="BN122" s="1744">
        <v>94435.12</v>
      </c>
      <c r="BO122" s="1125">
        <v>11961.77</v>
      </c>
      <c r="BP122" s="1125">
        <v>19516.57</v>
      </c>
      <c r="BQ122" s="1125">
        <v>0</v>
      </c>
      <c r="BR122" s="1745">
        <v>0</v>
      </c>
      <c r="BS122" s="1054">
        <f t="shared" si="52"/>
        <v>125913.45999999999</v>
      </c>
      <c r="BT122" s="1744">
        <v>-2304.46</v>
      </c>
      <c r="BU122" s="1125">
        <v>-2304.46</v>
      </c>
      <c r="BV122" s="1125">
        <v>0</v>
      </c>
      <c r="BW122" s="1125">
        <v>0.18</v>
      </c>
      <c r="BX122" s="1745">
        <v>0</v>
      </c>
      <c r="BY122" s="1057">
        <f t="shared" si="53"/>
        <v>-4608.74</v>
      </c>
      <c r="BZ122" s="1744">
        <v>25397.97</v>
      </c>
      <c r="CA122" s="1125">
        <v>78407.100000000006</v>
      </c>
      <c r="CB122" s="1125">
        <v>19040.72</v>
      </c>
      <c r="CC122" s="1125">
        <v>-2771.93</v>
      </c>
      <c r="CD122" s="1745">
        <v>0</v>
      </c>
      <c r="CE122" s="1057">
        <f t="shared" si="54"/>
        <v>120073.86000000002</v>
      </c>
      <c r="CF122" s="1744">
        <v>6060.74</v>
      </c>
      <c r="CG122" s="1125">
        <v>0</v>
      </c>
      <c r="CH122" s="1125">
        <v>10231.49</v>
      </c>
      <c r="CI122" s="1125">
        <v>0</v>
      </c>
      <c r="CJ122" s="1745">
        <v>0</v>
      </c>
      <c r="CK122" s="1057">
        <f t="shared" si="55"/>
        <v>16292.23</v>
      </c>
      <c r="CL122" s="1744"/>
      <c r="CM122" s="1125"/>
      <c r="CN122" s="1125"/>
      <c r="CO122" s="1125"/>
      <c r="CP122" s="1745"/>
      <c r="CQ122" s="1054">
        <f t="shared" si="56"/>
        <v>0</v>
      </c>
      <c r="CR122" s="1744"/>
      <c r="CS122" s="1125"/>
      <c r="CT122" s="1125"/>
      <c r="CU122" s="1125"/>
      <c r="CV122" s="1745"/>
      <c r="CW122" s="1057">
        <f t="shared" si="57"/>
        <v>0</v>
      </c>
      <c r="CX122" s="1744"/>
      <c r="CY122" s="1125"/>
      <c r="CZ122" s="1125"/>
      <c r="DA122" s="1125"/>
      <c r="DB122" s="1745"/>
      <c r="DC122" s="1054">
        <f t="shared" si="58"/>
        <v>0</v>
      </c>
      <c r="DD122" s="1744">
        <v>-9125.9699999999993</v>
      </c>
      <c r="DE122" s="1125">
        <v>0</v>
      </c>
      <c r="DF122" s="1125">
        <v>0</v>
      </c>
      <c r="DG122" s="1125">
        <v>0</v>
      </c>
      <c r="DH122" s="1745">
        <v>0</v>
      </c>
      <c r="DI122" s="1057">
        <f t="shared" si="59"/>
        <v>-9125.9699999999993</v>
      </c>
      <c r="DJ122" s="1744">
        <v>-20440.490000000002</v>
      </c>
      <c r="DK122" s="1125">
        <v>-953.77</v>
      </c>
      <c r="DL122" s="1125">
        <v>0</v>
      </c>
      <c r="DM122" s="1125">
        <v>0</v>
      </c>
      <c r="DN122" s="1125">
        <v>0</v>
      </c>
      <c r="DO122" s="1124">
        <f t="shared" si="60"/>
        <v>-21394.260000000002</v>
      </c>
      <c r="DP122" s="1125">
        <v>-5332.71</v>
      </c>
      <c r="DQ122" s="1125">
        <v>-5332.71</v>
      </c>
      <c r="DR122" s="1125">
        <v>0</v>
      </c>
      <c r="DS122" s="1125">
        <v>0.01</v>
      </c>
      <c r="DT122" s="1125">
        <v>0</v>
      </c>
      <c r="DU122" s="1125">
        <f t="shared" si="63"/>
        <v>-10665.41</v>
      </c>
      <c r="DV122" s="1746">
        <v>0</v>
      </c>
      <c r="DW122" s="1053">
        <v>0</v>
      </c>
      <c r="DX122" s="1053">
        <v>0</v>
      </c>
      <c r="DY122" s="1053">
        <v>0</v>
      </c>
      <c r="DZ122" s="1053">
        <v>0</v>
      </c>
      <c r="EA122" s="1058">
        <f t="shared" si="61"/>
        <v>0</v>
      </c>
      <c r="EB122" s="1744">
        <v>60049.919999999998</v>
      </c>
      <c r="EC122" s="1125">
        <v>0</v>
      </c>
      <c r="ED122" s="1125">
        <v>11015.08</v>
      </c>
      <c r="EE122" s="1125">
        <v>57507.21</v>
      </c>
      <c r="EF122" s="1745">
        <v>0</v>
      </c>
      <c r="EG122" s="1057">
        <f t="shared" si="62"/>
        <v>128572.20999999999</v>
      </c>
    </row>
    <row r="123" spans="1:137" ht="15" customHeight="1" x14ac:dyDescent="0.25">
      <c r="A123" s="719" t="s">
        <v>238</v>
      </c>
      <c r="B123" s="816" t="s">
        <v>239</v>
      </c>
      <c r="C123" s="917" t="s">
        <v>264</v>
      </c>
      <c r="D123" s="814">
        <f t="shared" si="35"/>
        <v>20163.64</v>
      </c>
      <c r="E123" s="814">
        <f t="shared" si="36"/>
        <v>8207.4599999999991</v>
      </c>
      <c r="F123" s="814">
        <f t="shared" si="37"/>
        <v>5824.26</v>
      </c>
      <c r="G123" s="814">
        <f t="shared" si="38"/>
        <v>-0.05</v>
      </c>
      <c r="H123" s="814">
        <f t="shared" si="39"/>
        <v>0</v>
      </c>
      <c r="I123" s="1422">
        <f t="shared" si="40"/>
        <v>34195.31</v>
      </c>
      <c r="J123" s="815">
        <f t="shared" si="41"/>
        <v>-0.05</v>
      </c>
      <c r="K123" s="1423">
        <f t="shared" si="42"/>
        <v>5824.21</v>
      </c>
      <c r="L123" s="1723"/>
      <c r="M123" s="1043"/>
      <c r="N123" s="1043"/>
      <c r="O123" s="1043"/>
      <c r="P123" s="1043"/>
      <c r="Q123" s="1044">
        <f t="shared" si="43"/>
        <v>0</v>
      </c>
      <c r="R123" s="1717"/>
      <c r="S123" s="1048"/>
      <c r="T123" s="1048"/>
      <c r="U123" s="1048"/>
      <c r="V123" s="1718"/>
      <c r="W123" s="1047">
        <f t="shared" si="44"/>
        <v>0</v>
      </c>
      <c r="X123" s="1719"/>
      <c r="Y123" s="1123"/>
      <c r="Z123" s="1123"/>
      <c r="AA123" s="1123"/>
      <c r="AB123" s="1123"/>
      <c r="AC123" s="1122">
        <f t="shared" si="45"/>
        <v>0</v>
      </c>
      <c r="AD123" s="1733">
        <v>1090.96</v>
      </c>
      <c r="AE123" s="1734">
        <v>6.5</v>
      </c>
      <c r="AF123" s="1734">
        <v>201.32</v>
      </c>
      <c r="AG123" s="1734">
        <v>-0.02</v>
      </c>
      <c r="AH123" s="1735">
        <v>0</v>
      </c>
      <c r="AI123" s="1045">
        <f t="shared" si="46"/>
        <v>1298.76</v>
      </c>
      <c r="AJ123" s="1744">
        <v>10225.549999999999</v>
      </c>
      <c r="AK123" s="1125">
        <v>0</v>
      </c>
      <c r="AL123" s="1125">
        <v>2556.37</v>
      </c>
      <c r="AM123" s="1125">
        <v>0</v>
      </c>
      <c r="AN123" s="1745">
        <v>0</v>
      </c>
      <c r="AO123" s="1057">
        <f t="shared" si="47"/>
        <v>12781.919999999998</v>
      </c>
      <c r="AP123" s="1736"/>
      <c r="AQ123" s="1046"/>
      <c r="AR123" s="1046"/>
      <c r="AS123" s="1046"/>
      <c r="AT123" s="1046"/>
      <c r="AU123" s="1049">
        <f t="shared" si="48"/>
        <v>0</v>
      </c>
      <c r="AV123" s="1758"/>
      <c r="AW123" s="1050"/>
      <c r="AX123" s="1050"/>
      <c r="AY123" s="1050"/>
      <c r="AZ123" s="1050"/>
      <c r="BA123" s="1051">
        <f t="shared" si="49"/>
        <v>0</v>
      </c>
      <c r="BB123" s="1764">
        <v>224</v>
      </c>
      <c r="BC123" s="1765">
        <v>56</v>
      </c>
      <c r="BD123" s="1765">
        <v>0</v>
      </c>
      <c r="BE123" s="1765">
        <v>0</v>
      </c>
      <c r="BF123" s="1766">
        <v>0</v>
      </c>
      <c r="BG123" s="1047">
        <f t="shared" si="50"/>
        <v>280</v>
      </c>
      <c r="BH123" s="1746">
        <v>17.82</v>
      </c>
      <c r="BI123" s="1053">
        <v>32.18</v>
      </c>
      <c r="BJ123" s="1053">
        <v>0</v>
      </c>
      <c r="BK123" s="1053">
        <v>0</v>
      </c>
      <c r="BL123" s="1053">
        <v>0</v>
      </c>
      <c r="BM123" s="1054">
        <f t="shared" si="51"/>
        <v>50</v>
      </c>
      <c r="BN123" s="1746">
        <v>262.5</v>
      </c>
      <c r="BO123" s="1053">
        <v>33.25</v>
      </c>
      <c r="BP123" s="1053">
        <v>54.25</v>
      </c>
      <c r="BQ123" s="1053">
        <v>0</v>
      </c>
      <c r="BR123" s="1053">
        <v>0</v>
      </c>
      <c r="BS123" s="1054">
        <f t="shared" si="52"/>
        <v>350</v>
      </c>
      <c r="BT123" s="1744"/>
      <c r="BU123" s="1125"/>
      <c r="BV123" s="1125"/>
      <c r="BW123" s="1125"/>
      <c r="BX123" s="1745"/>
      <c r="BY123" s="1057">
        <f t="shared" si="53"/>
        <v>0</v>
      </c>
      <c r="BZ123" s="1744">
        <v>2376.14</v>
      </c>
      <c r="CA123" s="1125">
        <v>8079.53</v>
      </c>
      <c r="CB123" s="1125">
        <v>1917.86</v>
      </c>
      <c r="CC123" s="1125">
        <v>-0.06</v>
      </c>
      <c r="CD123" s="1745">
        <v>0</v>
      </c>
      <c r="CE123" s="1057">
        <f t="shared" si="54"/>
        <v>12373.470000000001</v>
      </c>
      <c r="CF123" s="1746"/>
      <c r="CG123" s="1053"/>
      <c r="CH123" s="1053"/>
      <c r="CI123" s="1053"/>
      <c r="CJ123" s="1747"/>
      <c r="CK123" s="1057">
        <f t="shared" si="55"/>
        <v>0</v>
      </c>
      <c r="CL123" s="1746"/>
      <c r="CM123" s="1053"/>
      <c r="CN123" s="1053"/>
      <c r="CO123" s="1053"/>
      <c r="CP123" s="1053"/>
      <c r="CQ123" s="1054">
        <f t="shared" si="56"/>
        <v>0</v>
      </c>
      <c r="CR123" s="1744"/>
      <c r="CS123" s="1125"/>
      <c r="CT123" s="1125"/>
      <c r="CU123" s="1125"/>
      <c r="CV123" s="1745"/>
      <c r="CW123" s="1057">
        <f t="shared" si="57"/>
        <v>0</v>
      </c>
      <c r="CX123" s="1746"/>
      <c r="CY123" s="1053"/>
      <c r="CZ123" s="1053"/>
      <c r="DA123" s="1053"/>
      <c r="DB123" s="1053"/>
      <c r="DC123" s="1054">
        <f t="shared" si="58"/>
        <v>0</v>
      </c>
      <c r="DD123" s="1744"/>
      <c r="DE123" s="1125"/>
      <c r="DF123" s="1125"/>
      <c r="DG123" s="1125"/>
      <c r="DH123" s="1745"/>
      <c r="DI123" s="1057">
        <f t="shared" si="59"/>
        <v>0</v>
      </c>
      <c r="DJ123" s="1744"/>
      <c r="DK123" s="1125"/>
      <c r="DL123" s="1125"/>
      <c r="DM123" s="1125"/>
      <c r="DN123" s="1125"/>
      <c r="DO123" s="1124">
        <f t="shared" si="60"/>
        <v>0</v>
      </c>
      <c r="DP123" s="1125"/>
      <c r="DQ123" s="1125"/>
      <c r="DR123" s="1125"/>
      <c r="DS123" s="1125"/>
      <c r="DT123" s="1125"/>
      <c r="DU123" s="1125">
        <f t="shared" si="63"/>
        <v>0</v>
      </c>
      <c r="DV123" s="1744">
        <v>0</v>
      </c>
      <c r="DW123" s="1125">
        <v>0</v>
      </c>
      <c r="DX123" s="1125">
        <v>0</v>
      </c>
      <c r="DY123" s="1125">
        <v>0</v>
      </c>
      <c r="DZ123" s="1745">
        <v>0</v>
      </c>
      <c r="EA123" s="1058">
        <f t="shared" si="61"/>
        <v>0</v>
      </c>
      <c r="EB123" s="1744">
        <v>5966.67</v>
      </c>
      <c r="EC123" s="1125">
        <v>0</v>
      </c>
      <c r="ED123" s="1125">
        <v>1094.46</v>
      </c>
      <c r="EE123" s="1125">
        <v>0.03</v>
      </c>
      <c r="EF123" s="1745">
        <v>0</v>
      </c>
      <c r="EG123" s="1057">
        <f t="shared" si="62"/>
        <v>7061.16</v>
      </c>
    </row>
    <row r="124" spans="1:137" ht="15" customHeight="1" x14ac:dyDescent="0.25">
      <c r="A124" s="719" t="s">
        <v>240</v>
      </c>
      <c r="B124" s="816" t="s">
        <v>241</v>
      </c>
      <c r="C124" s="917" t="s">
        <v>267</v>
      </c>
      <c r="D124" s="814">
        <f t="shared" si="35"/>
        <v>45399.360000000001</v>
      </c>
      <c r="E124" s="814">
        <f t="shared" si="36"/>
        <v>55046.42</v>
      </c>
      <c r="F124" s="814">
        <f t="shared" si="37"/>
        <v>16999.599999999999</v>
      </c>
      <c r="G124" s="814">
        <f t="shared" si="38"/>
        <v>19846.59</v>
      </c>
      <c r="H124" s="814">
        <f t="shared" si="39"/>
        <v>0</v>
      </c>
      <c r="I124" s="1422">
        <f t="shared" si="40"/>
        <v>137291.97</v>
      </c>
      <c r="J124" s="815">
        <f t="shared" si="41"/>
        <v>19846.59</v>
      </c>
      <c r="K124" s="1423">
        <f t="shared" si="42"/>
        <v>36846.19</v>
      </c>
      <c r="L124" s="1723"/>
      <c r="M124" s="1043"/>
      <c r="N124" s="1043"/>
      <c r="O124" s="1043"/>
      <c r="P124" s="1043"/>
      <c r="Q124" s="1044">
        <f t="shared" si="43"/>
        <v>0</v>
      </c>
      <c r="R124" s="1717"/>
      <c r="S124" s="1048"/>
      <c r="T124" s="1048"/>
      <c r="U124" s="1048"/>
      <c r="V124" s="1718"/>
      <c r="W124" s="1047">
        <f t="shared" si="44"/>
        <v>0</v>
      </c>
      <c r="X124" s="1728"/>
      <c r="Y124" s="1729"/>
      <c r="Z124" s="1729"/>
      <c r="AA124" s="1729"/>
      <c r="AB124" s="1729"/>
      <c r="AC124" s="1122">
        <f t="shared" si="45"/>
        <v>0</v>
      </c>
      <c r="AD124" s="1738">
        <v>4583.6899999999996</v>
      </c>
      <c r="AE124" s="1739">
        <v>27.3</v>
      </c>
      <c r="AF124" s="1739">
        <v>845.81</v>
      </c>
      <c r="AG124" s="1739">
        <v>-0.03</v>
      </c>
      <c r="AH124" s="1740">
        <v>0</v>
      </c>
      <c r="AI124" s="1045">
        <f t="shared" si="46"/>
        <v>5456.7699999999995</v>
      </c>
      <c r="AJ124" s="1748">
        <v>0</v>
      </c>
      <c r="AK124" s="1749">
        <v>0</v>
      </c>
      <c r="AL124" s="1749">
        <v>0</v>
      </c>
      <c r="AM124" s="1749">
        <v>0</v>
      </c>
      <c r="AN124" s="1750">
        <v>0</v>
      </c>
      <c r="AO124" s="1057">
        <f t="shared" si="47"/>
        <v>0</v>
      </c>
      <c r="AP124" s="1736"/>
      <c r="AQ124" s="1046"/>
      <c r="AR124" s="1046"/>
      <c r="AS124" s="1046"/>
      <c r="AT124" s="1046"/>
      <c r="AU124" s="1049">
        <f t="shared" si="48"/>
        <v>0</v>
      </c>
      <c r="AV124" s="1759">
        <v>921.5</v>
      </c>
      <c r="AW124" s="1760">
        <v>230.37</v>
      </c>
      <c r="AX124" s="1760">
        <v>0</v>
      </c>
      <c r="AY124" s="1760">
        <v>0</v>
      </c>
      <c r="AZ124" s="1761">
        <v>0</v>
      </c>
      <c r="BA124" s="1051">
        <f t="shared" si="49"/>
        <v>1151.8699999999999</v>
      </c>
      <c r="BB124" s="1764">
        <v>3209.98</v>
      </c>
      <c r="BC124" s="1765">
        <v>802.49</v>
      </c>
      <c r="BD124" s="1765">
        <v>0</v>
      </c>
      <c r="BE124" s="1765">
        <v>0</v>
      </c>
      <c r="BF124" s="1766">
        <v>0</v>
      </c>
      <c r="BG124" s="1047">
        <f t="shared" si="50"/>
        <v>4012.4700000000003</v>
      </c>
      <c r="BH124" s="1748">
        <v>1133.3499999999999</v>
      </c>
      <c r="BI124" s="1749">
        <v>2046.65</v>
      </c>
      <c r="BJ124" s="1749">
        <v>0</v>
      </c>
      <c r="BK124" s="1749">
        <v>0</v>
      </c>
      <c r="BL124" s="1750">
        <v>0</v>
      </c>
      <c r="BM124" s="1054">
        <f t="shared" si="51"/>
        <v>3180</v>
      </c>
      <c r="BN124" s="1748">
        <v>15707.66</v>
      </c>
      <c r="BO124" s="1749">
        <v>1989.66</v>
      </c>
      <c r="BP124" s="1749">
        <v>3246.27</v>
      </c>
      <c r="BQ124" s="1749">
        <v>-0.06</v>
      </c>
      <c r="BR124" s="1750">
        <v>0</v>
      </c>
      <c r="BS124" s="1054">
        <f t="shared" si="52"/>
        <v>20943.53</v>
      </c>
      <c r="BT124" s="1748"/>
      <c r="BU124" s="1749"/>
      <c r="BV124" s="1749"/>
      <c r="BW124" s="1749"/>
      <c r="BX124" s="1750"/>
      <c r="BY124" s="1057">
        <f t="shared" si="53"/>
        <v>0</v>
      </c>
      <c r="BZ124" s="1748">
        <v>14246.15</v>
      </c>
      <c r="CA124" s="1749">
        <v>48140.67</v>
      </c>
      <c r="CB124" s="1749">
        <v>11443.49</v>
      </c>
      <c r="CC124" s="1749">
        <v>-0.2</v>
      </c>
      <c r="CD124" s="1750">
        <v>0</v>
      </c>
      <c r="CE124" s="1057">
        <f t="shared" si="54"/>
        <v>73830.11</v>
      </c>
      <c r="CF124" s="1748">
        <v>0</v>
      </c>
      <c r="CG124" s="1749">
        <v>0</v>
      </c>
      <c r="CH124" s="1749">
        <v>0</v>
      </c>
      <c r="CI124" s="1749">
        <v>19846.919999999998</v>
      </c>
      <c r="CJ124" s="1750">
        <v>0</v>
      </c>
      <c r="CK124" s="1057">
        <f t="shared" si="55"/>
        <v>19846.919999999998</v>
      </c>
      <c r="CL124" s="1746"/>
      <c r="CM124" s="1053"/>
      <c r="CN124" s="1053"/>
      <c r="CO124" s="1053"/>
      <c r="CP124" s="1053"/>
      <c r="CQ124" s="1054">
        <f t="shared" si="56"/>
        <v>0</v>
      </c>
      <c r="CR124" s="1748"/>
      <c r="CS124" s="1749"/>
      <c r="CT124" s="1749"/>
      <c r="CU124" s="1749"/>
      <c r="CV124" s="1750"/>
      <c r="CW124" s="1057">
        <f t="shared" si="57"/>
        <v>0</v>
      </c>
      <c r="CX124" s="1748"/>
      <c r="CY124" s="1749"/>
      <c r="CZ124" s="1749"/>
      <c r="DA124" s="1749"/>
      <c r="DB124" s="1750"/>
      <c r="DC124" s="1054">
        <f t="shared" si="58"/>
        <v>0</v>
      </c>
      <c r="DD124" s="1748">
        <v>-575</v>
      </c>
      <c r="DE124" s="1749">
        <v>0</v>
      </c>
      <c r="DF124" s="1749">
        <v>0</v>
      </c>
      <c r="DG124" s="1749">
        <v>0</v>
      </c>
      <c r="DH124" s="1750">
        <v>0</v>
      </c>
      <c r="DI124" s="1057">
        <f t="shared" si="59"/>
        <v>-575</v>
      </c>
      <c r="DJ124" s="1748"/>
      <c r="DK124" s="1749"/>
      <c r="DL124" s="1749"/>
      <c r="DM124" s="1749"/>
      <c r="DN124" s="1749"/>
      <c r="DO124" s="1124">
        <f t="shared" si="60"/>
        <v>0</v>
      </c>
      <c r="DP124" s="1125"/>
      <c r="DQ124" s="1125"/>
      <c r="DR124" s="1125"/>
      <c r="DS124" s="1125"/>
      <c r="DT124" s="1125"/>
      <c r="DU124" s="1125">
        <f t="shared" si="63"/>
        <v>0</v>
      </c>
      <c r="DV124" s="1744">
        <v>2622.14</v>
      </c>
      <c r="DW124" s="1125">
        <v>1809.28</v>
      </c>
      <c r="DX124" s="1125">
        <v>812.86</v>
      </c>
      <c r="DY124" s="1125">
        <v>-0.01</v>
      </c>
      <c r="DZ124" s="1745">
        <v>0</v>
      </c>
      <c r="EA124" s="1058">
        <f t="shared" si="61"/>
        <v>5244.2699999999995</v>
      </c>
      <c r="EB124" s="1748">
        <v>3549.89</v>
      </c>
      <c r="EC124" s="1749">
        <v>0</v>
      </c>
      <c r="ED124" s="1749">
        <v>651.16999999999996</v>
      </c>
      <c r="EE124" s="1749">
        <v>-0.03</v>
      </c>
      <c r="EF124" s="1750">
        <v>0</v>
      </c>
      <c r="EG124" s="1057">
        <f t="shared" si="62"/>
        <v>4201.03</v>
      </c>
    </row>
    <row r="125" spans="1:137" x14ac:dyDescent="0.25">
      <c r="DV125" s="484"/>
      <c r="DW125" s="484"/>
      <c r="DX125" s="484"/>
      <c r="DY125" s="484"/>
      <c r="DZ125" s="484"/>
    </row>
    <row r="126" spans="1:137" x14ac:dyDescent="0.25">
      <c r="A126" s="270" t="s">
        <v>266</v>
      </c>
      <c r="D126" s="1526">
        <f t="shared" ref="D126" si="64">D8+D19+D21+D23+D25+D29+D32+D36+D41+D46+D47+D52+D54+D55+D59+D63+D66+D68+D69+D74+D75+D80+D96+D109+D116+D119</f>
        <v>2213933.4500000002</v>
      </c>
      <c r="E126" s="1867">
        <f t="shared" ref="E126:I126" si="65">E8+E19+E21+E23+E25+E29+E32+E36+E41+E46+E47+E52+E54+E55+E59+E63+E66+E68+E69+E74+E75+E80+E96+E109+E116+E119</f>
        <v>2318371.09</v>
      </c>
      <c r="F126" s="1867">
        <f t="shared" si="65"/>
        <v>886070.44000000018</v>
      </c>
      <c r="G126" s="1867">
        <f t="shared" si="65"/>
        <v>20221.600000000002</v>
      </c>
      <c r="H126" s="1867">
        <f t="shared" si="65"/>
        <v>101654.55</v>
      </c>
      <c r="I126" s="1867">
        <f t="shared" si="65"/>
        <v>5540251.1299999999</v>
      </c>
      <c r="J126" s="1867">
        <f>G126+H126</f>
        <v>121876.15000000001</v>
      </c>
      <c r="K126" s="1867">
        <f>F126+G126+H126</f>
        <v>1007946.5900000002</v>
      </c>
      <c r="L126" s="1867">
        <f t="shared" ref="L126:P126" si="66">L8+L19+L21+L23+L25+L29+L32+L36+L41+L46+L47+L52+L54+L55+L59+L63+L66+L68+L69+L74+L75+L80+L96+L109+L116+L119</f>
        <v>0</v>
      </c>
      <c r="M126" s="1867">
        <f t="shared" si="66"/>
        <v>5600.28</v>
      </c>
      <c r="N126" s="1867">
        <f t="shared" si="66"/>
        <v>0</v>
      </c>
      <c r="O126" s="1867">
        <f t="shared" si="66"/>
        <v>0</v>
      </c>
      <c r="P126" s="1867">
        <f t="shared" si="66"/>
        <v>0</v>
      </c>
      <c r="Q126" s="1867">
        <f>SUM(L126:P126)</f>
        <v>5600.28</v>
      </c>
      <c r="R126" s="1867">
        <f t="shared" ref="R126:V126" si="67">R8+R19+R21+R23+R25+R29+R32+R36+R41+R46+R47+R52+R54+R55+R59+R63+R66+R68+R69+R74+R75+R80+R96+R109+R116+R119</f>
        <v>-75.2</v>
      </c>
      <c r="S126" s="1867">
        <f t="shared" si="67"/>
        <v>0</v>
      </c>
      <c r="T126" s="1867">
        <f t="shared" si="67"/>
        <v>-18.8</v>
      </c>
      <c r="U126" s="1867">
        <f t="shared" si="67"/>
        <v>607.89</v>
      </c>
      <c r="V126" s="1867">
        <f t="shared" si="67"/>
        <v>0</v>
      </c>
      <c r="W126" s="1867">
        <f>SUM(R126:V126)</f>
        <v>513.89</v>
      </c>
      <c r="X126" s="1867">
        <f t="shared" ref="X126:AB126" si="68">X8+X19+X21+X23+X25+X29+X32+X36+X41+X46+X47+X52+X54+X55+X59+X63+X66+X68+X69+X74+X75+X80+X96+X109+X116+X119</f>
        <v>0</v>
      </c>
      <c r="Y126" s="1867">
        <f t="shared" si="68"/>
        <v>0</v>
      </c>
      <c r="Z126" s="1867">
        <f t="shared" si="68"/>
        <v>0</v>
      </c>
      <c r="AA126" s="1867">
        <f t="shared" si="68"/>
        <v>0</v>
      </c>
      <c r="AB126" s="1867">
        <f t="shared" si="68"/>
        <v>0</v>
      </c>
      <c r="AC126" s="1867">
        <f>SUM(X126:AB126)</f>
        <v>0</v>
      </c>
      <c r="AD126" s="1867">
        <f t="shared" ref="AD126:AH126" si="69">AD8+AD19+AD21+AD23+AD25+AD29+AD32+AD36+AD41+AD46+AD47+AD52+AD54+AD55+AD59+AD63+AD66+AD68+AD69+AD74+AD75+AD80+AD96+AD109+AD116+AD119</f>
        <v>107075.80000000002</v>
      </c>
      <c r="AE126" s="1867">
        <f t="shared" si="69"/>
        <v>637.42000000000007</v>
      </c>
      <c r="AF126" s="1867">
        <f t="shared" si="69"/>
        <v>19758.11</v>
      </c>
      <c r="AG126" s="1867">
        <f t="shared" si="69"/>
        <v>-0.19000000000000003</v>
      </c>
      <c r="AH126" s="1867">
        <f t="shared" si="69"/>
        <v>5110.4399999999996</v>
      </c>
      <c r="AI126" s="1867">
        <f>SUM(AD126:AH126)</f>
        <v>132581.58000000002</v>
      </c>
      <c r="AJ126" s="1867">
        <f t="shared" ref="AJ126:AN126" si="70">AJ8+AJ19+AJ21+AJ23+AJ25+AJ29+AJ32+AJ36+AJ41+AJ46+AJ47+AJ52+AJ54+AJ55+AJ59+AJ63+AJ66+AJ68+AJ69+AJ74+AJ75+AJ80+AJ96+AJ109+AJ116+AJ119</f>
        <v>549864.36</v>
      </c>
      <c r="AK126" s="1867">
        <f t="shared" si="70"/>
        <v>0</v>
      </c>
      <c r="AL126" s="1867">
        <f t="shared" si="70"/>
        <v>137466.07</v>
      </c>
      <c r="AM126" s="1867">
        <f t="shared" si="70"/>
        <v>4117.6400000000003</v>
      </c>
      <c r="AN126" s="1867">
        <f t="shared" si="70"/>
        <v>87848.21</v>
      </c>
      <c r="AO126" s="1867">
        <f>SUM(AJ126:AN126)</f>
        <v>779296.27999999991</v>
      </c>
      <c r="AP126" s="1867">
        <f t="shared" ref="AP126:AT126" si="71">AP8+AP19+AP21+AP23+AP25+AP29+AP32+AP36+AP41+AP46+AP47+AP52+AP54+AP55+AP59+AP63+AP66+AP68+AP69+AP74+AP75+AP80+AP96+AP109+AP116+AP119</f>
        <v>15951.07</v>
      </c>
      <c r="AQ126" s="1867">
        <f t="shared" si="71"/>
        <v>10340.280000000001</v>
      </c>
      <c r="AR126" s="1867">
        <f t="shared" si="71"/>
        <v>4822.72</v>
      </c>
      <c r="AS126" s="1867">
        <f t="shared" si="71"/>
        <v>-9.0000000000000011E-2</v>
      </c>
      <c r="AT126" s="1867">
        <f t="shared" si="71"/>
        <v>0</v>
      </c>
      <c r="AU126" s="1867">
        <f>SUM(AP126:AT126)</f>
        <v>31113.98</v>
      </c>
      <c r="AV126" s="1867">
        <f t="shared" ref="AV126:AZ126" si="72">AV8+AV19+AV21+AV23+AV25+AV29+AV32+AV36+AV41+AV46+AV47+AV52+AV54+AV55+AV59+AV63+AV66+AV68+AV69+AV74+AV75+AV80+AV96+AV109+AV116+AV119</f>
        <v>42066.59</v>
      </c>
      <c r="AW126" s="1867">
        <f t="shared" si="72"/>
        <v>10516.66</v>
      </c>
      <c r="AX126" s="1867">
        <f t="shared" si="72"/>
        <v>0</v>
      </c>
      <c r="AY126" s="1867">
        <f t="shared" si="72"/>
        <v>0</v>
      </c>
      <c r="AZ126" s="1867">
        <f t="shared" si="72"/>
        <v>0</v>
      </c>
      <c r="BA126" s="1867">
        <f>SUM(AV126:AZ126)</f>
        <v>52583.25</v>
      </c>
      <c r="BB126" s="1867">
        <f t="shared" ref="BB126:BF126" si="73">BB8+BB19+BB21+BB23+BB25+BB29+BB32+BB36+BB41+BB46+BB47+BB52+BB54+BB55+BB59+BB63+BB66+BB68+BB69+BB74+BB75+BB80+BB96+BB109+BB116+BB119</f>
        <v>69108.160000000003</v>
      </c>
      <c r="BC126" s="1867">
        <f t="shared" si="73"/>
        <v>17277.010000000002</v>
      </c>
      <c r="BD126" s="1867">
        <f t="shared" si="73"/>
        <v>0</v>
      </c>
      <c r="BE126" s="1867">
        <f t="shared" si="73"/>
        <v>0</v>
      </c>
      <c r="BF126" s="1867">
        <f t="shared" si="73"/>
        <v>1362.4</v>
      </c>
      <c r="BG126" s="1867">
        <f>SUM(BB126:BF126)</f>
        <v>87747.57</v>
      </c>
      <c r="BH126" s="1867">
        <f t="shared" ref="BH126:BL126" si="74">BH8+BH19+BH21+BH23+BH25+BH29+BH32+BH36+BH41+BH46+BH47+BH52+BH54+BH55+BH59+BH63+BH66+BH68+BH69+BH74+BH75+BH80+BH96+BH109+BH116+BH119</f>
        <v>6360.27</v>
      </c>
      <c r="BI126" s="1867">
        <f t="shared" si="74"/>
        <v>11485.64</v>
      </c>
      <c r="BJ126" s="1867">
        <f t="shared" si="74"/>
        <v>0</v>
      </c>
      <c r="BK126" s="1867">
        <f t="shared" si="74"/>
        <v>0</v>
      </c>
      <c r="BL126" s="1867">
        <f t="shared" si="74"/>
        <v>0</v>
      </c>
      <c r="BM126" s="1867">
        <f>SUM(BH126:BL126)</f>
        <v>17845.91</v>
      </c>
      <c r="BN126" s="1867">
        <f t="shared" ref="BN126:BR126" si="75">BN8+BN19+BN21+BN23+BN25+BN29+BN32+BN36+BN41+BN46+BN47+BN52+BN54+BN55+BN59+BN63+BN66+BN68+BN69+BN74+BN75+BN80+BN96+BN109+BN116+BN119</f>
        <v>564504.74</v>
      </c>
      <c r="BO126" s="1867">
        <f t="shared" si="75"/>
        <v>71504.100000000006</v>
      </c>
      <c r="BP126" s="1867">
        <f t="shared" si="75"/>
        <v>116664.49999999999</v>
      </c>
      <c r="BQ126" s="1867">
        <f t="shared" si="75"/>
        <v>1862.9600000000003</v>
      </c>
      <c r="BR126" s="1867">
        <f t="shared" si="75"/>
        <v>0</v>
      </c>
      <c r="BS126" s="1867">
        <f>SUM(BN126:BR126)</f>
        <v>754536.29999999993</v>
      </c>
      <c r="BT126" s="1867">
        <f t="shared" ref="BT126:BX126" si="76">BT8+BT19+BT21+BT23+BT25+BT29+BT32+BT36+BT41+BT46+BT47+BT52+BT54+BT55+BT59+BT63+BT66+BT68+BT69+BT74+BT75+BT80+BT96+BT109+BT116+BT119</f>
        <v>-404.88</v>
      </c>
      <c r="BU126" s="1867">
        <f t="shared" si="76"/>
        <v>-404.88</v>
      </c>
      <c r="BV126" s="1867">
        <f t="shared" si="76"/>
        <v>0</v>
      </c>
      <c r="BW126" s="1867">
        <f t="shared" si="76"/>
        <v>0</v>
      </c>
      <c r="BX126" s="1867">
        <f t="shared" si="76"/>
        <v>0</v>
      </c>
      <c r="BY126" s="1867">
        <f>SUM(BT126:BX126)</f>
        <v>-809.76</v>
      </c>
      <c r="BZ126" s="1867">
        <f t="shared" ref="BZ126:CD126" si="77">BZ8+BZ19+BZ21+BZ23+BZ25+BZ29+BZ32+BZ36+BZ41+BZ46+BZ47+BZ52+BZ54+BZ55+BZ59+BZ63+BZ66+BZ68+BZ69+BZ74+BZ75+BZ80+BZ96+BZ109+BZ116+BZ119</f>
        <v>659220.83000000007</v>
      </c>
      <c r="CA126" s="1867">
        <f t="shared" si="77"/>
        <v>2107122.2799999998</v>
      </c>
      <c r="CB126" s="1867">
        <f t="shared" si="77"/>
        <v>507421.5</v>
      </c>
      <c r="CC126" s="1867">
        <f t="shared" si="77"/>
        <v>13637.799999999996</v>
      </c>
      <c r="CD126" s="1867">
        <f t="shared" si="77"/>
        <v>0</v>
      </c>
      <c r="CE126" s="1867">
        <f>SUM(BZ126:CD126)</f>
        <v>3287402.4099999997</v>
      </c>
      <c r="CF126" s="1867">
        <f t="shared" ref="CF126:CJ126" si="78">CF8+CF19+CF21+CF23+CF25+CF29+CF32+CF36+CF41+CF46+CF47+CF52+CF54+CF55+CF59+CF63+CF66+CF68+CF69+CF74+CF75+CF80+CF96+CF109+CF116+CF119</f>
        <v>30029.010000000002</v>
      </c>
      <c r="CG126" s="1867">
        <f t="shared" si="78"/>
        <v>0</v>
      </c>
      <c r="CH126" s="1867">
        <f t="shared" si="78"/>
        <v>50694.06</v>
      </c>
      <c r="CI126" s="1867">
        <f t="shared" si="78"/>
        <v>-0.01</v>
      </c>
      <c r="CJ126" s="1867">
        <f t="shared" si="78"/>
        <v>0</v>
      </c>
      <c r="CK126" s="1867">
        <f>SUM(CF126:CJ126)</f>
        <v>80723.060000000012</v>
      </c>
      <c r="CL126" s="1867">
        <f t="shared" ref="CL126:CP126" si="79">CL8+CL19+CL21+CL23+CL25+CL29+CL32+CL36+CL41+CL46+CL47+CL52+CL54+CL55+CL59+CL63+CL66+CL68+CL69+CL74+CL75+CL80+CL96+CL109+CL116+CL119</f>
        <v>12.4</v>
      </c>
      <c r="CM126" s="1867">
        <f t="shared" si="79"/>
        <v>0</v>
      </c>
      <c r="CN126" s="1867">
        <f t="shared" si="79"/>
        <v>37.6</v>
      </c>
      <c r="CO126" s="1867">
        <f t="shared" si="79"/>
        <v>0</v>
      </c>
      <c r="CP126" s="1867">
        <f t="shared" si="79"/>
        <v>0</v>
      </c>
      <c r="CQ126" s="1867">
        <f>SUM(CL126:CP126)</f>
        <v>50</v>
      </c>
      <c r="CR126" s="1867">
        <f t="shared" ref="CR126:CV126" si="80">CR8+CR19+CR21+CR23+CR25+CR29+CR32+CR36+CR41+CR46+CR47+CR52+CR54+CR55+CR59+CR63+CR66+CR68+CR69+CR74+CR75+CR80+CR96+CR109+CR116+CR119</f>
        <v>0</v>
      </c>
      <c r="CS126" s="1867">
        <f t="shared" si="80"/>
        <v>0</v>
      </c>
      <c r="CT126" s="1867">
        <f t="shared" si="80"/>
        <v>0</v>
      </c>
      <c r="CU126" s="1867">
        <f t="shared" si="80"/>
        <v>0</v>
      </c>
      <c r="CV126" s="1867">
        <f t="shared" si="80"/>
        <v>0</v>
      </c>
      <c r="CW126" s="1867">
        <f>SUM(CR126:CV126)</f>
        <v>0</v>
      </c>
      <c r="CX126" s="1867">
        <f t="shared" ref="CX126:DB126" si="81">CX8+CX19+CX21+CX23+CX25+CX29+CX32+CX36+CX41+CX46+CX47+CX52+CX54+CX55+CX59+CX63+CX66+CX68+CX69+CX74+CX75+CX80+CX96+CX109+CX116+CX119</f>
        <v>-413.6</v>
      </c>
      <c r="CY126" s="1867">
        <f t="shared" si="81"/>
        <v>-413.6</v>
      </c>
      <c r="CZ126" s="1867">
        <f t="shared" si="81"/>
        <v>0</v>
      </c>
      <c r="DA126" s="1867">
        <f t="shared" si="81"/>
        <v>0.02</v>
      </c>
      <c r="DB126" s="1867">
        <f t="shared" si="81"/>
        <v>0</v>
      </c>
      <c r="DC126" s="1867">
        <f>SUM(CX126:DB126)</f>
        <v>-827.18000000000006</v>
      </c>
      <c r="DD126" s="1867">
        <f t="shared" ref="DD126:DH126" si="82">DD8+DD19+DD21+DD23+DD25+DD29+DD32+DD36+DD41+DD46+DD47+DD52+DD54+DD55+DD59+DD63+DD66+DD68+DD69+DD74+DD75+DD80+DD96+DD109+DD116+DD119</f>
        <v>-9609.5</v>
      </c>
      <c r="DE126" s="1867">
        <f t="shared" si="82"/>
        <v>0</v>
      </c>
      <c r="DF126" s="1867">
        <f t="shared" si="82"/>
        <v>0</v>
      </c>
      <c r="DG126" s="1867">
        <f t="shared" si="82"/>
        <v>0</v>
      </c>
      <c r="DH126" s="1867">
        <f t="shared" si="82"/>
        <v>0</v>
      </c>
      <c r="DI126" s="1867">
        <f>SUM(DD126:DH126)</f>
        <v>-9609.5</v>
      </c>
      <c r="DJ126" s="1867">
        <f t="shared" ref="DJ126:DN126" si="83">DJ8+DJ19+DJ21+DJ23+DJ25+DJ29+DJ32+DJ36+DJ41+DJ46+DJ47+DJ52+DJ54+DJ55+DJ59+DJ63+DJ66+DJ68+DJ69+DJ74+DJ75+DJ80+DJ96+DJ109+DJ116+DJ119</f>
        <v>-2449</v>
      </c>
      <c r="DK126" s="1867">
        <f t="shared" si="83"/>
        <v>0</v>
      </c>
      <c r="DL126" s="1867">
        <f t="shared" si="83"/>
        <v>0</v>
      </c>
      <c r="DM126" s="1867">
        <f t="shared" si="83"/>
        <v>0</v>
      </c>
      <c r="DN126" s="1867">
        <f t="shared" si="83"/>
        <v>0</v>
      </c>
      <c r="DO126" s="1867">
        <f>SUM(DJ126:DN126)</f>
        <v>-2449</v>
      </c>
      <c r="DP126" s="1867">
        <f t="shared" ref="DP126:DT126" si="84">DP8+DP19+DP21+DP23+DP25+DP29+DP32+DP36+DP41+DP46+DP47+DP52+DP54+DP55+DP59+DP63+DP66+DP68+DP69+DP74+DP75+DP80+DP96+DP109+DP116+DP119</f>
        <v>-478.5</v>
      </c>
      <c r="DQ126" s="1867">
        <f t="shared" si="84"/>
        <v>-478.5</v>
      </c>
      <c r="DR126" s="1867">
        <f t="shared" si="84"/>
        <v>0</v>
      </c>
      <c r="DS126" s="1867">
        <f t="shared" si="84"/>
        <v>0</v>
      </c>
      <c r="DT126" s="1867">
        <f t="shared" si="84"/>
        <v>0</v>
      </c>
      <c r="DU126" s="1867">
        <f>SUM(DP126:DT126)</f>
        <v>-957</v>
      </c>
      <c r="DV126" s="1867">
        <f t="shared" ref="DV126:DZ126" si="85">DV8+DV19+DV21+DV23+DV25+DV29+DV32+DV36+DV41+DV46+DV47+DV52+DV54+DV55+DV59+DV63+DV66+DV68+DV69+DV74+DV75+DV80+DV96+DV109+DV116+DV119</f>
        <v>123455.69</v>
      </c>
      <c r="DW126" s="1867">
        <f t="shared" si="85"/>
        <v>85184.4</v>
      </c>
      <c r="DX126" s="1867">
        <f t="shared" si="85"/>
        <v>38271.289999999994</v>
      </c>
      <c r="DY126" s="1867">
        <f t="shared" si="85"/>
        <v>-9.0000000000000011E-2</v>
      </c>
      <c r="DZ126" s="1867">
        <f t="shared" si="85"/>
        <v>7333.5</v>
      </c>
      <c r="EA126" s="1867">
        <f>SUM(DV126:DZ126)</f>
        <v>254244.79</v>
      </c>
      <c r="EB126" s="1867">
        <f t="shared" ref="EB126:EE126" si="86">EB8+EB19+EB21+EB23+EB25+EB29+EB32+EB36+EB41+EB46+EB47+EB52+EB54+EB55+EB59+EB63+EB66+EB68+EB69+EB74+EB75+EB80+EB96+EB109+EB116+EB119</f>
        <v>59715.209999999992</v>
      </c>
      <c r="EC126" s="1867">
        <f t="shared" si="86"/>
        <v>0</v>
      </c>
      <c r="ED126" s="1867">
        <f t="shared" si="86"/>
        <v>10953.390000000001</v>
      </c>
      <c r="EE126" s="1867">
        <f t="shared" si="86"/>
        <v>-4.3300000000000018</v>
      </c>
      <c r="EF126" s="1867">
        <f t="shared" ref="EF126" si="87">EF8+EF19+EF21+EF23+EF25+EF29+EF32+EF36+EF41+EF46+EF47+EF52+EF54+EF55+EF59+EF63+EF66+EF68+EF69+EF74+EF75+EF80+EF96+EF109+EF116+EF119</f>
        <v>0</v>
      </c>
      <c r="EG126" s="1867">
        <f>SUM(EB126:EF126)</f>
        <v>70664.26999999999</v>
      </c>
    </row>
    <row r="127" spans="1:137" x14ac:dyDescent="0.25">
      <c r="A127" s="270" t="s">
        <v>264</v>
      </c>
      <c r="D127" s="1526">
        <f t="shared" ref="D127" si="88">D5+D17+D31+D40+D44+D50+D51+D61+D67+D76+D88+D91+D92+D99+D103+D105+D108+D113+D114+D117+D121+D122+D123</f>
        <v>3245831.955972034</v>
      </c>
      <c r="E127" s="1867">
        <f t="shared" ref="E127:I127" si="89">E5+E17+E31+E40+E44+E50+E51+E61+E67+E76+E88+E91+E92+E99+E103+E105+E108+E113+E114+E117+E121+E122+E123</f>
        <v>1751320.71</v>
      </c>
      <c r="F127" s="1867">
        <f t="shared" si="89"/>
        <v>1059317.7500000002</v>
      </c>
      <c r="G127" s="1867">
        <f t="shared" si="89"/>
        <v>273223.71000000002</v>
      </c>
      <c r="H127" s="1867">
        <f t="shared" si="89"/>
        <v>160623.59</v>
      </c>
      <c r="I127" s="1867">
        <f t="shared" si="89"/>
        <v>6490317.7159720333</v>
      </c>
      <c r="J127" s="1867">
        <f t="shared" ref="J127:J130" si="90">G127+H127</f>
        <v>433847.30000000005</v>
      </c>
      <c r="K127" s="1867">
        <f t="shared" ref="K127:K130" si="91">F127+G127+H127</f>
        <v>1493165.0500000003</v>
      </c>
      <c r="L127" s="1867">
        <f t="shared" ref="L127:P127" si="92">L5+L17+L31+L40+L44+L50+L51+L61+L67+L76+L88+L91+L92+L99+L103+L105+L108+L113+L114+L117+L121+L122+L123</f>
        <v>0</v>
      </c>
      <c r="M127" s="1867">
        <f t="shared" si="92"/>
        <v>0</v>
      </c>
      <c r="N127" s="1867">
        <f t="shared" si="92"/>
        <v>0</v>
      </c>
      <c r="O127" s="1867">
        <f t="shared" si="92"/>
        <v>0</v>
      </c>
      <c r="P127" s="1867">
        <f t="shared" si="92"/>
        <v>0</v>
      </c>
      <c r="Q127" s="1867">
        <f t="shared" ref="Q127:Q130" si="93">SUM(L127:P127)</f>
        <v>0</v>
      </c>
      <c r="R127" s="1867">
        <f t="shared" ref="R127:V127" si="94">R5+R17+R31+R40+R44+R50+R51+R61+R67+R76+R88+R91+R92+R99+R103+R105+R108+R113+R114+R117+R121+R122+R123</f>
        <v>0</v>
      </c>
      <c r="S127" s="1867">
        <f t="shared" si="94"/>
        <v>0</v>
      </c>
      <c r="T127" s="1867">
        <f t="shared" si="94"/>
        <v>0</v>
      </c>
      <c r="U127" s="1867">
        <f t="shared" si="94"/>
        <v>108324.68</v>
      </c>
      <c r="V127" s="1867">
        <f t="shared" si="94"/>
        <v>125806.56</v>
      </c>
      <c r="W127" s="1867">
        <f t="shared" ref="W127:W130" si="95">SUM(R127:V127)</f>
        <v>234131.24</v>
      </c>
      <c r="X127" s="1867">
        <f t="shared" ref="X127:AB127" si="96">X5+X17+X31+X40+X44+X50+X51+X61+X67+X76+X88+X91+X92+X99+X103+X105+X108+X113+X114+X117+X121+X122+X123</f>
        <v>0</v>
      </c>
      <c r="Y127" s="1867">
        <f t="shared" si="96"/>
        <v>0</v>
      </c>
      <c r="Z127" s="1867">
        <f t="shared" si="96"/>
        <v>0</v>
      </c>
      <c r="AA127" s="1867">
        <f t="shared" si="96"/>
        <v>0</v>
      </c>
      <c r="AB127" s="1867">
        <f t="shared" si="96"/>
        <v>0</v>
      </c>
      <c r="AC127" s="1867">
        <f t="shared" ref="AC127:AC130" si="97">SUM(X127:AB127)</f>
        <v>0</v>
      </c>
      <c r="AD127" s="1867">
        <f t="shared" ref="AD127:AH127" si="98">AD5+AD17+AD31+AD40+AD44+AD50+AD51+AD61+AD67+AD76+AD88+AD91+AD92+AD99+AD103+AD105+AD108+AD113+AD114+AD117+AD121+AD122+AD123</f>
        <v>170320.78000000003</v>
      </c>
      <c r="AE127" s="1867">
        <f t="shared" si="98"/>
        <v>1013.8900000000001</v>
      </c>
      <c r="AF127" s="1867">
        <f t="shared" si="98"/>
        <v>31428.33</v>
      </c>
      <c r="AG127" s="1867">
        <f t="shared" si="98"/>
        <v>-0.19</v>
      </c>
      <c r="AH127" s="1867">
        <f t="shared" si="98"/>
        <v>0</v>
      </c>
      <c r="AI127" s="1867">
        <f t="shared" ref="AI127:AI130" si="99">SUM(AD127:AH127)</f>
        <v>202762.81000000006</v>
      </c>
      <c r="AJ127" s="1867">
        <f t="shared" ref="AJ127:AN127" si="100">AJ5+AJ17+AJ31+AJ40+AJ44+AJ50+AJ51+AJ61+AJ67+AJ76+AJ88+AJ91+AJ92+AJ99+AJ103+AJ105+AJ108+AJ113+AJ114+AJ117+AJ121+AJ122+AJ123</f>
        <v>1098430.7300000002</v>
      </c>
      <c r="AK127" s="1867">
        <f t="shared" si="100"/>
        <v>0</v>
      </c>
      <c r="AL127" s="1867">
        <f t="shared" si="100"/>
        <v>274607.59999999998</v>
      </c>
      <c r="AM127" s="1867">
        <f t="shared" si="100"/>
        <v>104988.22</v>
      </c>
      <c r="AN127" s="1867">
        <f t="shared" si="100"/>
        <v>16658.23</v>
      </c>
      <c r="AO127" s="1867">
        <f t="shared" ref="AO127:AO130" si="101">SUM(AJ127:AN127)</f>
        <v>1494684.78</v>
      </c>
      <c r="AP127" s="1867">
        <f t="shared" ref="AP127:AT127" si="102">AP5+AP17+AP31+AP40+AP44+AP50+AP51+AP61+AP67+AP76+AP88+AP91+AP92+AP99+AP103+AP105+AP108+AP113+AP114+AP117+AP121+AP122+AP123</f>
        <v>118974.73999999999</v>
      </c>
      <c r="AQ127" s="1867">
        <f t="shared" si="102"/>
        <v>31102.49</v>
      </c>
      <c r="AR127" s="1867">
        <f t="shared" si="102"/>
        <v>27528.97</v>
      </c>
      <c r="AS127" s="1867">
        <f t="shared" si="102"/>
        <v>-0.25</v>
      </c>
      <c r="AT127" s="1867">
        <f t="shared" si="102"/>
        <v>0</v>
      </c>
      <c r="AU127" s="1867">
        <f t="shared" ref="AU127:AU130" si="103">SUM(AP127:AT127)</f>
        <v>177605.94999999998</v>
      </c>
      <c r="AV127" s="1867">
        <f t="shared" ref="AV127:AZ127" si="104">AV5+AV17+AV31+AV40+AV44+AV50+AV51+AV61+AV67+AV76+AV88+AV91+AV92+AV99+AV103+AV105+AV108+AV113+AV114+AV117+AV121+AV122+AV123</f>
        <v>43401.79</v>
      </c>
      <c r="AW127" s="1867">
        <f t="shared" si="104"/>
        <v>10850.449999999999</v>
      </c>
      <c r="AX127" s="1867">
        <f t="shared" si="104"/>
        <v>0</v>
      </c>
      <c r="AY127" s="1867">
        <f t="shared" si="104"/>
        <v>24.37</v>
      </c>
      <c r="AZ127" s="1867">
        <f t="shared" si="104"/>
        <v>0</v>
      </c>
      <c r="BA127" s="1867">
        <f t="shared" ref="BA127:BA130" si="105">SUM(AV127:AZ127)</f>
        <v>54276.61</v>
      </c>
      <c r="BB127" s="1867">
        <f t="shared" ref="BB127:BF127" si="106">BB5+BB17+BB31+BB40+BB44+BB50+BB51+BB61+BB67+BB76+BB88+BB91+BB92+BB99+BB103+BB105+BB108+BB113+BB114+BB117+BB121+BB122+BB123</f>
        <v>115021.22</v>
      </c>
      <c r="BC127" s="1867">
        <f t="shared" si="106"/>
        <v>28755.300000000003</v>
      </c>
      <c r="BD127" s="1867">
        <f t="shared" si="106"/>
        <v>0</v>
      </c>
      <c r="BE127" s="1867">
        <f t="shared" si="106"/>
        <v>0</v>
      </c>
      <c r="BF127" s="1867">
        <f t="shared" si="106"/>
        <v>0</v>
      </c>
      <c r="BG127" s="1867">
        <f t="shared" ref="BG127:BG130" si="107">SUM(BB127:BF127)</f>
        <v>143776.52000000002</v>
      </c>
      <c r="BH127" s="1867">
        <f t="shared" ref="BH127:BL127" si="108">BH5+BH17+BH31+BH40+BH44+BH50+BH51+BH61+BH67+BH76+BH88+BH91+BH92+BH99+BH103+BH105+BH108+BH113+BH114+BH117+BH121+BH122+BH123</f>
        <v>14013.869999999999</v>
      </c>
      <c r="BI127" s="1867">
        <f t="shared" si="108"/>
        <v>25306.82</v>
      </c>
      <c r="BJ127" s="1867">
        <f t="shared" si="108"/>
        <v>0</v>
      </c>
      <c r="BK127" s="1867">
        <f t="shared" si="108"/>
        <v>0</v>
      </c>
      <c r="BL127" s="1867">
        <f t="shared" si="108"/>
        <v>200</v>
      </c>
      <c r="BM127" s="1867">
        <f t="shared" ref="BM127:BM130" si="109">SUM(BH127:BL127)</f>
        <v>39520.69</v>
      </c>
      <c r="BN127" s="1867">
        <f t="shared" ref="BN127:BR127" si="110">BN5+BN17+BN31+BN40+BN44+BN50+BN51+BN61+BN67+BN76+BN88+BN91+BN92+BN99+BN103+BN105+BN108+BN113+BN114+BN117+BN121+BN122+BN123</f>
        <v>536091.38000000012</v>
      </c>
      <c r="BO127" s="1867">
        <f t="shared" si="110"/>
        <v>67905</v>
      </c>
      <c r="BP127" s="1867">
        <f t="shared" si="110"/>
        <v>110792.24999999997</v>
      </c>
      <c r="BQ127" s="1867">
        <f t="shared" si="110"/>
        <v>3659.47</v>
      </c>
      <c r="BR127" s="1867">
        <f t="shared" si="110"/>
        <v>3000</v>
      </c>
      <c r="BS127" s="1867">
        <f t="shared" ref="BS127:BS130" si="111">SUM(BN127:BR127)</f>
        <v>721448.10000000009</v>
      </c>
      <c r="BT127" s="1867">
        <f t="shared" ref="BT127:BX127" si="112">BT5+BT17+BT31+BT40+BT44+BT50+BT51+BT61+BT67+BT76+BT88+BT91+BT92+BT99+BT103+BT105+BT108+BT113+BT114+BT117+BT121+BT122+BT123</f>
        <v>-8372.5800000000017</v>
      </c>
      <c r="BU127" s="1867">
        <f t="shared" si="112"/>
        <v>-8372.5800000000017</v>
      </c>
      <c r="BV127" s="1867">
        <f t="shared" si="112"/>
        <v>0</v>
      </c>
      <c r="BW127" s="1867">
        <f t="shared" si="112"/>
        <v>0.21</v>
      </c>
      <c r="BX127" s="1867">
        <f t="shared" si="112"/>
        <v>0</v>
      </c>
      <c r="BY127" s="1867">
        <f t="shared" ref="BY127:BY130" si="113">SUM(BT127:BX127)</f>
        <v>-16744.950000000004</v>
      </c>
      <c r="BZ127" s="1867">
        <f t="shared" ref="BZ127:CD127" si="114">BZ5+BZ17+BZ31+BZ40+BZ44+BZ50+BZ51+BZ61+BZ67+BZ76+BZ88+BZ91+BZ92+BZ99+BZ103+BZ105+BZ108+BZ113+BZ114+BZ117+BZ121+BZ122+BZ123</f>
        <v>768702.15597203432</v>
      </c>
      <c r="CA127" s="1867">
        <f t="shared" si="114"/>
        <v>1531367.6800000002</v>
      </c>
      <c r="CB127" s="1867">
        <f t="shared" si="114"/>
        <v>421889.86</v>
      </c>
      <c r="CC127" s="1867">
        <f t="shared" si="114"/>
        <v>-2338.8599999999997</v>
      </c>
      <c r="CD127" s="1867">
        <f t="shared" si="114"/>
        <v>14913.03</v>
      </c>
      <c r="CE127" s="1867">
        <f t="shared" ref="CE127:CE130" si="115">SUM(BZ127:CD127)</f>
        <v>2734533.8659720342</v>
      </c>
      <c r="CF127" s="1867">
        <f t="shared" ref="CF127:CJ127" si="116">CF5+CF17+CF31+CF40+CF44+CF50+CF51+CF61+CF67+CF76+CF88+CF91+CF92+CF99+CF103+CF105+CF108+CF113+CF114+CF117+CF121+CF122+CF123</f>
        <v>53039.98</v>
      </c>
      <c r="CG127" s="1867">
        <f t="shared" si="116"/>
        <v>0</v>
      </c>
      <c r="CH127" s="1867">
        <f t="shared" si="116"/>
        <v>89540.440000000017</v>
      </c>
      <c r="CI127" s="1867">
        <f t="shared" si="116"/>
        <v>0</v>
      </c>
      <c r="CJ127" s="1867">
        <f t="shared" si="116"/>
        <v>0</v>
      </c>
      <c r="CK127" s="1867">
        <f t="shared" ref="CK127:CK130" si="117">SUM(CF127:CJ127)</f>
        <v>142580.42000000001</v>
      </c>
      <c r="CL127" s="1867">
        <f t="shared" ref="CL127:CP127" si="118">CL5+CL17+CL31+CL40+CL44+CL50+CL51+CL61+CL67+CL76+CL88+CL91+CL92+CL99+CL103+CL105+CL108+CL113+CL114+CL117+CL121+CL122+CL123</f>
        <v>6251.9400000000005</v>
      </c>
      <c r="CM127" s="1867">
        <f t="shared" si="118"/>
        <v>0</v>
      </c>
      <c r="CN127" s="1867">
        <f t="shared" si="118"/>
        <v>18957.509999999998</v>
      </c>
      <c r="CO127" s="1867">
        <f t="shared" si="118"/>
        <v>0</v>
      </c>
      <c r="CP127" s="1867">
        <f t="shared" si="118"/>
        <v>45.77</v>
      </c>
      <c r="CQ127" s="1867">
        <f t="shared" ref="CQ127:CQ130" si="119">SUM(CL127:CP127)</f>
        <v>25255.219999999998</v>
      </c>
      <c r="CR127" s="1867">
        <f t="shared" ref="CR127:CV127" si="120">CR5+CR17+CR31+CR40+CR44+CR50+CR51+CR61+CR67+CR76+CR88+CR91+CR92+CR99+CR103+CR105+CR108+CR113+CR114+CR117+CR121+CR122+CR123</f>
        <v>-599</v>
      </c>
      <c r="CS127" s="1867">
        <f t="shared" si="120"/>
        <v>0</v>
      </c>
      <c r="CT127" s="1867">
        <f t="shared" si="120"/>
        <v>0</v>
      </c>
      <c r="CU127" s="1867">
        <f t="shared" si="120"/>
        <v>0</v>
      </c>
      <c r="CV127" s="1867">
        <f t="shared" si="120"/>
        <v>0</v>
      </c>
      <c r="CW127" s="1867">
        <f t="shared" ref="CW127:CW130" si="121">SUM(CR127:CV127)</f>
        <v>-599</v>
      </c>
      <c r="CX127" s="1867">
        <f t="shared" ref="CX127:DB127" si="122">CX5+CX17+CX31+CX40+CX44+CX50+CX51+CX61+CX67+CX76+CX88+CX91+CX92+CX99+CX103+CX105+CX108+CX113+CX114+CX117+CX121+CX122+CX123</f>
        <v>-3929.59</v>
      </c>
      <c r="CY127" s="1867">
        <f t="shared" si="122"/>
        <v>-3929.59</v>
      </c>
      <c r="CZ127" s="1867">
        <f t="shared" si="122"/>
        <v>0</v>
      </c>
      <c r="DA127" s="1867">
        <f t="shared" si="122"/>
        <v>-255.97</v>
      </c>
      <c r="DB127" s="1867">
        <f t="shared" si="122"/>
        <v>0</v>
      </c>
      <c r="DC127" s="1867">
        <f t="shared" ref="DC127:DC130" si="123">SUM(CX127:DB127)</f>
        <v>-8115.1500000000005</v>
      </c>
      <c r="DD127" s="1867">
        <f t="shared" ref="DD127:DH127" si="124">DD5+DD17+DD31+DD40+DD44+DD50+DD51+DD61+DD67+DD76+DD88+DD91+DD92+DD99+DD103+DD105+DD108+DD113+DD114+DD117+DD121+DD122+DD123</f>
        <v>-10624.97</v>
      </c>
      <c r="DE127" s="1867">
        <f t="shared" si="124"/>
        <v>0</v>
      </c>
      <c r="DF127" s="1867">
        <f t="shared" si="124"/>
        <v>0</v>
      </c>
      <c r="DG127" s="1867">
        <f t="shared" si="124"/>
        <v>0</v>
      </c>
      <c r="DH127" s="1867">
        <f t="shared" si="124"/>
        <v>0</v>
      </c>
      <c r="DI127" s="1867">
        <f t="shared" ref="DI127:DI130" si="125">SUM(DD127:DH127)</f>
        <v>-10624.97</v>
      </c>
      <c r="DJ127" s="1867">
        <f t="shared" ref="DJ127:DN127" si="126">DJ5+DJ17+DJ31+DJ40+DJ44+DJ50+DJ51+DJ61+DJ67+DJ76+DJ88+DJ91+DJ92+DJ99+DJ103+DJ105+DJ108+DJ113+DJ114+DJ117+DJ121+DJ122+DJ123</f>
        <v>-27703.190000000002</v>
      </c>
      <c r="DK127" s="1867">
        <f t="shared" si="126"/>
        <v>-1207.27</v>
      </c>
      <c r="DL127" s="1867">
        <f t="shared" si="126"/>
        <v>0</v>
      </c>
      <c r="DM127" s="1867">
        <f t="shared" si="126"/>
        <v>0</v>
      </c>
      <c r="DN127" s="1867">
        <f t="shared" si="126"/>
        <v>0</v>
      </c>
      <c r="DO127" s="1867">
        <f t="shared" ref="DO127:DO130" si="127">SUM(DJ127:DN127)</f>
        <v>-28910.460000000003</v>
      </c>
      <c r="DP127" s="1867">
        <f t="shared" ref="DP127:DT127" si="128">DP5+DP17+DP31+DP40+DP44+DP50+DP51+DP61+DP67+DP76+DP88+DP91+DP92+DP99+DP103+DP105+DP108+DP113+DP114+DP117+DP121+DP122+DP123</f>
        <v>-9858.92</v>
      </c>
      <c r="DQ127" s="1867">
        <f t="shared" si="128"/>
        <v>-9858.92</v>
      </c>
      <c r="DR127" s="1867">
        <f t="shared" si="128"/>
        <v>0</v>
      </c>
      <c r="DS127" s="1867">
        <f t="shared" si="128"/>
        <v>0.02</v>
      </c>
      <c r="DT127" s="1867">
        <f t="shared" si="128"/>
        <v>0</v>
      </c>
      <c r="DU127" s="1867">
        <f t="shared" ref="DU127:DU130" si="129">SUM(DP127:DT127)</f>
        <v>-19717.82</v>
      </c>
      <c r="DV127" s="1867">
        <f t="shared" ref="DV127:DZ127" si="130">DV5+DV17+DV31+DV40+DV44+DV50+DV51+DV61+DV67+DV76+DV88+DV91+DV92+DV99+DV103+DV105+DV108+DV113+DV114+DV117+DV121+DV122+DV123</f>
        <v>113605.09</v>
      </c>
      <c r="DW127" s="1867">
        <f t="shared" si="130"/>
        <v>78387.44</v>
      </c>
      <c r="DX127" s="1867">
        <f t="shared" si="130"/>
        <v>35217.57</v>
      </c>
      <c r="DY127" s="1867">
        <f t="shared" si="130"/>
        <v>1769.2800000000002</v>
      </c>
      <c r="DZ127" s="1867">
        <f t="shared" si="130"/>
        <v>0</v>
      </c>
      <c r="EA127" s="1867">
        <f t="shared" ref="EA127:EA130" si="131">SUM(DV127:DZ127)</f>
        <v>228979.38</v>
      </c>
      <c r="EB127" s="1867">
        <f t="shared" ref="EB127:EE127" si="132">EB5+EB17+EB31+EB40+EB44+EB50+EB51+EB61+EB67+EB76+EB88+EB91+EB92+EB99+EB103+EB105+EB108+EB113+EB114+EB117+EB121+EB122+EB123</f>
        <v>269066.52999999997</v>
      </c>
      <c r="EC127" s="1867">
        <f t="shared" si="132"/>
        <v>0</v>
      </c>
      <c r="ED127" s="1867">
        <f t="shared" si="132"/>
        <v>49355.220000000008</v>
      </c>
      <c r="EE127" s="1867">
        <f t="shared" si="132"/>
        <v>57052.729999999996</v>
      </c>
      <c r="EF127" s="1867">
        <f t="shared" ref="EF127" si="133">EF5+EF17+EF31+EF40+EF44+EF50+EF51+EF61+EF67+EF76+EF88+EF91+EF92+EF99+EF103+EF105+EF108+EF113+EF114+EF117+EF121+EF122+EF123</f>
        <v>0</v>
      </c>
      <c r="EG127" s="1867">
        <f t="shared" ref="EG127:EG130" si="134">SUM(EB127:EF127)</f>
        <v>375474.48</v>
      </c>
    </row>
    <row r="128" spans="1:137" x14ac:dyDescent="0.25">
      <c r="A128" s="270" t="s">
        <v>267</v>
      </c>
      <c r="D128" s="1526">
        <f t="shared" ref="D128" si="135">D11+D26+D28+D33+D34+D38+D43+D53+D57+D58+D60+D70+D71+D77+D79+D83+D86+D89+D90+D94+D100+D106+D111+D112+D124</f>
        <v>3092926.17</v>
      </c>
      <c r="E128" s="1867">
        <f t="shared" ref="E128:I128" si="136">E11+E26+E28+E33+E34+E38+E43+E53+E57+E58+E60+E70+E71+E77+E79+E83+E86+E89+E90+E94+E100+E106+E111+E112+E124</f>
        <v>2076790.1569999997</v>
      </c>
      <c r="F128" s="1867">
        <f t="shared" si="136"/>
        <v>1155320.7800000003</v>
      </c>
      <c r="G128" s="1867">
        <f t="shared" si="136"/>
        <v>1105032.5400000003</v>
      </c>
      <c r="H128" s="1867">
        <f t="shared" si="136"/>
        <v>2368867.1099999994</v>
      </c>
      <c r="I128" s="1867">
        <f t="shared" si="136"/>
        <v>9798936.7569999993</v>
      </c>
      <c r="J128" s="1867">
        <f t="shared" si="90"/>
        <v>3473899.6499999994</v>
      </c>
      <c r="K128" s="1867">
        <f t="shared" si="91"/>
        <v>4629220.43</v>
      </c>
      <c r="L128" s="1867">
        <f t="shared" ref="L128:P128" si="137">L11+L26+L28+L33+L34+L38+L43+L53+L57+L58+L60+L70+L71+L77+L79+L83+L86+L89+L90+L94+L100+L106+L111+L112+L124</f>
        <v>0</v>
      </c>
      <c r="M128" s="1867">
        <f t="shared" si="137"/>
        <v>0</v>
      </c>
      <c r="N128" s="1867">
        <f t="shared" si="137"/>
        <v>0</v>
      </c>
      <c r="O128" s="1867">
        <f t="shared" si="137"/>
        <v>850.15</v>
      </c>
      <c r="P128" s="1867">
        <f t="shared" si="137"/>
        <v>0</v>
      </c>
      <c r="Q128" s="1867">
        <f t="shared" si="93"/>
        <v>850.15</v>
      </c>
      <c r="R128" s="1867">
        <f t="shared" ref="R128:V128" si="138">R11+R26+R28+R33+R34+R38+R43+R53+R57+R58+R60+R70+R71+R77+R79+R83+R86+R89+R90+R94+R100+R106+R111+R112+R124</f>
        <v>0</v>
      </c>
      <c r="S128" s="1867">
        <f t="shared" si="138"/>
        <v>0</v>
      </c>
      <c r="T128" s="1867">
        <f t="shared" si="138"/>
        <v>0</v>
      </c>
      <c r="U128" s="1867">
        <f t="shared" si="138"/>
        <v>26963.62</v>
      </c>
      <c r="V128" s="1867">
        <f t="shared" si="138"/>
        <v>0</v>
      </c>
      <c r="W128" s="1867">
        <f t="shared" si="95"/>
        <v>26963.62</v>
      </c>
      <c r="X128" s="1867">
        <f t="shared" ref="X128:AB128" si="139">X11+X26+X28+X33+X34+X38+X43+X53+X57+X58+X60+X70+X71+X77+X79+X83+X86+X89+X90+X94+X100+X106+X111+X112+X124</f>
        <v>0</v>
      </c>
      <c r="Y128" s="1867">
        <f t="shared" si="139"/>
        <v>0</v>
      </c>
      <c r="Z128" s="1867">
        <f t="shared" si="139"/>
        <v>0</v>
      </c>
      <c r="AA128" s="1867">
        <f t="shared" si="139"/>
        <v>0</v>
      </c>
      <c r="AB128" s="1867">
        <f t="shared" si="139"/>
        <v>0</v>
      </c>
      <c r="AC128" s="1867">
        <f t="shared" si="97"/>
        <v>0</v>
      </c>
      <c r="AD128" s="1867">
        <f t="shared" ref="AD128:AH128" si="140">AD11+AD26+AD28+AD33+AD34+AD38+AD43+AD53+AD57+AD58+AD60+AD70+AD71+AD77+AD79+AD83+AD86+AD89+AD90+AD94+AD100+AD106+AD111+AD112+AD124</f>
        <v>141320.56000000003</v>
      </c>
      <c r="AE128" s="1867">
        <f t="shared" si="140"/>
        <v>841.34</v>
      </c>
      <c r="AF128" s="1867">
        <f t="shared" si="140"/>
        <v>26077.130000000005</v>
      </c>
      <c r="AG128" s="1867">
        <f t="shared" si="140"/>
        <v>-0.26</v>
      </c>
      <c r="AH128" s="1867">
        <f t="shared" si="140"/>
        <v>0</v>
      </c>
      <c r="AI128" s="1867">
        <f t="shared" si="99"/>
        <v>168238.77000000002</v>
      </c>
      <c r="AJ128" s="1867">
        <f t="shared" ref="AJ128:AN128" si="141">AJ11+AJ26+AJ28+AJ33+AJ34+AJ38+AJ43+AJ53+AJ57+AJ58+AJ60+AJ70+AJ71+AJ77+AJ79+AJ83+AJ86+AJ89+AJ90+AJ94+AJ100+AJ106+AJ111+AJ112+AJ124</f>
        <v>971941.70000000007</v>
      </c>
      <c r="AK128" s="1867">
        <f t="shared" si="141"/>
        <v>0</v>
      </c>
      <c r="AL128" s="1867">
        <f t="shared" si="141"/>
        <v>242985.39999999997</v>
      </c>
      <c r="AM128" s="1867">
        <f t="shared" si="141"/>
        <v>1036494.6100000001</v>
      </c>
      <c r="AN128" s="1867">
        <f t="shared" si="141"/>
        <v>2085946.6099999999</v>
      </c>
      <c r="AO128" s="1867">
        <f t="shared" si="101"/>
        <v>4337368.32</v>
      </c>
      <c r="AP128" s="1867">
        <f t="shared" ref="AP128:AT128" si="142">AP11+AP26+AP28+AP33+AP34+AP38+AP43+AP53+AP57+AP58+AP60+AP70+AP71+AP77+AP79+AP83+AP86+AP89+AP90+AP94+AP100+AP106+AP111+AP112+AP124</f>
        <v>47812.840000000004</v>
      </c>
      <c r="AQ128" s="1867">
        <f t="shared" si="142"/>
        <v>11270.11</v>
      </c>
      <c r="AR128" s="1867">
        <f t="shared" si="142"/>
        <v>10837.789999999999</v>
      </c>
      <c r="AS128" s="1867">
        <f t="shared" si="142"/>
        <v>-0.27</v>
      </c>
      <c r="AT128" s="1867">
        <f t="shared" si="142"/>
        <v>7.63</v>
      </c>
      <c r="AU128" s="1867">
        <f t="shared" si="103"/>
        <v>69928.100000000006</v>
      </c>
      <c r="AV128" s="1867">
        <f t="shared" ref="AV128:AZ128" si="143">AV11+AV26+AV28+AV33+AV34+AV38+AV43+AV53+AV57+AV58+AV60+AV70+AV71+AV77+AV79+AV83+AV86+AV89+AV90+AV94+AV100+AV106+AV111+AV112+AV124</f>
        <v>92852.64</v>
      </c>
      <c r="AW128" s="1867">
        <f t="shared" si="143"/>
        <v>23213.149999999998</v>
      </c>
      <c r="AX128" s="1867">
        <f t="shared" si="143"/>
        <v>0</v>
      </c>
      <c r="AY128" s="1867">
        <f t="shared" si="143"/>
        <v>0</v>
      </c>
      <c r="AZ128" s="1867">
        <f t="shared" si="143"/>
        <v>4493.58</v>
      </c>
      <c r="BA128" s="1867">
        <f t="shared" si="105"/>
        <v>120559.37</v>
      </c>
      <c r="BB128" s="1867">
        <f t="shared" ref="BB128:BF128" si="144">BB11+BB26+BB28+BB33+BB34+BB38+BB43+BB53+BB57+BB58+BB60+BB70+BB71+BB77+BB79+BB83+BB86+BB89+BB90+BB94+BB100+BB106+BB111+BB112+BB124</f>
        <v>168208.72</v>
      </c>
      <c r="BC128" s="1867">
        <f t="shared" si="144"/>
        <v>42052.169999999991</v>
      </c>
      <c r="BD128" s="1867">
        <f t="shared" si="144"/>
        <v>0</v>
      </c>
      <c r="BE128" s="1867">
        <f t="shared" si="144"/>
        <v>0</v>
      </c>
      <c r="BF128" s="1867">
        <f t="shared" si="144"/>
        <v>2240</v>
      </c>
      <c r="BG128" s="1867">
        <f t="shared" si="107"/>
        <v>212500.88999999998</v>
      </c>
      <c r="BH128" s="1867">
        <f t="shared" ref="BH128:BL128" si="145">BH11+BH26+BH28+BH33+BH34+BH38+BH43+BH53+BH57+BH58+BH60+BH70+BH71+BH77+BH79+BH83+BH86+BH89+BH90+BH94+BH100+BH106+BH111+BH112+BH124</f>
        <v>24127.399999999998</v>
      </c>
      <c r="BI128" s="1867">
        <f t="shared" si="145"/>
        <v>43570.12</v>
      </c>
      <c r="BJ128" s="1867">
        <f t="shared" si="145"/>
        <v>0</v>
      </c>
      <c r="BK128" s="1867">
        <f t="shared" si="145"/>
        <v>0</v>
      </c>
      <c r="BL128" s="1867">
        <f t="shared" si="145"/>
        <v>551.4</v>
      </c>
      <c r="BM128" s="1867">
        <f t="shared" si="109"/>
        <v>68248.92</v>
      </c>
      <c r="BN128" s="1867">
        <f t="shared" ref="BN128:BR128" si="146">BN11+BN26+BN28+BN33+BN34+BN38+BN43+BN53+BN57+BN58+BN60+BN70+BN71+BN77+BN79+BN83+BN86+BN89+BN90+BN94+BN100+BN106+BN111+BN112+BN124</f>
        <v>609323.49</v>
      </c>
      <c r="BO128" s="1867">
        <f t="shared" si="146"/>
        <v>77181.150000000009</v>
      </c>
      <c r="BP128" s="1867">
        <f t="shared" si="146"/>
        <v>125926.96999999999</v>
      </c>
      <c r="BQ128" s="1867">
        <f t="shared" si="146"/>
        <v>-24.640000000000004</v>
      </c>
      <c r="BR128" s="1867">
        <f t="shared" si="146"/>
        <v>0</v>
      </c>
      <c r="BS128" s="1867">
        <f t="shared" si="111"/>
        <v>812406.97</v>
      </c>
      <c r="BT128" s="1867">
        <f t="shared" ref="BT128:BX128" si="147">BT11+BT26+BT28+BT33+BT34+BT38+BT43+BT53+BT57+BT58+BT60+BT70+BT71+BT77+BT79+BT83+BT86+BT89+BT90+BT94+BT100+BT106+BT111+BT112+BT124</f>
        <v>-5355.6900000000005</v>
      </c>
      <c r="BU128" s="1867">
        <f t="shared" si="147"/>
        <v>-5355.6900000000005</v>
      </c>
      <c r="BV128" s="1867">
        <f t="shared" si="147"/>
        <v>0</v>
      </c>
      <c r="BW128" s="1867">
        <f t="shared" si="147"/>
        <v>0.08</v>
      </c>
      <c r="BX128" s="1867">
        <f t="shared" si="147"/>
        <v>0</v>
      </c>
      <c r="BY128" s="1867">
        <f t="shared" si="113"/>
        <v>-10711.300000000001</v>
      </c>
      <c r="BZ128" s="1867">
        <f t="shared" ref="BZ128:CD128" si="148">BZ11+BZ26+BZ28+BZ33+BZ34+BZ38+BZ43+BZ53+BZ57+BZ58+BZ60+BZ70+BZ71+BZ77+BZ79+BZ83+BZ86+BZ89+BZ90+BZ94+BZ100+BZ106+BZ111+BZ112+BZ124</f>
        <v>686403.31999999983</v>
      </c>
      <c r="CA128" s="1867">
        <f t="shared" si="148"/>
        <v>1796523.037</v>
      </c>
      <c r="CB128" s="1867">
        <f t="shared" si="148"/>
        <v>455433.47000000003</v>
      </c>
      <c r="CC128" s="1867">
        <f t="shared" si="148"/>
        <v>147.50999999999988</v>
      </c>
      <c r="CD128" s="1867">
        <f t="shared" si="148"/>
        <v>265468.49</v>
      </c>
      <c r="CE128" s="1867">
        <f t="shared" si="115"/>
        <v>3203975.8269999996</v>
      </c>
      <c r="CF128" s="1867">
        <f t="shared" ref="CF128:CJ128" si="149">CF11+CF26+CF28+CF33+CF34+CF38+CF43+CF53+CF57+CF58+CF60+CF70+CF71+CF77+CF79+CF83+CF86+CF89+CF90+CF94+CF100+CF106+CF111+CF112+CF124</f>
        <v>126543.67999999998</v>
      </c>
      <c r="CG128" s="1867">
        <f t="shared" si="149"/>
        <v>0</v>
      </c>
      <c r="CH128" s="1867">
        <f t="shared" si="149"/>
        <v>213627.49</v>
      </c>
      <c r="CI128" s="1867">
        <f t="shared" si="149"/>
        <v>44266.369999999995</v>
      </c>
      <c r="CJ128" s="1867">
        <f t="shared" si="149"/>
        <v>0</v>
      </c>
      <c r="CK128" s="1867">
        <f t="shared" si="117"/>
        <v>384437.54</v>
      </c>
      <c r="CL128" s="1867">
        <f t="shared" ref="CL128:CP128" si="150">CL11+CL26+CL28+CL33+CL34+CL38+CL43+CL53+CL57+CL58+CL60+CL70+CL71+CL77+CL79+CL83+CL86+CL89+CL90+CL94+CL100+CL106+CL111+CL112+CL124</f>
        <v>1024.27</v>
      </c>
      <c r="CM128" s="1867">
        <f t="shared" si="150"/>
        <v>0</v>
      </c>
      <c r="CN128" s="1867">
        <f t="shared" si="150"/>
        <v>3105.86</v>
      </c>
      <c r="CO128" s="1867">
        <f t="shared" si="150"/>
        <v>0</v>
      </c>
      <c r="CP128" s="1867">
        <f t="shared" si="150"/>
        <v>0</v>
      </c>
      <c r="CQ128" s="1867">
        <f t="shared" si="119"/>
        <v>4130.13</v>
      </c>
      <c r="CR128" s="1867">
        <f t="shared" ref="CR128:CV128" si="151">CR11+CR26+CR28+CR33+CR34+CR38+CR43+CR53+CR57+CR58+CR60+CR70+CR71+CR77+CR79+CR83+CR86+CR89+CR90+CR94+CR100+CR106+CR111+CR112+CR124</f>
        <v>-1358.32</v>
      </c>
      <c r="CS128" s="1867">
        <f t="shared" si="151"/>
        <v>0</v>
      </c>
      <c r="CT128" s="1867">
        <f t="shared" si="151"/>
        <v>0</v>
      </c>
      <c r="CU128" s="1867">
        <f t="shared" si="151"/>
        <v>0</v>
      </c>
      <c r="CV128" s="1867">
        <f t="shared" si="151"/>
        <v>0</v>
      </c>
      <c r="CW128" s="1867">
        <f t="shared" si="121"/>
        <v>-1358.32</v>
      </c>
      <c r="CX128" s="1867">
        <f t="shared" ref="CX128:DB128" si="152">CX11+CX26+CX28+CX33+CX34+CX38+CX43+CX53+CX57+CX58+CX60+CX70+CX71+CX77+CX79+CX83+CX86+CX89+CX90+CX94+CX100+CX106+CX111+CX112+CX124</f>
        <v>-2309.41</v>
      </c>
      <c r="CY128" s="1867">
        <f t="shared" si="152"/>
        <v>-2309.41</v>
      </c>
      <c r="CZ128" s="1867">
        <f t="shared" si="152"/>
        <v>0</v>
      </c>
      <c r="DA128" s="1867">
        <f t="shared" si="152"/>
        <v>0.01</v>
      </c>
      <c r="DB128" s="1867">
        <f t="shared" si="152"/>
        <v>0</v>
      </c>
      <c r="DC128" s="1867">
        <f t="shared" si="123"/>
        <v>-4618.8099999999995</v>
      </c>
      <c r="DD128" s="1867">
        <f t="shared" ref="DD128:DH128" si="153">DD11+DD26+DD28+DD33+DD34+DD38+DD43+DD53+DD57+DD58+DD60+DD70+DD71+DD77+DD79+DD83+DD86+DD89+DD90+DD94+DD100+DD106+DD111+DD112+DD124</f>
        <v>-18635.830000000002</v>
      </c>
      <c r="DE128" s="1867">
        <f t="shared" si="153"/>
        <v>0</v>
      </c>
      <c r="DF128" s="1867">
        <f t="shared" si="153"/>
        <v>0</v>
      </c>
      <c r="DG128" s="1867">
        <f t="shared" si="153"/>
        <v>0</v>
      </c>
      <c r="DH128" s="1867">
        <f t="shared" si="153"/>
        <v>0</v>
      </c>
      <c r="DI128" s="1867">
        <f t="shared" si="125"/>
        <v>-18635.830000000002</v>
      </c>
      <c r="DJ128" s="1867">
        <f t="shared" ref="DJ128:DN128" si="154">DJ11+DJ26+DJ28+DJ33+DJ34+DJ38+DJ43+DJ53+DJ57+DJ58+DJ60+DJ70+DJ71+DJ77+DJ79+DJ83+DJ86+DJ89+DJ90+DJ94+DJ100+DJ106+DJ111+DJ112+DJ124</f>
        <v>-45769.48</v>
      </c>
      <c r="DK128" s="1867">
        <f t="shared" si="154"/>
        <v>-924.4</v>
      </c>
      <c r="DL128" s="1867">
        <f t="shared" si="154"/>
        <v>0</v>
      </c>
      <c r="DM128" s="1867">
        <f t="shared" si="154"/>
        <v>0</v>
      </c>
      <c r="DN128" s="1867">
        <f t="shared" si="154"/>
        <v>0</v>
      </c>
      <c r="DO128" s="1867">
        <f t="shared" si="127"/>
        <v>-46693.880000000005</v>
      </c>
      <c r="DP128" s="1867">
        <f t="shared" ref="DP128:DT128" si="155">DP11+DP26+DP28+DP33+DP34+DP38+DP43+DP53+DP57+DP58+DP60+DP70+DP71+DP77+DP79+DP83+DP86+DP89+DP90+DP94+DP100+DP106+DP111+DP112+DP124</f>
        <v>-17015.5</v>
      </c>
      <c r="DQ128" s="1867">
        <f t="shared" si="155"/>
        <v>-17015.5</v>
      </c>
      <c r="DR128" s="1867">
        <f t="shared" si="155"/>
        <v>0</v>
      </c>
      <c r="DS128" s="1867">
        <f t="shared" si="155"/>
        <v>0</v>
      </c>
      <c r="DT128" s="1867">
        <f t="shared" si="155"/>
        <v>0</v>
      </c>
      <c r="DU128" s="1867">
        <f t="shared" si="129"/>
        <v>-34031</v>
      </c>
      <c r="DV128" s="1867">
        <f t="shared" ref="DV128:DZ128" si="156">DV11+DV26+DV28+DV33+DV34+DV38+DV43+DV53+DV57+DV58+DV60+DV70+DV71+DV77+DV79+DV83+DV86+DV89+DV90+DV94+DV100+DV106+DV111+DV112+DV124</f>
        <v>156150.88000000003</v>
      </c>
      <c r="DW128" s="1867">
        <f t="shared" si="156"/>
        <v>107744.08000000002</v>
      </c>
      <c r="DX128" s="1867">
        <f t="shared" si="156"/>
        <v>48406.8</v>
      </c>
      <c r="DY128" s="1867">
        <f t="shared" si="156"/>
        <v>1142.5900000000001</v>
      </c>
      <c r="DZ128" s="1867">
        <f t="shared" si="156"/>
        <v>0</v>
      </c>
      <c r="EA128" s="1867">
        <f t="shared" si="131"/>
        <v>313444.35000000009</v>
      </c>
      <c r="EB128" s="1867">
        <f t="shared" ref="EB128:EE128" si="157">EB11+EB26+EB28+EB33+EB34+EB38+EB43+EB53+EB57+EB58+EB60+EB70+EB71+EB77+EB79+EB83+EB86+EB89+EB90+EB94+EB100+EB106+EB111+EB112+EB124</f>
        <v>157660.90000000002</v>
      </c>
      <c r="EC128" s="1867">
        <f t="shared" si="157"/>
        <v>0</v>
      </c>
      <c r="ED128" s="1867">
        <f t="shared" si="157"/>
        <v>28919.869999999995</v>
      </c>
      <c r="EE128" s="1867">
        <f t="shared" si="157"/>
        <v>-4807.2299999999996</v>
      </c>
      <c r="EF128" s="1867">
        <f t="shared" ref="EF128" si="158">EF11+EF26+EF28+EF33+EF34+EF38+EF43+EF53+EF57+EF58+EF60+EF70+EF71+EF77+EF79+EF83+EF86+EF89+EF90+EF94+EF100+EF106+EF111+EF112+EF124</f>
        <v>10159.4</v>
      </c>
      <c r="EG128" s="1867">
        <f t="shared" si="134"/>
        <v>191932.94</v>
      </c>
    </row>
    <row r="129" spans="1:137" x14ac:dyDescent="0.25">
      <c r="A129" s="270" t="s">
        <v>265</v>
      </c>
      <c r="D129" s="1526">
        <f t="shared" ref="D129" si="159">D6+D7+D9+D10+D12+D13+D14+D16+D20+D24+D27+D37+D45+D48+D49+D62+D65+D73+D81+D82+D102+D104+D110+D120</f>
        <v>2464336.06</v>
      </c>
      <c r="E129" s="1867">
        <f t="shared" ref="E129:I129" si="160">E6+E7+E9+E10+E12+E13+E14+E16+E20+E24+E27+E37+E45+E48+E49+E62+E65+E73+E81+E82+E102+E104+E110+E120</f>
        <v>1832071.8599999999</v>
      </c>
      <c r="F129" s="1867">
        <f t="shared" si="160"/>
        <v>835200</v>
      </c>
      <c r="G129" s="1867">
        <f t="shared" si="160"/>
        <v>-342.33</v>
      </c>
      <c r="H129" s="1867">
        <f t="shared" si="160"/>
        <v>53558.7</v>
      </c>
      <c r="I129" s="1867">
        <f t="shared" si="160"/>
        <v>5184824.29</v>
      </c>
      <c r="J129" s="1867">
        <f t="shared" si="90"/>
        <v>53216.369999999995</v>
      </c>
      <c r="K129" s="1867">
        <f t="shared" si="91"/>
        <v>888416.37</v>
      </c>
      <c r="L129" s="1867">
        <f t="shared" ref="L129:P129" si="161">L6+L7+L9+L10+L12+L13+L14+L16+L20+L24+L27+L37+L45+L48+L49+L62+L65+L73+L81+L82+L102+L104+L110+L120</f>
        <v>0</v>
      </c>
      <c r="M129" s="1867">
        <f t="shared" si="161"/>
        <v>0</v>
      </c>
      <c r="N129" s="1867">
        <f t="shared" si="161"/>
        <v>0</v>
      </c>
      <c r="O129" s="1867">
        <f t="shared" si="161"/>
        <v>0</v>
      </c>
      <c r="P129" s="1867">
        <f t="shared" si="161"/>
        <v>0</v>
      </c>
      <c r="Q129" s="1867">
        <f t="shared" si="93"/>
        <v>0</v>
      </c>
      <c r="R129" s="1867">
        <f t="shared" ref="R129:V129" si="162">R6+R7+R9+R10+R12+R13+R14+R16+R20+R24+R27+R37+R45+R48+R49+R62+R65+R73+R81+R82+R102+R104+R110+R120</f>
        <v>0</v>
      </c>
      <c r="S129" s="1867">
        <f t="shared" si="162"/>
        <v>0</v>
      </c>
      <c r="T129" s="1867">
        <f t="shared" si="162"/>
        <v>0</v>
      </c>
      <c r="U129" s="1867">
        <f t="shared" si="162"/>
        <v>0</v>
      </c>
      <c r="V129" s="1867">
        <f t="shared" si="162"/>
        <v>52755.24</v>
      </c>
      <c r="W129" s="1867">
        <f t="shared" si="95"/>
        <v>52755.24</v>
      </c>
      <c r="X129" s="1867">
        <f t="shared" ref="X129:AB129" si="163">X6+X7+X9+X10+X12+X13+X14+X16+X20+X24+X27+X37+X45+X48+X49+X62+X65+X73+X81+X82+X102+X104+X110+X120</f>
        <v>0</v>
      </c>
      <c r="Y129" s="1867">
        <f t="shared" si="163"/>
        <v>0</v>
      </c>
      <c r="Z129" s="1867">
        <f t="shared" si="163"/>
        <v>0</v>
      </c>
      <c r="AA129" s="1867">
        <f t="shared" si="163"/>
        <v>0</v>
      </c>
      <c r="AB129" s="1867">
        <f t="shared" si="163"/>
        <v>0</v>
      </c>
      <c r="AC129" s="1867">
        <f t="shared" si="97"/>
        <v>0</v>
      </c>
      <c r="AD129" s="1867">
        <f t="shared" ref="AD129:AH129" si="164">AD6+AD7+AD9+AD10+AD12+AD13+AD14+AD16+AD20+AD24+AD27+AD37+AD45+AD48+AD49+AD62+AD65+AD73+AD81+AD82+AD102+AD104+AD110+AD120</f>
        <v>110498.25000000001</v>
      </c>
      <c r="AE129" s="1867">
        <f t="shared" si="164"/>
        <v>657.85</v>
      </c>
      <c r="AF129" s="1867">
        <f t="shared" si="164"/>
        <v>20389.62</v>
      </c>
      <c r="AG129" s="1867">
        <f t="shared" si="164"/>
        <v>-0.29000000000000004</v>
      </c>
      <c r="AH129" s="1867">
        <f t="shared" si="164"/>
        <v>0</v>
      </c>
      <c r="AI129" s="1867">
        <f t="shared" si="99"/>
        <v>131545.43000000002</v>
      </c>
      <c r="AJ129" s="1867">
        <f t="shared" ref="AJ129:AN129" si="165">AJ6+AJ7+AJ9+AJ10+AJ12+AJ13+AJ14+AJ16+AJ20+AJ24+AJ27+AJ37+AJ45+AJ48+AJ49+AJ62+AJ65+AJ73+AJ81+AJ82+AJ102+AJ104+AJ110+AJ120</f>
        <v>694154.0199999999</v>
      </c>
      <c r="AK129" s="1867">
        <f t="shared" si="165"/>
        <v>0</v>
      </c>
      <c r="AL129" s="1867">
        <f t="shared" si="165"/>
        <v>173538.41999999995</v>
      </c>
      <c r="AM129" s="1867">
        <f t="shared" si="165"/>
        <v>0</v>
      </c>
      <c r="AN129" s="1867">
        <f t="shared" si="165"/>
        <v>803.46</v>
      </c>
      <c r="AO129" s="1867">
        <f t="shared" si="101"/>
        <v>868495.89999999979</v>
      </c>
      <c r="AP129" s="1867">
        <f t="shared" ref="AP129:AT129" si="166">AP6+AP7+AP9+AP10+AP12+AP13+AP14+AP16+AP20+AP24+AP27+AP37+AP45+AP48+AP49+AP62+AP65+AP73+AP81+AP82+AP102+AP104+AP110+AP120</f>
        <v>73187.350000000006</v>
      </c>
      <c r="AQ129" s="1867">
        <f t="shared" si="166"/>
        <v>18474.91</v>
      </c>
      <c r="AR129" s="1867">
        <f t="shared" si="166"/>
        <v>16813.87</v>
      </c>
      <c r="AS129" s="1867">
        <f t="shared" si="166"/>
        <v>-0.31</v>
      </c>
      <c r="AT129" s="1867">
        <f t="shared" si="166"/>
        <v>0</v>
      </c>
      <c r="AU129" s="1867">
        <f t="shared" si="103"/>
        <v>108475.82</v>
      </c>
      <c r="AV129" s="1867">
        <f t="shared" ref="AV129:AZ129" si="167">AV6+AV7+AV9+AV10+AV12+AV13+AV14+AV16+AV20+AV24+AV27+AV37+AV45+AV48+AV49+AV62+AV65+AV73+AV81+AV82+AV102+AV104+AV110+AV120</f>
        <v>71803.600000000006</v>
      </c>
      <c r="AW129" s="1867">
        <f t="shared" si="167"/>
        <v>17950.96</v>
      </c>
      <c r="AX129" s="1867">
        <f t="shared" si="167"/>
        <v>0</v>
      </c>
      <c r="AY129" s="1867">
        <f t="shared" si="167"/>
        <v>0</v>
      </c>
      <c r="AZ129" s="1867">
        <f t="shared" si="167"/>
        <v>0</v>
      </c>
      <c r="BA129" s="1867">
        <f t="shared" si="105"/>
        <v>89754.559999999998</v>
      </c>
      <c r="BB129" s="1867">
        <f t="shared" ref="BB129:BF129" si="168">BB6+BB7+BB9+BB10+BB12+BB13+BB14+BB16+BB20+BB24+BB27+BB37+BB45+BB48+BB49+BB62+BB65+BB73+BB81+BB82+BB102+BB104+BB110+BB120</f>
        <v>164968.96000000002</v>
      </c>
      <c r="BC129" s="1867">
        <f t="shared" si="168"/>
        <v>41242.25</v>
      </c>
      <c r="BD129" s="1867">
        <f t="shared" si="168"/>
        <v>0</v>
      </c>
      <c r="BE129" s="1867">
        <f t="shared" si="168"/>
        <v>0</v>
      </c>
      <c r="BF129" s="1867">
        <f t="shared" si="168"/>
        <v>0</v>
      </c>
      <c r="BG129" s="1867">
        <f t="shared" si="107"/>
        <v>206211.21000000002</v>
      </c>
      <c r="BH129" s="1867">
        <f t="shared" ref="BH129:BL129" si="169">BH6+BH7+BH9+BH10+BH12+BH13+BH14+BH16+BH20+BH24+BH27+BH37+BH45+BH48+BH49+BH62+BH65+BH73+BH81+BH82+BH102+BH104+BH110+BH120</f>
        <v>19226.59</v>
      </c>
      <c r="BI129" s="1867">
        <f t="shared" si="169"/>
        <v>34719.979999999996</v>
      </c>
      <c r="BJ129" s="1867">
        <f t="shared" si="169"/>
        <v>0</v>
      </c>
      <c r="BK129" s="1867">
        <f t="shared" si="169"/>
        <v>-0.01</v>
      </c>
      <c r="BL129" s="1867">
        <f t="shared" si="169"/>
        <v>0</v>
      </c>
      <c r="BM129" s="1867">
        <f t="shared" si="109"/>
        <v>53946.55999999999</v>
      </c>
      <c r="BN129" s="1867">
        <f t="shared" ref="BN129:BR129" si="170">BN6+BN7+BN9+BN10+BN12+BN13+BN14+BN16+BN20+BN24+BN27+BN37+BN45+BN48+BN49+BN62+BN65+BN73+BN81+BN82+BN102+BN104+BN110+BN120</f>
        <v>516440.98000000004</v>
      </c>
      <c r="BO129" s="1867">
        <f t="shared" si="170"/>
        <v>65416.19</v>
      </c>
      <c r="BP129" s="1867">
        <f t="shared" si="170"/>
        <v>106731.31999999998</v>
      </c>
      <c r="BQ129" s="1867">
        <f t="shared" si="170"/>
        <v>-1.0900000000000001</v>
      </c>
      <c r="BR129" s="1867">
        <f t="shared" si="170"/>
        <v>0</v>
      </c>
      <c r="BS129" s="1867">
        <f t="shared" si="111"/>
        <v>688587.4</v>
      </c>
      <c r="BT129" s="1867">
        <f t="shared" ref="BT129:BX129" si="171">BT6+BT7+BT9+BT10+BT12+BT13+BT14+BT16+BT20+BT24+BT27+BT37+BT45+BT48+BT49+BT62+BT65+BT73+BT81+BT82+BT102+BT104+BT110+BT120</f>
        <v>-3271.75</v>
      </c>
      <c r="BU129" s="1867">
        <f t="shared" si="171"/>
        <v>-3271.75</v>
      </c>
      <c r="BV129" s="1867">
        <f t="shared" si="171"/>
        <v>0</v>
      </c>
      <c r="BW129" s="1867">
        <f t="shared" si="171"/>
        <v>0.04</v>
      </c>
      <c r="BX129" s="1867">
        <f t="shared" si="171"/>
        <v>0</v>
      </c>
      <c r="BY129" s="1867">
        <f t="shared" si="113"/>
        <v>-6543.46</v>
      </c>
      <c r="BZ129" s="1867">
        <f t="shared" ref="BZ129:CD129" si="172">BZ6+BZ7+BZ9+BZ10+BZ12+BZ13+BZ14+BZ16+BZ20+BZ24+BZ27+BZ37+BZ45+BZ48+BZ49+BZ62+BZ65+BZ73+BZ81+BZ82+BZ102+BZ104+BZ110+BZ120</f>
        <v>546683.66000000015</v>
      </c>
      <c r="CA129" s="1867">
        <f t="shared" si="172"/>
        <v>1580977.9599999997</v>
      </c>
      <c r="CB129" s="1867">
        <f t="shared" si="172"/>
        <v>390269.39999999997</v>
      </c>
      <c r="CC129" s="1867">
        <f t="shared" si="172"/>
        <v>-2.6000000000000005</v>
      </c>
      <c r="CD129" s="1867">
        <f t="shared" si="172"/>
        <v>0</v>
      </c>
      <c r="CE129" s="1867">
        <f t="shared" si="115"/>
        <v>2517928.42</v>
      </c>
      <c r="CF129" s="1867">
        <f t="shared" ref="CF129:CJ129" si="173">CF6+CF7+CF9+CF10+CF12+CF13+CF14+CF16+CF20+CF24+CF27+CF37+CF45+CF48+CF49+CF62+CF65+CF73+CF81+CF82+CF102+CF104+CF110+CF120</f>
        <v>39187.82</v>
      </c>
      <c r="CG129" s="1867">
        <f t="shared" si="173"/>
        <v>0</v>
      </c>
      <c r="CH129" s="1867">
        <f t="shared" si="173"/>
        <v>66155.86</v>
      </c>
      <c r="CI129" s="1867">
        <f t="shared" si="173"/>
        <v>-6.9999999999999993E-2</v>
      </c>
      <c r="CJ129" s="1867">
        <f t="shared" si="173"/>
        <v>0</v>
      </c>
      <c r="CK129" s="1867">
        <f t="shared" si="117"/>
        <v>105343.60999999999</v>
      </c>
      <c r="CL129" s="1867">
        <f t="shared" ref="CL129:CP129" si="174">CL6+CL7+CL9+CL10+CL12+CL13+CL14+CL16+CL20+CL24+CL27+CL37+CL45+CL48+CL49+CL62+CL65+CL73+CL81+CL82+CL102+CL104+CL110+CL120</f>
        <v>0</v>
      </c>
      <c r="CM129" s="1867">
        <f t="shared" si="174"/>
        <v>0</v>
      </c>
      <c r="CN129" s="1867">
        <f t="shared" si="174"/>
        <v>0</v>
      </c>
      <c r="CO129" s="1867">
        <f t="shared" si="174"/>
        <v>0</v>
      </c>
      <c r="CP129" s="1867">
        <f t="shared" si="174"/>
        <v>0</v>
      </c>
      <c r="CQ129" s="1867">
        <f t="shared" si="119"/>
        <v>0</v>
      </c>
      <c r="CR129" s="1867">
        <f t="shared" ref="CR129:CV129" si="175">CR6+CR7+CR9+CR10+CR12+CR13+CR14+CR16+CR20+CR24+CR27+CR37+CR45+CR48+CR49+CR62+CR65+CR73+CR81+CR82+CR102+CR104+CR110+CR120</f>
        <v>-1574.6100000000001</v>
      </c>
      <c r="CS129" s="1867">
        <f t="shared" si="175"/>
        <v>0</v>
      </c>
      <c r="CT129" s="1867">
        <f t="shared" si="175"/>
        <v>0</v>
      </c>
      <c r="CU129" s="1867">
        <f t="shared" si="175"/>
        <v>0</v>
      </c>
      <c r="CV129" s="1867">
        <f t="shared" si="175"/>
        <v>0</v>
      </c>
      <c r="CW129" s="1867">
        <f t="shared" si="121"/>
        <v>-1574.6100000000001</v>
      </c>
      <c r="CX129" s="1867">
        <f t="shared" ref="CX129:DB129" si="176">CX6+CX7+CX9+CX10+CX12+CX13+CX14+CX16+CX20+CX24+CX27+CX37+CX45+CX48+CX49+CX62+CX65+CX73+CX81+CX82+CX102+CX104+CX110+CX120</f>
        <v>-402.31</v>
      </c>
      <c r="CY129" s="1867">
        <f t="shared" si="176"/>
        <v>-402.31</v>
      </c>
      <c r="CZ129" s="1867">
        <f t="shared" si="176"/>
        <v>0</v>
      </c>
      <c r="DA129" s="1867">
        <f t="shared" si="176"/>
        <v>0.01</v>
      </c>
      <c r="DB129" s="1867">
        <f t="shared" si="176"/>
        <v>0</v>
      </c>
      <c r="DC129" s="1867">
        <f t="shared" si="123"/>
        <v>-804.61</v>
      </c>
      <c r="DD129" s="1867">
        <f t="shared" ref="DD129:DH129" si="177">DD6+DD7+DD9+DD10+DD12+DD13+DD14+DD16+DD20+DD24+DD27+DD37+DD45+DD48+DD49+DD62+DD65+DD73+DD81+DD82+DD102+DD104+DD110+DD120</f>
        <v>-11975.37</v>
      </c>
      <c r="DE129" s="1867">
        <f t="shared" si="177"/>
        <v>0</v>
      </c>
      <c r="DF129" s="1867">
        <f t="shared" si="177"/>
        <v>0</v>
      </c>
      <c r="DG129" s="1867">
        <f t="shared" si="177"/>
        <v>0</v>
      </c>
      <c r="DH129" s="1867">
        <f t="shared" si="177"/>
        <v>0</v>
      </c>
      <c r="DI129" s="1867">
        <f t="shared" si="125"/>
        <v>-11975.37</v>
      </c>
      <c r="DJ129" s="1867">
        <f t="shared" ref="DJ129:DN129" si="178">DJ6+DJ7+DJ9+DJ10+DJ12+DJ13+DJ14+DJ16+DJ20+DJ24+DJ27+DJ37+DJ45+DJ48+DJ49+DJ62+DJ65+DJ73+DJ81+DJ82+DJ102+DJ104+DJ110+DJ120</f>
        <v>-10311.76</v>
      </c>
      <c r="DK129" s="1867">
        <f t="shared" si="178"/>
        <v>-225.5</v>
      </c>
      <c r="DL129" s="1867">
        <f t="shared" si="178"/>
        <v>0</v>
      </c>
      <c r="DM129" s="1867">
        <f t="shared" si="178"/>
        <v>0</v>
      </c>
      <c r="DN129" s="1867">
        <f t="shared" si="178"/>
        <v>0</v>
      </c>
      <c r="DO129" s="1867">
        <f t="shared" si="127"/>
        <v>-10537.26</v>
      </c>
      <c r="DP129" s="1867">
        <f t="shared" ref="DP129:DT129" si="179">DP6+DP7+DP9+DP10+DP12+DP13+DP14+DP16+DP20+DP24+DP27+DP37+DP45+DP48+DP49+DP62+DP65+DP73+DP81+DP82+DP102+DP104+DP110+DP120</f>
        <v>-971</v>
      </c>
      <c r="DQ129" s="1867">
        <f t="shared" si="179"/>
        <v>-971</v>
      </c>
      <c r="DR129" s="1867">
        <f t="shared" si="179"/>
        <v>0</v>
      </c>
      <c r="DS129" s="1867">
        <f t="shared" si="179"/>
        <v>0</v>
      </c>
      <c r="DT129" s="1867">
        <f t="shared" si="179"/>
        <v>0</v>
      </c>
      <c r="DU129" s="1867">
        <f t="shared" si="129"/>
        <v>-1942</v>
      </c>
      <c r="DV129" s="1867">
        <f t="shared" ref="DV129:DZ129" si="180">DV6+DV7+DV9+DV10+DV12+DV13+DV14+DV16+DV20+DV24+DV27+DV37+DV45+DV48+DV49+DV62+DV65+DV73+DV81+DV82+DV102+DV104+DV110+DV120</f>
        <v>112322.37</v>
      </c>
      <c r="DW129" s="1867">
        <f t="shared" si="180"/>
        <v>77502.319999999992</v>
      </c>
      <c r="DX129" s="1867">
        <f t="shared" si="180"/>
        <v>34819.97</v>
      </c>
      <c r="DY129" s="1867">
        <f t="shared" si="180"/>
        <v>-0.13</v>
      </c>
      <c r="DZ129" s="1867">
        <f t="shared" si="180"/>
        <v>0</v>
      </c>
      <c r="EA129" s="1867">
        <f t="shared" si="131"/>
        <v>224644.53</v>
      </c>
      <c r="EB129" s="1867">
        <f t="shared" ref="EB129:EE129" si="181">EB6+EB7+EB9+EB10+EB12+EB13+EB14+EB16+EB20+EB24+EB27+EB37+EB45+EB48+EB49+EB62+EB65+EB73+EB81+EB82+EB102+EB104+EB110+EB120</f>
        <v>144369.26</v>
      </c>
      <c r="EC129" s="1867">
        <f t="shared" si="181"/>
        <v>0</v>
      </c>
      <c r="ED129" s="1867">
        <f t="shared" si="181"/>
        <v>26481.54</v>
      </c>
      <c r="EE129" s="1867">
        <f t="shared" si="181"/>
        <v>-337.88</v>
      </c>
      <c r="EF129" s="1867">
        <f t="shared" ref="EF129" si="182">EF6+EF7+EF9+EF10+EF12+EF13+EF14+EF16+EF20+EF24+EF27+EF37+EF45+EF48+EF49+EF62+EF65+EF73+EF81+EF82+EF102+EF104+EF110+EF120</f>
        <v>0</v>
      </c>
      <c r="EG129" s="1867">
        <f t="shared" si="134"/>
        <v>170512.92</v>
      </c>
    </row>
    <row r="130" spans="1:137" x14ac:dyDescent="0.25">
      <c r="A130" s="270" t="s">
        <v>268</v>
      </c>
      <c r="D130" s="1526">
        <f t="shared" ref="D130" si="183">D15+D18+D22+D30+D35+D39+D42+D56+D64+D72+D78+D84+D85+D87+D93+D95+D97+D98+D101+D107+D115+D118</f>
        <v>1758881.3000000003</v>
      </c>
      <c r="E130" s="1867">
        <f t="shared" ref="E130:I130" si="184">E15+E18+E22+E30+E35+E39+E42+E56+E64+E72+E78+E84+E85+E87+E93+E95+E97+E98+E101+E107+E115+E118</f>
        <v>980208.33000000007</v>
      </c>
      <c r="F130" s="1867">
        <f t="shared" si="184"/>
        <v>535923.57999999996</v>
      </c>
      <c r="G130" s="1867">
        <f t="shared" si="184"/>
        <v>6388.32</v>
      </c>
      <c r="H130" s="1867">
        <f t="shared" si="184"/>
        <v>75</v>
      </c>
      <c r="I130" s="1867">
        <f t="shared" si="184"/>
        <v>3281476.5300000007</v>
      </c>
      <c r="J130" s="1867">
        <f t="shared" si="90"/>
        <v>6463.32</v>
      </c>
      <c r="K130" s="1867">
        <f t="shared" si="91"/>
        <v>542386.89999999991</v>
      </c>
      <c r="L130" s="1867">
        <f t="shared" ref="L130:P130" si="185">L15+L18+L22+L30+L35+L39+L42+L56+L64+L72+L78+L84+L85+L87+L93+L95+L97+L98+L101+L107+L115+L118</f>
        <v>0</v>
      </c>
      <c r="M130" s="1867">
        <f t="shared" si="185"/>
        <v>4213</v>
      </c>
      <c r="N130" s="1867">
        <f t="shared" si="185"/>
        <v>0</v>
      </c>
      <c r="O130" s="1867">
        <f t="shared" si="185"/>
        <v>0</v>
      </c>
      <c r="P130" s="1867">
        <f t="shared" si="185"/>
        <v>0</v>
      </c>
      <c r="Q130" s="1867">
        <f t="shared" si="93"/>
        <v>4213</v>
      </c>
      <c r="R130" s="1867">
        <f t="shared" ref="R130:V130" si="186">R15+R18+R22+R30+R35+R39+R42+R56+R64+R72+R78+R84+R85+R87+R93+R95+R97+R98+R101+R107+R115+R118</f>
        <v>0</v>
      </c>
      <c r="S130" s="1867">
        <f t="shared" si="186"/>
        <v>0</v>
      </c>
      <c r="T130" s="1867">
        <f t="shared" si="186"/>
        <v>0</v>
      </c>
      <c r="U130" s="1867">
        <f t="shared" si="186"/>
        <v>5066.25</v>
      </c>
      <c r="V130" s="1867">
        <f t="shared" si="186"/>
        <v>0</v>
      </c>
      <c r="W130" s="1867">
        <f t="shared" si="95"/>
        <v>5066.25</v>
      </c>
      <c r="X130" s="1867">
        <f t="shared" ref="X130:AB130" si="187">X15+X18+X22+X30+X35+X39+X42+X56+X64+X72+X78+X84+X85+X87+X93+X95+X97+X98+X101+X107+X115+X118</f>
        <v>0</v>
      </c>
      <c r="Y130" s="1867">
        <f t="shared" si="187"/>
        <v>-1000</v>
      </c>
      <c r="Z130" s="1867">
        <f t="shared" si="187"/>
        <v>0</v>
      </c>
      <c r="AA130" s="1867">
        <f t="shared" si="187"/>
        <v>0</v>
      </c>
      <c r="AB130" s="1867">
        <f t="shared" si="187"/>
        <v>0</v>
      </c>
      <c r="AC130" s="1867">
        <f t="shared" si="97"/>
        <v>-1000</v>
      </c>
      <c r="AD130" s="1867">
        <f t="shared" ref="AD130:AH130" si="188">AD15+AD18+AD22+AD30+AD35+AD39+AD42+AD56+AD64+AD72+AD78+AD84+AD85+AD87+AD93+AD95+AD97+AD98+AD101+AD107+AD115+AD118</f>
        <v>67920.760000000009</v>
      </c>
      <c r="AE130" s="1867">
        <f t="shared" si="188"/>
        <v>404.38</v>
      </c>
      <c r="AF130" s="1867">
        <f t="shared" si="188"/>
        <v>12533.1</v>
      </c>
      <c r="AG130" s="1867">
        <f t="shared" si="188"/>
        <v>97.86999999999999</v>
      </c>
      <c r="AH130" s="1867">
        <f t="shared" si="188"/>
        <v>0</v>
      </c>
      <c r="AI130" s="1867">
        <f t="shared" si="99"/>
        <v>80956.110000000015</v>
      </c>
      <c r="AJ130" s="1867">
        <f t="shared" ref="AJ130:AN130" si="189">AJ15+AJ18+AJ22+AJ30+AJ35+AJ39+AJ42+AJ56+AJ64+AJ72+AJ78+AJ84+AJ85+AJ87+AJ93+AJ95+AJ97+AJ98+AJ101+AJ107+AJ115+AJ118</f>
        <v>756259.79</v>
      </c>
      <c r="AK130" s="1867">
        <f t="shared" si="189"/>
        <v>0</v>
      </c>
      <c r="AL130" s="1867">
        <f t="shared" si="189"/>
        <v>189064.88999999998</v>
      </c>
      <c r="AM130" s="1867">
        <f t="shared" si="189"/>
        <v>0</v>
      </c>
      <c r="AN130" s="1867">
        <f t="shared" si="189"/>
        <v>0</v>
      </c>
      <c r="AO130" s="1867">
        <f t="shared" si="101"/>
        <v>945324.68</v>
      </c>
      <c r="AP130" s="1867">
        <f t="shared" ref="AP130:AT130" si="190">AP15+AP18+AP22+AP30+AP35+AP39+AP42+AP56+AP64+AP72+AP78+AP84+AP85+AP87+AP93+AP95+AP97+AP98+AP101+AP107+AP115+AP118</f>
        <v>31628.190000000002</v>
      </c>
      <c r="AQ130" s="1867">
        <f t="shared" si="190"/>
        <v>10299.700000000001</v>
      </c>
      <c r="AR130" s="1867">
        <f t="shared" si="190"/>
        <v>7690.97</v>
      </c>
      <c r="AS130" s="1867">
        <f t="shared" si="190"/>
        <v>-0.13</v>
      </c>
      <c r="AT130" s="1867">
        <f t="shared" si="190"/>
        <v>0</v>
      </c>
      <c r="AU130" s="1867">
        <f t="shared" si="103"/>
        <v>49618.73</v>
      </c>
      <c r="AV130" s="1867">
        <f t="shared" ref="AV130:AZ130" si="191">AV15+AV18+AV22+AV30+AV35+AV39+AV42+AV56+AV64+AV72+AV78+AV84+AV85+AV87+AV93+AV95+AV97+AV98+AV101+AV107+AV115+AV118</f>
        <v>29357.11</v>
      </c>
      <c r="AW130" s="1867">
        <f t="shared" si="191"/>
        <v>7339.26</v>
      </c>
      <c r="AX130" s="1867">
        <f t="shared" si="191"/>
        <v>0</v>
      </c>
      <c r="AY130" s="1867">
        <f t="shared" si="191"/>
        <v>0</v>
      </c>
      <c r="AZ130" s="1867">
        <f t="shared" si="191"/>
        <v>0</v>
      </c>
      <c r="BA130" s="1867">
        <f t="shared" si="105"/>
        <v>36696.370000000003</v>
      </c>
      <c r="BB130" s="1867">
        <f t="shared" ref="BB130:BF130" si="192">BB15+BB18+BB22+BB30+BB35+BB39+BB42+BB56+BB64+BB72+BB78+BB84+BB85+BB87+BB93+BB95+BB97+BB98+BB101+BB107+BB115+BB118</f>
        <v>92455.59</v>
      </c>
      <c r="BC130" s="1867">
        <f t="shared" si="192"/>
        <v>23113.9</v>
      </c>
      <c r="BD130" s="1867">
        <f t="shared" si="192"/>
        <v>0</v>
      </c>
      <c r="BE130" s="1867">
        <f t="shared" si="192"/>
        <v>0</v>
      </c>
      <c r="BF130" s="1867">
        <f t="shared" si="192"/>
        <v>0</v>
      </c>
      <c r="BG130" s="1867">
        <f t="shared" si="107"/>
        <v>115569.48999999999</v>
      </c>
      <c r="BH130" s="1867">
        <f t="shared" ref="BH130:BL130" si="193">BH15+BH18+BH22+BH30+BH35+BH39+BH42+BH56+BH64+BH72+BH78+BH84+BH85+BH87+BH93+BH95+BH97+BH98+BH101+BH107+BH115+BH118</f>
        <v>4065.11</v>
      </c>
      <c r="BI130" s="1867">
        <f t="shared" si="193"/>
        <v>7341.0300000000007</v>
      </c>
      <c r="BJ130" s="1867">
        <f t="shared" si="193"/>
        <v>0</v>
      </c>
      <c r="BK130" s="1867">
        <f t="shared" si="193"/>
        <v>100</v>
      </c>
      <c r="BL130" s="1867">
        <f t="shared" si="193"/>
        <v>0</v>
      </c>
      <c r="BM130" s="1867">
        <f t="shared" si="109"/>
        <v>11506.140000000001</v>
      </c>
      <c r="BN130" s="1867">
        <f t="shared" ref="BN130:BR130" si="194">BN15+BN18+BN22+BN30+BN35+BN39+BN42+BN56+BN64+BN72+BN78+BN84+BN85+BN87+BN93+BN95+BN97+BN98+BN101+BN107+BN115+BN118</f>
        <v>322731.14999999997</v>
      </c>
      <c r="BO130" s="1867">
        <f t="shared" si="194"/>
        <v>40879.51</v>
      </c>
      <c r="BP130" s="1867">
        <f t="shared" si="194"/>
        <v>66697.94</v>
      </c>
      <c r="BQ130" s="1867">
        <f t="shared" si="194"/>
        <v>570.86000000000013</v>
      </c>
      <c r="BR130" s="1867">
        <f t="shared" si="194"/>
        <v>0</v>
      </c>
      <c r="BS130" s="1867">
        <f t="shared" si="111"/>
        <v>430879.45999999996</v>
      </c>
      <c r="BT130" s="1867">
        <f t="shared" ref="BT130:BX130" si="195">BT15+BT18+BT22+BT30+BT35+BT39+BT42+BT56+BT64+BT72+BT78+BT84+BT85+BT87+BT93+BT95+BT97+BT98+BT101+BT107+BT115+BT118</f>
        <v>-56</v>
      </c>
      <c r="BU130" s="1867">
        <f t="shared" si="195"/>
        <v>-56</v>
      </c>
      <c r="BV130" s="1867">
        <f t="shared" si="195"/>
        <v>0</v>
      </c>
      <c r="BW130" s="1867">
        <f t="shared" si="195"/>
        <v>0</v>
      </c>
      <c r="BX130" s="1867">
        <f t="shared" si="195"/>
        <v>0</v>
      </c>
      <c r="BY130" s="1867">
        <f t="shared" si="113"/>
        <v>-112</v>
      </c>
      <c r="BZ130" s="1867">
        <f t="shared" ref="BZ130:CD130" si="196">BZ15+BZ18+BZ22+BZ30+BZ35+BZ39+BZ42+BZ56+BZ64+BZ72+BZ78+BZ84+BZ85+BZ87+BZ93+BZ95+BZ97+BZ98+BZ101+BZ107+BZ115+BZ118</f>
        <v>260688.96000000002</v>
      </c>
      <c r="CA130" s="1867">
        <f t="shared" si="196"/>
        <v>828707.42999999993</v>
      </c>
      <c r="CB130" s="1867">
        <f t="shared" si="196"/>
        <v>199824.53999999998</v>
      </c>
      <c r="CC130" s="1867">
        <f t="shared" si="196"/>
        <v>358.13000000000005</v>
      </c>
      <c r="CD130" s="1867">
        <f t="shared" si="196"/>
        <v>75</v>
      </c>
      <c r="CE130" s="1867">
        <f t="shared" si="115"/>
        <v>1289654.0599999998</v>
      </c>
      <c r="CF130" s="1867">
        <f t="shared" ref="CF130:CJ130" si="197">CF15+CF18+CF22+CF30+CF35+CF39+CF42+CF56+CF64+CF72+CF78+CF84+CF85+CF87+CF93+CF95+CF97+CF98+CF101+CF107+CF115+CF118</f>
        <v>8135.75</v>
      </c>
      <c r="CG130" s="1867">
        <f t="shared" si="197"/>
        <v>0</v>
      </c>
      <c r="CH130" s="1867">
        <f t="shared" si="197"/>
        <v>13734.57</v>
      </c>
      <c r="CI130" s="1867">
        <f t="shared" si="197"/>
        <v>-0.01</v>
      </c>
      <c r="CJ130" s="1867">
        <f t="shared" si="197"/>
        <v>0</v>
      </c>
      <c r="CK130" s="1867">
        <f t="shared" si="117"/>
        <v>21870.31</v>
      </c>
      <c r="CL130" s="1867">
        <f t="shared" ref="CL130:CP130" si="198">CL15+CL18+CL22+CL30+CL35+CL39+CL42+CL56+CL64+CL72+CL78+CL84+CL85+CL87+CL93+CL95+CL97+CL98+CL101+CL107+CL115+CL118</f>
        <v>297.29000000000002</v>
      </c>
      <c r="CM130" s="1867">
        <f t="shared" si="198"/>
        <v>0</v>
      </c>
      <c r="CN130" s="1867">
        <f t="shared" si="198"/>
        <v>901.43</v>
      </c>
      <c r="CO130" s="1867">
        <f t="shared" si="198"/>
        <v>0</v>
      </c>
      <c r="CP130" s="1867">
        <f t="shared" si="198"/>
        <v>0</v>
      </c>
      <c r="CQ130" s="1867">
        <f t="shared" si="119"/>
        <v>1198.72</v>
      </c>
      <c r="CR130" s="1867">
        <f t="shared" ref="CR130:CV130" si="199">CR15+CR18+CR22+CR30+CR35+CR39+CR42+CR56+CR64+CR72+CR78+CR84+CR85+CR87+CR93+CR95+CR97+CR98+CR101+CR107+CR115+CR118</f>
        <v>0</v>
      </c>
      <c r="CS130" s="1867">
        <f t="shared" si="199"/>
        <v>0</v>
      </c>
      <c r="CT130" s="1867">
        <f t="shared" si="199"/>
        <v>0</v>
      </c>
      <c r="CU130" s="1867">
        <f t="shared" si="199"/>
        <v>0</v>
      </c>
      <c r="CV130" s="1867">
        <f t="shared" si="199"/>
        <v>0</v>
      </c>
      <c r="CW130" s="1867">
        <f t="shared" si="121"/>
        <v>0</v>
      </c>
      <c r="CX130" s="1867">
        <f t="shared" ref="CX130:DB130" si="200">CX15+CX18+CX22+CX30+CX35+CX39+CX42+CX56+CX64+CX72+CX78+CX84+CX85+CX87+CX93+CX95+CX97+CX98+CX101+CX107+CX115+CX118</f>
        <v>0</v>
      </c>
      <c r="CY130" s="1867">
        <f t="shared" si="200"/>
        <v>0</v>
      </c>
      <c r="CZ130" s="1867">
        <f t="shared" si="200"/>
        <v>0</v>
      </c>
      <c r="DA130" s="1867">
        <f t="shared" si="200"/>
        <v>0</v>
      </c>
      <c r="DB130" s="1867">
        <f t="shared" si="200"/>
        <v>0</v>
      </c>
      <c r="DC130" s="1867">
        <f t="shared" si="123"/>
        <v>0</v>
      </c>
      <c r="DD130" s="1867">
        <f t="shared" ref="DD130:DH130" si="201">DD15+DD18+DD22+DD30+DD35+DD39+DD42+DD56+DD64+DD72+DD78+DD84+DD85+DD87+DD93+DD95+DD97+DD98+DD101+DD107+DD115+DD118</f>
        <v>-1772.1499999999999</v>
      </c>
      <c r="DE130" s="1867">
        <f t="shared" si="201"/>
        <v>0</v>
      </c>
      <c r="DF130" s="1867">
        <f t="shared" si="201"/>
        <v>0</v>
      </c>
      <c r="DG130" s="1867">
        <f t="shared" si="201"/>
        <v>0</v>
      </c>
      <c r="DH130" s="1867">
        <f t="shared" si="201"/>
        <v>0</v>
      </c>
      <c r="DI130" s="1867">
        <f t="shared" si="125"/>
        <v>-1772.1499999999999</v>
      </c>
      <c r="DJ130" s="1867">
        <f t="shared" ref="DJ130:DN130" si="202">DJ15+DJ18+DJ22+DJ30+DJ35+DJ39+DJ42+DJ56+DJ64+DJ72+DJ78+DJ84+DJ85+DJ87+DJ93+DJ95+DJ97+DJ98+DJ101+DJ107+DJ115+DJ118</f>
        <v>-609</v>
      </c>
      <c r="DK130" s="1867">
        <f t="shared" si="202"/>
        <v>0</v>
      </c>
      <c r="DL130" s="1867">
        <f t="shared" si="202"/>
        <v>0</v>
      </c>
      <c r="DM130" s="1867">
        <f t="shared" si="202"/>
        <v>0</v>
      </c>
      <c r="DN130" s="1867">
        <f t="shared" si="202"/>
        <v>0</v>
      </c>
      <c r="DO130" s="1867">
        <f t="shared" si="127"/>
        <v>-609</v>
      </c>
      <c r="DP130" s="1867">
        <f t="shared" ref="DP130:DT130" si="203">DP15+DP18+DP22+DP30+DP35+DP39+DP42+DP56+DP64+DP72+DP78+DP84+DP85+DP87+DP93+DP95+DP97+DP98+DP101+DP107+DP115+DP118</f>
        <v>-587.5</v>
      </c>
      <c r="DQ130" s="1867">
        <f t="shared" si="203"/>
        <v>-587.5</v>
      </c>
      <c r="DR130" s="1867">
        <f t="shared" si="203"/>
        <v>0</v>
      </c>
      <c r="DS130" s="1867">
        <f t="shared" si="203"/>
        <v>0</v>
      </c>
      <c r="DT130" s="1867">
        <f t="shared" si="203"/>
        <v>0</v>
      </c>
      <c r="DU130" s="1867">
        <f t="shared" si="129"/>
        <v>-1175</v>
      </c>
      <c r="DV130" s="1867">
        <f t="shared" ref="DV130:DZ130" si="204">DV15+DV18+DV22+DV30+DV35+DV39+DV42+DV56+DV64+DV72+DV78+DV84+DV85+DV87+DV93+DV95+DV97+DV98+DV101+DV107+DV115+DV118</f>
        <v>86309.55</v>
      </c>
      <c r="DW130" s="1867">
        <f t="shared" si="204"/>
        <v>59553.62</v>
      </c>
      <c r="DX130" s="1867">
        <f t="shared" si="204"/>
        <v>26755.96</v>
      </c>
      <c r="DY130" s="1867">
        <f t="shared" si="204"/>
        <v>-0.16999999999999998</v>
      </c>
      <c r="DZ130" s="1867">
        <f t="shared" si="204"/>
        <v>0</v>
      </c>
      <c r="EA130" s="1867">
        <f t="shared" si="131"/>
        <v>172618.96</v>
      </c>
      <c r="EB130" s="1867">
        <f t="shared" ref="EB130:EE130" si="205">EB15+EB18+EB22+EB30+EB35+EB39+EB42+EB56+EB64+EB72+EB78+EB84+EB85+EB87+EB93+EB95+EB97+EB98+EB101+EB107+EB115+EB118</f>
        <v>102056.70000000003</v>
      </c>
      <c r="EC130" s="1867">
        <f t="shared" si="205"/>
        <v>0</v>
      </c>
      <c r="ED130" s="1867">
        <f t="shared" si="205"/>
        <v>18720.18</v>
      </c>
      <c r="EE130" s="1867">
        <f t="shared" si="205"/>
        <v>195.52</v>
      </c>
      <c r="EF130" s="1867">
        <f t="shared" ref="EF130" si="206">EF15+EF18+EF22+EF30+EF35+EF39+EF42+EF56+EF64+EF72+EF78+EF84+EF85+EF87+EF93+EF95+EF97+EF98+EF101+EF107+EF115+EF118</f>
        <v>0</v>
      </c>
      <c r="EG130" s="1867">
        <f t="shared" si="134"/>
        <v>120972.40000000004</v>
      </c>
    </row>
    <row r="131" spans="1:137" x14ac:dyDescent="0.25">
      <c r="A131" s="270" t="s">
        <v>9</v>
      </c>
      <c r="D131" s="1533">
        <f t="shared" ref="D131" si="207">SUM(D126:D130)</f>
        <v>12775908.935972035</v>
      </c>
      <c r="E131" s="1869">
        <f t="shared" ref="E131:H131" si="208">SUM(E126:E130)</f>
        <v>8958762.1469999999</v>
      </c>
      <c r="F131" s="1869">
        <f t="shared" si="208"/>
        <v>4471832.5500000007</v>
      </c>
      <c r="G131" s="1869">
        <f t="shared" si="208"/>
        <v>1404523.8400000003</v>
      </c>
      <c r="H131" s="1869">
        <f t="shared" si="208"/>
        <v>2684778.9499999997</v>
      </c>
      <c r="I131" s="1869">
        <f t="shared" ref="I131" si="209">SUM(I126:I130)</f>
        <v>30295806.422972031</v>
      </c>
      <c r="J131" s="1869">
        <f>SUM(J126:J130)</f>
        <v>4089302.7899999996</v>
      </c>
      <c r="K131" s="1869">
        <f>SUM(K126:K130)</f>
        <v>8561135.3399999999</v>
      </c>
      <c r="L131" s="1869">
        <f t="shared" ref="L131:P131" si="210">SUM(L126:L130)</f>
        <v>0</v>
      </c>
      <c r="M131" s="1869">
        <f t="shared" si="210"/>
        <v>9813.2799999999988</v>
      </c>
      <c r="N131" s="1869">
        <f t="shared" si="210"/>
        <v>0</v>
      </c>
      <c r="O131" s="1869">
        <f t="shared" si="210"/>
        <v>850.15</v>
      </c>
      <c r="P131" s="1869">
        <f t="shared" si="210"/>
        <v>0</v>
      </c>
      <c r="Q131" s="1869">
        <f>SUM(Q126:Q130)</f>
        <v>10663.43</v>
      </c>
      <c r="R131" s="1869">
        <f t="shared" ref="R131:V131" si="211">SUM(R126:R130)</f>
        <v>-75.2</v>
      </c>
      <c r="S131" s="1869">
        <f t="shared" si="211"/>
        <v>0</v>
      </c>
      <c r="T131" s="1869">
        <f t="shared" si="211"/>
        <v>-18.8</v>
      </c>
      <c r="U131" s="1869">
        <f t="shared" si="211"/>
        <v>140962.44</v>
      </c>
      <c r="V131" s="1869">
        <f t="shared" si="211"/>
        <v>178561.8</v>
      </c>
      <c r="W131" s="1869">
        <f>SUM(W126:W130)</f>
        <v>319430.24</v>
      </c>
      <c r="X131" s="1869">
        <f t="shared" ref="X131:AB131" si="212">SUM(X126:X130)</f>
        <v>0</v>
      </c>
      <c r="Y131" s="1869">
        <f t="shared" si="212"/>
        <v>-1000</v>
      </c>
      <c r="Z131" s="1869">
        <f t="shared" si="212"/>
        <v>0</v>
      </c>
      <c r="AA131" s="1869">
        <f t="shared" si="212"/>
        <v>0</v>
      </c>
      <c r="AB131" s="1869">
        <f t="shared" si="212"/>
        <v>0</v>
      </c>
      <c r="AC131" s="1869">
        <f>SUM(AC126:AC130)</f>
        <v>-1000</v>
      </c>
      <c r="AD131" s="1869">
        <f t="shared" ref="AD131:AH131" si="213">SUM(AD126:AD130)</f>
        <v>597136.15000000014</v>
      </c>
      <c r="AE131" s="1869">
        <f t="shared" si="213"/>
        <v>3554.88</v>
      </c>
      <c r="AF131" s="1869">
        <f t="shared" si="213"/>
        <v>110186.29000000001</v>
      </c>
      <c r="AG131" s="1869">
        <f t="shared" si="213"/>
        <v>96.939999999999984</v>
      </c>
      <c r="AH131" s="1869">
        <f t="shared" si="213"/>
        <v>5110.4399999999996</v>
      </c>
      <c r="AI131" s="1869">
        <f>SUM(AI126:AI130)</f>
        <v>716084.70000000007</v>
      </c>
      <c r="AJ131" s="1869">
        <f t="shared" ref="AJ131:AN131" si="214">SUM(AJ126:AJ130)</f>
        <v>4070650.6000000006</v>
      </c>
      <c r="AK131" s="1869">
        <f t="shared" si="214"/>
        <v>0</v>
      </c>
      <c r="AL131" s="1869">
        <f t="shared" si="214"/>
        <v>1017662.3799999999</v>
      </c>
      <c r="AM131" s="1869">
        <f t="shared" si="214"/>
        <v>1145600.4700000002</v>
      </c>
      <c r="AN131" s="1869">
        <f t="shared" si="214"/>
        <v>2191256.5099999998</v>
      </c>
      <c r="AO131" s="1869">
        <f>SUM(AO126:AO130)</f>
        <v>8425169.9600000009</v>
      </c>
      <c r="AP131" s="1869">
        <f t="shared" ref="AP131:AT131" si="215">SUM(AP126:AP130)</f>
        <v>287554.19</v>
      </c>
      <c r="AQ131" s="1869">
        <f t="shared" si="215"/>
        <v>81487.490000000005</v>
      </c>
      <c r="AR131" s="1869">
        <f t="shared" si="215"/>
        <v>67694.320000000007</v>
      </c>
      <c r="AS131" s="1869">
        <f t="shared" si="215"/>
        <v>-1.0500000000000003</v>
      </c>
      <c r="AT131" s="1869">
        <f t="shared" si="215"/>
        <v>7.63</v>
      </c>
      <c r="AU131" s="1869">
        <f>SUM(AU126:AU130)</f>
        <v>436742.58</v>
      </c>
      <c r="AV131" s="1869">
        <f t="shared" ref="AV131:AZ131" si="216">SUM(AV126:AV130)</f>
        <v>279481.73000000004</v>
      </c>
      <c r="AW131" s="1869">
        <f t="shared" si="216"/>
        <v>69870.48</v>
      </c>
      <c r="AX131" s="1869">
        <f t="shared" si="216"/>
        <v>0</v>
      </c>
      <c r="AY131" s="1869">
        <f t="shared" si="216"/>
        <v>24.37</v>
      </c>
      <c r="AZ131" s="1869">
        <f t="shared" si="216"/>
        <v>4493.58</v>
      </c>
      <c r="BA131" s="1869">
        <f>SUM(BA126:BA130)</f>
        <v>353870.16</v>
      </c>
      <c r="BB131" s="1869">
        <f t="shared" ref="BB131:BF131" si="217">SUM(BB126:BB130)</f>
        <v>609762.65</v>
      </c>
      <c r="BC131" s="1869">
        <f t="shared" si="217"/>
        <v>152440.63</v>
      </c>
      <c r="BD131" s="1869">
        <f t="shared" si="217"/>
        <v>0</v>
      </c>
      <c r="BE131" s="1869">
        <f t="shared" si="217"/>
        <v>0</v>
      </c>
      <c r="BF131" s="1869">
        <f t="shared" si="217"/>
        <v>3602.4</v>
      </c>
      <c r="BG131" s="1869">
        <f>SUM(BG126:BG130)</f>
        <v>765805.67999999993</v>
      </c>
      <c r="BH131" s="1869">
        <f t="shared" ref="BH131:BL131" si="218">SUM(BH126:BH130)</f>
        <v>67793.239999999991</v>
      </c>
      <c r="BI131" s="1869">
        <f t="shared" si="218"/>
        <v>122423.59</v>
      </c>
      <c r="BJ131" s="1869">
        <f t="shared" si="218"/>
        <v>0</v>
      </c>
      <c r="BK131" s="1869">
        <f t="shared" si="218"/>
        <v>99.99</v>
      </c>
      <c r="BL131" s="1869">
        <f t="shared" si="218"/>
        <v>751.4</v>
      </c>
      <c r="BM131" s="1869">
        <f>SUM(BM126:BM130)</f>
        <v>191068.22</v>
      </c>
      <c r="BN131" s="1869">
        <f t="shared" ref="BN131:BR131" si="219">SUM(BN126:BN130)</f>
        <v>2549091.7400000002</v>
      </c>
      <c r="BO131" s="1869">
        <f t="shared" si="219"/>
        <v>322885.95</v>
      </c>
      <c r="BP131" s="1869">
        <f t="shared" si="219"/>
        <v>526812.98</v>
      </c>
      <c r="BQ131" s="1869">
        <f t="shared" si="219"/>
        <v>6067.5599999999995</v>
      </c>
      <c r="BR131" s="1869">
        <f t="shared" si="219"/>
        <v>3000</v>
      </c>
      <c r="BS131" s="1869">
        <f>SUM(BS126:BS130)</f>
        <v>3407858.23</v>
      </c>
      <c r="BT131" s="1869">
        <f t="shared" ref="BT131:BX131" si="220">SUM(BT126:BT130)</f>
        <v>-17460.900000000001</v>
      </c>
      <c r="BU131" s="1869">
        <f t="shared" si="220"/>
        <v>-17460.900000000001</v>
      </c>
      <c r="BV131" s="1869">
        <f t="shared" si="220"/>
        <v>0</v>
      </c>
      <c r="BW131" s="1869">
        <f t="shared" si="220"/>
        <v>0.32999999999999996</v>
      </c>
      <c r="BX131" s="1869">
        <f t="shared" si="220"/>
        <v>0</v>
      </c>
      <c r="BY131" s="1869">
        <f>SUM(BY126:BY130)</f>
        <v>-34921.47</v>
      </c>
      <c r="BZ131" s="1869">
        <f t="shared" ref="BZ131:CD131" si="221">SUM(BZ126:BZ130)</f>
        <v>2921698.9259720342</v>
      </c>
      <c r="CA131" s="1869">
        <f t="shared" si="221"/>
        <v>7844698.3869999992</v>
      </c>
      <c r="CB131" s="1869">
        <f t="shared" si="221"/>
        <v>1974838.77</v>
      </c>
      <c r="CC131" s="1869">
        <f t="shared" si="221"/>
        <v>11801.979999999994</v>
      </c>
      <c r="CD131" s="1869">
        <f t="shared" si="221"/>
        <v>280456.52</v>
      </c>
      <c r="CE131" s="1869">
        <f>SUM(CE126:CE130)</f>
        <v>13033494.582972035</v>
      </c>
      <c r="CF131" s="1869">
        <f t="shared" ref="CF131:CJ131" si="222">SUM(CF126:CF130)</f>
        <v>256936.24</v>
      </c>
      <c r="CG131" s="1869">
        <f t="shared" si="222"/>
        <v>0</v>
      </c>
      <c r="CH131" s="1869">
        <f t="shared" si="222"/>
        <v>433752.42</v>
      </c>
      <c r="CI131" s="1869">
        <f t="shared" si="222"/>
        <v>44266.279999999992</v>
      </c>
      <c r="CJ131" s="1869">
        <f t="shared" si="222"/>
        <v>0</v>
      </c>
      <c r="CK131" s="1869">
        <f>SUM(CK126:CK130)</f>
        <v>734954.94000000006</v>
      </c>
      <c r="CL131" s="1869">
        <f t="shared" ref="CL131:CP131" si="223">SUM(CL126:CL130)</f>
        <v>7585.9000000000005</v>
      </c>
      <c r="CM131" s="1869">
        <f t="shared" si="223"/>
        <v>0</v>
      </c>
      <c r="CN131" s="1869">
        <f t="shared" si="223"/>
        <v>23002.399999999998</v>
      </c>
      <c r="CO131" s="1869">
        <f t="shared" si="223"/>
        <v>0</v>
      </c>
      <c r="CP131" s="1869">
        <f t="shared" si="223"/>
        <v>45.77</v>
      </c>
      <c r="CQ131" s="1869">
        <f>SUM(CQ126:CQ130)</f>
        <v>30634.07</v>
      </c>
      <c r="CR131" s="1869">
        <f t="shared" ref="CR131:CV131" si="224">SUM(CR126:CR130)</f>
        <v>-3531.9300000000003</v>
      </c>
      <c r="CS131" s="1869">
        <f t="shared" si="224"/>
        <v>0</v>
      </c>
      <c r="CT131" s="1869">
        <f t="shared" si="224"/>
        <v>0</v>
      </c>
      <c r="CU131" s="1869">
        <f t="shared" si="224"/>
        <v>0</v>
      </c>
      <c r="CV131" s="1869">
        <f t="shared" si="224"/>
        <v>0</v>
      </c>
      <c r="CW131" s="1869">
        <f>SUM(CW126:CW130)</f>
        <v>-3531.9300000000003</v>
      </c>
      <c r="CX131" s="1869">
        <f t="shared" ref="CX131:DB131" si="225">SUM(CX126:CX130)</f>
        <v>-7054.9100000000008</v>
      </c>
      <c r="CY131" s="1869">
        <f t="shared" si="225"/>
        <v>-7054.9100000000008</v>
      </c>
      <c r="CZ131" s="1869">
        <f t="shared" si="225"/>
        <v>0</v>
      </c>
      <c r="DA131" s="1869">
        <f t="shared" si="225"/>
        <v>-255.93</v>
      </c>
      <c r="DB131" s="1869">
        <f t="shared" si="225"/>
        <v>0</v>
      </c>
      <c r="DC131" s="1869">
        <f>SUM(DC126:DC130)</f>
        <v>-14365.75</v>
      </c>
      <c r="DD131" s="1869">
        <f t="shared" ref="DD131:DH131" si="226">SUM(DD126:DD130)</f>
        <v>-52617.820000000007</v>
      </c>
      <c r="DE131" s="1869">
        <f t="shared" si="226"/>
        <v>0</v>
      </c>
      <c r="DF131" s="1869">
        <f t="shared" si="226"/>
        <v>0</v>
      </c>
      <c r="DG131" s="1869">
        <f t="shared" si="226"/>
        <v>0</v>
      </c>
      <c r="DH131" s="1869">
        <f t="shared" si="226"/>
        <v>0</v>
      </c>
      <c r="DI131" s="1869">
        <f>SUM(DI126:DI130)</f>
        <v>-52617.820000000007</v>
      </c>
      <c r="DJ131" s="1869">
        <f t="shared" ref="DJ131:DN131" si="227">SUM(DJ126:DJ130)</f>
        <v>-86842.430000000008</v>
      </c>
      <c r="DK131" s="1869">
        <f t="shared" si="227"/>
        <v>-2357.17</v>
      </c>
      <c r="DL131" s="1869">
        <f t="shared" si="227"/>
        <v>0</v>
      </c>
      <c r="DM131" s="1869">
        <f t="shared" si="227"/>
        <v>0</v>
      </c>
      <c r="DN131" s="1869">
        <f t="shared" si="227"/>
        <v>0</v>
      </c>
      <c r="DO131" s="1869">
        <f>SUM(DO126:DO130)</f>
        <v>-89199.6</v>
      </c>
      <c r="DP131" s="1869">
        <f t="shared" ref="DP131:DT131" si="228">SUM(DP126:DP130)</f>
        <v>-28911.42</v>
      </c>
      <c r="DQ131" s="1869">
        <f t="shared" si="228"/>
        <v>-28911.42</v>
      </c>
      <c r="DR131" s="1869">
        <f t="shared" si="228"/>
        <v>0</v>
      </c>
      <c r="DS131" s="1869">
        <f t="shared" si="228"/>
        <v>0.02</v>
      </c>
      <c r="DT131" s="1869">
        <f t="shared" si="228"/>
        <v>0</v>
      </c>
      <c r="DU131" s="1869">
        <f>SUM(DU126:DU130)</f>
        <v>-57822.82</v>
      </c>
      <c r="DV131" s="1869">
        <f t="shared" ref="DV131:DZ131" si="229">SUM(DV126:DV130)</f>
        <v>591843.58000000007</v>
      </c>
      <c r="DW131" s="1869">
        <f t="shared" si="229"/>
        <v>408371.86000000004</v>
      </c>
      <c r="DX131" s="1869">
        <f t="shared" si="229"/>
        <v>183471.59</v>
      </c>
      <c r="DY131" s="1869">
        <f t="shared" si="229"/>
        <v>2911.4800000000005</v>
      </c>
      <c r="DZ131" s="1869">
        <f t="shared" si="229"/>
        <v>7333.5</v>
      </c>
      <c r="EA131" s="1869">
        <f>SUM(EA126:EA130)</f>
        <v>1193932.0100000002</v>
      </c>
      <c r="EB131" s="1869">
        <f t="shared" ref="EB131:EE131" si="230">SUM(EB126:EB130)</f>
        <v>732868.60000000009</v>
      </c>
      <c r="EC131" s="1869">
        <f t="shared" si="230"/>
        <v>0</v>
      </c>
      <c r="ED131" s="1869">
        <f t="shared" si="230"/>
        <v>134430.20000000001</v>
      </c>
      <c r="EE131" s="1869">
        <f t="shared" si="230"/>
        <v>52098.81</v>
      </c>
      <c r="EF131" s="1869">
        <f t="shared" ref="EF131" si="231">SUM(EF126:EF130)</f>
        <v>10159.4</v>
      </c>
      <c r="EG131" s="1869">
        <f>SUM(EG126:EG130)</f>
        <v>929557.01</v>
      </c>
    </row>
    <row r="133" spans="1:137" s="394" customFormat="1" x14ac:dyDescent="0.25">
      <c r="A133" s="394" t="s">
        <v>1204</v>
      </c>
      <c r="B133" s="715"/>
      <c r="C133" s="715"/>
      <c r="D133" s="665"/>
      <c r="BH133" s="1055"/>
      <c r="BI133" s="1055"/>
      <c r="BJ133" s="1055"/>
      <c r="BK133" s="1055"/>
      <c r="BL133" s="1055"/>
      <c r="BM133" s="1055"/>
      <c r="BN133" s="1055"/>
      <c r="BO133" s="1055"/>
      <c r="BP133" s="1055"/>
      <c r="BQ133" s="1055"/>
      <c r="BR133" s="1055"/>
      <c r="BS133" s="1055"/>
      <c r="BT133" s="1055"/>
      <c r="BU133" s="1055"/>
      <c r="BV133" s="1055"/>
      <c r="BW133" s="1055"/>
      <c r="BX133" s="1055"/>
      <c r="BY133" s="1055"/>
      <c r="BZ133" s="1055"/>
      <c r="CA133" s="1055"/>
      <c r="CB133" s="1055"/>
      <c r="CC133" s="1055"/>
      <c r="CD133" s="1055"/>
      <c r="CE133" s="1055"/>
      <c r="CF133" s="1055"/>
      <c r="CG133" s="1055"/>
      <c r="CH133" s="1055"/>
      <c r="CI133" s="1055"/>
      <c r="CJ133" s="1055"/>
      <c r="CK133" s="1055"/>
      <c r="CL133" s="1055"/>
      <c r="CM133" s="1055"/>
      <c r="CN133" s="1055"/>
      <c r="CO133" s="1055"/>
      <c r="CP133" s="1055"/>
      <c r="CQ133" s="1055"/>
      <c r="CR133" s="1055"/>
      <c r="CS133" s="1055"/>
      <c r="CT133" s="1055"/>
      <c r="CU133" s="1055"/>
      <c r="CV133" s="1055"/>
      <c r="CW133" s="1055"/>
      <c r="CX133" s="1055"/>
      <c r="CY133" s="1055"/>
      <c r="CZ133" s="1055"/>
      <c r="DA133" s="1055"/>
      <c r="DB133" s="1055"/>
      <c r="DC133" s="1055"/>
      <c r="DD133" s="1055"/>
      <c r="DE133" s="1055"/>
      <c r="DF133" s="1055"/>
      <c r="DG133" s="1055"/>
      <c r="DH133" s="1055"/>
      <c r="DI133" s="1055"/>
      <c r="DJ133" s="1055"/>
      <c r="DK133" s="1055"/>
      <c r="DL133" s="1055"/>
      <c r="DM133" s="1055"/>
      <c r="DN133" s="1055"/>
      <c r="DO133" s="1055"/>
      <c r="DP133" s="1055"/>
      <c r="DQ133" s="1055"/>
      <c r="DR133" s="1055"/>
      <c r="DS133" s="1055"/>
      <c r="DT133" s="1055"/>
      <c r="DU133" s="1055"/>
    </row>
    <row r="134" spans="1:137" s="394" customFormat="1" x14ac:dyDescent="0.25">
      <c r="BH134" s="1055"/>
      <c r="BI134" s="1055"/>
      <c r="BJ134" s="1055"/>
      <c r="BK134" s="1055"/>
      <c r="BL134" s="1055"/>
      <c r="BM134" s="1055"/>
      <c r="BN134" s="1055"/>
      <c r="BO134" s="1055"/>
      <c r="BP134" s="1055"/>
      <c r="BQ134" s="1055"/>
      <c r="BR134" s="1055"/>
      <c r="BS134" s="1055"/>
      <c r="BT134" s="1055"/>
      <c r="BU134" s="1055"/>
      <c r="BV134" s="1055"/>
      <c r="BW134" s="1055"/>
      <c r="BX134" s="1055"/>
      <c r="BY134" s="1055"/>
      <c r="BZ134" s="1055"/>
      <c r="CA134" s="1055"/>
      <c r="CB134" s="1055"/>
      <c r="CC134" s="1055"/>
      <c r="CD134" s="1055"/>
      <c r="CE134" s="1055"/>
      <c r="CF134" s="1055"/>
      <c r="CG134" s="1055"/>
      <c r="CH134" s="1055"/>
      <c r="CI134" s="1055"/>
      <c r="CJ134" s="1055"/>
      <c r="CK134" s="1055"/>
      <c r="CL134" s="1055"/>
      <c r="CM134" s="1055"/>
      <c r="CN134" s="1055"/>
      <c r="CO134" s="1055"/>
      <c r="CP134" s="1055"/>
      <c r="CQ134" s="1055"/>
      <c r="CR134" s="1055"/>
      <c r="CS134" s="1055"/>
      <c r="CT134" s="1055"/>
      <c r="CU134" s="1055"/>
      <c r="CV134" s="1055"/>
      <c r="CW134" s="1055"/>
      <c r="CX134" s="1055"/>
      <c r="CY134" s="1055"/>
      <c r="CZ134" s="1055"/>
      <c r="DA134" s="1055"/>
      <c r="DB134" s="1055"/>
      <c r="DC134" s="1055"/>
      <c r="DD134" s="1055"/>
      <c r="DE134" s="1055"/>
      <c r="DF134" s="1055"/>
      <c r="DG134" s="1055"/>
      <c r="DH134" s="1055"/>
      <c r="DI134" s="1055"/>
      <c r="DJ134" s="1055"/>
      <c r="DK134" s="1055"/>
      <c r="DL134" s="1055"/>
      <c r="DM134" s="1055"/>
      <c r="DN134" s="1055"/>
      <c r="DO134" s="1055"/>
      <c r="DP134" s="1055"/>
      <c r="DQ134" s="1055"/>
      <c r="DR134" s="1055"/>
      <c r="DS134" s="1055"/>
      <c r="DT134" s="1055"/>
      <c r="DU134" s="1055"/>
    </row>
    <row r="135" spans="1:137" s="414" customFormat="1" x14ac:dyDescent="0.25">
      <c r="A135" s="414" t="s">
        <v>248</v>
      </c>
      <c r="BH135" s="1056"/>
      <c r="BI135" s="1056"/>
      <c r="BJ135" s="1056"/>
      <c r="BK135" s="1056"/>
      <c r="BL135" s="1056"/>
      <c r="BM135" s="1056"/>
      <c r="BN135" s="1056"/>
      <c r="BO135" s="1056"/>
      <c r="BP135" s="1056"/>
      <c r="BQ135" s="1056"/>
      <c r="BR135" s="1056"/>
      <c r="BS135" s="1056"/>
      <c r="BT135" s="1056"/>
      <c r="BU135" s="1056"/>
      <c r="BV135" s="1056"/>
      <c r="BW135" s="1056"/>
      <c r="BX135" s="1056"/>
      <c r="BY135" s="1056"/>
      <c r="BZ135" s="1056"/>
      <c r="CA135" s="1056"/>
      <c r="CB135" s="1056"/>
      <c r="CC135" s="1056"/>
      <c r="CD135" s="1056"/>
      <c r="CE135" s="1056"/>
      <c r="CF135" s="1056"/>
      <c r="CG135" s="1056"/>
      <c r="CH135" s="1056"/>
      <c r="CI135" s="1056"/>
      <c r="CJ135" s="1056"/>
      <c r="CK135" s="1056"/>
      <c r="CL135" s="1056"/>
      <c r="CM135" s="1056"/>
      <c r="CN135" s="1056"/>
      <c r="CO135" s="1056"/>
      <c r="CP135" s="1056"/>
      <c r="CQ135" s="1056"/>
      <c r="CR135" s="1056"/>
      <c r="CS135" s="1056"/>
      <c r="CT135" s="1056"/>
      <c r="CU135" s="1056"/>
      <c r="CV135" s="1056"/>
      <c r="CW135" s="1056"/>
      <c r="CX135" s="1056"/>
      <c r="CY135" s="1056"/>
      <c r="CZ135" s="1056"/>
      <c r="DA135" s="1056"/>
      <c r="DB135" s="1056"/>
      <c r="DC135" s="1056"/>
      <c r="DD135" s="1056"/>
      <c r="DE135" s="1056"/>
      <c r="DF135" s="1056"/>
      <c r="DG135" s="1056"/>
      <c r="DH135" s="1056"/>
      <c r="DI135" s="1056"/>
      <c r="DJ135" s="1056"/>
      <c r="DK135" s="1056"/>
      <c r="DL135" s="1056"/>
      <c r="DM135" s="1056"/>
      <c r="DN135" s="1056"/>
      <c r="DO135" s="1056"/>
      <c r="DP135" s="1056"/>
      <c r="DQ135" s="1056"/>
      <c r="DR135" s="1056"/>
      <c r="DS135" s="1056"/>
      <c r="DT135" s="1056"/>
      <c r="DU135" s="1056"/>
    </row>
    <row r="136" spans="1:137" x14ac:dyDescent="0.25">
      <c r="A136" s="415" t="s">
        <v>249</v>
      </c>
      <c r="B136" s="416" t="s">
        <v>250</v>
      </c>
      <c r="C136" s="416"/>
    </row>
  </sheetData>
  <autoFilter ref="A3:B3"/>
  <hyperlinks>
    <hyperlink ref="B136" r:id="rId1"/>
  </hyperlinks>
  <pageMargins left="0.7" right="0.7" top="0.75" bottom="0.75" header="0.3" footer="0.3"/>
  <pageSetup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sheetPr>
  <dimension ref="A1:N146"/>
  <sheetViews>
    <sheetView workbookViewId="0">
      <pane xSplit="3" ySplit="4" topLeftCell="G8" activePane="bottomRight" state="frozen"/>
      <selection pane="topRight" activeCell="D1" sqref="D1"/>
      <selection pane="bottomLeft" activeCell="A5" sqref="A5"/>
      <selection pane="bottomRight" activeCell="I127" sqref="I127"/>
    </sheetView>
  </sheetViews>
  <sheetFormatPr defaultRowHeight="15.75" x14ac:dyDescent="0.25"/>
  <cols>
    <col min="1" max="1" width="9.125" style="270" customWidth="1"/>
    <col min="2" max="2" width="33" style="270" customWidth="1"/>
    <col min="3" max="3" width="17.125" style="270" customWidth="1"/>
    <col min="4" max="4" width="22.75" style="270" customWidth="1"/>
    <col min="5" max="6" width="14.125" style="270" customWidth="1"/>
    <col min="7" max="7" width="13.5" style="270" customWidth="1"/>
    <col min="8" max="9" width="14.5" style="270" bestFit="1" customWidth="1"/>
    <col min="10" max="10" width="13.5" style="270" bestFit="1" customWidth="1"/>
    <col min="11" max="13" width="16" style="270" bestFit="1" customWidth="1"/>
    <col min="14" max="14" width="15.375" style="270" customWidth="1"/>
    <col min="15" max="16384" width="9" style="270"/>
  </cols>
  <sheetData>
    <row r="1" spans="1:14" x14ac:dyDescent="0.25">
      <c r="A1" s="261" t="s">
        <v>1190</v>
      </c>
      <c r="B1" s="826"/>
      <c r="C1" s="827"/>
      <c r="D1" s="827"/>
    </row>
    <row r="2" spans="1:14" x14ac:dyDescent="0.25">
      <c r="A2" s="827"/>
      <c r="B2" s="827"/>
      <c r="C2" s="827"/>
      <c r="D2" s="827"/>
      <c r="E2" s="828"/>
      <c r="F2" s="828"/>
      <c r="G2" s="828"/>
      <c r="H2" s="828"/>
      <c r="I2" s="828"/>
      <c r="J2" s="828"/>
      <c r="K2" s="828"/>
      <c r="L2" s="828"/>
      <c r="M2" s="828"/>
    </row>
    <row r="3" spans="1:14" ht="24.75" customHeight="1" x14ac:dyDescent="0.25">
      <c r="A3" s="725" t="s">
        <v>4</v>
      </c>
      <c r="B3" s="834" t="s">
        <v>5</v>
      </c>
      <c r="C3" s="915" t="s">
        <v>251</v>
      </c>
      <c r="D3" s="835" t="s">
        <v>663</v>
      </c>
      <c r="E3" s="834" t="s">
        <v>314</v>
      </c>
      <c r="F3" s="834" t="s">
        <v>315</v>
      </c>
      <c r="G3" s="834" t="s">
        <v>316</v>
      </c>
      <c r="H3" s="836" t="s">
        <v>595</v>
      </c>
      <c r="I3" s="836" t="s">
        <v>596</v>
      </c>
      <c r="J3" s="836" t="s">
        <v>597</v>
      </c>
      <c r="K3" s="836" t="s">
        <v>598</v>
      </c>
      <c r="L3" s="836" t="s">
        <v>392</v>
      </c>
      <c r="M3" s="836" t="s">
        <v>594</v>
      </c>
      <c r="N3" s="1443" t="s">
        <v>852</v>
      </c>
    </row>
    <row r="4" spans="1:14" hidden="1" x14ac:dyDescent="0.25">
      <c r="A4" s="718">
        <v>999</v>
      </c>
      <c r="B4" s="829" t="s">
        <v>9</v>
      </c>
      <c r="C4" s="829"/>
      <c r="D4" s="830">
        <f t="shared" ref="D4:N4" si="0">SUM(D5:D124)</f>
        <v>7594533790.2650681</v>
      </c>
      <c r="E4" s="830">
        <f t="shared" si="0"/>
        <v>3841017854.4189734</v>
      </c>
      <c r="F4" s="830">
        <f t="shared" si="0"/>
        <v>3734326054.9832392</v>
      </c>
      <c r="G4" s="830">
        <f t="shared" si="0"/>
        <v>19189880.862855248</v>
      </c>
      <c r="H4" s="830">
        <f t="shared" si="0"/>
        <v>291673061.90960002</v>
      </c>
      <c r="I4" s="830">
        <f t="shared" si="0"/>
        <v>189587490.24124002</v>
      </c>
      <c r="J4" s="830">
        <f t="shared" si="0"/>
        <v>102085571.66836002</v>
      </c>
      <c r="K4" s="830">
        <f t="shared" si="0"/>
        <v>7302860728.3554716</v>
      </c>
      <c r="L4" s="830">
        <f t="shared" si="0"/>
        <v>3651430364.1777358</v>
      </c>
      <c r="M4" s="830">
        <f t="shared" si="0"/>
        <v>3632240483.3148789</v>
      </c>
      <c r="N4" s="1442">
        <f t="shared" si="0"/>
        <v>19189880.862855248</v>
      </c>
    </row>
    <row r="5" spans="1:14" hidden="1" x14ac:dyDescent="0.25">
      <c r="A5" s="719" t="s">
        <v>10</v>
      </c>
      <c r="B5" s="831" t="s">
        <v>11</v>
      </c>
      <c r="C5" s="914" t="s">
        <v>264</v>
      </c>
      <c r="D5" s="831">
        <f>H5+K5</f>
        <v>50405529.76503101</v>
      </c>
      <c r="E5" s="832">
        <f t="shared" ref="E5:E36" si="1">+I5+L5</f>
        <v>25470653.946015503</v>
      </c>
      <c r="F5" s="832">
        <f t="shared" ref="F5:F36" si="2">+J5+M5</f>
        <v>24819178.846071504</v>
      </c>
      <c r="G5" s="832">
        <f>N5</f>
        <v>115696.97294399999</v>
      </c>
      <c r="H5" s="1059">
        <f>I5+J5</f>
        <v>1785927.09</v>
      </c>
      <c r="I5" s="1059">
        <v>1160852.6085000001</v>
      </c>
      <c r="J5" s="1059">
        <v>625074.48149999999</v>
      </c>
      <c r="K5" s="1059">
        <f>L5+M5+N5</f>
        <v>48619602.675031006</v>
      </c>
      <c r="L5" s="1059">
        <v>24309801.337515503</v>
      </c>
      <c r="M5" s="1059">
        <v>24194104.364571504</v>
      </c>
      <c r="N5" s="1060">
        <v>115696.97294399999</v>
      </c>
    </row>
    <row r="6" spans="1:14" hidden="1" x14ac:dyDescent="0.25">
      <c r="A6" s="719" t="s">
        <v>12</v>
      </c>
      <c r="B6" s="831" t="s">
        <v>13</v>
      </c>
      <c r="C6" s="914" t="s">
        <v>265</v>
      </c>
      <c r="D6" s="914">
        <f t="shared" ref="D6:D69" si="3">H6+K6</f>
        <v>59331447.20319885</v>
      </c>
      <c r="E6" s="832">
        <f t="shared" si="1"/>
        <v>30143130.824599423</v>
      </c>
      <c r="F6" s="832">
        <f t="shared" si="2"/>
        <v>28803747.46138617</v>
      </c>
      <c r="G6" s="832">
        <f t="shared" ref="G6:G69" si="4">N6</f>
        <v>384568.91721325007</v>
      </c>
      <c r="H6" s="1059">
        <f t="shared" ref="H6:H69" si="5">I6+J6</f>
        <v>3182714.82</v>
      </c>
      <c r="I6" s="1059">
        <v>2068764.6329999999</v>
      </c>
      <c r="J6" s="1059">
        <v>1113950.1869999999</v>
      </c>
      <c r="K6" s="1059">
        <f t="shared" ref="K6:K69" si="6">L6+M6+N6</f>
        <v>56148732.38319885</v>
      </c>
      <c r="L6" s="1059">
        <v>28074366.191599421</v>
      </c>
      <c r="M6" s="1059">
        <v>27689797.274386171</v>
      </c>
      <c r="N6" s="1060">
        <v>384568.91721325007</v>
      </c>
    </row>
    <row r="7" spans="1:14" hidden="1" x14ac:dyDescent="0.25">
      <c r="A7" s="719" t="s">
        <v>16</v>
      </c>
      <c r="B7" s="831" t="s">
        <v>297</v>
      </c>
      <c r="C7" s="914" t="s">
        <v>265</v>
      </c>
      <c r="D7" s="914">
        <f t="shared" si="3"/>
        <v>31293458.079017285</v>
      </c>
      <c r="E7" s="832">
        <f t="shared" si="1"/>
        <v>15783471.613508642</v>
      </c>
      <c r="F7" s="832">
        <f t="shared" si="2"/>
        <v>15439173.938136142</v>
      </c>
      <c r="G7" s="832">
        <f t="shared" si="4"/>
        <v>70812.527372500001</v>
      </c>
      <c r="H7" s="1059">
        <f t="shared" si="5"/>
        <v>911617.15999999992</v>
      </c>
      <c r="I7" s="1059">
        <v>592551.15399999998</v>
      </c>
      <c r="J7" s="1059">
        <v>319066.00599999994</v>
      </c>
      <c r="K7" s="1059">
        <f t="shared" si="6"/>
        <v>30381840.919017285</v>
      </c>
      <c r="L7" s="1059">
        <v>15190920.459508643</v>
      </c>
      <c r="M7" s="1059">
        <v>15120107.932136143</v>
      </c>
      <c r="N7" s="1060">
        <v>70812.527372500001</v>
      </c>
    </row>
    <row r="8" spans="1:14" x14ac:dyDescent="0.25">
      <c r="A8" s="719" t="s">
        <v>18</v>
      </c>
      <c r="B8" s="831" t="s">
        <v>19</v>
      </c>
      <c r="C8" s="914" t="s">
        <v>266</v>
      </c>
      <c r="D8" s="914">
        <f t="shared" si="3"/>
        <v>16416991.519044863</v>
      </c>
      <c r="E8" s="832">
        <f t="shared" si="1"/>
        <v>8284026.0065224301</v>
      </c>
      <c r="F8" s="832">
        <f t="shared" si="2"/>
        <v>8079349.1011599302</v>
      </c>
      <c r="G8" s="832">
        <f t="shared" si="4"/>
        <v>53616.411362499995</v>
      </c>
      <c r="H8" s="1059">
        <f t="shared" si="5"/>
        <v>503534.98</v>
      </c>
      <c r="I8" s="1059">
        <v>327297.73700000002</v>
      </c>
      <c r="J8" s="1059">
        <v>176237.24299999999</v>
      </c>
      <c r="K8" s="1059">
        <f t="shared" si="6"/>
        <v>15913456.539044863</v>
      </c>
      <c r="L8" s="1059">
        <v>7956728.2695224304</v>
      </c>
      <c r="M8" s="1059">
        <v>7903111.8581599304</v>
      </c>
      <c r="N8" s="1060">
        <v>53616.411362499995</v>
      </c>
    </row>
    <row r="9" spans="1:14" hidden="1" x14ac:dyDescent="0.25">
      <c r="A9" s="719" t="s">
        <v>20</v>
      </c>
      <c r="B9" s="831" t="s">
        <v>21</v>
      </c>
      <c r="C9" s="914" t="s">
        <v>265</v>
      </c>
      <c r="D9" s="914">
        <f t="shared" si="3"/>
        <v>42132712.953459844</v>
      </c>
      <c r="E9" s="832">
        <f t="shared" si="1"/>
        <v>21326562.29572992</v>
      </c>
      <c r="F9" s="832">
        <f t="shared" si="2"/>
        <v>20677761.651614919</v>
      </c>
      <c r="G9" s="832">
        <f t="shared" si="4"/>
        <v>128389.006115</v>
      </c>
      <c r="H9" s="1059">
        <f t="shared" si="5"/>
        <v>1734705.46</v>
      </c>
      <c r="I9" s="1059">
        <v>1127558.5490000001</v>
      </c>
      <c r="J9" s="1059">
        <v>607146.91099999996</v>
      </c>
      <c r="K9" s="1059">
        <f t="shared" si="6"/>
        <v>40398007.493459843</v>
      </c>
      <c r="L9" s="1059">
        <v>20199003.746729922</v>
      </c>
      <c r="M9" s="1059">
        <v>20070614.740614921</v>
      </c>
      <c r="N9" s="1060">
        <v>128389.006115</v>
      </c>
    </row>
    <row r="10" spans="1:14" hidden="1" x14ac:dyDescent="0.25">
      <c r="A10" s="719" t="s">
        <v>22</v>
      </c>
      <c r="B10" s="831" t="s">
        <v>23</v>
      </c>
      <c r="C10" s="914" t="s">
        <v>265</v>
      </c>
      <c r="D10" s="914">
        <f t="shared" si="3"/>
        <v>22368413.647398528</v>
      </c>
      <c r="E10" s="832">
        <f t="shared" si="1"/>
        <v>11314878.254199263</v>
      </c>
      <c r="F10" s="832">
        <f t="shared" si="2"/>
        <v>10889954.083519263</v>
      </c>
      <c r="G10" s="832">
        <f t="shared" si="4"/>
        <v>163581.30968000003</v>
      </c>
      <c r="H10" s="1059">
        <f t="shared" si="5"/>
        <v>871142.87000000011</v>
      </c>
      <c r="I10" s="1059">
        <v>566242.86550000007</v>
      </c>
      <c r="J10" s="1059">
        <v>304900.00449999998</v>
      </c>
      <c r="K10" s="1059">
        <f t="shared" si="6"/>
        <v>21497270.777398527</v>
      </c>
      <c r="L10" s="1059">
        <v>10748635.388699263</v>
      </c>
      <c r="M10" s="1059">
        <v>10585054.079019263</v>
      </c>
      <c r="N10" s="1060">
        <v>163581.30968000003</v>
      </c>
    </row>
    <row r="11" spans="1:14" hidden="1" x14ac:dyDescent="0.25">
      <c r="A11" s="719" t="s">
        <v>24</v>
      </c>
      <c r="B11" s="831" t="s">
        <v>25</v>
      </c>
      <c r="C11" s="914" t="s">
        <v>267</v>
      </c>
      <c r="D11" s="914">
        <f t="shared" si="3"/>
        <v>101372812.60064821</v>
      </c>
      <c r="E11" s="832">
        <f t="shared" si="1"/>
        <v>51442246.69282411</v>
      </c>
      <c r="F11" s="832">
        <f t="shared" si="2"/>
        <v>49385786.287558861</v>
      </c>
      <c r="G11" s="832">
        <f t="shared" si="4"/>
        <v>544779.62026524998</v>
      </c>
      <c r="H11" s="1059">
        <f t="shared" si="5"/>
        <v>5038935.95</v>
      </c>
      <c r="I11" s="1059">
        <v>3275308.3675000002</v>
      </c>
      <c r="J11" s="1059">
        <v>1763627.5825</v>
      </c>
      <c r="K11" s="1059">
        <f t="shared" si="6"/>
        <v>96333876.650648206</v>
      </c>
      <c r="L11" s="1059">
        <v>48166938.325324111</v>
      </c>
      <c r="M11" s="1059">
        <v>47622158.705058858</v>
      </c>
      <c r="N11" s="1060">
        <v>544779.62026524998</v>
      </c>
    </row>
    <row r="12" spans="1:14" hidden="1" x14ac:dyDescent="0.25">
      <c r="A12" s="719" t="s">
        <v>26</v>
      </c>
      <c r="B12" s="831" t="s">
        <v>686</v>
      </c>
      <c r="C12" s="914" t="s">
        <v>265</v>
      </c>
      <c r="D12" s="914">
        <f t="shared" si="3"/>
        <v>117381960.81176901</v>
      </c>
      <c r="E12" s="832">
        <f t="shared" si="1"/>
        <v>59436067.025384508</v>
      </c>
      <c r="F12" s="832">
        <f t="shared" si="2"/>
        <v>57457016.920014009</v>
      </c>
      <c r="G12" s="832">
        <f t="shared" si="4"/>
        <v>488876.86637049995</v>
      </c>
      <c r="H12" s="1059">
        <f t="shared" si="5"/>
        <v>4967244.129999999</v>
      </c>
      <c r="I12" s="1059">
        <v>3228708.6844999995</v>
      </c>
      <c r="J12" s="1059">
        <v>1738535.4454999999</v>
      </c>
      <c r="K12" s="1059">
        <f t="shared" si="6"/>
        <v>112414716.68176901</v>
      </c>
      <c r="L12" s="1059">
        <v>56207358.340884507</v>
      </c>
      <c r="M12" s="1059">
        <v>55718481.474514008</v>
      </c>
      <c r="N12" s="1060">
        <v>488876.86637049995</v>
      </c>
    </row>
    <row r="13" spans="1:14" hidden="1" x14ac:dyDescent="0.25">
      <c r="A13" s="719" t="s">
        <v>27</v>
      </c>
      <c r="B13" s="831" t="s">
        <v>28</v>
      </c>
      <c r="C13" s="914" t="s">
        <v>265</v>
      </c>
      <c r="D13" s="914">
        <f t="shared" si="3"/>
        <v>4522194.8908610847</v>
      </c>
      <c r="E13" s="832">
        <f t="shared" si="1"/>
        <v>2291278.2584305424</v>
      </c>
      <c r="F13" s="832">
        <f t="shared" si="2"/>
        <v>2218545.4932685425</v>
      </c>
      <c r="G13" s="832">
        <f t="shared" si="4"/>
        <v>12371.139162000003</v>
      </c>
      <c r="H13" s="1059">
        <f t="shared" si="5"/>
        <v>201205.42</v>
      </c>
      <c r="I13" s="1059">
        <v>130783.52300000002</v>
      </c>
      <c r="J13" s="1059">
        <v>70421.896999999997</v>
      </c>
      <c r="K13" s="1059">
        <f t="shared" si="6"/>
        <v>4320989.4708610848</v>
      </c>
      <c r="L13" s="1059">
        <v>2160494.7354305424</v>
      </c>
      <c r="M13" s="1059">
        <v>2148123.5962685426</v>
      </c>
      <c r="N13" s="1060">
        <v>12371.139162000003</v>
      </c>
    </row>
    <row r="14" spans="1:14" hidden="1" x14ac:dyDescent="0.25">
      <c r="A14" s="719" t="s">
        <v>29</v>
      </c>
      <c r="B14" s="914" t="s">
        <v>941</v>
      </c>
      <c r="C14" s="914" t="s">
        <v>265</v>
      </c>
      <c r="D14" s="914">
        <f t="shared" si="3"/>
        <v>64376746.252316497</v>
      </c>
      <c r="E14" s="832">
        <f t="shared" si="1"/>
        <v>32546450.672158249</v>
      </c>
      <c r="F14" s="832">
        <f t="shared" si="2"/>
        <v>31734246.024230249</v>
      </c>
      <c r="G14" s="832">
        <f t="shared" si="4"/>
        <v>96049.555928000002</v>
      </c>
      <c r="H14" s="1059">
        <f t="shared" si="5"/>
        <v>2387183.6399999997</v>
      </c>
      <c r="I14" s="1059">
        <v>1551669.3659999999</v>
      </c>
      <c r="J14" s="1059">
        <v>835514.27399999986</v>
      </c>
      <c r="K14" s="1059">
        <f t="shared" si="6"/>
        <v>61989562.612316497</v>
      </c>
      <c r="L14" s="1059">
        <v>30994781.306158248</v>
      </c>
      <c r="M14" s="1059">
        <v>30898731.750230249</v>
      </c>
      <c r="N14" s="1060">
        <v>96049.555928000002</v>
      </c>
    </row>
    <row r="15" spans="1:14" hidden="1" x14ac:dyDescent="0.25">
      <c r="A15" s="719" t="s">
        <v>30</v>
      </c>
      <c r="B15" s="831" t="s">
        <v>31</v>
      </c>
      <c r="C15" s="914" t="s">
        <v>268</v>
      </c>
      <c r="D15" s="914">
        <f t="shared" si="3"/>
        <v>5545453.1449747328</v>
      </c>
      <c r="E15" s="832">
        <f t="shared" si="1"/>
        <v>2807463.0114873662</v>
      </c>
      <c r="F15" s="832">
        <f t="shared" si="2"/>
        <v>2719752.2000936163</v>
      </c>
      <c r="G15" s="832">
        <f t="shared" si="4"/>
        <v>18237.933393750001</v>
      </c>
      <c r="H15" s="1059">
        <f t="shared" si="5"/>
        <v>231576.26</v>
      </c>
      <c r="I15" s="1059">
        <v>150524.56900000002</v>
      </c>
      <c r="J15" s="1059">
        <v>81051.690999999992</v>
      </c>
      <c r="K15" s="1059">
        <f t="shared" si="6"/>
        <v>5313876.884974733</v>
      </c>
      <c r="L15" s="1059">
        <v>2656938.442487366</v>
      </c>
      <c r="M15" s="1059">
        <v>2638700.5090936162</v>
      </c>
      <c r="N15" s="1060">
        <v>18237.933393750001</v>
      </c>
    </row>
    <row r="16" spans="1:14" hidden="1" x14ac:dyDescent="0.25">
      <c r="A16" s="719" t="s">
        <v>32</v>
      </c>
      <c r="B16" s="831" t="s">
        <v>33</v>
      </c>
      <c r="C16" s="914" t="s">
        <v>265</v>
      </c>
      <c r="D16" s="914">
        <f t="shared" si="3"/>
        <v>24523460.638551805</v>
      </c>
      <c r="E16" s="832">
        <f t="shared" si="1"/>
        <v>12354671.229775904</v>
      </c>
      <c r="F16" s="832">
        <f t="shared" si="2"/>
        <v>12127555.653353404</v>
      </c>
      <c r="G16" s="832">
        <f t="shared" si="4"/>
        <v>41233.755422500006</v>
      </c>
      <c r="H16" s="1059">
        <f t="shared" si="5"/>
        <v>619606.06999999995</v>
      </c>
      <c r="I16" s="1059">
        <v>402743.94549999997</v>
      </c>
      <c r="J16" s="1059">
        <v>216862.12449999998</v>
      </c>
      <c r="K16" s="1059">
        <f t="shared" si="6"/>
        <v>23903854.568551805</v>
      </c>
      <c r="L16" s="1059">
        <v>11951927.284275904</v>
      </c>
      <c r="M16" s="1059">
        <v>11910693.528853403</v>
      </c>
      <c r="N16" s="1060">
        <v>41233.755422500006</v>
      </c>
    </row>
    <row r="17" spans="1:14" hidden="1" x14ac:dyDescent="0.25">
      <c r="A17" s="719" t="s">
        <v>36</v>
      </c>
      <c r="B17" s="831" t="s">
        <v>37</v>
      </c>
      <c r="C17" s="914" t="s">
        <v>264</v>
      </c>
      <c r="D17" s="914">
        <f t="shared" si="3"/>
        <v>33667911.828958593</v>
      </c>
      <c r="E17" s="832">
        <f t="shared" si="1"/>
        <v>16929183.544979297</v>
      </c>
      <c r="F17" s="832">
        <f t="shared" si="2"/>
        <v>16680580.207230547</v>
      </c>
      <c r="G17" s="832">
        <f t="shared" si="4"/>
        <v>58148.076748749991</v>
      </c>
      <c r="H17" s="1059">
        <f t="shared" si="5"/>
        <v>634850.87</v>
      </c>
      <c r="I17" s="1059">
        <v>412653.06550000003</v>
      </c>
      <c r="J17" s="1059">
        <v>222197.8045</v>
      </c>
      <c r="K17" s="1059">
        <f t="shared" si="6"/>
        <v>33033060.958958596</v>
      </c>
      <c r="L17" s="1059">
        <v>16516530.479479296</v>
      </c>
      <c r="M17" s="1059">
        <v>16458382.402730547</v>
      </c>
      <c r="N17" s="1060">
        <v>58148.076748749991</v>
      </c>
    </row>
    <row r="18" spans="1:14" hidden="1" x14ac:dyDescent="0.25">
      <c r="A18" s="719" t="s">
        <v>38</v>
      </c>
      <c r="B18" s="831" t="s">
        <v>39</v>
      </c>
      <c r="C18" s="914" t="s">
        <v>268</v>
      </c>
      <c r="D18" s="914">
        <f t="shared" si="3"/>
        <v>36464859.857324757</v>
      </c>
      <c r="E18" s="832">
        <f t="shared" si="1"/>
        <v>18405954.814162377</v>
      </c>
      <c r="F18" s="832">
        <f t="shared" si="2"/>
        <v>17952319.030162379</v>
      </c>
      <c r="G18" s="832">
        <f t="shared" si="4"/>
        <v>106586.01299999998</v>
      </c>
      <c r="H18" s="1059">
        <f t="shared" si="5"/>
        <v>1156832.57</v>
      </c>
      <c r="I18" s="1059">
        <v>751941.17050000012</v>
      </c>
      <c r="J18" s="1059">
        <v>404891.3995</v>
      </c>
      <c r="K18" s="1059">
        <f t="shared" si="6"/>
        <v>35308027.287324756</v>
      </c>
      <c r="L18" s="1059">
        <v>17654013.643662378</v>
      </c>
      <c r="M18" s="1059">
        <v>17547427.630662378</v>
      </c>
      <c r="N18" s="1060">
        <v>106586.01299999998</v>
      </c>
    </row>
    <row r="19" spans="1:14" x14ac:dyDescent="0.25">
      <c r="A19" s="719" t="s">
        <v>40</v>
      </c>
      <c r="B19" s="831" t="s">
        <v>41</v>
      </c>
      <c r="C19" s="914" t="s">
        <v>266</v>
      </c>
      <c r="D19" s="914">
        <f t="shared" si="3"/>
        <v>23301486.532742847</v>
      </c>
      <c r="E19" s="832">
        <f t="shared" si="1"/>
        <v>11745786.045871424</v>
      </c>
      <c r="F19" s="832">
        <f t="shared" si="2"/>
        <v>11465788.443742048</v>
      </c>
      <c r="G19" s="832">
        <f t="shared" si="4"/>
        <v>89912.043129375001</v>
      </c>
      <c r="H19" s="1059">
        <f t="shared" si="5"/>
        <v>633618.53</v>
      </c>
      <c r="I19" s="1059">
        <v>411852.04450000002</v>
      </c>
      <c r="J19" s="1059">
        <v>221766.48550000001</v>
      </c>
      <c r="K19" s="1059">
        <f t="shared" si="6"/>
        <v>22667868.002742846</v>
      </c>
      <c r="L19" s="1059">
        <v>11333934.001371423</v>
      </c>
      <c r="M19" s="1059">
        <v>11244021.958242048</v>
      </c>
      <c r="N19" s="1060">
        <v>89912.043129375001</v>
      </c>
    </row>
    <row r="20" spans="1:14" hidden="1" x14ac:dyDescent="0.25">
      <c r="A20" s="719" t="s">
        <v>42</v>
      </c>
      <c r="B20" s="831" t="s">
        <v>43</v>
      </c>
      <c r="C20" s="914" t="s">
        <v>265</v>
      </c>
      <c r="D20" s="914">
        <f t="shared" si="3"/>
        <v>65501859.843572251</v>
      </c>
      <c r="E20" s="832">
        <f t="shared" si="1"/>
        <v>33126741.141286124</v>
      </c>
      <c r="F20" s="832">
        <f t="shared" si="2"/>
        <v>32257643.334884875</v>
      </c>
      <c r="G20" s="832">
        <f t="shared" si="4"/>
        <v>117475.36740125</v>
      </c>
      <c r="H20" s="1059">
        <f t="shared" si="5"/>
        <v>2505408.13</v>
      </c>
      <c r="I20" s="1059">
        <v>1628515.2845000001</v>
      </c>
      <c r="J20" s="1059">
        <v>876892.84549999994</v>
      </c>
      <c r="K20" s="1059">
        <f t="shared" si="6"/>
        <v>62996451.713572249</v>
      </c>
      <c r="L20" s="1059">
        <v>31498225.856786124</v>
      </c>
      <c r="M20" s="1059">
        <v>31380750.489384875</v>
      </c>
      <c r="N20" s="1060">
        <v>117475.36740125</v>
      </c>
    </row>
    <row r="21" spans="1:14" x14ac:dyDescent="0.25">
      <c r="A21" s="719" t="s">
        <v>44</v>
      </c>
      <c r="B21" s="831" t="s">
        <v>45</v>
      </c>
      <c r="C21" s="914" t="s">
        <v>266</v>
      </c>
      <c r="D21" s="914">
        <f t="shared" si="3"/>
        <v>30836167.018781684</v>
      </c>
      <c r="E21" s="832">
        <f t="shared" si="1"/>
        <v>15621444.564890841</v>
      </c>
      <c r="F21" s="832">
        <f t="shared" si="2"/>
        <v>15140338.632170841</v>
      </c>
      <c r="G21" s="832">
        <f t="shared" si="4"/>
        <v>74383.821720000007</v>
      </c>
      <c r="H21" s="1059">
        <f t="shared" si="5"/>
        <v>1355740.37</v>
      </c>
      <c r="I21" s="1059">
        <v>881231.24050000007</v>
      </c>
      <c r="J21" s="1059">
        <v>474509.12949999998</v>
      </c>
      <c r="K21" s="1059">
        <f t="shared" si="6"/>
        <v>29480426.648781683</v>
      </c>
      <c r="L21" s="1059">
        <v>14740213.324390842</v>
      </c>
      <c r="M21" s="1059">
        <v>14665829.502670841</v>
      </c>
      <c r="N21" s="1060">
        <v>74383.821720000007</v>
      </c>
    </row>
    <row r="22" spans="1:14" hidden="1" x14ac:dyDescent="0.25">
      <c r="A22" s="719" t="s">
        <v>46</v>
      </c>
      <c r="B22" s="831" t="s">
        <v>47</v>
      </c>
      <c r="C22" s="914" t="s">
        <v>268</v>
      </c>
      <c r="D22" s="914">
        <f t="shared" si="3"/>
        <v>44136697.584808253</v>
      </c>
      <c r="E22" s="832">
        <f t="shared" si="1"/>
        <v>22304786.935904127</v>
      </c>
      <c r="F22" s="832">
        <f t="shared" si="2"/>
        <v>21759463.638921626</v>
      </c>
      <c r="G22" s="832">
        <f t="shared" si="4"/>
        <v>72447.009982499992</v>
      </c>
      <c r="H22" s="1059">
        <f t="shared" si="5"/>
        <v>1576254.29</v>
      </c>
      <c r="I22" s="1059">
        <v>1024565.2885</v>
      </c>
      <c r="J22" s="1059">
        <v>551689.00150000001</v>
      </c>
      <c r="K22" s="1059">
        <f t="shared" si="6"/>
        <v>42560443.294808254</v>
      </c>
      <c r="L22" s="1059">
        <v>21280221.647404127</v>
      </c>
      <c r="M22" s="1059">
        <v>21207774.637421627</v>
      </c>
      <c r="N22" s="1060">
        <v>72447.009982499992</v>
      </c>
    </row>
    <row r="23" spans="1:14" x14ac:dyDescent="0.25">
      <c r="A23" s="719" t="s">
        <v>48</v>
      </c>
      <c r="B23" s="831" t="s">
        <v>269</v>
      </c>
      <c r="C23" s="914" t="s">
        <v>266</v>
      </c>
      <c r="D23" s="914">
        <f t="shared" si="3"/>
        <v>8064236.4034240255</v>
      </c>
      <c r="E23" s="832">
        <f t="shared" si="1"/>
        <v>4073796.5432120124</v>
      </c>
      <c r="F23" s="832">
        <f t="shared" si="2"/>
        <v>3990439.8602120127</v>
      </c>
      <c r="G23" s="832">
        <f t="shared" si="4"/>
        <v>0</v>
      </c>
      <c r="H23" s="1059">
        <f t="shared" si="5"/>
        <v>277855.61</v>
      </c>
      <c r="I23" s="1059">
        <v>180606.1465</v>
      </c>
      <c r="J23" s="1059">
        <v>97249.463499999983</v>
      </c>
      <c r="K23" s="1059">
        <f t="shared" si="6"/>
        <v>7786380.7934240252</v>
      </c>
      <c r="L23" s="1059">
        <v>3893190.3967120126</v>
      </c>
      <c r="M23" s="1059">
        <v>3893190.3967120126</v>
      </c>
      <c r="N23" s="1060">
        <v>0</v>
      </c>
    </row>
    <row r="24" spans="1:14" hidden="1" x14ac:dyDescent="0.25">
      <c r="A24" s="719" t="s">
        <v>50</v>
      </c>
      <c r="B24" s="831" t="s">
        <v>51</v>
      </c>
      <c r="C24" s="914" t="s">
        <v>265</v>
      </c>
      <c r="D24" s="914">
        <f t="shared" si="3"/>
        <v>18072488.051232859</v>
      </c>
      <c r="E24" s="832">
        <f t="shared" si="1"/>
        <v>9112919.8046164308</v>
      </c>
      <c r="F24" s="832">
        <f t="shared" si="2"/>
        <v>8916113.2404064313</v>
      </c>
      <c r="G24" s="832">
        <f t="shared" si="4"/>
        <v>43455.006210000007</v>
      </c>
      <c r="H24" s="1059">
        <f t="shared" si="5"/>
        <v>511171.86</v>
      </c>
      <c r="I24" s="1059">
        <v>332261.70899999997</v>
      </c>
      <c r="J24" s="1059">
        <v>178910.15099999998</v>
      </c>
      <c r="K24" s="1059">
        <f t="shared" si="6"/>
        <v>17561316.19123286</v>
      </c>
      <c r="L24" s="1059">
        <v>8780658.09561643</v>
      </c>
      <c r="M24" s="1059">
        <v>8737203.0894064307</v>
      </c>
      <c r="N24" s="1060">
        <v>43455.006210000007</v>
      </c>
    </row>
    <row r="25" spans="1:14" x14ac:dyDescent="0.25">
      <c r="A25" s="719" t="s">
        <v>56</v>
      </c>
      <c r="B25" s="831" t="s">
        <v>295</v>
      </c>
      <c r="C25" s="914" t="s">
        <v>266</v>
      </c>
      <c r="D25" s="914">
        <f t="shared" si="3"/>
        <v>285676193.83629918</v>
      </c>
      <c r="E25" s="832">
        <f t="shared" si="1"/>
        <v>144564001.50814956</v>
      </c>
      <c r="F25" s="832">
        <f t="shared" si="2"/>
        <v>140697263.7637302</v>
      </c>
      <c r="G25" s="832">
        <f t="shared" si="4"/>
        <v>414928.56441937498</v>
      </c>
      <c r="H25" s="1059">
        <f t="shared" si="5"/>
        <v>11506030.6</v>
      </c>
      <c r="I25" s="1059">
        <v>7478919.8900000006</v>
      </c>
      <c r="J25" s="1059">
        <v>4027110.7099999995</v>
      </c>
      <c r="K25" s="1059">
        <f t="shared" si="6"/>
        <v>274170163.23629916</v>
      </c>
      <c r="L25" s="1059">
        <v>137085081.61814955</v>
      </c>
      <c r="M25" s="1059">
        <v>136670153.05373019</v>
      </c>
      <c r="N25" s="1060">
        <v>414928.56441937498</v>
      </c>
    </row>
    <row r="26" spans="1:14" hidden="1" x14ac:dyDescent="0.25">
      <c r="A26" s="719" t="s">
        <v>58</v>
      </c>
      <c r="B26" s="831" t="s">
        <v>59</v>
      </c>
      <c r="C26" s="914" t="s">
        <v>267</v>
      </c>
      <c r="D26" s="914">
        <f t="shared" si="3"/>
        <v>8895039.7724638339</v>
      </c>
      <c r="E26" s="832">
        <f t="shared" si="1"/>
        <v>4495584.7432319159</v>
      </c>
      <c r="F26" s="832">
        <f t="shared" si="2"/>
        <v>4356169.8777704155</v>
      </c>
      <c r="G26" s="832">
        <f t="shared" si="4"/>
        <v>43285.151461500005</v>
      </c>
      <c r="H26" s="1059">
        <f t="shared" si="5"/>
        <v>320432.38</v>
      </c>
      <c r="I26" s="1059">
        <v>208281.04700000002</v>
      </c>
      <c r="J26" s="1059">
        <v>112151.333</v>
      </c>
      <c r="K26" s="1059">
        <f t="shared" si="6"/>
        <v>8574607.3924638331</v>
      </c>
      <c r="L26" s="1059">
        <v>4287303.6962319156</v>
      </c>
      <c r="M26" s="1059">
        <v>4244018.5447704159</v>
      </c>
      <c r="N26" s="1060">
        <v>43285.151461500005</v>
      </c>
    </row>
    <row r="27" spans="1:14" hidden="1" x14ac:dyDescent="0.25">
      <c r="A27" s="719" t="s">
        <v>60</v>
      </c>
      <c r="B27" s="831" t="s">
        <v>61</v>
      </c>
      <c r="C27" s="914" t="s">
        <v>265</v>
      </c>
      <c r="D27" s="914">
        <f t="shared" si="3"/>
        <v>4975530.9259786559</v>
      </c>
      <c r="E27" s="832">
        <f t="shared" si="1"/>
        <v>2524791.8559893277</v>
      </c>
      <c r="F27" s="832">
        <f t="shared" si="2"/>
        <v>2434280.5764780776</v>
      </c>
      <c r="G27" s="832">
        <f t="shared" si="4"/>
        <v>16458.493511249999</v>
      </c>
      <c r="H27" s="1059">
        <f t="shared" si="5"/>
        <v>246842.62</v>
      </c>
      <c r="I27" s="1059">
        <v>160447.70300000001</v>
      </c>
      <c r="J27" s="1059">
        <v>86394.916999999987</v>
      </c>
      <c r="K27" s="1059">
        <f t="shared" si="6"/>
        <v>4728688.3059786558</v>
      </c>
      <c r="L27" s="1059">
        <v>2364344.1529893274</v>
      </c>
      <c r="M27" s="1059">
        <v>2347885.6594780777</v>
      </c>
      <c r="N27" s="1060">
        <v>16458.493511249999</v>
      </c>
    </row>
    <row r="28" spans="1:14" hidden="1" x14ac:dyDescent="0.25">
      <c r="A28" s="719" t="s">
        <v>62</v>
      </c>
      <c r="B28" s="831" t="s">
        <v>63</v>
      </c>
      <c r="C28" s="914" t="s">
        <v>267</v>
      </c>
      <c r="D28" s="914">
        <f t="shared" si="3"/>
        <v>48273783.906888284</v>
      </c>
      <c r="E28" s="832">
        <f t="shared" si="1"/>
        <v>24502834.75394414</v>
      </c>
      <c r="F28" s="832">
        <f t="shared" si="2"/>
        <v>23438545.683827888</v>
      </c>
      <c r="G28" s="832">
        <f t="shared" si="4"/>
        <v>332403.46911625005</v>
      </c>
      <c r="H28" s="1059">
        <f t="shared" si="5"/>
        <v>2439618.67</v>
      </c>
      <c r="I28" s="1059">
        <v>1585752.1355000001</v>
      </c>
      <c r="J28" s="1059">
        <v>853866.53449999995</v>
      </c>
      <c r="K28" s="1059">
        <f t="shared" si="6"/>
        <v>45834165.236888282</v>
      </c>
      <c r="L28" s="1059">
        <v>22917082.618444141</v>
      </c>
      <c r="M28" s="1059">
        <v>22584679.149327889</v>
      </c>
      <c r="N28" s="1060">
        <v>332403.46911625005</v>
      </c>
    </row>
    <row r="29" spans="1:14" x14ac:dyDescent="0.25">
      <c r="A29" s="719" t="s">
        <v>64</v>
      </c>
      <c r="B29" s="831" t="s">
        <v>65</v>
      </c>
      <c r="C29" s="914" t="s">
        <v>266</v>
      </c>
      <c r="D29" s="914">
        <f t="shared" si="3"/>
        <v>16888428.941359051</v>
      </c>
      <c r="E29" s="832">
        <f t="shared" si="1"/>
        <v>8512706.9411795251</v>
      </c>
      <c r="F29" s="832">
        <f t="shared" si="2"/>
        <v>8358085.9360795254</v>
      </c>
      <c r="G29" s="832">
        <f t="shared" si="4"/>
        <v>17636.0641</v>
      </c>
      <c r="H29" s="1059">
        <f t="shared" si="5"/>
        <v>456616.47</v>
      </c>
      <c r="I29" s="1059">
        <v>296800.70549999998</v>
      </c>
      <c r="J29" s="1059">
        <v>159815.76449999999</v>
      </c>
      <c r="K29" s="1059">
        <f t="shared" si="6"/>
        <v>16431812.47135905</v>
      </c>
      <c r="L29" s="1059">
        <v>8215906.2356795259</v>
      </c>
      <c r="M29" s="1059">
        <v>8198270.1715795258</v>
      </c>
      <c r="N29" s="1060">
        <v>17636.0641</v>
      </c>
    </row>
    <row r="30" spans="1:14" hidden="1" x14ac:dyDescent="0.25">
      <c r="A30" s="719" t="s">
        <v>68</v>
      </c>
      <c r="B30" s="831" t="s">
        <v>69</v>
      </c>
      <c r="C30" s="914" t="s">
        <v>268</v>
      </c>
      <c r="D30" s="914">
        <f t="shared" si="3"/>
        <v>25128265.802377351</v>
      </c>
      <c r="E30" s="832">
        <f t="shared" si="1"/>
        <v>12688717.154688673</v>
      </c>
      <c r="F30" s="832">
        <f t="shared" si="2"/>
        <v>12313215.824481172</v>
      </c>
      <c r="G30" s="832">
        <f t="shared" si="4"/>
        <v>126332.82320750001</v>
      </c>
      <c r="H30" s="1059">
        <f t="shared" si="5"/>
        <v>830561.69</v>
      </c>
      <c r="I30" s="1059">
        <v>539865.09849999996</v>
      </c>
      <c r="J30" s="1059">
        <v>290696.59149999998</v>
      </c>
      <c r="K30" s="1059">
        <f t="shared" si="6"/>
        <v>24297704.112377349</v>
      </c>
      <c r="L30" s="1059">
        <v>12148852.056188673</v>
      </c>
      <c r="M30" s="1059">
        <v>12022519.232981173</v>
      </c>
      <c r="N30" s="1060">
        <v>126332.82320750001</v>
      </c>
    </row>
    <row r="31" spans="1:14" hidden="1" x14ac:dyDescent="0.25">
      <c r="A31" s="719" t="s">
        <v>70</v>
      </c>
      <c r="B31" s="831" t="s">
        <v>71</v>
      </c>
      <c r="C31" s="914" t="s">
        <v>264</v>
      </c>
      <c r="D31" s="914">
        <f t="shared" si="3"/>
        <v>35670451.156177394</v>
      </c>
      <c r="E31" s="832">
        <f t="shared" si="1"/>
        <v>17987847.9140887</v>
      </c>
      <c r="F31" s="832">
        <f t="shared" si="2"/>
        <v>17503456.0388887</v>
      </c>
      <c r="G31" s="832">
        <f t="shared" si="4"/>
        <v>179147.20319999999</v>
      </c>
      <c r="H31" s="1059">
        <f t="shared" si="5"/>
        <v>1017482.24</v>
      </c>
      <c r="I31" s="1059">
        <v>661363.45600000001</v>
      </c>
      <c r="J31" s="1059">
        <v>356118.78399999999</v>
      </c>
      <c r="K31" s="1059">
        <f t="shared" si="6"/>
        <v>34652968.916177392</v>
      </c>
      <c r="L31" s="1059">
        <v>17326484.4580887</v>
      </c>
      <c r="M31" s="1059">
        <v>17147337.254888698</v>
      </c>
      <c r="N31" s="1060">
        <v>179147.20319999999</v>
      </c>
    </row>
    <row r="32" spans="1:14" x14ac:dyDescent="0.25">
      <c r="A32" s="719" t="s">
        <v>72</v>
      </c>
      <c r="B32" s="831" t="s">
        <v>73</v>
      </c>
      <c r="C32" s="914" t="s">
        <v>266</v>
      </c>
      <c r="D32" s="914">
        <f t="shared" si="3"/>
        <v>16281069.396929499</v>
      </c>
      <c r="E32" s="832">
        <f t="shared" si="1"/>
        <v>8226123.3424647497</v>
      </c>
      <c r="F32" s="832">
        <f t="shared" si="2"/>
        <v>7965586.0503209997</v>
      </c>
      <c r="G32" s="832">
        <f t="shared" si="4"/>
        <v>89360.004143750004</v>
      </c>
      <c r="H32" s="1059">
        <f t="shared" si="5"/>
        <v>570590.96</v>
      </c>
      <c r="I32" s="1059">
        <v>370884.12400000001</v>
      </c>
      <c r="J32" s="1059">
        <v>199706.83599999998</v>
      </c>
      <c r="K32" s="1059">
        <f t="shared" si="6"/>
        <v>15710478.4369295</v>
      </c>
      <c r="L32" s="1059">
        <v>7855239.2184647499</v>
      </c>
      <c r="M32" s="1059">
        <v>7765879.2143209996</v>
      </c>
      <c r="N32" s="1060">
        <v>89360.004143750004</v>
      </c>
    </row>
    <row r="33" spans="1:14" hidden="1" x14ac:dyDescent="0.25">
      <c r="A33" s="719" t="s">
        <v>74</v>
      </c>
      <c r="B33" s="831" t="s">
        <v>302</v>
      </c>
      <c r="C33" s="914" t="s">
        <v>267</v>
      </c>
      <c r="D33" s="914">
        <f t="shared" si="3"/>
        <v>553057381.14611268</v>
      </c>
      <c r="E33" s="832">
        <f t="shared" si="1"/>
        <v>281669103.85954136</v>
      </c>
      <c r="F33" s="832">
        <f t="shared" si="2"/>
        <v>270185060.35230583</v>
      </c>
      <c r="G33" s="832">
        <f t="shared" si="4"/>
        <v>1203216.9342655623</v>
      </c>
      <c r="H33" s="1059">
        <f t="shared" si="5"/>
        <v>34269421.909900002</v>
      </c>
      <c r="I33" s="1059">
        <v>22275124.241435003</v>
      </c>
      <c r="J33" s="1059">
        <v>11994297.668465</v>
      </c>
      <c r="K33" s="1059">
        <f t="shared" si="6"/>
        <v>518787959.23621273</v>
      </c>
      <c r="L33" s="1059">
        <v>259393979.61810637</v>
      </c>
      <c r="M33" s="1059">
        <v>258190762.68384081</v>
      </c>
      <c r="N33" s="1060">
        <v>1203216.9342655623</v>
      </c>
    </row>
    <row r="34" spans="1:14" hidden="1" x14ac:dyDescent="0.25">
      <c r="A34" s="719" t="s">
        <v>76</v>
      </c>
      <c r="B34" s="831" t="s">
        <v>77</v>
      </c>
      <c r="C34" s="914" t="s">
        <v>267</v>
      </c>
      <c r="D34" s="914">
        <f t="shared" si="3"/>
        <v>46006502.912238188</v>
      </c>
      <c r="E34" s="832">
        <f t="shared" si="1"/>
        <v>23278550.947119094</v>
      </c>
      <c r="F34" s="832">
        <f t="shared" si="2"/>
        <v>22381088.528202593</v>
      </c>
      <c r="G34" s="832">
        <f t="shared" si="4"/>
        <v>346863.43691649998</v>
      </c>
      <c r="H34" s="1059">
        <f t="shared" si="5"/>
        <v>1835329.94</v>
      </c>
      <c r="I34" s="1059">
        <v>1192964.4609999999</v>
      </c>
      <c r="J34" s="1059">
        <v>642365.47899999993</v>
      </c>
      <c r="K34" s="1059">
        <f t="shared" si="6"/>
        <v>44171172.97223819</v>
      </c>
      <c r="L34" s="1059">
        <v>22085586.486119095</v>
      </c>
      <c r="M34" s="1059">
        <v>21738723.049202595</v>
      </c>
      <c r="N34" s="1060">
        <v>346863.43691649998</v>
      </c>
    </row>
    <row r="35" spans="1:14" hidden="1" x14ac:dyDescent="0.25">
      <c r="A35" s="719" t="s">
        <v>78</v>
      </c>
      <c r="B35" s="831" t="s">
        <v>79</v>
      </c>
      <c r="C35" s="914" t="s">
        <v>268</v>
      </c>
      <c r="D35" s="914">
        <f t="shared" si="3"/>
        <v>18765348.569405701</v>
      </c>
      <c r="E35" s="832">
        <f t="shared" si="1"/>
        <v>9535467.4272028506</v>
      </c>
      <c r="F35" s="832">
        <f t="shared" si="2"/>
        <v>9191965.7461003512</v>
      </c>
      <c r="G35" s="832">
        <f t="shared" si="4"/>
        <v>37915.396102499995</v>
      </c>
      <c r="H35" s="1059">
        <f t="shared" si="5"/>
        <v>1018620.95</v>
      </c>
      <c r="I35" s="1059">
        <v>662103.61749999993</v>
      </c>
      <c r="J35" s="1059">
        <v>356517.33249999996</v>
      </c>
      <c r="K35" s="1059">
        <f t="shared" si="6"/>
        <v>17746727.619405702</v>
      </c>
      <c r="L35" s="1059">
        <v>8873363.8097028509</v>
      </c>
      <c r="M35" s="1059">
        <v>8835448.4136003517</v>
      </c>
      <c r="N35" s="1060">
        <v>37915.396102499995</v>
      </c>
    </row>
    <row r="36" spans="1:14" x14ac:dyDescent="0.25">
      <c r="A36" s="719" t="s">
        <v>80</v>
      </c>
      <c r="B36" s="831" t="s">
        <v>81</v>
      </c>
      <c r="C36" s="914" t="s">
        <v>266</v>
      </c>
      <c r="D36" s="914">
        <f t="shared" si="3"/>
        <v>17898446.628173124</v>
      </c>
      <c r="E36" s="832">
        <f t="shared" si="1"/>
        <v>9091507.540586561</v>
      </c>
      <c r="F36" s="832">
        <f t="shared" si="2"/>
        <v>8774123.007044686</v>
      </c>
      <c r="G36" s="832">
        <f t="shared" si="4"/>
        <v>32816.080541875002</v>
      </c>
      <c r="H36" s="1059">
        <f t="shared" si="5"/>
        <v>948561.51</v>
      </c>
      <c r="I36" s="1059">
        <v>616564.98149999999</v>
      </c>
      <c r="J36" s="1059">
        <v>331996.52849999996</v>
      </c>
      <c r="K36" s="1059">
        <f t="shared" si="6"/>
        <v>16949885.118173122</v>
      </c>
      <c r="L36" s="1059">
        <v>8474942.5590865612</v>
      </c>
      <c r="M36" s="1059">
        <v>8442126.478544686</v>
      </c>
      <c r="N36" s="1060">
        <v>32816.080541875002</v>
      </c>
    </row>
    <row r="37" spans="1:14" hidden="1" x14ac:dyDescent="0.25">
      <c r="A37" s="719" t="s">
        <v>84</v>
      </c>
      <c r="B37" s="831" t="s">
        <v>308</v>
      </c>
      <c r="C37" s="914" t="s">
        <v>265</v>
      </c>
      <c r="D37" s="914">
        <f t="shared" si="3"/>
        <v>60349876.753807925</v>
      </c>
      <c r="E37" s="832">
        <f t="shared" ref="E37:E68" si="7">+I37+L37</f>
        <v>30467639.534403961</v>
      </c>
      <c r="F37" s="832">
        <f t="shared" ref="F37:F68" si="8">+J37+M37</f>
        <v>29551431.18042146</v>
      </c>
      <c r="G37" s="832">
        <f t="shared" si="4"/>
        <v>330806.03898249997</v>
      </c>
      <c r="H37" s="1059">
        <f t="shared" si="5"/>
        <v>1951341.05</v>
      </c>
      <c r="I37" s="1059">
        <v>1268371.6825000001</v>
      </c>
      <c r="J37" s="1059">
        <v>682969.36749999993</v>
      </c>
      <c r="K37" s="1059">
        <f t="shared" si="6"/>
        <v>58398535.703807928</v>
      </c>
      <c r="L37" s="1059">
        <v>29199267.85190396</v>
      </c>
      <c r="M37" s="1059">
        <v>28868461.812921461</v>
      </c>
      <c r="N37" s="1060">
        <v>330806.03898249997</v>
      </c>
    </row>
    <row r="38" spans="1:14" hidden="1" x14ac:dyDescent="0.25">
      <c r="A38" s="719" t="s">
        <v>86</v>
      </c>
      <c r="B38" s="831" t="s">
        <v>87</v>
      </c>
      <c r="C38" s="914" t="s">
        <v>267</v>
      </c>
      <c r="D38" s="914">
        <f t="shared" si="3"/>
        <v>55740448.827274017</v>
      </c>
      <c r="E38" s="832">
        <f t="shared" si="7"/>
        <v>28324016.770637006</v>
      </c>
      <c r="F38" s="832">
        <f t="shared" si="8"/>
        <v>27233387.094927009</v>
      </c>
      <c r="G38" s="832">
        <f t="shared" si="4"/>
        <v>183044.96171</v>
      </c>
      <c r="H38" s="1059">
        <f t="shared" si="5"/>
        <v>3025282.38</v>
      </c>
      <c r="I38" s="1059">
        <v>1966433.547</v>
      </c>
      <c r="J38" s="1059">
        <v>1058848.8329999999</v>
      </c>
      <c r="K38" s="1059">
        <f t="shared" si="6"/>
        <v>52715166.447274014</v>
      </c>
      <c r="L38" s="1059">
        <v>26357583.223637007</v>
      </c>
      <c r="M38" s="1059">
        <v>26174538.261927009</v>
      </c>
      <c r="N38" s="1060">
        <v>183044.96171</v>
      </c>
    </row>
    <row r="39" spans="1:14" hidden="1" x14ac:dyDescent="0.25">
      <c r="A39" s="719" t="s">
        <v>92</v>
      </c>
      <c r="B39" s="831" t="s">
        <v>93</v>
      </c>
      <c r="C39" s="914" t="s">
        <v>268</v>
      </c>
      <c r="D39" s="914">
        <f t="shared" si="3"/>
        <v>22968561.771656975</v>
      </c>
      <c r="E39" s="832">
        <f t="shared" si="7"/>
        <v>11600414.895328488</v>
      </c>
      <c r="F39" s="832">
        <f t="shared" si="8"/>
        <v>11314643.128217237</v>
      </c>
      <c r="G39" s="832">
        <f t="shared" si="4"/>
        <v>53503.748111250003</v>
      </c>
      <c r="H39" s="1059">
        <f t="shared" si="5"/>
        <v>774226.73</v>
      </c>
      <c r="I39" s="1059">
        <v>503247.37449999998</v>
      </c>
      <c r="J39" s="1059">
        <v>270979.35550000001</v>
      </c>
      <c r="K39" s="1059">
        <f t="shared" si="6"/>
        <v>22194335.041656975</v>
      </c>
      <c r="L39" s="1059">
        <v>11097167.520828487</v>
      </c>
      <c r="M39" s="1059">
        <v>11043663.772717237</v>
      </c>
      <c r="N39" s="1060">
        <v>53503.748111250003</v>
      </c>
    </row>
    <row r="40" spans="1:14" hidden="1" x14ac:dyDescent="0.25">
      <c r="A40" s="719" t="s">
        <v>94</v>
      </c>
      <c r="B40" s="831" t="s">
        <v>95</v>
      </c>
      <c r="C40" s="914" t="s">
        <v>264</v>
      </c>
      <c r="D40" s="914">
        <f t="shared" si="3"/>
        <v>33748606.706958219</v>
      </c>
      <c r="E40" s="832">
        <f t="shared" si="7"/>
        <v>17090762.63097911</v>
      </c>
      <c r="F40" s="832">
        <f t="shared" si="8"/>
        <v>16595390.409184111</v>
      </c>
      <c r="G40" s="832">
        <f t="shared" si="4"/>
        <v>62453.666794999997</v>
      </c>
      <c r="H40" s="1059">
        <f t="shared" si="5"/>
        <v>1443061.85</v>
      </c>
      <c r="I40" s="1059">
        <v>937990.20250000013</v>
      </c>
      <c r="J40" s="1059">
        <v>505071.64750000002</v>
      </c>
      <c r="K40" s="1059">
        <f t="shared" si="6"/>
        <v>32305544.856958222</v>
      </c>
      <c r="L40" s="1059">
        <v>16152772.428479111</v>
      </c>
      <c r="M40" s="1059">
        <v>16090318.76168411</v>
      </c>
      <c r="N40" s="1060">
        <v>62453.666794999997</v>
      </c>
    </row>
    <row r="41" spans="1:14" x14ac:dyDescent="0.25">
      <c r="A41" s="719" t="s">
        <v>96</v>
      </c>
      <c r="B41" s="831" t="s">
        <v>97</v>
      </c>
      <c r="C41" s="914" t="s">
        <v>266</v>
      </c>
      <c r="D41" s="914">
        <f t="shared" si="3"/>
        <v>12859012.295992035</v>
      </c>
      <c r="E41" s="832">
        <f t="shared" si="7"/>
        <v>6491417.1464960175</v>
      </c>
      <c r="F41" s="832">
        <f t="shared" si="8"/>
        <v>6272424.9653372681</v>
      </c>
      <c r="G41" s="832">
        <f t="shared" si="4"/>
        <v>95170.184158749995</v>
      </c>
      <c r="H41" s="1059">
        <f t="shared" si="5"/>
        <v>412739.99</v>
      </c>
      <c r="I41" s="1059">
        <v>268280.99349999998</v>
      </c>
      <c r="J41" s="1059">
        <v>144458.99649999998</v>
      </c>
      <c r="K41" s="1059">
        <f t="shared" si="6"/>
        <v>12446272.305992035</v>
      </c>
      <c r="L41" s="1059">
        <v>6223136.1529960176</v>
      </c>
      <c r="M41" s="1059">
        <v>6127965.9688372677</v>
      </c>
      <c r="N41" s="1060">
        <v>95170.184158749995</v>
      </c>
    </row>
    <row r="42" spans="1:14" hidden="1" x14ac:dyDescent="0.25">
      <c r="A42" s="719" t="s">
        <v>98</v>
      </c>
      <c r="B42" s="831" t="s">
        <v>99</v>
      </c>
      <c r="C42" s="914" t="s">
        <v>268</v>
      </c>
      <c r="D42" s="914">
        <f t="shared" si="3"/>
        <v>22332294.732398711</v>
      </c>
      <c r="E42" s="832">
        <f t="shared" si="7"/>
        <v>11303005.017199356</v>
      </c>
      <c r="F42" s="832">
        <f t="shared" si="8"/>
        <v>10996170.045441855</v>
      </c>
      <c r="G42" s="832">
        <f t="shared" si="4"/>
        <v>33119.6697575</v>
      </c>
      <c r="H42" s="1059">
        <f t="shared" si="5"/>
        <v>912384.34</v>
      </c>
      <c r="I42" s="1059">
        <v>593049.821</v>
      </c>
      <c r="J42" s="1059">
        <v>319334.51899999997</v>
      </c>
      <c r="K42" s="1059">
        <f t="shared" si="6"/>
        <v>21419910.392398711</v>
      </c>
      <c r="L42" s="1059">
        <v>10709955.196199356</v>
      </c>
      <c r="M42" s="1059">
        <v>10676835.526441855</v>
      </c>
      <c r="N42" s="1060">
        <v>33119.6697575</v>
      </c>
    </row>
    <row r="43" spans="1:14" hidden="1" x14ac:dyDescent="0.25">
      <c r="A43" s="719" t="s">
        <v>100</v>
      </c>
      <c r="B43" s="831" t="s">
        <v>101</v>
      </c>
      <c r="C43" s="914" t="s">
        <v>267</v>
      </c>
      <c r="D43" s="914">
        <f t="shared" si="3"/>
        <v>18368040.776640944</v>
      </c>
      <c r="E43" s="832">
        <f t="shared" si="7"/>
        <v>9325652.6653204728</v>
      </c>
      <c r="F43" s="832">
        <f t="shared" si="8"/>
        <v>9014073.8019529711</v>
      </c>
      <c r="G43" s="832">
        <f t="shared" si="4"/>
        <v>28314.309367499998</v>
      </c>
      <c r="H43" s="1059">
        <f t="shared" si="5"/>
        <v>944215.18000000017</v>
      </c>
      <c r="I43" s="1059">
        <v>613739.86700000009</v>
      </c>
      <c r="J43" s="1059">
        <v>330475.31300000002</v>
      </c>
      <c r="K43" s="1059">
        <f t="shared" si="6"/>
        <v>17423825.596640944</v>
      </c>
      <c r="L43" s="1059">
        <v>8711912.7983204722</v>
      </c>
      <c r="M43" s="1059">
        <v>8683598.488952972</v>
      </c>
      <c r="N43" s="1060">
        <v>28314.309367499998</v>
      </c>
    </row>
    <row r="44" spans="1:14" hidden="1" x14ac:dyDescent="0.25">
      <c r="A44" s="719" t="s">
        <v>102</v>
      </c>
      <c r="B44" s="831" t="s">
        <v>103</v>
      </c>
      <c r="C44" s="914" t="s">
        <v>264</v>
      </c>
      <c r="D44" s="914">
        <f t="shared" si="3"/>
        <v>36006962.237037778</v>
      </c>
      <c r="E44" s="832">
        <f t="shared" si="7"/>
        <v>18125249.603518885</v>
      </c>
      <c r="F44" s="832">
        <f t="shared" si="8"/>
        <v>17824432.37657639</v>
      </c>
      <c r="G44" s="832">
        <f t="shared" si="4"/>
        <v>57280.256942500011</v>
      </c>
      <c r="H44" s="1059">
        <f t="shared" si="5"/>
        <v>811789.9</v>
      </c>
      <c r="I44" s="1059">
        <v>527663.43500000006</v>
      </c>
      <c r="J44" s="1059">
        <v>284126.46499999997</v>
      </c>
      <c r="K44" s="1059">
        <f t="shared" si="6"/>
        <v>35195172.337037779</v>
      </c>
      <c r="L44" s="1059">
        <v>17597586.168518886</v>
      </c>
      <c r="M44" s="1059">
        <v>17540305.91157639</v>
      </c>
      <c r="N44" s="1060">
        <v>57280.256942500011</v>
      </c>
    </row>
    <row r="45" spans="1:14" hidden="1" x14ac:dyDescent="0.25">
      <c r="A45" s="719" t="s">
        <v>104</v>
      </c>
      <c r="B45" s="831" t="s">
        <v>309</v>
      </c>
      <c r="C45" s="914" t="s">
        <v>265</v>
      </c>
      <c r="D45" s="914">
        <f t="shared" si="3"/>
        <v>64197594.084673516</v>
      </c>
      <c r="E45" s="832">
        <f t="shared" si="7"/>
        <v>32306448.847836759</v>
      </c>
      <c r="F45" s="832">
        <f t="shared" si="8"/>
        <v>31754736.391699262</v>
      </c>
      <c r="G45" s="832">
        <f t="shared" si="4"/>
        <v>136408.8451375</v>
      </c>
      <c r="H45" s="1059">
        <f t="shared" si="5"/>
        <v>1384345.37</v>
      </c>
      <c r="I45" s="1059">
        <v>899824.49050000007</v>
      </c>
      <c r="J45" s="1059">
        <v>484520.87949999998</v>
      </c>
      <c r="K45" s="1059">
        <f t="shared" si="6"/>
        <v>62813248.714673519</v>
      </c>
      <c r="L45" s="1059">
        <v>31406624.35733676</v>
      </c>
      <c r="M45" s="1059">
        <v>31270215.51219926</v>
      </c>
      <c r="N45" s="1060">
        <v>136408.8451375</v>
      </c>
    </row>
    <row r="46" spans="1:14" x14ac:dyDescent="0.25">
      <c r="A46" s="719" t="s">
        <v>108</v>
      </c>
      <c r="B46" s="831" t="s">
        <v>109</v>
      </c>
      <c r="C46" s="914" t="s">
        <v>266</v>
      </c>
      <c r="D46" s="914">
        <f t="shared" si="3"/>
        <v>58099632.746063218</v>
      </c>
      <c r="E46" s="832">
        <f t="shared" si="7"/>
        <v>29394086.19553161</v>
      </c>
      <c r="F46" s="832">
        <f t="shared" si="8"/>
        <v>28499690.179239109</v>
      </c>
      <c r="G46" s="832">
        <f t="shared" si="4"/>
        <v>205856.37129250003</v>
      </c>
      <c r="H46" s="1059">
        <f t="shared" si="5"/>
        <v>2295132.15</v>
      </c>
      <c r="I46" s="1059">
        <v>1491835.8975</v>
      </c>
      <c r="J46" s="1059">
        <v>803296.25249999994</v>
      </c>
      <c r="K46" s="1059">
        <f t="shared" si="6"/>
        <v>55804500.596063219</v>
      </c>
      <c r="L46" s="1059">
        <v>27902250.29803161</v>
      </c>
      <c r="M46" s="1059">
        <v>27696393.926739108</v>
      </c>
      <c r="N46" s="1060">
        <v>205856.37129250003</v>
      </c>
    </row>
    <row r="47" spans="1:14" x14ac:dyDescent="0.25">
      <c r="A47" s="719" t="s">
        <v>110</v>
      </c>
      <c r="B47" s="831" t="s">
        <v>111</v>
      </c>
      <c r="C47" s="914" t="s">
        <v>266</v>
      </c>
      <c r="D47" s="914">
        <f t="shared" si="3"/>
        <v>283341696.44483006</v>
      </c>
      <c r="E47" s="832">
        <f t="shared" si="7"/>
        <v>143441654.90740001</v>
      </c>
      <c r="F47" s="832">
        <f t="shared" si="8"/>
        <v>139144019.77118313</v>
      </c>
      <c r="G47" s="832">
        <f t="shared" si="4"/>
        <v>756021.76624687493</v>
      </c>
      <c r="H47" s="1059">
        <f t="shared" si="5"/>
        <v>11805377.899900001</v>
      </c>
      <c r="I47" s="1059">
        <v>7673495.6349350009</v>
      </c>
      <c r="J47" s="1059">
        <v>4131882.2649650001</v>
      </c>
      <c r="K47" s="1059">
        <f t="shared" si="6"/>
        <v>271536318.54493004</v>
      </c>
      <c r="L47" s="1059">
        <v>135768159.27246502</v>
      </c>
      <c r="M47" s="1059">
        <v>135012137.50621814</v>
      </c>
      <c r="N47" s="1060">
        <v>756021.76624687493</v>
      </c>
    </row>
    <row r="48" spans="1:14" hidden="1" x14ac:dyDescent="0.25">
      <c r="A48" s="719" t="s">
        <v>112</v>
      </c>
      <c r="B48" s="831" t="s">
        <v>300</v>
      </c>
      <c r="C48" s="914" t="s">
        <v>265</v>
      </c>
      <c r="D48" s="914">
        <f t="shared" si="3"/>
        <v>125807277.44709355</v>
      </c>
      <c r="E48" s="832">
        <f t="shared" si="7"/>
        <v>63405402.214546785</v>
      </c>
      <c r="F48" s="832">
        <f t="shared" si="8"/>
        <v>62350814.771698654</v>
      </c>
      <c r="G48" s="832">
        <f t="shared" si="4"/>
        <v>51060.460848124996</v>
      </c>
      <c r="H48" s="1059">
        <f t="shared" si="5"/>
        <v>3345089.94</v>
      </c>
      <c r="I48" s="1059">
        <v>2174308.4610000001</v>
      </c>
      <c r="J48" s="1059">
        <v>1170781.4789999998</v>
      </c>
      <c r="K48" s="1059">
        <f t="shared" si="6"/>
        <v>122462187.50709355</v>
      </c>
      <c r="L48" s="1059">
        <v>61231093.753546782</v>
      </c>
      <c r="M48" s="1059">
        <v>61180033.292698652</v>
      </c>
      <c r="N48" s="1060">
        <v>51060.460848124996</v>
      </c>
    </row>
    <row r="49" spans="1:14" hidden="1" x14ac:dyDescent="0.25">
      <c r="A49" s="719" t="s">
        <v>114</v>
      </c>
      <c r="B49" s="831" t="s">
        <v>115</v>
      </c>
      <c r="C49" s="914" t="s">
        <v>265</v>
      </c>
      <c r="D49" s="914">
        <f t="shared" si="3"/>
        <v>2064760.7229724848</v>
      </c>
      <c r="E49" s="832">
        <f t="shared" si="7"/>
        <v>1039803.6064862424</v>
      </c>
      <c r="F49" s="832">
        <f t="shared" si="8"/>
        <v>1020826.8817412424</v>
      </c>
      <c r="G49" s="832">
        <f t="shared" si="4"/>
        <v>4130.2347449999997</v>
      </c>
      <c r="H49" s="1059">
        <f t="shared" si="5"/>
        <v>49488.3</v>
      </c>
      <c r="I49" s="1059">
        <v>32167.395000000004</v>
      </c>
      <c r="J49" s="1059">
        <v>17320.904999999999</v>
      </c>
      <c r="K49" s="1059">
        <f t="shared" si="6"/>
        <v>2015272.4229724847</v>
      </c>
      <c r="L49" s="1059">
        <v>1007636.2114862424</v>
      </c>
      <c r="M49" s="1059">
        <v>1003505.9767412423</v>
      </c>
      <c r="N49" s="1060">
        <v>4130.2347449999997</v>
      </c>
    </row>
    <row r="50" spans="1:14" hidden="1" x14ac:dyDescent="0.25">
      <c r="A50" s="719" t="s">
        <v>118</v>
      </c>
      <c r="B50" s="831" t="s">
        <v>119</v>
      </c>
      <c r="C50" s="914" t="s">
        <v>264</v>
      </c>
      <c r="D50" s="914">
        <f t="shared" si="3"/>
        <v>32798107.323220797</v>
      </c>
      <c r="E50" s="832">
        <f t="shared" si="7"/>
        <v>16544192.698610399</v>
      </c>
      <c r="F50" s="832">
        <f t="shared" si="8"/>
        <v>16245690.653685337</v>
      </c>
      <c r="G50" s="832">
        <f t="shared" si="4"/>
        <v>8223.9709250625001</v>
      </c>
      <c r="H50" s="1059">
        <f t="shared" si="5"/>
        <v>967593.58000000007</v>
      </c>
      <c r="I50" s="1059">
        <v>628935.82700000005</v>
      </c>
      <c r="J50" s="1059">
        <v>338657.75299999997</v>
      </c>
      <c r="K50" s="1059">
        <f t="shared" si="6"/>
        <v>31830513.743220799</v>
      </c>
      <c r="L50" s="1059">
        <v>15915256.871610399</v>
      </c>
      <c r="M50" s="1059">
        <v>15907032.900685336</v>
      </c>
      <c r="N50" s="1060">
        <v>8223.9709250625001</v>
      </c>
    </row>
    <row r="51" spans="1:14" hidden="1" x14ac:dyDescent="0.25">
      <c r="A51" s="719" t="s">
        <v>120</v>
      </c>
      <c r="B51" s="831" t="s">
        <v>121</v>
      </c>
      <c r="C51" s="914" t="s">
        <v>264</v>
      </c>
      <c r="D51" s="914">
        <f t="shared" si="3"/>
        <v>30542072.238411158</v>
      </c>
      <c r="E51" s="832">
        <f t="shared" si="7"/>
        <v>15494053.29170558</v>
      </c>
      <c r="F51" s="832">
        <f t="shared" si="8"/>
        <v>14975562.038924329</v>
      </c>
      <c r="G51" s="832">
        <f t="shared" si="4"/>
        <v>72456.907781249989</v>
      </c>
      <c r="H51" s="1059">
        <f t="shared" si="5"/>
        <v>1486781.15</v>
      </c>
      <c r="I51" s="1059">
        <v>966407.74749999994</v>
      </c>
      <c r="J51" s="1059">
        <v>520373.40249999991</v>
      </c>
      <c r="K51" s="1059">
        <f t="shared" si="6"/>
        <v>29055291.08841116</v>
      </c>
      <c r="L51" s="1059">
        <v>14527645.54420558</v>
      </c>
      <c r="M51" s="1059">
        <v>14455188.636424329</v>
      </c>
      <c r="N51" s="1060">
        <v>72456.907781249989</v>
      </c>
    </row>
    <row r="52" spans="1:14" x14ac:dyDescent="0.25">
      <c r="A52" s="719" t="s">
        <v>122</v>
      </c>
      <c r="B52" s="831" t="s">
        <v>271</v>
      </c>
      <c r="C52" s="914" t="s">
        <v>266</v>
      </c>
      <c r="D52" s="914">
        <f t="shared" si="3"/>
        <v>8616396.3070159238</v>
      </c>
      <c r="E52" s="832">
        <f t="shared" si="7"/>
        <v>4379286.6125079617</v>
      </c>
      <c r="F52" s="832">
        <f t="shared" si="8"/>
        <v>4227852.9332079617</v>
      </c>
      <c r="G52" s="832">
        <f t="shared" si="4"/>
        <v>9256.7613000000001</v>
      </c>
      <c r="H52" s="1059">
        <f t="shared" si="5"/>
        <v>473923.06</v>
      </c>
      <c r="I52" s="1059">
        <v>308049.989</v>
      </c>
      <c r="J52" s="1059">
        <v>165873.071</v>
      </c>
      <c r="K52" s="1059">
        <f t="shared" si="6"/>
        <v>8142473.2470159242</v>
      </c>
      <c r="L52" s="1059">
        <v>4071236.6235079616</v>
      </c>
      <c r="M52" s="1059">
        <v>4061979.8622079617</v>
      </c>
      <c r="N52" s="1060">
        <v>9256.7613000000001</v>
      </c>
    </row>
    <row r="53" spans="1:14" hidden="1" x14ac:dyDescent="0.25">
      <c r="A53" s="719" t="s">
        <v>124</v>
      </c>
      <c r="B53" s="831" t="s">
        <v>125</v>
      </c>
      <c r="C53" s="914" t="s">
        <v>267</v>
      </c>
      <c r="D53" s="914">
        <f t="shared" si="3"/>
        <v>17171589.569743965</v>
      </c>
      <c r="E53" s="832">
        <f t="shared" si="7"/>
        <v>8684564.3788719811</v>
      </c>
      <c r="F53" s="832">
        <f t="shared" si="8"/>
        <v>8402935.2240082324</v>
      </c>
      <c r="G53" s="832">
        <f t="shared" si="4"/>
        <v>84089.966863750014</v>
      </c>
      <c r="H53" s="1059">
        <f t="shared" si="5"/>
        <v>658463.96</v>
      </c>
      <c r="I53" s="1059">
        <v>428001.57399999996</v>
      </c>
      <c r="J53" s="1059">
        <v>230462.38599999997</v>
      </c>
      <c r="K53" s="1059">
        <f t="shared" si="6"/>
        <v>16513125.609743964</v>
      </c>
      <c r="L53" s="1059">
        <v>8256562.804871982</v>
      </c>
      <c r="M53" s="1059">
        <v>8172472.8380082324</v>
      </c>
      <c r="N53" s="1060">
        <v>84089.966863750014</v>
      </c>
    </row>
    <row r="54" spans="1:14" x14ac:dyDescent="0.25">
      <c r="A54" s="719" t="s">
        <v>126</v>
      </c>
      <c r="B54" s="831" t="s">
        <v>127</v>
      </c>
      <c r="C54" s="914" t="s">
        <v>266</v>
      </c>
      <c r="D54" s="914">
        <f t="shared" si="3"/>
        <v>13958972.064238036</v>
      </c>
      <c r="E54" s="832">
        <f t="shared" si="7"/>
        <v>7053399.7606190182</v>
      </c>
      <c r="F54" s="832">
        <f t="shared" si="8"/>
        <v>6825318.8271202687</v>
      </c>
      <c r="G54" s="832">
        <f t="shared" si="4"/>
        <v>80253.476498749995</v>
      </c>
      <c r="H54" s="1059">
        <f t="shared" si="5"/>
        <v>492758.19</v>
      </c>
      <c r="I54" s="1059">
        <v>320292.8235</v>
      </c>
      <c r="J54" s="1059">
        <v>172465.3665</v>
      </c>
      <c r="K54" s="1059">
        <f t="shared" si="6"/>
        <v>13466213.874238037</v>
      </c>
      <c r="L54" s="1059">
        <v>6733106.9371190183</v>
      </c>
      <c r="M54" s="1059">
        <v>6652853.4606202682</v>
      </c>
      <c r="N54" s="1060">
        <v>80253.476498749995</v>
      </c>
    </row>
    <row r="55" spans="1:14" x14ac:dyDescent="0.25">
      <c r="A55" s="719" t="s">
        <v>128</v>
      </c>
      <c r="B55" s="831" t="s">
        <v>129</v>
      </c>
      <c r="C55" s="914" t="s">
        <v>266</v>
      </c>
      <c r="D55" s="914">
        <f t="shared" si="3"/>
        <v>13449885.506872302</v>
      </c>
      <c r="E55" s="832">
        <f t="shared" si="7"/>
        <v>6800258.6324361516</v>
      </c>
      <c r="F55" s="832">
        <f t="shared" si="8"/>
        <v>6530905.3656211514</v>
      </c>
      <c r="G55" s="832">
        <f t="shared" si="4"/>
        <v>118721.50881499999</v>
      </c>
      <c r="H55" s="1059">
        <f t="shared" si="5"/>
        <v>502105.86</v>
      </c>
      <c r="I55" s="1059">
        <v>326368.80900000001</v>
      </c>
      <c r="J55" s="1059">
        <v>175737.05099999998</v>
      </c>
      <c r="K55" s="1059">
        <f t="shared" si="6"/>
        <v>12947779.646872303</v>
      </c>
      <c r="L55" s="1059">
        <v>6473889.8234361513</v>
      </c>
      <c r="M55" s="1059">
        <v>6355168.3146211514</v>
      </c>
      <c r="N55" s="1060">
        <v>118721.50881499999</v>
      </c>
    </row>
    <row r="56" spans="1:14" hidden="1" x14ac:dyDescent="0.25">
      <c r="A56" s="719" t="s">
        <v>130</v>
      </c>
      <c r="B56" s="831" t="s">
        <v>131</v>
      </c>
      <c r="C56" s="914" t="s">
        <v>268</v>
      </c>
      <c r="D56" s="914">
        <f t="shared" si="3"/>
        <v>48902539.819759384</v>
      </c>
      <c r="E56" s="832">
        <f t="shared" si="7"/>
        <v>24617915.960379686</v>
      </c>
      <c r="F56" s="832">
        <f t="shared" si="8"/>
        <v>24254316.913517188</v>
      </c>
      <c r="G56" s="832">
        <f t="shared" si="4"/>
        <v>30306.945862499997</v>
      </c>
      <c r="H56" s="1059">
        <f t="shared" si="5"/>
        <v>1110973.67</v>
      </c>
      <c r="I56" s="1059">
        <v>722132.88549999997</v>
      </c>
      <c r="J56" s="1059">
        <v>388840.78449999995</v>
      </c>
      <c r="K56" s="1059">
        <f t="shared" si="6"/>
        <v>47791566.149759382</v>
      </c>
      <c r="L56" s="1059">
        <v>23895783.074879687</v>
      </c>
      <c r="M56" s="1059">
        <v>23865476.129017189</v>
      </c>
      <c r="N56" s="1060">
        <v>30306.945862499997</v>
      </c>
    </row>
    <row r="57" spans="1:14" hidden="1" x14ac:dyDescent="0.25">
      <c r="A57" s="719" t="s">
        <v>132</v>
      </c>
      <c r="B57" s="831" t="s">
        <v>133</v>
      </c>
      <c r="C57" s="914" t="s">
        <v>267</v>
      </c>
      <c r="D57" s="914">
        <f t="shared" si="3"/>
        <v>118464265.4863641</v>
      </c>
      <c r="E57" s="832">
        <f t="shared" si="7"/>
        <v>60248440.712182052</v>
      </c>
      <c r="F57" s="832">
        <f t="shared" si="8"/>
        <v>57880050.797214553</v>
      </c>
      <c r="G57" s="832">
        <f t="shared" si="4"/>
        <v>335773.97696750006</v>
      </c>
      <c r="H57" s="1059">
        <f t="shared" si="5"/>
        <v>6775386.46</v>
      </c>
      <c r="I57" s="1059">
        <v>4404001.199</v>
      </c>
      <c r="J57" s="1059">
        <v>2371385.2609999999</v>
      </c>
      <c r="K57" s="1059">
        <f t="shared" si="6"/>
        <v>111688879.0263641</v>
      </c>
      <c r="L57" s="1059">
        <v>55844439.513182051</v>
      </c>
      <c r="M57" s="1059">
        <v>55508665.536214553</v>
      </c>
      <c r="N57" s="1060">
        <v>335773.97696750006</v>
      </c>
    </row>
    <row r="58" spans="1:14" hidden="1" x14ac:dyDescent="0.25">
      <c r="A58" s="719" t="s">
        <v>134</v>
      </c>
      <c r="B58" s="831" t="s">
        <v>135</v>
      </c>
      <c r="C58" s="914" t="s">
        <v>267</v>
      </c>
      <c r="D58" s="914">
        <f t="shared" si="3"/>
        <v>36108516.940288879</v>
      </c>
      <c r="E58" s="832">
        <f t="shared" si="7"/>
        <v>18276680.123144437</v>
      </c>
      <c r="F58" s="832">
        <f t="shared" si="8"/>
        <v>17652094.173749812</v>
      </c>
      <c r="G58" s="832">
        <f t="shared" si="4"/>
        <v>179742.64339462502</v>
      </c>
      <c r="H58" s="1059">
        <f t="shared" si="5"/>
        <v>1482811.02</v>
      </c>
      <c r="I58" s="1059">
        <v>963827.16300000006</v>
      </c>
      <c r="J58" s="1059">
        <v>518983.85699999996</v>
      </c>
      <c r="K58" s="1059">
        <f t="shared" si="6"/>
        <v>34625705.920288876</v>
      </c>
      <c r="L58" s="1059">
        <v>17312852.960144438</v>
      </c>
      <c r="M58" s="1059">
        <v>17133110.316749811</v>
      </c>
      <c r="N58" s="1060">
        <v>179742.64339462502</v>
      </c>
    </row>
    <row r="59" spans="1:14" x14ac:dyDescent="0.25">
      <c r="A59" s="719" t="s">
        <v>136</v>
      </c>
      <c r="B59" s="831" t="s">
        <v>137</v>
      </c>
      <c r="C59" s="914" t="s">
        <v>266</v>
      </c>
      <c r="D59" s="914">
        <f t="shared" si="3"/>
        <v>17390307.449146658</v>
      </c>
      <c r="E59" s="832">
        <f t="shared" si="7"/>
        <v>8762479.8865733277</v>
      </c>
      <c r="F59" s="832">
        <f t="shared" si="8"/>
        <v>8585394.7802933287</v>
      </c>
      <c r="G59" s="832">
        <f t="shared" si="4"/>
        <v>42432.782279999992</v>
      </c>
      <c r="H59" s="1059">
        <f t="shared" si="5"/>
        <v>448841.08000000007</v>
      </c>
      <c r="I59" s="1059">
        <v>291746.70200000005</v>
      </c>
      <c r="J59" s="1059">
        <v>157094.378</v>
      </c>
      <c r="K59" s="1059">
        <f t="shared" si="6"/>
        <v>16941466.369146656</v>
      </c>
      <c r="L59" s="1059">
        <v>8470733.1845733281</v>
      </c>
      <c r="M59" s="1059">
        <v>8428300.4022933282</v>
      </c>
      <c r="N59" s="1060">
        <v>42432.782279999992</v>
      </c>
    </row>
    <row r="60" spans="1:14" hidden="1" x14ac:dyDescent="0.25">
      <c r="A60" s="719" t="s">
        <v>140</v>
      </c>
      <c r="B60" s="831" t="s">
        <v>141</v>
      </c>
      <c r="C60" s="914" t="s">
        <v>267</v>
      </c>
      <c r="D60" s="914">
        <f t="shared" si="3"/>
        <v>12417367.731418619</v>
      </c>
      <c r="E60" s="832">
        <f t="shared" si="7"/>
        <v>6317397.4412093088</v>
      </c>
      <c r="F60" s="832">
        <f t="shared" si="8"/>
        <v>5962516.5332055585</v>
      </c>
      <c r="G60" s="832">
        <f t="shared" si="4"/>
        <v>137453.75700375001</v>
      </c>
      <c r="H60" s="1059">
        <f t="shared" si="5"/>
        <v>724757.17</v>
      </c>
      <c r="I60" s="1059">
        <v>471092.16050000006</v>
      </c>
      <c r="J60" s="1059">
        <v>253665.00949999999</v>
      </c>
      <c r="K60" s="1059">
        <f t="shared" si="6"/>
        <v>11692610.561418619</v>
      </c>
      <c r="L60" s="1059">
        <v>5846305.2807093086</v>
      </c>
      <c r="M60" s="1059">
        <v>5708851.5237055589</v>
      </c>
      <c r="N60" s="1060">
        <v>137453.75700375001</v>
      </c>
    </row>
    <row r="61" spans="1:14" hidden="1" x14ac:dyDescent="0.25">
      <c r="A61" s="719" t="s">
        <v>146</v>
      </c>
      <c r="B61" s="831" t="s">
        <v>147</v>
      </c>
      <c r="C61" s="914" t="s">
        <v>264</v>
      </c>
      <c r="D61" s="914">
        <f t="shared" si="3"/>
        <v>11260483.77432541</v>
      </c>
      <c r="E61" s="832">
        <f t="shared" si="7"/>
        <v>5666152.5966627048</v>
      </c>
      <c r="F61" s="832">
        <f t="shared" si="8"/>
        <v>5556050.8594789552</v>
      </c>
      <c r="G61" s="832">
        <f t="shared" si="4"/>
        <v>38280.318183749994</v>
      </c>
      <c r="H61" s="1059">
        <f t="shared" si="5"/>
        <v>239404.73</v>
      </c>
      <c r="I61" s="1059">
        <v>155613.07450000002</v>
      </c>
      <c r="J61" s="1059">
        <v>83791.655499999993</v>
      </c>
      <c r="K61" s="1059">
        <f t="shared" si="6"/>
        <v>11021079.044325409</v>
      </c>
      <c r="L61" s="1059">
        <v>5510539.5221627047</v>
      </c>
      <c r="M61" s="1059">
        <v>5472259.2039789548</v>
      </c>
      <c r="N61" s="1060">
        <v>38280.318183749994</v>
      </c>
    </row>
    <row r="62" spans="1:14" hidden="1" x14ac:dyDescent="0.25">
      <c r="A62" s="719" t="s">
        <v>148</v>
      </c>
      <c r="B62" s="831" t="s">
        <v>149</v>
      </c>
      <c r="C62" s="914" t="s">
        <v>265</v>
      </c>
      <c r="D62" s="914">
        <f t="shared" si="3"/>
        <v>50886157.899916604</v>
      </c>
      <c r="E62" s="832">
        <f t="shared" si="7"/>
        <v>25662329.263958301</v>
      </c>
      <c r="F62" s="832">
        <f t="shared" si="8"/>
        <v>25085751.242813304</v>
      </c>
      <c r="G62" s="832">
        <f t="shared" si="4"/>
        <v>138077.39314499998</v>
      </c>
      <c r="H62" s="1059">
        <f t="shared" si="5"/>
        <v>1461668.76</v>
      </c>
      <c r="I62" s="1059">
        <v>950084.69400000002</v>
      </c>
      <c r="J62" s="1059">
        <v>511584.06599999999</v>
      </c>
      <c r="K62" s="1059">
        <f t="shared" si="6"/>
        <v>49424489.139916606</v>
      </c>
      <c r="L62" s="1059">
        <v>24712244.569958303</v>
      </c>
      <c r="M62" s="1059">
        <v>24574167.176813304</v>
      </c>
      <c r="N62" s="1060">
        <v>138077.39314499998</v>
      </c>
    </row>
    <row r="63" spans="1:14" x14ac:dyDescent="0.25">
      <c r="A63" s="719" t="s">
        <v>150</v>
      </c>
      <c r="B63" s="831" t="s">
        <v>151</v>
      </c>
      <c r="C63" s="914" t="s">
        <v>266</v>
      </c>
      <c r="D63" s="914">
        <f t="shared" si="3"/>
        <v>13157068.496088283</v>
      </c>
      <c r="E63" s="832">
        <f t="shared" si="7"/>
        <v>6629713.4965441423</v>
      </c>
      <c r="F63" s="832">
        <f t="shared" si="8"/>
        <v>6525143.3180281427</v>
      </c>
      <c r="G63" s="832">
        <f t="shared" si="4"/>
        <v>2211.6815160000006</v>
      </c>
      <c r="H63" s="1059">
        <f t="shared" si="5"/>
        <v>341194.99</v>
      </c>
      <c r="I63" s="1059">
        <v>221776.74350000001</v>
      </c>
      <c r="J63" s="1059">
        <v>119418.24649999999</v>
      </c>
      <c r="K63" s="1059">
        <f t="shared" si="6"/>
        <v>12815873.506088283</v>
      </c>
      <c r="L63" s="1059">
        <v>6407936.7530441424</v>
      </c>
      <c r="M63" s="1059">
        <v>6405725.0715281423</v>
      </c>
      <c r="N63" s="1060">
        <v>2211.6815160000006</v>
      </c>
    </row>
    <row r="64" spans="1:14" hidden="1" x14ac:dyDescent="0.25">
      <c r="A64" s="719" t="s">
        <v>152</v>
      </c>
      <c r="B64" s="831" t="s">
        <v>153</v>
      </c>
      <c r="C64" s="914" t="s">
        <v>268</v>
      </c>
      <c r="D64" s="914">
        <f t="shared" si="3"/>
        <v>60682443.399196781</v>
      </c>
      <c r="E64" s="832">
        <f t="shared" si="7"/>
        <v>30698436.724598389</v>
      </c>
      <c r="F64" s="832">
        <f t="shared" si="8"/>
        <v>29934871.358718392</v>
      </c>
      <c r="G64" s="832">
        <f t="shared" si="4"/>
        <v>49135.315879999995</v>
      </c>
      <c r="H64" s="1059">
        <f t="shared" si="5"/>
        <v>2381433.5</v>
      </c>
      <c r="I64" s="1059">
        <v>1547931.7750000001</v>
      </c>
      <c r="J64" s="1059">
        <v>833501.72499999998</v>
      </c>
      <c r="K64" s="1059">
        <f t="shared" si="6"/>
        <v>58301009.899196781</v>
      </c>
      <c r="L64" s="1059">
        <v>29150504.949598391</v>
      </c>
      <c r="M64" s="1059">
        <v>29101369.63371839</v>
      </c>
      <c r="N64" s="1060">
        <v>49135.315879999995</v>
      </c>
    </row>
    <row r="65" spans="1:14" hidden="1" x14ac:dyDescent="0.25">
      <c r="A65" s="719" t="s">
        <v>154</v>
      </c>
      <c r="B65" s="831" t="s">
        <v>155</v>
      </c>
      <c r="C65" s="914" t="s">
        <v>265</v>
      </c>
      <c r="D65" s="914">
        <f t="shared" si="3"/>
        <v>19533688.733758047</v>
      </c>
      <c r="E65" s="832">
        <f t="shared" si="7"/>
        <v>9890764.3198790215</v>
      </c>
      <c r="F65" s="832">
        <f t="shared" si="8"/>
        <v>9606372.7204917725</v>
      </c>
      <c r="G65" s="832">
        <f t="shared" si="4"/>
        <v>36551.693387249994</v>
      </c>
      <c r="H65" s="1059">
        <f t="shared" si="5"/>
        <v>826133.02</v>
      </c>
      <c r="I65" s="1059">
        <v>536986.46299999999</v>
      </c>
      <c r="J65" s="1059">
        <v>289146.55699999997</v>
      </c>
      <c r="K65" s="1059">
        <f t="shared" si="6"/>
        <v>18707555.713758048</v>
      </c>
      <c r="L65" s="1059">
        <v>9353777.856879022</v>
      </c>
      <c r="M65" s="1059">
        <v>9317226.1634917725</v>
      </c>
      <c r="N65" s="1060">
        <v>36551.693387249994</v>
      </c>
    </row>
    <row r="66" spans="1:14" x14ac:dyDescent="0.25">
      <c r="A66" s="719" t="s">
        <v>156</v>
      </c>
      <c r="B66" s="831" t="s">
        <v>157</v>
      </c>
      <c r="C66" s="914" t="s">
        <v>266</v>
      </c>
      <c r="D66" s="914">
        <f t="shared" si="3"/>
        <v>11124727.050979292</v>
      </c>
      <c r="E66" s="832">
        <f t="shared" si="7"/>
        <v>5626139.7799896477</v>
      </c>
      <c r="F66" s="832">
        <f t="shared" si="8"/>
        <v>5403677.1819171468</v>
      </c>
      <c r="G66" s="832">
        <f t="shared" si="4"/>
        <v>94910.089072499977</v>
      </c>
      <c r="H66" s="1059">
        <f t="shared" si="5"/>
        <v>425175.03</v>
      </c>
      <c r="I66" s="1059">
        <v>276363.76950000005</v>
      </c>
      <c r="J66" s="1059">
        <v>148811.2605</v>
      </c>
      <c r="K66" s="1059">
        <f t="shared" si="6"/>
        <v>10699552.020979293</v>
      </c>
      <c r="L66" s="1059">
        <v>5349776.0104896473</v>
      </c>
      <c r="M66" s="1059">
        <v>5254865.9214171469</v>
      </c>
      <c r="N66" s="1060">
        <v>94910.089072499977</v>
      </c>
    </row>
    <row r="67" spans="1:14" hidden="1" x14ac:dyDescent="0.25">
      <c r="A67" s="719" t="s">
        <v>162</v>
      </c>
      <c r="B67" s="831" t="s">
        <v>163</v>
      </c>
      <c r="C67" s="914" t="s">
        <v>264</v>
      </c>
      <c r="D67" s="914">
        <f t="shared" si="3"/>
        <v>26364870.177827276</v>
      </c>
      <c r="E67" s="832">
        <f t="shared" si="7"/>
        <v>13312069.438913636</v>
      </c>
      <c r="F67" s="832">
        <f t="shared" si="8"/>
        <v>12985807.015576137</v>
      </c>
      <c r="G67" s="832">
        <f t="shared" si="4"/>
        <v>66993.723337500007</v>
      </c>
      <c r="H67" s="1059">
        <f t="shared" si="5"/>
        <v>864229</v>
      </c>
      <c r="I67" s="1059">
        <v>561748.85</v>
      </c>
      <c r="J67" s="1059">
        <v>302480.14999999997</v>
      </c>
      <c r="K67" s="1059">
        <f t="shared" si="6"/>
        <v>25500641.177827276</v>
      </c>
      <c r="L67" s="1059">
        <v>12750320.588913636</v>
      </c>
      <c r="M67" s="1059">
        <v>12683326.865576137</v>
      </c>
      <c r="N67" s="1060">
        <v>66993.723337500007</v>
      </c>
    </row>
    <row r="68" spans="1:14" x14ac:dyDescent="0.25">
      <c r="A68" s="719" t="s">
        <v>164</v>
      </c>
      <c r="B68" s="831" t="s">
        <v>165</v>
      </c>
      <c r="C68" s="914" t="s">
        <v>266</v>
      </c>
      <c r="D68" s="914">
        <f t="shared" si="3"/>
        <v>12367682.349223286</v>
      </c>
      <c r="E68" s="832">
        <f t="shared" si="7"/>
        <v>6244376.4646116421</v>
      </c>
      <c r="F68" s="832">
        <f t="shared" si="8"/>
        <v>6126457.4463116424</v>
      </c>
      <c r="G68" s="832">
        <f t="shared" si="4"/>
        <v>-3151.5617000000002</v>
      </c>
      <c r="H68" s="1059">
        <f t="shared" si="5"/>
        <v>403568.6</v>
      </c>
      <c r="I68" s="1059">
        <v>262319.58999999997</v>
      </c>
      <c r="J68" s="1059">
        <v>141249.00999999998</v>
      </c>
      <c r="K68" s="1059">
        <f t="shared" si="6"/>
        <v>11964113.749223286</v>
      </c>
      <c r="L68" s="1059">
        <v>5982056.8746116422</v>
      </c>
      <c r="M68" s="1059">
        <v>5985208.4363116426</v>
      </c>
      <c r="N68" s="1060">
        <v>-3151.5617000000002</v>
      </c>
    </row>
    <row r="69" spans="1:14" x14ac:dyDescent="0.25">
      <c r="A69" s="719" t="s">
        <v>168</v>
      </c>
      <c r="B69" s="831" t="s">
        <v>169</v>
      </c>
      <c r="C69" s="914" t="s">
        <v>266</v>
      </c>
      <c r="D69" s="914">
        <f t="shared" si="3"/>
        <v>25631584.683225956</v>
      </c>
      <c r="E69" s="832">
        <f t="shared" ref="E69:E100" si="9">+I69+L69</f>
        <v>12953592.916612977</v>
      </c>
      <c r="F69" s="832">
        <f t="shared" ref="F69:F100" si="10">+J69+M69</f>
        <v>12590308.161169229</v>
      </c>
      <c r="G69" s="832">
        <f t="shared" si="4"/>
        <v>87683.605443749984</v>
      </c>
      <c r="H69" s="1059">
        <f t="shared" si="5"/>
        <v>918670.5</v>
      </c>
      <c r="I69" s="1059">
        <v>597135.82500000007</v>
      </c>
      <c r="J69" s="1059">
        <v>321534.67499999999</v>
      </c>
      <c r="K69" s="1059">
        <f t="shared" si="6"/>
        <v>24712914.183225956</v>
      </c>
      <c r="L69" s="1059">
        <v>12356457.091612978</v>
      </c>
      <c r="M69" s="1059">
        <v>12268773.486169228</v>
      </c>
      <c r="N69" s="1060">
        <v>87683.605443749984</v>
      </c>
    </row>
    <row r="70" spans="1:14" hidden="1" x14ac:dyDescent="0.25">
      <c r="A70" s="719" t="s">
        <v>170</v>
      </c>
      <c r="B70" s="831" t="s">
        <v>171</v>
      </c>
      <c r="C70" s="914" t="s">
        <v>267</v>
      </c>
      <c r="D70" s="914">
        <f t="shared" ref="D70:D124" si="11">H70+K70</f>
        <v>31994677.419062551</v>
      </c>
      <c r="E70" s="832">
        <f t="shared" si="9"/>
        <v>16218700.984531276</v>
      </c>
      <c r="F70" s="832">
        <f t="shared" si="10"/>
        <v>15602237.266707525</v>
      </c>
      <c r="G70" s="832">
        <f t="shared" ref="G70:G124" si="12">N70</f>
        <v>173739.16782375003</v>
      </c>
      <c r="H70" s="1059">
        <f t="shared" ref="H70:H126" si="13">I70+J70</f>
        <v>1475748.5</v>
      </c>
      <c r="I70" s="1059">
        <v>959236.52500000002</v>
      </c>
      <c r="J70" s="1059">
        <v>516511.97499999998</v>
      </c>
      <c r="K70" s="1059">
        <f t="shared" ref="K70:K131" si="14">L70+M70+N70</f>
        <v>30518928.919062551</v>
      </c>
      <c r="L70" s="1059">
        <v>15259464.459531276</v>
      </c>
      <c r="M70" s="1059">
        <v>15085725.291707525</v>
      </c>
      <c r="N70" s="1060">
        <v>173739.16782375003</v>
      </c>
    </row>
    <row r="71" spans="1:14" hidden="1" x14ac:dyDescent="0.25">
      <c r="A71" s="719" t="s">
        <v>172</v>
      </c>
      <c r="B71" s="831" t="s">
        <v>173</v>
      </c>
      <c r="C71" s="914" t="s">
        <v>267</v>
      </c>
      <c r="D71" s="914">
        <f t="shared" si="11"/>
        <v>26137303.13489458</v>
      </c>
      <c r="E71" s="832">
        <f t="shared" si="9"/>
        <v>13232997.984447287</v>
      </c>
      <c r="F71" s="832">
        <f t="shared" si="10"/>
        <v>12840323.067614162</v>
      </c>
      <c r="G71" s="832">
        <f t="shared" si="12"/>
        <v>63982.082833125009</v>
      </c>
      <c r="H71" s="1059">
        <f t="shared" si="13"/>
        <v>1095642.78</v>
      </c>
      <c r="I71" s="1059">
        <v>712167.80700000003</v>
      </c>
      <c r="J71" s="1059">
        <v>383474.973</v>
      </c>
      <c r="K71" s="1059">
        <f t="shared" si="14"/>
        <v>25041660.354894578</v>
      </c>
      <c r="L71" s="1059">
        <v>12520830.177447287</v>
      </c>
      <c r="M71" s="1059">
        <v>12456848.094614163</v>
      </c>
      <c r="N71" s="1060">
        <v>63982.082833125009</v>
      </c>
    </row>
    <row r="72" spans="1:14" hidden="1" x14ac:dyDescent="0.25">
      <c r="A72" s="719" t="s">
        <v>174</v>
      </c>
      <c r="B72" s="831" t="s">
        <v>175</v>
      </c>
      <c r="C72" s="914" t="s">
        <v>268</v>
      </c>
      <c r="D72" s="914">
        <f t="shared" si="11"/>
        <v>24344873.631928403</v>
      </c>
      <c r="E72" s="832">
        <f t="shared" si="9"/>
        <v>12319137.648464201</v>
      </c>
      <c r="F72" s="832">
        <f t="shared" si="10"/>
        <v>12023235.196112951</v>
      </c>
      <c r="G72" s="832">
        <f t="shared" si="12"/>
        <v>2500.78735125</v>
      </c>
      <c r="H72" s="1059">
        <f t="shared" si="13"/>
        <v>978005.55</v>
      </c>
      <c r="I72" s="1059">
        <v>635703.60750000004</v>
      </c>
      <c r="J72" s="1059">
        <v>342301.9425</v>
      </c>
      <c r="K72" s="1059">
        <f t="shared" si="14"/>
        <v>23366868.081928402</v>
      </c>
      <c r="L72" s="1059">
        <v>11683434.040964201</v>
      </c>
      <c r="M72" s="1059">
        <v>11680933.25361295</v>
      </c>
      <c r="N72" s="1060">
        <v>2500.78735125</v>
      </c>
    </row>
    <row r="73" spans="1:14" hidden="1" x14ac:dyDescent="0.25">
      <c r="A73" s="719" t="s">
        <v>178</v>
      </c>
      <c r="B73" s="831" t="s">
        <v>179</v>
      </c>
      <c r="C73" s="914" t="s">
        <v>265</v>
      </c>
      <c r="D73" s="914">
        <f t="shared" si="11"/>
        <v>84187237.32717903</v>
      </c>
      <c r="E73" s="832">
        <f t="shared" si="9"/>
        <v>42500530.256089516</v>
      </c>
      <c r="F73" s="832">
        <f t="shared" si="10"/>
        <v>41547590.825365141</v>
      </c>
      <c r="G73" s="832">
        <f t="shared" si="12"/>
        <v>139116.24572437504</v>
      </c>
      <c r="H73" s="1059">
        <f t="shared" si="13"/>
        <v>2712743.95</v>
      </c>
      <c r="I73" s="1059">
        <v>1763283.5675000001</v>
      </c>
      <c r="J73" s="1059">
        <v>949460.38249999995</v>
      </c>
      <c r="K73" s="1059">
        <f t="shared" si="14"/>
        <v>81474493.377179027</v>
      </c>
      <c r="L73" s="1059">
        <v>40737246.688589513</v>
      </c>
      <c r="M73" s="1059">
        <v>40598130.442865141</v>
      </c>
      <c r="N73" s="1060">
        <v>139116.24572437504</v>
      </c>
    </row>
    <row r="74" spans="1:14" x14ac:dyDescent="0.25">
      <c r="A74" s="719" t="s">
        <v>182</v>
      </c>
      <c r="B74" s="831" t="s">
        <v>183</v>
      </c>
      <c r="C74" s="914" t="s">
        <v>266</v>
      </c>
      <c r="D74" s="914">
        <f t="shared" si="11"/>
        <v>13715322.447743183</v>
      </c>
      <c r="E74" s="832">
        <f t="shared" si="9"/>
        <v>6960752.8638715921</v>
      </c>
      <c r="F74" s="832">
        <f t="shared" si="10"/>
        <v>6660595.875175342</v>
      </c>
      <c r="G74" s="832">
        <f t="shared" si="12"/>
        <v>93973.708696250003</v>
      </c>
      <c r="H74" s="1059">
        <f t="shared" si="13"/>
        <v>687277.6</v>
      </c>
      <c r="I74" s="1059">
        <v>446730.44</v>
      </c>
      <c r="J74" s="1059">
        <v>240547.15999999997</v>
      </c>
      <c r="K74" s="1059">
        <f t="shared" si="14"/>
        <v>13028044.847743183</v>
      </c>
      <c r="L74" s="1059">
        <v>6514022.4238715917</v>
      </c>
      <c r="M74" s="1059">
        <v>6420048.7151753418</v>
      </c>
      <c r="N74" s="1060">
        <v>93973.708696250003</v>
      </c>
    </row>
    <row r="75" spans="1:14" x14ac:dyDescent="0.25">
      <c r="A75" s="719" t="s">
        <v>184</v>
      </c>
      <c r="B75" s="831" t="s">
        <v>185</v>
      </c>
      <c r="C75" s="914" t="s">
        <v>266</v>
      </c>
      <c r="D75" s="914">
        <f t="shared" si="11"/>
        <v>30131784.910317283</v>
      </c>
      <c r="E75" s="832">
        <f t="shared" si="9"/>
        <v>15204433.016158644</v>
      </c>
      <c r="F75" s="832">
        <f t="shared" si="10"/>
        <v>14904944.775013644</v>
      </c>
      <c r="G75" s="832">
        <f t="shared" si="12"/>
        <v>22407.119145000001</v>
      </c>
      <c r="H75" s="1059">
        <f t="shared" si="13"/>
        <v>923603.74</v>
      </c>
      <c r="I75" s="1059">
        <v>600342.43099999998</v>
      </c>
      <c r="J75" s="1059">
        <v>323261.30899999995</v>
      </c>
      <c r="K75" s="1059">
        <f t="shared" si="14"/>
        <v>29208181.170317285</v>
      </c>
      <c r="L75" s="1059">
        <v>14604090.585158644</v>
      </c>
      <c r="M75" s="1059">
        <v>14581683.466013644</v>
      </c>
      <c r="N75" s="1060">
        <v>22407.119145000001</v>
      </c>
    </row>
    <row r="76" spans="1:14" hidden="1" x14ac:dyDescent="0.25">
      <c r="A76" s="719" t="s">
        <v>186</v>
      </c>
      <c r="B76" s="831" t="s">
        <v>187</v>
      </c>
      <c r="C76" s="914" t="s">
        <v>264</v>
      </c>
      <c r="D76" s="914">
        <f t="shared" si="11"/>
        <v>22738297.041772775</v>
      </c>
      <c r="E76" s="832">
        <f t="shared" si="9"/>
        <v>11490567.976886388</v>
      </c>
      <c r="F76" s="832">
        <f t="shared" si="10"/>
        <v>11204724.298530387</v>
      </c>
      <c r="G76" s="832">
        <f t="shared" si="12"/>
        <v>43004.766356</v>
      </c>
      <c r="H76" s="1059">
        <f t="shared" si="13"/>
        <v>809463.04</v>
      </c>
      <c r="I76" s="1059">
        <v>526150.97600000002</v>
      </c>
      <c r="J76" s="1059">
        <v>283312.06400000001</v>
      </c>
      <c r="K76" s="1059">
        <f t="shared" si="14"/>
        <v>21928834.001772776</v>
      </c>
      <c r="L76" s="1059">
        <v>10964417.000886388</v>
      </c>
      <c r="M76" s="1059">
        <v>10921412.234530387</v>
      </c>
      <c r="N76" s="1060">
        <v>43004.766356</v>
      </c>
    </row>
    <row r="77" spans="1:14" hidden="1" x14ac:dyDescent="0.25">
      <c r="A77" s="719" t="s">
        <v>188</v>
      </c>
      <c r="B77" s="831" t="s">
        <v>189</v>
      </c>
      <c r="C77" s="914" t="s">
        <v>267</v>
      </c>
      <c r="D77" s="914">
        <f t="shared" si="11"/>
        <v>269813953.19008577</v>
      </c>
      <c r="E77" s="832">
        <f t="shared" si="9"/>
        <v>138027073.2430279</v>
      </c>
      <c r="F77" s="832">
        <f t="shared" si="10"/>
        <v>131017503.07696539</v>
      </c>
      <c r="G77" s="832">
        <f t="shared" si="12"/>
        <v>769376.87009249988</v>
      </c>
      <c r="H77" s="1059">
        <f t="shared" si="13"/>
        <v>20800644.319899999</v>
      </c>
      <c r="I77" s="1059">
        <v>13520418.807934999</v>
      </c>
      <c r="J77" s="1059">
        <v>7280225.5119649991</v>
      </c>
      <c r="K77" s="1059">
        <f t="shared" si="14"/>
        <v>249013308.87018579</v>
      </c>
      <c r="L77" s="1059">
        <v>124506654.4350929</v>
      </c>
      <c r="M77" s="1059">
        <v>123737277.5650004</v>
      </c>
      <c r="N77" s="1060">
        <v>769376.87009249988</v>
      </c>
    </row>
    <row r="78" spans="1:14" hidden="1" x14ac:dyDescent="0.25">
      <c r="A78" s="719" t="s">
        <v>190</v>
      </c>
      <c r="B78" s="831" t="s">
        <v>191</v>
      </c>
      <c r="C78" s="914" t="s">
        <v>268</v>
      </c>
      <c r="D78" s="914">
        <f t="shared" si="11"/>
        <v>46010205.100619495</v>
      </c>
      <c r="E78" s="832">
        <f t="shared" si="9"/>
        <v>23229769.69130975</v>
      </c>
      <c r="F78" s="832">
        <f t="shared" si="10"/>
        <v>22647048.010715999</v>
      </c>
      <c r="G78" s="832">
        <f t="shared" si="12"/>
        <v>133387.39859375</v>
      </c>
      <c r="H78" s="1059">
        <f t="shared" si="13"/>
        <v>1497780.94</v>
      </c>
      <c r="I78" s="1059">
        <v>973557.61100000003</v>
      </c>
      <c r="J78" s="1059">
        <v>524223.32899999997</v>
      </c>
      <c r="K78" s="1059">
        <f t="shared" si="14"/>
        <v>44512424.160619497</v>
      </c>
      <c r="L78" s="1059">
        <v>22256212.080309749</v>
      </c>
      <c r="M78" s="1059">
        <v>22122824.681715999</v>
      </c>
      <c r="N78" s="1060">
        <v>133387.39859375</v>
      </c>
    </row>
    <row r="79" spans="1:14" hidden="1" x14ac:dyDescent="0.25">
      <c r="A79" s="719" t="s">
        <v>194</v>
      </c>
      <c r="B79" s="831" t="s">
        <v>195</v>
      </c>
      <c r="C79" s="914" t="s">
        <v>267</v>
      </c>
      <c r="D79" s="914">
        <f t="shared" si="11"/>
        <v>4742326.0824808665</v>
      </c>
      <c r="E79" s="832">
        <f t="shared" si="9"/>
        <v>2397381.9717404325</v>
      </c>
      <c r="F79" s="832">
        <f t="shared" si="10"/>
        <v>2128490.2546960576</v>
      </c>
      <c r="G79" s="832">
        <f t="shared" si="12"/>
        <v>216453.85604437496</v>
      </c>
      <c r="H79" s="1059">
        <f t="shared" si="13"/>
        <v>174792.87</v>
      </c>
      <c r="I79" s="1059">
        <v>113615.3655</v>
      </c>
      <c r="J79" s="1059">
        <v>61177.504499999995</v>
      </c>
      <c r="K79" s="1059">
        <f t="shared" si="14"/>
        <v>4567533.2124808664</v>
      </c>
      <c r="L79" s="1059">
        <v>2283766.6062404327</v>
      </c>
      <c r="M79" s="1059">
        <v>2067312.7501960578</v>
      </c>
      <c r="N79" s="1060">
        <v>216453.85604437496</v>
      </c>
    </row>
    <row r="80" spans="1:14" x14ac:dyDescent="0.25">
      <c r="A80" s="719" t="s">
        <v>198</v>
      </c>
      <c r="B80" s="831" t="s">
        <v>199</v>
      </c>
      <c r="C80" s="914" t="s">
        <v>266</v>
      </c>
      <c r="D80" s="914">
        <f t="shared" si="11"/>
        <v>11037940.070309525</v>
      </c>
      <c r="E80" s="832">
        <f t="shared" si="9"/>
        <v>5591236.3361547636</v>
      </c>
      <c r="F80" s="832">
        <f t="shared" si="10"/>
        <v>5354929.0841988884</v>
      </c>
      <c r="G80" s="832">
        <f t="shared" si="12"/>
        <v>91774.649955875007</v>
      </c>
      <c r="H80" s="1059">
        <f t="shared" si="13"/>
        <v>481775.34</v>
      </c>
      <c r="I80" s="1059">
        <v>313153.97100000002</v>
      </c>
      <c r="J80" s="1059">
        <v>168621.36900000001</v>
      </c>
      <c r="K80" s="1059">
        <f t="shared" si="14"/>
        <v>10556164.730309526</v>
      </c>
      <c r="L80" s="1059">
        <v>5278082.3651547637</v>
      </c>
      <c r="M80" s="1059">
        <v>5186307.7151988884</v>
      </c>
      <c r="N80" s="1060">
        <v>91774.649955875007</v>
      </c>
    </row>
    <row r="81" spans="1:14" hidden="1" x14ac:dyDescent="0.25">
      <c r="A81" s="719" t="s">
        <v>202</v>
      </c>
      <c r="B81" s="831" t="s">
        <v>203</v>
      </c>
      <c r="C81" s="914" t="s">
        <v>265</v>
      </c>
      <c r="D81" s="914">
        <f t="shared" si="11"/>
        <v>88265563.787047222</v>
      </c>
      <c r="E81" s="832">
        <f t="shared" si="9"/>
        <v>44605215.62202362</v>
      </c>
      <c r="F81" s="832">
        <f t="shared" si="10"/>
        <v>43292917.752292365</v>
      </c>
      <c r="G81" s="832">
        <f t="shared" si="12"/>
        <v>367430.41273125005</v>
      </c>
      <c r="H81" s="1059">
        <f t="shared" si="13"/>
        <v>3149558.1900000004</v>
      </c>
      <c r="I81" s="1059">
        <v>2047212.8235000002</v>
      </c>
      <c r="J81" s="1059">
        <v>1102345.3665</v>
      </c>
      <c r="K81" s="1059">
        <f t="shared" si="14"/>
        <v>85116005.597047225</v>
      </c>
      <c r="L81" s="1059">
        <v>42558002.79852362</v>
      </c>
      <c r="M81" s="1059">
        <v>42190572.385792367</v>
      </c>
      <c r="N81" s="1060">
        <v>367430.41273125005</v>
      </c>
    </row>
    <row r="82" spans="1:14" hidden="1" x14ac:dyDescent="0.25">
      <c r="A82" s="719" t="s">
        <v>204</v>
      </c>
      <c r="B82" s="831" t="s">
        <v>205</v>
      </c>
      <c r="C82" s="914" t="s">
        <v>265</v>
      </c>
      <c r="D82" s="914">
        <f t="shared" si="11"/>
        <v>35630629.460779414</v>
      </c>
      <c r="E82" s="832">
        <f t="shared" si="9"/>
        <v>18008561.015889708</v>
      </c>
      <c r="F82" s="832">
        <f t="shared" si="10"/>
        <v>17511629.561250333</v>
      </c>
      <c r="G82" s="832">
        <f t="shared" si="12"/>
        <v>110438.88363937498</v>
      </c>
      <c r="H82" s="1059">
        <f t="shared" si="13"/>
        <v>1288308.57</v>
      </c>
      <c r="I82" s="1059">
        <v>837400.57050000003</v>
      </c>
      <c r="J82" s="1059">
        <v>450907.99949999998</v>
      </c>
      <c r="K82" s="1059">
        <f t="shared" si="14"/>
        <v>34342320.890779413</v>
      </c>
      <c r="L82" s="1059">
        <v>17171160.445389707</v>
      </c>
      <c r="M82" s="1059">
        <v>17060721.561750334</v>
      </c>
      <c r="N82" s="1060">
        <v>110438.88363937498</v>
      </c>
    </row>
    <row r="83" spans="1:14" hidden="1" x14ac:dyDescent="0.25">
      <c r="A83" s="719" t="s">
        <v>206</v>
      </c>
      <c r="B83" s="831" t="s">
        <v>207</v>
      </c>
      <c r="C83" s="914" t="s">
        <v>267</v>
      </c>
      <c r="D83" s="914">
        <f t="shared" si="11"/>
        <v>97131452.198274672</v>
      </c>
      <c r="E83" s="832">
        <f t="shared" si="9"/>
        <v>49329163.394637339</v>
      </c>
      <c r="F83" s="832">
        <f t="shared" si="10"/>
        <v>47248666.029511206</v>
      </c>
      <c r="G83" s="832">
        <f t="shared" si="12"/>
        <v>553622.77412612503</v>
      </c>
      <c r="H83" s="1059">
        <f t="shared" si="13"/>
        <v>5089581.9700000007</v>
      </c>
      <c r="I83" s="1059">
        <v>3308228.2805000003</v>
      </c>
      <c r="J83" s="1059">
        <v>1781353.6894999999</v>
      </c>
      <c r="K83" s="1059">
        <f t="shared" si="14"/>
        <v>92041870.228274673</v>
      </c>
      <c r="L83" s="1059">
        <v>46020935.114137337</v>
      </c>
      <c r="M83" s="1059">
        <v>45467312.340011209</v>
      </c>
      <c r="N83" s="1060">
        <v>553622.77412612503</v>
      </c>
    </row>
    <row r="84" spans="1:14" hidden="1" x14ac:dyDescent="0.25">
      <c r="A84" s="719" t="s">
        <v>208</v>
      </c>
      <c r="B84" s="831" t="s">
        <v>209</v>
      </c>
      <c r="C84" s="914" t="s">
        <v>268</v>
      </c>
      <c r="D84" s="914">
        <f t="shared" si="11"/>
        <v>41494461.879807532</v>
      </c>
      <c r="E84" s="832">
        <f t="shared" si="9"/>
        <v>20995471.953403763</v>
      </c>
      <c r="F84" s="832">
        <f t="shared" si="10"/>
        <v>20424541.668140016</v>
      </c>
      <c r="G84" s="832">
        <f t="shared" si="12"/>
        <v>74448.258263749987</v>
      </c>
      <c r="H84" s="1059">
        <f t="shared" si="13"/>
        <v>1654940.09</v>
      </c>
      <c r="I84" s="1059">
        <v>1075711.0585</v>
      </c>
      <c r="J84" s="1059">
        <v>579229.03150000004</v>
      </c>
      <c r="K84" s="1059">
        <f t="shared" si="14"/>
        <v>39839521.789807528</v>
      </c>
      <c r="L84" s="1059">
        <v>19919760.894903764</v>
      </c>
      <c r="M84" s="1059">
        <v>19845312.636640016</v>
      </c>
      <c r="N84" s="1060">
        <v>74448.258263749987</v>
      </c>
    </row>
    <row r="85" spans="1:14" hidden="1" x14ac:dyDescent="0.25">
      <c r="A85" s="719" t="s">
        <v>210</v>
      </c>
      <c r="B85" s="831" t="s">
        <v>211</v>
      </c>
      <c r="C85" s="914" t="s">
        <v>268</v>
      </c>
      <c r="D85" s="914">
        <f t="shared" si="11"/>
        <v>34538076.029829405</v>
      </c>
      <c r="E85" s="832">
        <f t="shared" si="9"/>
        <v>17422686.773914702</v>
      </c>
      <c r="F85" s="832">
        <f t="shared" si="10"/>
        <v>17099257.290239703</v>
      </c>
      <c r="G85" s="832">
        <f t="shared" si="12"/>
        <v>16131.965674999999</v>
      </c>
      <c r="H85" s="1059">
        <f t="shared" si="13"/>
        <v>1024325.06</v>
      </c>
      <c r="I85" s="1059">
        <v>665811.28900000011</v>
      </c>
      <c r="J85" s="1059">
        <v>358513.77100000001</v>
      </c>
      <c r="K85" s="1059">
        <f t="shared" si="14"/>
        <v>33513750.969829407</v>
      </c>
      <c r="L85" s="1059">
        <v>16756875.484914703</v>
      </c>
      <c r="M85" s="1059">
        <v>16740743.519239703</v>
      </c>
      <c r="N85" s="1060">
        <v>16131.965674999999</v>
      </c>
    </row>
    <row r="86" spans="1:14" hidden="1" x14ac:dyDescent="0.25">
      <c r="A86" s="719" t="s">
        <v>212</v>
      </c>
      <c r="B86" s="831" t="s">
        <v>213</v>
      </c>
      <c r="C86" s="914" t="s">
        <v>267</v>
      </c>
      <c r="D86" s="914">
        <f t="shared" si="11"/>
        <v>42344308.929801606</v>
      </c>
      <c r="E86" s="832">
        <f t="shared" si="9"/>
        <v>21440925.459400803</v>
      </c>
      <c r="F86" s="832">
        <f t="shared" si="10"/>
        <v>20826772.476077177</v>
      </c>
      <c r="G86" s="832">
        <f t="shared" si="12"/>
        <v>76610.994323625011</v>
      </c>
      <c r="H86" s="1059">
        <f t="shared" si="13"/>
        <v>1791806.63</v>
      </c>
      <c r="I86" s="1059">
        <v>1164674.3095</v>
      </c>
      <c r="J86" s="1059">
        <v>627132.32049999991</v>
      </c>
      <c r="K86" s="1059">
        <f t="shared" si="14"/>
        <v>40552502.299801603</v>
      </c>
      <c r="L86" s="1059">
        <v>20276251.149900801</v>
      </c>
      <c r="M86" s="1059">
        <v>20199640.155577175</v>
      </c>
      <c r="N86" s="1060">
        <v>76610.994323625011</v>
      </c>
    </row>
    <row r="87" spans="1:14" hidden="1" x14ac:dyDescent="0.25">
      <c r="A87" s="719" t="s">
        <v>214</v>
      </c>
      <c r="B87" s="831" t="s">
        <v>215</v>
      </c>
      <c r="C87" s="914" t="s">
        <v>268</v>
      </c>
      <c r="D87" s="914">
        <f t="shared" si="11"/>
        <v>45517970.779760867</v>
      </c>
      <c r="E87" s="832">
        <f t="shared" si="9"/>
        <v>22993707.941380434</v>
      </c>
      <c r="F87" s="832">
        <f t="shared" si="10"/>
        <v>22467679.660214182</v>
      </c>
      <c r="G87" s="832">
        <f t="shared" si="12"/>
        <v>56583.178166249993</v>
      </c>
      <c r="H87" s="1059">
        <f t="shared" si="13"/>
        <v>1564817.01</v>
      </c>
      <c r="I87" s="1059">
        <v>1017131.0565000001</v>
      </c>
      <c r="J87" s="1059">
        <v>547685.95349999995</v>
      </c>
      <c r="K87" s="1059">
        <f t="shared" si="14"/>
        <v>43953153.769760869</v>
      </c>
      <c r="L87" s="1059">
        <v>21976576.884880435</v>
      </c>
      <c r="M87" s="1059">
        <v>21919993.706714183</v>
      </c>
      <c r="N87" s="1060">
        <v>56583.178166249993</v>
      </c>
    </row>
    <row r="88" spans="1:14" hidden="1" x14ac:dyDescent="0.25">
      <c r="A88" s="719" t="s">
        <v>216</v>
      </c>
      <c r="B88" s="831" t="s">
        <v>217</v>
      </c>
      <c r="C88" s="914" t="s">
        <v>264</v>
      </c>
      <c r="D88" s="914">
        <f t="shared" si="11"/>
        <v>24018869.209187422</v>
      </c>
      <c r="E88" s="832">
        <f t="shared" si="9"/>
        <v>12114357.94259371</v>
      </c>
      <c r="F88" s="832">
        <f t="shared" si="10"/>
        <v>11853426.486956209</v>
      </c>
      <c r="G88" s="832">
        <f t="shared" si="12"/>
        <v>51084.779637499996</v>
      </c>
      <c r="H88" s="1059">
        <f t="shared" si="13"/>
        <v>699488.92</v>
      </c>
      <c r="I88" s="1059">
        <v>454667.79800000007</v>
      </c>
      <c r="J88" s="1059">
        <v>244821.122</v>
      </c>
      <c r="K88" s="1059">
        <f t="shared" si="14"/>
        <v>23319380.28918742</v>
      </c>
      <c r="L88" s="1059">
        <v>11659690.14459371</v>
      </c>
      <c r="M88" s="1059">
        <v>11608605.364956209</v>
      </c>
      <c r="N88" s="1060">
        <v>51084.779637499996</v>
      </c>
    </row>
    <row r="89" spans="1:14" hidden="1" x14ac:dyDescent="0.25">
      <c r="A89" s="719" t="s">
        <v>218</v>
      </c>
      <c r="B89" s="831" t="s">
        <v>219</v>
      </c>
      <c r="C89" s="914" t="s">
        <v>267</v>
      </c>
      <c r="D89" s="914">
        <f t="shared" si="11"/>
        <v>104923195.83552951</v>
      </c>
      <c r="E89" s="832">
        <f t="shared" si="9"/>
        <v>53120746.319764748</v>
      </c>
      <c r="F89" s="832">
        <f t="shared" si="10"/>
        <v>50998130.568632253</v>
      </c>
      <c r="G89" s="832">
        <f t="shared" si="12"/>
        <v>804318.9471325</v>
      </c>
      <c r="H89" s="1059">
        <f t="shared" si="13"/>
        <v>4394322.68</v>
      </c>
      <c r="I89" s="1059">
        <v>2856309.7420000001</v>
      </c>
      <c r="J89" s="1059">
        <v>1538012.9379999998</v>
      </c>
      <c r="K89" s="1059">
        <f t="shared" si="14"/>
        <v>100528873.1555295</v>
      </c>
      <c r="L89" s="1059">
        <v>50264436.57776475</v>
      </c>
      <c r="M89" s="1059">
        <v>49460117.630632252</v>
      </c>
      <c r="N89" s="1060">
        <v>804318.9471325</v>
      </c>
    </row>
    <row r="90" spans="1:14" hidden="1" x14ac:dyDescent="0.25">
      <c r="A90" s="719" t="s">
        <v>220</v>
      </c>
      <c r="B90" s="831" t="s">
        <v>221</v>
      </c>
      <c r="C90" s="914" t="s">
        <v>267</v>
      </c>
      <c r="D90" s="914">
        <f t="shared" si="11"/>
        <v>83592441.930083364</v>
      </c>
      <c r="E90" s="832">
        <f t="shared" si="9"/>
        <v>42393681.384041697</v>
      </c>
      <c r="F90" s="832">
        <f t="shared" si="10"/>
        <v>40992969.09975794</v>
      </c>
      <c r="G90" s="832">
        <f t="shared" si="12"/>
        <v>205791.44628375003</v>
      </c>
      <c r="H90" s="1059">
        <f t="shared" si="13"/>
        <v>3983069.46</v>
      </c>
      <c r="I90" s="1059">
        <v>2588995.1490000002</v>
      </c>
      <c r="J90" s="1059">
        <v>1394074.311</v>
      </c>
      <c r="K90" s="1059">
        <f t="shared" si="14"/>
        <v>79609372.470083371</v>
      </c>
      <c r="L90" s="1059">
        <v>39804686.235041693</v>
      </c>
      <c r="M90" s="1059">
        <v>39598894.788757943</v>
      </c>
      <c r="N90" s="1060">
        <v>205791.44628375003</v>
      </c>
    </row>
    <row r="91" spans="1:14" hidden="1" x14ac:dyDescent="0.25">
      <c r="A91" s="719" t="s">
        <v>224</v>
      </c>
      <c r="B91" s="831" t="s">
        <v>225</v>
      </c>
      <c r="C91" s="914" t="s">
        <v>264</v>
      </c>
      <c r="D91" s="914">
        <f t="shared" si="11"/>
        <v>8570285.2653743755</v>
      </c>
      <c r="E91" s="832">
        <f t="shared" si="9"/>
        <v>4333917.7396871876</v>
      </c>
      <c r="F91" s="832">
        <f t="shared" si="10"/>
        <v>4189759.4793446879</v>
      </c>
      <c r="G91" s="832">
        <f t="shared" si="12"/>
        <v>46608.046342499991</v>
      </c>
      <c r="H91" s="1059">
        <f t="shared" si="13"/>
        <v>325167.38</v>
      </c>
      <c r="I91" s="1059">
        <v>211358.79700000002</v>
      </c>
      <c r="J91" s="1059">
        <v>113808.583</v>
      </c>
      <c r="K91" s="1059">
        <f t="shared" si="14"/>
        <v>8245117.8853743747</v>
      </c>
      <c r="L91" s="1059">
        <v>4122558.9426871878</v>
      </c>
      <c r="M91" s="1059">
        <v>4075950.8963446878</v>
      </c>
      <c r="N91" s="1060">
        <v>46608.046342499991</v>
      </c>
    </row>
    <row r="92" spans="1:14" hidden="1" x14ac:dyDescent="0.25">
      <c r="A92" s="719" t="s">
        <v>226</v>
      </c>
      <c r="B92" s="831" t="s">
        <v>227</v>
      </c>
      <c r="C92" s="914" t="s">
        <v>264</v>
      </c>
      <c r="D92" s="914">
        <f t="shared" si="11"/>
        <v>18370401.372155398</v>
      </c>
      <c r="E92" s="832">
        <f t="shared" si="9"/>
        <v>9233408.9145776983</v>
      </c>
      <c r="F92" s="832">
        <f t="shared" si="10"/>
        <v>9093362.6097664479</v>
      </c>
      <c r="G92" s="832">
        <f t="shared" si="12"/>
        <v>43629.847811250002</v>
      </c>
      <c r="H92" s="1059">
        <f t="shared" si="13"/>
        <v>321388.19</v>
      </c>
      <c r="I92" s="1059">
        <v>208902.3235</v>
      </c>
      <c r="J92" s="1059">
        <v>112485.86649999999</v>
      </c>
      <c r="K92" s="1059">
        <f t="shared" si="14"/>
        <v>18049013.182155397</v>
      </c>
      <c r="L92" s="1059">
        <v>9024506.5910776984</v>
      </c>
      <c r="M92" s="1059">
        <v>8980876.7432664484</v>
      </c>
      <c r="N92" s="1060">
        <v>43629.847811250002</v>
      </c>
    </row>
    <row r="93" spans="1:14" hidden="1" x14ac:dyDescent="0.25">
      <c r="A93" s="719" t="s">
        <v>228</v>
      </c>
      <c r="B93" s="831" t="s">
        <v>229</v>
      </c>
      <c r="C93" s="914" t="s">
        <v>268</v>
      </c>
      <c r="D93" s="914">
        <f t="shared" si="11"/>
        <v>56180435.687232807</v>
      </c>
      <c r="E93" s="832">
        <f t="shared" si="9"/>
        <v>28401533.402616404</v>
      </c>
      <c r="F93" s="832">
        <f t="shared" si="10"/>
        <v>27663914.307147652</v>
      </c>
      <c r="G93" s="832">
        <f t="shared" si="12"/>
        <v>114987.97746875</v>
      </c>
      <c r="H93" s="1059">
        <f t="shared" si="13"/>
        <v>2075437.06</v>
      </c>
      <c r="I93" s="1059">
        <v>1349034.0890000002</v>
      </c>
      <c r="J93" s="1059">
        <v>726402.97100000002</v>
      </c>
      <c r="K93" s="1059">
        <f t="shared" si="14"/>
        <v>54104998.627232805</v>
      </c>
      <c r="L93" s="1059">
        <v>27052499.313616402</v>
      </c>
      <c r="M93" s="1059">
        <v>26937511.336147651</v>
      </c>
      <c r="N93" s="1060">
        <v>114987.97746875</v>
      </c>
    </row>
    <row r="94" spans="1:14" hidden="1" x14ac:dyDescent="0.25">
      <c r="A94" s="719" t="s">
        <v>232</v>
      </c>
      <c r="B94" s="831" t="s">
        <v>233</v>
      </c>
      <c r="C94" s="914" t="s">
        <v>267</v>
      </c>
      <c r="D94" s="914">
        <f t="shared" si="11"/>
        <v>39787626.369834527</v>
      </c>
      <c r="E94" s="832">
        <f t="shared" si="9"/>
        <v>20124904.296417266</v>
      </c>
      <c r="F94" s="832">
        <f t="shared" si="10"/>
        <v>19537858.853595015</v>
      </c>
      <c r="G94" s="832">
        <f t="shared" si="12"/>
        <v>124863.21982225002</v>
      </c>
      <c r="H94" s="1059">
        <f t="shared" si="13"/>
        <v>1540607.41</v>
      </c>
      <c r="I94" s="1059">
        <v>1001394.8165</v>
      </c>
      <c r="J94" s="1059">
        <v>539212.59349999996</v>
      </c>
      <c r="K94" s="1059">
        <f t="shared" si="14"/>
        <v>38247018.959834531</v>
      </c>
      <c r="L94" s="1059">
        <v>19123509.479917265</v>
      </c>
      <c r="M94" s="1059">
        <v>18998646.260095015</v>
      </c>
      <c r="N94" s="1060">
        <v>124863.21982225002</v>
      </c>
    </row>
    <row r="95" spans="1:14" hidden="1" x14ac:dyDescent="0.25">
      <c r="A95" s="719" t="s">
        <v>234</v>
      </c>
      <c r="B95" s="831" t="s">
        <v>235</v>
      </c>
      <c r="C95" s="914" t="s">
        <v>268</v>
      </c>
      <c r="D95" s="914">
        <f t="shared" si="11"/>
        <v>56839374.137253195</v>
      </c>
      <c r="E95" s="832">
        <f t="shared" si="9"/>
        <v>28795841.567626595</v>
      </c>
      <c r="F95" s="832">
        <f t="shared" si="10"/>
        <v>27908847.976676594</v>
      </c>
      <c r="G95" s="832">
        <f t="shared" si="12"/>
        <v>134684.59294999999</v>
      </c>
      <c r="H95" s="1059">
        <f t="shared" si="13"/>
        <v>2507696.66</v>
      </c>
      <c r="I95" s="1059">
        <v>1630002.8290000001</v>
      </c>
      <c r="J95" s="1059">
        <v>877693.83100000001</v>
      </c>
      <c r="K95" s="1059">
        <f t="shared" si="14"/>
        <v>54331677.477253191</v>
      </c>
      <c r="L95" s="1059">
        <v>27165838.738626596</v>
      </c>
      <c r="M95" s="1059">
        <v>27031154.145676594</v>
      </c>
      <c r="N95" s="1060">
        <v>134684.59294999999</v>
      </c>
    </row>
    <row r="96" spans="1:14" x14ac:dyDescent="0.25">
      <c r="A96" s="719" t="s">
        <v>236</v>
      </c>
      <c r="B96" s="831" t="s">
        <v>237</v>
      </c>
      <c r="C96" s="914" t="s">
        <v>266</v>
      </c>
      <c r="D96" s="914">
        <f t="shared" si="11"/>
        <v>21019822.160009604</v>
      </c>
      <c r="E96" s="832">
        <f t="shared" si="9"/>
        <v>10621650.679004801</v>
      </c>
      <c r="F96" s="832">
        <f t="shared" si="10"/>
        <v>10341105.067754803</v>
      </c>
      <c r="G96" s="832">
        <f t="shared" si="12"/>
        <v>57066.413250000005</v>
      </c>
      <c r="H96" s="1059">
        <f t="shared" si="13"/>
        <v>744930.66</v>
      </c>
      <c r="I96" s="1059">
        <v>484204.92900000006</v>
      </c>
      <c r="J96" s="1059">
        <v>260725.731</v>
      </c>
      <c r="K96" s="1059">
        <f t="shared" si="14"/>
        <v>20274891.500009604</v>
      </c>
      <c r="L96" s="1059">
        <v>10137445.750004802</v>
      </c>
      <c r="M96" s="1059">
        <v>10080379.336754803</v>
      </c>
      <c r="N96" s="1060">
        <v>57066.413250000005</v>
      </c>
    </row>
    <row r="97" spans="1:14" hidden="1" x14ac:dyDescent="0.25">
      <c r="A97" s="719" t="s">
        <v>242</v>
      </c>
      <c r="B97" s="831" t="s">
        <v>243</v>
      </c>
      <c r="C97" s="914" t="s">
        <v>268</v>
      </c>
      <c r="D97" s="914">
        <f t="shared" si="11"/>
        <v>64814982.569658123</v>
      </c>
      <c r="E97" s="832">
        <f t="shared" si="9"/>
        <v>32689789.229829066</v>
      </c>
      <c r="F97" s="832">
        <f t="shared" si="10"/>
        <v>32068062.069054063</v>
      </c>
      <c r="G97" s="832">
        <f t="shared" si="12"/>
        <v>57131.270774999997</v>
      </c>
      <c r="H97" s="1059">
        <f t="shared" si="13"/>
        <v>1881986.2999999998</v>
      </c>
      <c r="I97" s="1059">
        <v>1223291.095</v>
      </c>
      <c r="J97" s="1059">
        <v>658695.20499999996</v>
      </c>
      <c r="K97" s="1059">
        <f t="shared" si="14"/>
        <v>62932996.269658126</v>
      </c>
      <c r="L97" s="1059">
        <v>31466498.134829067</v>
      </c>
      <c r="M97" s="1059">
        <v>31409366.864054065</v>
      </c>
      <c r="N97" s="1060">
        <v>57131.270774999997</v>
      </c>
    </row>
    <row r="98" spans="1:14" hidden="1" x14ac:dyDescent="0.25">
      <c r="A98" s="719" t="s">
        <v>244</v>
      </c>
      <c r="B98" s="831" t="s">
        <v>245</v>
      </c>
      <c r="C98" s="914" t="s">
        <v>268</v>
      </c>
      <c r="D98" s="914">
        <f t="shared" si="11"/>
        <v>35638824.587094925</v>
      </c>
      <c r="E98" s="832">
        <f t="shared" si="9"/>
        <v>18022999.345047463</v>
      </c>
      <c r="F98" s="832">
        <f t="shared" si="10"/>
        <v>17545905.765747461</v>
      </c>
      <c r="G98" s="832">
        <f t="shared" si="12"/>
        <v>69919.476299999995</v>
      </c>
      <c r="H98" s="1059">
        <f t="shared" si="13"/>
        <v>1357247.01</v>
      </c>
      <c r="I98" s="1059">
        <v>882210.55650000006</v>
      </c>
      <c r="J98" s="1059">
        <v>475036.45349999995</v>
      </c>
      <c r="K98" s="1059">
        <f t="shared" si="14"/>
        <v>34281577.577094927</v>
      </c>
      <c r="L98" s="1059">
        <v>17140788.788547464</v>
      </c>
      <c r="M98" s="1059">
        <v>17070869.312247463</v>
      </c>
      <c r="N98" s="1060">
        <v>69919.476299999995</v>
      </c>
    </row>
    <row r="99" spans="1:14" hidden="1" x14ac:dyDescent="0.25">
      <c r="A99" s="719" t="s">
        <v>246</v>
      </c>
      <c r="B99" s="831" t="s">
        <v>310</v>
      </c>
      <c r="C99" s="914" t="s">
        <v>264</v>
      </c>
      <c r="D99" s="914">
        <f t="shared" si="11"/>
        <v>31038637.684821792</v>
      </c>
      <c r="E99" s="832">
        <f t="shared" si="9"/>
        <v>15703990.586410895</v>
      </c>
      <c r="F99" s="832">
        <f t="shared" si="10"/>
        <v>15256963.609345896</v>
      </c>
      <c r="G99" s="832">
        <f t="shared" si="12"/>
        <v>77683.489065000002</v>
      </c>
      <c r="H99" s="1059">
        <f t="shared" si="13"/>
        <v>1231144.96</v>
      </c>
      <c r="I99" s="1059">
        <v>800244.22400000005</v>
      </c>
      <c r="J99" s="1059">
        <v>430900.73599999992</v>
      </c>
      <c r="K99" s="1059">
        <f t="shared" si="14"/>
        <v>29807492.724821791</v>
      </c>
      <c r="L99" s="1059">
        <v>14903746.362410896</v>
      </c>
      <c r="M99" s="1059">
        <v>14826062.873345897</v>
      </c>
      <c r="N99" s="1060">
        <v>77683.489065000002</v>
      </c>
    </row>
    <row r="100" spans="1:14" hidden="1" x14ac:dyDescent="0.25">
      <c r="A100" s="719" t="s">
        <v>14</v>
      </c>
      <c r="B100" s="831" t="s">
        <v>15</v>
      </c>
      <c r="C100" s="914" t="s">
        <v>267</v>
      </c>
      <c r="D100" s="914">
        <f t="shared" si="11"/>
        <v>95141768.011290997</v>
      </c>
      <c r="E100" s="832">
        <f t="shared" si="9"/>
        <v>48492921.014145494</v>
      </c>
      <c r="F100" s="832">
        <f t="shared" si="10"/>
        <v>46464430.058635242</v>
      </c>
      <c r="G100" s="832">
        <f t="shared" si="12"/>
        <v>184416.93851025001</v>
      </c>
      <c r="H100" s="1059">
        <f t="shared" si="13"/>
        <v>6146913.3899999997</v>
      </c>
      <c r="I100" s="1059">
        <v>3995493.7034999998</v>
      </c>
      <c r="J100" s="1059">
        <v>2151419.6864999998</v>
      </c>
      <c r="K100" s="1059">
        <f t="shared" si="14"/>
        <v>88994854.621290997</v>
      </c>
      <c r="L100" s="1059">
        <v>44497427.310645491</v>
      </c>
      <c r="M100" s="1059">
        <v>44313010.372135244</v>
      </c>
      <c r="N100" s="1060">
        <v>184416.93851025001</v>
      </c>
    </row>
    <row r="101" spans="1:14" hidden="1" x14ac:dyDescent="0.25">
      <c r="A101" s="719" t="s">
        <v>34</v>
      </c>
      <c r="B101" s="831" t="s">
        <v>35</v>
      </c>
      <c r="C101" s="914" t="s">
        <v>268</v>
      </c>
      <c r="D101" s="914">
        <f t="shared" si="11"/>
        <v>28055977.452381607</v>
      </c>
      <c r="E101" s="832">
        <f t="shared" ref="E101:E124" si="15">+I101+L101</f>
        <v>14188669.353190804</v>
      </c>
      <c r="F101" s="832">
        <f t="shared" ref="F101:F124" si="16">+J101+M101</f>
        <v>13757144.746499553</v>
      </c>
      <c r="G101" s="832">
        <f t="shared" si="12"/>
        <v>110163.35269124998</v>
      </c>
      <c r="H101" s="1059">
        <f t="shared" si="13"/>
        <v>1071204.18</v>
      </c>
      <c r="I101" s="1059">
        <v>696282.71699999995</v>
      </c>
      <c r="J101" s="1059">
        <v>374921.46299999993</v>
      </c>
      <c r="K101" s="1059">
        <f t="shared" si="14"/>
        <v>26984773.272381607</v>
      </c>
      <c r="L101" s="1059">
        <v>13492386.636190804</v>
      </c>
      <c r="M101" s="1059">
        <v>13382223.283499554</v>
      </c>
      <c r="N101" s="1060">
        <v>110163.35269124998</v>
      </c>
    </row>
    <row r="102" spans="1:14" hidden="1" x14ac:dyDescent="0.25">
      <c r="A102" s="719" t="s">
        <v>52</v>
      </c>
      <c r="B102" s="831" t="s">
        <v>53</v>
      </c>
      <c r="C102" s="914" t="s">
        <v>265</v>
      </c>
      <c r="D102" s="914">
        <f t="shared" si="11"/>
        <v>51242743.288681805</v>
      </c>
      <c r="E102" s="832">
        <f t="shared" si="15"/>
        <v>25878497.3138409</v>
      </c>
      <c r="F102" s="832">
        <f t="shared" si="16"/>
        <v>25133621.624029901</v>
      </c>
      <c r="G102" s="832">
        <f t="shared" si="12"/>
        <v>230624.35081100001</v>
      </c>
      <c r="H102" s="1059">
        <f t="shared" si="13"/>
        <v>1714171.13</v>
      </c>
      <c r="I102" s="1059">
        <v>1114211.2345</v>
      </c>
      <c r="J102" s="1059">
        <v>599959.89549999987</v>
      </c>
      <c r="K102" s="1059">
        <f t="shared" si="14"/>
        <v>49528572.158681802</v>
      </c>
      <c r="L102" s="1059">
        <v>24764286.079340901</v>
      </c>
      <c r="M102" s="1059">
        <v>24533661.7285299</v>
      </c>
      <c r="N102" s="1060">
        <v>230624.35081100001</v>
      </c>
    </row>
    <row r="103" spans="1:14" hidden="1" x14ac:dyDescent="0.25">
      <c r="A103" s="719" t="s">
        <v>54</v>
      </c>
      <c r="B103" s="831" t="s">
        <v>55</v>
      </c>
      <c r="C103" s="914" t="s">
        <v>264</v>
      </c>
      <c r="D103" s="914">
        <f t="shared" si="11"/>
        <v>185305450.49321407</v>
      </c>
      <c r="E103" s="832">
        <f t="shared" si="15"/>
        <v>93699778.985607058</v>
      </c>
      <c r="F103" s="832">
        <f t="shared" si="16"/>
        <v>91454332.481828928</v>
      </c>
      <c r="G103" s="832">
        <f t="shared" si="12"/>
        <v>151339.02577812498</v>
      </c>
      <c r="H103" s="1059">
        <f t="shared" si="13"/>
        <v>6980358.2599999998</v>
      </c>
      <c r="I103" s="1059">
        <v>4537232.8689999999</v>
      </c>
      <c r="J103" s="1059">
        <v>2443125.3909999998</v>
      </c>
      <c r="K103" s="1059">
        <f t="shared" si="14"/>
        <v>178325092.23321408</v>
      </c>
      <c r="L103" s="1059">
        <v>89162546.116607055</v>
      </c>
      <c r="M103" s="1059">
        <v>89011207.090828925</v>
      </c>
      <c r="N103" s="1060">
        <v>151339.02577812498</v>
      </c>
    </row>
    <row r="104" spans="1:14" hidden="1" x14ac:dyDescent="0.25">
      <c r="A104" s="719" t="s">
        <v>66</v>
      </c>
      <c r="B104" s="831" t="s">
        <v>67</v>
      </c>
      <c r="C104" s="914" t="s">
        <v>265</v>
      </c>
      <c r="D104" s="914">
        <f t="shared" si="11"/>
        <v>110265577.79701948</v>
      </c>
      <c r="E104" s="832">
        <f t="shared" si="15"/>
        <v>55382741.400009736</v>
      </c>
      <c r="F104" s="832">
        <f t="shared" si="16"/>
        <v>54818898.676197864</v>
      </c>
      <c r="G104" s="832">
        <f t="shared" si="12"/>
        <v>63937.720811874999</v>
      </c>
      <c r="H104" s="1059">
        <f t="shared" si="13"/>
        <v>1666350.0100000002</v>
      </c>
      <c r="I104" s="1059">
        <v>1083127.5065000001</v>
      </c>
      <c r="J104" s="1059">
        <v>583222.50349999999</v>
      </c>
      <c r="K104" s="1059">
        <f t="shared" si="14"/>
        <v>108599227.78701948</v>
      </c>
      <c r="L104" s="1059">
        <v>54299613.893509738</v>
      </c>
      <c r="M104" s="1059">
        <v>54235676.172697864</v>
      </c>
      <c r="N104" s="1060">
        <v>63937.720811874999</v>
      </c>
    </row>
    <row r="105" spans="1:14" hidden="1" x14ac:dyDescent="0.25">
      <c r="A105" s="719" t="s">
        <v>82</v>
      </c>
      <c r="B105" s="831" t="s">
        <v>311</v>
      </c>
      <c r="C105" s="914" t="s">
        <v>264</v>
      </c>
      <c r="D105" s="914">
        <f t="shared" si="11"/>
        <v>22630409.802314058</v>
      </c>
      <c r="E105" s="832">
        <f t="shared" si="15"/>
        <v>11384246.643157028</v>
      </c>
      <c r="F105" s="832">
        <f t="shared" si="16"/>
        <v>11213207.141044529</v>
      </c>
      <c r="G105" s="832">
        <f t="shared" si="12"/>
        <v>32956.018112500002</v>
      </c>
      <c r="H105" s="1059">
        <f t="shared" si="13"/>
        <v>460278.28</v>
      </c>
      <c r="I105" s="1059">
        <v>299180.88200000004</v>
      </c>
      <c r="J105" s="1059">
        <v>161097.39799999999</v>
      </c>
      <c r="K105" s="1059">
        <f t="shared" si="14"/>
        <v>22170131.522314057</v>
      </c>
      <c r="L105" s="1059">
        <v>11085065.761157028</v>
      </c>
      <c r="M105" s="1059">
        <v>11052109.743044529</v>
      </c>
      <c r="N105" s="1060">
        <v>32956.018112500002</v>
      </c>
    </row>
    <row r="106" spans="1:14" hidden="1" x14ac:dyDescent="0.25">
      <c r="A106" s="719" t="s">
        <v>88</v>
      </c>
      <c r="B106" s="831" t="s">
        <v>89</v>
      </c>
      <c r="C106" s="914" t="s">
        <v>267</v>
      </c>
      <c r="D106" s="914">
        <f t="shared" si="11"/>
        <v>34520737.237161756</v>
      </c>
      <c r="E106" s="832">
        <f t="shared" si="15"/>
        <v>17424436.881580878</v>
      </c>
      <c r="F106" s="832">
        <f t="shared" si="16"/>
        <v>16951950.448187001</v>
      </c>
      <c r="G106" s="832">
        <f t="shared" si="12"/>
        <v>144349.90739387501</v>
      </c>
      <c r="H106" s="1059">
        <f t="shared" si="13"/>
        <v>1093788.42</v>
      </c>
      <c r="I106" s="1059">
        <v>710962.473</v>
      </c>
      <c r="J106" s="1059">
        <v>382825.94699999993</v>
      </c>
      <c r="K106" s="1059">
        <f t="shared" si="14"/>
        <v>33426948.817161757</v>
      </c>
      <c r="L106" s="1059">
        <v>16713474.408580877</v>
      </c>
      <c r="M106" s="1059">
        <v>16569124.501187002</v>
      </c>
      <c r="N106" s="1060">
        <v>144349.90739387501</v>
      </c>
    </row>
    <row r="107" spans="1:14" hidden="1" x14ac:dyDescent="0.25">
      <c r="A107" s="719" t="s">
        <v>90</v>
      </c>
      <c r="B107" s="831" t="s">
        <v>91</v>
      </c>
      <c r="C107" s="914" t="s">
        <v>268</v>
      </c>
      <c r="D107" s="914">
        <f t="shared" si="11"/>
        <v>14994204.077440135</v>
      </c>
      <c r="E107" s="832">
        <f t="shared" si="15"/>
        <v>7565894.1417200686</v>
      </c>
      <c r="F107" s="832">
        <f t="shared" si="16"/>
        <v>7412188.4278175682</v>
      </c>
      <c r="G107" s="832">
        <f t="shared" si="12"/>
        <v>16121.507902500001</v>
      </c>
      <c r="H107" s="1059">
        <f t="shared" si="13"/>
        <v>458614.02</v>
      </c>
      <c r="I107" s="1059">
        <v>298099.11300000001</v>
      </c>
      <c r="J107" s="1059">
        <v>160514.90700000001</v>
      </c>
      <c r="K107" s="1059">
        <f t="shared" si="14"/>
        <v>14535590.057440136</v>
      </c>
      <c r="L107" s="1059">
        <v>7267795.0287200687</v>
      </c>
      <c r="M107" s="1059">
        <v>7251673.5208175685</v>
      </c>
      <c r="N107" s="1060">
        <v>16121.507902500001</v>
      </c>
    </row>
    <row r="108" spans="1:14" hidden="1" x14ac:dyDescent="0.25">
      <c r="A108" s="719" t="s">
        <v>106</v>
      </c>
      <c r="B108" s="831" t="s">
        <v>107</v>
      </c>
      <c r="C108" s="914" t="s">
        <v>264</v>
      </c>
      <c r="D108" s="914">
        <f t="shared" si="11"/>
        <v>169616801.86180371</v>
      </c>
      <c r="E108" s="832">
        <f t="shared" si="15"/>
        <v>85689178.463901863</v>
      </c>
      <c r="F108" s="832">
        <f t="shared" si="16"/>
        <v>83926884.049759358</v>
      </c>
      <c r="G108" s="832">
        <f t="shared" si="12"/>
        <v>739.34814249999988</v>
      </c>
      <c r="H108" s="1059">
        <f t="shared" si="13"/>
        <v>5871850.2199999997</v>
      </c>
      <c r="I108" s="1059">
        <v>3816702.6430000002</v>
      </c>
      <c r="J108" s="1059">
        <v>2055147.5769999998</v>
      </c>
      <c r="K108" s="1059">
        <f t="shared" si="14"/>
        <v>163744951.64180371</v>
      </c>
      <c r="L108" s="1059">
        <v>81872475.820901856</v>
      </c>
      <c r="M108" s="1059">
        <v>81871736.472759351</v>
      </c>
      <c r="N108" s="1060">
        <v>739.34814249999988</v>
      </c>
    </row>
    <row r="109" spans="1:14" x14ac:dyDescent="0.25">
      <c r="A109" s="719" t="s">
        <v>116</v>
      </c>
      <c r="B109" s="831" t="s">
        <v>117</v>
      </c>
      <c r="C109" s="914" t="s">
        <v>266</v>
      </c>
      <c r="D109" s="914">
        <f t="shared" si="11"/>
        <v>44733051.85531272</v>
      </c>
      <c r="E109" s="832">
        <f t="shared" si="15"/>
        <v>22585888.312656362</v>
      </c>
      <c r="F109" s="832">
        <f t="shared" si="16"/>
        <v>21984296.627261236</v>
      </c>
      <c r="G109" s="832">
        <f t="shared" si="12"/>
        <v>162866.91539512502</v>
      </c>
      <c r="H109" s="1059">
        <f t="shared" si="13"/>
        <v>1462415.9</v>
      </c>
      <c r="I109" s="1059">
        <v>950570.33499999996</v>
      </c>
      <c r="J109" s="1059">
        <v>511845.56499999994</v>
      </c>
      <c r="K109" s="1059">
        <f t="shared" si="14"/>
        <v>43270635.955312721</v>
      </c>
      <c r="L109" s="1059">
        <v>21635317.977656361</v>
      </c>
      <c r="M109" s="1059">
        <v>21472451.062261235</v>
      </c>
      <c r="N109" s="1060">
        <v>162866.91539512502</v>
      </c>
    </row>
    <row r="110" spans="1:14" hidden="1" x14ac:dyDescent="0.25">
      <c r="A110" s="719" t="s">
        <v>138</v>
      </c>
      <c r="B110" s="831" t="s">
        <v>139</v>
      </c>
      <c r="C110" s="914" t="s">
        <v>265</v>
      </c>
      <c r="D110" s="914">
        <f t="shared" si="11"/>
        <v>113971663.58844483</v>
      </c>
      <c r="E110" s="832">
        <f t="shared" si="15"/>
        <v>57375893.432222411</v>
      </c>
      <c r="F110" s="832">
        <f t="shared" si="16"/>
        <v>56261180.118084408</v>
      </c>
      <c r="G110" s="832">
        <f t="shared" si="12"/>
        <v>334590.038138</v>
      </c>
      <c r="H110" s="1059">
        <f t="shared" si="13"/>
        <v>2600410.92</v>
      </c>
      <c r="I110" s="1059">
        <v>1690267.098</v>
      </c>
      <c r="J110" s="1059">
        <v>910143.82199999993</v>
      </c>
      <c r="K110" s="1059">
        <f t="shared" si="14"/>
        <v>111371252.66844483</v>
      </c>
      <c r="L110" s="1059">
        <v>55685626.334222414</v>
      </c>
      <c r="M110" s="1059">
        <v>55351036.296084411</v>
      </c>
      <c r="N110" s="1060">
        <v>334590.038138</v>
      </c>
    </row>
    <row r="111" spans="1:14" hidden="1" x14ac:dyDescent="0.25">
      <c r="A111" s="719" t="s">
        <v>142</v>
      </c>
      <c r="B111" s="831" t="s">
        <v>143</v>
      </c>
      <c r="C111" s="914" t="s">
        <v>267</v>
      </c>
      <c r="D111" s="914">
        <f t="shared" si="11"/>
        <v>33438975.032564055</v>
      </c>
      <c r="E111" s="832">
        <f t="shared" si="15"/>
        <v>17190575.708782028</v>
      </c>
      <c r="F111" s="832">
        <f t="shared" si="16"/>
        <v>16077554.064822029</v>
      </c>
      <c r="G111" s="832">
        <f t="shared" si="12"/>
        <v>170845.25896000001</v>
      </c>
      <c r="H111" s="1059">
        <f t="shared" si="13"/>
        <v>3140587.95</v>
      </c>
      <c r="I111" s="1059">
        <v>2041382.1675000002</v>
      </c>
      <c r="J111" s="1059">
        <v>1099205.7825</v>
      </c>
      <c r="K111" s="1059">
        <f t="shared" si="14"/>
        <v>30298387.082564056</v>
      </c>
      <c r="L111" s="1059">
        <v>15149193.541282028</v>
      </c>
      <c r="M111" s="1059">
        <v>14978348.282322029</v>
      </c>
      <c r="N111" s="1060">
        <v>170845.25896000001</v>
      </c>
    </row>
    <row r="112" spans="1:14" hidden="1" x14ac:dyDescent="0.25">
      <c r="A112" s="719" t="s">
        <v>144</v>
      </c>
      <c r="B112" s="831" t="s">
        <v>145</v>
      </c>
      <c r="C112" s="914" t="s">
        <v>267</v>
      </c>
      <c r="D112" s="914">
        <f t="shared" si="11"/>
        <v>10789569.443791881</v>
      </c>
      <c r="E112" s="832">
        <f t="shared" si="15"/>
        <v>5587026.4618959408</v>
      </c>
      <c r="F112" s="832">
        <f t="shared" si="16"/>
        <v>5191108.4819671903</v>
      </c>
      <c r="G112" s="832">
        <f t="shared" si="12"/>
        <v>11434.49992875</v>
      </c>
      <c r="H112" s="1059">
        <f t="shared" si="13"/>
        <v>1281611.6000000001</v>
      </c>
      <c r="I112" s="1059">
        <v>833047.54</v>
      </c>
      <c r="J112" s="1059">
        <v>448564.06</v>
      </c>
      <c r="K112" s="1059">
        <f t="shared" si="14"/>
        <v>9507957.8437918816</v>
      </c>
      <c r="L112" s="1059">
        <v>4753978.9218959408</v>
      </c>
      <c r="M112" s="1059">
        <v>4742544.4219671907</v>
      </c>
      <c r="N112" s="1060">
        <v>11434.49992875</v>
      </c>
    </row>
    <row r="113" spans="1:14" hidden="1" x14ac:dyDescent="0.25">
      <c r="A113" s="719" t="s">
        <v>158</v>
      </c>
      <c r="B113" s="831" t="s">
        <v>159</v>
      </c>
      <c r="C113" s="914" t="s">
        <v>264</v>
      </c>
      <c r="D113" s="914">
        <f t="shared" si="11"/>
        <v>219066326.27498496</v>
      </c>
      <c r="E113" s="832">
        <f t="shared" si="15"/>
        <v>110633600.25349249</v>
      </c>
      <c r="F113" s="832">
        <f t="shared" si="16"/>
        <v>108322457.19780099</v>
      </c>
      <c r="G113" s="832">
        <f t="shared" si="12"/>
        <v>110268.82369149999</v>
      </c>
      <c r="H113" s="1059">
        <f t="shared" si="13"/>
        <v>7336247.4399999995</v>
      </c>
      <c r="I113" s="1059">
        <v>4768560.8360000001</v>
      </c>
      <c r="J113" s="1059">
        <v>2567686.6039999998</v>
      </c>
      <c r="K113" s="1059">
        <f t="shared" si="14"/>
        <v>211730078.83498496</v>
      </c>
      <c r="L113" s="1059">
        <v>105865039.41749249</v>
      </c>
      <c r="M113" s="1059">
        <v>105754770.59380099</v>
      </c>
      <c r="N113" s="1060">
        <v>110268.82369149999</v>
      </c>
    </row>
    <row r="114" spans="1:14" hidden="1" x14ac:dyDescent="0.25">
      <c r="A114" s="719" t="s">
        <v>160</v>
      </c>
      <c r="B114" s="831" t="s">
        <v>161</v>
      </c>
      <c r="C114" s="914" t="s">
        <v>264</v>
      </c>
      <c r="D114" s="914">
        <f t="shared" si="11"/>
        <v>330347715.54731697</v>
      </c>
      <c r="E114" s="832">
        <f t="shared" si="15"/>
        <v>166294623.34265849</v>
      </c>
      <c r="F114" s="832">
        <f t="shared" si="16"/>
        <v>163607912.73860037</v>
      </c>
      <c r="G114" s="832">
        <f t="shared" si="12"/>
        <v>445179.46605812502</v>
      </c>
      <c r="H114" s="1059">
        <f t="shared" si="13"/>
        <v>7471770.4600000009</v>
      </c>
      <c r="I114" s="1059">
        <v>4856650.7990000006</v>
      </c>
      <c r="J114" s="1059">
        <v>2615119.6609999998</v>
      </c>
      <c r="K114" s="1059">
        <f t="shared" si="14"/>
        <v>322875945.08731699</v>
      </c>
      <c r="L114" s="1059">
        <v>161437972.54365849</v>
      </c>
      <c r="M114" s="1059">
        <v>160992793.07760036</v>
      </c>
      <c r="N114" s="1060">
        <v>445179.46605812502</v>
      </c>
    </row>
    <row r="115" spans="1:14" hidden="1" x14ac:dyDescent="0.25">
      <c r="A115" s="719" t="s">
        <v>166</v>
      </c>
      <c r="B115" s="831" t="s">
        <v>167</v>
      </c>
      <c r="C115" s="914" t="s">
        <v>268</v>
      </c>
      <c r="D115" s="914">
        <f t="shared" si="11"/>
        <v>6569575.5999676138</v>
      </c>
      <c r="E115" s="832">
        <f t="shared" si="15"/>
        <v>3316319.5969838072</v>
      </c>
      <c r="F115" s="832">
        <f t="shared" si="16"/>
        <v>3249067.244223807</v>
      </c>
      <c r="G115" s="832">
        <f t="shared" si="12"/>
        <v>4188.7587600000006</v>
      </c>
      <c r="H115" s="1059">
        <f t="shared" si="13"/>
        <v>210211.98</v>
      </c>
      <c r="I115" s="1059">
        <v>136637.78700000001</v>
      </c>
      <c r="J115" s="1059">
        <v>73574.192999999999</v>
      </c>
      <c r="K115" s="1059">
        <f t="shared" si="14"/>
        <v>6359363.6199676134</v>
      </c>
      <c r="L115" s="1059">
        <v>3179681.8099838072</v>
      </c>
      <c r="M115" s="1059">
        <v>3175493.051223807</v>
      </c>
      <c r="N115" s="1060">
        <v>4188.7587600000006</v>
      </c>
    </row>
    <row r="116" spans="1:14" x14ac:dyDescent="0.25">
      <c r="A116" s="719" t="s">
        <v>176</v>
      </c>
      <c r="B116" s="831" t="s">
        <v>177</v>
      </c>
      <c r="C116" s="914" t="s">
        <v>266</v>
      </c>
      <c r="D116" s="914">
        <f t="shared" si="11"/>
        <v>92162093.016199812</v>
      </c>
      <c r="E116" s="832">
        <f t="shared" si="15"/>
        <v>46290775.623099908</v>
      </c>
      <c r="F116" s="832">
        <f t="shared" si="16"/>
        <v>45521470.888744913</v>
      </c>
      <c r="G116" s="832">
        <f t="shared" si="12"/>
        <v>349846.50435499998</v>
      </c>
      <c r="H116" s="1059">
        <f t="shared" si="13"/>
        <v>1398194.1</v>
      </c>
      <c r="I116" s="1059">
        <v>908826.16500000004</v>
      </c>
      <c r="J116" s="1059">
        <v>489367.935</v>
      </c>
      <c r="K116" s="1059">
        <f t="shared" si="14"/>
        <v>90763898.916199818</v>
      </c>
      <c r="L116" s="1059">
        <v>45381949.458099909</v>
      </c>
      <c r="M116" s="1059">
        <v>45032102.953744911</v>
      </c>
      <c r="N116" s="1060">
        <v>349846.50435499998</v>
      </c>
    </row>
    <row r="117" spans="1:14" hidden="1" x14ac:dyDescent="0.25">
      <c r="A117" s="719" t="s">
        <v>180</v>
      </c>
      <c r="B117" s="831" t="s">
        <v>181</v>
      </c>
      <c r="C117" s="914" t="s">
        <v>264</v>
      </c>
      <c r="D117" s="914">
        <f t="shared" si="11"/>
        <v>173938598.44344816</v>
      </c>
      <c r="E117" s="832">
        <f t="shared" si="15"/>
        <v>87608796.927724078</v>
      </c>
      <c r="F117" s="832">
        <f t="shared" si="16"/>
        <v>86224817.441634074</v>
      </c>
      <c r="G117" s="832">
        <f t="shared" si="12"/>
        <v>104984.07409000001</v>
      </c>
      <c r="H117" s="1059">
        <f t="shared" si="13"/>
        <v>4263318.04</v>
      </c>
      <c r="I117" s="1059">
        <v>2771156.7260000003</v>
      </c>
      <c r="J117" s="1059">
        <v>1492161.314</v>
      </c>
      <c r="K117" s="1059">
        <f t="shared" si="14"/>
        <v>169675280.40344816</v>
      </c>
      <c r="L117" s="1059">
        <v>84837640.201724082</v>
      </c>
      <c r="M117" s="1059">
        <v>84732656.127634078</v>
      </c>
      <c r="N117" s="1060">
        <v>104984.07409000001</v>
      </c>
    </row>
    <row r="118" spans="1:14" hidden="1" x14ac:dyDescent="0.25">
      <c r="A118" s="719" t="s">
        <v>192</v>
      </c>
      <c r="B118" s="831" t="s">
        <v>193</v>
      </c>
      <c r="C118" s="914" t="s">
        <v>268</v>
      </c>
      <c r="D118" s="914">
        <f t="shared" si="11"/>
        <v>13035471.597207984</v>
      </c>
      <c r="E118" s="832">
        <f t="shared" si="15"/>
        <v>6574045.7146039922</v>
      </c>
      <c r="F118" s="832">
        <f t="shared" si="16"/>
        <v>6446272.2758727428</v>
      </c>
      <c r="G118" s="832">
        <f t="shared" si="12"/>
        <v>15153.606731250002</v>
      </c>
      <c r="H118" s="1059">
        <f t="shared" si="13"/>
        <v>375399.44</v>
      </c>
      <c r="I118" s="1059">
        <v>244009.636</v>
      </c>
      <c r="J118" s="1059">
        <v>131389.804</v>
      </c>
      <c r="K118" s="1059">
        <f t="shared" si="14"/>
        <v>12660072.157207984</v>
      </c>
      <c r="L118" s="1059">
        <v>6330036.0786039922</v>
      </c>
      <c r="M118" s="1059">
        <v>6314882.4718727423</v>
      </c>
      <c r="N118" s="1060">
        <v>15153.606731250002</v>
      </c>
    </row>
    <row r="119" spans="1:14" x14ac:dyDescent="0.25">
      <c r="A119" s="719" t="s">
        <v>196</v>
      </c>
      <c r="B119" s="831" t="s">
        <v>312</v>
      </c>
      <c r="C119" s="914" t="s">
        <v>266</v>
      </c>
      <c r="D119" s="914">
        <f t="shared" si="11"/>
        <v>440514050.07451767</v>
      </c>
      <c r="E119" s="832">
        <f t="shared" si="15"/>
        <v>221337639.14475879</v>
      </c>
      <c r="F119" s="832">
        <f t="shared" si="16"/>
        <v>217998938.15486005</v>
      </c>
      <c r="G119" s="832">
        <f t="shared" si="12"/>
        <v>1177472.7748987498</v>
      </c>
      <c r="H119" s="1059">
        <f t="shared" si="13"/>
        <v>7204094.0500000007</v>
      </c>
      <c r="I119" s="1059">
        <v>4682661.1325000003</v>
      </c>
      <c r="J119" s="1059">
        <v>2521432.9175</v>
      </c>
      <c r="K119" s="1059">
        <f t="shared" si="14"/>
        <v>433309956.02451766</v>
      </c>
      <c r="L119" s="1059">
        <v>216654978.0122588</v>
      </c>
      <c r="M119" s="1059">
        <v>215477505.23736006</v>
      </c>
      <c r="N119" s="1060">
        <v>1177472.7748987498</v>
      </c>
    </row>
    <row r="120" spans="1:14" hidden="1" x14ac:dyDescent="0.25">
      <c r="A120" s="719" t="s">
        <v>200</v>
      </c>
      <c r="B120" s="831" t="s">
        <v>313</v>
      </c>
      <c r="C120" s="914" t="s">
        <v>265</v>
      </c>
      <c r="D120" s="914">
        <f t="shared" si="11"/>
        <v>183328239.39633122</v>
      </c>
      <c r="E120" s="832">
        <f t="shared" si="15"/>
        <v>92394000.265665606</v>
      </c>
      <c r="F120" s="832">
        <f t="shared" si="16"/>
        <v>90473268.498009607</v>
      </c>
      <c r="G120" s="832">
        <f t="shared" si="12"/>
        <v>460970.63265600003</v>
      </c>
      <c r="H120" s="1059">
        <f t="shared" si="13"/>
        <v>4865870.45</v>
      </c>
      <c r="I120" s="1059">
        <v>3162815.7925000004</v>
      </c>
      <c r="J120" s="1059">
        <v>1703054.6575</v>
      </c>
      <c r="K120" s="1059">
        <f t="shared" si="14"/>
        <v>178462368.94633123</v>
      </c>
      <c r="L120" s="1059">
        <v>89231184.473165601</v>
      </c>
      <c r="M120" s="1059">
        <v>88770213.840509608</v>
      </c>
      <c r="N120" s="1060">
        <v>460970.63265600003</v>
      </c>
    </row>
    <row r="121" spans="1:14" hidden="1" x14ac:dyDescent="0.25">
      <c r="A121" s="719" t="s">
        <v>222</v>
      </c>
      <c r="B121" s="831" t="s">
        <v>223</v>
      </c>
      <c r="C121" s="914" t="s">
        <v>264</v>
      </c>
      <c r="D121" s="914">
        <f t="shared" si="11"/>
        <v>115646309.69949217</v>
      </c>
      <c r="E121" s="832">
        <f t="shared" si="15"/>
        <v>58164736.384246081</v>
      </c>
      <c r="F121" s="832">
        <f t="shared" si="16"/>
        <v>57369300.930766083</v>
      </c>
      <c r="G121" s="832">
        <f t="shared" si="12"/>
        <v>112272.38448000002</v>
      </c>
      <c r="H121" s="1059">
        <f t="shared" si="13"/>
        <v>2277210.23</v>
      </c>
      <c r="I121" s="1059">
        <v>1480186.6495000001</v>
      </c>
      <c r="J121" s="1059">
        <v>797023.58049999992</v>
      </c>
      <c r="K121" s="1059">
        <f t="shared" si="14"/>
        <v>113369099.46949217</v>
      </c>
      <c r="L121" s="1059">
        <v>56684549.734746084</v>
      </c>
      <c r="M121" s="1059">
        <v>56572277.350266084</v>
      </c>
      <c r="N121" s="1060">
        <v>112272.38448000002</v>
      </c>
    </row>
    <row r="122" spans="1:14" hidden="1" x14ac:dyDescent="0.25">
      <c r="A122" s="719" t="s">
        <v>230</v>
      </c>
      <c r="B122" s="831" t="s">
        <v>231</v>
      </c>
      <c r="C122" s="914" t="s">
        <v>264</v>
      </c>
      <c r="D122" s="914">
        <f t="shared" si="11"/>
        <v>311054086.68914366</v>
      </c>
      <c r="E122" s="832">
        <f t="shared" si="15"/>
        <v>157575170.86205682</v>
      </c>
      <c r="F122" s="832">
        <f t="shared" si="16"/>
        <v>152739542.33969393</v>
      </c>
      <c r="G122" s="832">
        <f t="shared" si="12"/>
        <v>739373.4873928749</v>
      </c>
      <c r="H122" s="1059">
        <f t="shared" si="13"/>
        <v>13654183.449900001</v>
      </c>
      <c r="I122" s="1059">
        <v>8875219.2424350008</v>
      </c>
      <c r="J122" s="1059">
        <v>4778964.2074649995</v>
      </c>
      <c r="K122" s="1059">
        <f t="shared" si="14"/>
        <v>297399903.23924363</v>
      </c>
      <c r="L122" s="1059">
        <v>148699951.61962181</v>
      </c>
      <c r="M122" s="1059">
        <v>147960578.13222894</v>
      </c>
      <c r="N122" s="1060">
        <v>739373.4873928749</v>
      </c>
    </row>
    <row r="123" spans="1:14" hidden="1" x14ac:dyDescent="0.25">
      <c r="A123" s="719" t="s">
        <v>238</v>
      </c>
      <c r="B123" s="831" t="s">
        <v>239</v>
      </c>
      <c r="C123" s="914" t="s">
        <v>264</v>
      </c>
      <c r="D123" s="914">
        <f t="shared" si="11"/>
        <v>8761224.4628355708</v>
      </c>
      <c r="E123" s="832">
        <f t="shared" si="15"/>
        <v>4418175.8179177847</v>
      </c>
      <c r="F123" s="832">
        <f t="shared" si="16"/>
        <v>4321216.6399865346</v>
      </c>
      <c r="G123" s="832">
        <f t="shared" si="12"/>
        <v>21832.004931249998</v>
      </c>
      <c r="H123" s="1059">
        <f t="shared" si="13"/>
        <v>250423.91000000003</v>
      </c>
      <c r="I123" s="1059">
        <v>162775.54150000002</v>
      </c>
      <c r="J123" s="1059">
        <v>87648.368499999997</v>
      </c>
      <c r="K123" s="1059">
        <f t="shared" si="14"/>
        <v>8510800.5528355706</v>
      </c>
      <c r="L123" s="1059">
        <v>4255400.2764177844</v>
      </c>
      <c r="M123" s="1059">
        <v>4233568.2714865347</v>
      </c>
      <c r="N123" s="1060">
        <v>21832.004931249998</v>
      </c>
    </row>
    <row r="124" spans="1:14" hidden="1" x14ac:dyDescent="0.25">
      <c r="A124" s="719" t="s">
        <v>240</v>
      </c>
      <c r="B124" s="831" t="s">
        <v>241</v>
      </c>
      <c r="C124" s="914" t="s">
        <v>267</v>
      </c>
      <c r="D124" s="914">
        <f t="shared" si="11"/>
        <v>36885065.122333951</v>
      </c>
      <c r="E124" s="832">
        <f t="shared" si="15"/>
        <v>18662537.082666971</v>
      </c>
      <c r="F124" s="832">
        <f t="shared" si="16"/>
        <v>18108887.64827247</v>
      </c>
      <c r="G124" s="832">
        <f t="shared" si="12"/>
        <v>113640.39139449998</v>
      </c>
      <c r="H124" s="1059">
        <f t="shared" si="13"/>
        <v>1466696.81</v>
      </c>
      <c r="I124" s="1059">
        <v>953352.92650000006</v>
      </c>
      <c r="J124" s="1059">
        <v>513343.8835</v>
      </c>
      <c r="K124" s="1059">
        <f t="shared" si="14"/>
        <v>35418368.312333949</v>
      </c>
      <c r="L124" s="1059">
        <v>17709184.156166971</v>
      </c>
      <c r="M124" s="1059">
        <v>17595543.764772471</v>
      </c>
      <c r="N124" s="1060">
        <v>113640.39139449998</v>
      </c>
    </row>
    <row r="125" spans="1:14" x14ac:dyDescent="0.25">
      <c r="H125" s="833"/>
      <c r="I125" s="833"/>
      <c r="J125" s="833"/>
      <c r="K125" s="833"/>
      <c r="L125" s="833"/>
      <c r="M125" s="833"/>
      <c r="N125" s="1002"/>
    </row>
    <row r="126" spans="1:14" x14ac:dyDescent="0.25">
      <c r="A126" s="270" t="s">
        <v>266</v>
      </c>
      <c r="D126" s="914">
        <f t="shared" ref="D126" si="17">H126+K126</f>
        <v>1538674050.204839</v>
      </c>
      <c r="E126" s="832">
        <f t="shared" ref="E126" si="18">+I126+L126</f>
        <v>776488174.2679044</v>
      </c>
      <c r="F126" s="832">
        <f t="shared" ref="F126" si="19">+J126+M126</f>
        <v>757968448.19689751</v>
      </c>
      <c r="G126" s="832">
        <f t="shared" ref="G126" si="20">N126</f>
        <v>4217427.7400369998</v>
      </c>
      <c r="H126" s="1059">
        <f t="shared" si="13"/>
        <v>47674327.769900009</v>
      </c>
      <c r="I126" s="1526">
        <f t="shared" ref="I126:J126" si="21">I8+I19+I21+I23+I25+I29+I32+I36+I41+I46+I47+I52+I54+I55+I59+I63+I66+I68+I69+I74+I75+I80+I96+I109+I116+I119</f>
        <v>30988313.050435003</v>
      </c>
      <c r="J126" s="1526">
        <f t="shared" si="21"/>
        <v>16686014.719465004</v>
      </c>
      <c r="K126" s="1059">
        <f t="shared" si="14"/>
        <v>1490999722.4349389</v>
      </c>
      <c r="L126" s="1526">
        <f t="shared" ref="L126:N126" si="22">L8+L19+L21+L23+L25+L29+L32+L36+L41+L46+L47+L52+L54+L55+L59+L63+L66+L68+L69+L74+L75+L80+L96+L109+L116+L119</f>
        <v>745499861.21746945</v>
      </c>
      <c r="M126" s="1526">
        <f t="shared" si="22"/>
        <v>741282433.47743249</v>
      </c>
      <c r="N126" s="1526">
        <f t="shared" si="22"/>
        <v>4217427.7400369998</v>
      </c>
    </row>
    <row r="127" spans="1:14" x14ac:dyDescent="0.25">
      <c r="A127" s="270" t="s">
        <v>264</v>
      </c>
      <c r="D127" s="914">
        <f t="shared" ref="D127:D131" si="23">H127+K127</f>
        <v>1931568409.0558128</v>
      </c>
      <c r="E127" s="832">
        <f t="shared" ref="E127:E131" si="24">+I127+L127</f>
        <v>974964716.50639141</v>
      </c>
      <c r="F127" s="832">
        <f t="shared" ref="F127:F131" si="25">+J127+M127</f>
        <v>953964055.89067447</v>
      </c>
      <c r="G127" s="832">
        <f t="shared" ref="G127:G131" si="26">N127</f>
        <v>2639636.6587469373</v>
      </c>
      <c r="H127" s="1059">
        <f t="shared" ref="H127:H131" si="27">I127+J127</f>
        <v>61203413.189899996</v>
      </c>
      <c r="I127" s="1526">
        <f t="shared" ref="I127:J127" si="28">I5+I17+I31+I40+I44+I50+I51+I61+I67+I76+I88+I91+I92+I99+I103+I105+I108+I113+I114+I117+I121+I122+I123</f>
        <v>39782218.573435001</v>
      </c>
      <c r="J127" s="1526">
        <f t="shared" si="28"/>
        <v>21421194.616464999</v>
      </c>
      <c r="K127" s="1059">
        <f t="shared" si="14"/>
        <v>1870364995.8659129</v>
      </c>
      <c r="L127" s="1526">
        <f t="shared" ref="L127:N127" si="29">L5+L17+L31+L40+L44+L50+L51+L61+L67+L76+L88+L91+L92+L99+L103+L105+L108+L113+L114+L117+L121+L122+L123</f>
        <v>935182497.93295646</v>
      </c>
      <c r="M127" s="1526">
        <f t="shared" si="29"/>
        <v>932542861.2742095</v>
      </c>
      <c r="N127" s="1526">
        <f t="shared" si="29"/>
        <v>2639636.6587469373</v>
      </c>
    </row>
    <row r="128" spans="1:14" x14ac:dyDescent="0.25">
      <c r="A128" s="270" t="s">
        <v>267</v>
      </c>
      <c r="D128" s="914">
        <f t="shared" si="23"/>
        <v>1927119149.6072717</v>
      </c>
      <c r="E128" s="832">
        <f t="shared" si="24"/>
        <v>980208145.27510595</v>
      </c>
      <c r="F128" s="832">
        <f t="shared" si="25"/>
        <v>939878589.75016427</v>
      </c>
      <c r="G128" s="832">
        <f t="shared" si="26"/>
        <v>7032414.5820015632</v>
      </c>
      <c r="H128" s="1059">
        <f t="shared" si="27"/>
        <v>110990469.80980003</v>
      </c>
      <c r="I128" s="1526">
        <f t="shared" ref="I128:J128" si="30">I11+I26+I28+I33+I34+I38+I43+I53+I57+I58+I60+I70+I71+I77+I79+I83+I86+I89+I90+I94+I100+I106+I111+I112+I124</f>
        <v>72143805.376370013</v>
      </c>
      <c r="J128" s="1526">
        <f t="shared" si="30"/>
        <v>38846664.433430009</v>
      </c>
      <c r="K128" s="1059">
        <f t="shared" si="14"/>
        <v>1816128679.7974718</v>
      </c>
      <c r="L128" s="1526">
        <f t="shared" ref="L128:N128" si="31">L11+L26+L28+L33+L34+L38+L43+L53+L57+L58+L60+L70+L71+L77+L79+L83+L86+L89+L90+L94+L100+L106+L111+L112+L124</f>
        <v>908064339.898736</v>
      </c>
      <c r="M128" s="1526">
        <f t="shared" si="31"/>
        <v>901031925.31673431</v>
      </c>
      <c r="N128" s="1526">
        <f t="shared" si="31"/>
        <v>7032414.5820015632</v>
      </c>
    </row>
    <row r="129" spans="1:14" x14ac:dyDescent="0.25">
      <c r="A129" s="270" t="s">
        <v>265</v>
      </c>
      <c r="D129" s="914">
        <f t="shared" si="23"/>
        <v>1444211283.5850618</v>
      </c>
      <c r="E129" s="832">
        <f t="shared" si="24"/>
        <v>728878790.0685308</v>
      </c>
      <c r="F129" s="832">
        <f t="shared" si="25"/>
        <v>711365078.6213876</v>
      </c>
      <c r="G129" s="832">
        <f t="shared" si="26"/>
        <v>3967414.8951435001</v>
      </c>
      <c r="H129" s="1059">
        <f t="shared" si="27"/>
        <v>45154321.839999996</v>
      </c>
      <c r="I129" s="1526">
        <f t="shared" ref="I129:J129" si="32">I6+I7+I9+I10+I12+I13+I14+I16+I20+I24+I27+I37+I45+I48+I49+I62+I65+I73+I81+I82+I102+I104+I110+I120</f>
        <v>29350309.195999995</v>
      </c>
      <c r="J129" s="1526">
        <f t="shared" si="32"/>
        <v>15804012.643999999</v>
      </c>
      <c r="K129" s="1059">
        <f t="shared" si="14"/>
        <v>1399056961.7450619</v>
      </c>
      <c r="L129" s="1526">
        <f t="shared" ref="L129:N129" si="33">L6+L7+L9+L10+L12+L13+L14+L16+L20+L24+L27+L37+L45+L48+L49+L62+L65+L73+L81+L82+L102+L104+L110+L120</f>
        <v>699528480.87253082</v>
      </c>
      <c r="M129" s="1526">
        <f t="shared" si="33"/>
        <v>695561065.97738755</v>
      </c>
      <c r="N129" s="1526">
        <f t="shared" si="33"/>
        <v>3967414.8951435001</v>
      </c>
    </row>
    <row r="130" spans="1:14" x14ac:dyDescent="0.25">
      <c r="A130" s="270" t="s">
        <v>268</v>
      </c>
      <c r="D130" s="914">
        <f t="shared" si="23"/>
        <v>752960897.81208456</v>
      </c>
      <c r="E130" s="832">
        <f t="shared" si="24"/>
        <v>380478028.30104232</v>
      </c>
      <c r="F130" s="832">
        <f t="shared" si="25"/>
        <v>371149882.5241161</v>
      </c>
      <c r="G130" s="832">
        <f t="shared" si="26"/>
        <v>1332986.9869262499</v>
      </c>
      <c r="H130" s="1059">
        <f t="shared" si="27"/>
        <v>26650529.300000004</v>
      </c>
      <c r="I130" s="1526">
        <f t="shared" ref="I130:J130" si="34">I15+I18+I22+I30+I35+I39+I42+I56+I64+I72+I78+I84+I85+I87+I93+I95+I97+I98+I101+I107+I115+I118</f>
        <v>17322844.045000006</v>
      </c>
      <c r="J130" s="1526">
        <f t="shared" si="34"/>
        <v>9327685.254999999</v>
      </c>
      <c r="K130" s="1059">
        <f t="shared" si="14"/>
        <v>726310368.5120846</v>
      </c>
      <c r="L130" s="1526">
        <f t="shared" ref="L130:N130" si="35">L15+L18+L22+L30+L35+L39+L42+L56+L64+L72+L78+L84+L85+L87+L93+L95+L97+L98+L101+L107+L115+L118</f>
        <v>363155184.2560423</v>
      </c>
      <c r="M130" s="1526">
        <f t="shared" si="35"/>
        <v>361822197.2691161</v>
      </c>
      <c r="N130" s="1526">
        <f t="shared" si="35"/>
        <v>1332986.9869262499</v>
      </c>
    </row>
    <row r="131" spans="1:14" x14ac:dyDescent="0.25">
      <c r="A131" s="270" t="s">
        <v>9</v>
      </c>
      <c r="D131" s="914">
        <f t="shared" si="23"/>
        <v>7594533790.26507</v>
      </c>
      <c r="E131" s="832">
        <f t="shared" si="24"/>
        <v>3841017854.4189754</v>
      </c>
      <c r="F131" s="832">
        <f t="shared" si="25"/>
        <v>3734326054.9832401</v>
      </c>
      <c r="G131" s="832">
        <f t="shared" si="26"/>
        <v>19189880.862855252</v>
      </c>
      <c r="H131" s="1059">
        <f t="shared" si="27"/>
        <v>291673061.90960002</v>
      </c>
      <c r="I131" s="1533">
        <f t="shared" ref="I131:J131" si="36">SUM(I126:I130)</f>
        <v>189587490.24124002</v>
      </c>
      <c r="J131" s="1533">
        <f t="shared" si="36"/>
        <v>102085571.66835999</v>
      </c>
      <c r="K131" s="1059">
        <f t="shared" si="14"/>
        <v>7302860728.3554697</v>
      </c>
      <c r="L131" s="1533">
        <f t="shared" ref="L131:N131" si="37">SUM(L126:L130)</f>
        <v>3651430364.1777353</v>
      </c>
      <c r="M131" s="1533">
        <f t="shared" si="37"/>
        <v>3632240483.3148799</v>
      </c>
      <c r="N131" s="1533">
        <f t="shared" si="37"/>
        <v>19189880.862855252</v>
      </c>
    </row>
    <row r="132" spans="1:14" x14ac:dyDescent="0.25">
      <c r="H132" s="833"/>
      <c r="I132" s="833"/>
      <c r="J132" s="833"/>
      <c r="K132" s="833"/>
      <c r="L132" s="833"/>
      <c r="M132" s="833"/>
      <c r="N132" s="1002"/>
    </row>
    <row r="133" spans="1:14" s="394" customFormat="1" x14ac:dyDescent="0.25">
      <c r="A133" s="394" t="s">
        <v>801</v>
      </c>
      <c r="B133" s="715"/>
      <c r="C133" s="715"/>
      <c r="D133" s="665"/>
      <c r="N133" s="1003"/>
    </row>
    <row r="134" spans="1:14" s="394" customFormat="1" x14ac:dyDescent="0.25">
      <c r="N134" s="1003"/>
    </row>
    <row r="135" spans="1:14" s="414" customFormat="1" x14ac:dyDescent="0.25">
      <c r="A135" s="414" t="s">
        <v>248</v>
      </c>
      <c r="N135" s="1004"/>
    </row>
    <row r="136" spans="1:14" x14ac:dyDescent="0.25">
      <c r="A136" s="415" t="s">
        <v>249</v>
      </c>
      <c r="B136" s="416" t="s">
        <v>250</v>
      </c>
      <c r="C136" s="416"/>
      <c r="N136" s="1002"/>
    </row>
    <row r="137" spans="1:14" x14ac:dyDescent="0.25">
      <c r="N137" s="1002"/>
    </row>
    <row r="138" spans="1:14" x14ac:dyDescent="0.25">
      <c r="N138" s="1002"/>
    </row>
    <row r="139" spans="1:14" x14ac:dyDescent="0.25">
      <c r="N139" s="1002"/>
    </row>
    <row r="140" spans="1:14" x14ac:dyDescent="0.25">
      <c r="N140" s="1002"/>
    </row>
    <row r="141" spans="1:14" x14ac:dyDescent="0.25">
      <c r="N141" s="1002"/>
    </row>
    <row r="142" spans="1:14" x14ac:dyDescent="0.25">
      <c r="N142" s="1002"/>
    </row>
    <row r="143" spans="1:14" x14ac:dyDescent="0.25">
      <c r="N143" s="1002"/>
    </row>
    <row r="144" spans="1:14" x14ac:dyDescent="0.25">
      <c r="N144" s="1002"/>
    </row>
    <row r="145" spans="14:14" x14ac:dyDescent="0.25">
      <c r="N145" s="1002"/>
    </row>
    <row r="146" spans="14:14" x14ac:dyDescent="0.25">
      <c r="N146" s="1002"/>
    </row>
  </sheetData>
  <autoFilter ref="A3:C124">
    <filterColumn colId="2">
      <filters>
        <filter val="Central"/>
      </filters>
    </filterColumn>
  </autoFilter>
  <hyperlinks>
    <hyperlink ref="B136" r:id="rId1"/>
  </hyperlinks>
  <pageMargins left="0.7" right="0.7" top="0.75" bottom="0.75" header="0.3" footer="0.3"/>
  <pageSetup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136"/>
  <sheetViews>
    <sheetView workbookViewId="0">
      <pane ySplit="4" topLeftCell="A99" activePane="bottomLeft" state="frozen"/>
      <selection pane="bottomLeft" activeCell="E126" sqref="E126:E131"/>
    </sheetView>
  </sheetViews>
  <sheetFormatPr defaultRowHeight="15.75" x14ac:dyDescent="0.25"/>
  <cols>
    <col min="1" max="1" width="9.125" style="270" customWidth="1"/>
    <col min="2" max="2" width="34.125" style="270" customWidth="1"/>
    <col min="3" max="3" width="16.5" style="270" customWidth="1"/>
    <col min="4" max="4" width="14.125" style="270" bestFit="1" customWidth="1"/>
    <col min="5" max="5" width="14.125" style="270" customWidth="1"/>
    <col min="6" max="16384" width="9" style="270"/>
  </cols>
  <sheetData>
    <row r="1" spans="1:5" x14ac:dyDescent="0.25">
      <c r="A1" s="64" t="s">
        <v>1185</v>
      </c>
    </row>
    <row r="3" spans="1:5" s="1658" customFormat="1" ht="12.75" customHeight="1" x14ac:dyDescent="0.25">
      <c r="A3" s="1676" t="s">
        <v>4</v>
      </c>
      <c r="B3" s="1677" t="s">
        <v>5</v>
      </c>
      <c r="C3" s="1677" t="s">
        <v>251</v>
      </c>
      <c r="D3" s="1678" t="s">
        <v>393</v>
      </c>
      <c r="E3" s="1678" t="s">
        <v>394</v>
      </c>
    </row>
    <row r="4" spans="1:5" s="1658" customFormat="1" ht="12.75" customHeight="1" x14ac:dyDescent="0.25">
      <c r="A4" s="1679">
        <v>999</v>
      </c>
      <c r="B4" s="1680" t="s">
        <v>9</v>
      </c>
      <c r="C4" s="1680"/>
      <c r="D4" s="1681">
        <f>SUM(D5:D124)</f>
        <v>1247287678</v>
      </c>
      <c r="E4" s="1681">
        <f>SUM(E5:E124)</f>
        <v>1247287678</v>
      </c>
    </row>
    <row r="5" spans="1:5" s="1658" customFormat="1" ht="12.75" customHeight="1" x14ac:dyDescent="0.25">
      <c r="A5" s="1682" t="s">
        <v>10</v>
      </c>
      <c r="B5" s="1683" t="s">
        <v>11</v>
      </c>
      <c r="C5" s="1661" t="s">
        <v>264</v>
      </c>
      <c r="D5" s="1684">
        <v>8505783</v>
      </c>
      <c r="E5" s="1684">
        <v>8505783</v>
      </c>
    </row>
    <row r="6" spans="1:5" s="1658" customFormat="1" ht="12.75" customHeight="1" x14ac:dyDescent="0.25">
      <c r="A6" s="1682" t="s">
        <v>12</v>
      </c>
      <c r="B6" s="1683" t="s">
        <v>13</v>
      </c>
      <c r="C6" s="1661" t="s">
        <v>265</v>
      </c>
      <c r="D6" s="1684">
        <v>8563414</v>
      </c>
      <c r="E6" s="1684">
        <v>8563414</v>
      </c>
    </row>
    <row r="7" spans="1:5" s="1658" customFormat="1" ht="12.75" customHeight="1" x14ac:dyDescent="0.25">
      <c r="A7" s="1682" t="s">
        <v>16</v>
      </c>
      <c r="B7" s="1683" t="s">
        <v>297</v>
      </c>
      <c r="C7" s="1661" t="s">
        <v>265</v>
      </c>
      <c r="D7" s="1684">
        <v>4394783</v>
      </c>
      <c r="E7" s="1684">
        <v>4394783</v>
      </c>
    </row>
    <row r="8" spans="1:5" s="1658" customFormat="1" ht="12.75" customHeight="1" x14ac:dyDescent="0.25">
      <c r="A8" s="1682" t="s">
        <v>18</v>
      </c>
      <c r="B8" s="1683" t="s">
        <v>19</v>
      </c>
      <c r="C8" s="1661" t="s">
        <v>266</v>
      </c>
      <c r="D8" s="1684">
        <v>2356595</v>
      </c>
      <c r="E8" s="1684">
        <v>2356595</v>
      </c>
    </row>
    <row r="9" spans="1:5" s="1658" customFormat="1" ht="12.75" customHeight="1" x14ac:dyDescent="0.25">
      <c r="A9" s="1682" t="s">
        <v>20</v>
      </c>
      <c r="B9" s="1683" t="s">
        <v>21</v>
      </c>
      <c r="C9" s="1661" t="s">
        <v>265</v>
      </c>
      <c r="D9" s="1684">
        <v>4454655</v>
      </c>
      <c r="E9" s="1684">
        <v>4454655</v>
      </c>
    </row>
    <row r="10" spans="1:5" s="1658" customFormat="1" ht="12.75" customHeight="1" x14ac:dyDescent="0.25">
      <c r="A10" s="1682" t="s">
        <v>22</v>
      </c>
      <c r="B10" s="1683" t="s">
        <v>23</v>
      </c>
      <c r="C10" s="1661" t="s">
        <v>265</v>
      </c>
      <c r="D10" s="1684">
        <v>3329715</v>
      </c>
      <c r="E10" s="1684">
        <v>3329715</v>
      </c>
    </row>
    <row r="11" spans="1:5" s="1658" customFormat="1" ht="12.75" customHeight="1" x14ac:dyDescent="0.25">
      <c r="A11" s="1682" t="s">
        <v>24</v>
      </c>
      <c r="B11" s="1683" t="s">
        <v>25</v>
      </c>
      <c r="C11" s="1661" t="s">
        <v>267</v>
      </c>
      <c r="D11" s="1684">
        <v>10943468</v>
      </c>
      <c r="E11" s="1684">
        <v>10943468</v>
      </c>
    </row>
    <row r="12" spans="1:5" s="1658" customFormat="1" ht="12.75" customHeight="1" x14ac:dyDescent="0.25">
      <c r="A12" s="1682" t="s">
        <v>26</v>
      </c>
      <c r="B12" s="1683" t="s">
        <v>686</v>
      </c>
      <c r="C12" s="1661" t="s">
        <v>265</v>
      </c>
      <c r="D12" s="1684">
        <v>17760639</v>
      </c>
      <c r="E12" s="1684">
        <v>17760639</v>
      </c>
    </row>
    <row r="13" spans="1:5" s="1658" customFormat="1" ht="12.75" customHeight="1" x14ac:dyDescent="0.25">
      <c r="A13" s="1682" t="s">
        <v>27</v>
      </c>
      <c r="B13" s="1683" t="s">
        <v>28</v>
      </c>
      <c r="C13" s="1661" t="s">
        <v>265</v>
      </c>
      <c r="D13" s="1684">
        <v>448460</v>
      </c>
      <c r="E13" s="1684">
        <v>448460</v>
      </c>
    </row>
    <row r="14" spans="1:5" s="1658" customFormat="1" ht="12.75" customHeight="1" x14ac:dyDescent="0.25">
      <c r="A14" s="1682" t="s">
        <v>29</v>
      </c>
      <c r="B14" s="1683" t="s">
        <v>941</v>
      </c>
      <c r="C14" s="1661" t="s">
        <v>265</v>
      </c>
      <c r="D14" s="1684">
        <v>8390303</v>
      </c>
      <c r="E14" s="1684">
        <v>8390303</v>
      </c>
    </row>
    <row r="15" spans="1:5" s="1658" customFormat="1" ht="12.75" customHeight="1" x14ac:dyDescent="0.25">
      <c r="A15" s="1682" t="s">
        <v>30</v>
      </c>
      <c r="B15" s="1683" t="s">
        <v>31</v>
      </c>
      <c r="C15" s="1661" t="s">
        <v>268</v>
      </c>
      <c r="D15" s="1684">
        <v>683195</v>
      </c>
      <c r="E15" s="1684">
        <v>683195</v>
      </c>
    </row>
    <row r="16" spans="1:5" s="1658" customFormat="1" ht="12.75" customHeight="1" x14ac:dyDescent="0.25">
      <c r="A16" s="1682" t="s">
        <v>32</v>
      </c>
      <c r="B16" s="1683" t="s">
        <v>33</v>
      </c>
      <c r="C16" s="1661" t="s">
        <v>265</v>
      </c>
      <c r="D16" s="1684">
        <v>2424702</v>
      </c>
      <c r="E16" s="1684">
        <v>2424702</v>
      </c>
    </row>
    <row r="17" spans="1:5" s="1658" customFormat="1" ht="12.75" customHeight="1" x14ac:dyDescent="0.25">
      <c r="A17" s="1682" t="s">
        <v>36</v>
      </c>
      <c r="B17" s="1683" t="s">
        <v>37</v>
      </c>
      <c r="C17" s="1661" t="s">
        <v>264</v>
      </c>
      <c r="D17" s="1684">
        <v>4857003</v>
      </c>
      <c r="E17" s="1684">
        <v>4857003</v>
      </c>
    </row>
    <row r="18" spans="1:5" s="1658" customFormat="1" ht="12.75" customHeight="1" x14ac:dyDescent="0.25">
      <c r="A18" s="1682" t="s">
        <v>38</v>
      </c>
      <c r="B18" s="1683" t="s">
        <v>39</v>
      </c>
      <c r="C18" s="1661" t="s">
        <v>268</v>
      </c>
      <c r="D18" s="1684">
        <v>5850271</v>
      </c>
      <c r="E18" s="1684">
        <v>5850271</v>
      </c>
    </row>
    <row r="19" spans="1:5" s="1658" customFormat="1" ht="12.75" customHeight="1" x14ac:dyDescent="0.25">
      <c r="A19" s="1682" t="s">
        <v>40</v>
      </c>
      <c r="B19" s="1683" t="s">
        <v>41</v>
      </c>
      <c r="C19" s="1661" t="s">
        <v>266</v>
      </c>
      <c r="D19" s="1684">
        <v>4142738</v>
      </c>
      <c r="E19" s="1684">
        <v>4142738</v>
      </c>
    </row>
    <row r="20" spans="1:5" s="1658" customFormat="1" ht="12.75" customHeight="1" x14ac:dyDescent="0.25">
      <c r="A20" s="1682" t="s">
        <v>42</v>
      </c>
      <c r="B20" s="1683" t="s">
        <v>43</v>
      </c>
      <c r="C20" s="1661" t="s">
        <v>265</v>
      </c>
      <c r="D20" s="1684">
        <v>9899982</v>
      </c>
      <c r="E20" s="1684">
        <v>9899982</v>
      </c>
    </row>
    <row r="21" spans="1:5" s="1658" customFormat="1" ht="12.75" customHeight="1" x14ac:dyDescent="0.25">
      <c r="A21" s="1682" t="s">
        <v>44</v>
      </c>
      <c r="B21" s="1683" t="s">
        <v>45</v>
      </c>
      <c r="C21" s="1661" t="s">
        <v>266</v>
      </c>
      <c r="D21" s="1684">
        <v>6815408</v>
      </c>
      <c r="E21" s="1684">
        <v>6815408</v>
      </c>
    </row>
    <row r="22" spans="1:5" s="1658" customFormat="1" ht="12.75" customHeight="1" x14ac:dyDescent="0.25">
      <c r="A22" s="1682" t="s">
        <v>46</v>
      </c>
      <c r="B22" s="1683" t="s">
        <v>47</v>
      </c>
      <c r="C22" s="1661" t="s">
        <v>268</v>
      </c>
      <c r="D22" s="1684">
        <v>6518988</v>
      </c>
      <c r="E22" s="1684">
        <v>6518988</v>
      </c>
    </row>
    <row r="23" spans="1:5" s="1658" customFormat="1" ht="12.75" customHeight="1" x14ac:dyDescent="0.25">
      <c r="A23" s="1682" t="s">
        <v>48</v>
      </c>
      <c r="B23" s="1683" t="s">
        <v>269</v>
      </c>
      <c r="C23" s="1661" t="s">
        <v>266</v>
      </c>
      <c r="D23" s="1684">
        <v>1368735</v>
      </c>
      <c r="E23" s="1684">
        <v>1368735</v>
      </c>
    </row>
    <row r="24" spans="1:5" s="1658" customFormat="1" ht="12.75" customHeight="1" x14ac:dyDescent="0.25">
      <c r="A24" s="1682" t="s">
        <v>50</v>
      </c>
      <c r="B24" s="1683" t="s">
        <v>51</v>
      </c>
      <c r="C24" s="1661" t="s">
        <v>265</v>
      </c>
      <c r="D24" s="1684">
        <v>2829353</v>
      </c>
      <c r="E24" s="1684">
        <v>2829353</v>
      </c>
    </row>
    <row r="25" spans="1:5" s="1658" customFormat="1" ht="12.75" customHeight="1" x14ac:dyDescent="0.25">
      <c r="A25" s="1682" t="s">
        <v>56</v>
      </c>
      <c r="B25" s="1683" t="s">
        <v>295</v>
      </c>
      <c r="C25" s="1661" t="s">
        <v>266</v>
      </c>
      <c r="D25" s="1684">
        <v>47477392</v>
      </c>
      <c r="E25" s="1684">
        <v>47477392</v>
      </c>
    </row>
    <row r="26" spans="1:5" s="1658" customFormat="1" ht="12.75" customHeight="1" x14ac:dyDescent="0.25">
      <c r="A26" s="1682" t="s">
        <v>58</v>
      </c>
      <c r="B26" s="1683" t="s">
        <v>59</v>
      </c>
      <c r="C26" s="1661" t="s">
        <v>267</v>
      </c>
      <c r="D26" s="1684">
        <v>821700</v>
      </c>
      <c r="E26" s="1684">
        <v>821700</v>
      </c>
    </row>
    <row r="27" spans="1:5" s="1658" customFormat="1" ht="12.75" customHeight="1" x14ac:dyDescent="0.25">
      <c r="A27" s="1682" t="s">
        <v>60</v>
      </c>
      <c r="B27" s="1683" t="s">
        <v>61</v>
      </c>
      <c r="C27" s="1661" t="s">
        <v>265</v>
      </c>
      <c r="D27" s="1684">
        <v>734374</v>
      </c>
      <c r="E27" s="1684">
        <v>734374</v>
      </c>
    </row>
    <row r="28" spans="1:5" s="1658" customFormat="1" ht="12.75" customHeight="1" x14ac:dyDescent="0.25">
      <c r="A28" s="1682" t="s">
        <v>62</v>
      </c>
      <c r="B28" s="1683" t="s">
        <v>63</v>
      </c>
      <c r="C28" s="1661" t="s">
        <v>267</v>
      </c>
      <c r="D28" s="1684">
        <v>7889773</v>
      </c>
      <c r="E28" s="1684">
        <v>7889773</v>
      </c>
    </row>
    <row r="29" spans="1:5" s="1658" customFormat="1" ht="12.75" customHeight="1" x14ac:dyDescent="0.25">
      <c r="A29" s="1682" t="s">
        <v>64</v>
      </c>
      <c r="B29" s="1683" t="s">
        <v>65</v>
      </c>
      <c r="C29" s="1661" t="s">
        <v>266</v>
      </c>
      <c r="D29" s="1684">
        <v>2792222</v>
      </c>
      <c r="E29" s="1684">
        <v>2792222</v>
      </c>
    </row>
    <row r="30" spans="1:5" s="1658" customFormat="1" ht="12.75" customHeight="1" x14ac:dyDescent="0.25">
      <c r="A30" s="1682" t="s">
        <v>68</v>
      </c>
      <c r="B30" s="1683" t="s">
        <v>69</v>
      </c>
      <c r="C30" s="1661" t="s">
        <v>268</v>
      </c>
      <c r="D30" s="1684">
        <v>3997775</v>
      </c>
      <c r="E30" s="1684">
        <v>3997775</v>
      </c>
    </row>
    <row r="31" spans="1:5" s="1658" customFormat="1" ht="12.75" customHeight="1" x14ac:dyDescent="0.25">
      <c r="A31" s="1682" t="s">
        <v>70</v>
      </c>
      <c r="B31" s="1683" t="s">
        <v>71</v>
      </c>
      <c r="C31" s="1661" t="s">
        <v>264</v>
      </c>
      <c r="D31" s="1684">
        <v>6497126</v>
      </c>
      <c r="E31" s="1684">
        <v>6497126</v>
      </c>
    </row>
    <row r="32" spans="1:5" s="1658" customFormat="1" ht="12.75" customHeight="1" x14ac:dyDescent="0.25">
      <c r="A32" s="1682" t="s">
        <v>72</v>
      </c>
      <c r="B32" s="1683" t="s">
        <v>73</v>
      </c>
      <c r="C32" s="1661" t="s">
        <v>266</v>
      </c>
      <c r="D32" s="1684">
        <v>3258594</v>
      </c>
      <c r="E32" s="1684">
        <v>3258594</v>
      </c>
    </row>
    <row r="33" spans="1:5" s="1658" customFormat="1" ht="12.75" customHeight="1" x14ac:dyDescent="0.25">
      <c r="A33" s="1682" t="s">
        <v>74</v>
      </c>
      <c r="B33" s="1683" t="s">
        <v>302</v>
      </c>
      <c r="C33" s="1661" t="s">
        <v>267</v>
      </c>
      <c r="D33" s="1684">
        <v>69594375</v>
      </c>
      <c r="E33" s="1684">
        <v>69594375</v>
      </c>
    </row>
    <row r="34" spans="1:5" s="1658" customFormat="1" ht="12.75" customHeight="1" x14ac:dyDescent="0.25">
      <c r="A34" s="1682" t="s">
        <v>76</v>
      </c>
      <c r="B34" s="1683" t="s">
        <v>77</v>
      </c>
      <c r="C34" s="1661" t="s">
        <v>267</v>
      </c>
      <c r="D34" s="1684">
        <v>5332786</v>
      </c>
      <c r="E34" s="1684">
        <v>5332786</v>
      </c>
    </row>
    <row r="35" spans="1:5" s="1658" customFormat="1" ht="12.75" customHeight="1" x14ac:dyDescent="0.25">
      <c r="A35" s="1682" t="s">
        <v>78</v>
      </c>
      <c r="B35" s="1683" t="s">
        <v>79</v>
      </c>
      <c r="C35" s="1661" t="s">
        <v>268</v>
      </c>
      <c r="D35" s="1684">
        <v>2234874</v>
      </c>
      <c r="E35" s="1684">
        <v>2234874</v>
      </c>
    </row>
    <row r="36" spans="1:5" s="1658" customFormat="1" ht="12.75" customHeight="1" x14ac:dyDescent="0.25">
      <c r="A36" s="1682" t="s">
        <v>80</v>
      </c>
      <c r="B36" s="1683" t="s">
        <v>81</v>
      </c>
      <c r="C36" s="1661" t="s">
        <v>266</v>
      </c>
      <c r="D36" s="1684">
        <v>2362287</v>
      </c>
      <c r="E36" s="1684">
        <v>2362287</v>
      </c>
    </row>
    <row r="37" spans="1:5" s="1658" customFormat="1" ht="12.75" customHeight="1" x14ac:dyDescent="0.25">
      <c r="A37" s="1682" t="s">
        <v>84</v>
      </c>
      <c r="B37" s="1683" t="s">
        <v>308</v>
      </c>
      <c r="C37" s="1661" t="s">
        <v>265</v>
      </c>
      <c r="D37" s="1684">
        <v>10301316</v>
      </c>
      <c r="E37" s="1684">
        <v>10301316</v>
      </c>
    </row>
    <row r="38" spans="1:5" s="1658" customFormat="1" ht="12.75" customHeight="1" x14ac:dyDescent="0.25">
      <c r="A38" s="1682" t="s">
        <v>86</v>
      </c>
      <c r="B38" s="1683" t="s">
        <v>87</v>
      </c>
      <c r="C38" s="1661" t="s">
        <v>267</v>
      </c>
      <c r="D38" s="1684">
        <v>8628383</v>
      </c>
      <c r="E38" s="1684">
        <v>8628383</v>
      </c>
    </row>
    <row r="39" spans="1:5" s="1658" customFormat="1" ht="12.75" customHeight="1" x14ac:dyDescent="0.25">
      <c r="A39" s="1682" t="s">
        <v>92</v>
      </c>
      <c r="B39" s="1683" t="s">
        <v>93</v>
      </c>
      <c r="C39" s="1661" t="s">
        <v>268</v>
      </c>
      <c r="D39" s="1684">
        <v>2863970</v>
      </c>
      <c r="E39" s="1684">
        <v>2863970</v>
      </c>
    </row>
    <row r="40" spans="1:5" s="1658" customFormat="1" ht="12.75" customHeight="1" x14ac:dyDescent="0.25">
      <c r="A40" s="1682" t="s">
        <v>94</v>
      </c>
      <c r="B40" s="1683" t="s">
        <v>95</v>
      </c>
      <c r="C40" s="1661" t="s">
        <v>264</v>
      </c>
      <c r="D40" s="1684">
        <v>5575732</v>
      </c>
      <c r="E40" s="1684">
        <v>5575732</v>
      </c>
    </row>
    <row r="41" spans="1:5" s="1658" customFormat="1" ht="12.75" customHeight="1" x14ac:dyDescent="0.25">
      <c r="A41" s="1682" t="s">
        <v>96</v>
      </c>
      <c r="B41" s="1683" t="s">
        <v>97</v>
      </c>
      <c r="C41" s="1661" t="s">
        <v>266</v>
      </c>
      <c r="D41" s="1684">
        <v>1718757</v>
      </c>
      <c r="E41" s="1684">
        <v>1718757</v>
      </c>
    </row>
    <row r="42" spans="1:5" s="1658" customFormat="1" ht="12.75" customHeight="1" x14ac:dyDescent="0.25">
      <c r="A42" s="1682" t="s">
        <v>98</v>
      </c>
      <c r="B42" s="1683" t="s">
        <v>99</v>
      </c>
      <c r="C42" s="1661" t="s">
        <v>268</v>
      </c>
      <c r="D42" s="1684">
        <v>3504088</v>
      </c>
      <c r="E42" s="1684">
        <v>3504088</v>
      </c>
    </row>
    <row r="43" spans="1:5" s="1658" customFormat="1" ht="12.75" customHeight="1" x14ac:dyDescent="0.25">
      <c r="A43" s="1682" t="s">
        <v>100</v>
      </c>
      <c r="B43" s="1683" t="s">
        <v>101</v>
      </c>
      <c r="C43" s="1661" t="s">
        <v>267</v>
      </c>
      <c r="D43" s="1684">
        <v>3043552</v>
      </c>
      <c r="E43" s="1684">
        <v>3043552</v>
      </c>
    </row>
    <row r="44" spans="1:5" s="1658" customFormat="1" ht="12.75" customHeight="1" x14ac:dyDescent="0.25">
      <c r="A44" s="1682" t="s">
        <v>102</v>
      </c>
      <c r="B44" s="1683" t="s">
        <v>103</v>
      </c>
      <c r="C44" s="1661" t="s">
        <v>264</v>
      </c>
      <c r="D44" s="1684">
        <v>6018717</v>
      </c>
      <c r="E44" s="1684">
        <v>6018717</v>
      </c>
    </row>
    <row r="45" spans="1:5" s="1658" customFormat="1" ht="12.75" customHeight="1" x14ac:dyDescent="0.25">
      <c r="A45" s="1682" t="s">
        <v>104</v>
      </c>
      <c r="B45" s="1683" t="s">
        <v>309</v>
      </c>
      <c r="C45" s="1661" t="s">
        <v>265</v>
      </c>
      <c r="D45" s="1684">
        <v>9073679</v>
      </c>
      <c r="E45" s="1684">
        <v>9073679</v>
      </c>
    </row>
    <row r="46" spans="1:5" s="1658" customFormat="1" ht="12.75" customHeight="1" x14ac:dyDescent="0.25">
      <c r="A46" s="1682" t="s">
        <v>108</v>
      </c>
      <c r="B46" s="1683" t="s">
        <v>109</v>
      </c>
      <c r="C46" s="1661" t="s">
        <v>266</v>
      </c>
      <c r="D46" s="1684">
        <v>7823014</v>
      </c>
      <c r="E46" s="1684">
        <v>7823014</v>
      </c>
    </row>
    <row r="47" spans="1:5" s="1658" customFormat="1" ht="12.75" customHeight="1" x14ac:dyDescent="0.25">
      <c r="A47" s="1682" t="s">
        <v>110</v>
      </c>
      <c r="B47" s="1683" t="s">
        <v>111</v>
      </c>
      <c r="C47" s="1661" t="s">
        <v>266</v>
      </c>
      <c r="D47" s="1684">
        <v>49294049</v>
      </c>
      <c r="E47" s="1684">
        <v>49294049</v>
      </c>
    </row>
    <row r="48" spans="1:5" s="1658" customFormat="1" ht="12.75" customHeight="1" x14ac:dyDescent="0.25">
      <c r="A48" s="1682" t="s">
        <v>112</v>
      </c>
      <c r="B48" s="1683" t="s">
        <v>300</v>
      </c>
      <c r="C48" s="1661" t="s">
        <v>265</v>
      </c>
      <c r="D48" s="1684">
        <v>22073254</v>
      </c>
      <c r="E48" s="1684">
        <v>22073254</v>
      </c>
    </row>
    <row r="49" spans="1:5" s="1658" customFormat="1" ht="12.75" customHeight="1" x14ac:dyDescent="0.25">
      <c r="A49" s="1682" t="s">
        <v>114</v>
      </c>
      <c r="B49" s="1683" t="s">
        <v>115</v>
      </c>
      <c r="C49" s="1661" t="s">
        <v>265</v>
      </c>
      <c r="D49" s="1684">
        <v>197300</v>
      </c>
      <c r="E49" s="1684">
        <v>197300</v>
      </c>
    </row>
    <row r="50" spans="1:5" s="1658" customFormat="1" ht="12.75" customHeight="1" x14ac:dyDescent="0.25">
      <c r="A50" s="1682" t="s">
        <v>118</v>
      </c>
      <c r="B50" s="1683" t="s">
        <v>119</v>
      </c>
      <c r="C50" s="1661" t="s">
        <v>264</v>
      </c>
      <c r="D50" s="1684">
        <v>5402055</v>
      </c>
      <c r="E50" s="1684">
        <v>5402055</v>
      </c>
    </row>
    <row r="51" spans="1:5" s="1658" customFormat="1" ht="12.75" customHeight="1" x14ac:dyDescent="0.25">
      <c r="A51" s="1682" t="s">
        <v>120</v>
      </c>
      <c r="B51" s="1683" t="s">
        <v>121</v>
      </c>
      <c r="C51" s="1661" t="s">
        <v>264</v>
      </c>
      <c r="D51" s="1684">
        <v>6617959</v>
      </c>
      <c r="E51" s="1684">
        <v>6617959</v>
      </c>
    </row>
    <row r="52" spans="1:5" s="1658" customFormat="1" ht="12.75" customHeight="1" x14ac:dyDescent="0.25">
      <c r="A52" s="1682" t="s">
        <v>122</v>
      </c>
      <c r="B52" s="1683" t="s">
        <v>271</v>
      </c>
      <c r="C52" s="1661" t="s">
        <v>266</v>
      </c>
      <c r="D52" s="1684">
        <v>1622201</v>
      </c>
      <c r="E52" s="1684">
        <v>1622201</v>
      </c>
    </row>
    <row r="53" spans="1:5" s="1658" customFormat="1" ht="12.75" customHeight="1" x14ac:dyDescent="0.25">
      <c r="A53" s="1682" t="s">
        <v>124</v>
      </c>
      <c r="B53" s="1683" t="s">
        <v>125</v>
      </c>
      <c r="C53" s="1661" t="s">
        <v>267</v>
      </c>
      <c r="D53" s="1684">
        <v>4050581</v>
      </c>
      <c r="E53" s="1684">
        <v>4050581</v>
      </c>
    </row>
    <row r="54" spans="1:5" s="1658" customFormat="1" ht="12.75" customHeight="1" x14ac:dyDescent="0.25">
      <c r="A54" s="1682" t="s">
        <v>126</v>
      </c>
      <c r="B54" s="1683" t="s">
        <v>127</v>
      </c>
      <c r="C54" s="1661" t="s">
        <v>266</v>
      </c>
      <c r="D54" s="1684">
        <v>2414450</v>
      </c>
      <c r="E54" s="1684">
        <v>2414450</v>
      </c>
    </row>
    <row r="55" spans="1:5" s="1658" customFormat="1" ht="12.75" customHeight="1" x14ac:dyDescent="0.25">
      <c r="A55" s="1682" t="s">
        <v>128</v>
      </c>
      <c r="B55" s="1683" t="s">
        <v>129</v>
      </c>
      <c r="C55" s="1661" t="s">
        <v>266</v>
      </c>
      <c r="D55" s="1684">
        <v>2040051</v>
      </c>
      <c r="E55" s="1684">
        <v>2040051</v>
      </c>
    </row>
    <row r="56" spans="1:5" s="1658" customFormat="1" ht="12.75" customHeight="1" x14ac:dyDescent="0.25">
      <c r="A56" s="1682" t="s">
        <v>130</v>
      </c>
      <c r="B56" s="1683" t="s">
        <v>131</v>
      </c>
      <c r="C56" s="1661" t="s">
        <v>268</v>
      </c>
      <c r="D56" s="1684">
        <v>7570699</v>
      </c>
      <c r="E56" s="1684">
        <v>7570699</v>
      </c>
    </row>
    <row r="57" spans="1:5" s="1658" customFormat="1" ht="12.75" customHeight="1" x14ac:dyDescent="0.25">
      <c r="A57" s="1682" t="s">
        <v>132</v>
      </c>
      <c r="B57" s="1683" t="s">
        <v>133</v>
      </c>
      <c r="C57" s="1661" t="s">
        <v>267</v>
      </c>
      <c r="D57" s="1684">
        <v>13860370</v>
      </c>
      <c r="E57" s="1684">
        <v>13860370</v>
      </c>
    </row>
    <row r="58" spans="1:5" s="1658" customFormat="1" ht="12.75" customHeight="1" x14ac:dyDescent="0.25">
      <c r="A58" s="1682" t="s">
        <v>134</v>
      </c>
      <c r="B58" s="1683" t="s">
        <v>135</v>
      </c>
      <c r="C58" s="1661" t="s">
        <v>267</v>
      </c>
      <c r="D58" s="1684">
        <v>6089580</v>
      </c>
      <c r="E58" s="1684">
        <v>6089580</v>
      </c>
    </row>
    <row r="59" spans="1:5" s="1658" customFormat="1" ht="12.75" customHeight="1" x14ac:dyDescent="0.25">
      <c r="A59" s="1682" t="s">
        <v>136</v>
      </c>
      <c r="B59" s="1683" t="s">
        <v>137</v>
      </c>
      <c r="C59" s="1661" t="s">
        <v>266</v>
      </c>
      <c r="D59" s="1684">
        <v>3172620</v>
      </c>
      <c r="E59" s="1684">
        <v>3172620</v>
      </c>
    </row>
    <row r="60" spans="1:5" s="1658" customFormat="1" ht="12.75" customHeight="1" x14ac:dyDescent="0.25">
      <c r="A60" s="1682" t="s">
        <v>140</v>
      </c>
      <c r="B60" s="1683" t="s">
        <v>141</v>
      </c>
      <c r="C60" s="1661" t="s">
        <v>267</v>
      </c>
      <c r="D60" s="1684">
        <v>2017208</v>
      </c>
      <c r="E60" s="1684">
        <v>2017208</v>
      </c>
    </row>
    <row r="61" spans="1:5" s="1658" customFormat="1" ht="12.75" customHeight="1" x14ac:dyDescent="0.25">
      <c r="A61" s="1682" t="s">
        <v>146</v>
      </c>
      <c r="B61" s="1683" t="s">
        <v>147</v>
      </c>
      <c r="C61" s="1661" t="s">
        <v>264</v>
      </c>
      <c r="D61" s="1684">
        <v>1240688</v>
      </c>
      <c r="E61" s="1684">
        <v>1240688</v>
      </c>
    </row>
    <row r="62" spans="1:5" s="1658" customFormat="1" ht="12.75" customHeight="1" x14ac:dyDescent="0.25">
      <c r="A62" s="1682" t="s">
        <v>148</v>
      </c>
      <c r="B62" s="1683" t="s">
        <v>149</v>
      </c>
      <c r="C62" s="1661" t="s">
        <v>265</v>
      </c>
      <c r="D62" s="1684">
        <v>6654966</v>
      </c>
      <c r="E62" s="1684">
        <v>6654966</v>
      </c>
    </row>
    <row r="63" spans="1:5" s="1658" customFormat="1" ht="12.75" customHeight="1" x14ac:dyDescent="0.25">
      <c r="A63" s="1682" t="s">
        <v>150</v>
      </c>
      <c r="B63" s="1683" t="s">
        <v>151</v>
      </c>
      <c r="C63" s="1661" t="s">
        <v>266</v>
      </c>
      <c r="D63" s="1684">
        <v>2218752</v>
      </c>
      <c r="E63" s="1684">
        <v>2218752</v>
      </c>
    </row>
    <row r="64" spans="1:5" s="1658" customFormat="1" ht="12.75" customHeight="1" x14ac:dyDescent="0.25">
      <c r="A64" s="1682" t="s">
        <v>152</v>
      </c>
      <c r="B64" s="1683" t="s">
        <v>153</v>
      </c>
      <c r="C64" s="1661" t="s">
        <v>268</v>
      </c>
      <c r="D64" s="1684">
        <v>9575687</v>
      </c>
      <c r="E64" s="1684">
        <v>9575687</v>
      </c>
    </row>
    <row r="65" spans="1:5" s="1658" customFormat="1" ht="12.75" customHeight="1" x14ac:dyDescent="0.25">
      <c r="A65" s="1682" t="s">
        <v>154</v>
      </c>
      <c r="B65" s="1683" t="s">
        <v>155</v>
      </c>
      <c r="C65" s="1661" t="s">
        <v>265</v>
      </c>
      <c r="D65" s="1684">
        <v>2825733</v>
      </c>
      <c r="E65" s="1684">
        <v>2825733</v>
      </c>
    </row>
    <row r="66" spans="1:5" s="1658" customFormat="1" ht="12.75" customHeight="1" x14ac:dyDescent="0.25">
      <c r="A66" s="1682" t="s">
        <v>156</v>
      </c>
      <c r="B66" s="1683" t="s">
        <v>157</v>
      </c>
      <c r="C66" s="1661" t="s">
        <v>266</v>
      </c>
      <c r="D66" s="1684">
        <v>1813761</v>
      </c>
      <c r="E66" s="1684">
        <v>1813761</v>
      </c>
    </row>
    <row r="67" spans="1:5" s="1658" customFormat="1" ht="12.75" customHeight="1" x14ac:dyDescent="0.25">
      <c r="A67" s="1682" t="s">
        <v>162</v>
      </c>
      <c r="B67" s="1683" t="s">
        <v>163</v>
      </c>
      <c r="C67" s="1661" t="s">
        <v>264</v>
      </c>
      <c r="D67" s="1684">
        <v>3551074</v>
      </c>
      <c r="E67" s="1684">
        <v>3551074</v>
      </c>
    </row>
    <row r="68" spans="1:5" s="1658" customFormat="1" ht="12.75" customHeight="1" x14ac:dyDescent="0.25">
      <c r="A68" s="1682" t="s">
        <v>164</v>
      </c>
      <c r="B68" s="1683" t="s">
        <v>165</v>
      </c>
      <c r="C68" s="1661" t="s">
        <v>266</v>
      </c>
      <c r="D68" s="1684">
        <v>2377295</v>
      </c>
      <c r="E68" s="1684">
        <v>2377295</v>
      </c>
    </row>
    <row r="69" spans="1:5" s="1658" customFormat="1" ht="12.75" customHeight="1" x14ac:dyDescent="0.25">
      <c r="A69" s="1682" t="s">
        <v>168</v>
      </c>
      <c r="B69" s="1683" t="s">
        <v>169</v>
      </c>
      <c r="C69" s="1661" t="s">
        <v>266</v>
      </c>
      <c r="D69" s="1684">
        <v>4755702</v>
      </c>
      <c r="E69" s="1684">
        <v>4755702</v>
      </c>
    </row>
    <row r="70" spans="1:5" s="1658" customFormat="1" ht="12.75" customHeight="1" x14ac:dyDescent="0.25">
      <c r="A70" s="1682" t="s">
        <v>170</v>
      </c>
      <c r="B70" s="1683" t="s">
        <v>171</v>
      </c>
      <c r="C70" s="1661" t="s">
        <v>267</v>
      </c>
      <c r="D70" s="1684">
        <v>4580317</v>
      </c>
      <c r="E70" s="1684">
        <v>4580317</v>
      </c>
    </row>
    <row r="71" spans="1:5" s="1658" customFormat="1" ht="12.75" customHeight="1" x14ac:dyDescent="0.25">
      <c r="A71" s="1682" t="s">
        <v>172</v>
      </c>
      <c r="B71" s="1683" t="s">
        <v>173</v>
      </c>
      <c r="C71" s="1661" t="s">
        <v>267</v>
      </c>
      <c r="D71" s="1684">
        <v>4970685</v>
      </c>
      <c r="E71" s="1684">
        <v>4970685</v>
      </c>
    </row>
    <row r="72" spans="1:5" s="1658" customFormat="1" ht="12.75" customHeight="1" x14ac:dyDescent="0.25">
      <c r="A72" s="1682" t="s">
        <v>174</v>
      </c>
      <c r="B72" s="1683" t="s">
        <v>175</v>
      </c>
      <c r="C72" s="1661" t="s">
        <v>268</v>
      </c>
      <c r="D72" s="1684">
        <v>3829086</v>
      </c>
      <c r="E72" s="1684">
        <v>3829086</v>
      </c>
    </row>
    <row r="73" spans="1:5" s="1658" customFormat="1" ht="12.75" customHeight="1" x14ac:dyDescent="0.25">
      <c r="A73" s="1682" t="s">
        <v>178</v>
      </c>
      <c r="B73" s="1683" t="s">
        <v>179</v>
      </c>
      <c r="C73" s="1661" t="s">
        <v>265</v>
      </c>
      <c r="D73" s="1684">
        <v>13128769</v>
      </c>
      <c r="E73" s="1684">
        <v>13128769</v>
      </c>
    </row>
    <row r="74" spans="1:5" s="1658" customFormat="1" ht="12.75" customHeight="1" x14ac:dyDescent="0.25">
      <c r="A74" s="1682" t="s">
        <v>182</v>
      </c>
      <c r="B74" s="1683" t="s">
        <v>183</v>
      </c>
      <c r="C74" s="1661" t="s">
        <v>266</v>
      </c>
      <c r="D74" s="1684">
        <v>1715922</v>
      </c>
      <c r="E74" s="1684">
        <v>1715922</v>
      </c>
    </row>
    <row r="75" spans="1:5" s="1658" customFormat="1" ht="12.75" customHeight="1" x14ac:dyDescent="0.25">
      <c r="A75" s="1682" t="s">
        <v>184</v>
      </c>
      <c r="B75" s="1683" t="s">
        <v>185</v>
      </c>
      <c r="C75" s="1661" t="s">
        <v>266</v>
      </c>
      <c r="D75" s="1684">
        <v>4601762</v>
      </c>
      <c r="E75" s="1684">
        <v>4601762</v>
      </c>
    </row>
    <row r="76" spans="1:5" s="1658" customFormat="1" ht="12.75" customHeight="1" x14ac:dyDescent="0.25">
      <c r="A76" s="1682" t="s">
        <v>186</v>
      </c>
      <c r="B76" s="1683" t="s">
        <v>187</v>
      </c>
      <c r="C76" s="1661" t="s">
        <v>264</v>
      </c>
      <c r="D76" s="1684">
        <v>4429460</v>
      </c>
      <c r="E76" s="1684">
        <v>4429460</v>
      </c>
    </row>
    <row r="77" spans="1:5" s="1658" customFormat="1" ht="12.75" customHeight="1" x14ac:dyDescent="0.25">
      <c r="A77" s="1682" t="s">
        <v>188</v>
      </c>
      <c r="B77" s="1683" t="s">
        <v>189</v>
      </c>
      <c r="C77" s="1661" t="s">
        <v>267</v>
      </c>
      <c r="D77" s="1684">
        <v>43391971</v>
      </c>
      <c r="E77" s="1684">
        <v>43391971</v>
      </c>
    </row>
    <row r="78" spans="1:5" s="1658" customFormat="1" ht="12.75" customHeight="1" x14ac:dyDescent="0.25">
      <c r="A78" s="1682" t="s">
        <v>190</v>
      </c>
      <c r="B78" s="1683" t="s">
        <v>191</v>
      </c>
      <c r="C78" s="1661" t="s">
        <v>268</v>
      </c>
      <c r="D78" s="1684">
        <v>7288132</v>
      </c>
      <c r="E78" s="1684">
        <v>7288132</v>
      </c>
    </row>
    <row r="79" spans="1:5" s="1658" customFormat="1" ht="12.75" customHeight="1" x14ac:dyDescent="0.25">
      <c r="A79" s="1682" t="s">
        <v>194</v>
      </c>
      <c r="B79" s="1683" t="s">
        <v>195</v>
      </c>
      <c r="C79" s="1661" t="s">
        <v>267</v>
      </c>
      <c r="D79" s="1684">
        <v>509489</v>
      </c>
      <c r="E79" s="1684">
        <v>509489</v>
      </c>
    </row>
    <row r="80" spans="1:5" s="1658" customFormat="1" ht="12.75" customHeight="1" x14ac:dyDescent="0.25">
      <c r="A80" s="1682" t="s">
        <v>198</v>
      </c>
      <c r="B80" s="1683" t="s">
        <v>199</v>
      </c>
      <c r="C80" s="1661" t="s">
        <v>266</v>
      </c>
      <c r="D80" s="1684">
        <v>2061595</v>
      </c>
      <c r="E80" s="1684">
        <v>2061595</v>
      </c>
    </row>
    <row r="81" spans="1:5" s="1658" customFormat="1" ht="12.75" customHeight="1" x14ac:dyDescent="0.25">
      <c r="A81" s="1682" t="s">
        <v>202</v>
      </c>
      <c r="B81" s="1683" t="s">
        <v>203</v>
      </c>
      <c r="C81" s="1661" t="s">
        <v>265</v>
      </c>
      <c r="D81" s="1684">
        <v>10376161</v>
      </c>
      <c r="E81" s="1684">
        <v>10376161</v>
      </c>
    </row>
    <row r="82" spans="1:5" s="1658" customFormat="1" ht="12.75" customHeight="1" x14ac:dyDescent="0.25">
      <c r="A82" s="1682" t="s">
        <v>204</v>
      </c>
      <c r="B82" s="1683" t="s">
        <v>205</v>
      </c>
      <c r="C82" s="1661" t="s">
        <v>265</v>
      </c>
      <c r="D82" s="1684">
        <v>5177856</v>
      </c>
      <c r="E82" s="1684">
        <v>5177856</v>
      </c>
    </row>
    <row r="83" spans="1:5" s="1658" customFormat="1" ht="12.75" customHeight="1" x14ac:dyDescent="0.25">
      <c r="A83" s="1682" t="s">
        <v>206</v>
      </c>
      <c r="B83" s="1683" t="s">
        <v>207</v>
      </c>
      <c r="C83" s="1661" t="s">
        <v>267</v>
      </c>
      <c r="D83" s="1684">
        <v>14023920</v>
      </c>
      <c r="E83" s="1684">
        <v>14023920</v>
      </c>
    </row>
    <row r="84" spans="1:5" s="1658" customFormat="1" ht="12.75" customHeight="1" x14ac:dyDescent="0.25">
      <c r="A84" s="1682" t="s">
        <v>208</v>
      </c>
      <c r="B84" s="1683" t="s">
        <v>209</v>
      </c>
      <c r="C84" s="1661" t="s">
        <v>268</v>
      </c>
      <c r="D84" s="1684">
        <v>7835620</v>
      </c>
      <c r="E84" s="1684">
        <v>7835620</v>
      </c>
    </row>
    <row r="85" spans="1:5" s="1658" customFormat="1" ht="12.75" customHeight="1" x14ac:dyDescent="0.25">
      <c r="A85" s="1682" t="s">
        <v>210</v>
      </c>
      <c r="B85" s="1683" t="s">
        <v>211</v>
      </c>
      <c r="C85" s="1661" t="s">
        <v>268</v>
      </c>
      <c r="D85" s="1684">
        <v>4508674</v>
      </c>
      <c r="E85" s="1684">
        <v>4508674</v>
      </c>
    </row>
    <row r="86" spans="1:5" s="1658" customFormat="1" ht="12.75" customHeight="1" x14ac:dyDescent="0.25">
      <c r="A86" s="1682" t="s">
        <v>212</v>
      </c>
      <c r="B86" s="1683" t="s">
        <v>213</v>
      </c>
      <c r="C86" s="1661" t="s">
        <v>267</v>
      </c>
      <c r="D86" s="1684">
        <v>7239666</v>
      </c>
      <c r="E86" s="1684">
        <v>7239666</v>
      </c>
    </row>
    <row r="87" spans="1:5" s="1658" customFormat="1" ht="12.75" customHeight="1" x14ac:dyDescent="0.25">
      <c r="A87" s="1682" t="s">
        <v>214</v>
      </c>
      <c r="B87" s="1683" t="s">
        <v>215</v>
      </c>
      <c r="C87" s="1661" t="s">
        <v>268</v>
      </c>
      <c r="D87" s="1684">
        <v>8371545</v>
      </c>
      <c r="E87" s="1684">
        <v>8371545</v>
      </c>
    </row>
    <row r="88" spans="1:5" s="1658" customFormat="1" ht="12.75" customHeight="1" x14ac:dyDescent="0.25">
      <c r="A88" s="1682" t="s">
        <v>216</v>
      </c>
      <c r="B88" s="1683" t="s">
        <v>217</v>
      </c>
      <c r="C88" s="1661" t="s">
        <v>264</v>
      </c>
      <c r="D88" s="1684">
        <v>3843448</v>
      </c>
      <c r="E88" s="1684">
        <v>3843448</v>
      </c>
    </row>
    <row r="89" spans="1:5" s="1658" customFormat="1" ht="12.75" customHeight="1" x14ac:dyDescent="0.25">
      <c r="A89" s="1682" t="s">
        <v>218</v>
      </c>
      <c r="B89" s="1683" t="s">
        <v>219</v>
      </c>
      <c r="C89" s="1661" t="s">
        <v>267</v>
      </c>
      <c r="D89" s="1684">
        <v>16609955</v>
      </c>
      <c r="E89" s="1684">
        <v>16609955</v>
      </c>
    </row>
    <row r="90" spans="1:5" s="1658" customFormat="1" ht="12.75" customHeight="1" x14ac:dyDescent="0.25">
      <c r="A90" s="1682" t="s">
        <v>220</v>
      </c>
      <c r="B90" s="1683" t="s">
        <v>221</v>
      </c>
      <c r="C90" s="1661" t="s">
        <v>267</v>
      </c>
      <c r="D90" s="1684">
        <v>14102830</v>
      </c>
      <c r="E90" s="1684">
        <v>14102830</v>
      </c>
    </row>
    <row r="91" spans="1:5" s="1658" customFormat="1" ht="12.75" customHeight="1" x14ac:dyDescent="0.25">
      <c r="A91" s="1682" t="s">
        <v>224</v>
      </c>
      <c r="B91" s="1683" t="s">
        <v>225</v>
      </c>
      <c r="C91" s="1661" t="s">
        <v>264</v>
      </c>
      <c r="D91" s="1684">
        <v>1458917</v>
      </c>
      <c r="E91" s="1684">
        <v>1458917</v>
      </c>
    </row>
    <row r="92" spans="1:5" s="1658" customFormat="1" ht="12.75" customHeight="1" x14ac:dyDescent="0.25">
      <c r="A92" s="1682" t="s">
        <v>226</v>
      </c>
      <c r="B92" s="1683" t="s">
        <v>227</v>
      </c>
      <c r="C92" s="1661" t="s">
        <v>264</v>
      </c>
      <c r="D92" s="1684">
        <v>2791667</v>
      </c>
      <c r="E92" s="1684">
        <v>2791667</v>
      </c>
    </row>
    <row r="93" spans="1:5" s="1658" customFormat="1" ht="12.75" customHeight="1" x14ac:dyDescent="0.25">
      <c r="A93" s="1682" t="s">
        <v>228</v>
      </c>
      <c r="B93" s="1683" t="s">
        <v>229</v>
      </c>
      <c r="C93" s="1661" t="s">
        <v>268</v>
      </c>
      <c r="D93" s="1684">
        <v>11297692</v>
      </c>
      <c r="E93" s="1684">
        <v>11297692</v>
      </c>
    </row>
    <row r="94" spans="1:5" s="1658" customFormat="1" ht="12.75" customHeight="1" x14ac:dyDescent="0.25">
      <c r="A94" s="1682" t="s">
        <v>232</v>
      </c>
      <c r="B94" s="1683" t="s">
        <v>233</v>
      </c>
      <c r="C94" s="1661" t="s">
        <v>267</v>
      </c>
      <c r="D94" s="1684">
        <v>6876314</v>
      </c>
      <c r="E94" s="1684">
        <v>6876314</v>
      </c>
    </row>
    <row r="95" spans="1:5" s="1658" customFormat="1" ht="12.75" customHeight="1" x14ac:dyDescent="0.25">
      <c r="A95" s="1682" t="s">
        <v>234</v>
      </c>
      <c r="B95" s="1683" t="s">
        <v>235</v>
      </c>
      <c r="C95" s="1661" t="s">
        <v>268</v>
      </c>
      <c r="D95" s="1684">
        <v>10039613</v>
      </c>
      <c r="E95" s="1684">
        <v>10039613</v>
      </c>
    </row>
    <row r="96" spans="1:5" s="1658" customFormat="1" ht="12.75" customHeight="1" x14ac:dyDescent="0.25">
      <c r="A96" s="1682" t="s">
        <v>236</v>
      </c>
      <c r="B96" s="1683" t="s">
        <v>237</v>
      </c>
      <c r="C96" s="1661" t="s">
        <v>266</v>
      </c>
      <c r="D96" s="1684">
        <v>4584918</v>
      </c>
      <c r="E96" s="1684">
        <v>4584918</v>
      </c>
    </row>
    <row r="97" spans="1:5" s="1658" customFormat="1" ht="12.75" customHeight="1" x14ac:dyDescent="0.25">
      <c r="A97" s="1682" t="s">
        <v>242</v>
      </c>
      <c r="B97" s="1683" t="s">
        <v>243</v>
      </c>
      <c r="C97" s="1661" t="s">
        <v>268</v>
      </c>
      <c r="D97" s="1684">
        <v>10980166</v>
      </c>
      <c r="E97" s="1684">
        <v>10980166</v>
      </c>
    </row>
    <row r="98" spans="1:5" s="1658" customFormat="1" ht="12.75" customHeight="1" x14ac:dyDescent="0.25">
      <c r="A98" s="1682" t="s">
        <v>244</v>
      </c>
      <c r="B98" s="1683" t="s">
        <v>245</v>
      </c>
      <c r="C98" s="1661" t="s">
        <v>268</v>
      </c>
      <c r="D98" s="1684">
        <v>5234255</v>
      </c>
      <c r="E98" s="1684">
        <v>5234255</v>
      </c>
    </row>
    <row r="99" spans="1:5" s="1658" customFormat="1" ht="12.75" customHeight="1" x14ac:dyDescent="0.25">
      <c r="A99" s="1682" t="s">
        <v>246</v>
      </c>
      <c r="B99" s="1683" t="s">
        <v>310</v>
      </c>
      <c r="C99" s="1661" t="s">
        <v>264</v>
      </c>
      <c r="D99" s="1684">
        <v>4587814</v>
      </c>
      <c r="E99" s="1684">
        <v>4587814</v>
      </c>
    </row>
    <row r="100" spans="1:5" s="1658" customFormat="1" ht="12.75" customHeight="1" x14ac:dyDescent="0.25">
      <c r="A100" s="1682" t="s">
        <v>14</v>
      </c>
      <c r="B100" s="1683" t="s">
        <v>15</v>
      </c>
      <c r="C100" s="1661" t="s">
        <v>267</v>
      </c>
      <c r="D100" s="1684">
        <v>12728287</v>
      </c>
      <c r="E100" s="1684">
        <v>12728287</v>
      </c>
    </row>
    <row r="101" spans="1:5" s="1658" customFormat="1" ht="12.75" customHeight="1" x14ac:dyDescent="0.25">
      <c r="A101" s="1682" t="s">
        <v>34</v>
      </c>
      <c r="B101" s="1683" t="s">
        <v>35</v>
      </c>
      <c r="C101" s="1661" t="s">
        <v>268</v>
      </c>
      <c r="D101" s="1684">
        <v>6319804</v>
      </c>
      <c r="E101" s="1684">
        <v>6319804</v>
      </c>
    </row>
    <row r="102" spans="1:5" s="1658" customFormat="1" ht="12.75" customHeight="1" x14ac:dyDescent="0.25">
      <c r="A102" s="1682" t="s">
        <v>52</v>
      </c>
      <c r="B102" s="1683" t="s">
        <v>53</v>
      </c>
      <c r="C102" s="1661" t="s">
        <v>265</v>
      </c>
      <c r="D102" s="1684">
        <v>6783639</v>
      </c>
      <c r="E102" s="1684">
        <v>6783639</v>
      </c>
    </row>
    <row r="103" spans="1:5" s="1658" customFormat="1" ht="12.75" customHeight="1" x14ac:dyDescent="0.25">
      <c r="A103" s="1682" t="s">
        <v>54</v>
      </c>
      <c r="B103" s="1683" t="s">
        <v>55</v>
      </c>
      <c r="C103" s="1661" t="s">
        <v>264</v>
      </c>
      <c r="D103" s="1684">
        <v>34092626</v>
      </c>
      <c r="E103" s="1684">
        <v>34092626</v>
      </c>
    </row>
    <row r="104" spans="1:5" s="1658" customFormat="1" ht="12.75" customHeight="1" x14ac:dyDescent="0.25">
      <c r="A104" s="1682" t="s">
        <v>66</v>
      </c>
      <c r="B104" s="1683" t="s">
        <v>67</v>
      </c>
      <c r="C104" s="1661" t="s">
        <v>265</v>
      </c>
      <c r="D104" s="1684">
        <v>19001964</v>
      </c>
      <c r="E104" s="1684">
        <v>19001964</v>
      </c>
    </row>
    <row r="105" spans="1:5" s="1658" customFormat="1" ht="12.75" customHeight="1" x14ac:dyDescent="0.25">
      <c r="A105" s="1682" t="s">
        <v>82</v>
      </c>
      <c r="B105" s="1683" t="s">
        <v>311</v>
      </c>
      <c r="C105" s="1661" t="s">
        <v>264</v>
      </c>
      <c r="D105" s="1684">
        <v>3849753</v>
      </c>
      <c r="E105" s="1684">
        <v>3849753</v>
      </c>
    </row>
    <row r="106" spans="1:5" s="1658" customFormat="1" ht="12.75" customHeight="1" x14ac:dyDescent="0.25">
      <c r="A106" s="1682" t="s">
        <v>88</v>
      </c>
      <c r="B106" s="1683" t="s">
        <v>89</v>
      </c>
      <c r="C106" s="1661" t="s">
        <v>267</v>
      </c>
      <c r="D106" s="1684">
        <v>5969826</v>
      </c>
      <c r="E106" s="1684">
        <v>5969826</v>
      </c>
    </row>
    <row r="107" spans="1:5" s="1658" customFormat="1" ht="12.75" customHeight="1" x14ac:dyDescent="0.25">
      <c r="A107" s="1682" t="s">
        <v>90</v>
      </c>
      <c r="B107" s="1683" t="s">
        <v>91</v>
      </c>
      <c r="C107" s="1661" t="s">
        <v>268</v>
      </c>
      <c r="D107" s="1684">
        <v>2546565</v>
      </c>
      <c r="E107" s="1684">
        <v>2546565</v>
      </c>
    </row>
    <row r="108" spans="1:5" s="1658" customFormat="1" ht="12.75" customHeight="1" x14ac:dyDescent="0.25">
      <c r="A108" s="1682" t="s">
        <v>106</v>
      </c>
      <c r="B108" s="1683" t="s">
        <v>107</v>
      </c>
      <c r="C108" s="1661" t="s">
        <v>264</v>
      </c>
      <c r="D108" s="1684">
        <v>31521937</v>
      </c>
      <c r="E108" s="1684">
        <v>31521937</v>
      </c>
    </row>
    <row r="109" spans="1:5" s="1658" customFormat="1" ht="12.75" customHeight="1" x14ac:dyDescent="0.25">
      <c r="A109" s="1682" t="s">
        <v>116</v>
      </c>
      <c r="B109" s="1683" t="s">
        <v>117</v>
      </c>
      <c r="C109" s="1661" t="s">
        <v>266</v>
      </c>
      <c r="D109" s="1684">
        <v>10098149</v>
      </c>
      <c r="E109" s="1684">
        <v>10098149</v>
      </c>
    </row>
    <row r="110" spans="1:5" s="1658" customFormat="1" ht="12.75" customHeight="1" x14ac:dyDescent="0.25">
      <c r="A110" s="1682" t="s">
        <v>138</v>
      </c>
      <c r="B110" s="1683" t="s">
        <v>139</v>
      </c>
      <c r="C110" s="1661" t="s">
        <v>265</v>
      </c>
      <c r="D110" s="1684">
        <v>18901447</v>
      </c>
      <c r="E110" s="1684">
        <v>18901447</v>
      </c>
    </row>
    <row r="111" spans="1:5" s="1658" customFormat="1" ht="12.75" customHeight="1" x14ac:dyDescent="0.25">
      <c r="A111" s="1682" t="s">
        <v>142</v>
      </c>
      <c r="B111" s="1683" t="s">
        <v>143</v>
      </c>
      <c r="C111" s="1661" t="s">
        <v>267</v>
      </c>
      <c r="D111" s="1684">
        <v>6118514</v>
      </c>
      <c r="E111" s="1684">
        <v>6118514</v>
      </c>
    </row>
    <row r="112" spans="1:5" s="1658" customFormat="1" ht="12.75" customHeight="1" x14ac:dyDescent="0.25">
      <c r="A112" s="1682" t="s">
        <v>144</v>
      </c>
      <c r="B112" s="1683" t="s">
        <v>145</v>
      </c>
      <c r="C112" s="1661" t="s">
        <v>267</v>
      </c>
      <c r="D112" s="1684">
        <v>1736583</v>
      </c>
      <c r="E112" s="1684">
        <v>1736583</v>
      </c>
    </row>
    <row r="113" spans="1:5" s="1658" customFormat="1" ht="12.75" customHeight="1" x14ac:dyDescent="0.25">
      <c r="A113" s="1682" t="s">
        <v>158</v>
      </c>
      <c r="B113" s="1683" t="s">
        <v>159</v>
      </c>
      <c r="C113" s="1661" t="s">
        <v>264</v>
      </c>
      <c r="D113" s="1684">
        <v>52120106</v>
      </c>
      <c r="E113" s="1684">
        <v>52120106</v>
      </c>
    </row>
    <row r="114" spans="1:5" s="1658" customFormat="1" ht="12.75" customHeight="1" x14ac:dyDescent="0.25">
      <c r="A114" s="1682" t="s">
        <v>160</v>
      </c>
      <c r="B114" s="1683" t="s">
        <v>161</v>
      </c>
      <c r="C114" s="1661" t="s">
        <v>264</v>
      </c>
      <c r="D114" s="1684">
        <v>70248943</v>
      </c>
      <c r="E114" s="1684">
        <v>70248943</v>
      </c>
    </row>
    <row r="115" spans="1:5" s="1658" customFormat="1" ht="12.75" customHeight="1" x14ac:dyDescent="0.25">
      <c r="A115" s="1682" t="s">
        <v>166</v>
      </c>
      <c r="B115" s="1683" t="s">
        <v>167</v>
      </c>
      <c r="C115" s="1661" t="s">
        <v>268</v>
      </c>
      <c r="D115" s="1684">
        <v>1241522</v>
      </c>
      <c r="E115" s="1684">
        <v>1241522</v>
      </c>
    </row>
    <row r="116" spans="1:5" s="1658" customFormat="1" ht="12.75" customHeight="1" x14ac:dyDescent="0.25">
      <c r="A116" s="1682" t="s">
        <v>176</v>
      </c>
      <c r="B116" s="1683" t="s">
        <v>177</v>
      </c>
      <c r="C116" s="1661" t="s">
        <v>266</v>
      </c>
      <c r="D116" s="1684">
        <v>15975160</v>
      </c>
      <c r="E116" s="1684">
        <v>15975160</v>
      </c>
    </row>
    <row r="117" spans="1:5" s="1658" customFormat="1" ht="12.75" customHeight="1" x14ac:dyDescent="0.25">
      <c r="A117" s="1682" t="s">
        <v>180</v>
      </c>
      <c r="B117" s="1683" t="s">
        <v>181</v>
      </c>
      <c r="C117" s="1661" t="s">
        <v>264</v>
      </c>
      <c r="D117" s="1684">
        <v>34424338</v>
      </c>
      <c r="E117" s="1684">
        <v>34424338</v>
      </c>
    </row>
    <row r="118" spans="1:5" s="1658" customFormat="1" ht="12.75" customHeight="1" x14ac:dyDescent="0.25">
      <c r="A118" s="1682" t="s">
        <v>192</v>
      </c>
      <c r="B118" s="1683" t="s">
        <v>193</v>
      </c>
      <c r="C118" s="1661" t="s">
        <v>268</v>
      </c>
      <c r="D118" s="1684">
        <v>2351744</v>
      </c>
      <c r="E118" s="1684">
        <v>2351744</v>
      </c>
    </row>
    <row r="119" spans="1:5" s="1658" customFormat="1" ht="12.75" customHeight="1" x14ac:dyDescent="0.25">
      <c r="A119" s="1682" t="s">
        <v>196</v>
      </c>
      <c r="B119" s="1683" t="s">
        <v>312</v>
      </c>
      <c r="C119" s="1661" t="s">
        <v>266</v>
      </c>
      <c r="D119" s="1684">
        <v>75024491</v>
      </c>
      <c r="E119" s="1684">
        <v>75024491</v>
      </c>
    </row>
    <row r="120" spans="1:5" s="1658" customFormat="1" ht="12.75" customHeight="1" x14ac:dyDescent="0.25">
      <c r="A120" s="1682" t="s">
        <v>200</v>
      </c>
      <c r="B120" s="1683" t="s">
        <v>313</v>
      </c>
      <c r="C120" s="1661" t="s">
        <v>265</v>
      </c>
      <c r="D120" s="1684">
        <v>33119590</v>
      </c>
      <c r="E120" s="1684">
        <v>33119590</v>
      </c>
    </row>
    <row r="121" spans="1:5" s="1658" customFormat="1" ht="12.75" customHeight="1" x14ac:dyDescent="0.25">
      <c r="A121" s="1682" t="s">
        <v>222</v>
      </c>
      <c r="B121" s="1683" t="s">
        <v>223</v>
      </c>
      <c r="C121" s="1661" t="s">
        <v>264</v>
      </c>
      <c r="D121" s="1684">
        <v>17996248</v>
      </c>
      <c r="E121" s="1684">
        <v>17996248</v>
      </c>
    </row>
    <row r="122" spans="1:5" s="1658" customFormat="1" ht="12.75" customHeight="1" x14ac:dyDescent="0.25">
      <c r="A122" s="1682" t="s">
        <v>230</v>
      </c>
      <c r="B122" s="1683" t="s">
        <v>231</v>
      </c>
      <c r="C122" s="1661" t="s">
        <v>264</v>
      </c>
      <c r="D122" s="1684">
        <v>49432998</v>
      </c>
      <c r="E122" s="1684">
        <v>49432998</v>
      </c>
    </row>
    <row r="123" spans="1:5" s="1658" customFormat="1" ht="12.75" customHeight="1" x14ac:dyDescent="0.25">
      <c r="A123" s="1682" t="s">
        <v>238</v>
      </c>
      <c r="B123" s="1683" t="s">
        <v>239</v>
      </c>
      <c r="C123" s="1661" t="s">
        <v>264</v>
      </c>
      <c r="D123" s="1684">
        <v>1860286</v>
      </c>
      <c r="E123" s="1684">
        <v>1860286</v>
      </c>
    </row>
    <row r="124" spans="1:5" s="1658" customFormat="1" ht="12.75" customHeight="1" x14ac:dyDescent="0.25">
      <c r="A124" s="1682" t="s">
        <v>240</v>
      </c>
      <c r="B124" s="1683" t="s">
        <v>241</v>
      </c>
      <c r="C124" s="1671" t="s">
        <v>267</v>
      </c>
      <c r="D124" s="1684">
        <v>5856228</v>
      </c>
      <c r="E124" s="1684">
        <v>5856228</v>
      </c>
    </row>
    <row r="125" spans="1:5" s="1658" customFormat="1" ht="12.75" customHeight="1" x14ac:dyDescent="0.25"/>
    <row r="126" spans="1:5" s="1658" customFormat="1" ht="12.75" customHeight="1" x14ac:dyDescent="0.25">
      <c r="A126" s="1658" t="s">
        <v>266</v>
      </c>
      <c r="D126" s="1675">
        <f>E126</f>
        <v>263886620</v>
      </c>
      <c r="E126" s="1675">
        <f t="shared" ref="E126" si="0">E8+E19+E21+E23+E25+E29+E32+E36+E41+E46+E47+E52+E54+E55+E59+E63+E66+E68+E69+E74+E75+E80+E96+E109+E116+E119</f>
        <v>263886620</v>
      </c>
    </row>
    <row r="127" spans="1:5" s="1658" customFormat="1" ht="12.75" customHeight="1" x14ac:dyDescent="0.25">
      <c r="A127" s="1658" t="s">
        <v>264</v>
      </c>
      <c r="D127" s="1675">
        <f t="shared" ref="D127:D130" si="1">E127</f>
        <v>360924678</v>
      </c>
      <c r="E127" s="1675">
        <f t="shared" ref="E127" si="2">E5+E17+E31+E40+E44+E50+E51+E61+E67+E76+E88+E91+E92+E99+E103+E105+E108+E113+E114+E117+E121+E122+E123</f>
        <v>360924678</v>
      </c>
    </row>
    <row r="128" spans="1:5" s="1658" customFormat="1" ht="12.75" customHeight="1" x14ac:dyDescent="0.25">
      <c r="A128" s="1658" t="s">
        <v>267</v>
      </c>
      <c r="D128" s="1675">
        <f t="shared" si="1"/>
        <v>276986361</v>
      </c>
      <c r="E128" s="1675">
        <f t="shared" ref="E128" si="3">E11+E26+E28+E33+E34+E38+E43+E53+E57+E58+E60+E70+E71+E77+E79+E83+E86+E89+E90+E94+E100+E106+E111+E112+E124</f>
        <v>276986361</v>
      </c>
    </row>
    <row r="129" spans="1:5" s="1658" customFormat="1" ht="12.75" customHeight="1" x14ac:dyDescent="0.25">
      <c r="A129" s="1658" t="s">
        <v>265</v>
      </c>
      <c r="D129" s="1675">
        <f t="shared" si="1"/>
        <v>220846054</v>
      </c>
      <c r="E129" s="1675">
        <f t="shared" ref="E129" si="4">E6+E7+E9+E10+E12+E13+E14+E16+E20+E24+E27+E37+E45+E48+E49+E62+E65+E73+E81+E82+E102+E104+E110+E120</f>
        <v>220846054</v>
      </c>
    </row>
    <row r="130" spans="1:5" s="1658" customFormat="1" ht="12.75" customHeight="1" x14ac:dyDescent="0.25">
      <c r="A130" s="1658" t="s">
        <v>268</v>
      </c>
      <c r="D130" s="1675">
        <f t="shared" si="1"/>
        <v>124643965</v>
      </c>
      <c r="E130" s="1675">
        <f t="shared" ref="E130" si="5">E15+E18+E22+E30+E35+E39+E42+E56+E64+E72+E78+E84+E85+E87+E93+E95+E97+E98+E101+E107+E115+E118</f>
        <v>124643965</v>
      </c>
    </row>
    <row r="131" spans="1:5" s="1658" customFormat="1" ht="12.75" customHeight="1" x14ac:dyDescent="0.25">
      <c r="A131" s="1658" t="s">
        <v>9</v>
      </c>
      <c r="D131" s="1685">
        <f>E131</f>
        <v>1247287678</v>
      </c>
      <c r="E131" s="1685">
        <f t="shared" ref="E131" si="6">SUM(E126:E130)</f>
        <v>1247287678</v>
      </c>
    </row>
    <row r="133" spans="1:5" s="394" customFormat="1" x14ac:dyDescent="0.25">
      <c r="A133" s="394" t="s">
        <v>801</v>
      </c>
      <c r="B133" s="715"/>
      <c r="C133" s="715"/>
      <c r="D133" s="665"/>
    </row>
    <row r="134" spans="1:5" s="394" customFormat="1" x14ac:dyDescent="0.25"/>
    <row r="135" spans="1:5" s="414" customFormat="1" x14ac:dyDescent="0.25">
      <c r="A135" s="414" t="s">
        <v>248</v>
      </c>
    </row>
    <row r="136" spans="1:5" x14ac:dyDescent="0.25">
      <c r="A136" s="415" t="s">
        <v>249</v>
      </c>
      <c r="B136" s="416" t="s">
        <v>250</v>
      </c>
      <c r="C136" s="416"/>
    </row>
  </sheetData>
  <autoFilter ref="A3:C124"/>
  <hyperlinks>
    <hyperlink ref="B136" r:id="rId1"/>
  </hyperlinks>
  <pageMargins left="0.7" right="0.7" top="0.75" bottom="0.75" header="0.3" footer="0.3"/>
  <pageSetup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8"/>
  <sheetViews>
    <sheetView zoomScale="98" zoomScaleNormal="98" workbookViewId="0">
      <pane xSplit="3" ySplit="4" topLeftCell="D107" activePane="bottomRight" state="frozen"/>
      <selection pane="topRight" activeCell="D1" sqref="D1"/>
      <selection pane="bottomLeft" activeCell="A5" sqref="A5"/>
      <selection pane="bottomRight" activeCell="H135" sqref="H135"/>
    </sheetView>
  </sheetViews>
  <sheetFormatPr defaultRowHeight="15.75" x14ac:dyDescent="0.25"/>
  <cols>
    <col min="1" max="1" width="13.375" style="270" bestFit="1" customWidth="1"/>
    <col min="2" max="2" width="31.375" style="270" customWidth="1"/>
    <col min="3" max="3" width="14.875" style="270" customWidth="1"/>
    <col min="4" max="4" width="13.75" style="270" bestFit="1" customWidth="1"/>
    <col min="5" max="5" width="11.375" style="270" customWidth="1"/>
    <col min="6" max="6" width="12.375" style="270" bestFit="1" customWidth="1"/>
    <col min="7" max="7" width="10.875" style="270" customWidth="1"/>
    <col min="8" max="8" width="10.125" style="270" bestFit="1" customWidth="1"/>
    <col min="9" max="9" width="12.375" style="270" bestFit="1" customWidth="1"/>
    <col min="10" max="10" width="12.625" style="270" customWidth="1"/>
    <col min="11" max="16384" width="9" style="270"/>
  </cols>
  <sheetData>
    <row r="1" spans="1:10" x14ac:dyDescent="0.25">
      <c r="A1" s="64" t="s">
        <v>1186</v>
      </c>
    </row>
    <row r="2" spans="1:10" x14ac:dyDescent="0.25">
      <c r="D2" s="1385"/>
      <c r="E2" s="1385"/>
      <c r="F2" s="1385"/>
      <c r="G2" s="1385"/>
      <c r="H2" s="1385"/>
      <c r="I2" s="1385"/>
    </row>
    <row r="3" spans="1:10" ht="31.5" x14ac:dyDescent="0.25">
      <c r="A3" s="840" t="s">
        <v>4</v>
      </c>
      <c r="B3" s="841" t="s">
        <v>5</v>
      </c>
      <c r="C3" s="913" t="s">
        <v>251</v>
      </c>
      <c r="D3" s="842" t="s">
        <v>977</v>
      </c>
      <c r="E3" s="843" t="s">
        <v>978</v>
      </c>
      <c r="F3" s="843" t="s">
        <v>979</v>
      </c>
      <c r="G3" s="843" t="s">
        <v>980</v>
      </c>
      <c r="H3" s="843" t="s">
        <v>981</v>
      </c>
      <c r="I3" s="1457" t="s">
        <v>982</v>
      </c>
      <c r="J3" s="1458" t="s">
        <v>1094</v>
      </c>
    </row>
    <row r="4" spans="1:10" s="1658" customFormat="1" ht="12.75" customHeight="1" x14ac:dyDescent="0.25">
      <c r="A4" s="1652">
        <v>999</v>
      </c>
      <c r="B4" s="1653" t="s">
        <v>9</v>
      </c>
      <c r="C4" s="1654"/>
      <c r="D4" s="1655">
        <f t="shared" ref="D4:I4" si="0">SUM(D5:D124)</f>
        <v>39621020.891123988</v>
      </c>
      <c r="E4" s="1655">
        <f t="shared" si="0"/>
        <v>0</v>
      </c>
      <c r="F4" s="1655">
        <f t="shared" si="0"/>
        <v>46786610.208876021</v>
      </c>
      <c r="G4" s="1655">
        <f t="shared" si="0"/>
        <v>0</v>
      </c>
      <c r="H4" s="1655">
        <f t="shared" si="0"/>
        <v>0</v>
      </c>
      <c r="I4" s="1656">
        <f t="shared" si="0"/>
        <v>86407631.099999994</v>
      </c>
      <c r="J4" s="1657">
        <f>G4+H4</f>
        <v>0</v>
      </c>
    </row>
    <row r="5" spans="1:10" s="1666" customFormat="1" ht="12.75" customHeight="1" x14ac:dyDescent="0.25">
      <c r="A5" s="1659" t="s">
        <v>10</v>
      </c>
      <c r="B5" s="1660" t="s">
        <v>11</v>
      </c>
      <c r="C5" s="1661" t="s">
        <v>264</v>
      </c>
      <c r="D5" s="1662">
        <v>163805.938028</v>
      </c>
      <c r="E5" s="1663"/>
      <c r="F5" s="1663">
        <v>181794.60197200003</v>
      </c>
      <c r="G5" s="1663">
        <v>0</v>
      </c>
      <c r="H5" s="1663">
        <v>0</v>
      </c>
      <c r="I5" s="1664">
        <f t="shared" ref="I5:I36" si="1">SUM(D5:H5)</f>
        <v>345600.54000000004</v>
      </c>
      <c r="J5" s="1665">
        <f t="shared" ref="J5:J68" si="2">G5+H5</f>
        <v>0</v>
      </c>
    </row>
    <row r="6" spans="1:10" s="1666" customFormat="1" ht="12.75" customHeight="1" x14ac:dyDescent="0.25">
      <c r="A6" s="1659" t="s">
        <v>12</v>
      </c>
      <c r="B6" s="1660" t="s">
        <v>13</v>
      </c>
      <c r="C6" s="1661" t="s">
        <v>265</v>
      </c>
      <c r="D6" s="1667">
        <v>185554.63483799997</v>
      </c>
      <c r="E6" s="1668"/>
      <c r="F6" s="1668">
        <v>277430.45516200003</v>
      </c>
      <c r="G6" s="1668">
        <v>0</v>
      </c>
      <c r="H6" s="1668">
        <v>0</v>
      </c>
      <c r="I6" s="1664">
        <f t="shared" si="1"/>
        <v>462985.08999999997</v>
      </c>
      <c r="J6" s="1665">
        <f t="shared" si="2"/>
        <v>0</v>
      </c>
    </row>
    <row r="7" spans="1:10" s="1666" customFormat="1" ht="12.75" customHeight="1" x14ac:dyDescent="0.25">
      <c r="A7" s="1659" t="s">
        <v>16</v>
      </c>
      <c r="B7" s="1660" t="s">
        <v>297</v>
      </c>
      <c r="C7" s="1661" t="s">
        <v>265</v>
      </c>
      <c r="D7" s="1669">
        <v>102443.45609400001</v>
      </c>
      <c r="E7" s="1670"/>
      <c r="F7" s="1670">
        <v>122317.73390600001</v>
      </c>
      <c r="G7" s="1670">
        <v>0</v>
      </c>
      <c r="H7" s="1670">
        <v>0</v>
      </c>
      <c r="I7" s="1664">
        <f t="shared" si="1"/>
        <v>224761.19</v>
      </c>
      <c r="J7" s="1665">
        <f t="shared" si="2"/>
        <v>0</v>
      </c>
    </row>
    <row r="8" spans="1:10" s="1666" customFormat="1" ht="12.75" customHeight="1" x14ac:dyDescent="0.25">
      <c r="A8" s="1659" t="s">
        <v>18</v>
      </c>
      <c r="B8" s="1660" t="s">
        <v>19</v>
      </c>
      <c r="C8" s="1661" t="s">
        <v>266</v>
      </c>
      <c r="D8" s="1669">
        <v>46083.300719999999</v>
      </c>
      <c r="E8" s="1670"/>
      <c r="F8" s="1670">
        <v>57817.359280000004</v>
      </c>
      <c r="G8" s="1670">
        <v>0</v>
      </c>
      <c r="H8" s="1670">
        <v>0</v>
      </c>
      <c r="I8" s="1664">
        <f t="shared" si="1"/>
        <v>103900.66</v>
      </c>
      <c r="J8" s="1665">
        <f t="shared" si="2"/>
        <v>0</v>
      </c>
    </row>
    <row r="9" spans="1:10" s="1666" customFormat="1" ht="12.75" customHeight="1" x14ac:dyDescent="0.25">
      <c r="A9" s="1659" t="s">
        <v>20</v>
      </c>
      <c r="B9" s="1660" t="s">
        <v>21</v>
      </c>
      <c r="C9" s="1661" t="s">
        <v>265</v>
      </c>
      <c r="D9" s="1667">
        <v>111663.45915999998</v>
      </c>
      <c r="E9" s="1668"/>
      <c r="F9" s="1668">
        <v>129330.34084</v>
      </c>
      <c r="G9" s="1668">
        <v>0</v>
      </c>
      <c r="H9" s="1668">
        <v>0</v>
      </c>
      <c r="I9" s="1664">
        <f t="shared" si="1"/>
        <v>240993.8</v>
      </c>
      <c r="J9" s="1665">
        <f t="shared" si="2"/>
        <v>0</v>
      </c>
    </row>
    <row r="10" spans="1:10" s="1666" customFormat="1" ht="12.75" customHeight="1" x14ac:dyDescent="0.25">
      <c r="A10" s="1659" t="s">
        <v>22</v>
      </c>
      <c r="B10" s="1660" t="s">
        <v>23</v>
      </c>
      <c r="C10" s="1661" t="s">
        <v>265</v>
      </c>
      <c r="D10" s="1669">
        <v>96698.726839999988</v>
      </c>
      <c r="E10" s="1670"/>
      <c r="F10" s="1670">
        <v>110999.47315999999</v>
      </c>
      <c r="G10" s="1670">
        <v>0</v>
      </c>
      <c r="H10" s="1670">
        <v>0</v>
      </c>
      <c r="I10" s="1664">
        <f t="shared" si="1"/>
        <v>207698.19999999998</v>
      </c>
      <c r="J10" s="1665">
        <f t="shared" si="2"/>
        <v>0</v>
      </c>
    </row>
    <row r="11" spans="1:10" s="1666" customFormat="1" ht="12.75" customHeight="1" x14ac:dyDescent="0.25">
      <c r="A11" s="1659" t="s">
        <v>24</v>
      </c>
      <c r="B11" s="1660" t="s">
        <v>25</v>
      </c>
      <c r="C11" s="1661" t="s">
        <v>267</v>
      </c>
      <c r="D11" s="1669">
        <v>329816.605354</v>
      </c>
      <c r="E11" s="1670"/>
      <c r="F11" s="1670">
        <v>389666.92464599997</v>
      </c>
      <c r="G11" s="1670">
        <v>0</v>
      </c>
      <c r="H11" s="1670">
        <v>0</v>
      </c>
      <c r="I11" s="1664">
        <f t="shared" si="1"/>
        <v>719483.53</v>
      </c>
      <c r="J11" s="1665">
        <f t="shared" si="2"/>
        <v>0</v>
      </c>
    </row>
    <row r="12" spans="1:10" s="1666" customFormat="1" ht="12.75" customHeight="1" x14ac:dyDescent="0.25">
      <c r="A12" s="1659" t="s">
        <v>26</v>
      </c>
      <c r="B12" s="1660" t="s">
        <v>686</v>
      </c>
      <c r="C12" s="1661" t="s">
        <v>265</v>
      </c>
      <c r="D12" s="1669">
        <v>654584.91523399996</v>
      </c>
      <c r="E12" s="1670"/>
      <c r="F12" s="1670">
        <v>739140.30476600002</v>
      </c>
      <c r="G12" s="1670">
        <v>0</v>
      </c>
      <c r="H12" s="1670">
        <v>0</v>
      </c>
      <c r="I12" s="1664">
        <f t="shared" si="1"/>
        <v>1393725.22</v>
      </c>
      <c r="J12" s="1665">
        <f t="shared" si="2"/>
        <v>0</v>
      </c>
    </row>
    <row r="13" spans="1:10" s="1666" customFormat="1" ht="12.75" customHeight="1" x14ac:dyDescent="0.25">
      <c r="A13" s="1659" t="s">
        <v>27</v>
      </c>
      <c r="B13" s="1660" t="s">
        <v>28</v>
      </c>
      <c r="C13" s="1661" t="s">
        <v>265</v>
      </c>
      <c r="D13" s="1667">
        <v>4105.6661999999997</v>
      </c>
      <c r="E13" s="1668"/>
      <c r="F13" s="1668">
        <v>8335.5338000000011</v>
      </c>
      <c r="G13" s="1668">
        <v>0</v>
      </c>
      <c r="H13" s="1668">
        <v>0</v>
      </c>
      <c r="I13" s="1664">
        <f t="shared" si="1"/>
        <v>12441.2</v>
      </c>
      <c r="J13" s="1665">
        <f t="shared" si="2"/>
        <v>0</v>
      </c>
    </row>
    <row r="14" spans="1:10" s="1666" customFormat="1" ht="12.75" customHeight="1" x14ac:dyDescent="0.25">
      <c r="A14" s="1659" t="s">
        <v>29</v>
      </c>
      <c r="B14" s="1660" t="s">
        <v>941</v>
      </c>
      <c r="C14" s="1661" t="s">
        <v>265</v>
      </c>
      <c r="D14" s="1669">
        <v>220734.006528</v>
      </c>
      <c r="E14" s="1670"/>
      <c r="F14" s="1670">
        <v>261091.81347200004</v>
      </c>
      <c r="G14" s="1670">
        <v>0</v>
      </c>
      <c r="H14" s="1670">
        <v>0</v>
      </c>
      <c r="I14" s="1664">
        <f t="shared" si="1"/>
        <v>481825.82000000007</v>
      </c>
      <c r="J14" s="1665">
        <f t="shared" si="2"/>
        <v>0</v>
      </c>
    </row>
    <row r="15" spans="1:10" s="1666" customFormat="1" ht="12.75" customHeight="1" x14ac:dyDescent="0.25">
      <c r="A15" s="1659" t="s">
        <v>30</v>
      </c>
      <c r="B15" s="1660" t="s">
        <v>31</v>
      </c>
      <c r="C15" s="1661" t="s">
        <v>268</v>
      </c>
      <c r="D15" s="1667">
        <v>12607.947399999999</v>
      </c>
      <c r="E15" s="1668"/>
      <c r="F15" s="1668">
        <v>14972.052600000001</v>
      </c>
      <c r="G15" s="1668">
        <v>0</v>
      </c>
      <c r="H15" s="1668">
        <v>0</v>
      </c>
      <c r="I15" s="1664">
        <f t="shared" si="1"/>
        <v>27580</v>
      </c>
      <c r="J15" s="1665">
        <f t="shared" si="2"/>
        <v>0</v>
      </c>
    </row>
    <row r="16" spans="1:10" s="1666" customFormat="1" ht="12.75" customHeight="1" x14ac:dyDescent="0.25">
      <c r="A16" s="1659" t="s">
        <v>32</v>
      </c>
      <c r="B16" s="1660" t="s">
        <v>33</v>
      </c>
      <c r="C16" s="1661" t="s">
        <v>265</v>
      </c>
      <c r="D16" s="1667">
        <v>37605.630599999997</v>
      </c>
      <c r="E16" s="1668"/>
      <c r="F16" s="1668">
        <v>39318.369400000003</v>
      </c>
      <c r="G16" s="1668">
        <v>0</v>
      </c>
      <c r="H16" s="1668">
        <v>0</v>
      </c>
      <c r="I16" s="1664">
        <f t="shared" si="1"/>
        <v>76924</v>
      </c>
      <c r="J16" s="1665">
        <f t="shared" si="2"/>
        <v>0</v>
      </c>
    </row>
    <row r="17" spans="1:10" s="1666" customFormat="1" ht="12.75" customHeight="1" x14ac:dyDescent="0.25">
      <c r="A17" s="1659" t="s">
        <v>36</v>
      </c>
      <c r="B17" s="1660" t="s">
        <v>37</v>
      </c>
      <c r="C17" s="1661" t="s">
        <v>264</v>
      </c>
      <c r="D17" s="1667">
        <v>122986.41922799998</v>
      </c>
      <c r="E17" s="1668"/>
      <c r="F17" s="1668">
        <v>134689.12077199999</v>
      </c>
      <c r="G17" s="1668">
        <v>0</v>
      </c>
      <c r="H17" s="1668">
        <v>0</v>
      </c>
      <c r="I17" s="1664">
        <f t="shared" si="1"/>
        <v>257675.53999999998</v>
      </c>
      <c r="J17" s="1665">
        <f t="shared" si="2"/>
        <v>0</v>
      </c>
    </row>
    <row r="18" spans="1:10" s="1666" customFormat="1" ht="12.75" customHeight="1" x14ac:dyDescent="0.25">
      <c r="A18" s="1659" t="s">
        <v>38</v>
      </c>
      <c r="B18" s="1660" t="s">
        <v>39</v>
      </c>
      <c r="C18" s="1661" t="s">
        <v>268</v>
      </c>
      <c r="D18" s="1669">
        <v>163082.43205999999</v>
      </c>
      <c r="E18" s="1670"/>
      <c r="F18" s="1670">
        <v>193772.66793999998</v>
      </c>
      <c r="G18" s="1670">
        <v>0</v>
      </c>
      <c r="H18" s="1670">
        <v>0</v>
      </c>
      <c r="I18" s="1664">
        <f t="shared" si="1"/>
        <v>356855.1</v>
      </c>
      <c r="J18" s="1665">
        <f t="shared" si="2"/>
        <v>0</v>
      </c>
    </row>
    <row r="19" spans="1:10" s="1666" customFormat="1" ht="12.75" customHeight="1" x14ac:dyDescent="0.25">
      <c r="A19" s="1659" t="s">
        <v>40</v>
      </c>
      <c r="B19" s="1660" t="s">
        <v>41</v>
      </c>
      <c r="C19" s="1661" t="s">
        <v>266</v>
      </c>
      <c r="D19" s="1669">
        <v>76031.677032000007</v>
      </c>
      <c r="E19" s="1670"/>
      <c r="F19" s="1670">
        <v>88747.002968000001</v>
      </c>
      <c r="G19" s="1670">
        <v>0</v>
      </c>
      <c r="H19" s="1670">
        <v>0</v>
      </c>
      <c r="I19" s="1664">
        <f t="shared" si="1"/>
        <v>164778.68</v>
      </c>
      <c r="J19" s="1665">
        <f t="shared" si="2"/>
        <v>0</v>
      </c>
    </row>
    <row r="20" spans="1:10" s="1666" customFormat="1" ht="12.75" customHeight="1" x14ac:dyDescent="0.25">
      <c r="A20" s="1659" t="s">
        <v>42</v>
      </c>
      <c r="B20" s="1660" t="s">
        <v>43</v>
      </c>
      <c r="C20" s="1661" t="s">
        <v>265</v>
      </c>
      <c r="D20" s="1669">
        <v>265279.07489199995</v>
      </c>
      <c r="E20" s="1670"/>
      <c r="F20" s="1670">
        <v>363847.38510800002</v>
      </c>
      <c r="G20" s="1670">
        <v>0</v>
      </c>
      <c r="H20" s="1670">
        <v>0</v>
      </c>
      <c r="I20" s="1664">
        <f t="shared" si="1"/>
        <v>629126.46</v>
      </c>
      <c r="J20" s="1665">
        <f t="shared" si="2"/>
        <v>0</v>
      </c>
    </row>
    <row r="21" spans="1:10" s="1666" customFormat="1" ht="12.75" customHeight="1" x14ac:dyDescent="0.25">
      <c r="A21" s="1659" t="s">
        <v>44</v>
      </c>
      <c r="B21" s="1660" t="s">
        <v>45</v>
      </c>
      <c r="C21" s="1661" t="s">
        <v>266</v>
      </c>
      <c r="D21" s="1669">
        <v>227794.30262999996</v>
      </c>
      <c r="E21" s="1670"/>
      <c r="F21" s="1670">
        <v>303769.34736999997</v>
      </c>
      <c r="G21" s="1670">
        <v>0</v>
      </c>
      <c r="H21" s="1670">
        <v>0</v>
      </c>
      <c r="I21" s="1664">
        <f t="shared" si="1"/>
        <v>531563.64999999991</v>
      </c>
      <c r="J21" s="1665">
        <f t="shared" si="2"/>
        <v>0</v>
      </c>
    </row>
    <row r="22" spans="1:10" s="1666" customFormat="1" ht="12.75" customHeight="1" x14ac:dyDescent="0.25">
      <c r="A22" s="1659" t="s">
        <v>46</v>
      </c>
      <c r="B22" s="1660" t="s">
        <v>47</v>
      </c>
      <c r="C22" s="1661" t="s">
        <v>268</v>
      </c>
      <c r="D22" s="1669">
        <v>118960.44510000003</v>
      </c>
      <c r="E22" s="1670"/>
      <c r="F22" s="1670">
        <v>143039.05490000005</v>
      </c>
      <c r="G22" s="1670">
        <v>0</v>
      </c>
      <c r="H22" s="1670">
        <v>0</v>
      </c>
      <c r="I22" s="1664">
        <f t="shared" si="1"/>
        <v>261999.50000000006</v>
      </c>
      <c r="J22" s="1665">
        <f t="shared" si="2"/>
        <v>0</v>
      </c>
    </row>
    <row r="23" spans="1:10" s="1666" customFormat="1" ht="12.75" customHeight="1" x14ac:dyDescent="0.25">
      <c r="A23" s="1659" t="s">
        <v>48</v>
      </c>
      <c r="B23" s="1660" t="s">
        <v>269</v>
      </c>
      <c r="C23" s="1661" t="s">
        <v>266</v>
      </c>
      <c r="D23" s="1667">
        <v>19369.0196</v>
      </c>
      <c r="E23" s="1668"/>
      <c r="F23" s="1668">
        <v>19508.9804</v>
      </c>
      <c r="G23" s="1668">
        <v>0</v>
      </c>
      <c r="H23" s="1668">
        <v>0</v>
      </c>
      <c r="I23" s="1664">
        <f t="shared" si="1"/>
        <v>38878</v>
      </c>
      <c r="J23" s="1665">
        <f t="shared" si="2"/>
        <v>0</v>
      </c>
    </row>
    <row r="24" spans="1:10" s="1666" customFormat="1" ht="12.75" customHeight="1" x14ac:dyDescent="0.25">
      <c r="A24" s="1659" t="s">
        <v>50</v>
      </c>
      <c r="B24" s="1660" t="s">
        <v>51</v>
      </c>
      <c r="C24" s="1661" t="s">
        <v>265</v>
      </c>
      <c r="D24" s="1669">
        <v>71957.018799999991</v>
      </c>
      <c r="E24" s="1670"/>
      <c r="F24" s="1670">
        <v>92876.981200000009</v>
      </c>
      <c r="G24" s="1670">
        <v>0</v>
      </c>
      <c r="H24" s="1670">
        <v>0</v>
      </c>
      <c r="I24" s="1664">
        <f t="shared" si="1"/>
        <v>164834</v>
      </c>
      <c r="J24" s="1665">
        <f t="shared" si="2"/>
        <v>0</v>
      </c>
    </row>
    <row r="25" spans="1:10" s="1666" customFormat="1" ht="12.75" customHeight="1" x14ac:dyDescent="0.25">
      <c r="A25" s="1659" t="s">
        <v>56</v>
      </c>
      <c r="B25" s="1660" t="s">
        <v>295</v>
      </c>
      <c r="C25" s="1661" t="s">
        <v>266</v>
      </c>
      <c r="D25" s="1669">
        <v>1094918.4322319999</v>
      </c>
      <c r="E25" s="1670"/>
      <c r="F25" s="1670">
        <v>1258862.777768</v>
      </c>
      <c r="G25" s="1670">
        <v>0</v>
      </c>
      <c r="H25" s="1670">
        <v>0</v>
      </c>
      <c r="I25" s="1664">
        <f t="shared" si="1"/>
        <v>2353781.21</v>
      </c>
      <c r="J25" s="1665">
        <f t="shared" si="2"/>
        <v>0</v>
      </c>
    </row>
    <row r="26" spans="1:10" s="1666" customFormat="1" ht="12.75" customHeight="1" x14ac:dyDescent="0.25">
      <c r="A26" s="1659" t="s">
        <v>58</v>
      </c>
      <c r="B26" s="1660" t="s">
        <v>59</v>
      </c>
      <c r="C26" s="1661" t="s">
        <v>267</v>
      </c>
      <c r="D26" s="1667">
        <v>18325.988079999996</v>
      </c>
      <c r="E26" s="1668"/>
      <c r="F26" s="1668">
        <v>19295.411919999999</v>
      </c>
      <c r="G26" s="1668">
        <v>0</v>
      </c>
      <c r="H26" s="1668">
        <v>0</v>
      </c>
      <c r="I26" s="1664">
        <f t="shared" si="1"/>
        <v>37621.399999999994</v>
      </c>
      <c r="J26" s="1665">
        <f t="shared" si="2"/>
        <v>0</v>
      </c>
    </row>
    <row r="27" spans="1:10" s="1666" customFormat="1" ht="12.75" customHeight="1" x14ac:dyDescent="0.25">
      <c r="A27" s="1659" t="s">
        <v>60</v>
      </c>
      <c r="B27" s="1660" t="s">
        <v>61</v>
      </c>
      <c r="C27" s="1661" t="s">
        <v>265</v>
      </c>
      <c r="D27" s="1667">
        <v>22630.236799999999</v>
      </c>
      <c r="E27" s="1668"/>
      <c r="F27" s="1668">
        <v>24465.763200000001</v>
      </c>
      <c r="G27" s="1668">
        <v>0</v>
      </c>
      <c r="H27" s="1668">
        <v>0</v>
      </c>
      <c r="I27" s="1664">
        <f t="shared" si="1"/>
        <v>47096</v>
      </c>
      <c r="J27" s="1665">
        <f t="shared" si="2"/>
        <v>0</v>
      </c>
    </row>
    <row r="28" spans="1:10" s="1666" customFormat="1" ht="12.75" customHeight="1" x14ac:dyDescent="0.25">
      <c r="A28" s="1659" t="s">
        <v>62</v>
      </c>
      <c r="B28" s="1660" t="s">
        <v>63</v>
      </c>
      <c r="C28" s="1661" t="s">
        <v>267</v>
      </c>
      <c r="D28" s="1669">
        <v>161437.88880599994</v>
      </c>
      <c r="E28" s="1670"/>
      <c r="F28" s="1670">
        <v>187099.44119399996</v>
      </c>
      <c r="G28" s="1670">
        <v>0</v>
      </c>
      <c r="H28" s="1670">
        <v>0</v>
      </c>
      <c r="I28" s="1664">
        <f t="shared" si="1"/>
        <v>348537.3299999999</v>
      </c>
      <c r="J28" s="1665">
        <f t="shared" si="2"/>
        <v>0</v>
      </c>
    </row>
    <row r="29" spans="1:10" s="1666" customFormat="1" ht="12.75" customHeight="1" x14ac:dyDescent="0.25">
      <c r="A29" s="1659" t="s">
        <v>64</v>
      </c>
      <c r="B29" s="1660" t="s">
        <v>65</v>
      </c>
      <c r="C29" s="1661" t="s">
        <v>266</v>
      </c>
      <c r="D29" s="1669">
        <v>76853.846527999995</v>
      </c>
      <c r="E29" s="1670"/>
      <c r="F29" s="1670">
        <v>92920.963472000018</v>
      </c>
      <c r="G29" s="1670">
        <v>0</v>
      </c>
      <c r="H29" s="1670">
        <v>0</v>
      </c>
      <c r="I29" s="1664">
        <f t="shared" si="1"/>
        <v>169774.81</v>
      </c>
      <c r="J29" s="1665">
        <f t="shared" si="2"/>
        <v>0</v>
      </c>
    </row>
    <row r="30" spans="1:10" s="1666" customFormat="1" ht="12.75" customHeight="1" x14ac:dyDescent="0.25">
      <c r="A30" s="1659" t="s">
        <v>68</v>
      </c>
      <c r="B30" s="1660" t="s">
        <v>69</v>
      </c>
      <c r="C30" s="1661" t="s">
        <v>268</v>
      </c>
      <c r="D30" s="1669">
        <v>81776.490979999988</v>
      </c>
      <c r="E30" s="1670"/>
      <c r="F30" s="1670">
        <v>89722.409020000006</v>
      </c>
      <c r="G30" s="1670">
        <v>0</v>
      </c>
      <c r="H30" s="1670">
        <v>0</v>
      </c>
      <c r="I30" s="1664">
        <f t="shared" si="1"/>
        <v>171498.9</v>
      </c>
      <c r="J30" s="1665">
        <f t="shared" si="2"/>
        <v>0</v>
      </c>
    </row>
    <row r="31" spans="1:10" s="1666" customFormat="1" ht="12.75" customHeight="1" x14ac:dyDescent="0.25">
      <c r="A31" s="1659" t="s">
        <v>70</v>
      </c>
      <c r="B31" s="1660" t="s">
        <v>71</v>
      </c>
      <c r="C31" s="1661" t="s">
        <v>264</v>
      </c>
      <c r="D31" s="1669">
        <v>138354.1256</v>
      </c>
      <c r="E31" s="1670"/>
      <c r="F31" s="1670">
        <v>149931.8744</v>
      </c>
      <c r="G31" s="1670">
        <v>0</v>
      </c>
      <c r="H31" s="1670">
        <v>0</v>
      </c>
      <c r="I31" s="1664">
        <f t="shared" si="1"/>
        <v>288286</v>
      </c>
      <c r="J31" s="1665">
        <f t="shared" si="2"/>
        <v>0</v>
      </c>
    </row>
    <row r="32" spans="1:10" s="1666" customFormat="1" ht="12.75" customHeight="1" x14ac:dyDescent="0.25">
      <c r="A32" s="1659" t="s">
        <v>72</v>
      </c>
      <c r="B32" s="1660" t="s">
        <v>73</v>
      </c>
      <c r="C32" s="1661" t="s">
        <v>266</v>
      </c>
      <c r="D32" s="1667">
        <v>83983.36752</v>
      </c>
      <c r="E32" s="1668"/>
      <c r="F32" s="1668">
        <v>91277.232480000006</v>
      </c>
      <c r="G32" s="1668">
        <v>0</v>
      </c>
      <c r="H32" s="1668">
        <v>0</v>
      </c>
      <c r="I32" s="1664">
        <f t="shared" si="1"/>
        <v>175260.6</v>
      </c>
      <c r="J32" s="1665">
        <f t="shared" si="2"/>
        <v>0</v>
      </c>
    </row>
    <row r="33" spans="1:10" s="1666" customFormat="1" ht="12.75" customHeight="1" x14ac:dyDescent="0.25">
      <c r="A33" s="1659" t="s">
        <v>74</v>
      </c>
      <c r="B33" s="1660" t="s">
        <v>664</v>
      </c>
      <c r="C33" s="1661" t="s">
        <v>267</v>
      </c>
      <c r="D33" s="1669">
        <v>1867511.4832660004</v>
      </c>
      <c r="E33" s="1670"/>
      <c r="F33" s="1670">
        <v>2559514.9767340003</v>
      </c>
      <c r="G33" s="1670">
        <v>0</v>
      </c>
      <c r="H33" s="1670">
        <v>0</v>
      </c>
      <c r="I33" s="1664">
        <f t="shared" si="1"/>
        <v>4427026.4600000009</v>
      </c>
      <c r="J33" s="1665">
        <f t="shared" si="2"/>
        <v>0</v>
      </c>
    </row>
    <row r="34" spans="1:10" s="1666" customFormat="1" ht="12.75" customHeight="1" x14ac:dyDescent="0.25">
      <c r="A34" s="1659" t="s">
        <v>76</v>
      </c>
      <c r="B34" s="1660" t="s">
        <v>77</v>
      </c>
      <c r="C34" s="1661" t="s">
        <v>267</v>
      </c>
      <c r="D34" s="1669">
        <v>139340.3125</v>
      </c>
      <c r="E34" s="1670"/>
      <c r="F34" s="1670">
        <v>223092.08749999999</v>
      </c>
      <c r="G34" s="1670">
        <v>0</v>
      </c>
      <c r="H34" s="1670">
        <v>0</v>
      </c>
      <c r="I34" s="1664">
        <f t="shared" si="1"/>
        <v>362432.4</v>
      </c>
      <c r="J34" s="1665">
        <f t="shared" si="2"/>
        <v>0</v>
      </c>
    </row>
    <row r="35" spans="1:10" s="1666" customFormat="1" ht="12.75" customHeight="1" x14ac:dyDescent="0.25">
      <c r="A35" s="1659" t="s">
        <v>78</v>
      </c>
      <c r="B35" s="1660" t="s">
        <v>79</v>
      </c>
      <c r="C35" s="1661" t="s">
        <v>268</v>
      </c>
      <c r="D35" s="1667">
        <v>52495.931840000005</v>
      </c>
      <c r="E35" s="1668"/>
      <c r="F35" s="1668">
        <v>65819.268160000007</v>
      </c>
      <c r="G35" s="1668">
        <v>0</v>
      </c>
      <c r="H35" s="1668">
        <v>0</v>
      </c>
      <c r="I35" s="1664">
        <f t="shared" si="1"/>
        <v>118315.20000000001</v>
      </c>
      <c r="J35" s="1665">
        <f t="shared" si="2"/>
        <v>0</v>
      </c>
    </row>
    <row r="36" spans="1:10" s="1666" customFormat="1" ht="12.75" customHeight="1" x14ac:dyDescent="0.25">
      <c r="A36" s="1659" t="s">
        <v>80</v>
      </c>
      <c r="B36" s="1660" t="s">
        <v>81</v>
      </c>
      <c r="C36" s="1661" t="s">
        <v>266</v>
      </c>
      <c r="D36" s="1669">
        <v>68602.638200000001</v>
      </c>
      <c r="E36" s="1670"/>
      <c r="F36" s="1670">
        <v>76099.361799999999</v>
      </c>
      <c r="G36" s="1670">
        <v>0</v>
      </c>
      <c r="H36" s="1670">
        <v>0</v>
      </c>
      <c r="I36" s="1664">
        <f t="shared" si="1"/>
        <v>144702</v>
      </c>
      <c r="J36" s="1665">
        <f t="shared" si="2"/>
        <v>0</v>
      </c>
    </row>
    <row r="37" spans="1:10" s="1666" customFormat="1" ht="12.75" customHeight="1" x14ac:dyDescent="0.25">
      <c r="A37" s="1659" t="s">
        <v>84</v>
      </c>
      <c r="B37" s="1660" t="s">
        <v>308</v>
      </c>
      <c r="C37" s="1661" t="s">
        <v>265</v>
      </c>
      <c r="D37" s="1669">
        <v>236326.01250399998</v>
      </c>
      <c r="E37" s="1670"/>
      <c r="F37" s="1670">
        <v>270132.58749599999</v>
      </c>
      <c r="G37" s="1670">
        <v>0</v>
      </c>
      <c r="H37" s="1670">
        <v>0</v>
      </c>
      <c r="I37" s="1664">
        <f t="shared" ref="I37:I68" si="3">SUM(D37:H37)</f>
        <v>506458.6</v>
      </c>
      <c r="J37" s="1665">
        <f t="shared" si="2"/>
        <v>0</v>
      </c>
    </row>
    <row r="38" spans="1:10" s="1666" customFormat="1" ht="12.75" customHeight="1" x14ac:dyDescent="0.25">
      <c r="A38" s="1659" t="s">
        <v>86</v>
      </c>
      <c r="B38" s="1660" t="s">
        <v>87</v>
      </c>
      <c r="C38" s="1661" t="s">
        <v>267</v>
      </c>
      <c r="D38" s="1667">
        <v>92681.426374000002</v>
      </c>
      <c r="E38" s="1668"/>
      <c r="F38" s="1668">
        <v>102823.263626</v>
      </c>
      <c r="G38" s="1668">
        <v>0</v>
      </c>
      <c r="H38" s="1668">
        <v>0</v>
      </c>
      <c r="I38" s="1664">
        <f t="shared" si="3"/>
        <v>195504.69</v>
      </c>
      <c r="J38" s="1665">
        <f t="shared" si="2"/>
        <v>0</v>
      </c>
    </row>
    <row r="39" spans="1:10" s="1666" customFormat="1" ht="12.75" customHeight="1" x14ac:dyDescent="0.25">
      <c r="A39" s="1659" t="s">
        <v>92</v>
      </c>
      <c r="B39" s="1660" t="s">
        <v>93</v>
      </c>
      <c r="C39" s="1661" t="s">
        <v>268</v>
      </c>
      <c r="D39" s="1669">
        <v>55248.885399999999</v>
      </c>
      <c r="E39" s="1670"/>
      <c r="F39" s="1670">
        <v>56278.114600000001</v>
      </c>
      <c r="G39" s="1670">
        <v>0</v>
      </c>
      <c r="H39" s="1670">
        <v>0</v>
      </c>
      <c r="I39" s="1664">
        <f t="shared" si="3"/>
        <v>111527</v>
      </c>
      <c r="J39" s="1665">
        <f t="shared" si="2"/>
        <v>0</v>
      </c>
    </row>
    <row r="40" spans="1:10" s="1666" customFormat="1" ht="12.75" customHeight="1" x14ac:dyDescent="0.25">
      <c r="A40" s="1659" t="s">
        <v>94</v>
      </c>
      <c r="B40" s="1660" t="s">
        <v>95</v>
      </c>
      <c r="C40" s="1661" t="s">
        <v>264</v>
      </c>
      <c r="D40" s="1667">
        <v>150188.06449799999</v>
      </c>
      <c r="E40" s="1668"/>
      <c r="F40" s="1668">
        <v>180293.53550200001</v>
      </c>
      <c r="G40" s="1668">
        <v>0</v>
      </c>
      <c r="H40" s="1668">
        <v>0</v>
      </c>
      <c r="I40" s="1664">
        <f t="shared" si="3"/>
        <v>330481.59999999998</v>
      </c>
      <c r="J40" s="1665">
        <f t="shared" si="2"/>
        <v>0</v>
      </c>
    </row>
    <row r="41" spans="1:10" s="1666" customFormat="1" ht="12.75" customHeight="1" x14ac:dyDescent="0.25">
      <c r="A41" s="1659" t="s">
        <v>96</v>
      </c>
      <c r="B41" s="1660" t="s">
        <v>97</v>
      </c>
      <c r="C41" s="1661" t="s">
        <v>266</v>
      </c>
      <c r="D41" s="1667">
        <v>29343.481799999998</v>
      </c>
      <c r="E41" s="1668"/>
      <c r="F41" s="1668">
        <v>37762.518200000006</v>
      </c>
      <c r="G41" s="1668">
        <v>0</v>
      </c>
      <c r="H41" s="1668">
        <v>0</v>
      </c>
      <c r="I41" s="1664">
        <f t="shared" si="3"/>
        <v>67106</v>
      </c>
      <c r="J41" s="1665">
        <f t="shared" si="2"/>
        <v>0</v>
      </c>
    </row>
    <row r="42" spans="1:10" s="1666" customFormat="1" ht="12.75" customHeight="1" x14ac:dyDescent="0.25">
      <c r="A42" s="1659" t="s">
        <v>98</v>
      </c>
      <c r="B42" s="1660" t="s">
        <v>99</v>
      </c>
      <c r="C42" s="1661" t="s">
        <v>268</v>
      </c>
      <c r="D42" s="1667">
        <v>44163.33756</v>
      </c>
      <c r="E42" s="1668"/>
      <c r="F42" s="1668">
        <v>47564.462440000003</v>
      </c>
      <c r="G42" s="1668">
        <v>0</v>
      </c>
      <c r="H42" s="1668">
        <v>0</v>
      </c>
      <c r="I42" s="1664">
        <f t="shared" si="3"/>
        <v>91727.8</v>
      </c>
      <c r="J42" s="1665">
        <f t="shared" si="2"/>
        <v>0</v>
      </c>
    </row>
    <row r="43" spans="1:10" s="1666" customFormat="1" ht="12.75" customHeight="1" x14ac:dyDescent="0.25">
      <c r="A43" s="1659" t="s">
        <v>100</v>
      </c>
      <c r="B43" s="1660" t="s">
        <v>101</v>
      </c>
      <c r="C43" s="1661" t="s">
        <v>267</v>
      </c>
      <c r="D43" s="1667">
        <v>74082.623974000002</v>
      </c>
      <c r="E43" s="1668"/>
      <c r="F43" s="1668">
        <v>94969.32602600001</v>
      </c>
      <c r="G43" s="1668">
        <v>0</v>
      </c>
      <c r="H43" s="1668">
        <v>0</v>
      </c>
      <c r="I43" s="1664">
        <f t="shared" si="3"/>
        <v>169051.95</v>
      </c>
      <c r="J43" s="1665">
        <f t="shared" si="2"/>
        <v>0</v>
      </c>
    </row>
    <row r="44" spans="1:10" s="1666" customFormat="1" ht="12.75" customHeight="1" x14ac:dyDescent="0.25">
      <c r="A44" s="1659" t="s">
        <v>102</v>
      </c>
      <c r="B44" s="1660" t="s">
        <v>103</v>
      </c>
      <c r="C44" s="1661" t="s">
        <v>264</v>
      </c>
      <c r="D44" s="1667">
        <v>171277.12458</v>
      </c>
      <c r="E44" s="1668"/>
      <c r="F44" s="1668">
        <v>196885.77542000002</v>
      </c>
      <c r="G44" s="1668">
        <v>0</v>
      </c>
      <c r="H44" s="1668">
        <v>0</v>
      </c>
      <c r="I44" s="1664">
        <f t="shared" si="3"/>
        <v>368162.9</v>
      </c>
      <c r="J44" s="1665">
        <f t="shared" si="2"/>
        <v>0</v>
      </c>
    </row>
    <row r="45" spans="1:10" s="1666" customFormat="1" ht="12.75" customHeight="1" x14ac:dyDescent="0.25">
      <c r="A45" s="1659" t="s">
        <v>104</v>
      </c>
      <c r="B45" s="1660" t="s">
        <v>309</v>
      </c>
      <c r="C45" s="1661" t="s">
        <v>265</v>
      </c>
      <c r="D45" s="1669">
        <v>231208.62665399996</v>
      </c>
      <c r="E45" s="1670"/>
      <c r="F45" s="1670">
        <v>254670.34334600001</v>
      </c>
      <c r="G45" s="1670">
        <v>0</v>
      </c>
      <c r="H45" s="1670">
        <v>0</v>
      </c>
      <c r="I45" s="1664">
        <f t="shared" si="3"/>
        <v>485878.97</v>
      </c>
      <c r="J45" s="1665">
        <f t="shared" si="2"/>
        <v>0</v>
      </c>
    </row>
    <row r="46" spans="1:10" s="1666" customFormat="1" ht="12.75" customHeight="1" x14ac:dyDescent="0.25">
      <c r="A46" s="1659" t="s">
        <v>108</v>
      </c>
      <c r="B46" s="1660" t="s">
        <v>109</v>
      </c>
      <c r="C46" s="1661" t="s">
        <v>266</v>
      </c>
      <c r="D46" s="1669">
        <v>136155.56899999999</v>
      </c>
      <c r="E46" s="1670"/>
      <c r="F46" s="1670">
        <v>207221.96100000001</v>
      </c>
      <c r="G46" s="1670">
        <v>0</v>
      </c>
      <c r="H46" s="1670">
        <v>0</v>
      </c>
      <c r="I46" s="1664">
        <f t="shared" si="3"/>
        <v>343377.53</v>
      </c>
      <c r="J46" s="1665">
        <f t="shared" si="2"/>
        <v>0</v>
      </c>
    </row>
    <row r="47" spans="1:10" s="1666" customFormat="1" ht="12.75" customHeight="1" x14ac:dyDescent="0.25">
      <c r="A47" s="1659" t="s">
        <v>110</v>
      </c>
      <c r="B47" s="1660" t="s">
        <v>111</v>
      </c>
      <c r="C47" s="1661" t="s">
        <v>266</v>
      </c>
      <c r="D47" s="1669">
        <v>1547215.5347139996</v>
      </c>
      <c r="E47" s="1670"/>
      <c r="F47" s="1670">
        <v>1918361.9352859999</v>
      </c>
      <c r="G47" s="1670">
        <v>0</v>
      </c>
      <c r="H47" s="1670">
        <v>0</v>
      </c>
      <c r="I47" s="1664">
        <f t="shared" si="3"/>
        <v>3465577.4699999997</v>
      </c>
      <c r="J47" s="1665">
        <f t="shared" si="2"/>
        <v>0</v>
      </c>
    </row>
    <row r="48" spans="1:10" s="1666" customFormat="1" ht="12.75" customHeight="1" x14ac:dyDescent="0.25">
      <c r="A48" s="1659" t="s">
        <v>112</v>
      </c>
      <c r="B48" s="1660" t="s">
        <v>300</v>
      </c>
      <c r="C48" s="1661" t="s">
        <v>265</v>
      </c>
      <c r="D48" s="1669">
        <v>557003.03921800002</v>
      </c>
      <c r="E48" s="1670"/>
      <c r="F48" s="1670">
        <v>629588.35078200011</v>
      </c>
      <c r="G48" s="1670">
        <v>0</v>
      </c>
      <c r="H48" s="1670">
        <v>0</v>
      </c>
      <c r="I48" s="1664">
        <f t="shared" si="3"/>
        <v>1186591.3900000001</v>
      </c>
      <c r="J48" s="1665">
        <f t="shared" si="2"/>
        <v>0</v>
      </c>
    </row>
    <row r="49" spans="1:10" s="1666" customFormat="1" ht="12.75" customHeight="1" x14ac:dyDescent="0.25">
      <c r="A49" s="1659" t="s">
        <v>114</v>
      </c>
      <c r="B49" s="1660" t="s">
        <v>115</v>
      </c>
      <c r="C49" s="1661" t="s">
        <v>265</v>
      </c>
      <c r="D49" s="1667">
        <v>5070.6795999999995</v>
      </c>
      <c r="E49" s="1668"/>
      <c r="F49" s="1668">
        <v>5107.3204000000005</v>
      </c>
      <c r="G49" s="1668">
        <v>0</v>
      </c>
      <c r="H49" s="1668">
        <v>0</v>
      </c>
      <c r="I49" s="1664">
        <f t="shared" si="3"/>
        <v>10178</v>
      </c>
      <c r="J49" s="1665">
        <f t="shared" si="2"/>
        <v>0</v>
      </c>
    </row>
    <row r="50" spans="1:10" s="1666" customFormat="1" ht="12.75" customHeight="1" x14ac:dyDescent="0.25">
      <c r="A50" s="1659" t="s">
        <v>118</v>
      </c>
      <c r="B50" s="1660" t="s">
        <v>119</v>
      </c>
      <c r="C50" s="1661" t="s">
        <v>264</v>
      </c>
      <c r="D50" s="1669">
        <v>114175.55294799998</v>
      </c>
      <c r="E50" s="1670"/>
      <c r="F50" s="1670">
        <v>123040.587052</v>
      </c>
      <c r="G50" s="1670">
        <v>0</v>
      </c>
      <c r="H50" s="1670">
        <v>0</v>
      </c>
      <c r="I50" s="1664">
        <f t="shared" si="3"/>
        <v>237216.13999999998</v>
      </c>
      <c r="J50" s="1665">
        <f t="shared" si="2"/>
        <v>0</v>
      </c>
    </row>
    <row r="51" spans="1:10" s="1666" customFormat="1" ht="12.75" customHeight="1" x14ac:dyDescent="0.25">
      <c r="A51" s="1659" t="s">
        <v>120</v>
      </c>
      <c r="B51" s="1660" t="s">
        <v>121</v>
      </c>
      <c r="C51" s="1661" t="s">
        <v>264</v>
      </c>
      <c r="D51" s="1669">
        <v>236303.92729799997</v>
      </c>
      <c r="E51" s="1670"/>
      <c r="F51" s="1670">
        <v>280210.46270199999</v>
      </c>
      <c r="G51" s="1670">
        <v>0</v>
      </c>
      <c r="H51" s="1670">
        <v>0</v>
      </c>
      <c r="I51" s="1664">
        <f t="shared" si="3"/>
        <v>516514.38999999996</v>
      </c>
      <c r="J51" s="1665">
        <f t="shared" si="2"/>
        <v>0</v>
      </c>
    </row>
    <row r="52" spans="1:10" s="1666" customFormat="1" ht="12.75" customHeight="1" x14ac:dyDescent="0.25">
      <c r="A52" s="1659" t="s">
        <v>122</v>
      </c>
      <c r="B52" s="1660" t="s">
        <v>271</v>
      </c>
      <c r="C52" s="1661" t="s">
        <v>266</v>
      </c>
      <c r="D52" s="1667">
        <v>45314.378839999998</v>
      </c>
      <c r="E52" s="1668"/>
      <c r="F52" s="1668">
        <v>52446.411160000003</v>
      </c>
      <c r="G52" s="1668">
        <v>0</v>
      </c>
      <c r="H52" s="1668">
        <v>0</v>
      </c>
      <c r="I52" s="1664">
        <f t="shared" si="3"/>
        <v>97760.790000000008</v>
      </c>
      <c r="J52" s="1665">
        <f t="shared" si="2"/>
        <v>0</v>
      </c>
    </row>
    <row r="53" spans="1:10" s="1666" customFormat="1" ht="12.75" customHeight="1" x14ac:dyDescent="0.25">
      <c r="A53" s="1659" t="s">
        <v>124</v>
      </c>
      <c r="B53" s="1660" t="s">
        <v>125</v>
      </c>
      <c r="C53" s="1661" t="s">
        <v>267</v>
      </c>
      <c r="D53" s="1669">
        <v>88004.53899999999</v>
      </c>
      <c r="E53" s="1670"/>
      <c r="F53" s="1670">
        <v>100307.46100000001</v>
      </c>
      <c r="G53" s="1670">
        <v>0</v>
      </c>
      <c r="H53" s="1670">
        <v>0</v>
      </c>
      <c r="I53" s="1664">
        <f t="shared" si="3"/>
        <v>188312</v>
      </c>
      <c r="J53" s="1665">
        <f t="shared" si="2"/>
        <v>0</v>
      </c>
    </row>
    <row r="54" spans="1:10" s="1666" customFormat="1" ht="12.75" customHeight="1" x14ac:dyDescent="0.25">
      <c r="A54" s="1659" t="s">
        <v>126</v>
      </c>
      <c r="B54" s="1660" t="s">
        <v>127</v>
      </c>
      <c r="C54" s="1661" t="s">
        <v>266</v>
      </c>
      <c r="D54" s="1667">
        <v>42897.426306000001</v>
      </c>
      <c r="E54" s="1668"/>
      <c r="F54" s="1668">
        <v>47047.403694000001</v>
      </c>
      <c r="G54" s="1668">
        <v>0</v>
      </c>
      <c r="H54" s="1668">
        <v>0</v>
      </c>
      <c r="I54" s="1664">
        <f t="shared" si="3"/>
        <v>89944.83</v>
      </c>
      <c r="J54" s="1665">
        <f t="shared" si="2"/>
        <v>0</v>
      </c>
    </row>
    <row r="55" spans="1:10" s="1666" customFormat="1" ht="12.75" customHeight="1" x14ac:dyDescent="0.25">
      <c r="A55" s="1659" t="s">
        <v>128</v>
      </c>
      <c r="B55" s="1660" t="s">
        <v>129</v>
      </c>
      <c r="C55" s="1661" t="s">
        <v>266</v>
      </c>
      <c r="D55" s="1669">
        <v>41451.086939999986</v>
      </c>
      <c r="E55" s="1670"/>
      <c r="F55" s="1670">
        <v>42547.613059999996</v>
      </c>
      <c r="G55" s="1670">
        <v>0</v>
      </c>
      <c r="H55" s="1670">
        <v>0</v>
      </c>
      <c r="I55" s="1664">
        <f t="shared" si="3"/>
        <v>83998.699999999983</v>
      </c>
      <c r="J55" s="1665">
        <f t="shared" si="2"/>
        <v>0</v>
      </c>
    </row>
    <row r="56" spans="1:10" s="1666" customFormat="1" ht="12.75" customHeight="1" x14ac:dyDescent="0.25">
      <c r="A56" s="1659" t="s">
        <v>130</v>
      </c>
      <c r="B56" s="1660" t="s">
        <v>131</v>
      </c>
      <c r="C56" s="1661" t="s">
        <v>268</v>
      </c>
      <c r="D56" s="1669">
        <v>293498.13922000001</v>
      </c>
      <c r="E56" s="1670"/>
      <c r="F56" s="1670">
        <v>402236.96078000008</v>
      </c>
      <c r="G56" s="1670">
        <v>0</v>
      </c>
      <c r="H56" s="1670">
        <v>0</v>
      </c>
      <c r="I56" s="1664">
        <f t="shared" si="3"/>
        <v>695735.10000000009</v>
      </c>
      <c r="J56" s="1665">
        <f t="shared" si="2"/>
        <v>0</v>
      </c>
    </row>
    <row r="57" spans="1:10" s="1666" customFormat="1" ht="12.75" customHeight="1" x14ac:dyDescent="0.25">
      <c r="A57" s="1659" t="s">
        <v>132</v>
      </c>
      <c r="B57" s="1660" t="s">
        <v>133</v>
      </c>
      <c r="C57" s="1661" t="s">
        <v>267</v>
      </c>
      <c r="D57" s="1669">
        <v>293325.28872999991</v>
      </c>
      <c r="E57" s="1670"/>
      <c r="F57" s="1670">
        <v>498094.86126999999</v>
      </c>
      <c r="G57" s="1670">
        <v>0</v>
      </c>
      <c r="H57" s="1670">
        <v>0</v>
      </c>
      <c r="I57" s="1664">
        <f t="shared" si="3"/>
        <v>791420.14999999991</v>
      </c>
      <c r="J57" s="1665">
        <f t="shared" si="2"/>
        <v>0</v>
      </c>
    </row>
    <row r="58" spans="1:10" s="1666" customFormat="1" ht="12.75" customHeight="1" x14ac:dyDescent="0.25">
      <c r="A58" s="1659" t="s">
        <v>134</v>
      </c>
      <c r="B58" s="1660" t="s">
        <v>135</v>
      </c>
      <c r="C58" s="1661" t="s">
        <v>267</v>
      </c>
      <c r="D58" s="1669">
        <v>125857.27679999999</v>
      </c>
      <c r="E58" s="1670"/>
      <c r="F58" s="1670">
        <v>148692.72320000001</v>
      </c>
      <c r="G58" s="1670">
        <v>0</v>
      </c>
      <c r="H58" s="1670">
        <v>0</v>
      </c>
      <c r="I58" s="1664">
        <f t="shared" si="3"/>
        <v>274550</v>
      </c>
      <c r="J58" s="1665">
        <f t="shared" si="2"/>
        <v>0</v>
      </c>
    </row>
    <row r="59" spans="1:10" s="1666" customFormat="1" ht="12.75" customHeight="1" x14ac:dyDescent="0.25">
      <c r="A59" s="1659" t="s">
        <v>136</v>
      </c>
      <c r="B59" s="1660" t="s">
        <v>137</v>
      </c>
      <c r="C59" s="1661" t="s">
        <v>266</v>
      </c>
      <c r="D59" s="1667">
        <v>50489.580799999996</v>
      </c>
      <c r="E59" s="1668"/>
      <c r="F59" s="1668">
        <v>59500.419200000004</v>
      </c>
      <c r="G59" s="1668">
        <v>0</v>
      </c>
      <c r="H59" s="1668">
        <v>0</v>
      </c>
      <c r="I59" s="1664">
        <f t="shared" si="3"/>
        <v>109990</v>
      </c>
      <c r="J59" s="1665">
        <f t="shared" si="2"/>
        <v>0</v>
      </c>
    </row>
    <row r="60" spans="1:10" s="1666" customFormat="1" ht="12.75" customHeight="1" x14ac:dyDescent="0.25">
      <c r="A60" s="1659" t="s">
        <v>140</v>
      </c>
      <c r="B60" s="1660" t="s">
        <v>141</v>
      </c>
      <c r="C60" s="1661" t="s">
        <v>267</v>
      </c>
      <c r="D60" s="1669">
        <v>29825.096721999998</v>
      </c>
      <c r="E60" s="1670"/>
      <c r="F60" s="1670">
        <v>35106.013277999999</v>
      </c>
      <c r="G60" s="1670">
        <v>0</v>
      </c>
      <c r="H60" s="1670">
        <v>0</v>
      </c>
      <c r="I60" s="1664">
        <f t="shared" si="3"/>
        <v>64931.11</v>
      </c>
      <c r="J60" s="1665">
        <f t="shared" si="2"/>
        <v>0</v>
      </c>
    </row>
    <row r="61" spans="1:10" s="1666" customFormat="1" ht="12.75" customHeight="1" x14ac:dyDescent="0.25">
      <c r="A61" s="1659" t="s">
        <v>146</v>
      </c>
      <c r="B61" s="1660" t="s">
        <v>147</v>
      </c>
      <c r="C61" s="1661" t="s">
        <v>264</v>
      </c>
      <c r="D61" s="1667">
        <v>25449.550599999999</v>
      </c>
      <c r="E61" s="1668"/>
      <c r="F61" s="1668">
        <v>34244.449399999998</v>
      </c>
      <c r="G61" s="1668">
        <v>0</v>
      </c>
      <c r="H61" s="1668">
        <v>0</v>
      </c>
      <c r="I61" s="1664">
        <f t="shared" si="3"/>
        <v>59694</v>
      </c>
      <c r="J61" s="1665">
        <f t="shared" si="2"/>
        <v>0</v>
      </c>
    </row>
    <row r="62" spans="1:10" s="1666" customFormat="1" ht="12.75" customHeight="1" x14ac:dyDescent="0.25">
      <c r="A62" s="1659" t="s">
        <v>148</v>
      </c>
      <c r="B62" s="1660" t="s">
        <v>149</v>
      </c>
      <c r="C62" s="1661" t="s">
        <v>265</v>
      </c>
      <c r="D62" s="1669">
        <v>173292.03469600002</v>
      </c>
      <c r="E62" s="1670"/>
      <c r="F62" s="1670">
        <v>186526.24530400001</v>
      </c>
      <c r="G62" s="1670">
        <v>0</v>
      </c>
      <c r="H62" s="1670">
        <v>0</v>
      </c>
      <c r="I62" s="1664">
        <f t="shared" si="3"/>
        <v>359818.28</v>
      </c>
      <c r="J62" s="1665">
        <f t="shared" si="2"/>
        <v>0</v>
      </c>
    </row>
    <row r="63" spans="1:10" s="1666" customFormat="1" ht="12.75" customHeight="1" x14ac:dyDescent="0.25">
      <c r="A63" s="1659" t="s">
        <v>150</v>
      </c>
      <c r="B63" s="1660" t="s">
        <v>151</v>
      </c>
      <c r="C63" s="1661" t="s">
        <v>266</v>
      </c>
      <c r="D63" s="1669">
        <v>65881.967999999979</v>
      </c>
      <c r="E63" s="1670"/>
      <c r="F63" s="1670">
        <v>79922.031999999992</v>
      </c>
      <c r="G63" s="1670">
        <v>0</v>
      </c>
      <c r="H63" s="1670">
        <v>0</v>
      </c>
      <c r="I63" s="1664">
        <f t="shared" si="3"/>
        <v>145803.99999999997</v>
      </c>
      <c r="J63" s="1665">
        <f t="shared" si="2"/>
        <v>0</v>
      </c>
    </row>
    <row r="64" spans="1:10" s="1666" customFormat="1" ht="12.75" customHeight="1" x14ac:dyDescent="0.25">
      <c r="A64" s="1659" t="s">
        <v>152</v>
      </c>
      <c r="B64" s="1660" t="s">
        <v>153</v>
      </c>
      <c r="C64" s="1661" t="s">
        <v>268</v>
      </c>
      <c r="D64" s="1669">
        <v>427400.728252</v>
      </c>
      <c r="E64" s="1670"/>
      <c r="F64" s="1670">
        <v>484707.56174799998</v>
      </c>
      <c r="G64" s="1670">
        <v>0</v>
      </c>
      <c r="H64" s="1670">
        <v>0</v>
      </c>
      <c r="I64" s="1664">
        <f t="shared" si="3"/>
        <v>912108.29</v>
      </c>
      <c r="J64" s="1665">
        <f t="shared" si="2"/>
        <v>0</v>
      </c>
    </row>
    <row r="65" spans="1:10" s="1666" customFormat="1" ht="12.75" customHeight="1" x14ac:dyDescent="0.25">
      <c r="A65" s="1659" t="s">
        <v>154</v>
      </c>
      <c r="B65" s="1660" t="s">
        <v>155</v>
      </c>
      <c r="C65" s="1661" t="s">
        <v>265</v>
      </c>
      <c r="D65" s="1667">
        <v>52156.966524000003</v>
      </c>
      <c r="E65" s="1668"/>
      <c r="F65" s="1668">
        <v>60078.853476000004</v>
      </c>
      <c r="G65" s="1668">
        <v>0</v>
      </c>
      <c r="H65" s="1668">
        <v>0</v>
      </c>
      <c r="I65" s="1664">
        <f t="shared" si="3"/>
        <v>112235.82</v>
      </c>
      <c r="J65" s="1665">
        <f t="shared" si="2"/>
        <v>0</v>
      </c>
    </row>
    <row r="66" spans="1:10" s="1666" customFormat="1" ht="12.75" customHeight="1" x14ac:dyDescent="0.25">
      <c r="A66" s="1659" t="s">
        <v>156</v>
      </c>
      <c r="B66" s="1660" t="s">
        <v>157</v>
      </c>
      <c r="C66" s="1661" t="s">
        <v>266</v>
      </c>
      <c r="D66" s="1667">
        <v>53506.769675999996</v>
      </c>
      <c r="E66" s="1668"/>
      <c r="F66" s="1668">
        <v>70731.410323999997</v>
      </c>
      <c r="G66" s="1668">
        <v>0</v>
      </c>
      <c r="H66" s="1668">
        <v>0</v>
      </c>
      <c r="I66" s="1664">
        <f t="shared" si="3"/>
        <v>124238.18</v>
      </c>
      <c r="J66" s="1665">
        <f t="shared" si="2"/>
        <v>0</v>
      </c>
    </row>
    <row r="67" spans="1:10" s="1666" customFormat="1" ht="12.75" customHeight="1" x14ac:dyDescent="0.25">
      <c r="A67" s="1659" t="s">
        <v>162</v>
      </c>
      <c r="B67" s="1660" t="s">
        <v>163</v>
      </c>
      <c r="C67" s="1661" t="s">
        <v>264</v>
      </c>
      <c r="D67" s="1667">
        <v>104905.02742</v>
      </c>
      <c r="E67" s="1668"/>
      <c r="F67" s="1668">
        <v>115259.07258000001</v>
      </c>
      <c r="G67" s="1668">
        <v>0</v>
      </c>
      <c r="H67" s="1668">
        <v>0</v>
      </c>
      <c r="I67" s="1664">
        <f t="shared" si="3"/>
        <v>220164.1</v>
      </c>
      <c r="J67" s="1665">
        <f t="shared" si="2"/>
        <v>0</v>
      </c>
    </row>
    <row r="68" spans="1:10" s="1666" customFormat="1" ht="12.75" customHeight="1" x14ac:dyDescent="0.25">
      <c r="A68" s="1659" t="s">
        <v>164</v>
      </c>
      <c r="B68" s="1660" t="s">
        <v>165</v>
      </c>
      <c r="C68" s="1661" t="s">
        <v>266</v>
      </c>
      <c r="D68" s="1669">
        <v>39511.370149999995</v>
      </c>
      <c r="E68" s="1670"/>
      <c r="F68" s="1670">
        <v>41786.879850000005</v>
      </c>
      <c r="G68" s="1670">
        <v>0</v>
      </c>
      <c r="H68" s="1670">
        <v>0</v>
      </c>
      <c r="I68" s="1664">
        <f t="shared" si="3"/>
        <v>81298.25</v>
      </c>
      <c r="J68" s="1665">
        <f t="shared" si="2"/>
        <v>0</v>
      </c>
    </row>
    <row r="69" spans="1:10" s="1666" customFormat="1" ht="12.75" customHeight="1" x14ac:dyDescent="0.25">
      <c r="A69" s="1659" t="s">
        <v>168</v>
      </c>
      <c r="B69" s="1660" t="s">
        <v>169</v>
      </c>
      <c r="C69" s="1661" t="s">
        <v>266</v>
      </c>
      <c r="D69" s="1667">
        <v>135837.16938000001</v>
      </c>
      <c r="E69" s="1668"/>
      <c r="F69" s="1668">
        <v>162513.38062000001</v>
      </c>
      <c r="G69" s="1668">
        <v>0</v>
      </c>
      <c r="H69" s="1668">
        <v>0</v>
      </c>
      <c r="I69" s="1664">
        <f t="shared" ref="I69:I100" si="4">SUM(D69:H69)</f>
        <v>298350.55000000005</v>
      </c>
      <c r="J69" s="1665">
        <f t="shared" ref="J69:J124" si="5">G69+H69</f>
        <v>0</v>
      </c>
    </row>
    <row r="70" spans="1:10" s="1666" customFormat="1" ht="12.75" customHeight="1" x14ac:dyDescent="0.25">
      <c r="A70" s="1659" t="s">
        <v>170</v>
      </c>
      <c r="B70" s="1660" t="s">
        <v>171</v>
      </c>
      <c r="C70" s="1661" t="s">
        <v>267</v>
      </c>
      <c r="D70" s="1669">
        <v>140225.86299999998</v>
      </c>
      <c r="E70" s="1670"/>
      <c r="F70" s="1670">
        <v>165676.13700000002</v>
      </c>
      <c r="G70" s="1670">
        <v>0</v>
      </c>
      <c r="H70" s="1670">
        <v>0</v>
      </c>
      <c r="I70" s="1664">
        <f t="shared" si="4"/>
        <v>305902</v>
      </c>
      <c r="J70" s="1665">
        <f t="shared" si="5"/>
        <v>0</v>
      </c>
    </row>
    <row r="71" spans="1:10" s="1666" customFormat="1" ht="12.75" customHeight="1" x14ac:dyDescent="0.25">
      <c r="A71" s="1659" t="s">
        <v>172</v>
      </c>
      <c r="B71" s="1660" t="s">
        <v>173</v>
      </c>
      <c r="C71" s="1661" t="s">
        <v>267</v>
      </c>
      <c r="D71" s="1667">
        <v>44300.940399999999</v>
      </c>
      <c r="E71" s="1668"/>
      <c r="F71" s="1668">
        <v>53485.059600000001</v>
      </c>
      <c r="G71" s="1668">
        <v>0</v>
      </c>
      <c r="H71" s="1668">
        <v>0</v>
      </c>
      <c r="I71" s="1664">
        <f t="shared" si="4"/>
        <v>97786</v>
      </c>
      <c r="J71" s="1665">
        <f t="shared" si="5"/>
        <v>0</v>
      </c>
    </row>
    <row r="72" spans="1:10" s="1666" customFormat="1" ht="12.75" customHeight="1" x14ac:dyDescent="0.25">
      <c r="A72" s="1659" t="s">
        <v>174</v>
      </c>
      <c r="B72" s="1660" t="s">
        <v>175</v>
      </c>
      <c r="C72" s="1661" t="s">
        <v>268</v>
      </c>
      <c r="D72" s="1669">
        <v>104666.05084399998</v>
      </c>
      <c r="E72" s="1670"/>
      <c r="F72" s="1670">
        <v>148083.119156</v>
      </c>
      <c r="G72" s="1670">
        <v>0</v>
      </c>
      <c r="H72" s="1670">
        <v>0</v>
      </c>
      <c r="I72" s="1664">
        <f t="shared" si="4"/>
        <v>252749.16999999998</v>
      </c>
      <c r="J72" s="1665">
        <f t="shared" si="5"/>
        <v>0</v>
      </c>
    </row>
    <row r="73" spans="1:10" s="1666" customFormat="1" ht="12.75" customHeight="1" x14ac:dyDescent="0.25">
      <c r="A73" s="1659" t="s">
        <v>178</v>
      </c>
      <c r="B73" s="1660" t="s">
        <v>179</v>
      </c>
      <c r="C73" s="1661" t="s">
        <v>265</v>
      </c>
      <c r="D73" s="1669">
        <v>229498.98858800001</v>
      </c>
      <c r="E73" s="1670"/>
      <c r="F73" s="1670">
        <v>240295.35141200002</v>
      </c>
      <c r="G73" s="1670">
        <v>0</v>
      </c>
      <c r="H73" s="1670">
        <v>0</v>
      </c>
      <c r="I73" s="1664">
        <f t="shared" si="4"/>
        <v>469794.34</v>
      </c>
      <c r="J73" s="1665">
        <f t="shared" si="5"/>
        <v>0</v>
      </c>
    </row>
    <row r="74" spans="1:10" s="1666" customFormat="1" ht="12.75" customHeight="1" x14ac:dyDescent="0.25">
      <c r="A74" s="1659" t="s">
        <v>182</v>
      </c>
      <c r="B74" s="1660" t="s">
        <v>183</v>
      </c>
      <c r="C74" s="1661" t="s">
        <v>266</v>
      </c>
      <c r="D74" s="1667">
        <v>48892.351599999995</v>
      </c>
      <c r="E74" s="1668"/>
      <c r="F74" s="1668">
        <v>56629.648400000005</v>
      </c>
      <c r="G74" s="1668">
        <v>0</v>
      </c>
      <c r="H74" s="1668">
        <v>0</v>
      </c>
      <c r="I74" s="1664">
        <f t="shared" si="4"/>
        <v>105522</v>
      </c>
      <c r="J74" s="1665">
        <f t="shared" si="5"/>
        <v>0</v>
      </c>
    </row>
    <row r="75" spans="1:10" s="1666" customFormat="1" ht="12.75" customHeight="1" x14ac:dyDescent="0.25">
      <c r="A75" s="1659" t="s">
        <v>184</v>
      </c>
      <c r="B75" s="1660" t="s">
        <v>185</v>
      </c>
      <c r="C75" s="1661" t="s">
        <v>266</v>
      </c>
      <c r="D75" s="1669">
        <v>148928.1715</v>
      </c>
      <c r="E75" s="1670"/>
      <c r="F75" s="1670">
        <v>164625.8285</v>
      </c>
      <c r="G75" s="1670">
        <v>0</v>
      </c>
      <c r="H75" s="1670">
        <v>0</v>
      </c>
      <c r="I75" s="1664">
        <f t="shared" si="4"/>
        <v>313554</v>
      </c>
      <c r="J75" s="1665">
        <f t="shared" si="5"/>
        <v>0</v>
      </c>
    </row>
    <row r="76" spans="1:10" s="1666" customFormat="1" ht="12.75" customHeight="1" x14ac:dyDescent="0.25">
      <c r="A76" s="1659" t="s">
        <v>186</v>
      </c>
      <c r="B76" s="1660" t="s">
        <v>187</v>
      </c>
      <c r="C76" s="1661" t="s">
        <v>264</v>
      </c>
      <c r="D76" s="1669">
        <v>120175.55489999999</v>
      </c>
      <c r="E76" s="1670"/>
      <c r="F76" s="1670">
        <v>146793.94510000001</v>
      </c>
      <c r="G76" s="1670">
        <v>0</v>
      </c>
      <c r="H76" s="1670">
        <v>0</v>
      </c>
      <c r="I76" s="1664">
        <f t="shared" si="4"/>
        <v>266969.5</v>
      </c>
      <c r="J76" s="1665">
        <f t="shared" si="5"/>
        <v>0</v>
      </c>
    </row>
    <row r="77" spans="1:10" s="1666" customFormat="1" ht="12.75" customHeight="1" x14ac:dyDescent="0.25">
      <c r="A77" s="1659" t="s">
        <v>188</v>
      </c>
      <c r="B77" s="1660" t="s">
        <v>189</v>
      </c>
      <c r="C77" s="1661" t="s">
        <v>267</v>
      </c>
      <c r="D77" s="1669">
        <v>1581596.217074</v>
      </c>
      <c r="E77" s="1670"/>
      <c r="F77" s="1670">
        <v>2091701.3829260003</v>
      </c>
      <c r="G77" s="1670">
        <v>0</v>
      </c>
      <c r="H77" s="1670">
        <v>0</v>
      </c>
      <c r="I77" s="1664">
        <f t="shared" si="4"/>
        <v>3673297.6000000006</v>
      </c>
      <c r="J77" s="1665">
        <f t="shared" si="5"/>
        <v>0</v>
      </c>
    </row>
    <row r="78" spans="1:10" s="1666" customFormat="1" ht="12.75" customHeight="1" x14ac:dyDescent="0.25">
      <c r="A78" s="1659" t="s">
        <v>190</v>
      </c>
      <c r="B78" s="1660" t="s">
        <v>191</v>
      </c>
      <c r="C78" s="1661" t="s">
        <v>268</v>
      </c>
      <c r="D78" s="1669">
        <v>170937.17781000002</v>
      </c>
      <c r="E78" s="1670"/>
      <c r="F78" s="1670">
        <v>185370.37219000002</v>
      </c>
      <c r="G78" s="1670">
        <v>0</v>
      </c>
      <c r="H78" s="1670">
        <v>0</v>
      </c>
      <c r="I78" s="1664">
        <f t="shared" si="4"/>
        <v>356307.55000000005</v>
      </c>
      <c r="J78" s="1665">
        <f t="shared" si="5"/>
        <v>0</v>
      </c>
    </row>
    <row r="79" spans="1:10" s="1666" customFormat="1" ht="12.75" customHeight="1" x14ac:dyDescent="0.25">
      <c r="A79" s="1659" t="s">
        <v>194</v>
      </c>
      <c r="B79" s="1660" t="s">
        <v>195</v>
      </c>
      <c r="C79" s="1661" t="s">
        <v>267</v>
      </c>
      <c r="D79" s="1667">
        <v>11538.312</v>
      </c>
      <c r="E79" s="1668"/>
      <c r="F79" s="1668">
        <v>11621.688</v>
      </c>
      <c r="G79" s="1668">
        <v>0</v>
      </c>
      <c r="H79" s="1668">
        <v>0</v>
      </c>
      <c r="I79" s="1664">
        <f t="shared" si="4"/>
        <v>23160</v>
      </c>
      <c r="J79" s="1665">
        <f t="shared" si="5"/>
        <v>0</v>
      </c>
    </row>
    <row r="80" spans="1:10" s="1666" customFormat="1" ht="12.75" customHeight="1" x14ac:dyDescent="0.25">
      <c r="A80" s="1659" t="s">
        <v>198</v>
      </c>
      <c r="B80" s="1660" t="s">
        <v>199</v>
      </c>
      <c r="C80" s="1661" t="s">
        <v>266</v>
      </c>
      <c r="D80" s="1667">
        <v>42476.531999999999</v>
      </c>
      <c r="E80" s="1668"/>
      <c r="F80" s="1668">
        <v>48696.468000000001</v>
      </c>
      <c r="G80" s="1668">
        <v>0</v>
      </c>
      <c r="H80" s="1668">
        <v>0</v>
      </c>
      <c r="I80" s="1664">
        <f t="shared" si="4"/>
        <v>91173</v>
      </c>
      <c r="J80" s="1665">
        <f t="shared" si="5"/>
        <v>0</v>
      </c>
    </row>
    <row r="81" spans="1:10" s="1666" customFormat="1" ht="12.75" customHeight="1" x14ac:dyDescent="0.25">
      <c r="A81" s="1659" t="s">
        <v>202</v>
      </c>
      <c r="B81" s="1660" t="s">
        <v>203</v>
      </c>
      <c r="C81" s="1661" t="s">
        <v>265</v>
      </c>
      <c r="D81" s="1669">
        <v>357669.81153000006</v>
      </c>
      <c r="E81" s="1670"/>
      <c r="F81" s="1670">
        <v>414754.12847000005</v>
      </c>
      <c r="G81" s="1670">
        <v>0</v>
      </c>
      <c r="H81" s="1670">
        <v>0</v>
      </c>
      <c r="I81" s="1664">
        <f t="shared" si="4"/>
        <v>772423.94000000018</v>
      </c>
      <c r="J81" s="1665">
        <f t="shared" si="5"/>
        <v>0</v>
      </c>
    </row>
    <row r="82" spans="1:10" s="1666" customFormat="1" ht="12.75" customHeight="1" x14ac:dyDescent="0.25">
      <c r="A82" s="1659" t="s">
        <v>204</v>
      </c>
      <c r="B82" s="1660" t="s">
        <v>205</v>
      </c>
      <c r="C82" s="1661" t="s">
        <v>265</v>
      </c>
      <c r="D82" s="1667">
        <v>88384.565960000007</v>
      </c>
      <c r="E82" s="1668"/>
      <c r="F82" s="1668">
        <v>97181.23404000001</v>
      </c>
      <c r="G82" s="1668">
        <v>0</v>
      </c>
      <c r="H82" s="1668">
        <v>0</v>
      </c>
      <c r="I82" s="1664">
        <f t="shared" si="4"/>
        <v>185565.80000000002</v>
      </c>
      <c r="J82" s="1665">
        <f t="shared" si="5"/>
        <v>0</v>
      </c>
    </row>
    <row r="83" spans="1:10" s="1666" customFormat="1" ht="12.75" customHeight="1" x14ac:dyDescent="0.25">
      <c r="A83" s="1659" t="s">
        <v>206</v>
      </c>
      <c r="B83" s="1660" t="s">
        <v>207</v>
      </c>
      <c r="C83" s="1661" t="s">
        <v>267</v>
      </c>
      <c r="D83" s="1669">
        <v>333957.10071599996</v>
      </c>
      <c r="E83" s="1670"/>
      <c r="F83" s="1670">
        <v>436609.67928400007</v>
      </c>
      <c r="G83" s="1670">
        <v>0</v>
      </c>
      <c r="H83" s="1670">
        <v>0</v>
      </c>
      <c r="I83" s="1664">
        <f t="shared" si="4"/>
        <v>770566.78</v>
      </c>
      <c r="J83" s="1665">
        <f t="shared" si="5"/>
        <v>0</v>
      </c>
    </row>
    <row r="84" spans="1:10" s="1666" customFormat="1" ht="12.75" customHeight="1" x14ac:dyDescent="0.25">
      <c r="A84" s="1659" t="s">
        <v>208</v>
      </c>
      <c r="B84" s="1660" t="s">
        <v>209</v>
      </c>
      <c r="C84" s="1661" t="s">
        <v>268</v>
      </c>
      <c r="D84" s="1669">
        <v>234083.40506000002</v>
      </c>
      <c r="E84" s="1670"/>
      <c r="F84" s="1670">
        <v>276219.69494000002</v>
      </c>
      <c r="G84" s="1670">
        <v>0</v>
      </c>
      <c r="H84" s="1670">
        <v>0</v>
      </c>
      <c r="I84" s="1664">
        <f t="shared" si="4"/>
        <v>510303.10000000003</v>
      </c>
      <c r="J84" s="1665">
        <f t="shared" si="5"/>
        <v>0</v>
      </c>
    </row>
    <row r="85" spans="1:10" s="1666" customFormat="1" ht="12.75" customHeight="1" x14ac:dyDescent="0.25">
      <c r="A85" s="1659" t="s">
        <v>210</v>
      </c>
      <c r="B85" s="1660" t="s">
        <v>211</v>
      </c>
      <c r="C85" s="1661" t="s">
        <v>268</v>
      </c>
      <c r="D85" s="1669">
        <v>189182.25322799996</v>
      </c>
      <c r="E85" s="1670"/>
      <c r="F85" s="1670">
        <v>233438.28677199996</v>
      </c>
      <c r="G85" s="1670">
        <v>0</v>
      </c>
      <c r="H85" s="1670">
        <v>0</v>
      </c>
      <c r="I85" s="1664">
        <f t="shared" si="4"/>
        <v>422620.53999999992</v>
      </c>
      <c r="J85" s="1665">
        <f t="shared" si="5"/>
        <v>0</v>
      </c>
    </row>
    <row r="86" spans="1:10" s="1666" customFormat="1" ht="12.75" customHeight="1" x14ac:dyDescent="0.25">
      <c r="A86" s="1659" t="s">
        <v>212</v>
      </c>
      <c r="B86" s="1660" t="s">
        <v>213</v>
      </c>
      <c r="C86" s="1661" t="s">
        <v>267</v>
      </c>
      <c r="D86" s="1667">
        <v>94132.229611999996</v>
      </c>
      <c r="E86" s="1668"/>
      <c r="F86" s="1668">
        <v>149225.35038800002</v>
      </c>
      <c r="G86" s="1668">
        <v>0</v>
      </c>
      <c r="H86" s="1668">
        <v>0</v>
      </c>
      <c r="I86" s="1664">
        <f t="shared" si="4"/>
        <v>243357.58000000002</v>
      </c>
      <c r="J86" s="1665">
        <f t="shared" si="5"/>
        <v>0</v>
      </c>
    </row>
    <row r="87" spans="1:10" s="1666" customFormat="1" ht="12.75" customHeight="1" x14ac:dyDescent="0.25">
      <c r="A87" s="1659" t="s">
        <v>214</v>
      </c>
      <c r="B87" s="1660" t="s">
        <v>215</v>
      </c>
      <c r="C87" s="1661" t="s">
        <v>268</v>
      </c>
      <c r="D87" s="1669">
        <v>228025.91082800002</v>
      </c>
      <c r="E87" s="1670"/>
      <c r="F87" s="1670">
        <v>265062.84917200002</v>
      </c>
      <c r="G87" s="1670">
        <v>0</v>
      </c>
      <c r="H87" s="1670">
        <v>0</v>
      </c>
      <c r="I87" s="1664">
        <f t="shared" si="4"/>
        <v>493088.76</v>
      </c>
      <c r="J87" s="1665">
        <f t="shared" si="5"/>
        <v>0</v>
      </c>
    </row>
    <row r="88" spans="1:10" s="1666" customFormat="1" ht="12.75" customHeight="1" x14ac:dyDescent="0.25">
      <c r="A88" s="1659" t="s">
        <v>216</v>
      </c>
      <c r="B88" s="1660" t="s">
        <v>217</v>
      </c>
      <c r="C88" s="1661" t="s">
        <v>264</v>
      </c>
      <c r="D88" s="1669">
        <v>78698.860480000003</v>
      </c>
      <c r="E88" s="1670"/>
      <c r="F88" s="1670">
        <v>100362.53952000002</v>
      </c>
      <c r="G88" s="1670">
        <v>0</v>
      </c>
      <c r="H88" s="1670">
        <v>0</v>
      </c>
      <c r="I88" s="1664">
        <f t="shared" si="4"/>
        <v>179061.40000000002</v>
      </c>
      <c r="J88" s="1665">
        <f t="shared" si="5"/>
        <v>0</v>
      </c>
    </row>
    <row r="89" spans="1:10" s="1666" customFormat="1" ht="12.75" customHeight="1" x14ac:dyDescent="0.25">
      <c r="A89" s="1659" t="s">
        <v>218</v>
      </c>
      <c r="B89" s="1660" t="s">
        <v>219</v>
      </c>
      <c r="C89" s="1661" t="s">
        <v>267</v>
      </c>
      <c r="D89" s="1669">
        <v>622396.46731599991</v>
      </c>
      <c r="E89" s="1670"/>
      <c r="F89" s="1670">
        <v>790902.23268399993</v>
      </c>
      <c r="G89" s="1670">
        <v>0</v>
      </c>
      <c r="H89" s="1670">
        <v>0</v>
      </c>
      <c r="I89" s="1664">
        <f t="shared" si="4"/>
        <v>1413298.6999999997</v>
      </c>
      <c r="J89" s="1665">
        <f t="shared" si="5"/>
        <v>0</v>
      </c>
    </row>
    <row r="90" spans="1:10" s="1666" customFormat="1" ht="12.75" customHeight="1" x14ac:dyDescent="0.25">
      <c r="A90" s="1659" t="s">
        <v>220</v>
      </c>
      <c r="B90" s="1660" t="s">
        <v>221</v>
      </c>
      <c r="C90" s="1661" t="s">
        <v>267</v>
      </c>
      <c r="D90" s="1669">
        <v>453690.81199999998</v>
      </c>
      <c r="E90" s="1670"/>
      <c r="F90" s="1670">
        <v>594492.18800000008</v>
      </c>
      <c r="G90" s="1670">
        <v>0</v>
      </c>
      <c r="H90" s="1670">
        <v>0</v>
      </c>
      <c r="I90" s="1664">
        <f t="shared" si="4"/>
        <v>1048183</v>
      </c>
      <c r="J90" s="1665">
        <f t="shared" si="5"/>
        <v>0</v>
      </c>
    </row>
    <row r="91" spans="1:10" s="1666" customFormat="1" ht="12.75" customHeight="1" x14ac:dyDescent="0.25">
      <c r="A91" s="1659" t="s">
        <v>224</v>
      </c>
      <c r="B91" s="1660" t="s">
        <v>225</v>
      </c>
      <c r="C91" s="1661" t="s">
        <v>264</v>
      </c>
      <c r="D91" s="1667">
        <v>47055.089640000013</v>
      </c>
      <c r="E91" s="1668"/>
      <c r="F91" s="1668">
        <v>52703.110360000013</v>
      </c>
      <c r="G91" s="1668">
        <v>0</v>
      </c>
      <c r="H91" s="1668">
        <v>0</v>
      </c>
      <c r="I91" s="1664">
        <f t="shared" si="4"/>
        <v>99758.200000000026</v>
      </c>
      <c r="J91" s="1665">
        <f t="shared" si="5"/>
        <v>0</v>
      </c>
    </row>
    <row r="92" spans="1:10" s="1666" customFormat="1" ht="12.75" customHeight="1" x14ac:dyDescent="0.25">
      <c r="A92" s="1659" t="s">
        <v>226</v>
      </c>
      <c r="B92" s="1660" t="s">
        <v>227</v>
      </c>
      <c r="C92" s="1661" t="s">
        <v>264</v>
      </c>
      <c r="D92" s="1669">
        <v>97134.053999999989</v>
      </c>
      <c r="E92" s="1670"/>
      <c r="F92" s="1670">
        <v>104257.236</v>
      </c>
      <c r="G92" s="1670">
        <v>0</v>
      </c>
      <c r="H92" s="1670">
        <v>0</v>
      </c>
      <c r="I92" s="1664">
        <f t="shared" si="4"/>
        <v>201391.28999999998</v>
      </c>
      <c r="J92" s="1665">
        <f t="shared" si="5"/>
        <v>0</v>
      </c>
    </row>
    <row r="93" spans="1:10" s="1666" customFormat="1" ht="12.75" customHeight="1" x14ac:dyDescent="0.25">
      <c r="A93" s="1659" t="s">
        <v>228</v>
      </c>
      <c r="B93" s="1660" t="s">
        <v>229</v>
      </c>
      <c r="C93" s="1661" t="s">
        <v>268</v>
      </c>
      <c r="D93" s="1669">
        <v>263283.85862199997</v>
      </c>
      <c r="E93" s="1670"/>
      <c r="F93" s="1670">
        <v>313660.35137799999</v>
      </c>
      <c r="G93" s="1670">
        <v>0</v>
      </c>
      <c r="H93" s="1670">
        <v>0</v>
      </c>
      <c r="I93" s="1664">
        <f t="shared" si="4"/>
        <v>576944.21</v>
      </c>
      <c r="J93" s="1665">
        <f t="shared" si="5"/>
        <v>0</v>
      </c>
    </row>
    <row r="94" spans="1:10" s="1666" customFormat="1" ht="12.75" customHeight="1" x14ac:dyDescent="0.25">
      <c r="A94" s="1659" t="s">
        <v>232</v>
      </c>
      <c r="B94" s="1660" t="s">
        <v>233</v>
      </c>
      <c r="C94" s="1661" t="s">
        <v>267</v>
      </c>
      <c r="D94" s="1669">
        <v>195890.13261399997</v>
      </c>
      <c r="E94" s="1670"/>
      <c r="F94" s="1670">
        <v>226292.617386</v>
      </c>
      <c r="G94" s="1670">
        <v>0</v>
      </c>
      <c r="H94" s="1670">
        <v>0</v>
      </c>
      <c r="I94" s="1664">
        <f t="shared" si="4"/>
        <v>422182.75</v>
      </c>
      <c r="J94" s="1665">
        <f t="shared" si="5"/>
        <v>0</v>
      </c>
    </row>
    <row r="95" spans="1:10" s="1666" customFormat="1" ht="12.75" customHeight="1" x14ac:dyDescent="0.25">
      <c r="A95" s="1659" t="s">
        <v>234</v>
      </c>
      <c r="B95" s="1660" t="s">
        <v>235</v>
      </c>
      <c r="C95" s="1661" t="s">
        <v>268</v>
      </c>
      <c r="D95" s="1669">
        <v>237403.01130000001</v>
      </c>
      <c r="E95" s="1670"/>
      <c r="F95" s="1670">
        <v>260238.84870000003</v>
      </c>
      <c r="G95" s="1670">
        <v>0</v>
      </c>
      <c r="H95" s="1670">
        <v>0</v>
      </c>
      <c r="I95" s="1664">
        <f t="shared" si="4"/>
        <v>497641.86000000004</v>
      </c>
      <c r="J95" s="1665">
        <f t="shared" si="5"/>
        <v>0</v>
      </c>
    </row>
    <row r="96" spans="1:10" s="1666" customFormat="1" ht="12.75" customHeight="1" x14ac:dyDescent="0.25">
      <c r="A96" s="1659" t="s">
        <v>236</v>
      </c>
      <c r="B96" s="1660" t="s">
        <v>237</v>
      </c>
      <c r="C96" s="1661" t="s">
        <v>266</v>
      </c>
      <c r="D96" s="1669">
        <v>99591.739365999994</v>
      </c>
      <c r="E96" s="1670"/>
      <c r="F96" s="1670">
        <v>116287.39063400001</v>
      </c>
      <c r="G96" s="1670">
        <v>0</v>
      </c>
      <c r="H96" s="1670">
        <v>0</v>
      </c>
      <c r="I96" s="1664">
        <f t="shared" si="4"/>
        <v>215879.13</v>
      </c>
      <c r="J96" s="1665">
        <f t="shared" si="5"/>
        <v>0</v>
      </c>
    </row>
    <row r="97" spans="1:10" s="1666" customFormat="1" ht="12.75" customHeight="1" x14ac:dyDescent="0.25">
      <c r="A97" s="1659" t="s">
        <v>242</v>
      </c>
      <c r="B97" s="1660" t="s">
        <v>243</v>
      </c>
      <c r="C97" s="1661" t="s">
        <v>268</v>
      </c>
      <c r="D97" s="1669">
        <v>361618.26573799999</v>
      </c>
      <c r="E97" s="1670"/>
      <c r="F97" s="1670">
        <v>440461.32426199998</v>
      </c>
      <c r="G97" s="1670">
        <v>0</v>
      </c>
      <c r="H97" s="1670">
        <v>0</v>
      </c>
      <c r="I97" s="1664">
        <f t="shared" si="4"/>
        <v>802079.59</v>
      </c>
      <c r="J97" s="1665">
        <f t="shared" si="5"/>
        <v>0</v>
      </c>
    </row>
    <row r="98" spans="1:10" s="1666" customFormat="1" ht="12.75" customHeight="1" x14ac:dyDescent="0.25">
      <c r="A98" s="1659" t="s">
        <v>244</v>
      </c>
      <c r="B98" s="1660" t="s">
        <v>245</v>
      </c>
      <c r="C98" s="1661" t="s">
        <v>268</v>
      </c>
      <c r="D98" s="1669">
        <v>117967.63214000002</v>
      </c>
      <c r="E98" s="1670"/>
      <c r="F98" s="1670">
        <v>133317.06786000001</v>
      </c>
      <c r="G98" s="1670">
        <v>0</v>
      </c>
      <c r="H98" s="1670">
        <v>0</v>
      </c>
      <c r="I98" s="1664">
        <f t="shared" si="4"/>
        <v>251284.7</v>
      </c>
      <c r="J98" s="1665">
        <f t="shared" si="5"/>
        <v>0</v>
      </c>
    </row>
    <row r="99" spans="1:10" s="1666" customFormat="1" ht="12.75" customHeight="1" x14ac:dyDescent="0.25">
      <c r="A99" s="1659" t="s">
        <v>246</v>
      </c>
      <c r="B99" s="1660" t="s">
        <v>310</v>
      </c>
      <c r="C99" s="1661" t="s">
        <v>264</v>
      </c>
      <c r="D99" s="1669">
        <v>198231.52813600004</v>
      </c>
      <c r="E99" s="1670"/>
      <c r="F99" s="1670">
        <v>246384.23186400006</v>
      </c>
      <c r="G99" s="1670">
        <v>0</v>
      </c>
      <c r="H99" s="1670">
        <v>0</v>
      </c>
      <c r="I99" s="1664">
        <f t="shared" si="4"/>
        <v>444615.76000000013</v>
      </c>
      <c r="J99" s="1665">
        <f t="shared" si="5"/>
        <v>0</v>
      </c>
    </row>
    <row r="100" spans="1:10" s="1666" customFormat="1" ht="12.75" customHeight="1" x14ac:dyDescent="0.25">
      <c r="A100" s="1659" t="s">
        <v>14</v>
      </c>
      <c r="B100" s="1660" t="s">
        <v>15</v>
      </c>
      <c r="C100" s="1661" t="s">
        <v>267</v>
      </c>
      <c r="D100" s="1669">
        <v>644567.79715</v>
      </c>
      <c r="E100" s="1670"/>
      <c r="F100" s="1670">
        <v>1017646.45285</v>
      </c>
      <c r="G100" s="1670">
        <v>0</v>
      </c>
      <c r="H100" s="1670">
        <v>0</v>
      </c>
      <c r="I100" s="1664">
        <f t="shared" si="4"/>
        <v>1662214.25</v>
      </c>
      <c r="J100" s="1665">
        <f t="shared" si="5"/>
        <v>0</v>
      </c>
    </row>
    <row r="101" spans="1:10" s="1666" customFormat="1" ht="12.75" customHeight="1" x14ac:dyDescent="0.25">
      <c r="A101" s="1659" t="s">
        <v>34</v>
      </c>
      <c r="B101" s="1660" t="s">
        <v>35</v>
      </c>
      <c r="C101" s="1661" t="s">
        <v>268</v>
      </c>
      <c r="D101" s="1667">
        <v>258716.13683199996</v>
      </c>
      <c r="E101" s="1668"/>
      <c r="F101" s="1668">
        <v>333334.58316799998</v>
      </c>
      <c r="G101" s="1668">
        <v>0</v>
      </c>
      <c r="H101" s="1668">
        <v>0</v>
      </c>
      <c r="I101" s="1664">
        <f t="shared" ref="I101:I124" si="6">SUM(D101:H101)</f>
        <v>592050.72</v>
      </c>
      <c r="J101" s="1665">
        <f t="shared" si="5"/>
        <v>0</v>
      </c>
    </row>
    <row r="102" spans="1:10" s="1666" customFormat="1" ht="12.75" customHeight="1" x14ac:dyDescent="0.25">
      <c r="A102" s="1659" t="s">
        <v>52</v>
      </c>
      <c r="B102" s="1660" t="s">
        <v>53</v>
      </c>
      <c r="C102" s="1661" t="s">
        <v>265</v>
      </c>
      <c r="D102" s="1669">
        <v>430345.17992800003</v>
      </c>
      <c r="E102" s="1670"/>
      <c r="F102" s="1670">
        <v>596884.61007199995</v>
      </c>
      <c r="G102" s="1670">
        <v>0</v>
      </c>
      <c r="H102" s="1670">
        <v>0</v>
      </c>
      <c r="I102" s="1664">
        <f t="shared" si="6"/>
        <v>1027229.79</v>
      </c>
      <c r="J102" s="1665">
        <f t="shared" si="5"/>
        <v>0</v>
      </c>
    </row>
    <row r="103" spans="1:10" s="1666" customFormat="1" ht="12.75" customHeight="1" x14ac:dyDescent="0.25">
      <c r="A103" s="1659" t="s">
        <v>54</v>
      </c>
      <c r="B103" s="1660" t="s">
        <v>55</v>
      </c>
      <c r="C103" s="1661" t="s">
        <v>264</v>
      </c>
      <c r="D103" s="1669">
        <v>1216080.4779340001</v>
      </c>
      <c r="E103" s="1670"/>
      <c r="F103" s="1670">
        <v>1305886.7220660001</v>
      </c>
      <c r="G103" s="1670">
        <v>0</v>
      </c>
      <c r="H103" s="1670">
        <v>0</v>
      </c>
      <c r="I103" s="1664">
        <f t="shared" si="6"/>
        <v>2521967.2000000002</v>
      </c>
      <c r="J103" s="1665">
        <f t="shared" si="5"/>
        <v>0</v>
      </c>
    </row>
    <row r="104" spans="1:10" s="1666" customFormat="1" ht="12.75" customHeight="1" x14ac:dyDescent="0.25">
      <c r="A104" s="1659" t="s">
        <v>66</v>
      </c>
      <c r="B104" s="1660" t="s">
        <v>67</v>
      </c>
      <c r="C104" s="1661" t="s">
        <v>265</v>
      </c>
      <c r="D104" s="1669">
        <v>503491.30747000012</v>
      </c>
      <c r="E104" s="1670"/>
      <c r="F104" s="1670">
        <v>538808.54253000021</v>
      </c>
      <c r="G104" s="1670">
        <v>0</v>
      </c>
      <c r="H104" s="1670">
        <v>0</v>
      </c>
      <c r="I104" s="1664">
        <f t="shared" si="6"/>
        <v>1042299.8500000003</v>
      </c>
      <c r="J104" s="1665">
        <f t="shared" si="5"/>
        <v>0</v>
      </c>
    </row>
    <row r="105" spans="1:10" s="1666" customFormat="1" ht="12.75" customHeight="1" x14ac:dyDescent="0.25">
      <c r="A105" s="1659" t="s">
        <v>82</v>
      </c>
      <c r="B105" s="1660" t="s">
        <v>311</v>
      </c>
      <c r="C105" s="1661" t="s">
        <v>264</v>
      </c>
      <c r="D105" s="1667">
        <v>89193.458425999997</v>
      </c>
      <c r="E105" s="1668"/>
      <c r="F105" s="1668">
        <v>96537.971573999996</v>
      </c>
      <c r="G105" s="1668">
        <v>0</v>
      </c>
      <c r="H105" s="1668">
        <v>0</v>
      </c>
      <c r="I105" s="1664">
        <f t="shared" si="6"/>
        <v>185731.43</v>
      </c>
      <c r="J105" s="1665">
        <f t="shared" si="5"/>
        <v>0</v>
      </c>
    </row>
    <row r="106" spans="1:10" s="1666" customFormat="1" ht="12.75" customHeight="1" x14ac:dyDescent="0.25">
      <c r="A106" s="1659" t="s">
        <v>88</v>
      </c>
      <c r="B106" s="1660" t="s">
        <v>89</v>
      </c>
      <c r="C106" s="1661" t="s">
        <v>267</v>
      </c>
      <c r="D106" s="1669">
        <v>293651.15138599998</v>
      </c>
      <c r="E106" s="1670"/>
      <c r="F106" s="1670">
        <v>386276.078614</v>
      </c>
      <c r="G106" s="1670">
        <v>0</v>
      </c>
      <c r="H106" s="1670">
        <v>0</v>
      </c>
      <c r="I106" s="1664">
        <f t="shared" si="6"/>
        <v>679927.23</v>
      </c>
      <c r="J106" s="1665">
        <f t="shared" si="5"/>
        <v>0</v>
      </c>
    </row>
    <row r="107" spans="1:10" s="1666" customFormat="1" ht="12.75" customHeight="1" x14ac:dyDescent="0.25">
      <c r="A107" s="1659" t="s">
        <v>90</v>
      </c>
      <c r="B107" s="1660" t="s">
        <v>91</v>
      </c>
      <c r="C107" s="1661" t="s">
        <v>268</v>
      </c>
      <c r="D107" s="1669">
        <v>52132.744039999998</v>
      </c>
      <c r="E107" s="1670"/>
      <c r="F107" s="1670">
        <v>58895.455959999999</v>
      </c>
      <c r="G107" s="1670">
        <v>0</v>
      </c>
      <c r="H107" s="1670">
        <v>0</v>
      </c>
      <c r="I107" s="1664">
        <f t="shared" si="6"/>
        <v>111028.2</v>
      </c>
      <c r="J107" s="1665">
        <f t="shared" si="5"/>
        <v>0</v>
      </c>
    </row>
    <row r="108" spans="1:10" s="1666" customFormat="1" ht="12.75" customHeight="1" x14ac:dyDescent="0.25">
      <c r="A108" s="1659" t="s">
        <v>106</v>
      </c>
      <c r="B108" s="1660" t="s">
        <v>107</v>
      </c>
      <c r="C108" s="1661" t="s">
        <v>264</v>
      </c>
      <c r="D108" s="1669">
        <v>1895849.93126</v>
      </c>
      <c r="E108" s="1670"/>
      <c r="F108" s="1670">
        <v>2076190.3687400003</v>
      </c>
      <c r="G108" s="1670">
        <v>0</v>
      </c>
      <c r="H108" s="1670">
        <v>0</v>
      </c>
      <c r="I108" s="1664">
        <f t="shared" si="6"/>
        <v>3972040.3000000003</v>
      </c>
      <c r="J108" s="1665">
        <f t="shared" si="5"/>
        <v>0</v>
      </c>
    </row>
    <row r="109" spans="1:10" s="1666" customFormat="1" ht="12.75" customHeight="1" x14ac:dyDescent="0.25">
      <c r="A109" s="1659" t="s">
        <v>116</v>
      </c>
      <c r="B109" s="1660" t="s">
        <v>117</v>
      </c>
      <c r="C109" s="1661" t="s">
        <v>266</v>
      </c>
      <c r="D109" s="1667">
        <v>435876.28600399999</v>
      </c>
      <c r="E109" s="1668"/>
      <c r="F109" s="1668">
        <v>510551.52399600006</v>
      </c>
      <c r="G109" s="1668">
        <v>0</v>
      </c>
      <c r="H109" s="1668">
        <v>0</v>
      </c>
      <c r="I109" s="1664">
        <f t="shared" si="6"/>
        <v>946427.81</v>
      </c>
      <c r="J109" s="1665">
        <f t="shared" si="5"/>
        <v>0</v>
      </c>
    </row>
    <row r="110" spans="1:10" s="1666" customFormat="1" ht="12.75" customHeight="1" x14ac:dyDescent="0.25">
      <c r="A110" s="1659" t="s">
        <v>138</v>
      </c>
      <c r="B110" s="1660" t="s">
        <v>139</v>
      </c>
      <c r="C110" s="1661" t="s">
        <v>265</v>
      </c>
      <c r="D110" s="1669">
        <v>638655.42359599995</v>
      </c>
      <c r="E110" s="1670"/>
      <c r="F110" s="1670">
        <v>716645.44640400005</v>
      </c>
      <c r="G110" s="1670">
        <v>0</v>
      </c>
      <c r="H110" s="1670">
        <v>0</v>
      </c>
      <c r="I110" s="1664">
        <f t="shared" si="6"/>
        <v>1355300.87</v>
      </c>
      <c r="J110" s="1665">
        <f t="shared" si="5"/>
        <v>0</v>
      </c>
    </row>
    <row r="111" spans="1:10" s="1666" customFormat="1" ht="12.75" customHeight="1" x14ac:dyDescent="0.25">
      <c r="A111" s="1659" t="s">
        <v>142</v>
      </c>
      <c r="B111" s="1660" t="s">
        <v>143</v>
      </c>
      <c r="C111" s="1661" t="s">
        <v>267</v>
      </c>
      <c r="D111" s="1667">
        <v>204513.44153999997</v>
      </c>
      <c r="E111" s="1668"/>
      <c r="F111" s="1668">
        <v>274119.25845999998</v>
      </c>
      <c r="G111" s="1668">
        <v>0</v>
      </c>
      <c r="H111" s="1668">
        <v>0</v>
      </c>
      <c r="I111" s="1664">
        <f t="shared" si="6"/>
        <v>478632.69999999995</v>
      </c>
      <c r="J111" s="1665">
        <f t="shared" si="5"/>
        <v>0</v>
      </c>
    </row>
    <row r="112" spans="1:10" s="1666" customFormat="1" ht="12.75" customHeight="1" x14ac:dyDescent="0.25">
      <c r="A112" s="1659" t="s">
        <v>144</v>
      </c>
      <c r="B112" s="1660" t="s">
        <v>145</v>
      </c>
      <c r="C112" s="1661" t="s">
        <v>267</v>
      </c>
      <c r="D112" s="1669">
        <v>45330.420879999998</v>
      </c>
      <c r="E112" s="1670"/>
      <c r="F112" s="1670">
        <v>58885.979119999996</v>
      </c>
      <c r="G112" s="1670">
        <v>0</v>
      </c>
      <c r="H112" s="1670">
        <v>0</v>
      </c>
      <c r="I112" s="1664">
        <f t="shared" si="6"/>
        <v>104216.4</v>
      </c>
      <c r="J112" s="1665">
        <f t="shared" si="5"/>
        <v>0</v>
      </c>
    </row>
    <row r="113" spans="1:10" s="1666" customFormat="1" ht="12.75" customHeight="1" x14ac:dyDescent="0.25">
      <c r="A113" s="1659" t="s">
        <v>158</v>
      </c>
      <c r="B113" s="1660" t="s">
        <v>159</v>
      </c>
      <c r="C113" s="1661" t="s">
        <v>264</v>
      </c>
      <c r="D113" s="1669">
        <v>2430227.5811639996</v>
      </c>
      <c r="E113" s="1670"/>
      <c r="F113" s="1670">
        <v>2823277.768836</v>
      </c>
      <c r="G113" s="1670">
        <v>0</v>
      </c>
      <c r="H113" s="1670">
        <v>0</v>
      </c>
      <c r="I113" s="1664">
        <f t="shared" si="6"/>
        <v>5253505.3499999996</v>
      </c>
      <c r="J113" s="1665">
        <f t="shared" si="5"/>
        <v>0</v>
      </c>
    </row>
    <row r="114" spans="1:10" s="1666" customFormat="1" ht="12.75" customHeight="1" x14ac:dyDescent="0.25">
      <c r="A114" s="1659" t="s">
        <v>160</v>
      </c>
      <c r="B114" s="1660" t="s">
        <v>161</v>
      </c>
      <c r="C114" s="1661" t="s">
        <v>264</v>
      </c>
      <c r="D114" s="1669">
        <v>2471812.4049120001</v>
      </c>
      <c r="E114" s="1670"/>
      <c r="F114" s="1670">
        <v>2649379.0850880002</v>
      </c>
      <c r="G114" s="1670">
        <v>0</v>
      </c>
      <c r="H114" s="1670">
        <v>0</v>
      </c>
      <c r="I114" s="1664">
        <f t="shared" si="6"/>
        <v>5121191.49</v>
      </c>
      <c r="J114" s="1665">
        <f t="shared" si="5"/>
        <v>0</v>
      </c>
    </row>
    <row r="115" spans="1:10" s="1666" customFormat="1" ht="12.75" customHeight="1" x14ac:dyDescent="0.25">
      <c r="A115" s="1659" t="s">
        <v>166</v>
      </c>
      <c r="B115" s="1660" t="s">
        <v>167</v>
      </c>
      <c r="C115" s="1661" t="s">
        <v>268</v>
      </c>
      <c r="D115" s="1669">
        <v>60787.863035999995</v>
      </c>
      <c r="E115" s="1670"/>
      <c r="F115" s="1670">
        <v>70110.116964000001</v>
      </c>
      <c r="G115" s="1670">
        <v>0</v>
      </c>
      <c r="H115" s="1670">
        <v>0</v>
      </c>
      <c r="I115" s="1664">
        <f t="shared" si="6"/>
        <v>130897.98</v>
      </c>
      <c r="J115" s="1665">
        <f t="shared" si="5"/>
        <v>0</v>
      </c>
    </row>
    <row r="116" spans="1:10" s="1666" customFormat="1" ht="12.75" customHeight="1" x14ac:dyDescent="0.25">
      <c r="A116" s="1659" t="s">
        <v>176</v>
      </c>
      <c r="B116" s="1660" t="s">
        <v>177</v>
      </c>
      <c r="C116" s="1661" t="s">
        <v>266</v>
      </c>
      <c r="D116" s="1669">
        <v>672908.61657599977</v>
      </c>
      <c r="E116" s="1670"/>
      <c r="F116" s="1670">
        <v>726200.76342399989</v>
      </c>
      <c r="G116" s="1670">
        <v>0</v>
      </c>
      <c r="H116" s="1670">
        <v>0</v>
      </c>
      <c r="I116" s="1664">
        <f t="shared" si="6"/>
        <v>1399109.3799999997</v>
      </c>
      <c r="J116" s="1665">
        <f t="shared" si="5"/>
        <v>0</v>
      </c>
    </row>
    <row r="117" spans="1:10" s="1666" customFormat="1" ht="12.75" customHeight="1" x14ac:dyDescent="0.25">
      <c r="A117" s="1659" t="s">
        <v>180</v>
      </c>
      <c r="B117" s="1660" t="s">
        <v>181</v>
      </c>
      <c r="C117" s="1661" t="s">
        <v>264</v>
      </c>
      <c r="D117" s="1667">
        <v>1448070.8451540002</v>
      </c>
      <c r="E117" s="1668"/>
      <c r="F117" s="1668">
        <v>1530432.6248460005</v>
      </c>
      <c r="G117" s="1668">
        <v>0</v>
      </c>
      <c r="H117" s="1668">
        <v>0</v>
      </c>
      <c r="I117" s="1664">
        <f t="shared" si="6"/>
        <v>2978503.4700000007</v>
      </c>
      <c r="J117" s="1665">
        <f t="shared" si="5"/>
        <v>0</v>
      </c>
    </row>
    <row r="118" spans="1:10" s="1666" customFormat="1" ht="12.75" customHeight="1" x14ac:dyDescent="0.25">
      <c r="A118" s="1659" t="s">
        <v>192</v>
      </c>
      <c r="B118" s="1660" t="s">
        <v>193</v>
      </c>
      <c r="C118" s="1661" t="s">
        <v>268</v>
      </c>
      <c r="D118" s="1667">
        <v>90783.498600000006</v>
      </c>
      <c r="E118" s="1668"/>
      <c r="F118" s="1668">
        <v>107390.50140000002</v>
      </c>
      <c r="G118" s="1668">
        <v>0</v>
      </c>
      <c r="H118" s="1668">
        <v>0</v>
      </c>
      <c r="I118" s="1664">
        <f t="shared" si="6"/>
        <v>198174.00000000003</v>
      </c>
      <c r="J118" s="1665">
        <f t="shared" si="5"/>
        <v>0</v>
      </c>
    </row>
    <row r="119" spans="1:10" s="1666" customFormat="1" ht="12.75" customHeight="1" x14ac:dyDescent="0.25">
      <c r="A119" s="1659" t="s">
        <v>196</v>
      </c>
      <c r="B119" s="1660" t="s">
        <v>312</v>
      </c>
      <c r="C119" s="1661" t="s">
        <v>266</v>
      </c>
      <c r="D119" s="1669">
        <v>3141355.4812079994</v>
      </c>
      <c r="E119" s="1670"/>
      <c r="F119" s="1670">
        <v>3345023.0987920002</v>
      </c>
      <c r="G119" s="1670">
        <v>0</v>
      </c>
      <c r="H119" s="1670">
        <v>0</v>
      </c>
      <c r="I119" s="1664">
        <f t="shared" si="6"/>
        <v>6486378.5800000001</v>
      </c>
      <c r="J119" s="1665">
        <f t="shared" si="5"/>
        <v>0</v>
      </c>
    </row>
    <row r="120" spans="1:10" s="1666" customFormat="1" ht="12.75" customHeight="1" x14ac:dyDescent="0.25">
      <c r="A120" s="1659" t="s">
        <v>200</v>
      </c>
      <c r="B120" s="1660" t="s">
        <v>313</v>
      </c>
      <c r="C120" s="1661" t="s">
        <v>265</v>
      </c>
      <c r="D120" s="1669">
        <v>1305579.2980860001</v>
      </c>
      <c r="E120" s="1670"/>
      <c r="F120" s="1670">
        <v>1505855.9119140003</v>
      </c>
      <c r="G120" s="1670">
        <v>0</v>
      </c>
      <c r="H120" s="1670">
        <v>0</v>
      </c>
      <c r="I120" s="1664">
        <f t="shared" si="6"/>
        <v>2811435.2100000004</v>
      </c>
      <c r="J120" s="1665">
        <f t="shared" si="5"/>
        <v>0</v>
      </c>
    </row>
    <row r="121" spans="1:10" s="1666" customFormat="1" ht="12.75" customHeight="1" x14ac:dyDescent="0.25">
      <c r="A121" s="1659" t="s">
        <v>222</v>
      </c>
      <c r="B121" s="1660" t="s">
        <v>223</v>
      </c>
      <c r="C121" s="1661" t="s">
        <v>264</v>
      </c>
      <c r="D121" s="1669">
        <v>472070.69535599998</v>
      </c>
      <c r="E121" s="1670"/>
      <c r="F121" s="1670">
        <v>508100.70464399998</v>
      </c>
      <c r="G121" s="1670">
        <v>0</v>
      </c>
      <c r="H121" s="1670">
        <v>0</v>
      </c>
      <c r="I121" s="1664">
        <f t="shared" si="6"/>
        <v>980171.39999999991</v>
      </c>
      <c r="J121" s="1665">
        <f t="shared" si="5"/>
        <v>0</v>
      </c>
    </row>
    <row r="122" spans="1:10" s="1666" customFormat="1" ht="12.75" customHeight="1" x14ac:dyDescent="0.25">
      <c r="A122" s="1659" t="s">
        <v>230</v>
      </c>
      <c r="B122" s="1660" t="s">
        <v>231</v>
      </c>
      <c r="C122" s="1661" t="s">
        <v>264</v>
      </c>
      <c r="D122" s="1669">
        <v>1113045.9075399998</v>
      </c>
      <c r="E122" s="1670"/>
      <c r="F122" s="1670">
        <v>1260843.5824599999</v>
      </c>
      <c r="G122" s="1670">
        <v>0</v>
      </c>
      <c r="H122" s="1670">
        <v>0</v>
      </c>
      <c r="I122" s="1664">
        <f t="shared" si="6"/>
        <v>2373889.4899999998</v>
      </c>
      <c r="J122" s="1665">
        <f t="shared" si="5"/>
        <v>0</v>
      </c>
    </row>
    <row r="123" spans="1:10" s="1666" customFormat="1" ht="12.75" customHeight="1" x14ac:dyDescent="0.25">
      <c r="A123" s="1659" t="s">
        <v>238</v>
      </c>
      <c r="B123" s="1660" t="s">
        <v>239</v>
      </c>
      <c r="C123" s="1661" t="s">
        <v>264</v>
      </c>
      <c r="D123" s="1667">
        <v>35519.682145999999</v>
      </c>
      <c r="E123" s="1668"/>
      <c r="F123" s="1668">
        <v>39929.347854</v>
      </c>
      <c r="G123" s="1668">
        <v>0</v>
      </c>
      <c r="H123" s="1668">
        <v>0</v>
      </c>
      <c r="I123" s="1664">
        <f t="shared" si="6"/>
        <v>75449.03</v>
      </c>
      <c r="J123" s="1665">
        <f t="shared" si="5"/>
        <v>0</v>
      </c>
    </row>
    <row r="124" spans="1:10" s="1666" customFormat="1" ht="12.75" customHeight="1" x14ac:dyDescent="0.25">
      <c r="A124" s="1659" t="s">
        <v>240</v>
      </c>
      <c r="B124" s="1660" t="s">
        <v>241</v>
      </c>
      <c r="C124" s="1671" t="s">
        <v>267</v>
      </c>
      <c r="D124" s="1672">
        <v>122378.67002999999</v>
      </c>
      <c r="E124" s="1673"/>
      <c r="F124" s="1673">
        <v>147346.97996999999</v>
      </c>
      <c r="G124" s="1673">
        <v>0</v>
      </c>
      <c r="H124" s="1673">
        <v>0</v>
      </c>
      <c r="I124" s="1664">
        <f t="shared" si="6"/>
        <v>269725.64999999997</v>
      </c>
      <c r="J124" s="1665">
        <f t="shared" si="5"/>
        <v>0</v>
      </c>
    </row>
    <row r="125" spans="1:10" s="1658" customFormat="1" ht="12.75" customHeight="1" x14ac:dyDescent="0.25">
      <c r="D125" s="1674"/>
      <c r="E125" s="1674"/>
      <c r="F125" s="1674"/>
      <c r="G125" s="1674"/>
      <c r="H125" s="1674"/>
      <c r="I125" s="1674"/>
    </row>
    <row r="126" spans="1:10" s="1658" customFormat="1" ht="12.75" customHeight="1" x14ac:dyDescent="0.25">
      <c r="A126" s="1658" t="s">
        <v>266</v>
      </c>
      <c r="D126" s="1870">
        <f t="shared" ref="D126:H126" si="7">D8+D19+D21+D23+D25+D29+D32+D36+D41+D46+D47+D52+D54+D55+D59+D63+D66+D68+D69+D74+D75+D80+D96+D109+D116+D119</f>
        <v>8471270.0983219985</v>
      </c>
      <c r="E126" s="1870">
        <f t="shared" si="7"/>
        <v>0</v>
      </c>
      <c r="F126" s="1870">
        <f t="shared" si="7"/>
        <v>9676859.711678002</v>
      </c>
      <c r="G126" s="1870">
        <f t="shared" si="7"/>
        <v>0</v>
      </c>
      <c r="H126" s="1870">
        <f t="shared" si="7"/>
        <v>0</v>
      </c>
      <c r="I126" s="1871">
        <f>SUM(D126:H126)</f>
        <v>18148129.810000002</v>
      </c>
      <c r="J126" s="1871">
        <f>G126+H126</f>
        <v>0</v>
      </c>
    </row>
    <row r="127" spans="1:10" s="1658" customFormat="1" ht="12.75" customHeight="1" x14ac:dyDescent="0.25">
      <c r="A127" s="1658" t="s">
        <v>264</v>
      </c>
      <c r="D127" s="1870">
        <f t="shared" ref="D127:H127" si="8">D5+D17+D31+D40+D44+D50+D51+D61+D67+D76+D88+D91+D92+D99+D103+D105+D108+D113+D114+D117+D121+D122+D123</f>
        <v>12940611.801247999</v>
      </c>
      <c r="E127" s="1870">
        <f t="shared" si="8"/>
        <v>0</v>
      </c>
      <c r="F127" s="1870">
        <f t="shared" si="8"/>
        <v>14337428.718752</v>
      </c>
      <c r="G127" s="1870">
        <f t="shared" si="8"/>
        <v>0</v>
      </c>
      <c r="H127" s="1870">
        <f t="shared" si="8"/>
        <v>0</v>
      </c>
      <c r="I127" s="1871">
        <f t="shared" ref="I127:I131" si="9">SUM(D127:H127)</f>
        <v>27278040.52</v>
      </c>
      <c r="J127" s="1871">
        <f t="shared" ref="J127:J131" si="10">G127+H127</f>
        <v>0</v>
      </c>
    </row>
    <row r="128" spans="1:10" s="1658" customFormat="1" ht="12.75" customHeight="1" x14ac:dyDescent="0.25">
      <c r="A128" s="1658" t="s">
        <v>267</v>
      </c>
      <c r="D128" s="1870">
        <f t="shared" ref="D128:H128" si="11">D11+D26+D28+D33+D34+D38+D43+D53+D57+D58+D60+D70+D71+D77+D79+D83+D86+D89+D90+D94+D100+D106+D111+D112+D124</f>
        <v>8008378.0853240006</v>
      </c>
      <c r="E128" s="1870">
        <f t="shared" si="11"/>
        <v>0</v>
      </c>
      <c r="F128" s="1870">
        <f t="shared" si="11"/>
        <v>10762943.574676001</v>
      </c>
      <c r="G128" s="1870">
        <f t="shared" si="11"/>
        <v>0</v>
      </c>
      <c r="H128" s="1870">
        <f t="shared" si="11"/>
        <v>0</v>
      </c>
      <c r="I128" s="1871">
        <f t="shared" si="9"/>
        <v>18771321.660000004</v>
      </c>
      <c r="J128" s="1871">
        <f t="shared" si="10"/>
        <v>0</v>
      </c>
    </row>
    <row r="129" spans="1:10" s="1658" customFormat="1" ht="12.75" customHeight="1" x14ac:dyDescent="0.25">
      <c r="A129" s="1658" t="s">
        <v>265</v>
      </c>
      <c r="D129" s="1870">
        <f t="shared" ref="D129:H129" si="12">D6+D7+D9+D10+D12+D13+D14+D16+D20+D24+D27+D37+D45+D48+D49+D62+D65+D73+D81+D82+D102+D104+D110+D120</f>
        <v>6581938.7603400014</v>
      </c>
      <c r="E129" s="1870">
        <f t="shared" si="12"/>
        <v>0</v>
      </c>
      <c r="F129" s="1870">
        <f t="shared" si="12"/>
        <v>7685683.0796600012</v>
      </c>
      <c r="G129" s="1870">
        <f t="shared" si="12"/>
        <v>0</v>
      </c>
      <c r="H129" s="1870">
        <f t="shared" si="12"/>
        <v>0</v>
      </c>
      <c r="I129" s="1871">
        <f t="shared" si="9"/>
        <v>14267621.840000004</v>
      </c>
      <c r="J129" s="1871">
        <f t="shared" si="10"/>
        <v>0</v>
      </c>
    </row>
    <row r="130" spans="1:10" s="1658" customFormat="1" ht="12.75" customHeight="1" x14ac:dyDescent="0.25">
      <c r="A130" s="1658" t="s">
        <v>268</v>
      </c>
      <c r="D130" s="1870">
        <f t="shared" ref="D130:H130" si="13">D15+D18+D22+D30+D35+D39+D42+D56+D64+D72+D78+D84+D85+D87+D93+D95+D97+D98+D101+D107+D115+D118</f>
        <v>3618822.1458899998</v>
      </c>
      <c r="E130" s="1870">
        <f t="shared" si="13"/>
        <v>0</v>
      </c>
      <c r="F130" s="1870">
        <f t="shared" si="13"/>
        <v>4323695.1241100002</v>
      </c>
      <c r="G130" s="1870">
        <f t="shared" si="13"/>
        <v>0</v>
      </c>
      <c r="H130" s="1870">
        <f t="shared" si="13"/>
        <v>0</v>
      </c>
      <c r="I130" s="1871">
        <f t="shared" si="9"/>
        <v>7942517.2699999996</v>
      </c>
      <c r="J130" s="1871">
        <f t="shared" si="10"/>
        <v>0</v>
      </c>
    </row>
    <row r="131" spans="1:10" s="1658" customFormat="1" ht="12.75" customHeight="1" x14ac:dyDescent="0.25">
      <c r="A131" s="1658" t="s">
        <v>9</v>
      </c>
      <c r="D131" s="1872">
        <f t="shared" ref="D131:H131" si="14">SUM(D126:D130)</f>
        <v>39621020.891123995</v>
      </c>
      <c r="E131" s="1872">
        <f t="shared" si="14"/>
        <v>0</v>
      </c>
      <c r="F131" s="1872">
        <f t="shared" si="14"/>
        <v>46786610.208875999</v>
      </c>
      <c r="G131" s="1872">
        <f t="shared" si="14"/>
        <v>0</v>
      </c>
      <c r="H131" s="1872">
        <f t="shared" si="14"/>
        <v>0</v>
      </c>
      <c r="I131" s="1871">
        <f t="shared" si="9"/>
        <v>86407631.099999994</v>
      </c>
      <c r="J131" s="1871">
        <f t="shared" si="10"/>
        <v>0</v>
      </c>
    </row>
    <row r="132" spans="1:10" x14ac:dyDescent="0.25">
      <c r="D132" s="839"/>
      <c r="E132" s="839"/>
      <c r="F132" s="839"/>
      <c r="G132" s="839"/>
      <c r="H132" s="839"/>
      <c r="I132" s="839"/>
    </row>
    <row r="133" spans="1:10" x14ac:dyDescent="0.25">
      <c r="D133" s="839"/>
      <c r="E133" s="839"/>
      <c r="F133" s="839"/>
      <c r="G133" s="839"/>
      <c r="H133" s="839"/>
      <c r="I133" s="839"/>
    </row>
    <row r="135" spans="1:10" s="394" customFormat="1" x14ac:dyDescent="0.25">
      <c r="A135" s="394" t="s">
        <v>802</v>
      </c>
      <c r="B135" s="715"/>
      <c r="C135" s="715"/>
    </row>
    <row r="136" spans="1:10" s="394" customFormat="1" x14ac:dyDescent="0.25"/>
    <row r="137" spans="1:10" s="414" customFormat="1" x14ac:dyDescent="0.25">
      <c r="A137" s="414" t="s">
        <v>248</v>
      </c>
    </row>
    <row r="138" spans="1:10" x14ac:dyDescent="0.25">
      <c r="A138" s="415" t="s">
        <v>249</v>
      </c>
      <c r="B138" s="416" t="s">
        <v>250</v>
      </c>
      <c r="C138" s="416"/>
    </row>
  </sheetData>
  <autoFilter ref="A3:C124"/>
  <hyperlinks>
    <hyperlink ref="B138"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32"/>
  <sheetViews>
    <sheetView workbookViewId="0">
      <pane ySplit="3" topLeftCell="A5" activePane="bottomLeft" state="frozen"/>
      <selection pane="bottomLeft" activeCell="E15" sqref="E15"/>
    </sheetView>
  </sheetViews>
  <sheetFormatPr defaultRowHeight="15.75" x14ac:dyDescent="0.25"/>
  <cols>
    <col min="1" max="1" width="14.75" style="270" customWidth="1"/>
    <col min="2" max="2" width="33.75" style="270" customWidth="1"/>
    <col min="3" max="3" width="18.25" style="270" customWidth="1"/>
    <col min="4" max="4" width="16.125" style="270" customWidth="1"/>
    <col min="5" max="16384" width="9" style="270"/>
  </cols>
  <sheetData>
    <row r="1" spans="1:4" x14ac:dyDescent="0.25">
      <c r="A1" s="64" t="s">
        <v>660</v>
      </c>
    </row>
    <row r="2" spans="1:4" x14ac:dyDescent="0.25">
      <c r="A2" s="64"/>
    </row>
    <row r="3" spans="1:4" x14ac:dyDescent="0.25">
      <c r="A3" s="64" t="s">
        <v>4</v>
      </c>
      <c r="B3" s="64" t="s">
        <v>5</v>
      </c>
      <c r="C3" s="64" t="s">
        <v>251</v>
      </c>
      <c r="D3" s="64" t="s">
        <v>599</v>
      </c>
    </row>
    <row r="4" spans="1:4" x14ac:dyDescent="0.25">
      <c r="A4" s="270" t="s">
        <v>10</v>
      </c>
      <c r="B4" s="270" t="s">
        <v>11</v>
      </c>
      <c r="C4" s="270" t="s">
        <v>264</v>
      </c>
      <c r="D4" s="270" t="s">
        <v>716</v>
      </c>
    </row>
    <row r="5" spans="1:4" x14ac:dyDescent="0.25">
      <c r="A5" s="270" t="s">
        <v>12</v>
      </c>
      <c r="B5" s="270" t="s">
        <v>13</v>
      </c>
      <c r="C5" s="270" t="s">
        <v>265</v>
      </c>
      <c r="D5" s="270" t="s">
        <v>716</v>
      </c>
    </row>
    <row r="6" spans="1:4" x14ac:dyDescent="0.25">
      <c r="A6" s="270" t="s">
        <v>16</v>
      </c>
      <c r="B6" s="270" t="s">
        <v>600</v>
      </c>
      <c r="C6" s="270" t="s">
        <v>265</v>
      </c>
      <c r="D6" s="270" t="s">
        <v>717</v>
      </c>
    </row>
    <row r="7" spans="1:4" x14ac:dyDescent="0.25">
      <c r="A7" s="270" t="s">
        <v>18</v>
      </c>
      <c r="B7" s="270" t="s">
        <v>19</v>
      </c>
      <c r="C7" s="270" t="s">
        <v>266</v>
      </c>
      <c r="D7" s="270" t="s">
        <v>717</v>
      </c>
    </row>
    <row r="8" spans="1:4" x14ac:dyDescent="0.25">
      <c r="A8" s="270" t="s">
        <v>20</v>
      </c>
      <c r="B8" s="270" t="s">
        <v>21</v>
      </c>
      <c r="C8" s="270" t="s">
        <v>265</v>
      </c>
      <c r="D8" s="270" t="s">
        <v>717</v>
      </c>
    </row>
    <row r="9" spans="1:4" x14ac:dyDescent="0.25">
      <c r="A9" s="270" t="s">
        <v>22</v>
      </c>
      <c r="B9" s="270" t="s">
        <v>23</v>
      </c>
      <c r="C9" s="270" t="s">
        <v>265</v>
      </c>
      <c r="D9" s="270" t="s">
        <v>717</v>
      </c>
    </row>
    <row r="10" spans="1:4" x14ac:dyDescent="0.25">
      <c r="A10" s="270" t="s">
        <v>24</v>
      </c>
      <c r="B10" s="270" t="s">
        <v>25</v>
      </c>
      <c r="C10" s="270" t="s">
        <v>267</v>
      </c>
      <c r="D10" s="270" t="s">
        <v>716</v>
      </c>
    </row>
    <row r="11" spans="1:4" x14ac:dyDescent="0.25">
      <c r="A11" s="270" t="s">
        <v>26</v>
      </c>
      <c r="B11" s="270" t="s">
        <v>686</v>
      </c>
      <c r="C11" s="270" t="s">
        <v>265</v>
      </c>
      <c r="D11" s="270" t="s">
        <v>716</v>
      </c>
    </row>
    <row r="12" spans="1:4" x14ac:dyDescent="0.25">
      <c r="A12" s="270" t="s">
        <v>27</v>
      </c>
      <c r="B12" s="270" t="s">
        <v>28</v>
      </c>
      <c r="C12" s="270" t="s">
        <v>265</v>
      </c>
      <c r="D12" s="270" t="s">
        <v>717</v>
      </c>
    </row>
    <row r="13" spans="1:4" x14ac:dyDescent="0.25">
      <c r="A13" s="270" t="s">
        <v>29</v>
      </c>
      <c r="B13" s="484" t="s">
        <v>941</v>
      </c>
      <c r="C13" s="270" t="s">
        <v>265</v>
      </c>
      <c r="D13" s="270" t="s">
        <v>717</v>
      </c>
    </row>
    <row r="14" spans="1:4" x14ac:dyDescent="0.25">
      <c r="A14" s="270" t="s">
        <v>30</v>
      </c>
      <c r="B14" s="270" t="s">
        <v>31</v>
      </c>
      <c r="C14" s="270" t="s">
        <v>268</v>
      </c>
      <c r="D14" s="270" t="s">
        <v>717</v>
      </c>
    </row>
    <row r="15" spans="1:4" x14ac:dyDescent="0.25">
      <c r="A15" s="270" t="s">
        <v>32</v>
      </c>
      <c r="B15" s="270" t="s">
        <v>33</v>
      </c>
      <c r="C15" s="270" t="s">
        <v>265</v>
      </c>
      <c r="D15" s="270" t="s">
        <v>717</v>
      </c>
    </row>
    <row r="16" spans="1:4" x14ac:dyDescent="0.25">
      <c r="A16" s="270" t="s">
        <v>36</v>
      </c>
      <c r="B16" s="270" t="s">
        <v>37</v>
      </c>
      <c r="C16" s="270" t="s">
        <v>264</v>
      </c>
      <c r="D16" s="270" t="s">
        <v>717</v>
      </c>
    </row>
    <row r="17" spans="1:4" x14ac:dyDescent="0.25">
      <c r="A17" s="270" t="s">
        <v>38</v>
      </c>
      <c r="B17" s="1345" t="s">
        <v>39</v>
      </c>
      <c r="C17" s="270" t="s">
        <v>268</v>
      </c>
      <c r="D17" s="270" t="s">
        <v>717</v>
      </c>
    </row>
    <row r="18" spans="1:4" x14ac:dyDescent="0.25">
      <c r="A18" s="270" t="s">
        <v>40</v>
      </c>
      <c r="B18" s="270" t="s">
        <v>41</v>
      </c>
      <c r="C18" s="270" t="s">
        <v>266</v>
      </c>
      <c r="D18" s="270" t="s">
        <v>717</v>
      </c>
    </row>
    <row r="19" spans="1:4" x14ac:dyDescent="0.25">
      <c r="A19" s="270" t="s">
        <v>42</v>
      </c>
      <c r="B19" s="270" t="s">
        <v>43</v>
      </c>
      <c r="C19" s="270" t="s">
        <v>265</v>
      </c>
      <c r="D19" s="270" t="s">
        <v>717</v>
      </c>
    </row>
    <row r="20" spans="1:4" x14ac:dyDescent="0.25">
      <c r="A20" s="270" t="s">
        <v>44</v>
      </c>
      <c r="B20" s="270" t="s">
        <v>45</v>
      </c>
      <c r="C20" s="270" t="s">
        <v>266</v>
      </c>
      <c r="D20" s="270" t="s">
        <v>717</v>
      </c>
    </row>
    <row r="21" spans="1:4" x14ac:dyDescent="0.25">
      <c r="A21" s="270" t="s">
        <v>46</v>
      </c>
      <c r="B21" s="270" t="s">
        <v>47</v>
      </c>
      <c r="C21" s="270" t="s">
        <v>268</v>
      </c>
      <c r="D21" s="270" t="s">
        <v>717</v>
      </c>
    </row>
    <row r="22" spans="1:4" x14ac:dyDescent="0.25">
      <c r="A22" s="270" t="s">
        <v>48</v>
      </c>
      <c r="B22" s="270" t="s">
        <v>49</v>
      </c>
      <c r="C22" s="270" t="s">
        <v>266</v>
      </c>
      <c r="D22" s="270" t="s">
        <v>717</v>
      </c>
    </row>
    <row r="23" spans="1:4" x14ac:dyDescent="0.25">
      <c r="A23" s="270" t="s">
        <v>50</v>
      </c>
      <c r="B23" s="270" t="s">
        <v>51</v>
      </c>
      <c r="C23" s="270" t="s">
        <v>265</v>
      </c>
      <c r="D23" s="270" t="s">
        <v>717</v>
      </c>
    </row>
    <row r="24" spans="1:4" x14ac:dyDescent="0.25">
      <c r="A24" s="270" t="s">
        <v>56</v>
      </c>
      <c r="B24" s="270" t="s">
        <v>295</v>
      </c>
      <c r="C24" s="270" t="s">
        <v>266</v>
      </c>
      <c r="D24" s="270" t="s">
        <v>716</v>
      </c>
    </row>
    <row r="25" spans="1:4" x14ac:dyDescent="0.25">
      <c r="A25" s="270" t="s">
        <v>58</v>
      </c>
      <c r="B25" s="270" t="s">
        <v>59</v>
      </c>
      <c r="C25" s="270" t="s">
        <v>267</v>
      </c>
      <c r="D25" s="270" t="s">
        <v>717</v>
      </c>
    </row>
    <row r="26" spans="1:4" x14ac:dyDescent="0.25">
      <c r="A26" s="270" t="s">
        <v>60</v>
      </c>
      <c r="B26" s="270" t="s">
        <v>61</v>
      </c>
      <c r="C26" s="270" t="s">
        <v>265</v>
      </c>
      <c r="D26" s="270" t="s">
        <v>717</v>
      </c>
    </row>
    <row r="27" spans="1:4" x14ac:dyDescent="0.25">
      <c r="A27" s="270" t="s">
        <v>62</v>
      </c>
      <c r="B27" s="270" t="s">
        <v>63</v>
      </c>
      <c r="C27" s="270" t="s">
        <v>267</v>
      </c>
      <c r="D27" s="270" t="s">
        <v>717</v>
      </c>
    </row>
    <row r="28" spans="1:4" x14ac:dyDescent="0.25">
      <c r="A28" s="270" t="s">
        <v>64</v>
      </c>
      <c r="B28" s="270" t="s">
        <v>65</v>
      </c>
      <c r="C28" s="270" t="s">
        <v>266</v>
      </c>
      <c r="D28" s="270" t="s">
        <v>717</v>
      </c>
    </row>
    <row r="29" spans="1:4" x14ac:dyDescent="0.25">
      <c r="A29" s="270" t="s">
        <v>68</v>
      </c>
      <c r="B29" s="270" t="s">
        <v>69</v>
      </c>
      <c r="C29" s="270" t="s">
        <v>268</v>
      </c>
      <c r="D29" s="270" t="s">
        <v>717</v>
      </c>
    </row>
    <row r="30" spans="1:4" x14ac:dyDescent="0.25">
      <c r="A30" s="270" t="s">
        <v>70</v>
      </c>
      <c r="B30" s="270" t="s">
        <v>71</v>
      </c>
      <c r="C30" s="270" t="s">
        <v>264</v>
      </c>
      <c r="D30" s="270" t="s">
        <v>717</v>
      </c>
    </row>
    <row r="31" spans="1:4" x14ac:dyDescent="0.25">
      <c r="A31" s="270" t="s">
        <v>72</v>
      </c>
      <c r="B31" s="270" t="s">
        <v>73</v>
      </c>
      <c r="C31" s="270" t="s">
        <v>266</v>
      </c>
      <c r="D31" s="270" t="s">
        <v>717</v>
      </c>
    </row>
    <row r="32" spans="1:4" x14ac:dyDescent="0.25">
      <c r="A32" s="270" t="s">
        <v>74</v>
      </c>
      <c r="B32" s="270" t="s">
        <v>601</v>
      </c>
      <c r="C32" s="270" t="s">
        <v>267</v>
      </c>
      <c r="D32" s="270" t="s">
        <v>716</v>
      </c>
    </row>
    <row r="33" spans="1:4" x14ac:dyDescent="0.25">
      <c r="A33" s="270" t="s">
        <v>76</v>
      </c>
      <c r="B33" s="270" t="s">
        <v>77</v>
      </c>
      <c r="C33" s="270" t="s">
        <v>267</v>
      </c>
      <c r="D33" s="270" t="s">
        <v>717</v>
      </c>
    </row>
    <row r="34" spans="1:4" x14ac:dyDescent="0.25">
      <c r="A34" s="270" t="s">
        <v>78</v>
      </c>
      <c r="B34" s="270" t="s">
        <v>79</v>
      </c>
      <c r="C34" s="270" t="s">
        <v>268</v>
      </c>
      <c r="D34" s="270" t="s">
        <v>717</v>
      </c>
    </row>
    <row r="35" spans="1:4" x14ac:dyDescent="0.25">
      <c r="A35" s="270" t="s">
        <v>80</v>
      </c>
      <c r="B35" s="270" t="s">
        <v>81</v>
      </c>
      <c r="C35" s="270" t="s">
        <v>266</v>
      </c>
      <c r="D35" s="270" t="s">
        <v>717</v>
      </c>
    </row>
    <row r="36" spans="1:4" x14ac:dyDescent="0.25">
      <c r="A36" s="270" t="s">
        <v>84</v>
      </c>
      <c r="B36" s="270" t="s">
        <v>85</v>
      </c>
      <c r="C36" s="270" t="s">
        <v>265</v>
      </c>
      <c r="D36" s="270" t="s">
        <v>717</v>
      </c>
    </row>
    <row r="37" spans="1:4" x14ac:dyDescent="0.25">
      <c r="A37" s="270" t="s">
        <v>86</v>
      </c>
      <c r="B37" s="270" t="s">
        <v>87</v>
      </c>
      <c r="C37" s="270" t="s">
        <v>267</v>
      </c>
      <c r="D37" s="270" t="s">
        <v>717</v>
      </c>
    </row>
    <row r="38" spans="1:4" x14ac:dyDescent="0.25">
      <c r="A38" s="270" t="s">
        <v>92</v>
      </c>
      <c r="B38" s="270" t="s">
        <v>93</v>
      </c>
      <c r="C38" s="270" t="s">
        <v>268</v>
      </c>
      <c r="D38" s="270" t="s">
        <v>717</v>
      </c>
    </row>
    <row r="39" spans="1:4" x14ac:dyDescent="0.25">
      <c r="A39" s="270" t="s">
        <v>94</v>
      </c>
      <c r="B39" s="270" t="s">
        <v>95</v>
      </c>
      <c r="C39" s="270" t="s">
        <v>264</v>
      </c>
      <c r="D39" s="270" t="s">
        <v>717</v>
      </c>
    </row>
    <row r="40" spans="1:4" x14ac:dyDescent="0.25">
      <c r="A40" s="270" t="s">
        <v>96</v>
      </c>
      <c r="B40" s="270" t="s">
        <v>97</v>
      </c>
      <c r="C40" s="270" t="s">
        <v>266</v>
      </c>
      <c r="D40" s="270" t="s">
        <v>716</v>
      </c>
    </row>
    <row r="41" spans="1:4" x14ac:dyDescent="0.25">
      <c r="A41" s="270" t="s">
        <v>98</v>
      </c>
      <c r="B41" s="270" t="s">
        <v>99</v>
      </c>
      <c r="C41" s="270" t="s">
        <v>268</v>
      </c>
      <c r="D41" s="270" t="s">
        <v>717</v>
      </c>
    </row>
    <row r="42" spans="1:4" x14ac:dyDescent="0.25">
      <c r="A42" s="270" t="s">
        <v>100</v>
      </c>
      <c r="B42" s="270" t="s">
        <v>101</v>
      </c>
      <c r="C42" s="270" t="s">
        <v>267</v>
      </c>
      <c r="D42" s="270" t="s">
        <v>717</v>
      </c>
    </row>
    <row r="43" spans="1:4" x14ac:dyDescent="0.25">
      <c r="A43" s="270" t="s">
        <v>102</v>
      </c>
      <c r="B43" s="270" t="s">
        <v>282</v>
      </c>
      <c r="C43" s="270" t="s">
        <v>264</v>
      </c>
      <c r="D43" s="270" t="s">
        <v>717</v>
      </c>
    </row>
    <row r="44" spans="1:4" x14ac:dyDescent="0.25">
      <c r="A44" s="270" t="s">
        <v>104</v>
      </c>
      <c r="B44" s="270" t="s">
        <v>602</v>
      </c>
      <c r="C44" s="270" t="s">
        <v>265</v>
      </c>
      <c r="D44" s="270" t="s">
        <v>717</v>
      </c>
    </row>
    <row r="45" spans="1:4" x14ac:dyDescent="0.25">
      <c r="A45" s="270" t="s">
        <v>108</v>
      </c>
      <c r="B45" s="270" t="s">
        <v>109</v>
      </c>
      <c r="C45" s="270" t="s">
        <v>266</v>
      </c>
      <c r="D45" s="270" t="s">
        <v>717</v>
      </c>
    </row>
    <row r="46" spans="1:4" x14ac:dyDescent="0.25">
      <c r="A46" s="270" t="s">
        <v>110</v>
      </c>
      <c r="B46" s="270" t="s">
        <v>111</v>
      </c>
      <c r="C46" s="270" t="s">
        <v>266</v>
      </c>
      <c r="D46" s="270" t="s">
        <v>716</v>
      </c>
    </row>
    <row r="47" spans="1:4" x14ac:dyDescent="0.25">
      <c r="A47" s="270" t="s">
        <v>112</v>
      </c>
      <c r="B47" s="270" t="s">
        <v>300</v>
      </c>
      <c r="C47" s="270" t="s">
        <v>265</v>
      </c>
      <c r="D47" s="270" t="s">
        <v>717</v>
      </c>
    </row>
    <row r="48" spans="1:4" x14ac:dyDescent="0.25">
      <c r="A48" s="270" t="s">
        <v>114</v>
      </c>
      <c r="B48" s="270" t="s">
        <v>115</v>
      </c>
      <c r="C48" s="270" t="s">
        <v>265</v>
      </c>
      <c r="D48" s="270" t="s">
        <v>717</v>
      </c>
    </row>
    <row r="49" spans="1:4" x14ac:dyDescent="0.25">
      <c r="A49" s="270" t="s">
        <v>118</v>
      </c>
      <c r="B49" s="270" t="s">
        <v>119</v>
      </c>
      <c r="C49" s="270" t="s">
        <v>264</v>
      </c>
      <c r="D49" s="270" t="s">
        <v>716</v>
      </c>
    </row>
    <row r="50" spans="1:4" x14ac:dyDescent="0.25">
      <c r="A50" s="270" t="s">
        <v>120</v>
      </c>
      <c r="B50" s="270" t="s">
        <v>121</v>
      </c>
      <c r="C50" s="270" t="s">
        <v>264</v>
      </c>
      <c r="D50" s="270" t="s">
        <v>716</v>
      </c>
    </row>
    <row r="51" spans="1:4" x14ac:dyDescent="0.25">
      <c r="A51" s="270" t="s">
        <v>122</v>
      </c>
      <c r="B51" s="270" t="s">
        <v>123</v>
      </c>
      <c r="C51" s="270" t="s">
        <v>266</v>
      </c>
      <c r="D51" s="270" t="s">
        <v>717</v>
      </c>
    </row>
    <row r="52" spans="1:4" x14ac:dyDescent="0.25">
      <c r="A52" s="270" t="s">
        <v>124</v>
      </c>
      <c r="B52" s="270" t="s">
        <v>125</v>
      </c>
      <c r="C52" s="270" t="s">
        <v>267</v>
      </c>
      <c r="D52" s="270" t="s">
        <v>717</v>
      </c>
    </row>
    <row r="53" spans="1:4" x14ac:dyDescent="0.25">
      <c r="A53" s="270" t="s">
        <v>126</v>
      </c>
      <c r="B53" s="270" t="s">
        <v>127</v>
      </c>
      <c r="C53" s="270" t="s">
        <v>266</v>
      </c>
      <c r="D53" s="270" t="s">
        <v>717</v>
      </c>
    </row>
    <row r="54" spans="1:4" x14ac:dyDescent="0.25">
      <c r="A54" s="270" t="s">
        <v>128</v>
      </c>
      <c r="B54" s="270" t="s">
        <v>129</v>
      </c>
      <c r="C54" s="270" t="s">
        <v>266</v>
      </c>
      <c r="D54" s="270" t="s">
        <v>717</v>
      </c>
    </row>
    <row r="55" spans="1:4" x14ac:dyDescent="0.25">
      <c r="A55" s="270" t="s">
        <v>130</v>
      </c>
      <c r="B55" s="270" t="s">
        <v>131</v>
      </c>
      <c r="C55" s="270" t="s">
        <v>268</v>
      </c>
      <c r="D55" s="270" t="s">
        <v>717</v>
      </c>
    </row>
    <row r="56" spans="1:4" x14ac:dyDescent="0.25">
      <c r="A56" s="270" t="s">
        <v>132</v>
      </c>
      <c r="B56" s="270" t="s">
        <v>133</v>
      </c>
      <c r="C56" s="270" t="s">
        <v>267</v>
      </c>
      <c r="D56" s="270" t="s">
        <v>717</v>
      </c>
    </row>
    <row r="57" spans="1:4" x14ac:dyDescent="0.25">
      <c r="A57" s="270" t="s">
        <v>134</v>
      </c>
      <c r="B57" s="270" t="s">
        <v>135</v>
      </c>
      <c r="C57" s="270" t="s">
        <v>267</v>
      </c>
      <c r="D57" s="270" t="s">
        <v>717</v>
      </c>
    </row>
    <row r="58" spans="1:4" x14ac:dyDescent="0.25">
      <c r="A58" s="270" t="s">
        <v>136</v>
      </c>
      <c r="B58" s="270" t="s">
        <v>137</v>
      </c>
      <c r="C58" s="270" t="s">
        <v>266</v>
      </c>
      <c r="D58" s="270" t="s">
        <v>717</v>
      </c>
    </row>
    <row r="59" spans="1:4" x14ac:dyDescent="0.25">
      <c r="A59" s="270" t="s">
        <v>140</v>
      </c>
      <c r="B59" s="270" t="s">
        <v>141</v>
      </c>
      <c r="C59" s="270" t="s">
        <v>267</v>
      </c>
      <c r="D59" s="270" t="s">
        <v>717</v>
      </c>
    </row>
    <row r="60" spans="1:4" x14ac:dyDescent="0.25">
      <c r="A60" s="270" t="s">
        <v>146</v>
      </c>
      <c r="B60" s="270" t="s">
        <v>147</v>
      </c>
      <c r="C60" s="270" t="s">
        <v>264</v>
      </c>
      <c r="D60" s="270" t="s">
        <v>717</v>
      </c>
    </row>
    <row r="61" spans="1:4" x14ac:dyDescent="0.25">
      <c r="A61" s="270" t="s">
        <v>148</v>
      </c>
      <c r="B61" s="270" t="s">
        <v>149</v>
      </c>
      <c r="C61" s="270" t="s">
        <v>265</v>
      </c>
      <c r="D61" s="270" t="s">
        <v>717</v>
      </c>
    </row>
    <row r="62" spans="1:4" x14ac:dyDescent="0.25">
      <c r="A62" s="270" t="s">
        <v>150</v>
      </c>
      <c r="B62" s="270" t="s">
        <v>151</v>
      </c>
      <c r="C62" s="270" t="s">
        <v>266</v>
      </c>
      <c r="D62" s="270" t="s">
        <v>717</v>
      </c>
    </row>
    <row r="63" spans="1:4" x14ac:dyDescent="0.25">
      <c r="A63" s="270" t="s">
        <v>152</v>
      </c>
      <c r="B63" s="270" t="s">
        <v>153</v>
      </c>
      <c r="C63" s="270" t="s">
        <v>268</v>
      </c>
      <c r="D63" s="270" t="s">
        <v>717</v>
      </c>
    </row>
    <row r="64" spans="1:4" x14ac:dyDescent="0.25">
      <c r="A64" s="270" t="s">
        <v>154</v>
      </c>
      <c r="B64" s="270" t="s">
        <v>155</v>
      </c>
      <c r="C64" s="270" t="s">
        <v>265</v>
      </c>
      <c r="D64" s="270" t="s">
        <v>717</v>
      </c>
    </row>
    <row r="65" spans="1:4" x14ac:dyDescent="0.25">
      <c r="A65" s="270" t="s">
        <v>156</v>
      </c>
      <c r="B65" s="270" t="s">
        <v>157</v>
      </c>
      <c r="C65" s="270" t="s">
        <v>266</v>
      </c>
      <c r="D65" s="270" t="s">
        <v>717</v>
      </c>
    </row>
    <row r="66" spans="1:4" x14ac:dyDescent="0.25">
      <c r="A66" s="270" t="s">
        <v>162</v>
      </c>
      <c r="B66" s="270" t="s">
        <v>163</v>
      </c>
      <c r="C66" s="270" t="s">
        <v>264</v>
      </c>
      <c r="D66" s="270" t="s">
        <v>717</v>
      </c>
    </row>
    <row r="67" spans="1:4" x14ac:dyDescent="0.25">
      <c r="A67" s="270" t="s">
        <v>164</v>
      </c>
      <c r="B67" s="270" t="s">
        <v>165</v>
      </c>
      <c r="C67" s="270" t="s">
        <v>266</v>
      </c>
      <c r="D67" s="270" t="s">
        <v>717</v>
      </c>
    </row>
    <row r="68" spans="1:4" x14ac:dyDescent="0.25">
      <c r="A68" s="270" t="s">
        <v>168</v>
      </c>
      <c r="B68" s="270" t="s">
        <v>169</v>
      </c>
      <c r="C68" s="270" t="s">
        <v>266</v>
      </c>
      <c r="D68" s="270" t="s">
        <v>717</v>
      </c>
    </row>
    <row r="69" spans="1:4" x14ac:dyDescent="0.25">
      <c r="A69" s="270" t="s">
        <v>170</v>
      </c>
      <c r="B69" s="270" t="s">
        <v>171</v>
      </c>
      <c r="C69" s="270" t="s">
        <v>267</v>
      </c>
      <c r="D69" s="270" t="s">
        <v>717</v>
      </c>
    </row>
    <row r="70" spans="1:4" x14ac:dyDescent="0.25">
      <c r="A70" s="270" t="s">
        <v>172</v>
      </c>
      <c r="B70" s="270" t="s">
        <v>173</v>
      </c>
      <c r="C70" s="270" t="s">
        <v>267</v>
      </c>
      <c r="D70" s="270" t="s">
        <v>717</v>
      </c>
    </row>
    <row r="71" spans="1:4" x14ac:dyDescent="0.25">
      <c r="A71" s="270" t="s">
        <v>174</v>
      </c>
      <c r="B71" s="270" t="s">
        <v>175</v>
      </c>
      <c r="C71" s="270" t="s">
        <v>268</v>
      </c>
      <c r="D71" s="270" t="s">
        <v>717</v>
      </c>
    </row>
    <row r="72" spans="1:4" x14ac:dyDescent="0.25">
      <c r="A72" s="270" t="s">
        <v>178</v>
      </c>
      <c r="B72" s="270" t="s">
        <v>179</v>
      </c>
      <c r="C72" s="270" t="s">
        <v>265</v>
      </c>
      <c r="D72" s="270" t="s">
        <v>717</v>
      </c>
    </row>
    <row r="73" spans="1:4" x14ac:dyDescent="0.25">
      <c r="A73" s="270" t="s">
        <v>182</v>
      </c>
      <c r="B73" s="270" t="s">
        <v>183</v>
      </c>
      <c r="C73" s="270" t="s">
        <v>266</v>
      </c>
      <c r="D73" s="270" t="s">
        <v>717</v>
      </c>
    </row>
    <row r="74" spans="1:4" x14ac:dyDescent="0.25">
      <c r="A74" s="270" t="s">
        <v>184</v>
      </c>
      <c r="B74" s="270" t="s">
        <v>185</v>
      </c>
      <c r="C74" s="270" t="s">
        <v>266</v>
      </c>
      <c r="D74" s="270" t="s">
        <v>717</v>
      </c>
    </row>
    <row r="75" spans="1:4" x14ac:dyDescent="0.25">
      <c r="A75" s="270" t="s">
        <v>186</v>
      </c>
      <c r="B75" s="270" t="s">
        <v>187</v>
      </c>
      <c r="C75" s="270" t="s">
        <v>264</v>
      </c>
      <c r="D75" s="270" t="s">
        <v>717</v>
      </c>
    </row>
    <row r="76" spans="1:4" x14ac:dyDescent="0.25">
      <c r="A76" s="270" t="s">
        <v>188</v>
      </c>
      <c r="B76" s="270" t="s">
        <v>189</v>
      </c>
      <c r="C76" s="270" t="s">
        <v>267</v>
      </c>
      <c r="D76" s="270" t="s">
        <v>716</v>
      </c>
    </row>
    <row r="77" spans="1:4" x14ac:dyDescent="0.25">
      <c r="A77" s="270" t="s">
        <v>190</v>
      </c>
      <c r="B77" s="270" t="s">
        <v>191</v>
      </c>
      <c r="C77" s="270" t="s">
        <v>268</v>
      </c>
      <c r="D77" s="270" t="s">
        <v>716</v>
      </c>
    </row>
    <row r="78" spans="1:4" x14ac:dyDescent="0.25">
      <c r="A78" s="270" t="s">
        <v>194</v>
      </c>
      <c r="B78" s="270" t="s">
        <v>195</v>
      </c>
      <c r="C78" s="270" t="s">
        <v>267</v>
      </c>
      <c r="D78" s="270" t="s">
        <v>717</v>
      </c>
    </row>
    <row r="79" spans="1:4" x14ac:dyDescent="0.25">
      <c r="A79" s="270" t="s">
        <v>198</v>
      </c>
      <c r="B79" s="270" t="s">
        <v>272</v>
      </c>
      <c r="C79" s="270" t="s">
        <v>266</v>
      </c>
      <c r="D79" s="270" t="s">
        <v>717</v>
      </c>
    </row>
    <row r="80" spans="1:4" x14ac:dyDescent="0.25">
      <c r="A80" s="270" t="s">
        <v>202</v>
      </c>
      <c r="B80" s="270" t="s">
        <v>301</v>
      </c>
      <c r="C80" s="270" t="s">
        <v>265</v>
      </c>
      <c r="D80" s="270" t="s">
        <v>716</v>
      </c>
    </row>
    <row r="81" spans="1:4" x14ac:dyDescent="0.25">
      <c r="A81" s="270" t="s">
        <v>204</v>
      </c>
      <c r="B81" s="270" t="s">
        <v>293</v>
      </c>
      <c r="C81" s="270" t="s">
        <v>265</v>
      </c>
      <c r="D81" s="270" t="s">
        <v>717</v>
      </c>
    </row>
    <row r="82" spans="1:4" x14ac:dyDescent="0.25">
      <c r="A82" s="270" t="s">
        <v>206</v>
      </c>
      <c r="B82" s="270" t="s">
        <v>294</v>
      </c>
      <c r="C82" s="270" t="s">
        <v>267</v>
      </c>
      <c r="D82" s="270" t="s">
        <v>716</v>
      </c>
    </row>
    <row r="83" spans="1:4" x14ac:dyDescent="0.25">
      <c r="A83" s="270" t="s">
        <v>208</v>
      </c>
      <c r="B83" s="270" t="s">
        <v>209</v>
      </c>
      <c r="C83" s="270" t="s">
        <v>268</v>
      </c>
      <c r="D83" s="270" t="s">
        <v>717</v>
      </c>
    </row>
    <row r="84" spans="1:4" x14ac:dyDescent="0.25">
      <c r="A84" s="270" t="s">
        <v>210</v>
      </c>
      <c r="B84" s="270" t="s">
        <v>211</v>
      </c>
      <c r="C84" s="270" t="s">
        <v>268</v>
      </c>
      <c r="D84" s="270" t="s">
        <v>717</v>
      </c>
    </row>
    <row r="85" spans="1:4" x14ac:dyDescent="0.25">
      <c r="A85" s="270" t="s">
        <v>212</v>
      </c>
      <c r="B85" s="270" t="s">
        <v>213</v>
      </c>
      <c r="C85" s="270" t="s">
        <v>267</v>
      </c>
      <c r="D85" s="270" t="s">
        <v>717</v>
      </c>
    </row>
    <row r="86" spans="1:4" x14ac:dyDescent="0.25">
      <c r="A86" s="270" t="s">
        <v>214</v>
      </c>
      <c r="B86" s="270" t="s">
        <v>215</v>
      </c>
      <c r="C86" s="270" t="s">
        <v>268</v>
      </c>
      <c r="D86" s="270" t="s">
        <v>717</v>
      </c>
    </row>
    <row r="87" spans="1:4" x14ac:dyDescent="0.25">
      <c r="A87" s="270" t="s">
        <v>216</v>
      </c>
      <c r="B87" s="270" t="s">
        <v>217</v>
      </c>
      <c r="C87" s="270" t="s">
        <v>264</v>
      </c>
      <c r="D87" s="270" t="s">
        <v>717</v>
      </c>
    </row>
    <row r="88" spans="1:4" x14ac:dyDescent="0.25">
      <c r="A88" s="270" t="s">
        <v>218</v>
      </c>
      <c r="B88" s="270" t="s">
        <v>219</v>
      </c>
      <c r="C88" s="270" t="s">
        <v>267</v>
      </c>
      <c r="D88" s="270" t="s">
        <v>717</v>
      </c>
    </row>
    <row r="89" spans="1:4" x14ac:dyDescent="0.25">
      <c r="A89" s="270" t="s">
        <v>220</v>
      </c>
      <c r="B89" s="270" t="s">
        <v>221</v>
      </c>
      <c r="C89" s="270" t="s">
        <v>267</v>
      </c>
      <c r="D89" s="270" t="s">
        <v>717</v>
      </c>
    </row>
    <row r="90" spans="1:4" x14ac:dyDescent="0.25">
      <c r="A90" s="270" t="s">
        <v>224</v>
      </c>
      <c r="B90" s="270" t="s">
        <v>225</v>
      </c>
      <c r="C90" s="270" t="s">
        <v>264</v>
      </c>
      <c r="D90" s="270" t="s">
        <v>717</v>
      </c>
    </row>
    <row r="91" spans="1:4" x14ac:dyDescent="0.25">
      <c r="A91" s="270" t="s">
        <v>226</v>
      </c>
      <c r="B91" s="270" t="s">
        <v>227</v>
      </c>
      <c r="C91" s="270" t="s">
        <v>264</v>
      </c>
      <c r="D91" s="270" t="s">
        <v>717</v>
      </c>
    </row>
    <row r="92" spans="1:4" x14ac:dyDescent="0.25">
      <c r="A92" s="270" t="s">
        <v>228</v>
      </c>
      <c r="B92" s="270" t="s">
        <v>229</v>
      </c>
      <c r="C92" s="270" t="s">
        <v>268</v>
      </c>
      <c r="D92" s="270" t="s">
        <v>716</v>
      </c>
    </row>
    <row r="93" spans="1:4" x14ac:dyDescent="0.25">
      <c r="A93" s="270" t="s">
        <v>232</v>
      </c>
      <c r="B93" s="270" t="s">
        <v>233</v>
      </c>
      <c r="C93" s="270" t="s">
        <v>267</v>
      </c>
      <c r="D93" s="270" t="s">
        <v>717</v>
      </c>
    </row>
    <row r="94" spans="1:4" x14ac:dyDescent="0.25">
      <c r="A94" s="270" t="s">
        <v>234</v>
      </c>
      <c r="B94" s="270" t="s">
        <v>235</v>
      </c>
      <c r="C94" s="270" t="s">
        <v>268</v>
      </c>
      <c r="D94" s="270" t="s">
        <v>717</v>
      </c>
    </row>
    <row r="95" spans="1:4" x14ac:dyDescent="0.25">
      <c r="A95" s="270" t="s">
        <v>236</v>
      </c>
      <c r="B95" s="270" t="s">
        <v>237</v>
      </c>
      <c r="C95" s="270" t="s">
        <v>266</v>
      </c>
      <c r="D95" s="270" t="s">
        <v>717</v>
      </c>
    </row>
    <row r="96" spans="1:4" x14ac:dyDescent="0.25">
      <c r="A96" s="270" t="s">
        <v>242</v>
      </c>
      <c r="B96" s="270" t="s">
        <v>243</v>
      </c>
      <c r="C96" s="270" t="s">
        <v>268</v>
      </c>
      <c r="D96" s="270" t="s">
        <v>717</v>
      </c>
    </row>
    <row r="97" spans="1:4" x14ac:dyDescent="0.25">
      <c r="A97" s="270" t="s">
        <v>244</v>
      </c>
      <c r="B97" s="270" t="s">
        <v>245</v>
      </c>
      <c r="C97" s="270" t="s">
        <v>268</v>
      </c>
      <c r="D97" s="270" t="s">
        <v>717</v>
      </c>
    </row>
    <row r="98" spans="1:4" x14ac:dyDescent="0.25">
      <c r="A98" s="270" t="s">
        <v>246</v>
      </c>
      <c r="B98" s="270" t="s">
        <v>247</v>
      </c>
      <c r="C98" s="270" t="s">
        <v>264</v>
      </c>
      <c r="D98" s="270" t="s">
        <v>716</v>
      </c>
    </row>
    <row r="99" spans="1:4" x14ac:dyDescent="0.25">
      <c r="A99" s="270" t="s">
        <v>14</v>
      </c>
      <c r="B99" s="270" t="s">
        <v>15</v>
      </c>
      <c r="C99" s="270" t="s">
        <v>267</v>
      </c>
      <c r="D99" s="270" t="s">
        <v>716</v>
      </c>
    </row>
    <row r="100" spans="1:4" x14ac:dyDescent="0.25">
      <c r="A100" s="270" t="s">
        <v>34</v>
      </c>
      <c r="B100" s="270" t="s">
        <v>35</v>
      </c>
      <c r="C100" s="270" t="s">
        <v>268</v>
      </c>
      <c r="D100" s="270" t="s">
        <v>717</v>
      </c>
    </row>
    <row r="101" spans="1:4" x14ac:dyDescent="0.25">
      <c r="A101" s="270" t="s">
        <v>52</v>
      </c>
      <c r="B101" s="270" t="s">
        <v>53</v>
      </c>
      <c r="C101" s="270" t="s">
        <v>265</v>
      </c>
      <c r="D101" s="270" t="s">
        <v>716</v>
      </c>
    </row>
    <row r="102" spans="1:4" x14ac:dyDescent="0.25">
      <c r="A102" s="270" t="s">
        <v>54</v>
      </c>
      <c r="B102" s="270" t="s">
        <v>55</v>
      </c>
      <c r="C102" s="270" t="s">
        <v>264</v>
      </c>
      <c r="D102" s="270" t="s">
        <v>717</v>
      </c>
    </row>
    <row r="103" spans="1:4" x14ac:dyDescent="0.25">
      <c r="A103" s="270" t="s">
        <v>66</v>
      </c>
      <c r="B103" s="270" t="s">
        <v>67</v>
      </c>
      <c r="C103" s="270" t="s">
        <v>265</v>
      </c>
      <c r="D103" s="270" t="s">
        <v>717</v>
      </c>
    </row>
    <row r="104" spans="1:4" x14ac:dyDescent="0.25">
      <c r="A104" s="270" t="s">
        <v>82</v>
      </c>
      <c r="B104" s="270" t="s">
        <v>83</v>
      </c>
      <c r="C104" s="270" t="s">
        <v>264</v>
      </c>
      <c r="D104" s="270" t="s">
        <v>717</v>
      </c>
    </row>
    <row r="105" spans="1:4" x14ac:dyDescent="0.25">
      <c r="A105" s="270" t="s">
        <v>88</v>
      </c>
      <c r="B105" s="270" t="s">
        <v>89</v>
      </c>
      <c r="C105" s="270" t="s">
        <v>267</v>
      </c>
      <c r="D105" s="270" t="s">
        <v>717</v>
      </c>
    </row>
    <row r="106" spans="1:4" x14ac:dyDescent="0.25">
      <c r="A106" s="270" t="s">
        <v>90</v>
      </c>
      <c r="B106" s="270" t="s">
        <v>91</v>
      </c>
      <c r="C106" s="270" t="s">
        <v>268</v>
      </c>
      <c r="D106" s="270" t="s">
        <v>717</v>
      </c>
    </row>
    <row r="107" spans="1:4" x14ac:dyDescent="0.25">
      <c r="A107" s="270" t="s">
        <v>106</v>
      </c>
      <c r="B107" s="270" t="s">
        <v>107</v>
      </c>
      <c r="C107" s="270" t="s">
        <v>264</v>
      </c>
      <c r="D107" s="270" t="s">
        <v>716</v>
      </c>
    </row>
    <row r="108" spans="1:4" x14ac:dyDescent="0.25">
      <c r="A108" s="270" t="s">
        <v>116</v>
      </c>
      <c r="B108" s="270" t="s">
        <v>117</v>
      </c>
      <c r="C108" s="270" t="s">
        <v>266</v>
      </c>
      <c r="D108" s="270" t="s">
        <v>717</v>
      </c>
    </row>
    <row r="109" spans="1:4" x14ac:dyDescent="0.25">
      <c r="A109" s="270" t="s">
        <v>138</v>
      </c>
      <c r="B109" s="270" t="s">
        <v>139</v>
      </c>
      <c r="C109" s="270" t="s">
        <v>265</v>
      </c>
      <c r="D109" s="270" t="s">
        <v>716</v>
      </c>
    </row>
    <row r="110" spans="1:4" x14ac:dyDescent="0.25">
      <c r="A110" s="270" t="s">
        <v>142</v>
      </c>
      <c r="B110" s="270" t="s">
        <v>143</v>
      </c>
      <c r="C110" s="270" t="s">
        <v>267</v>
      </c>
      <c r="D110" s="270" t="s">
        <v>717</v>
      </c>
    </row>
    <row r="111" spans="1:4" x14ac:dyDescent="0.25">
      <c r="A111" s="270" t="s">
        <v>144</v>
      </c>
      <c r="B111" s="270" t="s">
        <v>145</v>
      </c>
      <c r="C111" s="270" t="s">
        <v>267</v>
      </c>
      <c r="D111" s="270" t="s">
        <v>717</v>
      </c>
    </row>
    <row r="112" spans="1:4" x14ac:dyDescent="0.25">
      <c r="A112" s="270" t="s">
        <v>158</v>
      </c>
      <c r="B112" s="270" t="s">
        <v>159</v>
      </c>
      <c r="C112" s="270" t="s">
        <v>264</v>
      </c>
      <c r="D112" s="270" t="s">
        <v>716</v>
      </c>
    </row>
    <row r="113" spans="1:4" x14ac:dyDescent="0.25">
      <c r="A113" s="270" t="s">
        <v>160</v>
      </c>
      <c r="B113" s="270" t="s">
        <v>161</v>
      </c>
      <c r="C113" s="270" t="s">
        <v>264</v>
      </c>
      <c r="D113" s="270" t="s">
        <v>716</v>
      </c>
    </row>
    <row r="114" spans="1:4" x14ac:dyDescent="0.25">
      <c r="A114" s="270" t="s">
        <v>166</v>
      </c>
      <c r="B114" s="270" t="s">
        <v>167</v>
      </c>
      <c r="C114" s="270" t="s">
        <v>268</v>
      </c>
      <c r="D114" s="270" t="s">
        <v>717</v>
      </c>
    </row>
    <row r="115" spans="1:4" x14ac:dyDescent="0.25">
      <c r="A115" s="270" t="s">
        <v>176</v>
      </c>
      <c r="B115" s="270" t="s">
        <v>177</v>
      </c>
      <c r="C115" s="270" t="s">
        <v>266</v>
      </c>
      <c r="D115" s="270" t="s">
        <v>717</v>
      </c>
    </row>
    <row r="116" spans="1:4" x14ac:dyDescent="0.25">
      <c r="A116" s="270" t="s">
        <v>180</v>
      </c>
      <c r="B116" s="270" t="s">
        <v>181</v>
      </c>
      <c r="C116" s="270" t="s">
        <v>264</v>
      </c>
      <c r="D116" s="270" t="s">
        <v>716</v>
      </c>
    </row>
    <row r="117" spans="1:4" x14ac:dyDescent="0.25">
      <c r="A117" s="270" t="s">
        <v>192</v>
      </c>
      <c r="B117" s="270" t="s">
        <v>193</v>
      </c>
      <c r="C117" s="270" t="s">
        <v>268</v>
      </c>
      <c r="D117" s="270" t="s">
        <v>717</v>
      </c>
    </row>
    <row r="118" spans="1:4" x14ac:dyDescent="0.25">
      <c r="A118" s="270" t="s">
        <v>196</v>
      </c>
      <c r="B118" s="270" t="s">
        <v>197</v>
      </c>
      <c r="C118" s="270" t="s">
        <v>266</v>
      </c>
      <c r="D118" s="270" t="s">
        <v>716</v>
      </c>
    </row>
    <row r="119" spans="1:4" x14ac:dyDescent="0.25">
      <c r="A119" s="270" t="s">
        <v>200</v>
      </c>
      <c r="B119" s="270" t="s">
        <v>201</v>
      </c>
      <c r="C119" s="270" t="s">
        <v>265</v>
      </c>
      <c r="D119" s="270" t="s">
        <v>716</v>
      </c>
    </row>
    <row r="120" spans="1:4" x14ac:dyDescent="0.25">
      <c r="A120" s="270" t="s">
        <v>222</v>
      </c>
      <c r="B120" s="270" t="s">
        <v>223</v>
      </c>
      <c r="C120" s="270" t="s">
        <v>264</v>
      </c>
      <c r="D120" s="270" t="s">
        <v>716</v>
      </c>
    </row>
    <row r="121" spans="1:4" x14ac:dyDescent="0.25">
      <c r="A121" s="270" t="s">
        <v>230</v>
      </c>
      <c r="B121" s="270" t="s">
        <v>231</v>
      </c>
      <c r="C121" s="270" t="s">
        <v>264</v>
      </c>
      <c r="D121" s="270" t="s">
        <v>716</v>
      </c>
    </row>
    <row r="122" spans="1:4" x14ac:dyDescent="0.25">
      <c r="A122" s="270" t="s">
        <v>238</v>
      </c>
      <c r="B122" s="270" t="s">
        <v>239</v>
      </c>
      <c r="C122" s="270" t="s">
        <v>264</v>
      </c>
      <c r="D122" s="270" t="s">
        <v>717</v>
      </c>
    </row>
    <row r="123" spans="1:4" x14ac:dyDescent="0.25">
      <c r="A123" s="270" t="s">
        <v>240</v>
      </c>
      <c r="B123" s="270" t="s">
        <v>241</v>
      </c>
      <c r="C123" s="270" t="s">
        <v>267</v>
      </c>
      <c r="D123" s="270" t="s">
        <v>717</v>
      </c>
    </row>
    <row r="125" spans="1:4" x14ac:dyDescent="0.25">
      <c r="C125" s="64" t="s">
        <v>603</v>
      </c>
      <c r="D125" s="518">
        <f>COUNTIF(D4:D123,"Full")</f>
        <v>93</v>
      </c>
    </row>
    <row r="126" spans="1:4" x14ac:dyDescent="0.25">
      <c r="C126" s="64" t="s">
        <v>604</v>
      </c>
      <c r="D126" s="518">
        <f>COUNTIF(D4:D123,"Shared")</f>
        <v>27</v>
      </c>
    </row>
    <row r="128" spans="1:4" x14ac:dyDescent="0.25">
      <c r="A128" s="270" t="s">
        <v>605</v>
      </c>
    </row>
    <row r="129" spans="1:2" x14ac:dyDescent="0.25">
      <c r="A129" s="270" t="s">
        <v>910</v>
      </c>
    </row>
    <row r="131" spans="1:2" s="414" customFormat="1" x14ac:dyDescent="0.25">
      <c r="A131" s="414" t="s">
        <v>248</v>
      </c>
    </row>
    <row r="132" spans="1:2" s="414" customFormat="1" x14ac:dyDescent="0.25">
      <c r="A132" s="415" t="s">
        <v>249</v>
      </c>
      <c r="B132" s="416" t="s">
        <v>250</v>
      </c>
    </row>
  </sheetData>
  <autoFilter ref="A3:D123"/>
  <sortState ref="A4:D123">
    <sortCondition ref="A4:A123"/>
  </sortState>
  <hyperlinks>
    <hyperlink ref="B132" r:id="rId1"/>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workbookViewId="0">
      <pane ySplit="4" topLeftCell="A99" activePane="bottomLeft" state="frozen"/>
      <selection pane="bottomLeft" activeCell="J126" sqref="D126:J131"/>
    </sheetView>
  </sheetViews>
  <sheetFormatPr defaultRowHeight="15.75" x14ac:dyDescent="0.25"/>
  <cols>
    <col min="1" max="1" width="10" style="270" customWidth="1"/>
    <col min="2" max="2" width="28.625" style="270" customWidth="1"/>
    <col min="3" max="3" width="16.5" style="270" customWidth="1"/>
    <col min="4" max="10" width="17.125" style="270" customWidth="1"/>
    <col min="11" max="16384" width="9" style="270"/>
  </cols>
  <sheetData>
    <row r="1" spans="1:10" x14ac:dyDescent="0.25">
      <c r="A1" s="64" t="s">
        <v>1187</v>
      </c>
      <c r="D1" s="721"/>
    </row>
    <row r="2" spans="1:10" x14ac:dyDescent="0.25">
      <c r="D2" s="721"/>
    </row>
    <row r="3" spans="1:10" s="1658" customFormat="1" ht="12.75" customHeight="1" x14ac:dyDescent="0.25">
      <c r="A3" s="1686" t="s">
        <v>4</v>
      </c>
      <c r="B3" s="1687" t="s">
        <v>5</v>
      </c>
      <c r="C3" s="1687" t="s">
        <v>251</v>
      </c>
      <c r="D3" s="1688" t="s">
        <v>395</v>
      </c>
      <c r="E3" s="1688" t="s">
        <v>993</v>
      </c>
      <c r="F3" s="1688" t="s">
        <v>990</v>
      </c>
      <c r="G3" s="1688" t="s">
        <v>991</v>
      </c>
      <c r="H3" s="1688" t="s">
        <v>992</v>
      </c>
      <c r="I3" s="1688" t="s">
        <v>994</v>
      </c>
      <c r="J3" s="1688" t="s">
        <v>995</v>
      </c>
    </row>
    <row r="4" spans="1:10" s="1658" customFormat="1" ht="12.75" customHeight="1" x14ac:dyDescent="0.25">
      <c r="A4" s="1689">
        <v>999</v>
      </c>
      <c r="B4" s="1690" t="s">
        <v>9</v>
      </c>
      <c r="C4" s="1690"/>
      <c r="D4" s="1691">
        <f>SUM(D5:D124)</f>
        <v>63135621.75999999</v>
      </c>
      <c r="E4" s="1691">
        <f>SUM(E5:E124)</f>
        <v>63135621.75999999</v>
      </c>
      <c r="F4" s="1691">
        <f t="shared" ref="F4:J4" si="0">SUM(F5:F124)</f>
        <v>0</v>
      </c>
      <c r="G4" s="1691">
        <f t="shared" si="0"/>
        <v>0</v>
      </c>
      <c r="H4" s="1691">
        <f t="shared" si="0"/>
        <v>0</v>
      </c>
      <c r="I4" s="1691">
        <f t="shared" si="0"/>
        <v>0</v>
      </c>
      <c r="J4" s="1691">
        <f t="shared" si="0"/>
        <v>0</v>
      </c>
    </row>
    <row r="5" spans="1:10" s="1658" customFormat="1" ht="12.75" customHeight="1" x14ac:dyDescent="0.25">
      <c r="A5" s="1692" t="s">
        <v>10</v>
      </c>
      <c r="B5" s="1693" t="s">
        <v>11</v>
      </c>
      <c r="C5" s="1661" t="s">
        <v>264</v>
      </c>
      <c r="D5" s="1694">
        <f>SUM(E5:I5)</f>
        <v>1009885.7999999999</v>
      </c>
      <c r="E5" s="1694">
        <v>1009885.7999999999</v>
      </c>
      <c r="F5" s="1694">
        <v>0</v>
      </c>
      <c r="G5" s="1694">
        <v>0</v>
      </c>
      <c r="H5" s="1694">
        <v>0</v>
      </c>
      <c r="I5" s="1694">
        <v>0</v>
      </c>
      <c r="J5" s="1694">
        <f>H5+I5</f>
        <v>0</v>
      </c>
    </row>
    <row r="6" spans="1:10" s="1658" customFormat="1" ht="12.75" customHeight="1" x14ac:dyDescent="0.25">
      <c r="A6" s="1692" t="s">
        <v>12</v>
      </c>
      <c r="B6" s="1693" t="s">
        <v>13</v>
      </c>
      <c r="C6" s="1661" t="s">
        <v>265</v>
      </c>
      <c r="D6" s="1694">
        <f t="shared" ref="D6:D69" si="1">SUM(E6:I6)</f>
        <v>445128.53</v>
      </c>
      <c r="E6" s="1694">
        <v>445128.53</v>
      </c>
      <c r="F6" s="1694">
        <v>0</v>
      </c>
      <c r="G6" s="1694">
        <v>0</v>
      </c>
      <c r="H6" s="1694">
        <v>0</v>
      </c>
      <c r="I6" s="1694">
        <v>0</v>
      </c>
      <c r="J6" s="1694">
        <f t="shared" ref="J6:J69" si="2">H6+I6</f>
        <v>0</v>
      </c>
    </row>
    <row r="7" spans="1:10" s="1658" customFormat="1" ht="12.75" customHeight="1" x14ac:dyDescent="0.25">
      <c r="A7" s="1692" t="s">
        <v>16</v>
      </c>
      <c r="B7" s="1693" t="s">
        <v>297</v>
      </c>
      <c r="C7" s="1661" t="s">
        <v>265</v>
      </c>
      <c r="D7" s="1694">
        <f t="shared" si="1"/>
        <v>529037.8600000001</v>
      </c>
      <c r="E7" s="1694">
        <v>529037.8600000001</v>
      </c>
      <c r="F7" s="1694">
        <v>0</v>
      </c>
      <c r="G7" s="1694">
        <v>0</v>
      </c>
      <c r="H7" s="1694">
        <v>0</v>
      </c>
      <c r="I7" s="1694">
        <v>0</v>
      </c>
      <c r="J7" s="1694">
        <f t="shared" si="2"/>
        <v>0</v>
      </c>
    </row>
    <row r="8" spans="1:10" s="1658" customFormat="1" ht="12.75" customHeight="1" x14ac:dyDescent="0.25">
      <c r="A8" s="1692" t="s">
        <v>18</v>
      </c>
      <c r="B8" s="1693" t="s">
        <v>19</v>
      </c>
      <c r="C8" s="1661" t="s">
        <v>266</v>
      </c>
      <c r="D8" s="1694">
        <f t="shared" si="1"/>
        <v>165813.22</v>
      </c>
      <c r="E8" s="1694">
        <v>165813.22</v>
      </c>
      <c r="F8" s="1694">
        <v>0</v>
      </c>
      <c r="G8" s="1694">
        <v>0</v>
      </c>
      <c r="H8" s="1694">
        <v>0</v>
      </c>
      <c r="I8" s="1694">
        <v>0</v>
      </c>
      <c r="J8" s="1694">
        <f t="shared" si="2"/>
        <v>0</v>
      </c>
    </row>
    <row r="9" spans="1:10" s="1658" customFormat="1" ht="12.75" customHeight="1" x14ac:dyDescent="0.25">
      <c r="A9" s="1692" t="s">
        <v>20</v>
      </c>
      <c r="B9" s="1693" t="s">
        <v>21</v>
      </c>
      <c r="C9" s="1661" t="s">
        <v>265</v>
      </c>
      <c r="D9" s="1694">
        <f t="shared" si="1"/>
        <v>458236.22000000003</v>
      </c>
      <c r="E9" s="1694">
        <v>458236.22000000003</v>
      </c>
      <c r="F9" s="1694">
        <v>0</v>
      </c>
      <c r="G9" s="1694">
        <v>0</v>
      </c>
      <c r="H9" s="1694">
        <v>0</v>
      </c>
      <c r="I9" s="1694">
        <v>0</v>
      </c>
      <c r="J9" s="1694">
        <f t="shared" si="2"/>
        <v>0</v>
      </c>
    </row>
    <row r="10" spans="1:10" s="1658" customFormat="1" ht="12.75" customHeight="1" x14ac:dyDescent="0.25">
      <c r="A10" s="1692" t="s">
        <v>22</v>
      </c>
      <c r="B10" s="1693" t="s">
        <v>23</v>
      </c>
      <c r="C10" s="1661" t="s">
        <v>265</v>
      </c>
      <c r="D10" s="1694">
        <f t="shared" si="1"/>
        <v>321648.71000000002</v>
      </c>
      <c r="E10" s="1694">
        <v>321648.71000000002</v>
      </c>
      <c r="F10" s="1694">
        <v>0</v>
      </c>
      <c r="G10" s="1694">
        <v>0</v>
      </c>
      <c r="H10" s="1694">
        <v>0</v>
      </c>
      <c r="I10" s="1694">
        <v>0</v>
      </c>
      <c r="J10" s="1694">
        <f t="shared" si="2"/>
        <v>0</v>
      </c>
    </row>
    <row r="11" spans="1:10" s="1658" customFormat="1" ht="12.75" customHeight="1" x14ac:dyDescent="0.25">
      <c r="A11" s="1692" t="s">
        <v>24</v>
      </c>
      <c r="B11" s="1693" t="s">
        <v>25</v>
      </c>
      <c r="C11" s="1661" t="s">
        <v>267</v>
      </c>
      <c r="D11" s="1694">
        <f t="shared" si="1"/>
        <v>319098.41000000003</v>
      </c>
      <c r="E11" s="1694">
        <v>319098.41000000003</v>
      </c>
      <c r="F11" s="1694">
        <v>0</v>
      </c>
      <c r="G11" s="1694">
        <v>0</v>
      </c>
      <c r="H11" s="1694">
        <v>0</v>
      </c>
      <c r="I11" s="1694">
        <v>0</v>
      </c>
      <c r="J11" s="1694">
        <f t="shared" si="2"/>
        <v>0</v>
      </c>
    </row>
    <row r="12" spans="1:10" s="1658" customFormat="1" ht="12.75" customHeight="1" x14ac:dyDescent="0.25">
      <c r="A12" s="1692" t="s">
        <v>26</v>
      </c>
      <c r="B12" s="1693" t="s">
        <v>686</v>
      </c>
      <c r="C12" s="1661" t="s">
        <v>265</v>
      </c>
      <c r="D12" s="1694">
        <f t="shared" si="1"/>
        <v>1161337.92</v>
      </c>
      <c r="E12" s="1694">
        <v>1161337.92</v>
      </c>
      <c r="F12" s="1694">
        <v>0</v>
      </c>
      <c r="G12" s="1694">
        <v>0</v>
      </c>
      <c r="H12" s="1694">
        <v>0</v>
      </c>
      <c r="I12" s="1694">
        <v>0</v>
      </c>
      <c r="J12" s="1694">
        <f t="shared" si="2"/>
        <v>0</v>
      </c>
    </row>
    <row r="13" spans="1:10" s="1658" customFormat="1" ht="12.75" customHeight="1" x14ac:dyDescent="0.25">
      <c r="A13" s="1692" t="s">
        <v>27</v>
      </c>
      <c r="B13" s="1693" t="s">
        <v>28</v>
      </c>
      <c r="C13" s="1661" t="s">
        <v>265</v>
      </c>
      <c r="D13" s="1694">
        <f t="shared" si="1"/>
        <v>70706.509999999995</v>
      </c>
      <c r="E13" s="1694">
        <v>70706.509999999995</v>
      </c>
      <c r="F13" s="1694">
        <v>0</v>
      </c>
      <c r="G13" s="1694">
        <v>0</v>
      </c>
      <c r="H13" s="1694">
        <v>0</v>
      </c>
      <c r="I13" s="1694">
        <v>0</v>
      </c>
      <c r="J13" s="1694">
        <f t="shared" si="2"/>
        <v>0</v>
      </c>
    </row>
    <row r="14" spans="1:10" s="1658" customFormat="1" ht="12.75" customHeight="1" x14ac:dyDescent="0.25">
      <c r="A14" s="1692" t="s">
        <v>29</v>
      </c>
      <c r="B14" s="1693" t="s">
        <v>941</v>
      </c>
      <c r="C14" s="1661" t="s">
        <v>265</v>
      </c>
      <c r="D14" s="1694">
        <f t="shared" si="1"/>
        <v>570188.87</v>
      </c>
      <c r="E14" s="1694">
        <v>570188.87</v>
      </c>
      <c r="F14" s="1694">
        <v>0</v>
      </c>
      <c r="G14" s="1694">
        <v>0</v>
      </c>
      <c r="H14" s="1694">
        <v>0</v>
      </c>
      <c r="I14" s="1694">
        <v>0</v>
      </c>
      <c r="J14" s="1694">
        <f t="shared" si="2"/>
        <v>0</v>
      </c>
    </row>
    <row r="15" spans="1:10" s="1658" customFormat="1" ht="12.75" customHeight="1" x14ac:dyDescent="0.25">
      <c r="A15" s="1692" t="s">
        <v>30</v>
      </c>
      <c r="B15" s="1693" t="s">
        <v>31</v>
      </c>
      <c r="C15" s="1661" t="s">
        <v>268</v>
      </c>
      <c r="D15" s="1694">
        <f t="shared" si="1"/>
        <v>92693.74</v>
      </c>
      <c r="E15" s="1694">
        <v>92693.74</v>
      </c>
      <c r="F15" s="1694">
        <v>0</v>
      </c>
      <c r="G15" s="1694">
        <v>0</v>
      </c>
      <c r="H15" s="1694">
        <v>0</v>
      </c>
      <c r="I15" s="1694">
        <v>0</v>
      </c>
      <c r="J15" s="1694">
        <f t="shared" si="2"/>
        <v>0</v>
      </c>
    </row>
    <row r="16" spans="1:10" s="1658" customFormat="1" ht="12.75" customHeight="1" x14ac:dyDescent="0.25">
      <c r="A16" s="1692" t="s">
        <v>32</v>
      </c>
      <c r="B16" s="1693" t="s">
        <v>33</v>
      </c>
      <c r="C16" s="1661" t="s">
        <v>265</v>
      </c>
      <c r="D16" s="1694">
        <f t="shared" si="1"/>
        <v>166970.70000000001</v>
      </c>
      <c r="E16" s="1694">
        <v>166970.70000000001</v>
      </c>
      <c r="F16" s="1694">
        <v>0</v>
      </c>
      <c r="G16" s="1694">
        <v>0</v>
      </c>
      <c r="H16" s="1694">
        <v>0</v>
      </c>
      <c r="I16" s="1694">
        <v>0</v>
      </c>
      <c r="J16" s="1694">
        <f t="shared" si="2"/>
        <v>0</v>
      </c>
    </row>
    <row r="17" spans="1:10" s="1658" customFormat="1" ht="12.75" customHeight="1" x14ac:dyDescent="0.25">
      <c r="A17" s="1692" t="s">
        <v>36</v>
      </c>
      <c r="B17" s="1693" t="s">
        <v>37</v>
      </c>
      <c r="C17" s="1661" t="s">
        <v>264</v>
      </c>
      <c r="D17" s="1694">
        <f t="shared" si="1"/>
        <v>606331.8899999999</v>
      </c>
      <c r="E17" s="1694">
        <v>606331.8899999999</v>
      </c>
      <c r="F17" s="1694">
        <v>0</v>
      </c>
      <c r="G17" s="1694">
        <v>0</v>
      </c>
      <c r="H17" s="1694">
        <v>0</v>
      </c>
      <c r="I17" s="1694">
        <v>0</v>
      </c>
      <c r="J17" s="1694">
        <f t="shared" si="2"/>
        <v>0</v>
      </c>
    </row>
    <row r="18" spans="1:10" s="1658" customFormat="1" ht="12.75" customHeight="1" x14ac:dyDescent="0.25">
      <c r="A18" s="1692" t="s">
        <v>38</v>
      </c>
      <c r="B18" s="1693" t="s">
        <v>39</v>
      </c>
      <c r="C18" s="1661" t="s">
        <v>268</v>
      </c>
      <c r="D18" s="1694">
        <f t="shared" si="1"/>
        <v>1306850.05</v>
      </c>
      <c r="E18" s="1694">
        <v>1306850.05</v>
      </c>
      <c r="F18" s="1694">
        <v>0</v>
      </c>
      <c r="G18" s="1694">
        <v>0</v>
      </c>
      <c r="H18" s="1694">
        <v>0</v>
      </c>
      <c r="I18" s="1694">
        <v>0</v>
      </c>
      <c r="J18" s="1694">
        <f t="shared" si="2"/>
        <v>0</v>
      </c>
    </row>
    <row r="19" spans="1:10" s="1658" customFormat="1" ht="12.75" customHeight="1" x14ac:dyDescent="0.25">
      <c r="A19" s="1692" t="s">
        <v>40</v>
      </c>
      <c r="B19" s="1693" t="s">
        <v>41</v>
      </c>
      <c r="C19" s="1661" t="s">
        <v>266</v>
      </c>
      <c r="D19" s="1694">
        <f t="shared" si="1"/>
        <v>374211.95999999996</v>
      </c>
      <c r="E19" s="1694">
        <v>374211.95999999996</v>
      </c>
      <c r="F19" s="1694">
        <v>0</v>
      </c>
      <c r="G19" s="1694">
        <v>0</v>
      </c>
      <c r="H19" s="1694">
        <v>0</v>
      </c>
      <c r="I19" s="1694">
        <v>0</v>
      </c>
      <c r="J19" s="1694">
        <f t="shared" si="2"/>
        <v>0</v>
      </c>
    </row>
    <row r="20" spans="1:10" s="1658" customFormat="1" ht="12.75" customHeight="1" x14ac:dyDescent="0.25">
      <c r="A20" s="1692" t="s">
        <v>42</v>
      </c>
      <c r="B20" s="1693" t="s">
        <v>43</v>
      </c>
      <c r="C20" s="1661" t="s">
        <v>265</v>
      </c>
      <c r="D20" s="1694">
        <f t="shared" si="1"/>
        <v>974769.59</v>
      </c>
      <c r="E20" s="1694">
        <v>974769.59</v>
      </c>
      <c r="F20" s="1694">
        <v>0</v>
      </c>
      <c r="G20" s="1694">
        <v>0</v>
      </c>
      <c r="H20" s="1694">
        <v>0</v>
      </c>
      <c r="I20" s="1694">
        <v>0</v>
      </c>
      <c r="J20" s="1694">
        <f t="shared" si="2"/>
        <v>0</v>
      </c>
    </row>
    <row r="21" spans="1:10" s="1658" customFormat="1" ht="12.75" customHeight="1" x14ac:dyDescent="0.25">
      <c r="A21" s="1692" t="s">
        <v>44</v>
      </c>
      <c r="B21" s="1693" t="s">
        <v>45</v>
      </c>
      <c r="C21" s="1661" t="s">
        <v>266</v>
      </c>
      <c r="D21" s="1694">
        <f t="shared" si="1"/>
        <v>258475.04</v>
      </c>
      <c r="E21" s="1694">
        <v>258475.04</v>
      </c>
      <c r="F21" s="1694">
        <v>0</v>
      </c>
      <c r="G21" s="1694">
        <v>0</v>
      </c>
      <c r="H21" s="1694">
        <v>0</v>
      </c>
      <c r="I21" s="1694">
        <v>0</v>
      </c>
      <c r="J21" s="1694">
        <f t="shared" si="2"/>
        <v>0</v>
      </c>
    </row>
    <row r="22" spans="1:10" s="1658" customFormat="1" ht="12.75" customHeight="1" x14ac:dyDescent="0.25">
      <c r="A22" s="1692" t="s">
        <v>46</v>
      </c>
      <c r="B22" s="1693" t="s">
        <v>47</v>
      </c>
      <c r="C22" s="1661" t="s">
        <v>268</v>
      </c>
      <c r="D22" s="1694">
        <f t="shared" si="1"/>
        <v>804213.87999999989</v>
      </c>
      <c r="E22" s="1694">
        <v>804213.87999999989</v>
      </c>
      <c r="F22" s="1694">
        <v>0</v>
      </c>
      <c r="G22" s="1694">
        <v>0</v>
      </c>
      <c r="H22" s="1694">
        <v>0</v>
      </c>
      <c r="I22" s="1694">
        <v>0</v>
      </c>
      <c r="J22" s="1694">
        <f t="shared" si="2"/>
        <v>0</v>
      </c>
    </row>
    <row r="23" spans="1:10" s="1658" customFormat="1" ht="12.75" customHeight="1" x14ac:dyDescent="0.25">
      <c r="A23" s="1692" t="s">
        <v>48</v>
      </c>
      <c r="B23" s="1693" t="s">
        <v>269</v>
      </c>
      <c r="C23" s="1661" t="s">
        <v>266</v>
      </c>
      <c r="D23" s="1694">
        <f t="shared" si="1"/>
        <v>104264.66</v>
      </c>
      <c r="E23" s="1694">
        <v>104264.66</v>
      </c>
      <c r="F23" s="1694">
        <v>0</v>
      </c>
      <c r="G23" s="1694">
        <v>0</v>
      </c>
      <c r="H23" s="1694">
        <v>0</v>
      </c>
      <c r="I23" s="1694">
        <v>0</v>
      </c>
      <c r="J23" s="1694">
        <f t="shared" si="2"/>
        <v>0</v>
      </c>
    </row>
    <row r="24" spans="1:10" s="1658" customFormat="1" ht="12.75" customHeight="1" x14ac:dyDescent="0.25">
      <c r="A24" s="1692" t="s">
        <v>50</v>
      </c>
      <c r="B24" s="1693" t="s">
        <v>51</v>
      </c>
      <c r="C24" s="1661" t="s">
        <v>265</v>
      </c>
      <c r="D24" s="1694">
        <f t="shared" si="1"/>
        <v>362902.36</v>
      </c>
      <c r="E24" s="1694">
        <v>362902.36</v>
      </c>
      <c r="F24" s="1694">
        <v>0</v>
      </c>
      <c r="G24" s="1694">
        <v>0</v>
      </c>
      <c r="H24" s="1694">
        <v>0</v>
      </c>
      <c r="I24" s="1694">
        <v>0</v>
      </c>
      <c r="J24" s="1694">
        <f t="shared" si="2"/>
        <v>0</v>
      </c>
    </row>
    <row r="25" spans="1:10" s="1658" customFormat="1" ht="12.75" customHeight="1" x14ac:dyDescent="0.25">
      <c r="A25" s="1692" t="s">
        <v>56</v>
      </c>
      <c r="B25" s="1693" t="s">
        <v>295</v>
      </c>
      <c r="C25" s="1661" t="s">
        <v>266</v>
      </c>
      <c r="D25" s="1694">
        <f t="shared" si="1"/>
        <v>1040626.61</v>
      </c>
      <c r="E25" s="1694">
        <v>1040626.61</v>
      </c>
      <c r="F25" s="1694">
        <v>0</v>
      </c>
      <c r="G25" s="1694">
        <v>0</v>
      </c>
      <c r="H25" s="1694">
        <v>0</v>
      </c>
      <c r="I25" s="1694">
        <v>0</v>
      </c>
      <c r="J25" s="1694">
        <f t="shared" si="2"/>
        <v>0</v>
      </c>
    </row>
    <row r="26" spans="1:10" s="1658" customFormat="1" ht="12.75" customHeight="1" x14ac:dyDescent="0.25">
      <c r="A26" s="1692" t="s">
        <v>58</v>
      </c>
      <c r="B26" s="1693" t="s">
        <v>59</v>
      </c>
      <c r="C26" s="1661" t="s">
        <v>267</v>
      </c>
      <c r="D26" s="1694">
        <f t="shared" si="1"/>
        <v>44947.24</v>
      </c>
      <c r="E26" s="1694">
        <v>44947.24</v>
      </c>
      <c r="F26" s="1694">
        <v>0</v>
      </c>
      <c r="G26" s="1694">
        <v>0</v>
      </c>
      <c r="H26" s="1694">
        <v>0</v>
      </c>
      <c r="I26" s="1694">
        <v>0</v>
      </c>
      <c r="J26" s="1694">
        <f t="shared" si="2"/>
        <v>0</v>
      </c>
    </row>
    <row r="27" spans="1:10" s="1658" customFormat="1" ht="12.75" customHeight="1" x14ac:dyDescent="0.25">
      <c r="A27" s="1692" t="s">
        <v>60</v>
      </c>
      <c r="B27" s="1693" t="s">
        <v>61</v>
      </c>
      <c r="C27" s="1661" t="s">
        <v>265</v>
      </c>
      <c r="D27" s="1694">
        <f t="shared" si="1"/>
        <v>94678.109999999986</v>
      </c>
      <c r="E27" s="1694">
        <v>94678.109999999986</v>
      </c>
      <c r="F27" s="1694">
        <v>0</v>
      </c>
      <c r="G27" s="1694">
        <v>0</v>
      </c>
      <c r="H27" s="1694">
        <v>0</v>
      </c>
      <c r="I27" s="1694">
        <v>0</v>
      </c>
      <c r="J27" s="1694">
        <f t="shared" si="2"/>
        <v>0</v>
      </c>
    </row>
    <row r="28" spans="1:10" s="1658" customFormat="1" ht="12.75" customHeight="1" x14ac:dyDescent="0.25">
      <c r="A28" s="1692" t="s">
        <v>62</v>
      </c>
      <c r="B28" s="1693" t="s">
        <v>63</v>
      </c>
      <c r="C28" s="1661" t="s">
        <v>267</v>
      </c>
      <c r="D28" s="1694">
        <f t="shared" si="1"/>
        <v>293543.34999999998</v>
      </c>
      <c r="E28" s="1694">
        <v>293543.34999999998</v>
      </c>
      <c r="F28" s="1694">
        <v>0</v>
      </c>
      <c r="G28" s="1694">
        <v>0</v>
      </c>
      <c r="H28" s="1694">
        <v>0</v>
      </c>
      <c r="I28" s="1694">
        <v>0</v>
      </c>
      <c r="J28" s="1694">
        <f t="shared" si="2"/>
        <v>0</v>
      </c>
    </row>
    <row r="29" spans="1:10" s="1658" customFormat="1" ht="12.75" customHeight="1" x14ac:dyDescent="0.25">
      <c r="A29" s="1692" t="s">
        <v>64</v>
      </c>
      <c r="B29" s="1693" t="s">
        <v>65</v>
      </c>
      <c r="C29" s="1661" t="s">
        <v>266</v>
      </c>
      <c r="D29" s="1694">
        <f t="shared" si="1"/>
        <v>190940.16999999998</v>
      </c>
      <c r="E29" s="1694">
        <v>190940.16999999998</v>
      </c>
      <c r="F29" s="1694">
        <v>0</v>
      </c>
      <c r="G29" s="1694">
        <v>0</v>
      </c>
      <c r="H29" s="1694">
        <v>0</v>
      </c>
      <c r="I29" s="1694">
        <v>0</v>
      </c>
      <c r="J29" s="1694">
        <f t="shared" si="2"/>
        <v>0</v>
      </c>
    </row>
    <row r="30" spans="1:10" s="1658" customFormat="1" ht="12.75" customHeight="1" x14ac:dyDescent="0.25">
      <c r="A30" s="1692" t="s">
        <v>68</v>
      </c>
      <c r="B30" s="1693" t="s">
        <v>69</v>
      </c>
      <c r="C30" s="1661" t="s">
        <v>268</v>
      </c>
      <c r="D30" s="1694">
        <f t="shared" si="1"/>
        <v>710874.2</v>
      </c>
      <c r="E30" s="1694">
        <v>710874.2</v>
      </c>
      <c r="F30" s="1694">
        <v>0</v>
      </c>
      <c r="G30" s="1694">
        <v>0</v>
      </c>
      <c r="H30" s="1694">
        <v>0</v>
      </c>
      <c r="I30" s="1694">
        <v>0</v>
      </c>
      <c r="J30" s="1694">
        <f t="shared" si="2"/>
        <v>0</v>
      </c>
    </row>
    <row r="31" spans="1:10" s="1658" customFormat="1" ht="12.75" customHeight="1" x14ac:dyDescent="0.25">
      <c r="A31" s="1692" t="s">
        <v>70</v>
      </c>
      <c r="B31" s="1693" t="s">
        <v>71</v>
      </c>
      <c r="C31" s="1661" t="s">
        <v>264</v>
      </c>
      <c r="D31" s="1694">
        <f t="shared" si="1"/>
        <v>401523.43000000005</v>
      </c>
      <c r="E31" s="1694">
        <v>401523.43000000005</v>
      </c>
      <c r="F31" s="1694">
        <v>0</v>
      </c>
      <c r="G31" s="1694">
        <v>0</v>
      </c>
      <c r="H31" s="1694">
        <v>0</v>
      </c>
      <c r="I31" s="1694">
        <v>0</v>
      </c>
      <c r="J31" s="1694">
        <f t="shared" si="2"/>
        <v>0</v>
      </c>
    </row>
    <row r="32" spans="1:10" s="1658" customFormat="1" ht="12.75" customHeight="1" x14ac:dyDescent="0.25">
      <c r="A32" s="1692" t="s">
        <v>72</v>
      </c>
      <c r="B32" s="1693" t="s">
        <v>73</v>
      </c>
      <c r="C32" s="1661" t="s">
        <v>266</v>
      </c>
      <c r="D32" s="1694">
        <f t="shared" si="1"/>
        <v>228508.66</v>
      </c>
      <c r="E32" s="1694">
        <v>228508.66</v>
      </c>
      <c r="F32" s="1694">
        <v>0</v>
      </c>
      <c r="G32" s="1694">
        <v>0</v>
      </c>
      <c r="H32" s="1694">
        <v>0</v>
      </c>
      <c r="I32" s="1694">
        <v>0</v>
      </c>
      <c r="J32" s="1694">
        <f t="shared" si="2"/>
        <v>0</v>
      </c>
    </row>
    <row r="33" spans="1:10" s="1658" customFormat="1" ht="12.75" customHeight="1" x14ac:dyDescent="0.25">
      <c r="A33" s="1692" t="s">
        <v>74</v>
      </c>
      <c r="B33" s="1693" t="s">
        <v>302</v>
      </c>
      <c r="C33" s="1661" t="s">
        <v>267</v>
      </c>
      <c r="D33" s="1694">
        <f t="shared" si="1"/>
        <v>680975.96000000008</v>
      </c>
      <c r="E33" s="1694">
        <v>680975.96000000008</v>
      </c>
      <c r="F33" s="1694">
        <v>0</v>
      </c>
      <c r="G33" s="1694">
        <v>0</v>
      </c>
      <c r="H33" s="1694">
        <v>0</v>
      </c>
      <c r="I33" s="1694">
        <v>0</v>
      </c>
      <c r="J33" s="1694">
        <f t="shared" si="2"/>
        <v>0</v>
      </c>
    </row>
    <row r="34" spans="1:10" s="1658" customFormat="1" ht="12.75" customHeight="1" x14ac:dyDescent="0.25">
      <c r="A34" s="1692" t="s">
        <v>76</v>
      </c>
      <c r="B34" s="1693" t="s">
        <v>77</v>
      </c>
      <c r="C34" s="1661" t="s">
        <v>267</v>
      </c>
      <c r="D34" s="1694">
        <f t="shared" si="1"/>
        <v>144056.35</v>
      </c>
      <c r="E34" s="1694">
        <v>144056.35</v>
      </c>
      <c r="F34" s="1694">
        <v>0</v>
      </c>
      <c r="G34" s="1694">
        <v>0</v>
      </c>
      <c r="H34" s="1694">
        <v>0</v>
      </c>
      <c r="I34" s="1694">
        <v>0</v>
      </c>
      <c r="J34" s="1694">
        <f t="shared" si="2"/>
        <v>0</v>
      </c>
    </row>
    <row r="35" spans="1:10" s="1658" customFormat="1" ht="12.75" customHeight="1" x14ac:dyDescent="0.25">
      <c r="A35" s="1692" t="s">
        <v>78</v>
      </c>
      <c r="B35" s="1693" t="s">
        <v>79</v>
      </c>
      <c r="C35" s="1661" t="s">
        <v>268</v>
      </c>
      <c r="D35" s="1694">
        <f t="shared" si="1"/>
        <v>246163.12</v>
      </c>
      <c r="E35" s="1694">
        <v>246163.12</v>
      </c>
      <c r="F35" s="1694">
        <v>0</v>
      </c>
      <c r="G35" s="1694">
        <v>0</v>
      </c>
      <c r="H35" s="1694">
        <v>0</v>
      </c>
      <c r="I35" s="1694">
        <v>0</v>
      </c>
      <c r="J35" s="1694">
        <f t="shared" si="2"/>
        <v>0</v>
      </c>
    </row>
    <row r="36" spans="1:10" s="1658" customFormat="1" ht="12.75" customHeight="1" x14ac:dyDescent="0.25">
      <c r="A36" s="1692" t="s">
        <v>80</v>
      </c>
      <c r="B36" s="1693" t="s">
        <v>81</v>
      </c>
      <c r="C36" s="1661" t="s">
        <v>266</v>
      </c>
      <c r="D36" s="1694">
        <f t="shared" si="1"/>
        <v>146504.82</v>
      </c>
      <c r="E36" s="1694">
        <v>146504.82</v>
      </c>
      <c r="F36" s="1694">
        <v>0</v>
      </c>
      <c r="G36" s="1694">
        <v>0</v>
      </c>
      <c r="H36" s="1694">
        <v>0</v>
      </c>
      <c r="I36" s="1694">
        <v>0</v>
      </c>
      <c r="J36" s="1694">
        <f t="shared" si="2"/>
        <v>0</v>
      </c>
    </row>
    <row r="37" spans="1:10" s="1658" customFormat="1" ht="12.75" customHeight="1" x14ac:dyDescent="0.25">
      <c r="A37" s="1692" t="s">
        <v>84</v>
      </c>
      <c r="B37" s="1693" t="s">
        <v>308</v>
      </c>
      <c r="C37" s="1661" t="s">
        <v>265</v>
      </c>
      <c r="D37" s="1694">
        <f t="shared" si="1"/>
        <v>768500.19</v>
      </c>
      <c r="E37" s="1694">
        <v>768500.19</v>
      </c>
      <c r="F37" s="1694">
        <v>0</v>
      </c>
      <c r="G37" s="1694">
        <v>0</v>
      </c>
      <c r="H37" s="1694">
        <v>0</v>
      </c>
      <c r="I37" s="1694">
        <v>0</v>
      </c>
      <c r="J37" s="1694">
        <f t="shared" si="2"/>
        <v>0</v>
      </c>
    </row>
    <row r="38" spans="1:10" s="1658" customFormat="1" ht="12.75" customHeight="1" x14ac:dyDescent="0.25">
      <c r="A38" s="1692" t="s">
        <v>86</v>
      </c>
      <c r="B38" s="1693" t="s">
        <v>87</v>
      </c>
      <c r="C38" s="1661" t="s">
        <v>267</v>
      </c>
      <c r="D38" s="1694">
        <f t="shared" si="1"/>
        <v>254748.87</v>
      </c>
      <c r="E38" s="1694">
        <v>254748.87</v>
      </c>
      <c r="F38" s="1694">
        <v>0</v>
      </c>
      <c r="G38" s="1694">
        <v>0</v>
      </c>
      <c r="H38" s="1694">
        <v>0</v>
      </c>
      <c r="I38" s="1694">
        <v>0</v>
      </c>
      <c r="J38" s="1694">
        <f t="shared" si="2"/>
        <v>0</v>
      </c>
    </row>
    <row r="39" spans="1:10" s="1658" customFormat="1" ht="12.75" customHeight="1" x14ac:dyDescent="0.25">
      <c r="A39" s="1692" t="s">
        <v>92</v>
      </c>
      <c r="B39" s="1693" t="s">
        <v>93</v>
      </c>
      <c r="C39" s="1661" t="s">
        <v>268</v>
      </c>
      <c r="D39" s="1694">
        <f t="shared" si="1"/>
        <v>365151.52</v>
      </c>
      <c r="E39" s="1694">
        <v>365151.52</v>
      </c>
      <c r="F39" s="1694">
        <v>0</v>
      </c>
      <c r="G39" s="1694">
        <v>0</v>
      </c>
      <c r="H39" s="1694">
        <v>0</v>
      </c>
      <c r="I39" s="1694">
        <v>0</v>
      </c>
      <c r="J39" s="1694">
        <f t="shared" si="2"/>
        <v>0</v>
      </c>
    </row>
    <row r="40" spans="1:10" s="1658" customFormat="1" ht="12.75" customHeight="1" x14ac:dyDescent="0.25">
      <c r="A40" s="1692" t="s">
        <v>94</v>
      </c>
      <c r="B40" s="1693" t="s">
        <v>95</v>
      </c>
      <c r="C40" s="1661" t="s">
        <v>264</v>
      </c>
      <c r="D40" s="1694">
        <f t="shared" si="1"/>
        <v>314385.68</v>
      </c>
      <c r="E40" s="1694">
        <v>314385.68</v>
      </c>
      <c r="F40" s="1694">
        <v>0</v>
      </c>
      <c r="G40" s="1694">
        <v>0</v>
      </c>
      <c r="H40" s="1694">
        <v>0</v>
      </c>
      <c r="I40" s="1694">
        <v>0</v>
      </c>
      <c r="J40" s="1694">
        <f t="shared" si="2"/>
        <v>0</v>
      </c>
    </row>
    <row r="41" spans="1:10" s="1658" customFormat="1" ht="12.75" customHeight="1" x14ac:dyDescent="0.25">
      <c r="A41" s="1692" t="s">
        <v>96</v>
      </c>
      <c r="B41" s="1693" t="s">
        <v>97</v>
      </c>
      <c r="C41" s="1661" t="s">
        <v>266</v>
      </c>
      <c r="D41" s="1694">
        <f t="shared" si="1"/>
        <v>110539.57</v>
      </c>
      <c r="E41" s="1694">
        <v>110539.57</v>
      </c>
      <c r="F41" s="1694">
        <v>0</v>
      </c>
      <c r="G41" s="1694">
        <v>0</v>
      </c>
      <c r="H41" s="1694">
        <v>0</v>
      </c>
      <c r="I41" s="1694">
        <v>0</v>
      </c>
      <c r="J41" s="1694">
        <f t="shared" si="2"/>
        <v>0</v>
      </c>
    </row>
    <row r="42" spans="1:10" s="1658" customFormat="1" ht="12.75" customHeight="1" x14ac:dyDescent="0.25">
      <c r="A42" s="1692" t="s">
        <v>98</v>
      </c>
      <c r="B42" s="1693" t="s">
        <v>99</v>
      </c>
      <c r="C42" s="1661" t="s">
        <v>268</v>
      </c>
      <c r="D42" s="1694">
        <f t="shared" si="1"/>
        <v>529653.30000000005</v>
      </c>
      <c r="E42" s="1694">
        <v>529653.30000000005</v>
      </c>
      <c r="F42" s="1694">
        <v>0</v>
      </c>
      <c r="G42" s="1694">
        <v>0</v>
      </c>
      <c r="H42" s="1694">
        <v>0</v>
      </c>
      <c r="I42" s="1694">
        <v>0</v>
      </c>
      <c r="J42" s="1694">
        <f t="shared" si="2"/>
        <v>0</v>
      </c>
    </row>
    <row r="43" spans="1:10" s="1658" customFormat="1" ht="12.75" customHeight="1" x14ac:dyDescent="0.25">
      <c r="A43" s="1692" t="s">
        <v>100</v>
      </c>
      <c r="B43" s="1693" t="s">
        <v>101</v>
      </c>
      <c r="C43" s="1661" t="s">
        <v>267</v>
      </c>
      <c r="D43" s="1694">
        <f t="shared" si="1"/>
        <v>156179.68000000002</v>
      </c>
      <c r="E43" s="1694">
        <v>156179.68000000002</v>
      </c>
      <c r="F43" s="1694">
        <v>0</v>
      </c>
      <c r="G43" s="1694">
        <v>0</v>
      </c>
      <c r="H43" s="1694">
        <v>0</v>
      </c>
      <c r="I43" s="1694">
        <v>0</v>
      </c>
      <c r="J43" s="1694">
        <f t="shared" si="2"/>
        <v>0</v>
      </c>
    </row>
    <row r="44" spans="1:10" s="1658" customFormat="1" ht="12.75" customHeight="1" x14ac:dyDescent="0.25">
      <c r="A44" s="1692" t="s">
        <v>102</v>
      </c>
      <c r="B44" s="1693" t="s">
        <v>103</v>
      </c>
      <c r="C44" s="1661" t="s">
        <v>264</v>
      </c>
      <c r="D44" s="1694">
        <f t="shared" si="1"/>
        <v>425605.66</v>
      </c>
      <c r="E44" s="1694">
        <v>425605.66</v>
      </c>
      <c r="F44" s="1694">
        <v>0</v>
      </c>
      <c r="G44" s="1694">
        <v>0</v>
      </c>
      <c r="H44" s="1694">
        <v>0</v>
      </c>
      <c r="I44" s="1694">
        <v>0</v>
      </c>
      <c r="J44" s="1694">
        <f t="shared" si="2"/>
        <v>0</v>
      </c>
    </row>
    <row r="45" spans="1:10" s="1658" customFormat="1" ht="12.75" customHeight="1" x14ac:dyDescent="0.25">
      <c r="A45" s="1692" t="s">
        <v>104</v>
      </c>
      <c r="B45" s="1693" t="s">
        <v>309</v>
      </c>
      <c r="C45" s="1661" t="s">
        <v>265</v>
      </c>
      <c r="D45" s="1694">
        <f t="shared" si="1"/>
        <v>1120420.44</v>
      </c>
      <c r="E45" s="1694">
        <v>1120420.44</v>
      </c>
      <c r="F45" s="1694">
        <v>0</v>
      </c>
      <c r="G45" s="1694">
        <v>0</v>
      </c>
      <c r="H45" s="1694">
        <v>0</v>
      </c>
      <c r="I45" s="1694">
        <v>0</v>
      </c>
      <c r="J45" s="1694">
        <f t="shared" si="2"/>
        <v>0</v>
      </c>
    </row>
    <row r="46" spans="1:10" s="1658" customFormat="1" ht="12.75" customHeight="1" x14ac:dyDescent="0.25">
      <c r="A46" s="1692" t="s">
        <v>108</v>
      </c>
      <c r="B46" s="1693" t="s">
        <v>109</v>
      </c>
      <c r="C46" s="1661" t="s">
        <v>266</v>
      </c>
      <c r="D46" s="1694">
        <f t="shared" si="1"/>
        <v>309244.02999999997</v>
      </c>
      <c r="E46" s="1694">
        <v>309244.02999999997</v>
      </c>
      <c r="F46" s="1694">
        <v>0</v>
      </c>
      <c r="G46" s="1694">
        <v>0</v>
      </c>
      <c r="H46" s="1694">
        <v>0</v>
      </c>
      <c r="I46" s="1694">
        <v>0</v>
      </c>
      <c r="J46" s="1694">
        <f t="shared" si="2"/>
        <v>0</v>
      </c>
    </row>
    <row r="47" spans="1:10" s="1658" customFormat="1" ht="12.75" customHeight="1" x14ac:dyDescent="0.25">
      <c r="A47" s="1692" t="s">
        <v>110</v>
      </c>
      <c r="B47" s="1693" t="s">
        <v>111</v>
      </c>
      <c r="C47" s="1661" t="s">
        <v>266</v>
      </c>
      <c r="D47" s="1694">
        <f t="shared" si="1"/>
        <v>1626732.21</v>
      </c>
      <c r="E47" s="1694">
        <v>1626732.21</v>
      </c>
      <c r="F47" s="1694">
        <v>0</v>
      </c>
      <c r="G47" s="1694">
        <v>0</v>
      </c>
      <c r="H47" s="1694">
        <v>0</v>
      </c>
      <c r="I47" s="1694">
        <v>0</v>
      </c>
      <c r="J47" s="1694">
        <f t="shared" si="2"/>
        <v>0</v>
      </c>
    </row>
    <row r="48" spans="1:10" s="1658" customFormat="1" ht="12.75" customHeight="1" x14ac:dyDescent="0.25">
      <c r="A48" s="1692" t="s">
        <v>112</v>
      </c>
      <c r="B48" s="1693" t="s">
        <v>300</v>
      </c>
      <c r="C48" s="1661" t="s">
        <v>265</v>
      </c>
      <c r="D48" s="1694">
        <f t="shared" si="1"/>
        <v>1721757.8199999998</v>
      </c>
      <c r="E48" s="1694">
        <v>1721757.8199999998</v>
      </c>
      <c r="F48" s="1694">
        <v>0</v>
      </c>
      <c r="G48" s="1694">
        <v>0</v>
      </c>
      <c r="H48" s="1694">
        <v>0</v>
      </c>
      <c r="I48" s="1694">
        <v>0</v>
      </c>
      <c r="J48" s="1694">
        <f t="shared" si="2"/>
        <v>0</v>
      </c>
    </row>
    <row r="49" spans="1:10" s="1658" customFormat="1" ht="12.75" customHeight="1" x14ac:dyDescent="0.25">
      <c r="A49" s="1692" t="s">
        <v>114</v>
      </c>
      <c r="B49" s="1693" t="s">
        <v>115</v>
      </c>
      <c r="C49" s="1661" t="s">
        <v>265</v>
      </c>
      <c r="D49" s="1694">
        <f t="shared" si="1"/>
        <v>23668.959999999999</v>
      </c>
      <c r="E49" s="1694">
        <v>23668.959999999999</v>
      </c>
      <c r="F49" s="1694">
        <v>0</v>
      </c>
      <c r="G49" s="1694">
        <v>0</v>
      </c>
      <c r="H49" s="1694">
        <v>0</v>
      </c>
      <c r="I49" s="1694">
        <v>0</v>
      </c>
      <c r="J49" s="1694">
        <f t="shared" si="2"/>
        <v>0</v>
      </c>
    </row>
    <row r="50" spans="1:10" s="1658" customFormat="1" ht="12.75" customHeight="1" x14ac:dyDescent="0.25">
      <c r="A50" s="1692" t="s">
        <v>118</v>
      </c>
      <c r="B50" s="1693" t="s">
        <v>119</v>
      </c>
      <c r="C50" s="1661" t="s">
        <v>264</v>
      </c>
      <c r="D50" s="1694">
        <f t="shared" si="1"/>
        <v>255795.18</v>
      </c>
      <c r="E50" s="1694">
        <v>255795.18</v>
      </c>
      <c r="F50" s="1694">
        <v>0</v>
      </c>
      <c r="G50" s="1694">
        <v>0</v>
      </c>
      <c r="H50" s="1694">
        <v>0</v>
      </c>
      <c r="I50" s="1694">
        <v>0</v>
      </c>
      <c r="J50" s="1694">
        <f t="shared" si="2"/>
        <v>0</v>
      </c>
    </row>
    <row r="51" spans="1:10" s="1658" customFormat="1" ht="12.75" customHeight="1" x14ac:dyDescent="0.25">
      <c r="A51" s="1692" t="s">
        <v>120</v>
      </c>
      <c r="B51" s="1693" t="s">
        <v>121</v>
      </c>
      <c r="C51" s="1661" t="s">
        <v>264</v>
      </c>
      <c r="D51" s="1694">
        <f t="shared" si="1"/>
        <v>247635.69999999998</v>
      </c>
      <c r="E51" s="1694">
        <v>247635.69999999998</v>
      </c>
      <c r="F51" s="1694">
        <v>0</v>
      </c>
      <c r="G51" s="1694">
        <v>0</v>
      </c>
      <c r="H51" s="1694">
        <v>0</v>
      </c>
      <c r="I51" s="1694">
        <v>0</v>
      </c>
      <c r="J51" s="1694">
        <f t="shared" si="2"/>
        <v>0</v>
      </c>
    </row>
    <row r="52" spans="1:10" s="1658" customFormat="1" ht="12.75" customHeight="1" x14ac:dyDescent="0.25">
      <c r="A52" s="1692" t="s">
        <v>122</v>
      </c>
      <c r="B52" s="1693" t="s">
        <v>271</v>
      </c>
      <c r="C52" s="1661" t="s">
        <v>266</v>
      </c>
      <c r="D52" s="1694">
        <f t="shared" si="1"/>
        <v>124079.01000000001</v>
      </c>
      <c r="E52" s="1694">
        <v>124079.01000000001</v>
      </c>
      <c r="F52" s="1694">
        <v>0</v>
      </c>
      <c r="G52" s="1694">
        <v>0</v>
      </c>
      <c r="H52" s="1694">
        <v>0</v>
      </c>
      <c r="I52" s="1694">
        <v>0</v>
      </c>
      <c r="J52" s="1694">
        <f t="shared" si="2"/>
        <v>0</v>
      </c>
    </row>
    <row r="53" spans="1:10" s="1658" customFormat="1" ht="12.75" customHeight="1" x14ac:dyDescent="0.25">
      <c r="A53" s="1692" t="s">
        <v>124</v>
      </c>
      <c r="B53" s="1693" t="s">
        <v>125</v>
      </c>
      <c r="C53" s="1661" t="s">
        <v>267</v>
      </c>
      <c r="D53" s="1694">
        <f t="shared" si="1"/>
        <v>180491.51</v>
      </c>
      <c r="E53" s="1694">
        <v>180491.51</v>
      </c>
      <c r="F53" s="1694">
        <v>0</v>
      </c>
      <c r="G53" s="1694">
        <v>0</v>
      </c>
      <c r="H53" s="1694">
        <v>0</v>
      </c>
      <c r="I53" s="1694">
        <v>0</v>
      </c>
      <c r="J53" s="1694">
        <f t="shared" si="2"/>
        <v>0</v>
      </c>
    </row>
    <row r="54" spans="1:10" s="1658" customFormat="1" ht="12.75" customHeight="1" x14ac:dyDescent="0.25">
      <c r="A54" s="1692" t="s">
        <v>126</v>
      </c>
      <c r="B54" s="1693" t="s">
        <v>127</v>
      </c>
      <c r="C54" s="1661" t="s">
        <v>266</v>
      </c>
      <c r="D54" s="1694">
        <f t="shared" si="1"/>
        <v>121241.4</v>
      </c>
      <c r="E54" s="1694">
        <v>121241.4</v>
      </c>
      <c r="F54" s="1694">
        <v>0</v>
      </c>
      <c r="G54" s="1694">
        <v>0</v>
      </c>
      <c r="H54" s="1694">
        <v>0</v>
      </c>
      <c r="I54" s="1694">
        <v>0</v>
      </c>
      <c r="J54" s="1694">
        <f t="shared" si="2"/>
        <v>0</v>
      </c>
    </row>
    <row r="55" spans="1:10" s="1658" customFormat="1" ht="12.75" customHeight="1" x14ac:dyDescent="0.25">
      <c r="A55" s="1692" t="s">
        <v>128</v>
      </c>
      <c r="B55" s="1693" t="s">
        <v>129</v>
      </c>
      <c r="C55" s="1661" t="s">
        <v>266</v>
      </c>
      <c r="D55" s="1694">
        <f t="shared" si="1"/>
        <v>223885.61</v>
      </c>
      <c r="E55" s="1694">
        <v>223885.61</v>
      </c>
      <c r="F55" s="1694">
        <v>0</v>
      </c>
      <c r="G55" s="1694">
        <v>0</v>
      </c>
      <c r="H55" s="1694">
        <v>0</v>
      </c>
      <c r="I55" s="1694">
        <v>0</v>
      </c>
      <c r="J55" s="1694">
        <f t="shared" si="2"/>
        <v>0</v>
      </c>
    </row>
    <row r="56" spans="1:10" s="1658" customFormat="1" ht="12.75" customHeight="1" x14ac:dyDescent="0.25">
      <c r="A56" s="1692" t="s">
        <v>130</v>
      </c>
      <c r="B56" s="1693" t="s">
        <v>131</v>
      </c>
      <c r="C56" s="1661" t="s">
        <v>268</v>
      </c>
      <c r="D56" s="1694">
        <f t="shared" si="1"/>
        <v>1330269.06</v>
      </c>
      <c r="E56" s="1694">
        <v>1330269.06</v>
      </c>
      <c r="F56" s="1694">
        <v>0</v>
      </c>
      <c r="G56" s="1694">
        <v>0</v>
      </c>
      <c r="H56" s="1694">
        <v>0</v>
      </c>
      <c r="I56" s="1694">
        <v>0</v>
      </c>
      <c r="J56" s="1694">
        <f t="shared" si="2"/>
        <v>0</v>
      </c>
    </row>
    <row r="57" spans="1:10" s="1658" customFormat="1" ht="12.75" customHeight="1" x14ac:dyDescent="0.25">
      <c r="A57" s="1692" t="s">
        <v>132</v>
      </c>
      <c r="B57" s="1693" t="s">
        <v>133</v>
      </c>
      <c r="C57" s="1661" t="s">
        <v>267</v>
      </c>
      <c r="D57" s="1694">
        <f t="shared" si="1"/>
        <v>97250.21</v>
      </c>
      <c r="E57" s="1694">
        <v>97250.21</v>
      </c>
      <c r="F57" s="1694">
        <v>0</v>
      </c>
      <c r="G57" s="1694">
        <v>0</v>
      </c>
      <c r="H57" s="1694">
        <v>0</v>
      </c>
      <c r="I57" s="1694">
        <v>0</v>
      </c>
      <c r="J57" s="1694">
        <f t="shared" si="2"/>
        <v>0</v>
      </c>
    </row>
    <row r="58" spans="1:10" s="1658" customFormat="1" ht="12.75" customHeight="1" x14ac:dyDescent="0.25">
      <c r="A58" s="1692" t="s">
        <v>134</v>
      </c>
      <c r="B58" s="1693" t="s">
        <v>135</v>
      </c>
      <c r="C58" s="1661" t="s">
        <v>267</v>
      </c>
      <c r="D58" s="1694">
        <f t="shared" si="1"/>
        <v>467446.86</v>
      </c>
      <c r="E58" s="1694">
        <v>467446.86</v>
      </c>
      <c r="F58" s="1694">
        <v>0</v>
      </c>
      <c r="G58" s="1694">
        <v>0</v>
      </c>
      <c r="H58" s="1694">
        <v>0</v>
      </c>
      <c r="I58" s="1694">
        <v>0</v>
      </c>
      <c r="J58" s="1694">
        <f t="shared" si="2"/>
        <v>0</v>
      </c>
    </row>
    <row r="59" spans="1:10" s="1658" customFormat="1" ht="12.75" customHeight="1" x14ac:dyDescent="0.25">
      <c r="A59" s="1692" t="s">
        <v>136</v>
      </c>
      <c r="B59" s="1693" t="s">
        <v>137</v>
      </c>
      <c r="C59" s="1661" t="s">
        <v>266</v>
      </c>
      <c r="D59" s="1694">
        <f t="shared" si="1"/>
        <v>430905.30999999994</v>
      </c>
      <c r="E59" s="1694">
        <v>430905.30999999994</v>
      </c>
      <c r="F59" s="1694">
        <v>0</v>
      </c>
      <c r="G59" s="1694">
        <v>0</v>
      </c>
      <c r="H59" s="1694">
        <v>0</v>
      </c>
      <c r="I59" s="1694">
        <v>0</v>
      </c>
      <c r="J59" s="1694">
        <f t="shared" si="2"/>
        <v>0</v>
      </c>
    </row>
    <row r="60" spans="1:10" s="1658" customFormat="1" ht="12.75" customHeight="1" x14ac:dyDescent="0.25">
      <c r="A60" s="1692" t="s">
        <v>140</v>
      </c>
      <c r="B60" s="1693" t="s">
        <v>141</v>
      </c>
      <c r="C60" s="1661" t="s">
        <v>267</v>
      </c>
      <c r="D60" s="1694">
        <f t="shared" si="1"/>
        <v>120050.57999999999</v>
      </c>
      <c r="E60" s="1694">
        <v>120050.57999999999</v>
      </c>
      <c r="F60" s="1694">
        <v>0</v>
      </c>
      <c r="G60" s="1694">
        <v>0</v>
      </c>
      <c r="H60" s="1694">
        <v>0</v>
      </c>
      <c r="I60" s="1694">
        <v>0</v>
      </c>
      <c r="J60" s="1694">
        <f t="shared" si="2"/>
        <v>0</v>
      </c>
    </row>
    <row r="61" spans="1:10" s="1658" customFormat="1" ht="12.75" customHeight="1" x14ac:dyDescent="0.25">
      <c r="A61" s="1692" t="s">
        <v>146</v>
      </c>
      <c r="B61" s="1693" t="s">
        <v>147</v>
      </c>
      <c r="C61" s="1661" t="s">
        <v>264</v>
      </c>
      <c r="D61" s="1694">
        <f t="shared" si="1"/>
        <v>101877.98</v>
      </c>
      <c r="E61" s="1694">
        <v>101877.98</v>
      </c>
      <c r="F61" s="1694">
        <v>0</v>
      </c>
      <c r="G61" s="1694">
        <v>0</v>
      </c>
      <c r="H61" s="1694">
        <v>0</v>
      </c>
      <c r="I61" s="1694">
        <v>0</v>
      </c>
      <c r="J61" s="1694">
        <f t="shared" si="2"/>
        <v>0</v>
      </c>
    </row>
    <row r="62" spans="1:10" s="1658" customFormat="1" ht="12.75" customHeight="1" x14ac:dyDescent="0.25">
      <c r="A62" s="1692" t="s">
        <v>148</v>
      </c>
      <c r="B62" s="1693" t="s">
        <v>149</v>
      </c>
      <c r="C62" s="1661" t="s">
        <v>265</v>
      </c>
      <c r="D62" s="1694">
        <f t="shared" si="1"/>
        <v>848615.67</v>
      </c>
      <c r="E62" s="1694">
        <v>848615.67</v>
      </c>
      <c r="F62" s="1694">
        <v>0</v>
      </c>
      <c r="G62" s="1694">
        <v>0</v>
      </c>
      <c r="H62" s="1694">
        <v>0</v>
      </c>
      <c r="I62" s="1694">
        <v>0</v>
      </c>
      <c r="J62" s="1694">
        <f t="shared" si="2"/>
        <v>0</v>
      </c>
    </row>
    <row r="63" spans="1:10" s="1658" customFormat="1" ht="12.75" customHeight="1" x14ac:dyDescent="0.25">
      <c r="A63" s="1692" t="s">
        <v>150</v>
      </c>
      <c r="B63" s="1693" t="s">
        <v>151</v>
      </c>
      <c r="C63" s="1661" t="s">
        <v>266</v>
      </c>
      <c r="D63" s="1694">
        <f t="shared" si="1"/>
        <v>177918.31</v>
      </c>
      <c r="E63" s="1694">
        <v>177918.31</v>
      </c>
      <c r="F63" s="1694">
        <v>0</v>
      </c>
      <c r="G63" s="1694">
        <v>0</v>
      </c>
      <c r="H63" s="1694">
        <v>0</v>
      </c>
      <c r="I63" s="1694">
        <v>0</v>
      </c>
      <c r="J63" s="1694">
        <f t="shared" si="2"/>
        <v>0</v>
      </c>
    </row>
    <row r="64" spans="1:10" s="1658" customFormat="1" ht="12.75" customHeight="1" x14ac:dyDescent="0.25">
      <c r="A64" s="1692" t="s">
        <v>152</v>
      </c>
      <c r="B64" s="1693" t="s">
        <v>153</v>
      </c>
      <c r="C64" s="1661" t="s">
        <v>268</v>
      </c>
      <c r="D64" s="1694">
        <f t="shared" si="1"/>
        <v>809144.64</v>
      </c>
      <c r="E64" s="1694">
        <v>809144.64</v>
      </c>
      <c r="F64" s="1694">
        <v>0</v>
      </c>
      <c r="G64" s="1694">
        <v>0</v>
      </c>
      <c r="H64" s="1694">
        <v>0</v>
      </c>
      <c r="I64" s="1694">
        <v>0</v>
      </c>
      <c r="J64" s="1694">
        <f t="shared" si="2"/>
        <v>0</v>
      </c>
    </row>
    <row r="65" spans="1:10" s="1658" customFormat="1" ht="12.75" customHeight="1" x14ac:dyDescent="0.25">
      <c r="A65" s="1692" t="s">
        <v>154</v>
      </c>
      <c r="B65" s="1693" t="s">
        <v>155</v>
      </c>
      <c r="C65" s="1661" t="s">
        <v>265</v>
      </c>
      <c r="D65" s="1694">
        <f t="shared" si="1"/>
        <v>309298.75</v>
      </c>
      <c r="E65" s="1694">
        <v>309298.75</v>
      </c>
      <c r="F65" s="1694">
        <v>0</v>
      </c>
      <c r="G65" s="1694">
        <v>0</v>
      </c>
      <c r="H65" s="1694">
        <v>0</v>
      </c>
      <c r="I65" s="1694">
        <v>0</v>
      </c>
      <c r="J65" s="1694">
        <f t="shared" si="2"/>
        <v>0</v>
      </c>
    </row>
    <row r="66" spans="1:10" s="1658" customFormat="1" ht="12.75" customHeight="1" x14ac:dyDescent="0.25">
      <c r="A66" s="1692" t="s">
        <v>156</v>
      </c>
      <c r="B66" s="1693" t="s">
        <v>157</v>
      </c>
      <c r="C66" s="1661" t="s">
        <v>266</v>
      </c>
      <c r="D66" s="1694">
        <f t="shared" si="1"/>
        <v>67639.7</v>
      </c>
      <c r="E66" s="1694">
        <v>67639.7</v>
      </c>
      <c r="F66" s="1694">
        <v>0</v>
      </c>
      <c r="G66" s="1694">
        <v>0</v>
      </c>
      <c r="H66" s="1694">
        <v>0</v>
      </c>
      <c r="I66" s="1694">
        <v>0</v>
      </c>
      <c r="J66" s="1694">
        <f t="shared" si="2"/>
        <v>0</v>
      </c>
    </row>
    <row r="67" spans="1:10" s="1658" customFormat="1" ht="12.75" customHeight="1" x14ac:dyDescent="0.25">
      <c r="A67" s="1692" t="s">
        <v>162</v>
      </c>
      <c r="B67" s="1693" t="s">
        <v>163</v>
      </c>
      <c r="C67" s="1661" t="s">
        <v>264</v>
      </c>
      <c r="D67" s="1694">
        <f t="shared" si="1"/>
        <v>480617.08</v>
      </c>
      <c r="E67" s="1694">
        <v>480617.08</v>
      </c>
      <c r="F67" s="1694">
        <v>0</v>
      </c>
      <c r="G67" s="1694">
        <v>0</v>
      </c>
      <c r="H67" s="1694">
        <v>0</v>
      </c>
      <c r="I67" s="1694">
        <v>0</v>
      </c>
      <c r="J67" s="1694">
        <f t="shared" si="2"/>
        <v>0</v>
      </c>
    </row>
    <row r="68" spans="1:10" s="1658" customFormat="1" ht="12.75" customHeight="1" x14ac:dyDescent="0.25">
      <c r="A68" s="1692" t="s">
        <v>164</v>
      </c>
      <c r="B68" s="1693" t="s">
        <v>165</v>
      </c>
      <c r="C68" s="1661" t="s">
        <v>266</v>
      </c>
      <c r="D68" s="1694">
        <f t="shared" si="1"/>
        <v>264325.65999999997</v>
      </c>
      <c r="E68" s="1694">
        <v>264325.65999999997</v>
      </c>
      <c r="F68" s="1694">
        <v>0</v>
      </c>
      <c r="G68" s="1694">
        <v>0</v>
      </c>
      <c r="H68" s="1694">
        <v>0</v>
      </c>
      <c r="I68" s="1694">
        <v>0</v>
      </c>
      <c r="J68" s="1694">
        <f t="shared" si="2"/>
        <v>0</v>
      </c>
    </row>
    <row r="69" spans="1:10" s="1658" customFormat="1" ht="12.75" customHeight="1" x14ac:dyDescent="0.25">
      <c r="A69" s="1692" t="s">
        <v>168</v>
      </c>
      <c r="B69" s="1693" t="s">
        <v>169</v>
      </c>
      <c r="C69" s="1661" t="s">
        <v>266</v>
      </c>
      <c r="D69" s="1694">
        <f t="shared" si="1"/>
        <v>395480.96</v>
      </c>
      <c r="E69" s="1694">
        <v>395480.96</v>
      </c>
      <c r="F69" s="1694">
        <v>0</v>
      </c>
      <c r="G69" s="1694">
        <v>0</v>
      </c>
      <c r="H69" s="1694">
        <v>0</v>
      </c>
      <c r="I69" s="1694">
        <v>0</v>
      </c>
      <c r="J69" s="1694">
        <f t="shared" si="2"/>
        <v>0</v>
      </c>
    </row>
    <row r="70" spans="1:10" s="1658" customFormat="1" ht="12.75" customHeight="1" x14ac:dyDescent="0.25">
      <c r="A70" s="1692" t="s">
        <v>170</v>
      </c>
      <c r="B70" s="1693" t="s">
        <v>171</v>
      </c>
      <c r="C70" s="1661" t="s">
        <v>267</v>
      </c>
      <c r="D70" s="1694">
        <f t="shared" ref="D70:D124" si="3">SUM(E70:I70)</f>
        <v>261716.21000000002</v>
      </c>
      <c r="E70" s="1694">
        <v>261716.21000000002</v>
      </c>
      <c r="F70" s="1694">
        <v>0</v>
      </c>
      <c r="G70" s="1694">
        <v>0</v>
      </c>
      <c r="H70" s="1694">
        <v>0</v>
      </c>
      <c r="I70" s="1694">
        <v>0</v>
      </c>
      <c r="J70" s="1694">
        <f t="shared" ref="J70:J124" si="4">H70+I70</f>
        <v>0</v>
      </c>
    </row>
    <row r="71" spans="1:10" s="1658" customFormat="1" ht="12.75" customHeight="1" x14ac:dyDescent="0.25">
      <c r="A71" s="1692" t="s">
        <v>172</v>
      </c>
      <c r="B71" s="1693" t="s">
        <v>173</v>
      </c>
      <c r="C71" s="1661" t="s">
        <v>267</v>
      </c>
      <c r="D71" s="1694">
        <f t="shared" si="3"/>
        <v>407403.26</v>
      </c>
      <c r="E71" s="1694">
        <v>407403.26</v>
      </c>
      <c r="F71" s="1694">
        <v>0</v>
      </c>
      <c r="G71" s="1694">
        <v>0</v>
      </c>
      <c r="H71" s="1694">
        <v>0</v>
      </c>
      <c r="I71" s="1694">
        <v>0</v>
      </c>
      <c r="J71" s="1694">
        <f t="shared" si="4"/>
        <v>0</v>
      </c>
    </row>
    <row r="72" spans="1:10" s="1658" customFormat="1" ht="12.75" customHeight="1" x14ac:dyDescent="0.25">
      <c r="A72" s="1692" t="s">
        <v>174</v>
      </c>
      <c r="B72" s="1693" t="s">
        <v>175</v>
      </c>
      <c r="C72" s="1661" t="s">
        <v>268</v>
      </c>
      <c r="D72" s="1694">
        <f t="shared" si="3"/>
        <v>485657.28999999992</v>
      </c>
      <c r="E72" s="1694">
        <v>485657.28999999992</v>
      </c>
      <c r="F72" s="1694">
        <v>0</v>
      </c>
      <c r="G72" s="1694">
        <v>0</v>
      </c>
      <c r="H72" s="1694">
        <v>0</v>
      </c>
      <c r="I72" s="1694">
        <v>0</v>
      </c>
      <c r="J72" s="1694">
        <f t="shared" si="4"/>
        <v>0</v>
      </c>
    </row>
    <row r="73" spans="1:10" s="1658" customFormat="1" ht="12.75" customHeight="1" x14ac:dyDescent="0.25">
      <c r="A73" s="1692" t="s">
        <v>178</v>
      </c>
      <c r="B73" s="1693" t="s">
        <v>179</v>
      </c>
      <c r="C73" s="1661" t="s">
        <v>265</v>
      </c>
      <c r="D73" s="1694">
        <f t="shared" si="3"/>
        <v>1158303.97</v>
      </c>
      <c r="E73" s="1694">
        <v>1158303.97</v>
      </c>
      <c r="F73" s="1694">
        <v>0</v>
      </c>
      <c r="G73" s="1694">
        <v>0</v>
      </c>
      <c r="H73" s="1694">
        <v>0</v>
      </c>
      <c r="I73" s="1694">
        <v>0</v>
      </c>
      <c r="J73" s="1694">
        <f t="shared" si="4"/>
        <v>0</v>
      </c>
    </row>
    <row r="74" spans="1:10" s="1658" customFormat="1" ht="12.75" customHeight="1" x14ac:dyDescent="0.25">
      <c r="A74" s="1692" t="s">
        <v>182</v>
      </c>
      <c r="B74" s="1693" t="s">
        <v>183</v>
      </c>
      <c r="C74" s="1661" t="s">
        <v>266</v>
      </c>
      <c r="D74" s="1694">
        <f t="shared" si="3"/>
        <v>78866.209999999992</v>
      </c>
      <c r="E74" s="1694">
        <v>78866.209999999992</v>
      </c>
      <c r="F74" s="1694">
        <v>0</v>
      </c>
      <c r="G74" s="1694">
        <v>0</v>
      </c>
      <c r="H74" s="1694">
        <v>0</v>
      </c>
      <c r="I74" s="1694">
        <v>0</v>
      </c>
      <c r="J74" s="1694">
        <f t="shared" si="4"/>
        <v>0</v>
      </c>
    </row>
    <row r="75" spans="1:10" s="1658" customFormat="1" ht="12.75" customHeight="1" x14ac:dyDescent="0.25">
      <c r="A75" s="1692" t="s">
        <v>184</v>
      </c>
      <c r="B75" s="1693" t="s">
        <v>185</v>
      </c>
      <c r="C75" s="1661" t="s">
        <v>266</v>
      </c>
      <c r="D75" s="1694">
        <f t="shared" si="3"/>
        <v>424899.17</v>
      </c>
      <c r="E75" s="1694">
        <v>424899.17</v>
      </c>
      <c r="F75" s="1694">
        <v>0</v>
      </c>
      <c r="G75" s="1694">
        <v>0</v>
      </c>
      <c r="H75" s="1694">
        <v>0</v>
      </c>
      <c r="I75" s="1694">
        <v>0</v>
      </c>
      <c r="J75" s="1694">
        <f t="shared" si="4"/>
        <v>0</v>
      </c>
    </row>
    <row r="76" spans="1:10" s="1658" customFormat="1" ht="12.75" customHeight="1" x14ac:dyDescent="0.25">
      <c r="A76" s="1692" t="s">
        <v>186</v>
      </c>
      <c r="B76" s="1693" t="s">
        <v>187</v>
      </c>
      <c r="C76" s="1661" t="s">
        <v>264</v>
      </c>
      <c r="D76" s="1694">
        <f t="shared" si="3"/>
        <v>135578.47</v>
      </c>
      <c r="E76" s="1694">
        <v>135578.47</v>
      </c>
      <c r="F76" s="1694">
        <v>0</v>
      </c>
      <c r="G76" s="1694">
        <v>0</v>
      </c>
      <c r="H76" s="1694">
        <v>0</v>
      </c>
      <c r="I76" s="1694">
        <v>0</v>
      </c>
      <c r="J76" s="1694">
        <f t="shared" si="4"/>
        <v>0</v>
      </c>
    </row>
    <row r="77" spans="1:10" s="1658" customFormat="1" ht="12.75" customHeight="1" x14ac:dyDescent="0.25">
      <c r="A77" s="1692" t="s">
        <v>188</v>
      </c>
      <c r="B77" s="1693" t="s">
        <v>189</v>
      </c>
      <c r="C77" s="1661" t="s">
        <v>267</v>
      </c>
      <c r="D77" s="1694">
        <f t="shared" si="3"/>
        <v>424404.07</v>
      </c>
      <c r="E77" s="1694">
        <v>424404.07</v>
      </c>
      <c r="F77" s="1694">
        <v>0</v>
      </c>
      <c r="G77" s="1694">
        <v>0</v>
      </c>
      <c r="H77" s="1694">
        <v>0</v>
      </c>
      <c r="I77" s="1694">
        <v>0</v>
      </c>
      <c r="J77" s="1694">
        <f t="shared" si="4"/>
        <v>0</v>
      </c>
    </row>
    <row r="78" spans="1:10" s="1658" customFormat="1" ht="12.75" customHeight="1" x14ac:dyDescent="0.25">
      <c r="A78" s="1692" t="s">
        <v>190</v>
      </c>
      <c r="B78" s="1693" t="s">
        <v>191</v>
      </c>
      <c r="C78" s="1661" t="s">
        <v>268</v>
      </c>
      <c r="D78" s="1694">
        <f t="shared" si="3"/>
        <v>860980.09</v>
      </c>
      <c r="E78" s="1694">
        <v>860980.09</v>
      </c>
      <c r="F78" s="1694">
        <v>0</v>
      </c>
      <c r="G78" s="1694">
        <v>0</v>
      </c>
      <c r="H78" s="1694">
        <v>0</v>
      </c>
      <c r="I78" s="1694">
        <v>0</v>
      </c>
      <c r="J78" s="1694">
        <f t="shared" si="4"/>
        <v>0</v>
      </c>
    </row>
    <row r="79" spans="1:10" s="1658" customFormat="1" ht="12.75" customHeight="1" x14ac:dyDescent="0.25">
      <c r="A79" s="1692" t="s">
        <v>194</v>
      </c>
      <c r="B79" s="1693" t="s">
        <v>195</v>
      </c>
      <c r="C79" s="1661" t="s">
        <v>267</v>
      </c>
      <c r="D79" s="1694">
        <f t="shared" si="3"/>
        <v>37251.07</v>
      </c>
      <c r="E79" s="1694">
        <v>37251.07</v>
      </c>
      <c r="F79" s="1694">
        <v>0</v>
      </c>
      <c r="G79" s="1694">
        <v>0</v>
      </c>
      <c r="H79" s="1694">
        <v>0</v>
      </c>
      <c r="I79" s="1694">
        <v>0</v>
      </c>
      <c r="J79" s="1694">
        <f t="shared" si="4"/>
        <v>0</v>
      </c>
    </row>
    <row r="80" spans="1:10" s="1658" customFormat="1" ht="12.75" customHeight="1" x14ac:dyDescent="0.25">
      <c r="A80" s="1692" t="s">
        <v>198</v>
      </c>
      <c r="B80" s="1693" t="s">
        <v>199</v>
      </c>
      <c r="C80" s="1661" t="s">
        <v>266</v>
      </c>
      <c r="D80" s="1694">
        <f t="shared" si="3"/>
        <v>181733.38</v>
      </c>
      <c r="E80" s="1694">
        <v>181733.38</v>
      </c>
      <c r="F80" s="1694">
        <v>0</v>
      </c>
      <c r="G80" s="1694">
        <v>0</v>
      </c>
      <c r="H80" s="1694">
        <v>0</v>
      </c>
      <c r="I80" s="1694">
        <v>0</v>
      </c>
      <c r="J80" s="1694">
        <f t="shared" si="4"/>
        <v>0</v>
      </c>
    </row>
    <row r="81" spans="1:10" s="1658" customFormat="1" ht="12.75" customHeight="1" x14ac:dyDescent="0.25">
      <c r="A81" s="1692" t="s">
        <v>202</v>
      </c>
      <c r="B81" s="1693" t="s">
        <v>203</v>
      </c>
      <c r="C81" s="1661" t="s">
        <v>265</v>
      </c>
      <c r="D81" s="1694">
        <f t="shared" si="3"/>
        <v>503341.48</v>
      </c>
      <c r="E81" s="1694">
        <v>503341.48</v>
      </c>
      <c r="F81" s="1694">
        <v>0</v>
      </c>
      <c r="G81" s="1694">
        <v>0</v>
      </c>
      <c r="H81" s="1694">
        <v>0</v>
      </c>
      <c r="I81" s="1694">
        <v>0</v>
      </c>
      <c r="J81" s="1694">
        <f t="shared" si="4"/>
        <v>0</v>
      </c>
    </row>
    <row r="82" spans="1:10" s="1658" customFormat="1" ht="12.75" customHeight="1" x14ac:dyDescent="0.25">
      <c r="A82" s="1692" t="s">
        <v>204</v>
      </c>
      <c r="B82" s="1693" t="s">
        <v>205</v>
      </c>
      <c r="C82" s="1661" t="s">
        <v>265</v>
      </c>
      <c r="D82" s="1694">
        <f t="shared" si="3"/>
        <v>622165.85</v>
      </c>
      <c r="E82" s="1694">
        <v>622165.85</v>
      </c>
      <c r="F82" s="1694">
        <v>0</v>
      </c>
      <c r="G82" s="1694">
        <v>0</v>
      </c>
      <c r="H82" s="1694">
        <v>0</v>
      </c>
      <c r="I82" s="1694">
        <v>0</v>
      </c>
      <c r="J82" s="1694">
        <f t="shared" si="4"/>
        <v>0</v>
      </c>
    </row>
    <row r="83" spans="1:10" s="1658" customFormat="1" ht="12.75" customHeight="1" x14ac:dyDescent="0.25">
      <c r="A83" s="1692" t="s">
        <v>206</v>
      </c>
      <c r="B83" s="1693" t="s">
        <v>207</v>
      </c>
      <c r="C83" s="1661" t="s">
        <v>267</v>
      </c>
      <c r="D83" s="1694">
        <f t="shared" si="3"/>
        <v>833668.94</v>
      </c>
      <c r="E83" s="1694">
        <v>833668.94</v>
      </c>
      <c r="F83" s="1694">
        <v>0</v>
      </c>
      <c r="G83" s="1694">
        <v>0</v>
      </c>
      <c r="H83" s="1694">
        <v>0</v>
      </c>
      <c r="I83" s="1694">
        <v>0</v>
      </c>
      <c r="J83" s="1694">
        <f t="shared" si="4"/>
        <v>0</v>
      </c>
    </row>
    <row r="84" spans="1:10" s="1658" customFormat="1" ht="12.75" customHeight="1" x14ac:dyDescent="0.25">
      <c r="A84" s="1692" t="s">
        <v>208</v>
      </c>
      <c r="B84" s="1693" t="s">
        <v>209</v>
      </c>
      <c r="C84" s="1661" t="s">
        <v>268</v>
      </c>
      <c r="D84" s="1694">
        <f t="shared" si="3"/>
        <v>1189411.57</v>
      </c>
      <c r="E84" s="1694">
        <v>1189411.57</v>
      </c>
      <c r="F84" s="1694">
        <v>0</v>
      </c>
      <c r="G84" s="1694">
        <v>0</v>
      </c>
      <c r="H84" s="1694">
        <v>0</v>
      </c>
      <c r="I84" s="1694">
        <v>0</v>
      </c>
      <c r="J84" s="1694">
        <f t="shared" si="4"/>
        <v>0</v>
      </c>
    </row>
    <row r="85" spans="1:10" s="1658" customFormat="1" ht="12.75" customHeight="1" x14ac:dyDescent="0.25">
      <c r="A85" s="1692" t="s">
        <v>210</v>
      </c>
      <c r="B85" s="1693" t="s">
        <v>211</v>
      </c>
      <c r="C85" s="1661" t="s">
        <v>268</v>
      </c>
      <c r="D85" s="1694">
        <f t="shared" si="3"/>
        <v>764680.83000000007</v>
      </c>
      <c r="E85" s="1694">
        <v>764680.83000000007</v>
      </c>
      <c r="F85" s="1694">
        <v>0</v>
      </c>
      <c r="G85" s="1694">
        <v>0</v>
      </c>
      <c r="H85" s="1694">
        <v>0</v>
      </c>
      <c r="I85" s="1694">
        <v>0</v>
      </c>
      <c r="J85" s="1694">
        <f t="shared" si="4"/>
        <v>0</v>
      </c>
    </row>
    <row r="86" spans="1:10" s="1658" customFormat="1" ht="12.75" customHeight="1" x14ac:dyDescent="0.25">
      <c r="A86" s="1692" t="s">
        <v>212</v>
      </c>
      <c r="B86" s="1693" t="s">
        <v>213</v>
      </c>
      <c r="C86" s="1661" t="s">
        <v>267</v>
      </c>
      <c r="D86" s="1694">
        <f t="shared" si="3"/>
        <v>405049.85</v>
      </c>
      <c r="E86" s="1694">
        <v>405049.85</v>
      </c>
      <c r="F86" s="1694">
        <v>0</v>
      </c>
      <c r="G86" s="1694">
        <v>0</v>
      </c>
      <c r="H86" s="1694">
        <v>0</v>
      </c>
      <c r="I86" s="1694">
        <v>0</v>
      </c>
      <c r="J86" s="1694">
        <f t="shared" si="4"/>
        <v>0</v>
      </c>
    </row>
    <row r="87" spans="1:10" s="1658" customFormat="1" ht="12.75" customHeight="1" x14ac:dyDescent="0.25">
      <c r="A87" s="1692" t="s">
        <v>214</v>
      </c>
      <c r="B87" s="1693" t="s">
        <v>215</v>
      </c>
      <c r="C87" s="1661" t="s">
        <v>268</v>
      </c>
      <c r="D87" s="1694">
        <f t="shared" si="3"/>
        <v>1094899.21</v>
      </c>
      <c r="E87" s="1694">
        <v>1094899.21</v>
      </c>
      <c r="F87" s="1694">
        <v>0</v>
      </c>
      <c r="G87" s="1694">
        <v>0</v>
      </c>
      <c r="H87" s="1694">
        <v>0</v>
      </c>
      <c r="I87" s="1694">
        <v>0</v>
      </c>
      <c r="J87" s="1694">
        <f t="shared" si="4"/>
        <v>0</v>
      </c>
    </row>
    <row r="88" spans="1:10" s="1658" customFormat="1" ht="12.75" customHeight="1" x14ac:dyDescent="0.25">
      <c r="A88" s="1692" t="s">
        <v>216</v>
      </c>
      <c r="B88" s="1693" t="s">
        <v>217</v>
      </c>
      <c r="C88" s="1661" t="s">
        <v>264</v>
      </c>
      <c r="D88" s="1694">
        <f t="shared" si="3"/>
        <v>287710.42</v>
      </c>
      <c r="E88" s="1694">
        <v>287710.42</v>
      </c>
      <c r="F88" s="1694">
        <v>0</v>
      </c>
      <c r="G88" s="1694">
        <v>0</v>
      </c>
      <c r="H88" s="1694">
        <v>0</v>
      </c>
      <c r="I88" s="1694">
        <v>0</v>
      </c>
      <c r="J88" s="1694">
        <f t="shared" si="4"/>
        <v>0</v>
      </c>
    </row>
    <row r="89" spans="1:10" s="1658" customFormat="1" ht="12.75" customHeight="1" x14ac:dyDescent="0.25">
      <c r="A89" s="1692" t="s">
        <v>218</v>
      </c>
      <c r="B89" s="1693" t="s">
        <v>219</v>
      </c>
      <c r="C89" s="1661" t="s">
        <v>267</v>
      </c>
      <c r="D89" s="1694">
        <f t="shared" si="3"/>
        <v>352093.71</v>
      </c>
      <c r="E89" s="1694">
        <v>352093.71</v>
      </c>
      <c r="F89" s="1694">
        <v>0</v>
      </c>
      <c r="G89" s="1694">
        <v>0</v>
      </c>
      <c r="H89" s="1694">
        <v>0</v>
      </c>
      <c r="I89" s="1694">
        <v>0</v>
      </c>
      <c r="J89" s="1694">
        <f t="shared" si="4"/>
        <v>0</v>
      </c>
    </row>
    <row r="90" spans="1:10" s="1658" customFormat="1" ht="12.75" customHeight="1" x14ac:dyDescent="0.25">
      <c r="A90" s="1692" t="s">
        <v>220</v>
      </c>
      <c r="B90" s="1693" t="s">
        <v>221</v>
      </c>
      <c r="C90" s="1661" t="s">
        <v>267</v>
      </c>
      <c r="D90" s="1694">
        <f t="shared" si="3"/>
        <v>202072.66</v>
      </c>
      <c r="E90" s="1694">
        <v>202072.66</v>
      </c>
      <c r="F90" s="1694">
        <v>0</v>
      </c>
      <c r="G90" s="1694">
        <v>0</v>
      </c>
      <c r="H90" s="1694">
        <v>0</v>
      </c>
      <c r="I90" s="1694">
        <v>0</v>
      </c>
      <c r="J90" s="1694">
        <f t="shared" si="4"/>
        <v>0</v>
      </c>
    </row>
    <row r="91" spans="1:10" s="1658" customFormat="1" ht="12.75" customHeight="1" x14ac:dyDescent="0.25">
      <c r="A91" s="1692" t="s">
        <v>224</v>
      </c>
      <c r="B91" s="1693" t="s">
        <v>225</v>
      </c>
      <c r="C91" s="1661" t="s">
        <v>264</v>
      </c>
      <c r="D91" s="1694">
        <f t="shared" si="3"/>
        <v>95040.33</v>
      </c>
      <c r="E91" s="1694">
        <v>95040.33</v>
      </c>
      <c r="F91" s="1694">
        <v>0</v>
      </c>
      <c r="G91" s="1694">
        <v>0</v>
      </c>
      <c r="H91" s="1694">
        <v>0</v>
      </c>
      <c r="I91" s="1694">
        <v>0</v>
      </c>
      <c r="J91" s="1694">
        <f t="shared" si="4"/>
        <v>0</v>
      </c>
    </row>
    <row r="92" spans="1:10" s="1658" customFormat="1" ht="12.75" customHeight="1" x14ac:dyDescent="0.25">
      <c r="A92" s="1692" t="s">
        <v>226</v>
      </c>
      <c r="B92" s="1693" t="s">
        <v>227</v>
      </c>
      <c r="C92" s="1661" t="s">
        <v>264</v>
      </c>
      <c r="D92" s="1694">
        <f t="shared" si="3"/>
        <v>208276</v>
      </c>
      <c r="E92" s="1694">
        <v>208276</v>
      </c>
      <c r="F92" s="1694">
        <v>0</v>
      </c>
      <c r="G92" s="1694">
        <v>0</v>
      </c>
      <c r="H92" s="1694">
        <v>0</v>
      </c>
      <c r="I92" s="1694">
        <v>0</v>
      </c>
      <c r="J92" s="1694">
        <f t="shared" si="4"/>
        <v>0</v>
      </c>
    </row>
    <row r="93" spans="1:10" s="1658" customFormat="1" ht="12.75" customHeight="1" x14ac:dyDescent="0.25">
      <c r="A93" s="1692" t="s">
        <v>228</v>
      </c>
      <c r="B93" s="1693" t="s">
        <v>229</v>
      </c>
      <c r="C93" s="1661" t="s">
        <v>268</v>
      </c>
      <c r="D93" s="1694">
        <f t="shared" si="3"/>
        <v>1368334.8</v>
      </c>
      <c r="E93" s="1694">
        <v>1368334.8</v>
      </c>
      <c r="F93" s="1694">
        <v>0</v>
      </c>
      <c r="G93" s="1694">
        <v>0</v>
      </c>
      <c r="H93" s="1694">
        <v>0</v>
      </c>
      <c r="I93" s="1694">
        <v>0</v>
      </c>
      <c r="J93" s="1694">
        <f t="shared" si="4"/>
        <v>0</v>
      </c>
    </row>
    <row r="94" spans="1:10" s="1658" customFormat="1" ht="12.75" customHeight="1" x14ac:dyDescent="0.25">
      <c r="A94" s="1692" t="s">
        <v>232</v>
      </c>
      <c r="B94" s="1693" t="s">
        <v>233</v>
      </c>
      <c r="C94" s="1661" t="s">
        <v>267</v>
      </c>
      <c r="D94" s="1694">
        <f t="shared" si="3"/>
        <v>277924.49</v>
      </c>
      <c r="E94" s="1694">
        <v>277924.49</v>
      </c>
      <c r="F94" s="1694">
        <v>0</v>
      </c>
      <c r="G94" s="1694">
        <v>0</v>
      </c>
      <c r="H94" s="1694">
        <v>0</v>
      </c>
      <c r="I94" s="1694">
        <v>0</v>
      </c>
      <c r="J94" s="1694">
        <f t="shared" si="4"/>
        <v>0</v>
      </c>
    </row>
    <row r="95" spans="1:10" s="1658" customFormat="1" ht="12.75" customHeight="1" x14ac:dyDescent="0.25">
      <c r="A95" s="1692" t="s">
        <v>234</v>
      </c>
      <c r="B95" s="1693" t="s">
        <v>235</v>
      </c>
      <c r="C95" s="1661" t="s">
        <v>268</v>
      </c>
      <c r="D95" s="1694">
        <f t="shared" si="3"/>
        <v>932750.01</v>
      </c>
      <c r="E95" s="1694">
        <v>932750.01</v>
      </c>
      <c r="F95" s="1694">
        <v>0</v>
      </c>
      <c r="G95" s="1694">
        <v>0</v>
      </c>
      <c r="H95" s="1694">
        <v>0</v>
      </c>
      <c r="I95" s="1694">
        <v>0</v>
      </c>
      <c r="J95" s="1694">
        <f t="shared" si="4"/>
        <v>0</v>
      </c>
    </row>
    <row r="96" spans="1:10" s="1658" customFormat="1" ht="12.75" customHeight="1" x14ac:dyDescent="0.25">
      <c r="A96" s="1692" t="s">
        <v>236</v>
      </c>
      <c r="B96" s="1693" t="s">
        <v>237</v>
      </c>
      <c r="C96" s="1661" t="s">
        <v>266</v>
      </c>
      <c r="D96" s="1694">
        <f t="shared" si="3"/>
        <v>369892.2</v>
      </c>
      <c r="E96" s="1694">
        <v>369892.2</v>
      </c>
      <c r="F96" s="1694">
        <v>0</v>
      </c>
      <c r="G96" s="1694">
        <v>0</v>
      </c>
      <c r="H96" s="1694">
        <v>0</v>
      </c>
      <c r="I96" s="1694">
        <v>0</v>
      </c>
      <c r="J96" s="1694">
        <f t="shared" si="4"/>
        <v>0</v>
      </c>
    </row>
    <row r="97" spans="1:10" s="1658" customFormat="1" ht="12.75" customHeight="1" x14ac:dyDescent="0.25">
      <c r="A97" s="1692" t="s">
        <v>242</v>
      </c>
      <c r="B97" s="1693" t="s">
        <v>243</v>
      </c>
      <c r="C97" s="1661" t="s">
        <v>268</v>
      </c>
      <c r="D97" s="1694">
        <f t="shared" si="3"/>
        <v>1252376.1299999999</v>
      </c>
      <c r="E97" s="1694">
        <v>1252376.1299999999</v>
      </c>
      <c r="F97" s="1694">
        <v>0</v>
      </c>
      <c r="G97" s="1694">
        <v>0</v>
      </c>
      <c r="H97" s="1694">
        <v>0</v>
      </c>
      <c r="I97" s="1694">
        <v>0</v>
      </c>
      <c r="J97" s="1694">
        <f t="shared" si="4"/>
        <v>0</v>
      </c>
    </row>
    <row r="98" spans="1:10" s="1658" customFormat="1" ht="12.75" customHeight="1" x14ac:dyDescent="0.25">
      <c r="A98" s="1692" t="s">
        <v>244</v>
      </c>
      <c r="B98" s="1693" t="s">
        <v>245</v>
      </c>
      <c r="C98" s="1661" t="s">
        <v>268</v>
      </c>
      <c r="D98" s="1694">
        <f t="shared" si="3"/>
        <v>566098.07000000007</v>
      </c>
      <c r="E98" s="1694">
        <v>566098.07000000007</v>
      </c>
      <c r="F98" s="1694">
        <v>0</v>
      </c>
      <c r="G98" s="1694">
        <v>0</v>
      </c>
      <c r="H98" s="1694">
        <v>0</v>
      </c>
      <c r="I98" s="1694">
        <v>0</v>
      </c>
      <c r="J98" s="1694">
        <f t="shared" si="4"/>
        <v>0</v>
      </c>
    </row>
    <row r="99" spans="1:10" s="1658" customFormat="1" ht="12.75" customHeight="1" x14ac:dyDescent="0.25">
      <c r="A99" s="1692" t="s">
        <v>246</v>
      </c>
      <c r="B99" s="1693" t="s">
        <v>310</v>
      </c>
      <c r="C99" s="1661" t="s">
        <v>264</v>
      </c>
      <c r="D99" s="1694">
        <f t="shared" si="3"/>
        <v>134898.04999999999</v>
      </c>
      <c r="E99" s="1694">
        <v>134898.04999999999</v>
      </c>
      <c r="F99" s="1694">
        <v>0</v>
      </c>
      <c r="G99" s="1694">
        <v>0</v>
      </c>
      <c r="H99" s="1694">
        <v>0</v>
      </c>
      <c r="I99" s="1694">
        <v>0</v>
      </c>
      <c r="J99" s="1694">
        <f t="shared" si="4"/>
        <v>0</v>
      </c>
    </row>
    <row r="100" spans="1:10" s="1658" customFormat="1" ht="12.75" customHeight="1" x14ac:dyDescent="0.25">
      <c r="A100" s="1692" t="s">
        <v>14</v>
      </c>
      <c r="B100" s="1693" t="s">
        <v>15</v>
      </c>
      <c r="C100" s="1661" t="s">
        <v>267</v>
      </c>
      <c r="D100" s="1694">
        <f t="shared" si="3"/>
        <v>288230.06</v>
      </c>
      <c r="E100" s="1694">
        <v>288230.06</v>
      </c>
      <c r="F100" s="1694">
        <v>0</v>
      </c>
      <c r="G100" s="1694">
        <v>0</v>
      </c>
      <c r="H100" s="1694">
        <v>0</v>
      </c>
      <c r="I100" s="1694">
        <v>0</v>
      </c>
      <c r="J100" s="1694">
        <f t="shared" si="4"/>
        <v>0</v>
      </c>
    </row>
    <row r="101" spans="1:10" s="1658" customFormat="1" ht="12.75" customHeight="1" x14ac:dyDescent="0.25">
      <c r="A101" s="1692" t="s">
        <v>34</v>
      </c>
      <c r="B101" s="1693" t="s">
        <v>35</v>
      </c>
      <c r="C101" s="1661" t="s">
        <v>268</v>
      </c>
      <c r="D101" s="1694">
        <f t="shared" si="3"/>
        <v>312943.87</v>
      </c>
      <c r="E101" s="1694">
        <v>312943.87</v>
      </c>
      <c r="F101" s="1694">
        <v>0</v>
      </c>
      <c r="G101" s="1694">
        <v>0</v>
      </c>
      <c r="H101" s="1694">
        <v>0</v>
      </c>
      <c r="I101" s="1694">
        <v>0</v>
      </c>
      <c r="J101" s="1694">
        <f t="shared" si="4"/>
        <v>0</v>
      </c>
    </row>
    <row r="102" spans="1:10" s="1658" customFormat="1" ht="12.75" customHeight="1" x14ac:dyDescent="0.25">
      <c r="A102" s="1692" t="s">
        <v>52</v>
      </c>
      <c r="B102" s="1693" t="s">
        <v>53</v>
      </c>
      <c r="C102" s="1661" t="s">
        <v>265</v>
      </c>
      <c r="D102" s="1694">
        <f t="shared" si="3"/>
        <v>287182.45</v>
      </c>
      <c r="E102" s="1694">
        <v>287182.45</v>
      </c>
      <c r="F102" s="1694">
        <v>0</v>
      </c>
      <c r="G102" s="1694">
        <v>0</v>
      </c>
      <c r="H102" s="1694">
        <v>0</v>
      </c>
      <c r="I102" s="1694">
        <v>0</v>
      </c>
      <c r="J102" s="1694">
        <f t="shared" si="4"/>
        <v>0</v>
      </c>
    </row>
    <row r="103" spans="1:10" s="1658" customFormat="1" ht="12.75" customHeight="1" x14ac:dyDescent="0.25">
      <c r="A103" s="1692" t="s">
        <v>54</v>
      </c>
      <c r="B103" s="1693" t="s">
        <v>55</v>
      </c>
      <c r="C103" s="1661" t="s">
        <v>264</v>
      </c>
      <c r="D103" s="1694">
        <f t="shared" si="3"/>
        <v>916147</v>
      </c>
      <c r="E103" s="1694">
        <v>916147</v>
      </c>
      <c r="F103" s="1694">
        <v>0</v>
      </c>
      <c r="G103" s="1694">
        <v>0</v>
      </c>
      <c r="H103" s="1694">
        <v>0</v>
      </c>
      <c r="I103" s="1694">
        <v>0</v>
      </c>
      <c r="J103" s="1694">
        <f t="shared" si="4"/>
        <v>0</v>
      </c>
    </row>
    <row r="104" spans="1:10" s="1658" customFormat="1" ht="12.75" customHeight="1" x14ac:dyDescent="0.25">
      <c r="A104" s="1692" t="s">
        <v>66</v>
      </c>
      <c r="B104" s="1693" t="s">
        <v>67</v>
      </c>
      <c r="C104" s="1661" t="s">
        <v>265</v>
      </c>
      <c r="D104" s="1694">
        <f t="shared" si="3"/>
        <v>1129669</v>
      </c>
      <c r="E104" s="1694">
        <v>1129669</v>
      </c>
      <c r="F104" s="1694">
        <v>0</v>
      </c>
      <c r="G104" s="1694">
        <v>0</v>
      </c>
      <c r="H104" s="1694">
        <v>0</v>
      </c>
      <c r="I104" s="1694">
        <v>0</v>
      </c>
      <c r="J104" s="1694">
        <f t="shared" si="4"/>
        <v>0</v>
      </c>
    </row>
    <row r="105" spans="1:10" s="1658" customFormat="1" ht="12.75" customHeight="1" x14ac:dyDescent="0.25">
      <c r="A105" s="1692" t="s">
        <v>82</v>
      </c>
      <c r="B105" s="1693" t="s">
        <v>311</v>
      </c>
      <c r="C105" s="1661" t="s">
        <v>264</v>
      </c>
      <c r="D105" s="1694">
        <f t="shared" si="3"/>
        <v>279411.06</v>
      </c>
      <c r="E105" s="1694">
        <v>279411.06</v>
      </c>
      <c r="F105" s="1694">
        <v>0</v>
      </c>
      <c r="G105" s="1694">
        <v>0</v>
      </c>
      <c r="H105" s="1694">
        <v>0</v>
      </c>
      <c r="I105" s="1694">
        <v>0</v>
      </c>
      <c r="J105" s="1694">
        <f t="shared" si="4"/>
        <v>0</v>
      </c>
    </row>
    <row r="106" spans="1:10" s="1658" customFormat="1" ht="12.75" customHeight="1" x14ac:dyDescent="0.25">
      <c r="A106" s="1692" t="s">
        <v>88</v>
      </c>
      <c r="B106" s="1693" t="s">
        <v>89</v>
      </c>
      <c r="C106" s="1661" t="s">
        <v>267</v>
      </c>
      <c r="D106" s="1694">
        <f t="shared" si="3"/>
        <v>216041.83</v>
      </c>
      <c r="E106" s="1694">
        <v>216041.83</v>
      </c>
      <c r="F106" s="1694">
        <v>0</v>
      </c>
      <c r="G106" s="1694">
        <v>0</v>
      </c>
      <c r="H106" s="1694">
        <v>0</v>
      </c>
      <c r="I106" s="1694">
        <v>0</v>
      </c>
      <c r="J106" s="1694">
        <f t="shared" si="4"/>
        <v>0</v>
      </c>
    </row>
    <row r="107" spans="1:10" s="1658" customFormat="1" ht="12.75" customHeight="1" x14ac:dyDescent="0.25">
      <c r="A107" s="1692" t="s">
        <v>90</v>
      </c>
      <c r="B107" s="1693" t="s">
        <v>91</v>
      </c>
      <c r="C107" s="1661" t="s">
        <v>268</v>
      </c>
      <c r="D107" s="1694">
        <f t="shared" si="3"/>
        <v>321277.03000000003</v>
      </c>
      <c r="E107" s="1694">
        <v>321277.03000000003</v>
      </c>
      <c r="F107" s="1694">
        <v>0</v>
      </c>
      <c r="G107" s="1694">
        <v>0</v>
      </c>
      <c r="H107" s="1694">
        <v>0</v>
      </c>
      <c r="I107" s="1694">
        <v>0</v>
      </c>
      <c r="J107" s="1694">
        <f t="shared" si="4"/>
        <v>0</v>
      </c>
    </row>
    <row r="108" spans="1:10" s="1658" customFormat="1" ht="12.75" customHeight="1" x14ac:dyDescent="0.25">
      <c r="A108" s="1692" t="s">
        <v>106</v>
      </c>
      <c r="B108" s="1693" t="s">
        <v>107</v>
      </c>
      <c r="C108" s="1661" t="s">
        <v>264</v>
      </c>
      <c r="D108" s="1694">
        <f t="shared" si="3"/>
        <v>882072.75999999989</v>
      </c>
      <c r="E108" s="1694">
        <v>882072.75999999989</v>
      </c>
      <c r="F108" s="1694">
        <v>0</v>
      </c>
      <c r="G108" s="1694">
        <v>0</v>
      </c>
      <c r="H108" s="1694">
        <v>0</v>
      </c>
      <c r="I108" s="1694">
        <v>0</v>
      </c>
      <c r="J108" s="1694">
        <f t="shared" si="4"/>
        <v>0</v>
      </c>
    </row>
    <row r="109" spans="1:10" s="1658" customFormat="1" ht="12.75" customHeight="1" x14ac:dyDescent="0.25">
      <c r="A109" s="1692" t="s">
        <v>116</v>
      </c>
      <c r="B109" s="1693" t="s">
        <v>117</v>
      </c>
      <c r="C109" s="1661" t="s">
        <v>266</v>
      </c>
      <c r="D109" s="1694">
        <f t="shared" si="3"/>
        <v>356317.93999999994</v>
      </c>
      <c r="E109" s="1694">
        <v>356317.93999999994</v>
      </c>
      <c r="F109" s="1694">
        <v>0</v>
      </c>
      <c r="G109" s="1694">
        <v>0</v>
      </c>
      <c r="H109" s="1694">
        <v>0</v>
      </c>
      <c r="I109" s="1694">
        <v>0</v>
      </c>
      <c r="J109" s="1694">
        <f t="shared" si="4"/>
        <v>0</v>
      </c>
    </row>
    <row r="110" spans="1:10" s="1658" customFormat="1" ht="12.75" customHeight="1" x14ac:dyDescent="0.25">
      <c r="A110" s="1692" t="s">
        <v>138</v>
      </c>
      <c r="B110" s="1693" t="s">
        <v>139</v>
      </c>
      <c r="C110" s="1661" t="s">
        <v>265</v>
      </c>
      <c r="D110" s="1694">
        <f t="shared" si="3"/>
        <v>1465143.3599999999</v>
      </c>
      <c r="E110" s="1694">
        <v>1465143.3599999999</v>
      </c>
      <c r="F110" s="1694">
        <v>0</v>
      </c>
      <c r="G110" s="1694">
        <v>0</v>
      </c>
      <c r="H110" s="1694">
        <v>0</v>
      </c>
      <c r="I110" s="1694">
        <v>0</v>
      </c>
      <c r="J110" s="1694">
        <f t="shared" si="4"/>
        <v>0</v>
      </c>
    </row>
    <row r="111" spans="1:10" s="1658" customFormat="1" ht="12.75" customHeight="1" x14ac:dyDescent="0.25">
      <c r="A111" s="1692" t="s">
        <v>142</v>
      </c>
      <c r="B111" s="1693" t="s">
        <v>143</v>
      </c>
      <c r="C111" s="1661" t="s">
        <v>267</v>
      </c>
      <c r="D111" s="1694">
        <f t="shared" si="3"/>
        <v>43858.430000000008</v>
      </c>
      <c r="E111" s="1694">
        <v>43858.430000000008</v>
      </c>
      <c r="F111" s="1694">
        <v>0</v>
      </c>
      <c r="G111" s="1694">
        <v>0</v>
      </c>
      <c r="H111" s="1694">
        <v>0</v>
      </c>
      <c r="I111" s="1694">
        <v>0</v>
      </c>
      <c r="J111" s="1694">
        <f t="shared" si="4"/>
        <v>0</v>
      </c>
    </row>
    <row r="112" spans="1:10" s="1658" customFormat="1" ht="12.75" customHeight="1" x14ac:dyDescent="0.25">
      <c r="A112" s="1692" t="s">
        <v>144</v>
      </c>
      <c r="B112" s="1693" t="s">
        <v>145</v>
      </c>
      <c r="C112" s="1661" t="s">
        <v>267</v>
      </c>
      <c r="D112" s="1694">
        <f t="shared" si="3"/>
        <v>18864.5</v>
      </c>
      <c r="E112" s="1694">
        <v>18864.5</v>
      </c>
      <c r="F112" s="1694">
        <v>0</v>
      </c>
      <c r="G112" s="1694">
        <v>0</v>
      </c>
      <c r="H112" s="1694">
        <v>0</v>
      </c>
      <c r="I112" s="1694">
        <v>0</v>
      </c>
      <c r="J112" s="1694">
        <f t="shared" si="4"/>
        <v>0</v>
      </c>
    </row>
    <row r="113" spans="1:10" s="1658" customFormat="1" ht="12.75" customHeight="1" x14ac:dyDescent="0.25">
      <c r="A113" s="1692" t="s">
        <v>158</v>
      </c>
      <c r="B113" s="1693" t="s">
        <v>159</v>
      </c>
      <c r="C113" s="1661" t="s">
        <v>264</v>
      </c>
      <c r="D113" s="1694">
        <f t="shared" si="3"/>
        <v>1556617.84</v>
      </c>
      <c r="E113" s="1694">
        <v>1556617.84</v>
      </c>
      <c r="F113" s="1694">
        <v>0</v>
      </c>
      <c r="G113" s="1694">
        <v>0</v>
      </c>
      <c r="H113" s="1694">
        <v>0</v>
      </c>
      <c r="I113" s="1694">
        <v>0</v>
      </c>
      <c r="J113" s="1694">
        <f t="shared" si="4"/>
        <v>0</v>
      </c>
    </row>
    <row r="114" spans="1:10" s="1658" customFormat="1" ht="12.75" customHeight="1" x14ac:dyDescent="0.25">
      <c r="A114" s="1692" t="s">
        <v>160</v>
      </c>
      <c r="B114" s="1693" t="s">
        <v>161</v>
      </c>
      <c r="C114" s="1661" t="s">
        <v>264</v>
      </c>
      <c r="D114" s="1694">
        <f t="shared" si="3"/>
        <v>1925888.1</v>
      </c>
      <c r="E114" s="1694">
        <v>1925888.1</v>
      </c>
      <c r="F114" s="1694">
        <v>0</v>
      </c>
      <c r="G114" s="1694">
        <v>0</v>
      </c>
      <c r="H114" s="1694">
        <v>0</v>
      </c>
      <c r="I114" s="1694">
        <v>0</v>
      </c>
      <c r="J114" s="1694">
        <f t="shared" si="4"/>
        <v>0</v>
      </c>
    </row>
    <row r="115" spans="1:10" s="1658" customFormat="1" ht="12.75" customHeight="1" x14ac:dyDescent="0.25">
      <c r="A115" s="1692" t="s">
        <v>166</v>
      </c>
      <c r="B115" s="1693" t="s">
        <v>167</v>
      </c>
      <c r="C115" s="1661" t="s">
        <v>268</v>
      </c>
      <c r="D115" s="1694">
        <f t="shared" si="3"/>
        <v>171599.58000000002</v>
      </c>
      <c r="E115" s="1694">
        <v>171599.58000000002</v>
      </c>
      <c r="F115" s="1694">
        <v>0</v>
      </c>
      <c r="G115" s="1694">
        <v>0</v>
      </c>
      <c r="H115" s="1694">
        <v>0</v>
      </c>
      <c r="I115" s="1694">
        <v>0</v>
      </c>
      <c r="J115" s="1694">
        <f t="shared" si="4"/>
        <v>0</v>
      </c>
    </row>
    <row r="116" spans="1:10" s="1658" customFormat="1" ht="12.75" customHeight="1" x14ac:dyDescent="0.25">
      <c r="A116" s="1692" t="s">
        <v>176</v>
      </c>
      <c r="B116" s="1693" t="s">
        <v>177</v>
      </c>
      <c r="C116" s="1661" t="s">
        <v>266</v>
      </c>
      <c r="D116" s="1694">
        <f t="shared" si="3"/>
        <v>749705</v>
      </c>
      <c r="E116" s="1694">
        <v>749705</v>
      </c>
      <c r="F116" s="1694">
        <v>0</v>
      </c>
      <c r="G116" s="1694">
        <v>0</v>
      </c>
      <c r="H116" s="1694">
        <v>0</v>
      </c>
      <c r="I116" s="1694">
        <v>0</v>
      </c>
      <c r="J116" s="1694">
        <f t="shared" si="4"/>
        <v>0</v>
      </c>
    </row>
    <row r="117" spans="1:10" s="1658" customFormat="1" ht="12.75" customHeight="1" x14ac:dyDescent="0.25">
      <c r="A117" s="1692" t="s">
        <v>180</v>
      </c>
      <c r="B117" s="1693" t="s">
        <v>181</v>
      </c>
      <c r="C117" s="1661" t="s">
        <v>264</v>
      </c>
      <c r="D117" s="1694">
        <f t="shared" si="3"/>
        <v>796240.89</v>
      </c>
      <c r="E117" s="1694">
        <v>796240.89</v>
      </c>
      <c r="F117" s="1694">
        <v>0</v>
      </c>
      <c r="G117" s="1694">
        <v>0</v>
      </c>
      <c r="H117" s="1694">
        <v>0</v>
      </c>
      <c r="I117" s="1694">
        <v>0</v>
      </c>
      <c r="J117" s="1694">
        <f t="shared" si="4"/>
        <v>0</v>
      </c>
    </row>
    <row r="118" spans="1:10" s="1658" customFormat="1" ht="12.75" customHeight="1" x14ac:dyDescent="0.25">
      <c r="A118" s="1692" t="s">
        <v>192</v>
      </c>
      <c r="B118" s="1693" t="s">
        <v>193</v>
      </c>
      <c r="C118" s="1661" t="s">
        <v>268</v>
      </c>
      <c r="D118" s="1694">
        <f t="shared" si="3"/>
        <v>170286.22999999998</v>
      </c>
      <c r="E118" s="1694">
        <v>170286.22999999998</v>
      </c>
      <c r="F118" s="1694">
        <v>0</v>
      </c>
      <c r="G118" s="1694">
        <v>0</v>
      </c>
      <c r="H118" s="1694">
        <v>0</v>
      </c>
      <c r="I118" s="1694">
        <v>0</v>
      </c>
      <c r="J118" s="1694">
        <f t="shared" si="4"/>
        <v>0</v>
      </c>
    </row>
    <row r="119" spans="1:10" s="1658" customFormat="1" ht="12.75" customHeight="1" x14ac:dyDescent="0.25">
      <c r="A119" s="1692" t="s">
        <v>196</v>
      </c>
      <c r="B119" s="1693" t="s">
        <v>312</v>
      </c>
      <c r="C119" s="1661" t="s">
        <v>266</v>
      </c>
      <c r="D119" s="1694">
        <f t="shared" si="3"/>
        <v>2593800.19</v>
      </c>
      <c r="E119" s="1694">
        <v>2593800.19</v>
      </c>
      <c r="F119" s="1694">
        <v>0</v>
      </c>
      <c r="G119" s="1694">
        <v>0</v>
      </c>
      <c r="H119" s="1694">
        <v>0</v>
      </c>
      <c r="I119" s="1694">
        <v>0</v>
      </c>
      <c r="J119" s="1694">
        <f t="shared" si="4"/>
        <v>0</v>
      </c>
    </row>
    <row r="120" spans="1:10" s="1658" customFormat="1" ht="12.75" customHeight="1" x14ac:dyDescent="0.25">
      <c r="A120" s="1692" t="s">
        <v>200</v>
      </c>
      <c r="B120" s="1693" t="s">
        <v>313</v>
      </c>
      <c r="C120" s="1661" t="s">
        <v>265</v>
      </c>
      <c r="D120" s="1694">
        <f t="shared" si="3"/>
        <v>1579677.2500000002</v>
      </c>
      <c r="E120" s="1694">
        <v>1579677.2500000002</v>
      </c>
      <c r="F120" s="1694">
        <v>0</v>
      </c>
      <c r="G120" s="1694">
        <v>0</v>
      </c>
      <c r="H120" s="1694">
        <v>0</v>
      </c>
      <c r="I120" s="1694">
        <v>0</v>
      </c>
      <c r="J120" s="1694">
        <f t="shared" si="4"/>
        <v>0</v>
      </c>
    </row>
    <row r="121" spans="1:10" s="1658" customFormat="1" ht="12.75" customHeight="1" x14ac:dyDescent="0.25">
      <c r="A121" s="1692" t="s">
        <v>222</v>
      </c>
      <c r="B121" s="1693" t="s">
        <v>223</v>
      </c>
      <c r="C121" s="1661" t="s">
        <v>264</v>
      </c>
      <c r="D121" s="1694">
        <f t="shared" si="3"/>
        <v>842038.76</v>
      </c>
      <c r="E121" s="1694">
        <v>842038.76</v>
      </c>
      <c r="F121" s="1694">
        <v>0</v>
      </c>
      <c r="G121" s="1694">
        <v>0</v>
      </c>
      <c r="H121" s="1694">
        <v>0</v>
      </c>
      <c r="I121" s="1694">
        <v>0</v>
      </c>
      <c r="J121" s="1694">
        <f t="shared" si="4"/>
        <v>0</v>
      </c>
    </row>
    <row r="122" spans="1:10" s="1658" customFormat="1" ht="12.75" customHeight="1" x14ac:dyDescent="0.25">
      <c r="A122" s="1692" t="s">
        <v>230</v>
      </c>
      <c r="B122" s="1693" t="s">
        <v>231</v>
      </c>
      <c r="C122" s="1661" t="s">
        <v>264</v>
      </c>
      <c r="D122" s="1694">
        <f t="shared" si="3"/>
        <v>1003864.21</v>
      </c>
      <c r="E122" s="1694">
        <v>1003864.21</v>
      </c>
      <c r="F122" s="1694">
        <v>0</v>
      </c>
      <c r="G122" s="1694">
        <v>0</v>
      </c>
      <c r="H122" s="1694">
        <v>0</v>
      </c>
      <c r="I122" s="1694">
        <v>0</v>
      </c>
      <c r="J122" s="1694">
        <f t="shared" si="4"/>
        <v>0</v>
      </c>
    </row>
    <row r="123" spans="1:10" s="1658" customFormat="1" ht="12.75" customHeight="1" x14ac:dyDescent="0.25">
      <c r="A123" s="1692" t="s">
        <v>238</v>
      </c>
      <c r="B123" s="1693" t="s">
        <v>239</v>
      </c>
      <c r="C123" s="1661" t="s">
        <v>264</v>
      </c>
      <c r="D123" s="1694">
        <f t="shared" si="3"/>
        <v>18912.93</v>
      </c>
      <c r="E123" s="1694">
        <v>18912.93</v>
      </c>
      <c r="F123" s="1694">
        <v>0</v>
      </c>
      <c r="G123" s="1694">
        <v>0</v>
      </c>
      <c r="H123" s="1694">
        <v>0</v>
      </c>
      <c r="I123" s="1694">
        <v>0</v>
      </c>
      <c r="J123" s="1694">
        <f t="shared" si="4"/>
        <v>0</v>
      </c>
    </row>
    <row r="124" spans="1:10" s="1658" customFormat="1" ht="12.75" customHeight="1" x14ac:dyDescent="0.25">
      <c r="A124" s="1695" t="s">
        <v>240</v>
      </c>
      <c r="B124" s="1696" t="s">
        <v>241</v>
      </c>
      <c r="C124" s="1671" t="s">
        <v>267</v>
      </c>
      <c r="D124" s="1694">
        <f t="shared" si="3"/>
        <v>185688.65000000002</v>
      </c>
      <c r="E124" s="1697">
        <v>185688.65000000002</v>
      </c>
      <c r="F124" s="1697">
        <v>0</v>
      </c>
      <c r="G124" s="1697">
        <v>0</v>
      </c>
      <c r="H124" s="1697">
        <v>0</v>
      </c>
      <c r="I124" s="1697">
        <v>0</v>
      </c>
      <c r="J124" s="1694">
        <f t="shared" si="4"/>
        <v>0</v>
      </c>
    </row>
    <row r="125" spans="1:10" s="1658" customFormat="1" ht="12.75" customHeight="1" x14ac:dyDescent="0.25">
      <c r="D125" s="1698"/>
      <c r="E125" s="1698"/>
      <c r="F125" s="1698"/>
      <c r="G125" s="1698"/>
      <c r="H125" s="1698"/>
      <c r="I125" s="1698"/>
      <c r="J125" s="1698"/>
    </row>
    <row r="126" spans="1:10" s="1658" customFormat="1" ht="12.75" customHeight="1" x14ac:dyDescent="0.25">
      <c r="A126" s="1658" t="s">
        <v>266</v>
      </c>
      <c r="D126" s="1873">
        <f>SUM(E126:I126)</f>
        <v>11116550.999999998</v>
      </c>
      <c r="E126" s="1873">
        <f t="shared" ref="E126:I126" si="5">E8+E19+E21+E23+E25+E29+E32+E36+E41+E46+E47+E52+E54+E55+E59+E63+E66+E68+E69+E74+E75+E80+E96+E109+E116+E119</f>
        <v>11116550.999999998</v>
      </c>
      <c r="F126" s="1873">
        <f t="shared" si="5"/>
        <v>0</v>
      </c>
      <c r="G126" s="1873">
        <f t="shared" si="5"/>
        <v>0</v>
      </c>
      <c r="H126" s="1873">
        <f t="shared" si="5"/>
        <v>0</v>
      </c>
      <c r="I126" s="1873">
        <f t="shared" si="5"/>
        <v>0</v>
      </c>
      <c r="J126" s="1873">
        <f>H126+I126</f>
        <v>0</v>
      </c>
    </row>
    <row r="127" spans="1:10" s="1658" customFormat="1" ht="12.75" customHeight="1" x14ac:dyDescent="0.25">
      <c r="A127" s="1658" t="s">
        <v>264</v>
      </c>
      <c r="D127" s="1873">
        <f t="shared" ref="D127:D130" si="6">SUM(E127:I127)</f>
        <v>12926355.219999999</v>
      </c>
      <c r="E127" s="1873">
        <f t="shared" ref="E127:I127" si="7">E5+E17+E31+E40+E44+E50+E51+E61+E67+E76+E88+E91+E92+E99+E103+E105+E108+E113+E114+E117+E121+E122+E123</f>
        <v>12926355.219999999</v>
      </c>
      <c r="F127" s="1873">
        <f t="shared" si="7"/>
        <v>0</v>
      </c>
      <c r="G127" s="1873">
        <f t="shared" si="7"/>
        <v>0</v>
      </c>
      <c r="H127" s="1873">
        <f t="shared" si="7"/>
        <v>0</v>
      </c>
      <c r="I127" s="1873">
        <f t="shared" si="7"/>
        <v>0</v>
      </c>
      <c r="J127" s="1873">
        <f t="shared" ref="J127:J131" si="8">H127+I127</f>
        <v>0</v>
      </c>
    </row>
    <row r="128" spans="1:10" s="1658" customFormat="1" ht="12.75" customHeight="1" x14ac:dyDescent="0.25">
      <c r="A128" s="1658" t="s">
        <v>267</v>
      </c>
      <c r="D128" s="1873">
        <f t="shared" si="6"/>
        <v>6713056.75</v>
      </c>
      <c r="E128" s="1873">
        <f t="shared" ref="E128:I128" si="9">E11+E26+E28+E33+E34+E38+E43+E53+E57+E58+E60+E70+E71+E77+E79+E83+E86+E89+E90+E94+E100+E106+E111+E112+E124</f>
        <v>6713056.75</v>
      </c>
      <c r="F128" s="1873">
        <f t="shared" si="9"/>
        <v>0</v>
      </c>
      <c r="G128" s="1873">
        <f t="shared" si="9"/>
        <v>0</v>
      </c>
      <c r="H128" s="1873">
        <f t="shared" si="9"/>
        <v>0</v>
      </c>
      <c r="I128" s="1873">
        <f t="shared" si="9"/>
        <v>0</v>
      </c>
      <c r="J128" s="1873">
        <f t="shared" si="8"/>
        <v>0</v>
      </c>
    </row>
    <row r="129" spans="1:10" s="1658" customFormat="1" ht="12.75" customHeight="1" x14ac:dyDescent="0.25">
      <c r="A129" s="1658" t="s">
        <v>265</v>
      </c>
      <c r="D129" s="1873">
        <f t="shared" si="6"/>
        <v>16693350.57</v>
      </c>
      <c r="E129" s="1873">
        <f t="shared" ref="E129:I129" si="10">E6+E7+E9+E10+E12+E13+E14+E16+E20+E24+E27+E37+E45+E48+E49+E62+E65+E73+E81+E82+E102+E104+E110+E120</f>
        <v>16693350.57</v>
      </c>
      <c r="F129" s="1873">
        <f t="shared" si="10"/>
        <v>0</v>
      </c>
      <c r="G129" s="1873">
        <f t="shared" si="10"/>
        <v>0</v>
      </c>
      <c r="H129" s="1873">
        <f t="shared" si="10"/>
        <v>0</v>
      </c>
      <c r="I129" s="1873">
        <f t="shared" si="10"/>
        <v>0</v>
      </c>
      <c r="J129" s="1873">
        <f t="shared" si="8"/>
        <v>0</v>
      </c>
    </row>
    <row r="130" spans="1:10" s="1658" customFormat="1" ht="12.75" customHeight="1" x14ac:dyDescent="0.25">
      <c r="A130" s="1658" t="s">
        <v>268</v>
      </c>
      <c r="D130" s="1873">
        <f t="shared" si="6"/>
        <v>15686308.220000001</v>
      </c>
      <c r="E130" s="1873">
        <f t="shared" ref="E130:I130" si="11">E15+E18+E22+E30+E35+E39+E42+E56+E64+E72+E78+E84+E85+E87+E93+E95+E97+E98+E101+E107+E115+E118</f>
        <v>15686308.220000001</v>
      </c>
      <c r="F130" s="1873">
        <f t="shared" si="11"/>
        <v>0</v>
      </c>
      <c r="G130" s="1873">
        <f t="shared" si="11"/>
        <v>0</v>
      </c>
      <c r="H130" s="1873">
        <f t="shared" si="11"/>
        <v>0</v>
      </c>
      <c r="I130" s="1873">
        <f t="shared" si="11"/>
        <v>0</v>
      </c>
      <c r="J130" s="1873">
        <f t="shared" si="8"/>
        <v>0</v>
      </c>
    </row>
    <row r="131" spans="1:10" s="1658" customFormat="1" ht="12.75" customHeight="1" x14ac:dyDescent="0.25">
      <c r="A131" s="1658" t="s">
        <v>9</v>
      </c>
      <c r="D131" s="1873">
        <f>SUM(D126:D130)</f>
        <v>63135621.759999998</v>
      </c>
      <c r="E131" s="1873">
        <f t="shared" ref="E131:I131" si="12">SUM(E126:E130)</f>
        <v>63135621.759999998</v>
      </c>
      <c r="F131" s="1873">
        <f t="shared" si="12"/>
        <v>0</v>
      </c>
      <c r="G131" s="1873">
        <f t="shared" si="12"/>
        <v>0</v>
      </c>
      <c r="H131" s="1873">
        <f t="shared" si="12"/>
        <v>0</v>
      </c>
      <c r="I131" s="1873">
        <f t="shared" si="12"/>
        <v>0</v>
      </c>
      <c r="J131" s="1873">
        <f t="shared" si="8"/>
        <v>0</v>
      </c>
    </row>
    <row r="132" spans="1:10" x14ac:dyDescent="0.25">
      <c r="D132" s="838"/>
      <c r="E132" s="838"/>
      <c r="F132" s="838"/>
      <c r="G132" s="838"/>
      <c r="H132" s="838"/>
      <c r="I132" s="838"/>
      <c r="J132" s="838"/>
    </row>
    <row r="133" spans="1:10" s="394" customFormat="1" x14ac:dyDescent="0.25">
      <c r="A133" s="394" t="s">
        <v>802</v>
      </c>
      <c r="B133" s="715"/>
      <c r="C133" s="715"/>
      <c r="D133" s="665"/>
      <c r="E133" s="665"/>
      <c r="F133" s="665"/>
      <c r="G133" s="665"/>
      <c r="H133" s="665"/>
      <c r="I133" s="665"/>
      <c r="J133" s="665"/>
    </row>
    <row r="134" spans="1:10" s="394" customFormat="1" x14ac:dyDescent="0.25"/>
    <row r="135" spans="1:10" s="414" customFormat="1" x14ac:dyDescent="0.25">
      <c r="A135" s="414" t="s">
        <v>248</v>
      </c>
    </row>
    <row r="136" spans="1:10" x14ac:dyDescent="0.25">
      <c r="A136" s="415" t="s">
        <v>249</v>
      </c>
      <c r="B136" s="416" t="s">
        <v>250</v>
      </c>
      <c r="C136" s="416"/>
    </row>
  </sheetData>
  <autoFilter ref="A3:C124"/>
  <hyperlinks>
    <hyperlink ref="B136" r:id="rId1"/>
  </hyperlinks>
  <pageMargins left="0.7" right="0.7" top="0.75" bottom="0.75" header="0.3" footer="0.3"/>
  <pageSetup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W136"/>
  <sheetViews>
    <sheetView zoomScale="130" workbookViewId="0">
      <pane xSplit="3" ySplit="4" topLeftCell="F110" activePane="bottomRight" state="frozen"/>
      <selection pane="topRight" activeCell="D1" sqref="D1"/>
      <selection pane="bottomLeft" activeCell="A5" sqref="A5"/>
      <selection pane="bottomRight" activeCell="I131" sqref="I131"/>
    </sheetView>
  </sheetViews>
  <sheetFormatPr defaultRowHeight="12.75" x14ac:dyDescent="0.2"/>
  <cols>
    <col min="1" max="1" width="9" style="222"/>
    <col min="2" max="2" width="27.75" style="222" customWidth="1"/>
    <col min="3" max="3" width="14.25" style="222" customWidth="1"/>
    <col min="4" max="4" width="11.375" style="222" customWidth="1"/>
    <col min="5" max="5" width="12.25" style="222" customWidth="1"/>
    <col min="6" max="9" width="11.375" style="222" customWidth="1"/>
    <col min="10" max="41" width="9.875" style="222" customWidth="1"/>
    <col min="42" max="16384" width="9" style="222"/>
  </cols>
  <sheetData>
    <row r="1" spans="1:49" x14ac:dyDescent="0.2">
      <c r="A1" s="65" t="s">
        <v>1191</v>
      </c>
      <c r="G1" s="1062"/>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K1" s="1063"/>
      <c r="AL1" s="1063"/>
      <c r="AM1" s="1063"/>
      <c r="AN1" s="1063"/>
      <c r="AO1" s="1063"/>
    </row>
    <row r="2" spans="1:49" x14ac:dyDescent="0.2">
      <c r="D2" s="1062"/>
      <c r="E2" s="1062"/>
      <c r="F2" s="1062"/>
      <c r="G2" s="1062"/>
      <c r="H2" s="1062"/>
      <c r="I2" s="1062"/>
      <c r="J2" s="1064"/>
      <c r="K2" s="1064"/>
      <c r="L2" s="1064"/>
      <c r="M2" s="1064"/>
      <c r="N2" s="1064"/>
      <c r="O2" s="1064"/>
      <c r="P2" s="1402"/>
      <c r="Q2" s="1402"/>
      <c r="R2" s="1064"/>
      <c r="S2" s="1064"/>
      <c r="T2" s="1064"/>
      <c r="U2" s="1064"/>
      <c r="V2" s="1064"/>
      <c r="W2" s="1064"/>
      <c r="X2" s="1402"/>
      <c r="Y2" s="1402"/>
      <c r="Z2" s="1064"/>
      <c r="AA2" s="1064"/>
      <c r="AB2" s="1064"/>
      <c r="AC2" s="1064"/>
      <c r="AD2" s="1064"/>
      <c r="AE2" s="1064"/>
      <c r="AF2" s="1402"/>
      <c r="AG2" s="1402"/>
      <c r="AH2" s="1064"/>
      <c r="AI2" s="1064"/>
      <c r="AJ2" s="1064"/>
      <c r="AK2" s="1064"/>
      <c r="AL2" s="1064"/>
      <c r="AM2" s="1064"/>
      <c r="AN2" s="1064"/>
      <c r="AO2" s="1064"/>
    </row>
    <row r="3" spans="1:49" ht="38.25" x14ac:dyDescent="0.2">
      <c r="A3" s="1065" t="s">
        <v>4</v>
      </c>
      <c r="B3" s="1066" t="s">
        <v>5</v>
      </c>
      <c r="C3" s="1066" t="s">
        <v>251</v>
      </c>
      <c r="D3" s="1067" t="s">
        <v>314</v>
      </c>
      <c r="E3" s="1068" t="s">
        <v>315</v>
      </c>
      <c r="F3" s="1068" t="s">
        <v>316</v>
      </c>
      <c r="G3" s="1068" t="s">
        <v>304</v>
      </c>
      <c r="H3" s="1069" t="s">
        <v>1007</v>
      </c>
      <c r="I3" s="1403" t="s">
        <v>281</v>
      </c>
      <c r="J3" s="1067" t="s">
        <v>396</v>
      </c>
      <c r="K3" s="1068" t="s">
        <v>397</v>
      </c>
      <c r="L3" s="1068" t="s">
        <v>398</v>
      </c>
      <c r="M3" s="1068" t="s">
        <v>1003</v>
      </c>
      <c r="N3" s="1068" t="s">
        <v>1004</v>
      </c>
      <c r="O3" s="1069" t="s">
        <v>399</v>
      </c>
      <c r="P3" s="1069" t="s">
        <v>1005</v>
      </c>
      <c r="Q3" s="1069" t="s">
        <v>1006</v>
      </c>
      <c r="R3" s="1067" t="s">
        <v>400</v>
      </c>
      <c r="S3" s="1068" t="s">
        <v>401</v>
      </c>
      <c r="T3" s="1068" t="s">
        <v>402</v>
      </c>
      <c r="U3" s="1068" t="s">
        <v>1008</v>
      </c>
      <c r="V3" s="1068" t="s">
        <v>1009</v>
      </c>
      <c r="W3" s="1070" t="s">
        <v>403</v>
      </c>
      <c r="X3" s="1403" t="s">
        <v>1010</v>
      </c>
      <c r="Y3" s="1403" t="s">
        <v>1011</v>
      </c>
      <c r="Z3" s="1067" t="s">
        <v>862</v>
      </c>
      <c r="AA3" s="1068" t="s">
        <v>863</v>
      </c>
      <c r="AB3" s="1068" t="s">
        <v>864</v>
      </c>
      <c r="AC3" s="1068" t="s">
        <v>1016</v>
      </c>
      <c r="AD3" s="1068" t="s">
        <v>1017</v>
      </c>
      <c r="AE3" s="1070" t="s">
        <v>865</v>
      </c>
      <c r="AF3" s="1403" t="s">
        <v>1018</v>
      </c>
      <c r="AG3" s="1403" t="s">
        <v>1019</v>
      </c>
      <c r="AH3" s="1067" t="s">
        <v>404</v>
      </c>
      <c r="AI3" s="1068" t="s">
        <v>405</v>
      </c>
      <c r="AJ3" s="1068" t="s">
        <v>406</v>
      </c>
      <c r="AK3" s="1068" t="s">
        <v>1012</v>
      </c>
      <c r="AL3" s="1068" t="s">
        <v>1013</v>
      </c>
      <c r="AM3" s="1070" t="s">
        <v>407</v>
      </c>
      <c r="AN3" s="1070" t="s">
        <v>1014</v>
      </c>
      <c r="AO3" s="1070" t="s">
        <v>1015</v>
      </c>
      <c r="AP3" s="1067" t="s">
        <v>1212</v>
      </c>
      <c r="AQ3" s="1068" t="s">
        <v>1213</v>
      </c>
      <c r="AR3" s="1068" t="s">
        <v>1210</v>
      </c>
      <c r="AS3" s="1068" t="s">
        <v>1211</v>
      </c>
      <c r="AT3" s="1068" t="s">
        <v>1209</v>
      </c>
      <c r="AU3" s="1070" t="s">
        <v>1208</v>
      </c>
      <c r="AV3" s="1070" t="s">
        <v>1207</v>
      </c>
      <c r="AW3" s="1070" t="s">
        <v>1206</v>
      </c>
    </row>
    <row r="4" spans="1:49" x14ac:dyDescent="0.2">
      <c r="A4" s="1071">
        <v>999</v>
      </c>
      <c r="B4" s="1072" t="s">
        <v>9</v>
      </c>
      <c r="C4" s="1073"/>
      <c r="D4" s="1074">
        <f t="shared" ref="D4:AM4" si="0">SUM(D5:D124)</f>
        <v>68153786.709999993</v>
      </c>
      <c r="E4" s="1075">
        <f t="shared" si="0"/>
        <v>94354002.929999977</v>
      </c>
      <c r="F4" s="1075">
        <f t="shared" si="0"/>
        <v>0</v>
      </c>
      <c r="G4" s="1075">
        <f t="shared" si="0"/>
        <v>1123154.7600000002</v>
      </c>
      <c r="H4" s="1076">
        <f t="shared" si="0"/>
        <v>1123154.7600000002</v>
      </c>
      <c r="I4" s="1076">
        <f t="shared" si="0"/>
        <v>163630944.40000001</v>
      </c>
      <c r="J4" s="1074">
        <f t="shared" si="0"/>
        <v>23647906.04000001</v>
      </c>
      <c r="K4" s="1075">
        <f t="shared" si="0"/>
        <v>23647906.04000001</v>
      </c>
      <c r="L4" s="1075">
        <f t="shared" si="0"/>
        <v>0</v>
      </c>
      <c r="M4" s="1075">
        <f t="shared" si="0"/>
        <v>33271.410000000003</v>
      </c>
      <c r="N4" s="1075">
        <f t="shared" si="0"/>
        <v>997387.75999999989</v>
      </c>
      <c r="O4" s="1076">
        <f t="shared" si="0"/>
        <v>48326471.249999985</v>
      </c>
      <c r="P4" s="1076">
        <f t="shared" si="0"/>
        <v>1030659.1700000002</v>
      </c>
      <c r="Q4" s="1076">
        <f t="shared" si="0"/>
        <v>1030659.1700000002</v>
      </c>
      <c r="R4" s="1074">
        <f t="shared" si="0"/>
        <v>40185476.169999994</v>
      </c>
      <c r="S4" s="1075">
        <f t="shared" si="0"/>
        <v>40185476.169999994</v>
      </c>
      <c r="T4" s="1075">
        <f t="shared" si="0"/>
        <v>0</v>
      </c>
      <c r="U4" s="1075">
        <f t="shared" si="0"/>
        <v>6277.5799999999917</v>
      </c>
      <c r="V4" s="1075">
        <f t="shared" si="0"/>
        <v>80898.959999999992</v>
      </c>
      <c r="W4" s="1077">
        <f t="shared" si="0"/>
        <v>80458128.88000001</v>
      </c>
      <c r="X4" s="1075">
        <f t="shared" si="0"/>
        <v>87176.539999999906</v>
      </c>
      <c r="Y4" s="1075">
        <f t="shared" si="0"/>
        <v>87176.539999999906</v>
      </c>
      <c r="Z4" s="1074">
        <f t="shared" si="0"/>
        <v>4750</v>
      </c>
      <c r="AA4" s="1075">
        <f t="shared" si="0"/>
        <v>4750</v>
      </c>
      <c r="AB4" s="1075">
        <f t="shared" si="0"/>
        <v>0</v>
      </c>
      <c r="AC4" s="1075">
        <f t="shared" si="0"/>
        <v>5000</v>
      </c>
      <c r="AD4" s="1075">
        <f t="shared" si="0"/>
        <v>0</v>
      </c>
      <c r="AE4" s="1077">
        <f t="shared" si="0"/>
        <v>14500</v>
      </c>
      <c r="AF4" s="1077">
        <f t="shared" si="0"/>
        <v>5000</v>
      </c>
      <c r="AG4" s="1077">
        <f t="shared" si="0"/>
        <v>5000</v>
      </c>
      <c r="AH4" s="1074">
        <f t="shared" si="0"/>
        <v>4258505.3100000015</v>
      </c>
      <c r="AI4" s="1075">
        <f t="shared" si="0"/>
        <v>30515870.719999995</v>
      </c>
      <c r="AJ4" s="1075">
        <f t="shared" si="0"/>
        <v>0</v>
      </c>
      <c r="AK4" s="1075">
        <f t="shared" si="0"/>
        <v>-0.74000000000000021</v>
      </c>
      <c r="AL4" s="1075">
        <f t="shared" si="0"/>
        <v>0</v>
      </c>
      <c r="AM4" s="1077">
        <f t="shared" si="0"/>
        <v>34774375.289999992</v>
      </c>
      <c r="AN4" s="1077">
        <f t="shared" ref="AN4:AW4" si="1">SUM(AN5:AN124)</f>
        <v>-0.74000000000000021</v>
      </c>
      <c r="AO4" s="1077">
        <f t="shared" si="1"/>
        <v>-0.74000000000000021</v>
      </c>
      <c r="AP4" s="1774">
        <f t="shared" si="1"/>
        <v>57149.189999999995</v>
      </c>
      <c r="AQ4" s="1774">
        <f t="shared" si="1"/>
        <v>0</v>
      </c>
      <c r="AR4" s="1774">
        <f t="shared" si="1"/>
        <v>0</v>
      </c>
      <c r="AS4" s="1774">
        <f t="shared" si="1"/>
        <v>319.79000000000002</v>
      </c>
      <c r="AT4" s="1774">
        <f t="shared" si="1"/>
        <v>0</v>
      </c>
      <c r="AU4" s="1774">
        <f t="shared" si="1"/>
        <v>57468.979999999996</v>
      </c>
      <c r="AV4" s="1774">
        <f t="shared" si="1"/>
        <v>319.79000000000002</v>
      </c>
      <c r="AW4" s="1774">
        <f t="shared" si="1"/>
        <v>319.79000000000002</v>
      </c>
    </row>
    <row r="5" spans="1:49" s="237" customFormat="1" x14ac:dyDescent="0.2">
      <c r="A5" s="1078" t="s">
        <v>10</v>
      </c>
      <c r="B5" s="1079" t="s">
        <v>11</v>
      </c>
      <c r="C5" s="103" t="s">
        <v>264</v>
      </c>
      <c r="D5" s="1080">
        <f>J5+R5+Z5+AH5+AP5</f>
        <v>94466.53</v>
      </c>
      <c r="E5" s="1080">
        <f>K5+S5+AA5+AI5+AQ5</f>
        <v>167202.53</v>
      </c>
      <c r="F5" s="1080">
        <f>L5+T5+AB5+AJ5+AR5</f>
        <v>0</v>
      </c>
      <c r="G5" s="1081">
        <f>P5+X5+AF5+AN5+AV5</f>
        <v>-7.0000000000000007E-2</v>
      </c>
      <c r="H5" s="1081">
        <f>Q5+Y5+AG5+AO5+AW5</f>
        <v>-7.0000000000000007E-2</v>
      </c>
      <c r="I5" s="1405">
        <f>SUM(D5:G5)</f>
        <v>261668.99</v>
      </c>
      <c r="J5" s="1082">
        <v>38569.14</v>
      </c>
      <c r="K5" s="1083">
        <v>38569.14</v>
      </c>
      <c r="L5" s="1083">
        <v>0</v>
      </c>
      <c r="M5" s="1083">
        <v>-7.0000000000000007E-2</v>
      </c>
      <c r="N5" s="1083">
        <v>0</v>
      </c>
      <c r="O5" s="1084">
        <f>SUM(J5:N5)</f>
        <v>77138.209999999992</v>
      </c>
      <c r="P5" s="1404">
        <f>M5+N5</f>
        <v>-7.0000000000000007E-2</v>
      </c>
      <c r="Q5" s="1404">
        <f>L5+P5</f>
        <v>-7.0000000000000007E-2</v>
      </c>
      <c r="R5" s="1082">
        <v>55897.39</v>
      </c>
      <c r="S5" s="1083">
        <v>55897.39</v>
      </c>
      <c r="T5" s="1083">
        <v>0</v>
      </c>
      <c r="U5" s="1083">
        <v>0</v>
      </c>
      <c r="V5" s="1083">
        <v>0</v>
      </c>
      <c r="W5" s="1085">
        <f t="shared" ref="W5:W36" si="2">SUM(R5:V5)</f>
        <v>111794.78</v>
      </c>
      <c r="X5" s="1404">
        <f>U5+V5</f>
        <v>0</v>
      </c>
      <c r="Y5" s="1404">
        <f>T5+X5</f>
        <v>0</v>
      </c>
      <c r="Z5" s="1082"/>
      <c r="AA5" s="1083"/>
      <c r="AB5" s="1083"/>
      <c r="AC5" s="1083"/>
      <c r="AD5" s="1083"/>
      <c r="AE5" s="1085">
        <f t="shared" ref="AE5:AE36" si="3">SUM(Z5:AD5)</f>
        <v>0</v>
      </c>
      <c r="AF5" s="1404">
        <f>AC5+AD5</f>
        <v>0</v>
      </c>
      <c r="AG5" s="1404">
        <f>AB5+AF5</f>
        <v>0</v>
      </c>
      <c r="AH5" s="1086">
        <v>0</v>
      </c>
      <c r="AI5" s="1087">
        <v>72736</v>
      </c>
      <c r="AJ5" s="1087">
        <v>0</v>
      </c>
      <c r="AK5" s="1087">
        <v>0</v>
      </c>
      <c r="AL5" s="1087">
        <v>0</v>
      </c>
      <c r="AM5" s="1088">
        <f t="shared" ref="AM5:AM36" si="4">SUM(AH5:AL5)</f>
        <v>72736</v>
      </c>
      <c r="AN5" s="1088">
        <f>AK5+AL5</f>
        <v>0</v>
      </c>
      <c r="AO5" s="1088">
        <f>AJ5+AN5</f>
        <v>0</v>
      </c>
      <c r="AP5" s="1773"/>
      <c r="AQ5" s="1773"/>
      <c r="AR5" s="1773"/>
      <c r="AS5" s="1773"/>
      <c r="AT5" s="1773"/>
      <c r="AU5" s="1773">
        <f t="shared" ref="AU5" si="5">SUM(AP5:AT5)</f>
        <v>0</v>
      </c>
      <c r="AV5" s="1773">
        <f>AS5+AT5</f>
        <v>0</v>
      </c>
      <c r="AW5" s="1773">
        <f>AR5+AV5</f>
        <v>0</v>
      </c>
    </row>
    <row r="6" spans="1:49" s="237" customFormat="1" x14ac:dyDescent="0.2">
      <c r="A6" s="1078" t="s">
        <v>12</v>
      </c>
      <c r="B6" s="1079" t="s">
        <v>13</v>
      </c>
      <c r="C6" s="103" t="s">
        <v>265</v>
      </c>
      <c r="D6" s="1080">
        <f t="shared" ref="D6:D69" si="6">J6+R6+Z6+AH6+AP6</f>
        <v>1020911.04</v>
      </c>
      <c r="E6" s="1080">
        <f t="shared" ref="E6:E69" si="7">K6+S6+AA6+AI6+AQ6</f>
        <v>1376294.68</v>
      </c>
      <c r="F6" s="1080">
        <f t="shared" ref="F6:F69" si="8">L6+T6+AB6+AJ6+AR6</f>
        <v>0</v>
      </c>
      <c r="G6" s="1081">
        <f t="shared" ref="G6:G69" si="9">P6+X6+AF6+AN6+AV6</f>
        <v>-0.33</v>
      </c>
      <c r="H6" s="1081">
        <f t="shared" ref="H6:H69" si="10">Q6+Y6+AG6+AO6+AW6</f>
        <v>-0.33</v>
      </c>
      <c r="I6" s="1405">
        <f t="shared" ref="I6:I69" si="11">SUM(D6:G6)</f>
        <v>2397205.3899999997</v>
      </c>
      <c r="J6" s="1082">
        <v>477366.25</v>
      </c>
      <c r="K6" s="1083">
        <v>477366.25</v>
      </c>
      <c r="L6" s="1083">
        <v>0</v>
      </c>
      <c r="M6" s="1083">
        <v>-0.32</v>
      </c>
      <c r="N6" s="1083">
        <v>0</v>
      </c>
      <c r="O6" s="1084">
        <f t="shared" ref="O6:O69" si="12">SUM(J6:N6)</f>
        <v>954732.18</v>
      </c>
      <c r="P6" s="1404">
        <f t="shared" ref="P6:P69" si="13">M6+N6</f>
        <v>-0.32</v>
      </c>
      <c r="Q6" s="1404">
        <f t="shared" ref="Q6:Q69" si="14">L6+P6</f>
        <v>-0.32</v>
      </c>
      <c r="R6" s="1082">
        <v>485790.5</v>
      </c>
      <c r="S6" s="1083">
        <v>485790.5</v>
      </c>
      <c r="T6" s="1083">
        <v>0</v>
      </c>
      <c r="U6" s="1083">
        <v>0</v>
      </c>
      <c r="V6" s="1083">
        <v>0</v>
      </c>
      <c r="W6" s="1085">
        <f t="shared" si="2"/>
        <v>971581</v>
      </c>
      <c r="X6" s="1404">
        <f t="shared" ref="X6:X69" si="15">U6+V6</f>
        <v>0</v>
      </c>
      <c r="Y6" s="1404">
        <f t="shared" ref="Y6:Y69" si="16">T6+X6</f>
        <v>0</v>
      </c>
      <c r="Z6" s="1082"/>
      <c r="AA6" s="1083"/>
      <c r="AB6" s="1083"/>
      <c r="AC6" s="1083"/>
      <c r="AD6" s="1083"/>
      <c r="AE6" s="1085">
        <f t="shared" si="3"/>
        <v>0</v>
      </c>
      <c r="AF6" s="1404">
        <f t="shared" ref="AF6:AF69" si="17">AC6+AD6</f>
        <v>0</v>
      </c>
      <c r="AG6" s="1404">
        <f t="shared" ref="AG6:AG69" si="18">AB6+AF6</f>
        <v>0</v>
      </c>
      <c r="AH6" s="1086">
        <v>55223.12</v>
      </c>
      <c r="AI6" s="1087">
        <v>413137.93</v>
      </c>
      <c r="AJ6" s="1087">
        <v>0</v>
      </c>
      <c r="AK6" s="1087">
        <v>-0.01</v>
      </c>
      <c r="AL6" s="1087">
        <v>0</v>
      </c>
      <c r="AM6" s="1088">
        <f t="shared" si="4"/>
        <v>468361.04</v>
      </c>
      <c r="AN6" s="1088">
        <f t="shared" ref="AN6:AN69" si="19">AK6+AL6</f>
        <v>-0.01</v>
      </c>
      <c r="AO6" s="1088">
        <f t="shared" ref="AO6:AO69" si="20">AJ6+AN6</f>
        <v>-0.01</v>
      </c>
      <c r="AP6" s="1773">
        <v>2531.17</v>
      </c>
      <c r="AQ6" s="1773">
        <v>0</v>
      </c>
      <c r="AR6" s="1773">
        <v>0</v>
      </c>
      <c r="AS6" s="1773">
        <v>0</v>
      </c>
      <c r="AT6" s="1773">
        <v>0</v>
      </c>
      <c r="AU6" s="1773">
        <f t="shared" ref="AU6:AU69" si="21">SUM(AP6:AT6)</f>
        <v>2531.17</v>
      </c>
      <c r="AV6" s="1773">
        <f t="shared" ref="AV6:AV69" si="22">AS6+AT6</f>
        <v>0</v>
      </c>
      <c r="AW6" s="1773">
        <f t="shared" ref="AW6:AW69" si="23">AR6+AV6</f>
        <v>0</v>
      </c>
    </row>
    <row r="7" spans="1:49" s="237" customFormat="1" x14ac:dyDescent="0.2">
      <c r="A7" s="1078" t="s">
        <v>16</v>
      </c>
      <c r="B7" s="1079" t="s">
        <v>297</v>
      </c>
      <c r="C7" s="103" t="s">
        <v>265</v>
      </c>
      <c r="D7" s="1080">
        <f t="shared" si="6"/>
        <v>64559.229999999996</v>
      </c>
      <c r="E7" s="1080">
        <f t="shared" si="7"/>
        <v>91441.97</v>
      </c>
      <c r="F7" s="1080">
        <f t="shared" si="8"/>
        <v>0</v>
      </c>
      <c r="G7" s="1081">
        <f t="shared" si="9"/>
        <v>0</v>
      </c>
      <c r="H7" s="1081">
        <f t="shared" si="10"/>
        <v>0</v>
      </c>
      <c r="I7" s="1405">
        <f t="shared" si="11"/>
        <v>156001.20000000001</v>
      </c>
      <c r="J7" s="1082">
        <v>21352.1</v>
      </c>
      <c r="K7" s="1083">
        <v>21352.1</v>
      </c>
      <c r="L7" s="1083">
        <v>0</v>
      </c>
      <c r="M7" s="1083">
        <v>0</v>
      </c>
      <c r="N7" s="1083">
        <v>0</v>
      </c>
      <c r="O7" s="1084">
        <f t="shared" si="12"/>
        <v>42704.2</v>
      </c>
      <c r="P7" s="1404">
        <f t="shared" si="13"/>
        <v>0</v>
      </c>
      <c r="Q7" s="1404">
        <f t="shared" si="14"/>
        <v>0</v>
      </c>
      <c r="R7" s="1082">
        <v>39375.5</v>
      </c>
      <c r="S7" s="1083">
        <v>39375.5</v>
      </c>
      <c r="T7" s="1083">
        <v>0</v>
      </c>
      <c r="U7" s="1083">
        <v>0</v>
      </c>
      <c r="V7" s="1083">
        <v>0</v>
      </c>
      <c r="W7" s="1085">
        <f t="shared" si="2"/>
        <v>78751</v>
      </c>
      <c r="X7" s="1404">
        <f t="shared" si="15"/>
        <v>0</v>
      </c>
      <c r="Y7" s="1404">
        <f t="shared" si="16"/>
        <v>0</v>
      </c>
      <c r="Z7" s="1082"/>
      <c r="AA7" s="1083"/>
      <c r="AB7" s="1083"/>
      <c r="AC7" s="1083"/>
      <c r="AD7" s="1083"/>
      <c r="AE7" s="1085">
        <f t="shared" si="3"/>
        <v>0</v>
      </c>
      <c r="AF7" s="1404">
        <f t="shared" si="17"/>
        <v>0</v>
      </c>
      <c r="AG7" s="1404">
        <f t="shared" si="18"/>
        <v>0</v>
      </c>
      <c r="AH7" s="1086">
        <v>3831.63</v>
      </c>
      <c r="AI7" s="1087">
        <v>30714.37</v>
      </c>
      <c r="AJ7" s="1087">
        <v>0</v>
      </c>
      <c r="AK7" s="1087">
        <v>0</v>
      </c>
      <c r="AL7" s="1087">
        <v>0</v>
      </c>
      <c r="AM7" s="1088">
        <f t="shared" si="4"/>
        <v>34546</v>
      </c>
      <c r="AN7" s="1088">
        <f t="shared" si="19"/>
        <v>0</v>
      </c>
      <c r="AO7" s="1088">
        <f t="shared" si="20"/>
        <v>0</v>
      </c>
      <c r="AP7" s="1773"/>
      <c r="AQ7" s="1773"/>
      <c r="AR7" s="1773"/>
      <c r="AS7" s="1773"/>
      <c r="AT7" s="1773"/>
      <c r="AU7" s="1773">
        <f t="shared" si="21"/>
        <v>0</v>
      </c>
      <c r="AV7" s="1773">
        <f t="shared" si="22"/>
        <v>0</v>
      </c>
      <c r="AW7" s="1773">
        <f t="shared" si="23"/>
        <v>0</v>
      </c>
    </row>
    <row r="8" spans="1:49" s="237" customFormat="1" x14ac:dyDescent="0.2">
      <c r="A8" s="1078" t="s">
        <v>18</v>
      </c>
      <c r="B8" s="1079" t="s">
        <v>19</v>
      </c>
      <c r="C8" s="103" t="s">
        <v>266</v>
      </c>
      <c r="D8" s="1080">
        <f t="shared" si="6"/>
        <v>17863.38</v>
      </c>
      <c r="E8" s="1080">
        <f t="shared" si="7"/>
        <v>43848.380000000005</v>
      </c>
      <c r="F8" s="1080">
        <f t="shared" si="8"/>
        <v>0</v>
      </c>
      <c r="G8" s="1081">
        <f t="shared" si="9"/>
        <v>-0.01</v>
      </c>
      <c r="H8" s="1081">
        <f t="shared" si="10"/>
        <v>-0.01</v>
      </c>
      <c r="I8" s="1405">
        <f t="shared" si="11"/>
        <v>61711.750000000007</v>
      </c>
      <c r="J8" s="1082">
        <v>2817.38</v>
      </c>
      <c r="K8" s="1083">
        <v>2817.38</v>
      </c>
      <c r="L8" s="1083">
        <v>0</v>
      </c>
      <c r="M8" s="1083">
        <v>-0.01</v>
      </c>
      <c r="N8" s="1083">
        <v>0</v>
      </c>
      <c r="O8" s="1084">
        <f t="shared" si="12"/>
        <v>5634.75</v>
      </c>
      <c r="P8" s="1404">
        <f t="shared" si="13"/>
        <v>-0.01</v>
      </c>
      <c r="Q8" s="1404">
        <f t="shared" si="14"/>
        <v>-0.01</v>
      </c>
      <c r="R8" s="1082">
        <v>15046</v>
      </c>
      <c r="S8" s="1083">
        <v>15046</v>
      </c>
      <c r="T8" s="1083">
        <v>0</v>
      </c>
      <c r="U8" s="1083">
        <v>0</v>
      </c>
      <c r="V8" s="1083">
        <v>0</v>
      </c>
      <c r="W8" s="1085">
        <f t="shared" si="2"/>
        <v>30092</v>
      </c>
      <c r="X8" s="1404">
        <f t="shared" si="15"/>
        <v>0</v>
      </c>
      <c r="Y8" s="1404">
        <f t="shared" si="16"/>
        <v>0</v>
      </c>
      <c r="Z8" s="1082"/>
      <c r="AA8" s="1083"/>
      <c r="AB8" s="1083"/>
      <c r="AC8" s="1083"/>
      <c r="AD8" s="1083"/>
      <c r="AE8" s="1085">
        <f t="shared" si="3"/>
        <v>0</v>
      </c>
      <c r="AF8" s="1404">
        <f t="shared" si="17"/>
        <v>0</v>
      </c>
      <c r="AG8" s="1404">
        <f t="shared" si="18"/>
        <v>0</v>
      </c>
      <c r="AH8" s="1086">
        <v>0</v>
      </c>
      <c r="AI8" s="1087">
        <v>25985</v>
      </c>
      <c r="AJ8" s="1087">
        <v>0</v>
      </c>
      <c r="AK8" s="1087">
        <v>0</v>
      </c>
      <c r="AL8" s="1087">
        <v>0</v>
      </c>
      <c r="AM8" s="1088">
        <f t="shared" si="4"/>
        <v>25985</v>
      </c>
      <c r="AN8" s="1088">
        <f t="shared" si="19"/>
        <v>0</v>
      </c>
      <c r="AO8" s="1088">
        <f t="shared" si="20"/>
        <v>0</v>
      </c>
      <c r="AP8" s="1773"/>
      <c r="AQ8" s="1773"/>
      <c r="AR8" s="1773"/>
      <c r="AS8" s="1773"/>
      <c r="AT8" s="1773"/>
      <c r="AU8" s="1773">
        <f t="shared" si="21"/>
        <v>0</v>
      </c>
      <c r="AV8" s="1773">
        <f t="shared" si="22"/>
        <v>0</v>
      </c>
      <c r="AW8" s="1773">
        <f t="shared" si="23"/>
        <v>0</v>
      </c>
    </row>
    <row r="9" spans="1:49" s="237" customFormat="1" x14ac:dyDescent="0.2">
      <c r="A9" s="1078" t="s">
        <v>20</v>
      </c>
      <c r="B9" s="1079" t="s">
        <v>21</v>
      </c>
      <c r="C9" s="103" t="s">
        <v>265</v>
      </c>
      <c r="D9" s="1080">
        <f t="shared" si="6"/>
        <v>66223.680000000008</v>
      </c>
      <c r="E9" s="1080">
        <f t="shared" si="7"/>
        <v>118775.12</v>
      </c>
      <c r="F9" s="1080">
        <f t="shared" si="8"/>
        <v>0</v>
      </c>
      <c r="G9" s="1081">
        <f t="shared" si="9"/>
        <v>-0.04</v>
      </c>
      <c r="H9" s="1081">
        <f t="shared" si="10"/>
        <v>-0.04</v>
      </c>
      <c r="I9" s="1405">
        <f t="shared" si="11"/>
        <v>184998.75999999998</v>
      </c>
      <c r="J9" s="1082">
        <v>45558.400000000001</v>
      </c>
      <c r="K9" s="1083">
        <v>45558.400000000001</v>
      </c>
      <c r="L9" s="1083">
        <v>0</v>
      </c>
      <c r="M9" s="1083">
        <v>-0.04</v>
      </c>
      <c r="N9" s="1083">
        <v>0</v>
      </c>
      <c r="O9" s="1084">
        <f t="shared" si="12"/>
        <v>91116.760000000009</v>
      </c>
      <c r="P9" s="1404">
        <f t="shared" si="13"/>
        <v>-0.04</v>
      </c>
      <c r="Q9" s="1404">
        <f t="shared" si="14"/>
        <v>-0.04</v>
      </c>
      <c r="R9" s="1082">
        <v>11783</v>
      </c>
      <c r="S9" s="1083">
        <v>11783</v>
      </c>
      <c r="T9" s="1083">
        <v>0</v>
      </c>
      <c r="U9" s="1083">
        <v>0</v>
      </c>
      <c r="V9" s="1083">
        <v>0</v>
      </c>
      <c r="W9" s="1085">
        <f t="shared" si="2"/>
        <v>23566</v>
      </c>
      <c r="X9" s="1404">
        <f t="shared" si="15"/>
        <v>0</v>
      </c>
      <c r="Y9" s="1404">
        <f t="shared" si="16"/>
        <v>0</v>
      </c>
      <c r="Z9" s="1082"/>
      <c r="AA9" s="1083"/>
      <c r="AB9" s="1083"/>
      <c r="AC9" s="1083"/>
      <c r="AD9" s="1083"/>
      <c r="AE9" s="1085">
        <f t="shared" si="3"/>
        <v>0</v>
      </c>
      <c r="AF9" s="1404">
        <f t="shared" si="17"/>
        <v>0</v>
      </c>
      <c r="AG9" s="1404">
        <f t="shared" si="18"/>
        <v>0</v>
      </c>
      <c r="AH9" s="1086">
        <v>8882.2800000000007</v>
      </c>
      <c r="AI9" s="1087">
        <v>61433.72</v>
      </c>
      <c r="AJ9" s="1087">
        <v>0</v>
      </c>
      <c r="AK9" s="1087">
        <v>0</v>
      </c>
      <c r="AL9" s="1087">
        <v>0</v>
      </c>
      <c r="AM9" s="1088">
        <f t="shared" si="4"/>
        <v>70316</v>
      </c>
      <c r="AN9" s="1088">
        <f t="shared" si="19"/>
        <v>0</v>
      </c>
      <c r="AO9" s="1088">
        <f t="shared" si="20"/>
        <v>0</v>
      </c>
      <c r="AP9" s="1773"/>
      <c r="AQ9" s="1773"/>
      <c r="AR9" s="1773"/>
      <c r="AS9" s="1773"/>
      <c r="AT9" s="1773"/>
      <c r="AU9" s="1773">
        <f t="shared" si="21"/>
        <v>0</v>
      </c>
      <c r="AV9" s="1773">
        <f t="shared" si="22"/>
        <v>0</v>
      </c>
      <c r="AW9" s="1773">
        <f t="shared" si="23"/>
        <v>0</v>
      </c>
    </row>
    <row r="10" spans="1:49" s="237" customFormat="1" x14ac:dyDescent="0.2">
      <c r="A10" s="1078" t="s">
        <v>22</v>
      </c>
      <c r="B10" s="1079" t="s">
        <v>23</v>
      </c>
      <c r="C10" s="103" t="s">
        <v>265</v>
      </c>
      <c r="D10" s="1080">
        <f t="shared" si="6"/>
        <v>90099.45</v>
      </c>
      <c r="E10" s="1080">
        <f t="shared" si="7"/>
        <v>109453.79999999999</v>
      </c>
      <c r="F10" s="1080">
        <f t="shared" si="8"/>
        <v>0</v>
      </c>
      <c r="G10" s="1081">
        <f t="shared" si="9"/>
        <v>-0.1</v>
      </c>
      <c r="H10" s="1081">
        <f t="shared" si="10"/>
        <v>-0.1</v>
      </c>
      <c r="I10" s="1405">
        <f t="shared" si="11"/>
        <v>199553.15</v>
      </c>
      <c r="J10" s="1082">
        <v>89304.95</v>
      </c>
      <c r="K10" s="1083">
        <v>89304.95</v>
      </c>
      <c r="L10" s="1083">
        <v>0</v>
      </c>
      <c r="M10" s="1083">
        <v>-0.1</v>
      </c>
      <c r="N10" s="1083">
        <v>0</v>
      </c>
      <c r="O10" s="1084">
        <f t="shared" si="12"/>
        <v>178609.8</v>
      </c>
      <c r="P10" s="1404">
        <f t="shared" si="13"/>
        <v>-0.1</v>
      </c>
      <c r="Q10" s="1404">
        <f t="shared" si="14"/>
        <v>-0.1</v>
      </c>
      <c r="R10" s="1086">
        <v>794.5</v>
      </c>
      <c r="S10" s="1087">
        <v>794.5</v>
      </c>
      <c r="T10" s="1087">
        <v>0</v>
      </c>
      <c r="U10" s="1087">
        <v>0</v>
      </c>
      <c r="V10" s="1087">
        <v>0</v>
      </c>
      <c r="W10" s="1085">
        <f t="shared" si="2"/>
        <v>1589</v>
      </c>
      <c r="X10" s="1404">
        <f t="shared" si="15"/>
        <v>0</v>
      </c>
      <c r="Y10" s="1404">
        <f t="shared" si="16"/>
        <v>0</v>
      </c>
      <c r="Z10" s="1082"/>
      <c r="AA10" s="1083"/>
      <c r="AB10" s="1083"/>
      <c r="AC10" s="1083"/>
      <c r="AD10" s="1083"/>
      <c r="AE10" s="1085">
        <f t="shared" si="3"/>
        <v>0</v>
      </c>
      <c r="AF10" s="1404">
        <f t="shared" si="17"/>
        <v>0</v>
      </c>
      <c r="AG10" s="1404">
        <f t="shared" si="18"/>
        <v>0</v>
      </c>
      <c r="AH10" s="1086">
        <v>0</v>
      </c>
      <c r="AI10" s="1087">
        <v>19354.349999999999</v>
      </c>
      <c r="AJ10" s="1087">
        <v>0</v>
      </c>
      <c r="AK10" s="1087">
        <v>0</v>
      </c>
      <c r="AL10" s="1087">
        <v>0</v>
      </c>
      <c r="AM10" s="1088">
        <f t="shared" si="4"/>
        <v>19354.349999999999</v>
      </c>
      <c r="AN10" s="1088">
        <f t="shared" si="19"/>
        <v>0</v>
      </c>
      <c r="AO10" s="1088">
        <f t="shared" si="20"/>
        <v>0</v>
      </c>
      <c r="AP10" s="1773"/>
      <c r="AQ10" s="1773"/>
      <c r="AR10" s="1773"/>
      <c r="AS10" s="1773"/>
      <c r="AT10" s="1773"/>
      <c r="AU10" s="1773">
        <f t="shared" si="21"/>
        <v>0</v>
      </c>
      <c r="AV10" s="1773">
        <f t="shared" si="22"/>
        <v>0</v>
      </c>
      <c r="AW10" s="1773">
        <f t="shared" si="23"/>
        <v>0</v>
      </c>
    </row>
    <row r="11" spans="1:49" s="237" customFormat="1" x14ac:dyDescent="0.2">
      <c r="A11" s="1078" t="s">
        <v>24</v>
      </c>
      <c r="B11" s="1079" t="s">
        <v>25</v>
      </c>
      <c r="C11" s="103" t="s">
        <v>267</v>
      </c>
      <c r="D11" s="1080">
        <f t="shared" si="6"/>
        <v>905359.34999999986</v>
      </c>
      <c r="E11" s="1080">
        <f t="shared" si="7"/>
        <v>1262372.5599999998</v>
      </c>
      <c r="F11" s="1080">
        <f t="shared" si="8"/>
        <v>0</v>
      </c>
      <c r="G11" s="1081">
        <f t="shared" si="9"/>
        <v>463.73999999999995</v>
      </c>
      <c r="H11" s="1081">
        <f t="shared" si="10"/>
        <v>463.73999999999995</v>
      </c>
      <c r="I11" s="1405">
        <f t="shared" si="11"/>
        <v>2168195.65</v>
      </c>
      <c r="J11" s="1082">
        <v>300950.15999999997</v>
      </c>
      <c r="K11" s="1083">
        <v>300950.15999999997</v>
      </c>
      <c r="L11" s="1083">
        <v>0</v>
      </c>
      <c r="M11" s="1083">
        <v>-0.35</v>
      </c>
      <c r="N11" s="1083">
        <v>0</v>
      </c>
      <c r="O11" s="1084">
        <f t="shared" si="12"/>
        <v>601899.97</v>
      </c>
      <c r="P11" s="1404">
        <f t="shared" si="13"/>
        <v>-0.35</v>
      </c>
      <c r="Q11" s="1404">
        <f t="shared" si="14"/>
        <v>-0.35</v>
      </c>
      <c r="R11" s="1082">
        <v>531389.18999999994</v>
      </c>
      <c r="S11" s="1083">
        <v>531389.18999999994</v>
      </c>
      <c r="T11" s="1083">
        <v>0</v>
      </c>
      <c r="U11" s="1083">
        <v>464.09</v>
      </c>
      <c r="V11" s="1083">
        <v>0</v>
      </c>
      <c r="W11" s="1085">
        <f t="shared" si="2"/>
        <v>1063242.47</v>
      </c>
      <c r="X11" s="1404">
        <f t="shared" si="15"/>
        <v>464.09</v>
      </c>
      <c r="Y11" s="1404">
        <f t="shared" si="16"/>
        <v>464.09</v>
      </c>
      <c r="Z11" s="1082"/>
      <c r="AA11" s="1083"/>
      <c r="AB11" s="1083"/>
      <c r="AC11" s="1083"/>
      <c r="AD11" s="1083"/>
      <c r="AE11" s="1085">
        <f t="shared" si="3"/>
        <v>0</v>
      </c>
      <c r="AF11" s="1404">
        <f t="shared" si="17"/>
        <v>0</v>
      </c>
      <c r="AG11" s="1404">
        <f t="shared" si="18"/>
        <v>0</v>
      </c>
      <c r="AH11" s="1086">
        <v>73020</v>
      </c>
      <c r="AI11" s="1087">
        <v>430033.21</v>
      </c>
      <c r="AJ11" s="1087">
        <v>0</v>
      </c>
      <c r="AK11" s="1087">
        <v>0</v>
      </c>
      <c r="AL11" s="1087">
        <v>0</v>
      </c>
      <c r="AM11" s="1088">
        <f t="shared" si="4"/>
        <v>503053.21</v>
      </c>
      <c r="AN11" s="1088">
        <f t="shared" si="19"/>
        <v>0</v>
      </c>
      <c r="AO11" s="1088">
        <f t="shared" si="20"/>
        <v>0</v>
      </c>
      <c r="AP11" s="1773"/>
      <c r="AQ11" s="1773"/>
      <c r="AR11" s="1773"/>
      <c r="AS11" s="1773"/>
      <c r="AT11" s="1773"/>
      <c r="AU11" s="1773">
        <f t="shared" si="21"/>
        <v>0</v>
      </c>
      <c r="AV11" s="1773">
        <f t="shared" si="22"/>
        <v>0</v>
      </c>
      <c r="AW11" s="1773">
        <f t="shared" si="23"/>
        <v>0</v>
      </c>
    </row>
    <row r="12" spans="1:49" s="237" customFormat="1" x14ac:dyDescent="0.2">
      <c r="A12" s="1078" t="s">
        <v>26</v>
      </c>
      <c r="B12" s="1079" t="s">
        <v>686</v>
      </c>
      <c r="C12" s="103" t="s">
        <v>265</v>
      </c>
      <c r="D12" s="1080">
        <f t="shared" si="6"/>
        <v>2509564.7400000002</v>
      </c>
      <c r="E12" s="1080">
        <f t="shared" si="7"/>
        <v>3097265.94</v>
      </c>
      <c r="F12" s="1080">
        <f t="shared" si="8"/>
        <v>0</v>
      </c>
      <c r="G12" s="1081">
        <f t="shared" si="9"/>
        <v>-0.59000000000000008</v>
      </c>
      <c r="H12" s="1081">
        <f t="shared" si="10"/>
        <v>-0.59000000000000008</v>
      </c>
      <c r="I12" s="1405">
        <f t="shared" si="11"/>
        <v>5606830.0899999999</v>
      </c>
      <c r="J12" s="1082">
        <v>1200954.76</v>
      </c>
      <c r="K12" s="1083">
        <v>1200954.76</v>
      </c>
      <c r="L12" s="1083">
        <v>0</v>
      </c>
      <c r="M12" s="1083">
        <v>-0.57000000000000006</v>
      </c>
      <c r="N12" s="1083">
        <v>0</v>
      </c>
      <c r="O12" s="1084">
        <f t="shared" si="12"/>
        <v>2401908.9500000002</v>
      </c>
      <c r="P12" s="1404">
        <f t="shared" si="13"/>
        <v>-0.57000000000000006</v>
      </c>
      <c r="Q12" s="1404">
        <f t="shared" si="14"/>
        <v>-0.57000000000000006</v>
      </c>
      <c r="R12" s="1082">
        <v>1120235.22</v>
      </c>
      <c r="S12" s="1083">
        <v>1120235.22</v>
      </c>
      <c r="T12" s="1083">
        <v>0</v>
      </c>
      <c r="U12" s="1083">
        <v>-0.02</v>
      </c>
      <c r="V12" s="1083">
        <v>0</v>
      </c>
      <c r="W12" s="1085">
        <f t="shared" si="2"/>
        <v>2240470.42</v>
      </c>
      <c r="X12" s="1404">
        <f t="shared" si="15"/>
        <v>-0.02</v>
      </c>
      <c r="Y12" s="1404">
        <f t="shared" si="16"/>
        <v>-0.02</v>
      </c>
      <c r="Z12" s="1082"/>
      <c r="AA12" s="1083"/>
      <c r="AB12" s="1083"/>
      <c r="AC12" s="1083"/>
      <c r="AD12" s="1083"/>
      <c r="AE12" s="1085">
        <f t="shared" si="3"/>
        <v>0</v>
      </c>
      <c r="AF12" s="1404">
        <f t="shared" si="17"/>
        <v>0</v>
      </c>
      <c r="AG12" s="1404">
        <f t="shared" si="18"/>
        <v>0</v>
      </c>
      <c r="AH12" s="1086">
        <v>185374.76</v>
      </c>
      <c r="AI12" s="1087">
        <v>776075.96</v>
      </c>
      <c r="AJ12" s="1087">
        <v>0</v>
      </c>
      <c r="AK12" s="1087">
        <v>0</v>
      </c>
      <c r="AL12" s="1087">
        <v>0</v>
      </c>
      <c r="AM12" s="1088">
        <f t="shared" si="4"/>
        <v>961450.72</v>
      </c>
      <c r="AN12" s="1088">
        <f t="shared" si="19"/>
        <v>0</v>
      </c>
      <c r="AO12" s="1088">
        <f t="shared" si="20"/>
        <v>0</v>
      </c>
      <c r="AP12" s="1773">
        <v>3000</v>
      </c>
      <c r="AQ12" s="1773">
        <v>0</v>
      </c>
      <c r="AR12" s="1773">
        <v>0</v>
      </c>
      <c r="AS12" s="1773">
        <v>0</v>
      </c>
      <c r="AT12" s="1773">
        <v>0</v>
      </c>
      <c r="AU12" s="1773">
        <f t="shared" si="21"/>
        <v>3000</v>
      </c>
      <c r="AV12" s="1773">
        <f t="shared" si="22"/>
        <v>0</v>
      </c>
      <c r="AW12" s="1773">
        <f t="shared" si="23"/>
        <v>0</v>
      </c>
    </row>
    <row r="13" spans="1:49" s="237" customFormat="1" x14ac:dyDescent="0.2">
      <c r="A13" s="1078" t="s">
        <v>27</v>
      </c>
      <c r="B13" s="1079" t="s">
        <v>28</v>
      </c>
      <c r="C13" s="103" t="s">
        <v>265</v>
      </c>
      <c r="D13" s="1080">
        <f t="shared" si="6"/>
        <v>40610.129999999997</v>
      </c>
      <c r="E13" s="1080">
        <f t="shared" si="7"/>
        <v>48822.13</v>
      </c>
      <c r="F13" s="1080">
        <f t="shared" si="8"/>
        <v>0</v>
      </c>
      <c r="G13" s="1081">
        <f t="shared" si="9"/>
        <v>-0.04</v>
      </c>
      <c r="H13" s="1081">
        <f t="shared" si="10"/>
        <v>-0.04</v>
      </c>
      <c r="I13" s="1405">
        <f t="shared" si="11"/>
        <v>89432.22</v>
      </c>
      <c r="J13" s="1082">
        <v>40610.129999999997</v>
      </c>
      <c r="K13" s="1083">
        <v>40610.129999999997</v>
      </c>
      <c r="L13" s="1083">
        <v>0</v>
      </c>
      <c r="M13" s="1083">
        <v>-0.04</v>
      </c>
      <c r="N13" s="1083">
        <v>0</v>
      </c>
      <c r="O13" s="1084">
        <f t="shared" si="12"/>
        <v>81220.22</v>
      </c>
      <c r="P13" s="1404">
        <f t="shared" si="13"/>
        <v>-0.04</v>
      </c>
      <c r="Q13" s="1404">
        <f t="shared" si="14"/>
        <v>-0.04</v>
      </c>
      <c r="R13" s="1082">
        <v>0</v>
      </c>
      <c r="S13" s="1083">
        <v>0</v>
      </c>
      <c r="T13" s="1083">
        <v>0</v>
      </c>
      <c r="U13" s="1083">
        <v>0</v>
      </c>
      <c r="V13" s="1083">
        <v>0</v>
      </c>
      <c r="W13" s="1085">
        <f t="shared" si="2"/>
        <v>0</v>
      </c>
      <c r="X13" s="1404">
        <f t="shared" si="15"/>
        <v>0</v>
      </c>
      <c r="Y13" s="1404">
        <f t="shared" si="16"/>
        <v>0</v>
      </c>
      <c r="Z13" s="1082"/>
      <c r="AA13" s="1083"/>
      <c r="AB13" s="1083"/>
      <c r="AC13" s="1083"/>
      <c r="AD13" s="1083"/>
      <c r="AE13" s="1085">
        <f t="shared" si="3"/>
        <v>0</v>
      </c>
      <c r="AF13" s="1404">
        <f t="shared" si="17"/>
        <v>0</v>
      </c>
      <c r="AG13" s="1404">
        <f t="shared" si="18"/>
        <v>0</v>
      </c>
      <c r="AH13" s="1086">
        <v>0</v>
      </c>
      <c r="AI13" s="1087">
        <v>8212</v>
      </c>
      <c r="AJ13" s="1087">
        <v>0</v>
      </c>
      <c r="AK13" s="1087">
        <v>0</v>
      </c>
      <c r="AL13" s="1087">
        <v>0</v>
      </c>
      <c r="AM13" s="1088">
        <f t="shared" si="4"/>
        <v>8212</v>
      </c>
      <c r="AN13" s="1088">
        <f t="shared" si="19"/>
        <v>0</v>
      </c>
      <c r="AO13" s="1088">
        <f t="shared" si="20"/>
        <v>0</v>
      </c>
      <c r="AP13" s="1773"/>
      <c r="AQ13" s="1773"/>
      <c r="AR13" s="1773"/>
      <c r="AS13" s="1773"/>
      <c r="AT13" s="1773"/>
      <c r="AU13" s="1773">
        <f t="shared" si="21"/>
        <v>0</v>
      </c>
      <c r="AV13" s="1773">
        <f t="shared" si="22"/>
        <v>0</v>
      </c>
      <c r="AW13" s="1773">
        <f t="shared" si="23"/>
        <v>0</v>
      </c>
    </row>
    <row r="14" spans="1:49" s="237" customFormat="1" x14ac:dyDescent="0.2">
      <c r="A14" s="1078" t="s">
        <v>29</v>
      </c>
      <c r="B14" s="1079" t="s">
        <v>941</v>
      </c>
      <c r="C14" s="103" t="s">
        <v>265</v>
      </c>
      <c r="D14" s="1080">
        <f t="shared" si="6"/>
        <v>768817.12000000011</v>
      </c>
      <c r="E14" s="1080">
        <f t="shared" si="7"/>
        <v>1287235.3700000001</v>
      </c>
      <c r="F14" s="1080">
        <f t="shared" si="8"/>
        <v>0</v>
      </c>
      <c r="G14" s="1081">
        <f t="shared" si="9"/>
        <v>-0.23</v>
      </c>
      <c r="H14" s="1081">
        <f t="shared" si="10"/>
        <v>-0.23</v>
      </c>
      <c r="I14" s="1405">
        <f t="shared" si="11"/>
        <v>2056052.2600000002</v>
      </c>
      <c r="J14" s="1082">
        <v>200610.7</v>
      </c>
      <c r="K14" s="1083">
        <v>200610.7</v>
      </c>
      <c r="L14" s="1083">
        <v>0</v>
      </c>
      <c r="M14" s="1083">
        <v>-0.22</v>
      </c>
      <c r="N14" s="1083">
        <v>0</v>
      </c>
      <c r="O14" s="1084">
        <f t="shared" si="12"/>
        <v>401221.18000000005</v>
      </c>
      <c r="P14" s="1404">
        <f t="shared" si="13"/>
        <v>-0.22</v>
      </c>
      <c r="Q14" s="1404">
        <f t="shared" si="14"/>
        <v>-0.22</v>
      </c>
      <c r="R14" s="1082">
        <v>554591.15</v>
      </c>
      <c r="S14" s="1083">
        <v>554591.15</v>
      </c>
      <c r="T14" s="1083">
        <v>0</v>
      </c>
      <c r="U14" s="1083">
        <v>-0.01</v>
      </c>
      <c r="V14" s="1083">
        <v>0</v>
      </c>
      <c r="W14" s="1085">
        <f t="shared" si="2"/>
        <v>1109182.29</v>
      </c>
      <c r="X14" s="1404">
        <f t="shared" si="15"/>
        <v>-0.01</v>
      </c>
      <c r="Y14" s="1404">
        <f t="shared" si="16"/>
        <v>-0.01</v>
      </c>
      <c r="Z14" s="1082"/>
      <c r="AA14" s="1083"/>
      <c r="AB14" s="1083"/>
      <c r="AC14" s="1083"/>
      <c r="AD14" s="1083"/>
      <c r="AE14" s="1085">
        <f t="shared" si="3"/>
        <v>0</v>
      </c>
      <c r="AF14" s="1404">
        <f t="shared" si="17"/>
        <v>0</v>
      </c>
      <c r="AG14" s="1404">
        <f t="shared" si="18"/>
        <v>0</v>
      </c>
      <c r="AH14" s="1086">
        <v>12675.43</v>
      </c>
      <c r="AI14" s="1087">
        <v>532033.52</v>
      </c>
      <c r="AJ14" s="1087">
        <v>0</v>
      </c>
      <c r="AK14" s="1087">
        <v>0</v>
      </c>
      <c r="AL14" s="1087">
        <v>0</v>
      </c>
      <c r="AM14" s="1088">
        <f t="shared" si="4"/>
        <v>544708.95000000007</v>
      </c>
      <c r="AN14" s="1088">
        <f t="shared" si="19"/>
        <v>0</v>
      </c>
      <c r="AO14" s="1088">
        <f t="shared" si="20"/>
        <v>0</v>
      </c>
      <c r="AP14" s="1773">
        <v>939.84</v>
      </c>
      <c r="AQ14" s="1773">
        <v>0</v>
      </c>
      <c r="AR14" s="1773">
        <v>0</v>
      </c>
      <c r="AS14" s="1773">
        <v>0</v>
      </c>
      <c r="AT14" s="1773">
        <v>0</v>
      </c>
      <c r="AU14" s="1773">
        <f t="shared" si="21"/>
        <v>939.84</v>
      </c>
      <c r="AV14" s="1773">
        <f t="shared" si="22"/>
        <v>0</v>
      </c>
      <c r="AW14" s="1773">
        <f t="shared" si="23"/>
        <v>0</v>
      </c>
    </row>
    <row r="15" spans="1:49" s="237" customFormat="1" x14ac:dyDescent="0.2">
      <c r="A15" s="1078" t="s">
        <v>30</v>
      </c>
      <c r="B15" s="1079" t="s">
        <v>31</v>
      </c>
      <c r="C15" s="103" t="s">
        <v>268</v>
      </c>
      <c r="D15" s="1080">
        <f t="shared" si="6"/>
        <v>130677.94</v>
      </c>
      <c r="E15" s="1080">
        <f t="shared" si="7"/>
        <v>168694.02000000002</v>
      </c>
      <c r="F15" s="1080">
        <f t="shared" si="8"/>
        <v>0</v>
      </c>
      <c r="G15" s="1081">
        <f t="shared" si="9"/>
        <v>0</v>
      </c>
      <c r="H15" s="1081">
        <f t="shared" si="10"/>
        <v>0</v>
      </c>
      <c r="I15" s="1405">
        <f t="shared" si="11"/>
        <v>299371.96000000002</v>
      </c>
      <c r="J15" s="1082">
        <v>56352.78</v>
      </c>
      <c r="K15" s="1083">
        <v>56352.78</v>
      </c>
      <c r="L15" s="1083">
        <v>0</v>
      </c>
      <c r="M15" s="1083">
        <v>0.01</v>
      </c>
      <c r="N15" s="1083">
        <v>0</v>
      </c>
      <c r="O15" s="1084">
        <f t="shared" si="12"/>
        <v>112705.56999999999</v>
      </c>
      <c r="P15" s="1404">
        <f t="shared" si="13"/>
        <v>0.01</v>
      </c>
      <c r="Q15" s="1404">
        <f t="shared" si="14"/>
        <v>0.01</v>
      </c>
      <c r="R15" s="1082">
        <v>62299.73</v>
      </c>
      <c r="S15" s="1083">
        <v>62299.73</v>
      </c>
      <c r="T15" s="1083">
        <v>0</v>
      </c>
      <c r="U15" s="1083">
        <v>-0.01</v>
      </c>
      <c r="V15" s="1083">
        <v>0</v>
      </c>
      <c r="W15" s="1085">
        <f t="shared" si="2"/>
        <v>124599.45000000001</v>
      </c>
      <c r="X15" s="1404">
        <f t="shared" si="15"/>
        <v>-0.01</v>
      </c>
      <c r="Y15" s="1404">
        <f t="shared" si="16"/>
        <v>-0.01</v>
      </c>
      <c r="Z15" s="1082"/>
      <c r="AA15" s="1083"/>
      <c r="AB15" s="1083"/>
      <c r="AC15" s="1083"/>
      <c r="AD15" s="1083"/>
      <c r="AE15" s="1085">
        <f t="shared" si="3"/>
        <v>0</v>
      </c>
      <c r="AF15" s="1404">
        <f t="shared" si="17"/>
        <v>0</v>
      </c>
      <c r="AG15" s="1404">
        <f t="shared" si="18"/>
        <v>0</v>
      </c>
      <c r="AH15" s="1086">
        <v>12025.43</v>
      </c>
      <c r="AI15" s="1087">
        <v>50041.51</v>
      </c>
      <c r="AJ15" s="1087">
        <v>0</v>
      </c>
      <c r="AK15" s="1087">
        <v>0</v>
      </c>
      <c r="AL15" s="1087">
        <v>0</v>
      </c>
      <c r="AM15" s="1088">
        <f t="shared" si="4"/>
        <v>62066.94</v>
      </c>
      <c r="AN15" s="1088">
        <f t="shared" si="19"/>
        <v>0</v>
      </c>
      <c r="AO15" s="1088">
        <f t="shared" si="20"/>
        <v>0</v>
      </c>
      <c r="AP15" s="1773"/>
      <c r="AQ15" s="1773"/>
      <c r="AR15" s="1773"/>
      <c r="AS15" s="1773"/>
      <c r="AT15" s="1773"/>
      <c r="AU15" s="1773">
        <f t="shared" si="21"/>
        <v>0</v>
      </c>
      <c r="AV15" s="1773">
        <f t="shared" si="22"/>
        <v>0</v>
      </c>
      <c r="AW15" s="1773">
        <f t="shared" si="23"/>
        <v>0</v>
      </c>
    </row>
    <row r="16" spans="1:49" s="237" customFormat="1" x14ac:dyDescent="0.2">
      <c r="A16" s="1078" t="s">
        <v>32</v>
      </c>
      <c r="B16" s="1079" t="s">
        <v>33</v>
      </c>
      <c r="C16" s="103" t="s">
        <v>265</v>
      </c>
      <c r="D16" s="1080">
        <f t="shared" si="6"/>
        <v>69978</v>
      </c>
      <c r="E16" s="1080">
        <f t="shared" si="7"/>
        <v>82702</v>
      </c>
      <c r="F16" s="1080">
        <f t="shared" si="8"/>
        <v>0</v>
      </c>
      <c r="G16" s="1081">
        <f t="shared" si="9"/>
        <v>0</v>
      </c>
      <c r="H16" s="1081">
        <f t="shared" si="10"/>
        <v>0</v>
      </c>
      <c r="I16" s="1405">
        <f t="shared" si="11"/>
        <v>152680</v>
      </c>
      <c r="J16" s="1082">
        <v>9420</v>
      </c>
      <c r="K16" s="1083">
        <v>9420</v>
      </c>
      <c r="L16" s="1083">
        <v>0</v>
      </c>
      <c r="M16" s="1083">
        <v>0</v>
      </c>
      <c r="N16" s="1083">
        <v>0</v>
      </c>
      <c r="O16" s="1084">
        <f t="shared" si="12"/>
        <v>18840</v>
      </c>
      <c r="P16" s="1404">
        <f t="shared" si="13"/>
        <v>0</v>
      </c>
      <c r="Q16" s="1404">
        <f t="shared" si="14"/>
        <v>0</v>
      </c>
      <c r="R16" s="1082">
        <v>59832</v>
      </c>
      <c r="S16" s="1083">
        <v>59832</v>
      </c>
      <c r="T16" s="1083">
        <v>0</v>
      </c>
      <c r="U16" s="1083">
        <v>0</v>
      </c>
      <c r="V16" s="1083">
        <v>0</v>
      </c>
      <c r="W16" s="1085">
        <f t="shared" si="2"/>
        <v>119664</v>
      </c>
      <c r="X16" s="1404">
        <f t="shared" si="15"/>
        <v>0</v>
      </c>
      <c r="Y16" s="1404">
        <f t="shared" si="16"/>
        <v>0</v>
      </c>
      <c r="Z16" s="1082"/>
      <c r="AA16" s="1083"/>
      <c r="AB16" s="1083"/>
      <c r="AC16" s="1083"/>
      <c r="AD16" s="1083"/>
      <c r="AE16" s="1085">
        <f t="shared" si="3"/>
        <v>0</v>
      </c>
      <c r="AF16" s="1404">
        <f t="shared" si="17"/>
        <v>0</v>
      </c>
      <c r="AG16" s="1404">
        <f t="shared" si="18"/>
        <v>0</v>
      </c>
      <c r="AH16" s="1086">
        <v>726</v>
      </c>
      <c r="AI16" s="1087">
        <v>13450</v>
      </c>
      <c r="AJ16" s="1087">
        <v>0</v>
      </c>
      <c r="AK16" s="1087">
        <v>0</v>
      </c>
      <c r="AL16" s="1087">
        <v>0</v>
      </c>
      <c r="AM16" s="1088">
        <f t="shared" si="4"/>
        <v>14176</v>
      </c>
      <c r="AN16" s="1088">
        <f t="shared" si="19"/>
        <v>0</v>
      </c>
      <c r="AO16" s="1088">
        <f t="shared" si="20"/>
        <v>0</v>
      </c>
      <c r="AP16" s="1773"/>
      <c r="AQ16" s="1773"/>
      <c r="AR16" s="1773"/>
      <c r="AS16" s="1773"/>
      <c r="AT16" s="1773"/>
      <c r="AU16" s="1773">
        <f t="shared" si="21"/>
        <v>0</v>
      </c>
      <c r="AV16" s="1773">
        <f t="shared" si="22"/>
        <v>0</v>
      </c>
      <c r="AW16" s="1773">
        <f t="shared" si="23"/>
        <v>0</v>
      </c>
    </row>
    <row r="17" spans="1:49" s="237" customFormat="1" x14ac:dyDescent="0.2">
      <c r="A17" s="1078" t="s">
        <v>36</v>
      </c>
      <c r="B17" s="1079" t="s">
        <v>37</v>
      </c>
      <c r="C17" s="103" t="s">
        <v>264</v>
      </c>
      <c r="D17" s="1080">
        <f t="shared" si="6"/>
        <v>43935.86</v>
      </c>
      <c r="E17" s="1080">
        <f t="shared" si="7"/>
        <v>44139.86</v>
      </c>
      <c r="F17" s="1080">
        <f t="shared" si="8"/>
        <v>0</v>
      </c>
      <c r="G17" s="1081">
        <f t="shared" si="9"/>
        <v>0</v>
      </c>
      <c r="H17" s="1081">
        <f t="shared" si="10"/>
        <v>0</v>
      </c>
      <c r="I17" s="1405">
        <f t="shared" si="11"/>
        <v>88075.72</v>
      </c>
      <c r="J17" s="1082">
        <v>9305.67</v>
      </c>
      <c r="K17" s="1083">
        <v>9305.67</v>
      </c>
      <c r="L17" s="1083">
        <v>0</v>
      </c>
      <c r="M17" s="1083">
        <v>0</v>
      </c>
      <c r="N17" s="1083">
        <v>0</v>
      </c>
      <c r="O17" s="1084">
        <f t="shared" si="12"/>
        <v>18611.34</v>
      </c>
      <c r="P17" s="1404">
        <f t="shared" si="13"/>
        <v>0</v>
      </c>
      <c r="Q17" s="1404">
        <f t="shared" si="14"/>
        <v>0</v>
      </c>
      <c r="R17" s="1082">
        <v>34432.19</v>
      </c>
      <c r="S17" s="1083">
        <v>34432.19</v>
      </c>
      <c r="T17" s="1083">
        <v>0</v>
      </c>
      <c r="U17" s="1083">
        <v>0</v>
      </c>
      <c r="V17" s="1083">
        <v>0</v>
      </c>
      <c r="W17" s="1085">
        <f t="shared" si="2"/>
        <v>68864.38</v>
      </c>
      <c r="X17" s="1404">
        <f t="shared" si="15"/>
        <v>0</v>
      </c>
      <c r="Y17" s="1404">
        <f t="shared" si="16"/>
        <v>0</v>
      </c>
      <c r="Z17" s="1082"/>
      <c r="AA17" s="1083"/>
      <c r="AB17" s="1083"/>
      <c r="AC17" s="1083"/>
      <c r="AD17" s="1083"/>
      <c r="AE17" s="1085">
        <f t="shared" si="3"/>
        <v>0</v>
      </c>
      <c r="AF17" s="1404">
        <f t="shared" si="17"/>
        <v>0</v>
      </c>
      <c r="AG17" s="1404">
        <f t="shared" si="18"/>
        <v>0</v>
      </c>
      <c r="AH17" s="1086">
        <v>198</v>
      </c>
      <c r="AI17" s="1087">
        <v>402</v>
      </c>
      <c r="AJ17" s="1087">
        <v>0</v>
      </c>
      <c r="AK17" s="1087">
        <v>0</v>
      </c>
      <c r="AL17" s="1087">
        <v>0</v>
      </c>
      <c r="AM17" s="1088">
        <f t="shared" si="4"/>
        <v>600</v>
      </c>
      <c r="AN17" s="1088">
        <f t="shared" si="19"/>
        <v>0</v>
      </c>
      <c r="AO17" s="1088">
        <f t="shared" si="20"/>
        <v>0</v>
      </c>
      <c r="AP17" s="1773"/>
      <c r="AQ17" s="1773"/>
      <c r="AR17" s="1773"/>
      <c r="AS17" s="1773"/>
      <c r="AT17" s="1773"/>
      <c r="AU17" s="1773">
        <f t="shared" si="21"/>
        <v>0</v>
      </c>
      <c r="AV17" s="1773">
        <f t="shared" si="22"/>
        <v>0</v>
      </c>
      <c r="AW17" s="1773">
        <f t="shared" si="23"/>
        <v>0</v>
      </c>
    </row>
    <row r="18" spans="1:49" s="237" customFormat="1" x14ac:dyDescent="0.2">
      <c r="A18" s="1078" t="s">
        <v>38</v>
      </c>
      <c r="B18" s="1079" t="s">
        <v>39</v>
      </c>
      <c r="C18" s="103" t="s">
        <v>268</v>
      </c>
      <c r="D18" s="1080">
        <f t="shared" si="6"/>
        <v>768693.17</v>
      </c>
      <c r="E18" s="1080">
        <f t="shared" si="7"/>
        <v>938179.71000000008</v>
      </c>
      <c r="F18" s="1080">
        <f t="shared" si="8"/>
        <v>0</v>
      </c>
      <c r="G18" s="1081">
        <f t="shared" si="9"/>
        <v>-0.2</v>
      </c>
      <c r="H18" s="1081">
        <f t="shared" si="10"/>
        <v>-0.2</v>
      </c>
      <c r="I18" s="1405">
        <f t="shared" si="11"/>
        <v>1706872.6800000002</v>
      </c>
      <c r="J18" s="1082">
        <v>305817.06</v>
      </c>
      <c r="K18" s="1083">
        <v>305817.06</v>
      </c>
      <c r="L18" s="1083">
        <v>0</v>
      </c>
      <c r="M18" s="1083">
        <v>-0.2</v>
      </c>
      <c r="N18" s="1083">
        <v>0</v>
      </c>
      <c r="O18" s="1084">
        <f t="shared" si="12"/>
        <v>611633.92000000004</v>
      </c>
      <c r="P18" s="1404">
        <f t="shared" si="13"/>
        <v>-0.2</v>
      </c>
      <c r="Q18" s="1404">
        <f t="shared" si="14"/>
        <v>-0.2</v>
      </c>
      <c r="R18" s="1082">
        <v>432531.5</v>
      </c>
      <c r="S18" s="1083">
        <v>432531.5</v>
      </c>
      <c r="T18" s="1083">
        <v>0</v>
      </c>
      <c r="U18" s="1083">
        <v>0</v>
      </c>
      <c r="V18" s="1083">
        <v>0</v>
      </c>
      <c r="W18" s="1085">
        <f t="shared" si="2"/>
        <v>865063</v>
      </c>
      <c r="X18" s="1404">
        <f t="shared" si="15"/>
        <v>0</v>
      </c>
      <c r="Y18" s="1404">
        <f t="shared" si="16"/>
        <v>0</v>
      </c>
      <c r="Z18" s="1082"/>
      <c r="AA18" s="1083"/>
      <c r="AB18" s="1083"/>
      <c r="AC18" s="1083"/>
      <c r="AD18" s="1083"/>
      <c r="AE18" s="1085">
        <f t="shared" si="3"/>
        <v>0</v>
      </c>
      <c r="AF18" s="1404">
        <f t="shared" si="17"/>
        <v>0</v>
      </c>
      <c r="AG18" s="1404">
        <f t="shared" si="18"/>
        <v>0</v>
      </c>
      <c r="AH18" s="1086">
        <v>30120.69</v>
      </c>
      <c r="AI18" s="1087">
        <v>199831.15</v>
      </c>
      <c r="AJ18" s="1087">
        <v>0</v>
      </c>
      <c r="AK18" s="1087">
        <v>0</v>
      </c>
      <c r="AL18" s="1087">
        <v>0</v>
      </c>
      <c r="AM18" s="1088">
        <f t="shared" si="4"/>
        <v>229951.84</v>
      </c>
      <c r="AN18" s="1088">
        <f t="shared" si="19"/>
        <v>0</v>
      </c>
      <c r="AO18" s="1088">
        <f t="shared" si="20"/>
        <v>0</v>
      </c>
      <c r="AP18" s="1773">
        <v>223.92</v>
      </c>
      <c r="AQ18" s="1773">
        <v>0</v>
      </c>
      <c r="AR18" s="1773">
        <v>0</v>
      </c>
      <c r="AS18" s="1773">
        <v>0</v>
      </c>
      <c r="AT18" s="1773">
        <v>0</v>
      </c>
      <c r="AU18" s="1773">
        <f t="shared" si="21"/>
        <v>223.92</v>
      </c>
      <c r="AV18" s="1773">
        <f t="shared" si="22"/>
        <v>0</v>
      </c>
      <c r="AW18" s="1773">
        <f t="shared" si="23"/>
        <v>0</v>
      </c>
    </row>
    <row r="19" spans="1:49" s="237" customFormat="1" x14ac:dyDescent="0.2">
      <c r="A19" s="1078" t="s">
        <v>40</v>
      </c>
      <c r="B19" s="1079" t="s">
        <v>41</v>
      </c>
      <c r="C19" s="103" t="s">
        <v>266</v>
      </c>
      <c r="D19" s="1080">
        <f t="shared" si="6"/>
        <v>63571.789999999994</v>
      </c>
      <c r="E19" s="1080">
        <f t="shared" si="7"/>
        <v>115779.19</v>
      </c>
      <c r="F19" s="1080">
        <f t="shared" si="8"/>
        <v>0</v>
      </c>
      <c r="G19" s="1081">
        <f t="shared" si="9"/>
        <v>-0.04</v>
      </c>
      <c r="H19" s="1081">
        <f t="shared" si="10"/>
        <v>-0.04</v>
      </c>
      <c r="I19" s="1405">
        <f t="shared" si="11"/>
        <v>179350.93999999997</v>
      </c>
      <c r="J19" s="1082">
        <v>17456.55</v>
      </c>
      <c r="K19" s="1083">
        <v>17456.55</v>
      </c>
      <c r="L19" s="1083">
        <v>0</v>
      </c>
      <c r="M19" s="1083">
        <v>-0.04</v>
      </c>
      <c r="N19" s="1083">
        <v>0</v>
      </c>
      <c r="O19" s="1084">
        <f t="shared" si="12"/>
        <v>34913.06</v>
      </c>
      <c r="P19" s="1404">
        <f t="shared" si="13"/>
        <v>-0.04</v>
      </c>
      <c r="Q19" s="1404">
        <f t="shared" si="14"/>
        <v>-0.04</v>
      </c>
      <c r="R19" s="1082">
        <v>46115.24</v>
      </c>
      <c r="S19" s="1083">
        <v>46115.24</v>
      </c>
      <c r="T19" s="1083">
        <v>0</v>
      </c>
      <c r="U19" s="1083">
        <v>0</v>
      </c>
      <c r="V19" s="1083">
        <v>0</v>
      </c>
      <c r="W19" s="1085">
        <f t="shared" si="2"/>
        <v>92230.48</v>
      </c>
      <c r="X19" s="1404">
        <f t="shared" si="15"/>
        <v>0</v>
      </c>
      <c r="Y19" s="1404">
        <f t="shared" si="16"/>
        <v>0</v>
      </c>
      <c r="Z19" s="1082"/>
      <c r="AA19" s="1083"/>
      <c r="AB19" s="1083"/>
      <c r="AC19" s="1083"/>
      <c r="AD19" s="1083"/>
      <c r="AE19" s="1085">
        <f t="shared" si="3"/>
        <v>0</v>
      </c>
      <c r="AF19" s="1404">
        <f t="shared" si="17"/>
        <v>0</v>
      </c>
      <c r="AG19" s="1404">
        <f t="shared" si="18"/>
        <v>0</v>
      </c>
      <c r="AH19" s="1086">
        <v>0</v>
      </c>
      <c r="AI19" s="1087">
        <v>52207.4</v>
      </c>
      <c r="AJ19" s="1087">
        <v>0</v>
      </c>
      <c r="AK19" s="1087">
        <v>0</v>
      </c>
      <c r="AL19" s="1087">
        <v>0</v>
      </c>
      <c r="AM19" s="1088">
        <f t="shared" si="4"/>
        <v>52207.4</v>
      </c>
      <c r="AN19" s="1088">
        <f t="shared" si="19"/>
        <v>0</v>
      </c>
      <c r="AO19" s="1088">
        <f t="shared" si="20"/>
        <v>0</v>
      </c>
      <c r="AP19" s="1773"/>
      <c r="AQ19" s="1773"/>
      <c r="AR19" s="1773"/>
      <c r="AS19" s="1773"/>
      <c r="AT19" s="1773"/>
      <c r="AU19" s="1773">
        <f t="shared" si="21"/>
        <v>0</v>
      </c>
      <c r="AV19" s="1773">
        <f t="shared" si="22"/>
        <v>0</v>
      </c>
      <c r="AW19" s="1773">
        <f t="shared" si="23"/>
        <v>0</v>
      </c>
    </row>
    <row r="20" spans="1:49" s="237" customFormat="1" x14ac:dyDescent="0.2">
      <c r="A20" s="1078" t="s">
        <v>42</v>
      </c>
      <c r="B20" s="1079" t="s">
        <v>43</v>
      </c>
      <c r="C20" s="103" t="s">
        <v>265</v>
      </c>
      <c r="D20" s="1080">
        <f t="shared" si="6"/>
        <v>604957.59000000008</v>
      </c>
      <c r="E20" s="1080">
        <f t="shared" si="7"/>
        <v>1121872.96</v>
      </c>
      <c r="F20" s="1080">
        <f t="shared" si="8"/>
        <v>0</v>
      </c>
      <c r="G20" s="1081">
        <f t="shared" si="9"/>
        <v>-0.25</v>
      </c>
      <c r="H20" s="1081">
        <f t="shared" si="10"/>
        <v>-0.25</v>
      </c>
      <c r="I20" s="1405">
        <f t="shared" si="11"/>
        <v>1726830.3</v>
      </c>
      <c r="J20" s="1082">
        <v>104643.46</v>
      </c>
      <c r="K20" s="1083">
        <v>104643.46</v>
      </c>
      <c r="L20" s="1083">
        <v>0</v>
      </c>
      <c r="M20" s="1083">
        <v>-0.19</v>
      </c>
      <c r="N20" s="1083">
        <v>0</v>
      </c>
      <c r="O20" s="1084">
        <f t="shared" si="12"/>
        <v>209286.73</v>
      </c>
      <c r="P20" s="1404">
        <f t="shared" si="13"/>
        <v>-0.19</v>
      </c>
      <c r="Q20" s="1404">
        <f t="shared" si="14"/>
        <v>-0.19</v>
      </c>
      <c r="R20" s="1082">
        <v>471698.21</v>
      </c>
      <c r="S20" s="1083">
        <v>471698.21</v>
      </c>
      <c r="T20" s="1083">
        <v>0</v>
      </c>
      <c r="U20" s="1083">
        <v>-0.05</v>
      </c>
      <c r="V20" s="1083">
        <v>0</v>
      </c>
      <c r="W20" s="1085">
        <f t="shared" si="2"/>
        <v>943396.37</v>
      </c>
      <c r="X20" s="1404">
        <f t="shared" si="15"/>
        <v>-0.05</v>
      </c>
      <c r="Y20" s="1404">
        <f t="shared" si="16"/>
        <v>-0.05</v>
      </c>
      <c r="Z20" s="1082"/>
      <c r="AA20" s="1083"/>
      <c r="AB20" s="1083"/>
      <c r="AC20" s="1083"/>
      <c r="AD20" s="1083"/>
      <c r="AE20" s="1085">
        <f t="shared" si="3"/>
        <v>0</v>
      </c>
      <c r="AF20" s="1404">
        <f t="shared" si="17"/>
        <v>0</v>
      </c>
      <c r="AG20" s="1404">
        <f t="shared" si="18"/>
        <v>0</v>
      </c>
      <c r="AH20" s="1086">
        <v>26615.919999999998</v>
      </c>
      <c r="AI20" s="1087">
        <v>545531.29</v>
      </c>
      <c r="AJ20" s="1087">
        <v>0</v>
      </c>
      <c r="AK20" s="1087">
        <v>-0.01</v>
      </c>
      <c r="AL20" s="1087">
        <v>0</v>
      </c>
      <c r="AM20" s="1088">
        <f t="shared" si="4"/>
        <v>572147.20000000007</v>
      </c>
      <c r="AN20" s="1088">
        <f t="shared" si="19"/>
        <v>-0.01</v>
      </c>
      <c r="AO20" s="1088">
        <f t="shared" si="20"/>
        <v>-0.01</v>
      </c>
      <c r="AP20" s="1773">
        <v>2000</v>
      </c>
      <c r="AQ20" s="1773">
        <v>0</v>
      </c>
      <c r="AR20" s="1773">
        <v>0</v>
      </c>
      <c r="AS20" s="1773">
        <v>0</v>
      </c>
      <c r="AT20" s="1773">
        <v>0</v>
      </c>
      <c r="AU20" s="1773">
        <f t="shared" si="21"/>
        <v>2000</v>
      </c>
      <c r="AV20" s="1773">
        <f t="shared" si="22"/>
        <v>0</v>
      </c>
      <c r="AW20" s="1773">
        <f t="shared" si="23"/>
        <v>0</v>
      </c>
    </row>
    <row r="21" spans="1:49" s="237" customFormat="1" x14ac:dyDescent="0.2">
      <c r="A21" s="1078" t="s">
        <v>44</v>
      </c>
      <c r="B21" s="1079" t="s">
        <v>45</v>
      </c>
      <c r="C21" s="103" t="s">
        <v>266</v>
      </c>
      <c r="D21" s="1080">
        <f t="shared" si="6"/>
        <v>185102.12</v>
      </c>
      <c r="E21" s="1080">
        <f t="shared" si="7"/>
        <v>193314.12</v>
      </c>
      <c r="F21" s="1080">
        <f t="shared" si="8"/>
        <v>0</v>
      </c>
      <c r="G21" s="1081">
        <f t="shared" si="9"/>
        <v>-0.12</v>
      </c>
      <c r="H21" s="1081">
        <f t="shared" si="10"/>
        <v>-0.12</v>
      </c>
      <c r="I21" s="1405">
        <f t="shared" si="11"/>
        <v>378416.12</v>
      </c>
      <c r="J21" s="1082">
        <v>156705.62</v>
      </c>
      <c r="K21" s="1083">
        <v>156705.62</v>
      </c>
      <c r="L21" s="1083">
        <v>0</v>
      </c>
      <c r="M21" s="1083">
        <v>-0.12</v>
      </c>
      <c r="N21" s="1083">
        <v>0</v>
      </c>
      <c r="O21" s="1084">
        <f t="shared" si="12"/>
        <v>313411.12</v>
      </c>
      <c r="P21" s="1404">
        <f t="shared" si="13"/>
        <v>-0.12</v>
      </c>
      <c r="Q21" s="1404">
        <f t="shared" si="14"/>
        <v>-0.12</v>
      </c>
      <c r="R21" s="1082">
        <v>28396.5</v>
      </c>
      <c r="S21" s="1083">
        <v>28396.5</v>
      </c>
      <c r="T21" s="1083">
        <v>0</v>
      </c>
      <c r="U21" s="1083">
        <v>0</v>
      </c>
      <c r="V21" s="1083">
        <v>0</v>
      </c>
      <c r="W21" s="1085">
        <f t="shared" si="2"/>
        <v>56793</v>
      </c>
      <c r="X21" s="1404">
        <f t="shared" si="15"/>
        <v>0</v>
      </c>
      <c r="Y21" s="1404">
        <f t="shared" si="16"/>
        <v>0</v>
      </c>
      <c r="Z21" s="1082"/>
      <c r="AA21" s="1083"/>
      <c r="AB21" s="1083"/>
      <c r="AC21" s="1083"/>
      <c r="AD21" s="1083"/>
      <c r="AE21" s="1085">
        <f t="shared" si="3"/>
        <v>0</v>
      </c>
      <c r="AF21" s="1404">
        <f t="shared" si="17"/>
        <v>0</v>
      </c>
      <c r="AG21" s="1404">
        <f t="shared" si="18"/>
        <v>0</v>
      </c>
      <c r="AH21" s="1086">
        <v>0</v>
      </c>
      <c r="AI21" s="1087">
        <v>8212</v>
      </c>
      <c r="AJ21" s="1087">
        <v>0</v>
      </c>
      <c r="AK21" s="1087">
        <v>0</v>
      </c>
      <c r="AL21" s="1087">
        <v>0</v>
      </c>
      <c r="AM21" s="1088">
        <f t="shared" si="4"/>
        <v>8212</v>
      </c>
      <c r="AN21" s="1088">
        <f t="shared" si="19"/>
        <v>0</v>
      </c>
      <c r="AO21" s="1088">
        <f t="shared" si="20"/>
        <v>0</v>
      </c>
      <c r="AP21" s="1773"/>
      <c r="AQ21" s="1773"/>
      <c r="AR21" s="1773"/>
      <c r="AS21" s="1773"/>
      <c r="AT21" s="1773"/>
      <c r="AU21" s="1773">
        <f t="shared" si="21"/>
        <v>0</v>
      </c>
      <c r="AV21" s="1773">
        <f t="shared" si="22"/>
        <v>0</v>
      </c>
      <c r="AW21" s="1773">
        <f t="shared" si="23"/>
        <v>0</v>
      </c>
    </row>
    <row r="22" spans="1:49" s="237" customFormat="1" x14ac:dyDescent="0.2">
      <c r="A22" s="1078" t="s">
        <v>46</v>
      </c>
      <c r="B22" s="1079" t="s">
        <v>47</v>
      </c>
      <c r="C22" s="103" t="s">
        <v>268</v>
      </c>
      <c r="D22" s="1080">
        <f t="shared" si="6"/>
        <v>346117.04000000004</v>
      </c>
      <c r="E22" s="1080">
        <f t="shared" si="7"/>
        <v>441053.61</v>
      </c>
      <c r="F22" s="1080">
        <f t="shared" si="8"/>
        <v>0</v>
      </c>
      <c r="G22" s="1081">
        <f t="shared" si="9"/>
        <v>-0.11</v>
      </c>
      <c r="H22" s="1081">
        <f t="shared" si="10"/>
        <v>-0.11</v>
      </c>
      <c r="I22" s="1405">
        <f t="shared" si="11"/>
        <v>787170.54</v>
      </c>
      <c r="J22" s="1082">
        <v>131894.57</v>
      </c>
      <c r="K22" s="1083">
        <v>131894.57</v>
      </c>
      <c r="L22" s="1083">
        <v>0</v>
      </c>
      <c r="M22" s="1083">
        <v>-0.11</v>
      </c>
      <c r="N22" s="1083">
        <v>0</v>
      </c>
      <c r="O22" s="1084">
        <f t="shared" si="12"/>
        <v>263789.03000000003</v>
      </c>
      <c r="P22" s="1404">
        <f t="shared" si="13"/>
        <v>-0.11</v>
      </c>
      <c r="Q22" s="1404">
        <f t="shared" si="14"/>
        <v>-0.11</v>
      </c>
      <c r="R22" s="1082">
        <v>214074.2</v>
      </c>
      <c r="S22" s="1083">
        <v>214074.2</v>
      </c>
      <c r="T22" s="1083">
        <v>0</v>
      </c>
      <c r="U22" s="1083">
        <v>0</v>
      </c>
      <c r="V22" s="1083">
        <v>0</v>
      </c>
      <c r="W22" s="1085">
        <f t="shared" si="2"/>
        <v>428148.4</v>
      </c>
      <c r="X22" s="1404">
        <f t="shared" si="15"/>
        <v>0</v>
      </c>
      <c r="Y22" s="1404">
        <f t="shared" si="16"/>
        <v>0</v>
      </c>
      <c r="Z22" s="1082"/>
      <c r="AA22" s="1083"/>
      <c r="AB22" s="1083"/>
      <c r="AC22" s="1083"/>
      <c r="AD22" s="1083"/>
      <c r="AE22" s="1085">
        <f t="shared" si="3"/>
        <v>0</v>
      </c>
      <c r="AF22" s="1404">
        <f t="shared" si="17"/>
        <v>0</v>
      </c>
      <c r="AG22" s="1404">
        <f t="shared" si="18"/>
        <v>0</v>
      </c>
      <c r="AH22" s="1086">
        <v>148.27000000000001</v>
      </c>
      <c r="AI22" s="1087">
        <v>95084.84</v>
      </c>
      <c r="AJ22" s="1087">
        <v>0</v>
      </c>
      <c r="AK22" s="1087">
        <v>0</v>
      </c>
      <c r="AL22" s="1087">
        <v>0</v>
      </c>
      <c r="AM22" s="1088">
        <f t="shared" si="4"/>
        <v>95233.11</v>
      </c>
      <c r="AN22" s="1088">
        <f t="shared" si="19"/>
        <v>0</v>
      </c>
      <c r="AO22" s="1088">
        <f t="shared" si="20"/>
        <v>0</v>
      </c>
      <c r="AP22" s="1773"/>
      <c r="AQ22" s="1773"/>
      <c r="AR22" s="1773"/>
      <c r="AS22" s="1773"/>
      <c r="AT22" s="1773"/>
      <c r="AU22" s="1773">
        <f t="shared" si="21"/>
        <v>0</v>
      </c>
      <c r="AV22" s="1773">
        <f t="shared" si="22"/>
        <v>0</v>
      </c>
      <c r="AW22" s="1773">
        <f t="shared" si="23"/>
        <v>0</v>
      </c>
    </row>
    <row r="23" spans="1:49" s="237" customFormat="1" x14ac:dyDescent="0.2">
      <c r="A23" s="1078" t="s">
        <v>48</v>
      </c>
      <c r="B23" s="1079" t="s">
        <v>269</v>
      </c>
      <c r="C23" s="103" t="s">
        <v>266</v>
      </c>
      <c r="D23" s="1080">
        <f t="shared" si="6"/>
        <v>4668.6000000000004</v>
      </c>
      <c r="E23" s="1080">
        <f t="shared" si="7"/>
        <v>12664.4</v>
      </c>
      <c r="F23" s="1080">
        <f t="shared" si="8"/>
        <v>0</v>
      </c>
      <c r="G23" s="1081">
        <f t="shared" si="9"/>
        <v>89</v>
      </c>
      <c r="H23" s="1081">
        <f t="shared" si="10"/>
        <v>89</v>
      </c>
      <c r="I23" s="1405">
        <f t="shared" si="11"/>
        <v>17422</v>
      </c>
      <c r="J23" s="1086">
        <v>0</v>
      </c>
      <c r="K23" s="1087">
        <v>0</v>
      </c>
      <c r="L23" s="1087">
        <v>0</v>
      </c>
      <c r="M23" s="1087">
        <v>0</v>
      </c>
      <c r="N23" s="1087">
        <v>0</v>
      </c>
      <c r="O23" s="1084">
        <f t="shared" si="12"/>
        <v>0</v>
      </c>
      <c r="P23" s="1404">
        <f t="shared" si="13"/>
        <v>0</v>
      </c>
      <c r="Q23" s="1404">
        <f t="shared" si="14"/>
        <v>0</v>
      </c>
      <c r="R23" s="1082">
        <v>3193.5</v>
      </c>
      <c r="S23" s="1083">
        <v>3193.5</v>
      </c>
      <c r="T23" s="1083">
        <v>0</v>
      </c>
      <c r="U23" s="1083">
        <v>89</v>
      </c>
      <c r="V23" s="1083">
        <v>0</v>
      </c>
      <c r="W23" s="1085">
        <f t="shared" si="2"/>
        <v>6476</v>
      </c>
      <c r="X23" s="1404">
        <f t="shared" si="15"/>
        <v>89</v>
      </c>
      <c r="Y23" s="1404">
        <f t="shared" si="16"/>
        <v>89</v>
      </c>
      <c r="Z23" s="1082"/>
      <c r="AA23" s="1083"/>
      <c r="AB23" s="1083"/>
      <c r="AC23" s="1083"/>
      <c r="AD23" s="1083"/>
      <c r="AE23" s="1085">
        <f t="shared" si="3"/>
        <v>0</v>
      </c>
      <c r="AF23" s="1404">
        <f t="shared" si="17"/>
        <v>0</v>
      </c>
      <c r="AG23" s="1404">
        <f t="shared" si="18"/>
        <v>0</v>
      </c>
      <c r="AH23" s="1086">
        <v>1475.1</v>
      </c>
      <c r="AI23" s="1087">
        <v>9470.9</v>
      </c>
      <c r="AJ23" s="1087">
        <v>0</v>
      </c>
      <c r="AK23" s="1087">
        <v>0</v>
      </c>
      <c r="AL23" s="1087">
        <v>0</v>
      </c>
      <c r="AM23" s="1088">
        <f t="shared" si="4"/>
        <v>10946</v>
      </c>
      <c r="AN23" s="1088">
        <f t="shared" si="19"/>
        <v>0</v>
      </c>
      <c r="AO23" s="1088">
        <f t="shared" si="20"/>
        <v>0</v>
      </c>
      <c r="AP23" s="1773"/>
      <c r="AQ23" s="1773"/>
      <c r="AR23" s="1773"/>
      <c r="AS23" s="1773"/>
      <c r="AT23" s="1773"/>
      <c r="AU23" s="1773">
        <f t="shared" si="21"/>
        <v>0</v>
      </c>
      <c r="AV23" s="1773">
        <f t="shared" si="22"/>
        <v>0</v>
      </c>
      <c r="AW23" s="1773">
        <f t="shared" si="23"/>
        <v>0</v>
      </c>
    </row>
    <row r="24" spans="1:49" s="237" customFormat="1" x14ac:dyDescent="0.2">
      <c r="A24" s="1078" t="s">
        <v>50</v>
      </c>
      <c r="B24" s="1079" t="s">
        <v>51</v>
      </c>
      <c r="C24" s="103" t="s">
        <v>265</v>
      </c>
      <c r="D24" s="1080">
        <f t="shared" si="6"/>
        <v>183453.3</v>
      </c>
      <c r="E24" s="1080">
        <f t="shared" si="7"/>
        <v>183453.3</v>
      </c>
      <c r="F24" s="1080">
        <f t="shared" si="8"/>
        <v>0</v>
      </c>
      <c r="G24" s="1081">
        <f t="shared" si="9"/>
        <v>-9.9999999999999992E-2</v>
      </c>
      <c r="H24" s="1081">
        <f t="shared" si="10"/>
        <v>-9.9999999999999992E-2</v>
      </c>
      <c r="I24" s="1405">
        <f t="shared" si="11"/>
        <v>366906.5</v>
      </c>
      <c r="J24" s="1082">
        <v>62881.919999999998</v>
      </c>
      <c r="K24" s="1083">
        <v>62881.919999999998</v>
      </c>
      <c r="L24" s="1083">
        <v>0</v>
      </c>
      <c r="M24" s="1083">
        <v>-0.09</v>
      </c>
      <c r="N24" s="1083">
        <v>0</v>
      </c>
      <c r="O24" s="1084">
        <f t="shared" si="12"/>
        <v>125763.75</v>
      </c>
      <c r="P24" s="1404">
        <f t="shared" si="13"/>
        <v>-0.09</v>
      </c>
      <c r="Q24" s="1404">
        <f t="shared" si="14"/>
        <v>-0.09</v>
      </c>
      <c r="R24" s="1082">
        <v>120571.38</v>
      </c>
      <c r="S24" s="1083">
        <v>120571.38</v>
      </c>
      <c r="T24" s="1083">
        <v>0</v>
      </c>
      <c r="U24" s="1083">
        <v>-0.01</v>
      </c>
      <c r="V24" s="1083">
        <v>0</v>
      </c>
      <c r="W24" s="1085">
        <f t="shared" si="2"/>
        <v>241142.75</v>
      </c>
      <c r="X24" s="1404">
        <f t="shared" si="15"/>
        <v>-0.01</v>
      </c>
      <c r="Y24" s="1404">
        <f t="shared" si="16"/>
        <v>-0.01</v>
      </c>
      <c r="Z24" s="1086"/>
      <c r="AA24" s="1087"/>
      <c r="AB24" s="1087"/>
      <c r="AC24" s="1087"/>
      <c r="AD24" s="1087"/>
      <c r="AE24" s="1085">
        <f t="shared" si="3"/>
        <v>0</v>
      </c>
      <c r="AF24" s="1404">
        <f t="shared" si="17"/>
        <v>0</v>
      </c>
      <c r="AG24" s="1404">
        <f t="shared" si="18"/>
        <v>0</v>
      </c>
      <c r="AH24" s="1086">
        <v>0</v>
      </c>
      <c r="AI24" s="1087">
        <v>0</v>
      </c>
      <c r="AJ24" s="1087">
        <v>0</v>
      </c>
      <c r="AK24" s="1087">
        <v>0</v>
      </c>
      <c r="AL24" s="1087">
        <v>0</v>
      </c>
      <c r="AM24" s="1088">
        <f t="shared" si="4"/>
        <v>0</v>
      </c>
      <c r="AN24" s="1088">
        <f t="shared" si="19"/>
        <v>0</v>
      </c>
      <c r="AO24" s="1088">
        <f t="shared" si="20"/>
        <v>0</v>
      </c>
      <c r="AP24" s="1773"/>
      <c r="AQ24" s="1773"/>
      <c r="AR24" s="1773"/>
      <c r="AS24" s="1773"/>
      <c r="AT24" s="1773"/>
      <c r="AU24" s="1773">
        <f t="shared" si="21"/>
        <v>0</v>
      </c>
      <c r="AV24" s="1773">
        <f t="shared" si="22"/>
        <v>0</v>
      </c>
      <c r="AW24" s="1773">
        <f t="shared" si="23"/>
        <v>0</v>
      </c>
    </row>
    <row r="25" spans="1:49" s="237" customFormat="1" x14ac:dyDescent="0.2">
      <c r="A25" s="1078" t="s">
        <v>56</v>
      </c>
      <c r="B25" s="1079" t="s">
        <v>295</v>
      </c>
      <c r="C25" s="103" t="s">
        <v>266</v>
      </c>
      <c r="D25" s="1080">
        <f t="shared" si="6"/>
        <v>1308789.24</v>
      </c>
      <c r="E25" s="1080">
        <f t="shared" si="7"/>
        <v>1798203.65</v>
      </c>
      <c r="F25" s="1080">
        <f t="shared" si="8"/>
        <v>0</v>
      </c>
      <c r="G25" s="1081">
        <f t="shared" si="9"/>
        <v>-146439.61000000002</v>
      </c>
      <c r="H25" s="1081">
        <f t="shared" si="10"/>
        <v>-146439.61000000002</v>
      </c>
      <c r="I25" s="1405">
        <f t="shared" si="11"/>
        <v>2960553.28</v>
      </c>
      <c r="J25" s="1082">
        <v>236687.43</v>
      </c>
      <c r="K25" s="1083">
        <v>236687.43</v>
      </c>
      <c r="L25" s="1083">
        <v>0</v>
      </c>
      <c r="M25" s="1083">
        <v>-0.2</v>
      </c>
      <c r="N25" s="1083">
        <v>0</v>
      </c>
      <c r="O25" s="1084">
        <f t="shared" si="12"/>
        <v>473374.66</v>
      </c>
      <c r="P25" s="1404">
        <f t="shared" si="13"/>
        <v>-0.2</v>
      </c>
      <c r="Q25" s="1404">
        <f t="shared" si="14"/>
        <v>-0.2</v>
      </c>
      <c r="R25" s="1082">
        <v>960608.78</v>
      </c>
      <c r="S25" s="1083">
        <v>960608.78</v>
      </c>
      <c r="T25" s="1083">
        <v>0</v>
      </c>
      <c r="U25" s="1083">
        <v>-0.1</v>
      </c>
      <c r="V25" s="1083">
        <v>-146439.29</v>
      </c>
      <c r="W25" s="1085">
        <f t="shared" si="2"/>
        <v>1774778.17</v>
      </c>
      <c r="X25" s="1404">
        <f t="shared" si="15"/>
        <v>-146439.39000000001</v>
      </c>
      <c r="Y25" s="1404">
        <f t="shared" si="16"/>
        <v>-146439.39000000001</v>
      </c>
      <c r="Z25" s="1082">
        <v>2500</v>
      </c>
      <c r="AA25" s="1083">
        <v>2500</v>
      </c>
      <c r="AB25" s="1083">
        <v>0</v>
      </c>
      <c r="AC25" s="1083">
        <v>0</v>
      </c>
      <c r="AD25" s="1083">
        <v>0</v>
      </c>
      <c r="AE25" s="1085">
        <f t="shared" si="3"/>
        <v>5000</v>
      </c>
      <c r="AF25" s="1404">
        <f t="shared" si="17"/>
        <v>0</v>
      </c>
      <c r="AG25" s="1404">
        <f t="shared" si="18"/>
        <v>0</v>
      </c>
      <c r="AH25" s="1086">
        <v>108993.03</v>
      </c>
      <c r="AI25" s="1087">
        <v>598407.44000000006</v>
      </c>
      <c r="AJ25" s="1087">
        <v>0</v>
      </c>
      <c r="AK25" s="1087">
        <v>-0.02</v>
      </c>
      <c r="AL25" s="1087">
        <v>0</v>
      </c>
      <c r="AM25" s="1088">
        <f t="shared" si="4"/>
        <v>707400.45000000007</v>
      </c>
      <c r="AN25" s="1088">
        <f t="shared" si="19"/>
        <v>-0.02</v>
      </c>
      <c r="AO25" s="1088">
        <f t="shared" si="20"/>
        <v>-0.02</v>
      </c>
      <c r="AP25" s="1773"/>
      <c r="AQ25" s="1773"/>
      <c r="AR25" s="1773"/>
      <c r="AS25" s="1773"/>
      <c r="AT25" s="1773"/>
      <c r="AU25" s="1773">
        <f t="shared" si="21"/>
        <v>0</v>
      </c>
      <c r="AV25" s="1773">
        <f t="shared" si="22"/>
        <v>0</v>
      </c>
      <c r="AW25" s="1773">
        <f t="shared" si="23"/>
        <v>0</v>
      </c>
    </row>
    <row r="26" spans="1:49" s="237" customFormat="1" x14ac:dyDescent="0.2">
      <c r="A26" s="1078" t="s">
        <v>58</v>
      </c>
      <c r="B26" s="1079" t="s">
        <v>59</v>
      </c>
      <c r="C26" s="103" t="s">
        <v>267</v>
      </c>
      <c r="D26" s="1080">
        <f t="shared" si="6"/>
        <v>64811.31</v>
      </c>
      <c r="E26" s="1080">
        <f t="shared" si="7"/>
        <v>134598.01</v>
      </c>
      <c r="F26" s="1080">
        <f t="shared" si="8"/>
        <v>0</v>
      </c>
      <c r="G26" s="1081">
        <f t="shared" si="9"/>
        <v>-0.1</v>
      </c>
      <c r="H26" s="1081">
        <f t="shared" si="10"/>
        <v>-0.1</v>
      </c>
      <c r="I26" s="1405">
        <f t="shared" si="11"/>
        <v>199409.22</v>
      </c>
      <c r="J26" s="1082">
        <v>31757.86</v>
      </c>
      <c r="K26" s="1083">
        <v>31757.86</v>
      </c>
      <c r="L26" s="1083">
        <v>0</v>
      </c>
      <c r="M26" s="1083">
        <v>-0.1</v>
      </c>
      <c r="N26" s="1083">
        <v>0</v>
      </c>
      <c r="O26" s="1084">
        <f t="shared" si="12"/>
        <v>63515.62</v>
      </c>
      <c r="P26" s="1404">
        <f t="shared" si="13"/>
        <v>-0.1</v>
      </c>
      <c r="Q26" s="1404">
        <f t="shared" si="14"/>
        <v>-0.1</v>
      </c>
      <c r="R26" s="1082">
        <v>23310</v>
      </c>
      <c r="S26" s="1083">
        <v>23310</v>
      </c>
      <c r="T26" s="1083">
        <v>0</v>
      </c>
      <c r="U26" s="1083">
        <v>0</v>
      </c>
      <c r="V26" s="1083">
        <v>0</v>
      </c>
      <c r="W26" s="1085">
        <f t="shared" si="2"/>
        <v>46620</v>
      </c>
      <c r="X26" s="1404">
        <f t="shared" si="15"/>
        <v>0</v>
      </c>
      <c r="Y26" s="1404">
        <f t="shared" si="16"/>
        <v>0</v>
      </c>
      <c r="Z26" s="1082"/>
      <c r="AA26" s="1083"/>
      <c r="AB26" s="1083"/>
      <c r="AC26" s="1083"/>
      <c r="AD26" s="1083"/>
      <c r="AE26" s="1085">
        <f t="shared" si="3"/>
        <v>0</v>
      </c>
      <c r="AF26" s="1404">
        <f t="shared" si="17"/>
        <v>0</v>
      </c>
      <c r="AG26" s="1404">
        <f t="shared" si="18"/>
        <v>0</v>
      </c>
      <c r="AH26" s="1086">
        <v>9743.4500000000007</v>
      </c>
      <c r="AI26" s="1087">
        <v>79530.149999999994</v>
      </c>
      <c r="AJ26" s="1087">
        <v>0</v>
      </c>
      <c r="AK26" s="1087">
        <v>0</v>
      </c>
      <c r="AL26" s="1087">
        <v>0</v>
      </c>
      <c r="AM26" s="1088">
        <f t="shared" si="4"/>
        <v>89273.599999999991</v>
      </c>
      <c r="AN26" s="1088">
        <f t="shared" si="19"/>
        <v>0</v>
      </c>
      <c r="AO26" s="1088">
        <f t="shared" si="20"/>
        <v>0</v>
      </c>
      <c r="AP26" s="1773"/>
      <c r="AQ26" s="1773"/>
      <c r="AR26" s="1773"/>
      <c r="AS26" s="1773"/>
      <c r="AT26" s="1773"/>
      <c r="AU26" s="1773">
        <f t="shared" si="21"/>
        <v>0</v>
      </c>
      <c r="AV26" s="1773">
        <f t="shared" si="22"/>
        <v>0</v>
      </c>
      <c r="AW26" s="1773">
        <f t="shared" si="23"/>
        <v>0</v>
      </c>
    </row>
    <row r="27" spans="1:49" s="237" customFormat="1" x14ac:dyDescent="0.2">
      <c r="A27" s="1078" t="s">
        <v>60</v>
      </c>
      <c r="B27" s="1079" t="s">
        <v>61</v>
      </c>
      <c r="C27" s="103" t="s">
        <v>265</v>
      </c>
      <c r="D27" s="1080">
        <f t="shared" si="6"/>
        <v>34313.99</v>
      </c>
      <c r="E27" s="1080">
        <f t="shared" si="7"/>
        <v>51582.17</v>
      </c>
      <c r="F27" s="1080">
        <f t="shared" si="8"/>
        <v>0</v>
      </c>
      <c r="G27" s="1081">
        <f t="shared" si="9"/>
        <v>-7.0000000000000007E-2</v>
      </c>
      <c r="H27" s="1081">
        <f t="shared" si="10"/>
        <v>-7.0000000000000007E-2</v>
      </c>
      <c r="I27" s="1405">
        <f t="shared" si="11"/>
        <v>85896.09</v>
      </c>
      <c r="J27" s="1082">
        <v>26216.82</v>
      </c>
      <c r="K27" s="1083">
        <v>26216.82</v>
      </c>
      <c r="L27" s="1083">
        <v>0</v>
      </c>
      <c r="M27" s="1083">
        <v>-0.05</v>
      </c>
      <c r="N27" s="1083">
        <v>0</v>
      </c>
      <c r="O27" s="1084">
        <f t="shared" si="12"/>
        <v>52433.59</v>
      </c>
      <c r="P27" s="1404">
        <f t="shared" si="13"/>
        <v>-0.05</v>
      </c>
      <c r="Q27" s="1404">
        <f t="shared" si="14"/>
        <v>-0.05</v>
      </c>
      <c r="R27" s="1082">
        <v>7114.75</v>
      </c>
      <c r="S27" s="1083">
        <v>7114.75</v>
      </c>
      <c r="T27" s="1083">
        <v>0</v>
      </c>
      <c r="U27" s="1083">
        <v>0</v>
      </c>
      <c r="V27" s="1083">
        <v>0</v>
      </c>
      <c r="W27" s="1085">
        <f t="shared" si="2"/>
        <v>14229.5</v>
      </c>
      <c r="X27" s="1404">
        <f t="shared" si="15"/>
        <v>0</v>
      </c>
      <c r="Y27" s="1404">
        <f t="shared" si="16"/>
        <v>0</v>
      </c>
      <c r="Z27" s="1082"/>
      <c r="AA27" s="1083"/>
      <c r="AB27" s="1083"/>
      <c r="AC27" s="1083"/>
      <c r="AD27" s="1083"/>
      <c r="AE27" s="1085">
        <f t="shared" si="3"/>
        <v>0</v>
      </c>
      <c r="AF27" s="1404">
        <f t="shared" si="17"/>
        <v>0</v>
      </c>
      <c r="AG27" s="1404">
        <f t="shared" si="18"/>
        <v>0</v>
      </c>
      <c r="AH27" s="1086">
        <v>982.42</v>
      </c>
      <c r="AI27" s="1087">
        <v>18250.599999999999</v>
      </c>
      <c r="AJ27" s="1087">
        <v>0</v>
      </c>
      <c r="AK27" s="1087">
        <v>-0.02</v>
      </c>
      <c r="AL27" s="1087">
        <v>0</v>
      </c>
      <c r="AM27" s="1088">
        <f t="shared" si="4"/>
        <v>19232.999999999996</v>
      </c>
      <c r="AN27" s="1088">
        <f t="shared" si="19"/>
        <v>-0.02</v>
      </c>
      <c r="AO27" s="1088">
        <f t="shared" si="20"/>
        <v>-0.02</v>
      </c>
      <c r="AP27" s="1773"/>
      <c r="AQ27" s="1773"/>
      <c r="AR27" s="1773"/>
      <c r="AS27" s="1773"/>
      <c r="AT27" s="1773"/>
      <c r="AU27" s="1773">
        <f t="shared" si="21"/>
        <v>0</v>
      </c>
      <c r="AV27" s="1773">
        <f t="shared" si="22"/>
        <v>0</v>
      </c>
      <c r="AW27" s="1773">
        <f t="shared" si="23"/>
        <v>0</v>
      </c>
    </row>
    <row r="28" spans="1:49" s="237" customFormat="1" x14ac:dyDescent="0.2">
      <c r="A28" s="1078" t="s">
        <v>62</v>
      </c>
      <c r="B28" s="1079" t="s">
        <v>63</v>
      </c>
      <c r="C28" s="103" t="s">
        <v>267</v>
      </c>
      <c r="D28" s="1080">
        <f t="shared" si="6"/>
        <v>880129.77</v>
      </c>
      <c r="E28" s="1080">
        <f t="shared" si="7"/>
        <v>1174154.77</v>
      </c>
      <c r="F28" s="1080">
        <f t="shared" si="8"/>
        <v>0</v>
      </c>
      <c r="G28" s="1081">
        <f t="shared" si="9"/>
        <v>-0.3</v>
      </c>
      <c r="H28" s="1081">
        <f t="shared" si="10"/>
        <v>-0.3</v>
      </c>
      <c r="I28" s="1405">
        <f t="shared" si="11"/>
        <v>2054284.24</v>
      </c>
      <c r="J28" s="1082">
        <v>473853.2</v>
      </c>
      <c r="K28" s="1083">
        <v>473853.2</v>
      </c>
      <c r="L28" s="1083">
        <v>0</v>
      </c>
      <c r="M28" s="1083">
        <v>-0.18</v>
      </c>
      <c r="N28" s="1083">
        <v>0</v>
      </c>
      <c r="O28" s="1084">
        <f t="shared" si="12"/>
        <v>947706.22</v>
      </c>
      <c r="P28" s="1404">
        <f t="shared" si="13"/>
        <v>-0.18</v>
      </c>
      <c r="Q28" s="1404">
        <f t="shared" si="14"/>
        <v>-0.18</v>
      </c>
      <c r="R28" s="1082">
        <v>379873.59</v>
      </c>
      <c r="S28" s="1083">
        <v>379873.59</v>
      </c>
      <c r="T28" s="1083">
        <v>0</v>
      </c>
      <c r="U28" s="1083">
        <v>-0.01</v>
      </c>
      <c r="V28" s="1083">
        <v>0</v>
      </c>
      <c r="W28" s="1085">
        <f t="shared" si="2"/>
        <v>759747.17</v>
      </c>
      <c r="X28" s="1404">
        <f t="shared" si="15"/>
        <v>-0.01</v>
      </c>
      <c r="Y28" s="1404">
        <f t="shared" si="16"/>
        <v>-0.01</v>
      </c>
      <c r="Z28" s="1082"/>
      <c r="AA28" s="1083"/>
      <c r="AB28" s="1083"/>
      <c r="AC28" s="1083"/>
      <c r="AD28" s="1083"/>
      <c r="AE28" s="1085">
        <f t="shared" si="3"/>
        <v>0</v>
      </c>
      <c r="AF28" s="1404">
        <f t="shared" si="17"/>
        <v>0</v>
      </c>
      <c r="AG28" s="1404">
        <f t="shared" si="18"/>
        <v>0</v>
      </c>
      <c r="AH28" s="1086">
        <v>26402.98</v>
      </c>
      <c r="AI28" s="1087">
        <v>320427.98</v>
      </c>
      <c r="AJ28" s="1087">
        <v>0</v>
      </c>
      <c r="AK28" s="1087">
        <v>-0.11</v>
      </c>
      <c r="AL28" s="1087">
        <v>0</v>
      </c>
      <c r="AM28" s="1088">
        <f t="shared" si="4"/>
        <v>346830.85</v>
      </c>
      <c r="AN28" s="1088">
        <f t="shared" si="19"/>
        <v>-0.11</v>
      </c>
      <c r="AO28" s="1088">
        <f t="shared" si="20"/>
        <v>-0.11</v>
      </c>
      <c r="AP28" s="1773"/>
      <c r="AQ28" s="1773"/>
      <c r="AR28" s="1773"/>
      <c r="AS28" s="1773"/>
      <c r="AT28" s="1773"/>
      <c r="AU28" s="1773">
        <f t="shared" si="21"/>
        <v>0</v>
      </c>
      <c r="AV28" s="1773">
        <f t="shared" si="22"/>
        <v>0</v>
      </c>
      <c r="AW28" s="1773">
        <f t="shared" si="23"/>
        <v>0</v>
      </c>
    </row>
    <row r="29" spans="1:49" s="237" customFormat="1" x14ac:dyDescent="0.2">
      <c r="A29" s="1078" t="s">
        <v>64</v>
      </c>
      <c r="B29" s="1079" t="s">
        <v>65</v>
      </c>
      <c r="C29" s="103" t="s">
        <v>266</v>
      </c>
      <c r="D29" s="1080">
        <f t="shared" si="6"/>
        <v>61308.34</v>
      </c>
      <c r="E29" s="1080">
        <f t="shared" si="7"/>
        <v>69379.34</v>
      </c>
      <c r="F29" s="1080">
        <f t="shared" si="8"/>
        <v>0</v>
      </c>
      <c r="G29" s="1081">
        <f t="shared" si="9"/>
        <v>-0.06</v>
      </c>
      <c r="H29" s="1081">
        <f t="shared" si="10"/>
        <v>-0.06</v>
      </c>
      <c r="I29" s="1405">
        <f t="shared" si="11"/>
        <v>130687.62</v>
      </c>
      <c r="J29" s="1082">
        <v>25563.84</v>
      </c>
      <c r="K29" s="1083">
        <v>25563.84</v>
      </c>
      <c r="L29" s="1083">
        <v>0</v>
      </c>
      <c r="M29" s="1083">
        <v>-0.06</v>
      </c>
      <c r="N29" s="1083">
        <v>0</v>
      </c>
      <c r="O29" s="1084">
        <f t="shared" si="12"/>
        <v>51127.62</v>
      </c>
      <c r="P29" s="1404">
        <f t="shared" si="13"/>
        <v>-0.06</v>
      </c>
      <c r="Q29" s="1404">
        <f t="shared" si="14"/>
        <v>-0.06</v>
      </c>
      <c r="R29" s="1082">
        <v>35744.5</v>
      </c>
      <c r="S29" s="1083">
        <v>35744.5</v>
      </c>
      <c r="T29" s="1083">
        <v>0</v>
      </c>
      <c r="U29" s="1083">
        <v>0</v>
      </c>
      <c r="V29" s="1083">
        <v>0</v>
      </c>
      <c r="W29" s="1085">
        <f t="shared" si="2"/>
        <v>71489</v>
      </c>
      <c r="X29" s="1404">
        <f t="shared" si="15"/>
        <v>0</v>
      </c>
      <c r="Y29" s="1404">
        <f t="shared" si="16"/>
        <v>0</v>
      </c>
      <c r="Z29" s="1086"/>
      <c r="AA29" s="1087"/>
      <c r="AB29" s="1087"/>
      <c r="AC29" s="1087"/>
      <c r="AD29" s="1087"/>
      <c r="AE29" s="1085">
        <f t="shared" si="3"/>
        <v>0</v>
      </c>
      <c r="AF29" s="1404">
        <f t="shared" si="17"/>
        <v>0</v>
      </c>
      <c r="AG29" s="1404">
        <f t="shared" si="18"/>
        <v>0</v>
      </c>
      <c r="AH29" s="1086">
        <v>0</v>
      </c>
      <c r="AI29" s="1087">
        <v>8071</v>
      </c>
      <c r="AJ29" s="1087">
        <v>0</v>
      </c>
      <c r="AK29" s="1087">
        <v>0</v>
      </c>
      <c r="AL29" s="1087">
        <v>0</v>
      </c>
      <c r="AM29" s="1088">
        <f t="shared" si="4"/>
        <v>8071</v>
      </c>
      <c r="AN29" s="1088">
        <f t="shared" si="19"/>
        <v>0</v>
      </c>
      <c r="AO29" s="1088">
        <f t="shared" si="20"/>
        <v>0</v>
      </c>
      <c r="AP29" s="1773"/>
      <c r="AQ29" s="1773"/>
      <c r="AR29" s="1773"/>
      <c r="AS29" s="1773"/>
      <c r="AT29" s="1773"/>
      <c r="AU29" s="1773">
        <f t="shared" si="21"/>
        <v>0</v>
      </c>
      <c r="AV29" s="1773">
        <f t="shared" si="22"/>
        <v>0</v>
      </c>
      <c r="AW29" s="1773">
        <f t="shared" si="23"/>
        <v>0</v>
      </c>
    </row>
    <row r="30" spans="1:49" s="237" customFormat="1" x14ac:dyDescent="0.2">
      <c r="A30" s="1078" t="s">
        <v>68</v>
      </c>
      <c r="B30" s="1079" t="s">
        <v>69</v>
      </c>
      <c r="C30" s="103" t="s">
        <v>268</v>
      </c>
      <c r="D30" s="1080">
        <f t="shared" si="6"/>
        <v>797052.49</v>
      </c>
      <c r="E30" s="1080">
        <f t="shared" si="7"/>
        <v>1219136.1200000001</v>
      </c>
      <c r="F30" s="1080">
        <f t="shared" si="8"/>
        <v>0</v>
      </c>
      <c r="G30" s="1081">
        <f t="shared" si="9"/>
        <v>-0.27</v>
      </c>
      <c r="H30" s="1081">
        <f t="shared" si="10"/>
        <v>-0.27</v>
      </c>
      <c r="I30" s="1405">
        <f t="shared" si="11"/>
        <v>2016188.34</v>
      </c>
      <c r="J30" s="1082">
        <v>190955.16</v>
      </c>
      <c r="K30" s="1083">
        <v>190955.16</v>
      </c>
      <c r="L30" s="1083">
        <v>0</v>
      </c>
      <c r="M30" s="1083">
        <v>-0.23</v>
      </c>
      <c r="N30" s="1083">
        <v>0</v>
      </c>
      <c r="O30" s="1084">
        <f t="shared" si="12"/>
        <v>381910.09</v>
      </c>
      <c r="P30" s="1404">
        <f t="shared" si="13"/>
        <v>-0.23</v>
      </c>
      <c r="Q30" s="1404">
        <f t="shared" si="14"/>
        <v>-0.23</v>
      </c>
      <c r="R30" s="1082">
        <v>517800.44</v>
      </c>
      <c r="S30" s="1083">
        <v>517800.44</v>
      </c>
      <c r="T30" s="1083">
        <v>0</v>
      </c>
      <c r="U30" s="1083">
        <v>-0.02</v>
      </c>
      <c r="V30" s="1083">
        <v>0</v>
      </c>
      <c r="W30" s="1085">
        <f t="shared" si="2"/>
        <v>1035600.86</v>
      </c>
      <c r="X30" s="1404">
        <f t="shared" si="15"/>
        <v>-0.02</v>
      </c>
      <c r="Y30" s="1404">
        <f t="shared" si="16"/>
        <v>-0.02</v>
      </c>
      <c r="Z30" s="1082"/>
      <c r="AA30" s="1083"/>
      <c r="AB30" s="1083"/>
      <c r="AC30" s="1083"/>
      <c r="AD30" s="1083"/>
      <c r="AE30" s="1085">
        <f t="shared" si="3"/>
        <v>0</v>
      </c>
      <c r="AF30" s="1404">
        <f t="shared" si="17"/>
        <v>0</v>
      </c>
      <c r="AG30" s="1404">
        <f t="shared" si="18"/>
        <v>0</v>
      </c>
      <c r="AH30" s="1086">
        <v>86435.05</v>
      </c>
      <c r="AI30" s="1087">
        <v>510380.52</v>
      </c>
      <c r="AJ30" s="1087">
        <v>0</v>
      </c>
      <c r="AK30" s="1087">
        <v>-0.02</v>
      </c>
      <c r="AL30" s="1087">
        <v>0</v>
      </c>
      <c r="AM30" s="1088">
        <f t="shared" si="4"/>
        <v>596815.55000000005</v>
      </c>
      <c r="AN30" s="1088">
        <f t="shared" si="19"/>
        <v>-0.02</v>
      </c>
      <c r="AO30" s="1088">
        <f t="shared" si="20"/>
        <v>-0.02</v>
      </c>
      <c r="AP30" s="1773">
        <v>1861.84</v>
      </c>
      <c r="AQ30" s="1773">
        <v>0</v>
      </c>
      <c r="AR30" s="1773">
        <v>0</v>
      </c>
      <c r="AS30" s="1773">
        <v>0</v>
      </c>
      <c r="AT30" s="1773">
        <v>0</v>
      </c>
      <c r="AU30" s="1773">
        <f t="shared" si="21"/>
        <v>1861.84</v>
      </c>
      <c r="AV30" s="1773">
        <f t="shared" si="22"/>
        <v>0</v>
      </c>
      <c r="AW30" s="1773">
        <f t="shared" si="23"/>
        <v>0</v>
      </c>
    </row>
    <row r="31" spans="1:49" s="237" customFormat="1" x14ac:dyDescent="0.2">
      <c r="A31" s="1078" t="s">
        <v>70</v>
      </c>
      <c r="B31" s="1079" t="s">
        <v>71</v>
      </c>
      <c r="C31" s="103" t="s">
        <v>264</v>
      </c>
      <c r="D31" s="1080">
        <f t="shared" si="6"/>
        <v>178281.25</v>
      </c>
      <c r="E31" s="1080">
        <f t="shared" si="7"/>
        <v>190275.78999999998</v>
      </c>
      <c r="F31" s="1080">
        <f t="shared" si="8"/>
        <v>0</v>
      </c>
      <c r="G31" s="1081">
        <f t="shared" si="9"/>
        <v>5721.1500000000005</v>
      </c>
      <c r="H31" s="1081">
        <f t="shared" si="10"/>
        <v>5721.1500000000005</v>
      </c>
      <c r="I31" s="1405">
        <f t="shared" si="11"/>
        <v>374278.19</v>
      </c>
      <c r="J31" s="1082">
        <v>86074.85</v>
      </c>
      <c r="K31" s="1083">
        <v>86074.85</v>
      </c>
      <c r="L31" s="1083">
        <v>0</v>
      </c>
      <c r="M31" s="1083">
        <v>-7.0000000000000007E-2</v>
      </c>
      <c r="N31" s="1083">
        <v>0</v>
      </c>
      <c r="O31" s="1084">
        <f t="shared" si="12"/>
        <v>172149.63</v>
      </c>
      <c r="P31" s="1404">
        <f t="shared" si="13"/>
        <v>-7.0000000000000007E-2</v>
      </c>
      <c r="Q31" s="1404">
        <f t="shared" si="14"/>
        <v>-7.0000000000000007E-2</v>
      </c>
      <c r="R31" s="1082">
        <v>90216.639999999999</v>
      </c>
      <c r="S31" s="1083">
        <v>90216.639999999999</v>
      </c>
      <c r="T31" s="1083">
        <v>0</v>
      </c>
      <c r="U31" s="1083">
        <v>5721.22</v>
      </c>
      <c r="V31" s="1083">
        <v>0</v>
      </c>
      <c r="W31" s="1085">
        <f t="shared" si="2"/>
        <v>186154.5</v>
      </c>
      <c r="X31" s="1404">
        <f t="shared" si="15"/>
        <v>5721.22</v>
      </c>
      <c r="Y31" s="1404">
        <f t="shared" si="16"/>
        <v>5721.22</v>
      </c>
      <c r="Z31" s="1082"/>
      <c r="AA31" s="1083"/>
      <c r="AB31" s="1083"/>
      <c r="AC31" s="1083"/>
      <c r="AD31" s="1083"/>
      <c r="AE31" s="1085">
        <f t="shared" si="3"/>
        <v>0</v>
      </c>
      <c r="AF31" s="1404">
        <f t="shared" si="17"/>
        <v>0</v>
      </c>
      <c r="AG31" s="1404">
        <f t="shared" si="18"/>
        <v>0</v>
      </c>
      <c r="AH31" s="1086">
        <v>1989.76</v>
      </c>
      <c r="AI31" s="1087">
        <v>13984.3</v>
      </c>
      <c r="AJ31" s="1087">
        <v>0</v>
      </c>
      <c r="AK31" s="1087">
        <v>0</v>
      </c>
      <c r="AL31" s="1087">
        <v>0</v>
      </c>
      <c r="AM31" s="1088">
        <f t="shared" si="4"/>
        <v>15974.06</v>
      </c>
      <c r="AN31" s="1088">
        <f t="shared" si="19"/>
        <v>0</v>
      </c>
      <c r="AO31" s="1088">
        <f t="shared" si="20"/>
        <v>0</v>
      </c>
      <c r="AP31" s="1773"/>
      <c r="AQ31" s="1773"/>
      <c r="AR31" s="1773"/>
      <c r="AS31" s="1773"/>
      <c r="AT31" s="1773"/>
      <c r="AU31" s="1773">
        <f t="shared" si="21"/>
        <v>0</v>
      </c>
      <c r="AV31" s="1773">
        <f t="shared" si="22"/>
        <v>0</v>
      </c>
      <c r="AW31" s="1773">
        <f t="shared" si="23"/>
        <v>0</v>
      </c>
    </row>
    <row r="32" spans="1:49" s="237" customFormat="1" x14ac:dyDescent="0.2">
      <c r="A32" s="1078" t="s">
        <v>72</v>
      </c>
      <c r="B32" s="1079" t="s">
        <v>73</v>
      </c>
      <c r="C32" s="103" t="s">
        <v>266</v>
      </c>
      <c r="D32" s="1080">
        <f t="shared" si="6"/>
        <v>59183.049999999996</v>
      </c>
      <c r="E32" s="1080">
        <f t="shared" si="7"/>
        <v>80902.049999999988</v>
      </c>
      <c r="F32" s="1080">
        <f t="shared" si="8"/>
        <v>0</v>
      </c>
      <c r="G32" s="1081">
        <f t="shared" si="9"/>
        <v>-0.01</v>
      </c>
      <c r="H32" s="1081">
        <f t="shared" si="10"/>
        <v>-0.01</v>
      </c>
      <c r="I32" s="1405">
        <f t="shared" si="11"/>
        <v>140085.08999999997</v>
      </c>
      <c r="J32" s="1082">
        <v>11816.71</v>
      </c>
      <c r="K32" s="1083">
        <v>11816.71</v>
      </c>
      <c r="L32" s="1083">
        <v>0</v>
      </c>
      <c r="M32" s="1083">
        <v>0</v>
      </c>
      <c r="N32" s="1083">
        <v>0</v>
      </c>
      <c r="O32" s="1084">
        <f t="shared" si="12"/>
        <v>23633.42</v>
      </c>
      <c r="P32" s="1404">
        <f t="shared" si="13"/>
        <v>0</v>
      </c>
      <c r="Q32" s="1404">
        <f t="shared" si="14"/>
        <v>0</v>
      </c>
      <c r="R32" s="1082">
        <v>44762.879999999997</v>
      </c>
      <c r="S32" s="1083">
        <v>44762.879999999997</v>
      </c>
      <c r="T32" s="1083">
        <v>0</v>
      </c>
      <c r="U32" s="1083">
        <v>-0.01</v>
      </c>
      <c r="V32" s="1083">
        <v>0</v>
      </c>
      <c r="W32" s="1085">
        <f t="shared" si="2"/>
        <v>89525.75</v>
      </c>
      <c r="X32" s="1404">
        <f t="shared" si="15"/>
        <v>-0.01</v>
      </c>
      <c r="Y32" s="1404">
        <f t="shared" si="16"/>
        <v>-0.01</v>
      </c>
      <c r="Z32" s="1082"/>
      <c r="AA32" s="1083"/>
      <c r="AB32" s="1083"/>
      <c r="AC32" s="1083"/>
      <c r="AD32" s="1083"/>
      <c r="AE32" s="1085">
        <f t="shared" si="3"/>
        <v>0</v>
      </c>
      <c r="AF32" s="1404">
        <f t="shared" si="17"/>
        <v>0</v>
      </c>
      <c r="AG32" s="1404">
        <f t="shared" si="18"/>
        <v>0</v>
      </c>
      <c r="AH32" s="1086">
        <v>1603.46</v>
      </c>
      <c r="AI32" s="1087">
        <v>24322.46</v>
      </c>
      <c r="AJ32" s="1087">
        <v>0</v>
      </c>
      <c r="AK32" s="1087">
        <v>0</v>
      </c>
      <c r="AL32" s="1087">
        <v>0</v>
      </c>
      <c r="AM32" s="1088">
        <f t="shared" si="4"/>
        <v>25925.919999999998</v>
      </c>
      <c r="AN32" s="1088">
        <f t="shared" si="19"/>
        <v>0</v>
      </c>
      <c r="AO32" s="1088">
        <f t="shared" si="20"/>
        <v>0</v>
      </c>
      <c r="AP32" s="1773">
        <v>1000</v>
      </c>
      <c r="AQ32" s="1773">
        <v>0</v>
      </c>
      <c r="AR32" s="1773">
        <v>0</v>
      </c>
      <c r="AS32" s="1773">
        <v>0</v>
      </c>
      <c r="AT32" s="1773">
        <v>0</v>
      </c>
      <c r="AU32" s="1773">
        <f t="shared" si="21"/>
        <v>1000</v>
      </c>
      <c r="AV32" s="1773">
        <f t="shared" si="22"/>
        <v>0</v>
      </c>
      <c r="AW32" s="1773">
        <f t="shared" si="23"/>
        <v>0</v>
      </c>
    </row>
    <row r="33" spans="1:49" s="237" customFormat="1" x14ac:dyDescent="0.2">
      <c r="A33" s="1078" t="s">
        <v>74</v>
      </c>
      <c r="B33" s="1079" t="s">
        <v>302</v>
      </c>
      <c r="C33" s="103" t="s">
        <v>267</v>
      </c>
      <c r="D33" s="1080">
        <f t="shared" si="6"/>
        <v>3899104.23</v>
      </c>
      <c r="E33" s="1080">
        <f t="shared" si="7"/>
        <v>5968821.29</v>
      </c>
      <c r="F33" s="1080">
        <f t="shared" si="8"/>
        <v>0</v>
      </c>
      <c r="G33" s="1081">
        <f t="shared" si="9"/>
        <v>-0.56000000000000005</v>
      </c>
      <c r="H33" s="1081">
        <f t="shared" si="10"/>
        <v>-0.56000000000000005</v>
      </c>
      <c r="I33" s="1405">
        <f t="shared" si="11"/>
        <v>9867924.959999999</v>
      </c>
      <c r="J33" s="1082">
        <v>621374.1</v>
      </c>
      <c r="K33" s="1083">
        <v>621374.1</v>
      </c>
      <c r="L33" s="1083">
        <v>0</v>
      </c>
      <c r="M33" s="1083">
        <v>-0.43</v>
      </c>
      <c r="N33" s="1083">
        <v>0</v>
      </c>
      <c r="O33" s="1084">
        <f t="shared" si="12"/>
        <v>1242747.77</v>
      </c>
      <c r="P33" s="1404">
        <f t="shared" si="13"/>
        <v>-0.43</v>
      </c>
      <c r="Q33" s="1404">
        <f t="shared" si="14"/>
        <v>-0.43</v>
      </c>
      <c r="R33" s="1082">
        <v>2887739.4</v>
      </c>
      <c r="S33" s="1083">
        <v>2887739.4</v>
      </c>
      <c r="T33" s="1083">
        <v>0</v>
      </c>
      <c r="U33" s="1083">
        <v>-0.13</v>
      </c>
      <c r="V33" s="1083">
        <v>0</v>
      </c>
      <c r="W33" s="1085">
        <f t="shared" si="2"/>
        <v>5775478.6699999999</v>
      </c>
      <c r="X33" s="1404">
        <f t="shared" si="15"/>
        <v>-0.13</v>
      </c>
      <c r="Y33" s="1404">
        <f t="shared" si="16"/>
        <v>-0.13</v>
      </c>
      <c r="Z33" s="1082"/>
      <c r="AA33" s="1083"/>
      <c r="AB33" s="1083"/>
      <c r="AC33" s="1083"/>
      <c r="AD33" s="1083"/>
      <c r="AE33" s="1085">
        <f t="shared" si="3"/>
        <v>0</v>
      </c>
      <c r="AF33" s="1404">
        <f t="shared" si="17"/>
        <v>0</v>
      </c>
      <c r="AG33" s="1404">
        <f t="shared" si="18"/>
        <v>0</v>
      </c>
      <c r="AH33" s="1086">
        <v>389990.73</v>
      </c>
      <c r="AI33" s="1087">
        <v>2459707.79</v>
      </c>
      <c r="AJ33" s="1087">
        <v>0</v>
      </c>
      <c r="AK33" s="1087">
        <v>0</v>
      </c>
      <c r="AL33" s="1087">
        <v>0</v>
      </c>
      <c r="AM33" s="1088">
        <f t="shared" si="4"/>
        <v>2849698.52</v>
      </c>
      <c r="AN33" s="1088">
        <f t="shared" si="19"/>
        <v>0</v>
      </c>
      <c r="AO33" s="1088">
        <f t="shared" si="20"/>
        <v>0</v>
      </c>
      <c r="AP33" s="1773"/>
      <c r="AQ33" s="1773"/>
      <c r="AR33" s="1773"/>
      <c r="AS33" s="1773"/>
      <c r="AT33" s="1773"/>
      <c r="AU33" s="1773">
        <f t="shared" si="21"/>
        <v>0</v>
      </c>
      <c r="AV33" s="1773">
        <f t="shared" si="22"/>
        <v>0</v>
      </c>
      <c r="AW33" s="1773">
        <f t="shared" si="23"/>
        <v>0</v>
      </c>
    </row>
    <row r="34" spans="1:49" s="237" customFormat="1" x14ac:dyDescent="0.2">
      <c r="A34" s="1078" t="s">
        <v>76</v>
      </c>
      <c r="B34" s="1079" t="s">
        <v>77</v>
      </c>
      <c r="C34" s="103" t="s">
        <v>267</v>
      </c>
      <c r="D34" s="1080">
        <f t="shared" si="6"/>
        <v>720220.38</v>
      </c>
      <c r="E34" s="1080">
        <f t="shared" si="7"/>
        <v>804984.9</v>
      </c>
      <c r="F34" s="1080">
        <f t="shared" si="8"/>
        <v>0</v>
      </c>
      <c r="G34" s="1081">
        <f t="shared" si="9"/>
        <v>-0.37</v>
      </c>
      <c r="H34" s="1081">
        <f t="shared" si="10"/>
        <v>-0.37</v>
      </c>
      <c r="I34" s="1405">
        <f t="shared" si="11"/>
        <v>1525204.91</v>
      </c>
      <c r="J34" s="1082">
        <v>479919.31</v>
      </c>
      <c r="K34" s="1083">
        <v>479919.31</v>
      </c>
      <c r="L34" s="1083">
        <v>0</v>
      </c>
      <c r="M34" s="1083">
        <v>-0.33</v>
      </c>
      <c r="N34" s="1083">
        <v>0</v>
      </c>
      <c r="O34" s="1084">
        <f t="shared" si="12"/>
        <v>959838.29</v>
      </c>
      <c r="P34" s="1404">
        <f t="shared" si="13"/>
        <v>-0.33</v>
      </c>
      <c r="Q34" s="1404">
        <f t="shared" si="14"/>
        <v>-0.33</v>
      </c>
      <c r="R34" s="1082">
        <v>222943.68</v>
      </c>
      <c r="S34" s="1083">
        <v>222943.68</v>
      </c>
      <c r="T34" s="1083">
        <v>0</v>
      </c>
      <c r="U34" s="1083">
        <v>-0.03</v>
      </c>
      <c r="V34" s="1083">
        <v>0</v>
      </c>
      <c r="W34" s="1085">
        <f t="shared" si="2"/>
        <v>445887.32999999996</v>
      </c>
      <c r="X34" s="1404">
        <f t="shared" si="15"/>
        <v>-0.03</v>
      </c>
      <c r="Y34" s="1404">
        <f t="shared" si="16"/>
        <v>-0.03</v>
      </c>
      <c r="Z34" s="1082"/>
      <c r="AA34" s="1083"/>
      <c r="AB34" s="1083"/>
      <c r="AC34" s="1083"/>
      <c r="AD34" s="1083"/>
      <c r="AE34" s="1085">
        <f t="shared" si="3"/>
        <v>0</v>
      </c>
      <c r="AF34" s="1404">
        <f t="shared" si="17"/>
        <v>0</v>
      </c>
      <c r="AG34" s="1404">
        <f t="shared" si="18"/>
        <v>0</v>
      </c>
      <c r="AH34" s="1086">
        <v>15456.77</v>
      </c>
      <c r="AI34" s="1087">
        <v>102121.91</v>
      </c>
      <c r="AJ34" s="1087">
        <v>0</v>
      </c>
      <c r="AK34" s="1087">
        <v>-0.01</v>
      </c>
      <c r="AL34" s="1087">
        <v>0</v>
      </c>
      <c r="AM34" s="1088">
        <f t="shared" si="4"/>
        <v>117578.67000000001</v>
      </c>
      <c r="AN34" s="1088">
        <f t="shared" si="19"/>
        <v>-0.01</v>
      </c>
      <c r="AO34" s="1088">
        <f t="shared" si="20"/>
        <v>-0.01</v>
      </c>
      <c r="AP34" s="1773">
        <v>1900.62</v>
      </c>
      <c r="AQ34" s="1773">
        <v>0</v>
      </c>
      <c r="AR34" s="1773">
        <v>0</v>
      </c>
      <c r="AS34" s="1773">
        <v>0</v>
      </c>
      <c r="AT34" s="1773">
        <v>0</v>
      </c>
      <c r="AU34" s="1773">
        <f t="shared" si="21"/>
        <v>1900.62</v>
      </c>
      <c r="AV34" s="1773">
        <f t="shared" si="22"/>
        <v>0</v>
      </c>
      <c r="AW34" s="1773">
        <f t="shared" si="23"/>
        <v>0</v>
      </c>
    </row>
    <row r="35" spans="1:49" s="237" customFormat="1" x14ac:dyDescent="0.2">
      <c r="A35" s="1078" t="s">
        <v>78</v>
      </c>
      <c r="B35" s="1079" t="s">
        <v>79</v>
      </c>
      <c r="C35" s="103" t="s">
        <v>268</v>
      </c>
      <c r="D35" s="1080">
        <f t="shared" si="6"/>
        <v>69876.34</v>
      </c>
      <c r="E35" s="1080">
        <f t="shared" si="7"/>
        <v>69876.34</v>
      </c>
      <c r="F35" s="1080">
        <f t="shared" si="8"/>
        <v>0</v>
      </c>
      <c r="G35" s="1081">
        <f t="shared" si="9"/>
        <v>-0.05</v>
      </c>
      <c r="H35" s="1081">
        <f t="shared" si="10"/>
        <v>-0.05</v>
      </c>
      <c r="I35" s="1405">
        <f t="shared" si="11"/>
        <v>139752.63</v>
      </c>
      <c r="J35" s="1082">
        <v>39189.94</v>
      </c>
      <c r="K35" s="1083">
        <v>39189.94</v>
      </c>
      <c r="L35" s="1083">
        <v>0</v>
      </c>
      <c r="M35" s="1083">
        <v>-0.04</v>
      </c>
      <c r="N35" s="1083">
        <v>0</v>
      </c>
      <c r="O35" s="1084">
        <f t="shared" si="12"/>
        <v>78379.840000000011</v>
      </c>
      <c r="P35" s="1404">
        <f t="shared" si="13"/>
        <v>-0.04</v>
      </c>
      <c r="Q35" s="1404">
        <f t="shared" si="14"/>
        <v>-0.04</v>
      </c>
      <c r="R35" s="1082">
        <v>30686.400000000001</v>
      </c>
      <c r="S35" s="1083">
        <v>30686.400000000001</v>
      </c>
      <c r="T35" s="1083">
        <v>0</v>
      </c>
      <c r="U35" s="1083">
        <v>-0.01</v>
      </c>
      <c r="V35" s="1083">
        <v>0</v>
      </c>
      <c r="W35" s="1085">
        <f t="shared" si="2"/>
        <v>61372.79</v>
      </c>
      <c r="X35" s="1404">
        <f t="shared" si="15"/>
        <v>-0.01</v>
      </c>
      <c r="Y35" s="1404">
        <f t="shared" si="16"/>
        <v>-0.01</v>
      </c>
      <c r="Z35" s="1086"/>
      <c r="AA35" s="1087"/>
      <c r="AB35" s="1087"/>
      <c r="AC35" s="1087"/>
      <c r="AD35" s="1087"/>
      <c r="AE35" s="1085">
        <f t="shared" si="3"/>
        <v>0</v>
      </c>
      <c r="AF35" s="1404">
        <f t="shared" si="17"/>
        <v>0</v>
      </c>
      <c r="AG35" s="1404">
        <f t="shared" si="18"/>
        <v>0</v>
      </c>
      <c r="AH35" s="1086">
        <v>0</v>
      </c>
      <c r="AI35" s="1087">
        <v>0</v>
      </c>
      <c r="AJ35" s="1087">
        <v>0</v>
      </c>
      <c r="AK35" s="1087">
        <v>0</v>
      </c>
      <c r="AL35" s="1087">
        <v>0</v>
      </c>
      <c r="AM35" s="1088">
        <f t="shared" si="4"/>
        <v>0</v>
      </c>
      <c r="AN35" s="1088">
        <f t="shared" si="19"/>
        <v>0</v>
      </c>
      <c r="AO35" s="1088">
        <f t="shared" si="20"/>
        <v>0</v>
      </c>
      <c r="AP35" s="1773"/>
      <c r="AQ35" s="1773"/>
      <c r="AR35" s="1773"/>
      <c r="AS35" s="1773"/>
      <c r="AT35" s="1773"/>
      <c r="AU35" s="1773">
        <f t="shared" si="21"/>
        <v>0</v>
      </c>
      <c r="AV35" s="1773">
        <f t="shared" si="22"/>
        <v>0</v>
      </c>
      <c r="AW35" s="1773">
        <f t="shared" si="23"/>
        <v>0</v>
      </c>
    </row>
    <row r="36" spans="1:49" s="237" customFormat="1" x14ac:dyDescent="0.2">
      <c r="A36" s="1078" t="s">
        <v>80</v>
      </c>
      <c r="B36" s="1079" t="s">
        <v>81</v>
      </c>
      <c r="C36" s="103" t="s">
        <v>266</v>
      </c>
      <c r="D36" s="1080">
        <f t="shared" si="6"/>
        <v>144730.54999999999</v>
      </c>
      <c r="E36" s="1080">
        <f t="shared" si="7"/>
        <v>221772.96000000002</v>
      </c>
      <c r="F36" s="1080">
        <f t="shared" si="8"/>
        <v>0</v>
      </c>
      <c r="G36" s="1081">
        <f t="shared" si="9"/>
        <v>-0.01</v>
      </c>
      <c r="H36" s="1081">
        <f t="shared" si="10"/>
        <v>-0.01</v>
      </c>
      <c r="I36" s="1405">
        <f t="shared" si="11"/>
        <v>366503.5</v>
      </c>
      <c r="J36" s="1082">
        <v>0</v>
      </c>
      <c r="K36" s="1083">
        <v>0</v>
      </c>
      <c r="L36" s="1083">
        <v>0</v>
      </c>
      <c r="M36" s="1083">
        <v>0</v>
      </c>
      <c r="N36" s="1083">
        <v>0</v>
      </c>
      <c r="O36" s="1084">
        <f t="shared" si="12"/>
        <v>0</v>
      </c>
      <c r="P36" s="1404">
        <f t="shared" si="13"/>
        <v>0</v>
      </c>
      <c r="Q36" s="1404">
        <f t="shared" si="14"/>
        <v>0</v>
      </c>
      <c r="R36" s="1082">
        <v>132079.5</v>
      </c>
      <c r="S36" s="1083">
        <v>132079.5</v>
      </c>
      <c r="T36" s="1083">
        <v>0</v>
      </c>
      <c r="U36" s="1083">
        <v>0</v>
      </c>
      <c r="V36" s="1083">
        <v>0</v>
      </c>
      <c r="W36" s="1085">
        <f t="shared" si="2"/>
        <v>264159</v>
      </c>
      <c r="X36" s="1404">
        <f t="shared" si="15"/>
        <v>0</v>
      </c>
      <c r="Y36" s="1404">
        <f t="shared" si="16"/>
        <v>0</v>
      </c>
      <c r="Z36" s="1082"/>
      <c r="AA36" s="1083"/>
      <c r="AB36" s="1083"/>
      <c r="AC36" s="1083"/>
      <c r="AD36" s="1083"/>
      <c r="AE36" s="1085">
        <f t="shared" si="3"/>
        <v>0</v>
      </c>
      <c r="AF36" s="1404">
        <f t="shared" si="17"/>
        <v>0</v>
      </c>
      <c r="AG36" s="1404">
        <f t="shared" si="18"/>
        <v>0</v>
      </c>
      <c r="AH36" s="1086">
        <v>12651.05</v>
      </c>
      <c r="AI36" s="1087">
        <v>89693.46</v>
      </c>
      <c r="AJ36" s="1087">
        <v>0</v>
      </c>
      <c r="AK36" s="1087">
        <v>-0.01</v>
      </c>
      <c r="AL36" s="1087">
        <v>0</v>
      </c>
      <c r="AM36" s="1088">
        <f t="shared" si="4"/>
        <v>102344.50000000001</v>
      </c>
      <c r="AN36" s="1088">
        <f t="shared" si="19"/>
        <v>-0.01</v>
      </c>
      <c r="AO36" s="1088">
        <f t="shared" si="20"/>
        <v>-0.01</v>
      </c>
      <c r="AP36" s="1773"/>
      <c r="AQ36" s="1773"/>
      <c r="AR36" s="1773"/>
      <c r="AS36" s="1773"/>
      <c r="AT36" s="1773"/>
      <c r="AU36" s="1773">
        <f t="shared" si="21"/>
        <v>0</v>
      </c>
      <c r="AV36" s="1773">
        <f t="shared" si="22"/>
        <v>0</v>
      </c>
      <c r="AW36" s="1773">
        <f t="shared" si="23"/>
        <v>0</v>
      </c>
    </row>
    <row r="37" spans="1:49" s="237" customFormat="1" x14ac:dyDescent="0.2">
      <c r="A37" s="1078" t="s">
        <v>84</v>
      </c>
      <c r="B37" s="1079" t="s">
        <v>308</v>
      </c>
      <c r="C37" s="103" t="s">
        <v>265</v>
      </c>
      <c r="D37" s="1080">
        <f t="shared" si="6"/>
        <v>768268.65</v>
      </c>
      <c r="E37" s="1080">
        <f t="shared" si="7"/>
        <v>1029020.6500000001</v>
      </c>
      <c r="F37" s="1080">
        <f t="shared" si="8"/>
        <v>0</v>
      </c>
      <c r="G37" s="1081">
        <f t="shared" si="9"/>
        <v>-0.16</v>
      </c>
      <c r="H37" s="1081">
        <f t="shared" si="10"/>
        <v>-0.16</v>
      </c>
      <c r="I37" s="1405">
        <f t="shared" si="11"/>
        <v>1797289.1400000004</v>
      </c>
      <c r="J37" s="1082">
        <v>232327.3</v>
      </c>
      <c r="K37" s="1083">
        <v>232327.3</v>
      </c>
      <c r="L37" s="1083">
        <v>0</v>
      </c>
      <c r="M37" s="1083">
        <v>-0.15</v>
      </c>
      <c r="N37" s="1083">
        <v>0</v>
      </c>
      <c r="O37" s="1084">
        <f t="shared" si="12"/>
        <v>464654.44999999995</v>
      </c>
      <c r="P37" s="1404">
        <f t="shared" si="13"/>
        <v>-0.15</v>
      </c>
      <c r="Q37" s="1404">
        <f t="shared" si="14"/>
        <v>-0.15</v>
      </c>
      <c r="R37" s="1082">
        <v>452371.77</v>
      </c>
      <c r="S37" s="1083">
        <v>452371.77</v>
      </c>
      <c r="T37" s="1083">
        <v>0</v>
      </c>
      <c r="U37" s="1083">
        <v>-0.01</v>
      </c>
      <c r="V37" s="1083">
        <v>0</v>
      </c>
      <c r="W37" s="1085">
        <f t="shared" ref="W37:W68" si="24">SUM(R37:V37)</f>
        <v>904743.53</v>
      </c>
      <c r="X37" s="1404">
        <f t="shared" si="15"/>
        <v>-0.01</v>
      </c>
      <c r="Y37" s="1404">
        <f t="shared" si="16"/>
        <v>-0.01</v>
      </c>
      <c r="Z37" s="1082"/>
      <c r="AA37" s="1083"/>
      <c r="AB37" s="1083"/>
      <c r="AC37" s="1083"/>
      <c r="AD37" s="1083"/>
      <c r="AE37" s="1085">
        <f t="shared" ref="AE37:AE68" si="25">SUM(Z37:AD37)</f>
        <v>0</v>
      </c>
      <c r="AF37" s="1404">
        <f t="shared" si="17"/>
        <v>0</v>
      </c>
      <c r="AG37" s="1404">
        <f t="shared" si="18"/>
        <v>0</v>
      </c>
      <c r="AH37" s="1086">
        <v>83569.58</v>
      </c>
      <c r="AI37" s="1087">
        <v>344321.58</v>
      </c>
      <c r="AJ37" s="1087">
        <v>0</v>
      </c>
      <c r="AK37" s="1087">
        <v>0</v>
      </c>
      <c r="AL37" s="1087">
        <v>0</v>
      </c>
      <c r="AM37" s="1088">
        <f t="shared" ref="AM37:AM68" si="26">SUM(AH37:AL37)</f>
        <v>427891.16000000003</v>
      </c>
      <c r="AN37" s="1088">
        <f t="shared" si="19"/>
        <v>0</v>
      </c>
      <c r="AO37" s="1088">
        <f t="shared" si="20"/>
        <v>0</v>
      </c>
      <c r="AP37" s="1773"/>
      <c r="AQ37" s="1773"/>
      <c r="AR37" s="1773"/>
      <c r="AS37" s="1773"/>
      <c r="AT37" s="1773"/>
      <c r="AU37" s="1773">
        <f t="shared" si="21"/>
        <v>0</v>
      </c>
      <c r="AV37" s="1773">
        <f t="shared" si="22"/>
        <v>0</v>
      </c>
      <c r="AW37" s="1773">
        <f t="shared" si="23"/>
        <v>0</v>
      </c>
    </row>
    <row r="38" spans="1:49" s="237" customFormat="1" x14ac:dyDescent="0.2">
      <c r="A38" s="1078" t="s">
        <v>86</v>
      </c>
      <c r="B38" s="1079" t="s">
        <v>87</v>
      </c>
      <c r="C38" s="103" t="s">
        <v>267</v>
      </c>
      <c r="D38" s="1080">
        <f t="shared" si="6"/>
        <v>562472.57999999996</v>
      </c>
      <c r="E38" s="1080">
        <f t="shared" si="7"/>
        <v>819173.83000000007</v>
      </c>
      <c r="F38" s="1080">
        <f t="shared" si="8"/>
        <v>0</v>
      </c>
      <c r="G38" s="1081">
        <f t="shared" si="9"/>
        <v>-0.24</v>
      </c>
      <c r="H38" s="1081">
        <f t="shared" si="10"/>
        <v>-0.24</v>
      </c>
      <c r="I38" s="1405">
        <f t="shared" si="11"/>
        <v>1381646.1700000002</v>
      </c>
      <c r="J38" s="1082">
        <v>179682.49</v>
      </c>
      <c r="K38" s="1083">
        <v>179682.49</v>
      </c>
      <c r="L38" s="1083">
        <v>0</v>
      </c>
      <c r="M38" s="1083">
        <v>-0.24</v>
      </c>
      <c r="N38" s="1083">
        <v>0</v>
      </c>
      <c r="O38" s="1084">
        <f t="shared" si="12"/>
        <v>359364.74</v>
      </c>
      <c r="P38" s="1404">
        <f t="shared" si="13"/>
        <v>-0.24</v>
      </c>
      <c r="Q38" s="1404">
        <f t="shared" si="14"/>
        <v>-0.24</v>
      </c>
      <c r="R38" s="1082">
        <v>306722.5</v>
      </c>
      <c r="S38" s="1083">
        <v>306722.5</v>
      </c>
      <c r="T38" s="1083">
        <v>0</v>
      </c>
      <c r="U38" s="1083">
        <v>0</v>
      </c>
      <c r="V38" s="1083">
        <v>0</v>
      </c>
      <c r="W38" s="1085">
        <f t="shared" si="24"/>
        <v>613445</v>
      </c>
      <c r="X38" s="1404">
        <f t="shared" si="15"/>
        <v>0</v>
      </c>
      <c r="Y38" s="1404">
        <f t="shared" si="16"/>
        <v>0</v>
      </c>
      <c r="Z38" s="1082"/>
      <c r="AA38" s="1083"/>
      <c r="AB38" s="1083"/>
      <c r="AC38" s="1083"/>
      <c r="AD38" s="1083"/>
      <c r="AE38" s="1085">
        <f t="shared" si="25"/>
        <v>0</v>
      </c>
      <c r="AF38" s="1404">
        <f t="shared" si="17"/>
        <v>0</v>
      </c>
      <c r="AG38" s="1404">
        <f t="shared" si="18"/>
        <v>0</v>
      </c>
      <c r="AH38" s="1086">
        <v>74135.12</v>
      </c>
      <c r="AI38" s="1087">
        <v>332768.84000000003</v>
      </c>
      <c r="AJ38" s="1087">
        <v>0</v>
      </c>
      <c r="AK38" s="1087">
        <v>0</v>
      </c>
      <c r="AL38" s="1087">
        <v>0</v>
      </c>
      <c r="AM38" s="1088">
        <f t="shared" si="26"/>
        <v>406903.96</v>
      </c>
      <c r="AN38" s="1088">
        <f t="shared" si="19"/>
        <v>0</v>
      </c>
      <c r="AO38" s="1088">
        <f t="shared" si="20"/>
        <v>0</v>
      </c>
      <c r="AP38" s="1773">
        <v>1932.47</v>
      </c>
      <c r="AQ38" s="1773">
        <v>0</v>
      </c>
      <c r="AR38" s="1773">
        <v>0</v>
      </c>
      <c r="AS38" s="1773">
        <v>0</v>
      </c>
      <c r="AT38" s="1773">
        <v>0</v>
      </c>
      <c r="AU38" s="1773">
        <f t="shared" si="21"/>
        <v>1932.47</v>
      </c>
      <c r="AV38" s="1773">
        <f t="shared" si="22"/>
        <v>0</v>
      </c>
      <c r="AW38" s="1773">
        <f t="shared" si="23"/>
        <v>0</v>
      </c>
    </row>
    <row r="39" spans="1:49" s="237" customFormat="1" x14ac:dyDescent="0.2">
      <c r="A39" s="1078" t="s">
        <v>92</v>
      </c>
      <c r="B39" s="1079" t="s">
        <v>93</v>
      </c>
      <c r="C39" s="103" t="s">
        <v>268</v>
      </c>
      <c r="D39" s="1080">
        <f t="shared" si="6"/>
        <v>527582.09</v>
      </c>
      <c r="E39" s="1080">
        <f t="shared" si="7"/>
        <v>599838.24</v>
      </c>
      <c r="F39" s="1080">
        <f t="shared" si="8"/>
        <v>0</v>
      </c>
      <c r="G39" s="1081">
        <f t="shared" si="9"/>
        <v>-0.15</v>
      </c>
      <c r="H39" s="1081">
        <f t="shared" si="10"/>
        <v>-0.15</v>
      </c>
      <c r="I39" s="1405">
        <f t="shared" si="11"/>
        <v>1127420.1800000002</v>
      </c>
      <c r="J39" s="1082">
        <v>282963.55</v>
      </c>
      <c r="K39" s="1083">
        <v>282963.55</v>
      </c>
      <c r="L39" s="1083">
        <v>0</v>
      </c>
      <c r="M39" s="1083">
        <v>-0.12</v>
      </c>
      <c r="N39" s="1083">
        <v>0</v>
      </c>
      <c r="O39" s="1084">
        <f t="shared" si="12"/>
        <v>565926.98</v>
      </c>
      <c r="P39" s="1404">
        <f t="shared" si="13"/>
        <v>-0.12</v>
      </c>
      <c r="Q39" s="1404">
        <f t="shared" si="14"/>
        <v>-0.12</v>
      </c>
      <c r="R39" s="1082">
        <v>240283.86</v>
      </c>
      <c r="S39" s="1083">
        <v>240283.86</v>
      </c>
      <c r="T39" s="1083">
        <v>0</v>
      </c>
      <c r="U39" s="1083">
        <v>-0.03</v>
      </c>
      <c r="V39" s="1083">
        <v>0</v>
      </c>
      <c r="W39" s="1085">
        <f t="shared" si="24"/>
        <v>480567.68999999994</v>
      </c>
      <c r="X39" s="1404">
        <f t="shared" si="15"/>
        <v>-0.03</v>
      </c>
      <c r="Y39" s="1404">
        <f t="shared" si="16"/>
        <v>-0.03</v>
      </c>
      <c r="Z39" s="1082"/>
      <c r="AA39" s="1083"/>
      <c r="AB39" s="1083"/>
      <c r="AC39" s="1083"/>
      <c r="AD39" s="1083"/>
      <c r="AE39" s="1085">
        <f t="shared" si="25"/>
        <v>0</v>
      </c>
      <c r="AF39" s="1404">
        <f t="shared" si="17"/>
        <v>0</v>
      </c>
      <c r="AG39" s="1404">
        <f t="shared" si="18"/>
        <v>0</v>
      </c>
      <c r="AH39" s="1086">
        <v>2398.77</v>
      </c>
      <c r="AI39" s="1087">
        <v>76590.83</v>
      </c>
      <c r="AJ39" s="1087">
        <v>0</v>
      </c>
      <c r="AK39" s="1087">
        <v>0</v>
      </c>
      <c r="AL39" s="1087">
        <v>0</v>
      </c>
      <c r="AM39" s="1088">
        <f t="shared" si="26"/>
        <v>78989.600000000006</v>
      </c>
      <c r="AN39" s="1088">
        <f t="shared" si="19"/>
        <v>0</v>
      </c>
      <c r="AO39" s="1088">
        <f t="shared" si="20"/>
        <v>0</v>
      </c>
      <c r="AP39" s="1773">
        <v>1935.91</v>
      </c>
      <c r="AQ39" s="1773">
        <v>0</v>
      </c>
      <c r="AR39" s="1773">
        <v>0</v>
      </c>
      <c r="AS39" s="1773">
        <v>0</v>
      </c>
      <c r="AT39" s="1773">
        <v>0</v>
      </c>
      <c r="AU39" s="1773">
        <f t="shared" si="21"/>
        <v>1935.91</v>
      </c>
      <c r="AV39" s="1773">
        <f t="shared" si="22"/>
        <v>0</v>
      </c>
      <c r="AW39" s="1773">
        <f t="shared" si="23"/>
        <v>0</v>
      </c>
    </row>
    <row r="40" spans="1:49" s="237" customFormat="1" x14ac:dyDescent="0.2">
      <c r="A40" s="1078" t="s">
        <v>94</v>
      </c>
      <c r="B40" s="1079" t="s">
        <v>95</v>
      </c>
      <c r="C40" s="103" t="s">
        <v>264</v>
      </c>
      <c r="D40" s="1080">
        <f t="shared" si="6"/>
        <v>250297.52000000002</v>
      </c>
      <c r="E40" s="1080">
        <f t="shared" si="7"/>
        <v>632288.83000000007</v>
      </c>
      <c r="F40" s="1080">
        <f t="shared" si="8"/>
        <v>0</v>
      </c>
      <c r="G40" s="1081">
        <f t="shared" si="9"/>
        <v>-0.15</v>
      </c>
      <c r="H40" s="1081">
        <f t="shared" si="10"/>
        <v>-0.15</v>
      </c>
      <c r="I40" s="1405">
        <f t="shared" si="11"/>
        <v>882586.20000000007</v>
      </c>
      <c r="J40" s="1082">
        <v>126832.2</v>
      </c>
      <c r="K40" s="1083">
        <v>126832.2</v>
      </c>
      <c r="L40" s="1083">
        <v>0</v>
      </c>
      <c r="M40" s="1083">
        <v>-0.15</v>
      </c>
      <c r="N40" s="1083">
        <v>0</v>
      </c>
      <c r="O40" s="1084">
        <f t="shared" si="12"/>
        <v>253664.25</v>
      </c>
      <c r="P40" s="1404">
        <f t="shared" si="13"/>
        <v>-0.15</v>
      </c>
      <c r="Q40" s="1404">
        <f t="shared" si="14"/>
        <v>-0.15</v>
      </c>
      <c r="R40" s="1082">
        <v>119592.13</v>
      </c>
      <c r="S40" s="1083">
        <v>119592.13</v>
      </c>
      <c r="T40" s="1083">
        <v>0</v>
      </c>
      <c r="U40" s="1083">
        <v>0</v>
      </c>
      <c r="V40" s="1083">
        <v>0</v>
      </c>
      <c r="W40" s="1085">
        <f t="shared" si="24"/>
        <v>239184.26</v>
      </c>
      <c r="X40" s="1404">
        <f t="shared" si="15"/>
        <v>0</v>
      </c>
      <c r="Y40" s="1404">
        <f t="shared" si="16"/>
        <v>0</v>
      </c>
      <c r="Z40" s="1082"/>
      <c r="AA40" s="1083"/>
      <c r="AB40" s="1083"/>
      <c r="AC40" s="1083"/>
      <c r="AD40" s="1083"/>
      <c r="AE40" s="1085">
        <f t="shared" si="25"/>
        <v>0</v>
      </c>
      <c r="AF40" s="1404">
        <f t="shared" si="17"/>
        <v>0</v>
      </c>
      <c r="AG40" s="1404">
        <f t="shared" si="18"/>
        <v>0</v>
      </c>
      <c r="AH40" s="1086">
        <v>3873.19</v>
      </c>
      <c r="AI40" s="1087">
        <v>385864.5</v>
      </c>
      <c r="AJ40" s="1087">
        <v>0</v>
      </c>
      <c r="AK40" s="1087">
        <v>0</v>
      </c>
      <c r="AL40" s="1087">
        <v>0</v>
      </c>
      <c r="AM40" s="1088">
        <f t="shared" si="26"/>
        <v>389737.69</v>
      </c>
      <c r="AN40" s="1088">
        <f t="shared" si="19"/>
        <v>0</v>
      </c>
      <c r="AO40" s="1088">
        <f t="shared" si="20"/>
        <v>0</v>
      </c>
      <c r="AP40" s="1773"/>
      <c r="AQ40" s="1773"/>
      <c r="AR40" s="1773"/>
      <c r="AS40" s="1773"/>
      <c r="AT40" s="1773"/>
      <c r="AU40" s="1773">
        <f t="shared" si="21"/>
        <v>0</v>
      </c>
      <c r="AV40" s="1773">
        <f t="shared" si="22"/>
        <v>0</v>
      </c>
      <c r="AW40" s="1773">
        <f t="shared" si="23"/>
        <v>0</v>
      </c>
    </row>
    <row r="41" spans="1:49" s="237" customFormat="1" x14ac:dyDescent="0.2">
      <c r="A41" s="1078" t="s">
        <v>96</v>
      </c>
      <c r="B41" s="1079" t="s">
        <v>97</v>
      </c>
      <c r="C41" s="103" t="s">
        <v>266</v>
      </c>
      <c r="D41" s="1080">
        <f t="shared" si="6"/>
        <v>103817.29000000001</v>
      </c>
      <c r="E41" s="1080">
        <f t="shared" si="7"/>
        <v>144103.75</v>
      </c>
      <c r="F41" s="1080">
        <f t="shared" si="8"/>
        <v>0</v>
      </c>
      <c r="G41" s="1081">
        <f t="shared" si="9"/>
        <v>-0.06</v>
      </c>
      <c r="H41" s="1081">
        <f t="shared" si="10"/>
        <v>-0.06</v>
      </c>
      <c r="I41" s="1405">
        <f t="shared" si="11"/>
        <v>247920.98</v>
      </c>
      <c r="J41" s="1082">
        <v>25676.66</v>
      </c>
      <c r="K41" s="1083">
        <v>25676.66</v>
      </c>
      <c r="L41" s="1083">
        <v>0</v>
      </c>
      <c r="M41" s="1083">
        <v>-0.06</v>
      </c>
      <c r="N41" s="1083">
        <v>0</v>
      </c>
      <c r="O41" s="1084">
        <f t="shared" si="12"/>
        <v>51353.26</v>
      </c>
      <c r="P41" s="1404">
        <f t="shared" si="13"/>
        <v>-0.06</v>
      </c>
      <c r="Q41" s="1404">
        <f t="shared" si="14"/>
        <v>-0.06</v>
      </c>
      <c r="R41" s="1082">
        <v>73481.36</v>
      </c>
      <c r="S41" s="1083">
        <v>73481.36</v>
      </c>
      <c r="T41" s="1083">
        <v>0</v>
      </c>
      <c r="U41" s="1083">
        <v>0</v>
      </c>
      <c r="V41" s="1083">
        <v>0</v>
      </c>
      <c r="W41" s="1085">
        <f t="shared" si="24"/>
        <v>146962.72</v>
      </c>
      <c r="X41" s="1404">
        <f t="shared" si="15"/>
        <v>0</v>
      </c>
      <c r="Y41" s="1404">
        <f t="shared" si="16"/>
        <v>0</v>
      </c>
      <c r="Z41" s="1082"/>
      <c r="AA41" s="1083"/>
      <c r="AB41" s="1083"/>
      <c r="AC41" s="1083"/>
      <c r="AD41" s="1083"/>
      <c r="AE41" s="1085">
        <f t="shared" si="25"/>
        <v>0</v>
      </c>
      <c r="AF41" s="1404">
        <f t="shared" si="17"/>
        <v>0</v>
      </c>
      <c r="AG41" s="1404">
        <f t="shared" si="18"/>
        <v>0</v>
      </c>
      <c r="AH41" s="1086">
        <v>4659.2700000000004</v>
      </c>
      <c r="AI41" s="1087">
        <v>44945.73</v>
      </c>
      <c r="AJ41" s="1087">
        <v>0</v>
      </c>
      <c r="AK41" s="1087">
        <v>0</v>
      </c>
      <c r="AL41" s="1087">
        <v>0</v>
      </c>
      <c r="AM41" s="1088">
        <f t="shared" si="26"/>
        <v>49605</v>
      </c>
      <c r="AN41" s="1088">
        <f t="shared" si="19"/>
        <v>0</v>
      </c>
      <c r="AO41" s="1088">
        <f t="shared" si="20"/>
        <v>0</v>
      </c>
      <c r="AP41" s="1773"/>
      <c r="AQ41" s="1773"/>
      <c r="AR41" s="1773"/>
      <c r="AS41" s="1773"/>
      <c r="AT41" s="1773"/>
      <c r="AU41" s="1773">
        <f t="shared" si="21"/>
        <v>0</v>
      </c>
      <c r="AV41" s="1773">
        <f t="shared" si="22"/>
        <v>0</v>
      </c>
      <c r="AW41" s="1773">
        <f t="shared" si="23"/>
        <v>0</v>
      </c>
    </row>
    <row r="42" spans="1:49" s="237" customFormat="1" x14ac:dyDescent="0.2">
      <c r="A42" s="1078" t="s">
        <v>98</v>
      </c>
      <c r="B42" s="1079" t="s">
        <v>99</v>
      </c>
      <c r="C42" s="103" t="s">
        <v>268</v>
      </c>
      <c r="D42" s="1080">
        <f t="shared" si="6"/>
        <v>288048.15999999997</v>
      </c>
      <c r="E42" s="1080">
        <f t="shared" si="7"/>
        <v>309032.15999999997</v>
      </c>
      <c r="F42" s="1080">
        <f t="shared" si="8"/>
        <v>0</v>
      </c>
      <c r="G42" s="1081">
        <f t="shared" si="9"/>
        <v>-0.03</v>
      </c>
      <c r="H42" s="1081">
        <f t="shared" si="10"/>
        <v>-0.03</v>
      </c>
      <c r="I42" s="1405">
        <f t="shared" si="11"/>
        <v>597080.28999999992</v>
      </c>
      <c r="J42" s="1082">
        <v>102632.67</v>
      </c>
      <c r="K42" s="1083">
        <v>102632.67</v>
      </c>
      <c r="L42" s="1083">
        <v>0</v>
      </c>
      <c r="M42" s="1083">
        <v>-0.03</v>
      </c>
      <c r="N42" s="1083">
        <v>0</v>
      </c>
      <c r="O42" s="1084">
        <f t="shared" si="12"/>
        <v>205265.31</v>
      </c>
      <c r="P42" s="1404">
        <f t="shared" si="13"/>
        <v>-0.03</v>
      </c>
      <c r="Q42" s="1404">
        <f t="shared" si="14"/>
        <v>-0.03</v>
      </c>
      <c r="R42" s="1082">
        <v>185415.49</v>
      </c>
      <c r="S42" s="1083">
        <v>185415.49</v>
      </c>
      <c r="T42" s="1083">
        <v>0</v>
      </c>
      <c r="U42" s="1083">
        <v>0</v>
      </c>
      <c r="V42" s="1083">
        <v>0</v>
      </c>
      <c r="W42" s="1085">
        <f t="shared" si="24"/>
        <v>370830.98</v>
      </c>
      <c r="X42" s="1404">
        <f t="shared" si="15"/>
        <v>0</v>
      </c>
      <c r="Y42" s="1404">
        <f t="shared" si="16"/>
        <v>0</v>
      </c>
      <c r="Z42" s="1082"/>
      <c r="AA42" s="1083"/>
      <c r="AB42" s="1083"/>
      <c r="AC42" s="1083"/>
      <c r="AD42" s="1083"/>
      <c r="AE42" s="1085">
        <f t="shared" si="25"/>
        <v>0</v>
      </c>
      <c r="AF42" s="1404">
        <f t="shared" si="17"/>
        <v>0</v>
      </c>
      <c r="AG42" s="1404">
        <f t="shared" si="18"/>
        <v>0</v>
      </c>
      <c r="AH42" s="1086">
        <v>0</v>
      </c>
      <c r="AI42" s="1087">
        <v>20984</v>
      </c>
      <c r="AJ42" s="1087">
        <v>0</v>
      </c>
      <c r="AK42" s="1087">
        <v>0</v>
      </c>
      <c r="AL42" s="1087">
        <v>0</v>
      </c>
      <c r="AM42" s="1088">
        <f t="shared" si="26"/>
        <v>20984</v>
      </c>
      <c r="AN42" s="1088">
        <f t="shared" si="19"/>
        <v>0</v>
      </c>
      <c r="AO42" s="1088">
        <f t="shared" si="20"/>
        <v>0</v>
      </c>
      <c r="AP42" s="1773"/>
      <c r="AQ42" s="1773"/>
      <c r="AR42" s="1773"/>
      <c r="AS42" s="1773"/>
      <c r="AT42" s="1773"/>
      <c r="AU42" s="1773">
        <f t="shared" si="21"/>
        <v>0</v>
      </c>
      <c r="AV42" s="1773">
        <f t="shared" si="22"/>
        <v>0</v>
      </c>
      <c r="AW42" s="1773">
        <f t="shared" si="23"/>
        <v>0</v>
      </c>
    </row>
    <row r="43" spans="1:49" s="237" customFormat="1" x14ac:dyDescent="0.2">
      <c r="A43" s="1078" t="s">
        <v>100</v>
      </c>
      <c r="B43" s="1079" t="s">
        <v>101</v>
      </c>
      <c r="C43" s="103" t="s">
        <v>267</v>
      </c>
      <c r="D43" s="1080">
        <f t="shared" si="6"/>
        <v>45375.11</v>
      </c>
      <c r="E43" s="1080">
        <f t="shared" si="7"/>
        <v>76919.11</v>
      </c>
      <c r="F43" s="1080">
        <f t="shared" si="8"/>
        <v>0</v>
      </c>
      <c r="G43" s="1081">
        <f t="shared" si="9"/>
        <v>-0.03</v>
      </c>
      <c r="H43" s="1081">
        <f t="shared" si="10"/>
        <v>-0.03</v>
      </c>
      <c r="I43" s="1405">
        <f t="shared" si="11"/>
        <v>122294.19</v>
      </c>
      <c r="J43" s="1082">
        <v>8784.16</v>
      </c>
      <c r="K43" s="1083">
        <v>8784.16</v>
      </c>
      <c r="L43" s="1083">
        <v>0</v>
      </c>
      <c r="M43" s="1083">
        <v>-0.03</v>
      </c>
      <c r="N43" s="1083">
        <v>0</v>
      </c>
      <c r="O43" s="1084">
        <f t="shared" si="12"/>
        <v>17568.29</v>
      </c>
      <c r="P43" s="1404">
        <f t="shared" si="13"/>
        <v>-0.03</v>
      </c>
      <c r="Q43" s="1404">
        <f t="shared" si="14"/>
        <v>-0.03</v>
      </c>
      <c r="R43" s="1082">
        <v>36590.949999999997</v>
      </c>
      <c r="S43" s="1083">
        <v>36590.949999999997</v>
      </c>
      <c r="T43" s="1083">
        <v>0</v>
      </c>
      <c r="U43" s="1083">
        <v>0</v>
      </c>
      <c r="V43" s="1083">
        <v>0</v>
      </c>
      <c r="W43" s="1085">
        <f t="shared" si="24"/>
        <v>73181.899999999994</v>
      </c>
      <c r="X43" s="1404">
        <f t="shared" si="15"/>
        <v>0</v>
      </c>
      <c r="Y43" s="1404">
        <f t="shared" si="16"/>
        <v>0</v>
      </c>
      <c r="Z43" s="1082"/>
      <c r="AA43" s="1083"/>
      <c r="AB43" s="1083"/>
      <c r="AC43" s="1083"/>
      <c r="AD43" s="1083"/>
      <c r="AE43" s="1085">
        <f t="shared" si="25"/>
        <v>0</v>
      </c>
      <c r="AF43" s="1404">
        <f t="shared" si="17"/>
        <v>0</v>
      </c>
      <c r="AG43" s="1404">
        <f t="shared" si="18"/>
        <v>0</v>
      </c>
      <c r="AH43" s="1086">
        <v>0</v>
      </c>
      <c r="AI43" s="1087">
        <v>31544</v>
      </c>
      <c r="AJ43" s="1087">
        <v>0</v>
      </c>
      <c r="AK43" s="1087">
        <v>0</v>
      </c>
      <c r="AL43" s="1087">
        <v>0</v>
      </c>
      <c r="AM43" s="1088">
        <f t="shared" si="26"/>
        <v>31544</v>
      </c>
      <c r="AN43" s="1088">
        <f t="shared" si="19"/>
        <v>0</v>
      </c>
      <c r="AO43" s="1088">
        <f t="shared" si="20"/>
        <v>0</v>
      </c>
      <c r="AP43" s="1773"/>
      <c r="AQ43" s="1773"/>
      <c r="AR43" s="1773"/>
      <c r="AS43" s="1773"/>
      <c r="AT43" s="1773"/>
      <c r="AU43" s="1773">
        <f t="shared" si="21"/>
        <v>0</v>
      </c>
      <c r="AV43" s="1773">
        <f t="shared" si="22"/>
        <v>0</v>
      </c>
      <c r="AW43" s="1773">
        <f t="shared" si="23"/>
        <v>0</v>
      </c>
    </row>
    <row r="44" spans="1:49" s="237" customFormat="1" x14ac:dyDescent="0.2">
      <c r="A44" s="1078" t="s">
        <v>102</v>
      </c>
      <c r="B44" s="1079" t="s">
        <v>103</v>
      </c>
      <c r="C44" s="103" t="s">
        <v>264</v>
      </c>
      <c r="D44" s="1080">
        <f t="shared" si="6"/>
        <v>49720.23</v>
      </c>
      <c r="E44" s="1080">
        <f t="shared" si="7"/>
        <v>47340.43</v>
      </c>
      <c r="F44" s="1080">
        <f t="shared" si="8"/>
        <v>0</v>
      </c>
      <c r="G44" s="1081">
        <f t="shared" si="9"/>
        <v>-0.02</v>
      </c>
      <c r="H44" s="1081">
        <f t="shared" si="10"/>
        <v>-0.02</v>
      </c>
      <c r="I44" s="1405">
        <f t="shared" si="11"/>
        <v>97060.64</v>
      </c>
      <c r="J44" s="1082">
        <v>31456.49</v>
      </c>
      <c r="K44" s="1083">
        <v>31456.49</v>
      </c>
      <c r="L44" s="1083">
        <v>0</v>
      </c>
      <c r="M44" s="1083">
        <v>-0.02</v>
      </c>
      <c r="N44" s="1083">
        <v>0</v>
      </c>
      <c r="O44" s="1084">
        <f t="shared" si="12"/>
        <v>62912.960000000006</v>
      </c>
      <c r="P44" s="1404">
        <f t="shared" si="13"/>
        <v>-0.02</v>
      </c>
      <c r="Q44" s="1404">
        <f t="shared" si="14"/>
        <v>-0.02</v>
      </c>
      <c r="R44" s="1082">
        <v>18303.34</v>
      </c>
      <c r="S44" s="1083">
        <v>18303.34</v>
      </c>
      <c r="T44" s="1083">
        <v>0</v>
      </c>
      <c r="U44" s="1083">
        <v>0</v>
      </c>
      <c r="V44" s="1083">
        <v>0</v>
      </c>
      <c r="W44" s="1085">
        <f t="shared" si="24"/>
        <v>36606.68</v>
      </c>
      <c r="X44" s="1404">
        <f t="shared" si="15"/>
        <v>0</v>
      </c>
      <c r="Y44" s="1404">
        <f t="shared" si="16"/>
        <v>0</v>
      </c>
      <c r="Z44" s="1086"/>
      <c r="AA44" s="1087"/>
      <c r="AB44" s="1087"/>
      <c r="AC44" s="1087"/>
      <c r="AD44" s="1087"/>
      <c r="AE44" s="1085">
        <f t="shared" si="25"/>
        <v>0</v>
      </c>
      <c r="AF44" s="1404">
        <f t="shared" si="17"/>
        <v>0</v>
      </c>
      <c r="AG44" s="1404">
        <f t="shared" si="18"/>
        <v>0</v>
      </c>
      <c r="AH44" s="1086">
        <v>-39.6</v>
      </c>
      <c r="AI44" s="1087">
        <v>-2419.4</v>
      </c>
      <c r="AJ44" s="1087">
        <v>0</v>
      </c>
      <c r="AK44" s="1087">
        <v>0</v>
      </c>
      <c r="AL44" s="1087">
        <v>0</v>
      </c>
      <c r="AM44" s="1088">
        <f t="shared" si="26"/>
        <v>-2459</v>
      </c>
      <c r="AN44" s="1088">
        <f t="shared" si="19"/>
        <v>0</v>
      </c>
      <c r="AO44" s="1088">
        <f t="shared" si="20"/>
        <v>0</v>
      </c>
      <c r="AP44" s="1773"/>
      <c r="AQ44" s="1773"/>
      <c r="AR44" s="1773"/>
      <c r="AS44" s="1773"/>
      <c r="AT44" s="1773"/>
      <c r="AU44" s="1773">
        <f t="shared" si="21"/>
        <v>0</v>
      </c>
      <c r="AV44" s="1773">
        <f t="shared" si="22"/>
        <v>0</v>
      </c>
      <c r="AW44" s="1773">
        <f t="shared" si="23"/>
        <v>0</v>
      </c>
    </row>
    <row r="45" spans="1:49" s="237" customFormat="1" x14ac:dyDescent="0.2">
      <c r="A45" s="1078" t="s">
        <v>104</v>
      </c>
      <c r="B45" s="1079" t="s">
        <v>309</v>
      </c>
      <c r="C45" s="103" t="s">
        <v>265</v>
      </c>
      <c r="D45" s="1080">
        <f t="shared" si="6"/>
        <v>307675.64</v>
      </c>
      <c r="E45" s="1080">
        <f t="shared" si="7"/>
        <v>336354.45999999996</v>
      </c>
      <c r="F45" s="1080">
        <f t="shared" si="8"/>
        <v>0</v>
      </c>
      <c r="G45" s="1081">
        <f t="shared" si="9"/>
        <v>-0.06</v>
      </c>
      <c r="H45" s="1081">
        <f t="shared" si="10"/>
        <v>-0.06</v>
      </c>
      <c r="I45" s="1405">
        <f t="shared" si="11"/>
        <v>644030.03999999992</v>
      </c>
      <c r="J45" s="1082">
        <v>76987.42</v>
      </c>
      <c r="K45" s="1083">
        <v>76987.42</v>
      </c>
      <c r="L45" s="1083">
        <v>0</v>
      </c>
      <c r="M45" s="1083">
        <v>-0.06</v>
      </c>
      <c r="N45" s="1083">
        <v>0</v>
      </c>
      <c r="O45" s="1084">
        <f t="shared" si="12"/>
        <v>153974.78</v>
      </c>
      <c r="P45" s="1404">
        <f t="shared" si="13"/>
        <v>-0.06</v>
      </c>
      <c r="Q45" s="1404">
        <f t="shared" si="14"/>
        <v>-0.06</v>
      </c>
      <c r="R45" s="1082">
        <v>227776.63</v>
      </c>
      <c r="S45" s="1083">
        <v>227776.63</v>
      </c>
      <c r="T45" s="1083">
        <v>0</v>
      </c>
      <c r="U45" s="1083">
        <v>0</v>
      </c>
      <c r="V45" s="1083">
        <v>0</v>
      </c>
      <c r="W45" s="1085">
        <f t="shared" si="24"/>
        <v>455553.26</v>
      </c>
      <c r="X45" s="1404">
        <f t="shared" si="15"/>
        <v>0</v>
      </c>
      <c r="Y45" s="1404">
        <f t="shared" si="16"/>
        <v>0</v>
      </c>
      <c r="Z45" s="1082"/>
      <c r="AA45" s="1083"/>
      <c r="AB45" s="1083"/>
      <c r="AC45" s="1083"/>
      <c r="AD45" s="1083"/>
      <c r="AE45" s="1085">
        <f t="shared" si="25"/>
        <v>0</v>
      </c>
      <c r="AF45" s="1404">
        <f t="shared" si="17"/>
        <v>0</v>
      </c>
      <c r="AG45" s="1404">
        <f t="shared" si="18"/>
        <v>0</v>
      </c>
      <c r="AH45" s="1086">
        <v>2911.59</v>
      </c>
      <c r="AI45" s="1087">
        <v>31590.41</v>
      </c>
      <c r="AJ45" s="1087">
        <v>0</v>
      </c>
      <c r="AK45" s="1087">
        <v>0</v>
      </c>
      <c r="AL45" s="1087">
        <v>0</v>
      </c>
      <c r="AM45" s="1088">
        <f t="shared" si="26"/>
        <v>34502</v>
      </c>
      <c r="AN45" s="1088">
        <f t="shared" si="19"/>
        <v>0</v>
      </c>
      <c r="AO45" s="1088">
        <f t="shared" si="20"/>
        <v>0</v>
      </c>
      <c r="AP45" s="1773"/>
      <c r="AQ45" s="1773"/>
      <c r="AR45" s="1773"/>
      <c r="AS45" s="1773"/>
      <c r="AT45" s="1773"/>
      <c r="AU45" s="1773">
        <f t="shared" si="21"/>
        <v>0</v>
      </c>
      <c r="AV45" s="1773">
        <f t="shared" si="22"/>
        <v>0</v>
      </c>
      <c r="AW45" s="1773">
        <f t="shared" si="23"/>
        <v>0</v>
      </c>
    </row>
    <row r="46" spans="1:49" s="237" customFormat="1" x14ac:dyDescent="0.2">
      <c r="A46" s="1078" t="s">
        <v>108</v>
      </c>
      <c r="B46" s="1079" t="s">
        <v>109</v>
      </c>
      <c r="C46" s="103" t="s">
        <v>266</v>
      </c>
      <c r="D46" s="1080">
        <f t="shared" si="6"/>
        <v>419308.24000000005</v>
      </c>
      <c r="E46" s="1080">
        <f t="shared" si="7"/>
        <v>504132.73000000004</v>
      </c>
      <c r="F46" s="1080">
        <f t="shared" si="8"/>
        <v>0</v>
      </c>
      <c r="G46" s="1081">
        <f t="shared" si="9"/>
        <v>-0.21999999999999997</v>
      </c>
      <c r="H46" s="1081">
        <f t="shared" si="10"/>
        <v>-0.21999999999999997</v>
      </c>
      <c r="I46" s="1405">
        <f t="shared" si="11"/>
        <v>923440.75000000012</v>
      </c>
      <c r="J46" s="1082">
        <v>153763.79</v>
      </c>
      <c r="K46" s="1083">
        <v>153763.79</v>
      </c>
      <c r="L46" s="1083">
        <v>0</v>
      </c>
      <c r="M46" s="1083">
        <v>-0.18</v>
      </c>
      <c r="N46" s="1083">
        <v>0</v>
      </c>
      <c r="O46" s="1084">
        <f t="shared" si="12"/>
        <v>307527.40000000002</v>
      </c>
      <c r="P46" s="1404">
        <f t="shared" si="13"/>
        <v>-0.18</v>
      </c>
      <c r="Q46" s="1404">
        <f t="shared" si="14"/>
        <v>-0.18</v>
      </c>
      <c r="R46" s="1082">
        <v>235628.51</v>
      </c>
      <c r="S46" s="1083">
        <v>235628.51</v>
      </c>
      <c r="T46" s="1083">
        <v>0</v>
      </c>
      <c r="U46" s="1083">
        <v>-0.02</v>
      </c>
      <c r="V46" s="1083">
        <v>0</v>
      </c>
      <c r="W46" s="1085">
        <f t="shared" si="24"/>
        <v>471257</v>
      </c>
      <c r="X46" s="1404">
        <f t="shared" si="15"/>
        <v>-0.02</v>
      </c>
      <c r="Y46" s="1404">
        <f t="shared" si="16"/>
        <v>-0.02</v>
      </c>
      <c r="Z46" s="1082"/>
      <c r="AA46" s="1083"/>
      <c r="AB46" s="1083"/>
      <c r="AC46" s="1083"/>
      <c r="AD46" s="1083"/>
      <c r="AE46" s="1085">
        <f t="shared" si="25"/>
        <v>0</v>
      </c>
      <c r="AF46" s="1404">
        <f t="shared" si="17"/>
        <v>0</v>
      </c>
      <c r="AG46" s="1404">
        <f t="shared" si="18"/>
        <v>0</v>
      </c>
      <c r="AH46" s="1086">
        <v>29915.94</v>
      </c>
      <c r="AI46" s="1087">
        <v>114740.43</v>
      </c>
      <c r="AJ46" s="1087">
        <v>0</v>
      </c>
      <c r="AK46" s="1087">
        <v>-0.02</v>
      </c>
      <c r="AL46" s="1087">
        <v>0</v>
      </c>
      <c r="AM46" s="1088">
        <f t="shared" si="26"/>
        <v>144656.35</v>
      </c>
      <c r="AN46" s="1088">
        <f t="shared" si="19"/>
        <v>-0.02</v>
      </c>
      <c r="AO46" s="1088">
        <f t="shared" si="20"/>
        <v>-0.02</v>
      </c>
      <c r="AP46" s="1773"/>
      <c r="AQ46" s="1773"/>
      <c r="AR46" s="1773"/>
      <c r="AS46" s="1773"/>
      <c r="AT46" s="1773"/>
      <c r="AU46" s="1773">
        <f t="shared" si="21"/>
        <v>0</v>
      </c>
      <c r="AV46" s="1773">
        <f t="shared" si="22"/>
        <v>0</v>
      </c>
      <c r="AW46" s="1773">
        <f t="shared" si="23"/>
        <v>0</v>
      </c>
    </row>
    <row r="47" spans="1:49" s="237" customFormat="1" x14ac:dyDescent="0.2">
      <c r="A47" s="1078" t="s">
        <v>110</v>
      </c>
      <c r="B47" s="1079" t="s">
        <v>111</v>
      </c>
      <c r="C47" s="103" t="s">
        <v>266</v>
      </c>
      <c r="D47" s="1080">
        <f t="shared" si="6"/>
        <v>1247599.6099999999</v>
      </c>
      <c r="E47" s="1080">
        <f t="shared" si="7"/>
        <v>1673319.1400000001</v>
      </c>
      <c r="F47" s="1080">
        <f t="shared" si="8"/>
        <v>0</v>
      </c>
      <c r="G47" s="1081">
        <f t="shared" si="9"/>
        <v>-0.42000000000000004</v>
      </c>
      <c r="H47" s="1081">
        <f t="shared" si="10"/>
        <v>-0.42000000000000004</v>
      </c>
      <c r="I47" s="1405">
        <f t="shared" si="11"/>
        <v>2920918.33</v>
      </c>
      <c r="J47" s="1082">
        <v>614295.39</v>
      </c>
      <c r="K47" s="1083">
        <v>614295.39</v>
      </c>
      <c r="L47" s="1083">
        <v>0</v>
      </c>
      <c r="M47" s="1083">
        <v>-0.33</v>
      </c>
      <c r="N47" s="1083">
        <v>0</v>
      </c>
      <c r="O47" s="1084">
        <f t="shared" si="12"/>
        <v>1228590.45</v>
      </c>
      <c r="P47" s="1404">
        <f t="shared" si="13"/>
        <v>-0.33</v>
      </c>
      <c r="Q47" s="1404">
        <f t="shared" si="14"/>
        <v>-0.33</v>
      </c>
      <c r="R47" s="1082">
        <v>509307.59</v>
      </c>
      <c r="S47" s="1083">
        <v>509307.59</v>
      </c>
      <c r="T47" s="1083">
        <v>0</v>
      </c>
      <c r="U47" s="1083">
        <v>-0.09</v>
      </c>
      <c r="V47" s="1083">
        <v>0</v>
      </c>
      <c r="W47" s="1085">
        <f t="shared" si="24"/>
        <v>1018615.0900000001</v>
      </c>
      <c r="X47" s="1404">
        <f t="shared" si="15"/>
        <v>-0.09</v>
      </c>
      <c r="Y47" s="1404">
        <f t="shared" si="16"/>
        <v>-0.09</v>
      </c>
      <c r="Z47" s="1082"/>
      <c r="AA47" s="1083"/>
      <c r="AB47" s="1083"/>
      <c r="AC47" s="1083"/>
      <c r="AD47" s="1083"/>
      <c r="AE47" s="1085">
        <f t="shared" si="25"/>
        <v>0</v>
      </c>
      <c r="AF47" s="1404">
        <f t="shared" si="17"/>
        <v>0</v>
      </c>
      <c r="AG47" s="1404">
        <f t="shared" si="18"/>
        <v>0</v>
      </c>
      <c r="AH47" s="1086">
        <v>123971.63</v>
      </c>
      <c r="AI47" s="1087">
        <v>549716.16</v>
      </c>
      <c r="AJ47" s="1087">
        <v>0</v>
      </c>
      <c r="AK47" s="1087">
        <v>0</v>
      </c>
      <c r="AL47" s="1087">
        <v>0</v>
      </c>
      <c r="AM47" s="1088">
        <f t="shared" si="26"/>
        <v>673687.79</v>
      </c>
      <c r="AN47" s="1088">
        <f t="shared" si="19"/>
        <v>0</v>
      </c>
      <c r="AO47" s="1088">
        <f t="shared" si="20"/>
        <v>0</v>
      </c>
      <c r="AP47" s="1773">
        <v>25</v>
      </c>
      <c r="AQ47" s="1773">
        <v>0</v>
      </c>
      <c r="AR47" s="1773">
        <v>0</v>
      </c>
      <c r="AS47" s="1773">
        <v>0</v>
      </c>
      <c r="AT47" s="1773">
        <v>0</v>
      </c>
      <c r="AU47" s="1773">
        <f t="shared" si="21"/>
        <v>25</v>
      </c>
      <c r="AV47" s="1773">
        <f t="shared" si="22"/>
        <v>0</v>
      </c>
      <c r="AW47" s="1773">
        <f t="shared" si="23"/>
        <v>0</v>
      </c>
    </row>
    <row r="48" spans="1:49" s="237" customFormat="1" x14ac:dyDescent="0.2">
      <c r="A48" s="1078" t="s">
        <v>112</v>
      </c>
      <c r="B48" s="1079" t="s">
        <v>300</v>
      </c>
      <c r="C48" s="103" t="s">
        <v>265</v>
      </c>
      <c r="D48" s="1080">
        <f t="shared" si="6"/>
        <v>438552.55999999994</v>
      </c>
      <c r="E48" s="1080">
        <f t="shared" si="7"/>
        <v>525646.80999999994</v>
      </c>
      <c r="F48" s="1080">
        <f t="shared" si="8"/>
        <v>0</v>
      </c>
      <c r="G48" s="1081">
        <f t="shared" si="9"/>
        <v>-6.0000000000000005E-2</v>
      </c>
      <c r="H48" s="1081">
        <f t="shared" si="10"/>
        <v>-6.0000000000000005E-2</v>
      </c>
      <c r="I48" s="1405">
        <f t="shared" si="11"/>
        <v>964199.30999999982</v>
      </c>
      <c r="J48" s="1082">
        <v>149937.10999999999</v>
      </c>
      <c r="K48" s="1083">
        <v>149937.10999999999</v>
      </c>
      <c r="L48" s="1083">
        <v>0</v>
      </c>
      <c r="M48" s="1083">
        <v>-6.0000000000000005E-2</v>
      </c>
      <c r="N48" s="1083">
        <v>0</v>
      </c>
      <c r="O48" s="1084">
        <f t="shared" si="12"/>
        <v>299874.15999999997</v>
      </c>
      <c r="P48" s="1404">
        <f t="shared" si="13"/>
        <v>-6.0000000000000005E-2</v>
      </c>
      <c r="Q48" s="1404">
        <f t="shared" si="14"/>
        <v>-6.0000000000000005E-2</v>
      </c>
      <c r="R48" s="1082">
        <v>286347.69999999995</v>
      </c>
      <c r="S48" s="1083">
        <v>286347.69999999995</v>
      </c>
      <c r="T48" s="1083">
        <v>0</v>
      </c>
      <c r="U48" s="1083">
        <v>0</v>
      </c>
      <c r="V48" s="1083">
        <v>0</v>
      </c>
      <c r="W48" s="1085">
        <f t="shared" si="24"/>
        <v>572695.39999999991</v>
      </c>
      <c r="X48" s="1404">
        <f t="shared" si="15"/>
        <v>0</v>
      </c>
      <c r="Y48" s="1404">
        <f t="shared" si="16"/>
        <v>0</v>
      </c>
      <c r="Z48" s="1082"/>
      <c r="AA48" s="1083"/>
      <c r="AB48" s="1083"/>
      <c r="AC48" s="1083"/>
      <c r="AD48" s="1083"/>
      <c r="AE48" s="1085">
        <f t="shared" si="25"/>
        <v>0</v>
      </c>
      <c r="AF48" s="1404">
        <f t="shared" si="17"/>
        <v>0</v>
      </c>
      <c r="AG48" s="1404">
        <f t="shared" si="18"/>
        <v>0</v>
      </c>
      <c r="AH48" s="1086">
        <v>0</v>
      </c>
      <c r="AI48" s="1087">
        <v>89362</v>
      </c>
      <c r="AJ48" s="1087">
        <v>0</v>
      </c>
      <c r="AK48" s="1087">
        <v>0</v>
      </c>
      <c r="AL48" s="1087">
        <v>0</v>
      </c>
      <c r="AM48" s="1088">
        <f t="shared" si="26"/>
        <v>89362</v>
      </c>
      <c r="AN48" s="1088">
        <f t="shared" si="19"/>
        <v>0</v>
      </c>
      <c r="AO48" s="1088">
        <f t="shared" si="20"/>
        <v>0</v>
      </c>
      <c r="AP48" s="1773">
        <v>2267.75</v>
      </c>
      <c r="AQ48" s="1773">
        <v>0</v>
      </c>
      <c r="AR48" s="1773">
        <v>0</v>
      </c>
      <c r="AS48" s="1773">
        <v>0</v>
      </c>
      <c r="AT48" s="1773">
        <v>0</v>
      </c>
      <c r="AU48" s="1773">
        <f t="shared" si="21"/>
        <v>2267.75</v>
      </c>
      <c r="AV48" s="1773">
        <f t="shared" si="22"/>
        <v>0</v>
      </c>
      <c r="AW48" s="1773">
        <f t="shared" si="23"/>
        <v>0</v>
      </c>
    </row>
    <row r="49" spans="1:49" s="237" customFormat="1" x14ac:dyDescent="0.2">
      <c r="A49" s="1078" t="s">
        <v>114</v>
      </c>
      <c r="B49" s="1079" t="s">
        <v>115</v>
      </c>
      <c r="C49" s="103" t="s">
        <v>265</v>
      </c>
      <c r="D49" s="1080">
        <f t="shared" si="6"/>
        <v>9690</v>
      </c>
      <c r="E49" s="1080">
        <f t="shared" si="7"/>
        <v>9690</v>
      </c>
      <c r="F49" s="1080">
        <f t="shared" si="8"/>
        <v>0</v>
      </c>
      <c r="G49" s="1081">
        <f t="shared" si="9"/>
        <v>0</v>
      </c>
      <c r="H49" s="1081">
        <f t="shared" si="10"/>
        <v>0</v>
      </c>
      <c r="I49" s="1405">
        <f t="shared" si="11"/>
        <v>19380</v>
      </c>
      <c r="J49" s="1082">
        <v>0</v>
      </c>
      <c r="K49" s="1083">
        <v>0</v>
      </c>
      <c r="L49" s="1083">
        <v>0</v>
      </c>
      <c r="M49" s="1083">
        <v>0</v>
      </c>
      <c r="N49" s="1083">
        <v>0</v>
      </c>
      <c r="O49" s="1084">
        <f t="shared" si="12"/>
        <v>0</v>
      </c>
      <c r="P49" s="1404">
        <f t="shared" si="13"/>
        <v>0</v>
      </c>
      <c r="Q49" s="1404">
        <f t="shared" si="14"/>
        <v>0</v>
      </c>
      <c r="R49" s="1082">
        <v>9690</v>
      </c>
      <c r="S49" s="1083">
        <v>9690</v>
      </c>
      <c r="T49" s="1083">
        <v>0</v>
      </c>
      <c r="U49" s="1083">
        <v>0</v>
      </c>
      <c r="V49" s="1083">
        <v>0</v>
      </c>
      <c r="W49" s="1085">
        <f t="shared" si="24"/>
        <v>19380</v>
      </c>
      <c r="X49" s="1404">
        <f t="shared" si="15"/>
        <v>0</v>
      </c>
      <c r="Y49" s="1404">
        <f t="shared" si="16"/>
        <v>0</v>
      </c>
      <c r="Z49" s="1086"/>
      <c r="AA49" s="1087"/>
      <c r="AB49" s="1087"/>
      <c r="AC49" s="1087"/>
      <c r="AD49" s="1087"/>
      <c r="AE49" s="1085">
        <f t="shared" si="25"/>
        <v>0</v>
      </c>
      <c r="AF49" s="1404">
        <f t="shared" si="17"/>
        <v>0</v>
      </c>
      <c r="AG49" s="1404">
        <f t="shared" si="18"/>
        <v>0</v>
      </c>
      <c r="AH49" s="1086">
        <v>0</v>
      </c>
      <c r="AI49" s="1087">
        <v>0</v>
      </c>
      <c r="AJ49" s="1087">
        <v>0</v>
      </c>
      <c r="AK49" s="1087">
        <v>0</v>
      </c>
      <c r="AL49" s="1087">
        <v>0</v>
      </c>
      <c r="AM49" s="1088">
        <f t="shared" si="26"/>
        <v>0</v>
      </c>
      <c r="AN49" s="1088">
        <f t="shared" si="19"/>
        <v>0</v>
      </c>
      <c r="AO49" s="1088">
        <f t="shared" si="20"/>
        <v>0</v>
      </c>
      <c r="AP49" s="1773"/>
      <c r="AQ49" s="1773"/>
      <c r="AR49" s="1773"/>
      <c r="AS49" s="1773"/>
      <c r="AT49" s="1773"/>
      <c r="AU49" s="1773">
        <f t="shared" si="21"/>
        <v>0</v>
      </c>
      <c r="AV49" s="1773">
        <f t="shared" si="22"/>
        <v>0</v>
      </c>
      <c r="AW49" s="1773">
        <f t="shared" si="23"/>
        <v>0</v>
      </c>
    </row>
    <row r="50" spans="1:49" s="237" customFormat="1" x14ac:dyDescent="0.2">
      <c r="A50" s="1078" t="s">
        <v>118</v>
      </c>
      <c r="B50" s="1079" t="s">
        <v>119</v>
      </c>
      <c r="C50" s="103" t="s">
        <v>264</v>
      </c>
      <c r="D50" s="1080">
        <f t="shared" si="6"/>
        <v>91391.559999999983</v>
      </c>
      <c r="E50" s="1080">
        <f t="shared" si="7"/>
        <v>141184.19</v>
      </c>
      <c r="F50" s="1080">
        <f t="shared" si="8"/>
        <v>0</v>
      </c>
      <c r="G50" s="1081">
        <f t="shared" si="9"/>
        <v>-0.04</v>
      </c>
      <c r="H50" s="1081">
        <f t="shared" si="10"/>
        <v>-0.04</v>
      </c>
      <c r="I50" s="1405">
        <f t="shared" si="11"/>
        <v>232575.71</v>
      </c>
      <c r="J50" s="1082">
        <v>19907.37</v>
      </c>
      <c r="K50" s="1083">
        <v>19907.37</v>
      </c>
      <c r="L50" s="1083">
        <v>0</v>
      </c>
      <c r="M50" s="1083">
        <v>-0.03</v>
      </c>
      <c r="N50" s="1083">
        <v>0</v>
      </c>
      <c r="O50" s="1084">
        <f t="shared" si="12"/>
        <v>39814.71</v>
      </c>
      <c r="P50" s="1404">
        <f t="shared" si="13"/>
        <v>-0.03</v>
      </c>
      <c r="Q50" s="1404">
        <f t="shared" si="14"/>
        <v>-0.03</v>
      </c>
      <c r="R50" s="1082">
        <v>63677.89</v>
      </c>
      <c r="S50" s="1083">
        <v>63677.89</v>
      </c>
      <c r="T50" s="1083">
        <v>0</v>
      </c>
      <c r="U50" s="1083">
        <v>-0.01</v>
      </c>
      <c r="V50" s="1083">
        <v>0</v>
      </c>
      <c r="W50" s="1085">
        <f t="shared" si="24"/>
        <v>127355.77</v>
      </c>
      <c r="X50" s="1404">
        <f t="shared" si="15"/>
        <v>-0.01</v>
      </c>
      <c r="Y50" s="1404">
        <f t="shared" si="16"/>
        <v>-0.01</v>
      </c>
      <c r="Z50" s="1082"/>
      <c r="AA50" s="1083"/>
      <c r="AB50" s="1083"/>
      <c r="AC50" s="1083"/>
      <c r="AD50" s="1083"/>
      <c r="AE50" s="1085">
        <f t="shared" si="25"/>
        <v>0</v>
      </c>
      <c r="AF50" s="1404">
        <f t="shared" si="17"/>
        <v>0</v>
      </c>
      <c r="AG50" s="1404">
        <f t="shared" si="18"/>
        <v>0</v>
      </c>
      <c r="AH50" s="1086">
        <v>7302.82</v>
      </c>
      <c r="AI50" s="1087">
        <v>57598.93</v>
      </c>
      <c r="AJ50" s="1087">
        <v>0</v>
      </c>
      <c r="AK50" s="1087">
        <v>0</v>
      </c>
      <c r="AL50" s="1087">
        <v>0</v>
      </c>
      <c r="AM50" s="1088">
        <f t="shared" si="26"/>
        <v>64901.75</v>
      </c>
      <c r="AN50" s="1088">
        <f t="shared" si="19"/>
        <v>0</v>
      </c>
      <c r="AO50" s="1088">
        <f t="shared" si="20"/>
        <v>0</v>
      </c>
      <c r="AP50" s="1773">
        <v>503.48</v>
      </c>
      <c r="AQ50" s="1773">
        <v>0</v>
      </c>
      <c r="AR50" s="1773">
        <v>0</v>
      </c>
      <c r="AS50" s="1773">
        <v>0</v>
      </c>
      <c r="AT50" s="1773">
        <v>0</v>
      </c>
      <c r="AU50" s="1773">
        <f t="shared" si="21"/>
        <v>503.48</v>
      </c>
      <c r="AV50" s="1773">
        <f t="shared" si="22"/>
        <v>0</v>
      </c>
      <c r="AW50" s="1773">
        <f t="shared" si="23"/>
        <v>0</v>
      </c>
    </row>
    <row r="51" spans="1:49" s="237" customFormat="1" x14ac:dyDescent="0.2">
      <c r="A51" s="1078" t="s">
        <v>120</v>
      </c>
      <c r="B51" s="1079" t="s">
        <v>121</v>
      </c>
      <c r="C51" s="103" t="s">
        <v>264</v>
      </c>
      <c r="D51" s="1080">
        <f t="shared" si="6"/>
        <v>372804.54</v>
      </c>
      <c r="E51" s="1080">
        <f t="shared" si="7"/>
        <v>497451.39999999997</v>
      </c>
      <c r="F51" s="1080">
        <f t="shared" si="8"/>
        <v>0</v>
      </c>
      <c r="G51" s="1081">
        <f t="shared" si="9"/>
        <v>423.15000000000003</v>
      </c>
      <c r="H51" s="1081">
        <f t="shared" si="10"/>
        <v>423.15000000000003</v>
      </c>
      <c r="I51" s="1405">
        <f t="shared" si="11"/>
        <v>870679.09</v>
      </c>
      <c r="J51" s="1082">
        <v>38798.980000000003</v>
      </c>
      <c r="K51" s="1083">
        <v>38798.980000000003</v>
      </c>
      <c r="L51" s="1083">
        <v>0</v>
      </c>
      <c r="M51" s="1083">
        <v>423.16</v>
      </c>
      <c r="N51" s="1083">
        <v>0</v>
      </c>
      <c r="O51" s="1084">
        <f t="shared" si="12"/>
        <v>78021.12000000001</v>
      </c>
      <c r="P51" s="1404">
        <f t="shared" si="13"/>
        <v>423.16</v>
      </c>
      <c r="Q51" s="1404">
        <f t="shared" si="14"/>
        <v>423.16</v>
      </c>
      <c r="R51" s="1082">
        <v>309452.71999999997</v>
      </c>
      <c r="S51" s="1083">
        <v>309452.71999999997</v>
      </c>
      <c r="T51" s="1083">
        <v>0</v>
      </c>
      <c r="U51" s="1083">
        <v>-0.01</v>
      </c>
      <c r="V51" s="1083">
        <v>0</v>
      </c>
      <c r="W51" s="1085">
        <f t="shared" si="24"/>
        <v>618905.42999999993</v>
      </c>
      <c r="X51" s="1404">
        <f t="shared" si="15"/>
        <v>-0.01</v>
      </c>
      <c r="Y51" s="1404">
        <f t="shared" si="16"/>
        <v>-0.01</v>
      </c>
      <c r="Z51" s="1082"/>
      <c r="AA51" s="1083"/>
      <c r="AB51" s="1083"/>
      <c r="AC51" s="1083"/>
      <c r="AD51" s="1083"/>
      <c r="AE51" s="1085">
        <f t="shared" si="25"/>
        <v>0</v>
      </c>
      <c r="AF51" s="1404">
        <f t="shared" si="17"/>
        <v>0</v>
      </c>
      <c r="AG51" s="1404">
        <f t="shared" si="18"/>
        <v>0</v>
      </c>
      <c r="AH51" s="1086">
        <v>24552.84</v>
      </c>
      <c r="AI51" s="1087">
        <v>149199.70000000001</v>
      </c>
      <c r="AJ51" s="1087">
        <v>0</v>
      </c>
      <c r="AK51" s="1087">
        <v>0</v>
      </c>
      <c r="AL51" s="1087">
        <v>0</v>
      </c>
      <c r="AM51" s="1088">
        <f t="shared" si="26"/>
        <v>173752.54</v>
      </c>
      <c r="AN51" s="1088">
        <f t="shared" si="19"/>
        <v>0</v>
      </c>
      <c r="AO51" s="1088">
        <f t="shared" si="20"/>
        <v>0</v>
      </c>
      <c r="AP51" s="1773"/>
      <c r="AQ51" s="1773"/>
      <c r="AR51" s="1773"/>
      <c r="AS51" s="1773"/>
      <c r="AT51" s="1773"/>
      <c r="AU51" s="1773">
        <f t="shared" si="21"/>
        <v>0</v>
      </c>
      <c r="AV51" s="1773">
        <f t="shared" si="22"/>
        <v>0</v>
      </c>
      <c r="AW51" s="1773">
        <f t="shared" si="23"/>
        <v>0</v>
      </c>
    </row>
    <row r="52" spans="1:49" s="237" customFormat="1" x14ac:dyDescent="0.2">
      <c r="A52" s="1078" t="s">
        <v>122</v>
      </c>
      <c r="B52" s="1079" t="s">
        <v>271</v>
      </c>
      <c r="C52" s="103" t="s">
        <v>266</v>
      </c>
      <c r="D52" s="1080">
        <f t="shared" si="6"/>
        <v>70727.89</v>
      </c>
      <c r="E52" s="1080">
        <f t="shared" si="7"/>
        <v>125191.06</v>
      </c>
      <c r="F52" s="1080">
        <f t="shared" si="8"/>
        <v>0</v>
      </c>
      <c r="G52" s="1081">
        <f t="shared" si="9"/>
        <v>0.02</v>
      </c>
      <c r="H52" s="1081">
        <f t="shared" si="10"/>
        <v>0.02</v>
      </c>
      <c r="I52" s="1405">
        <f t="shared" si="11"/>
        <v>195918.97</v>
      </c>
      <c r="J52" s="1082">
        <v>27262.240000000002</v>
      </c>
      <c r="K52" s="1083">
        <v>27262.240000000002</v>
      </c>
      <c r="L52" s="1083">
        <v>0</v>
      </c>
      <c r="M52" s="1083">
        <v>0.02</v>
      </c>
      <c r="N52" s="1083">
        <v>0</v>
      </c>
      <c r="O52" s="1084">
        <f t="shared" si="12"/>
        <v>54524.5</v>
      </c>
      <c r="P52" s="1404">
        <f t="shared" si="13"/>
        <v>0.02</v>
      </c>
      <c r="Q52" s="1404">
        <f t="shared" si="14"/>
        <v>0.02</v>
      </c>
      <c r="R52" s="1082">
        <v>39207</v>
      </c>
      <c r="S52" s="1083">
        <v>39207</v>
      </c>
      <c r="T52" s="1083">
        <v>0</v>
      </c>
      <c r="U52" s="1083">
        <v>0</v>
      </c>
      <c r="V52" s="1083">
        <v>0</v>
      </c>
      <c r="W52" s="1085">
        <f t="shared" si="24"/>
        <v>78414</v>
      </c>
      <c r="X52" s="1404">
        <f t="shared" si="15"/>
        <v>0</v>
      </c>
      <c r="Y52" s="1404">
        <f t="shared" si="16"/>
        <v>0</v>
      </c>
      <c r="Z52" s="1082"/>
      <c r="AA52" s="1083"/>
      <c r="AB52" s="1083"/>
      <c r="AC52" s="1083"/>
      <c r="AD52" s="1083"/>
      <c r="AE52" s="1085">
        <f t="shared" si="25"/>
        <v>0</v>
      </c>
      <c r="AF52" s="1404">
        <f t="shared" si="17"/>
        <v>0</v>
      </c>
      <c r="AG52" s="1404">
        <f t="shared" si="18"/>
        <v>0</v>
      </c>
      <c r="AH52" s="1086">
        <v>4258.6499999999996</v>
      </c>
      <c r="AI52" s="1087">
        <v>58721.82</v>
      </c>
      <c r="AJ52" s="1087">
        <v>0</v>
      </c>
      <c r="AK52" s="1087">
        <v>0</v>
      </c>
      <c r="AL52" s="1087">
        <v>0</v>
      </c>
      <c r="AM52" s="1088">
        <f t="shared" si="26"/>
        <v>62980.47</v>
      </c>
      <c r="AN52" s="1088">
        <f t="shared" si="19"/>
        <v>0</v>
      </c>
      <c r="AO52" s="1088">
        <f t="shared" si="20"/>
        <v>0</v>
      </c>
      <c r="AP52" s="1773"/>
      <c r="AQ52" s="1773"/>
      <c r="AR52" s="1773"/>
      <c r="AS52" s="1773"/>
      <c r="AT52" s="1773"/>
      <c r="AU52" s="1773">
        <f t="shared" si="21"/>
        <v>0</v>
      </c>
      <c r="AV52" s="1773">
        <f t="shared" si="22"/>
        <v>0</v>
      </c>
      <c r="AW52" s="1773">
        <f t="shared" si="23"/>
        <v>0</v>
      </c>
    </row>
    <row r="53" spans="1:49" s="237" customFormat="1" x14ac:dyDescent="0.2">
      <c r="A53" s="1078" t="s">
        <v>124</v>
      </c>
      <c r="B53" s="1079" t="s">
        <v>125</v>
      </c>
      <c r="C53" s="103" t="s">
        <v>267</v>
      </c>
      <c r="D53" s="1080">
        <f t="shared" si="6"/>
        <v>78729.650000000009</v>
      </c>
      <c r="E53" s="1080">
        <f t="shared" si="7"/>
        <v>128270.47</v>
      </c>
      <c r="F53" s="1080">
        <f t="shared" si="8"/>
        <v>0</v>
      </c>
      <c r="G53" s="1081">
        <f t="shared" si="9"/>
        <v>-0.04</v>
      </c>
      <c r="H53" s="1081">
        <f t="shared" si="10"/>
        <v>-0.04</v>
      </c>
      <c r="I53" s="1405">
        <f t="shared" si="11"/>
        <v>207000.08</v>
      </c>
      <c r="J53" s="1082">
        <v>10010.06</v>
      </c>
      <c r="K53" s="1083">
        <v>10010.06</v>
      </c>
      <c r="L53" s="1083">
        <v>0</v>
      </c>
      <c r="M53" s="1083">
        <v>-0.02</v>
      </c>
      <c r="N53" s="1083">
        <v>0</v>
      </c>
      <c r="O53" s="1084">
        <f t="shared" si="12"/>
        <v>20020.099999999999</v>
      </c>
      <c r="P53" s="1404">
        <f t="shared" si="13"/>
        <v>-0.02</v>
      </c>
      <c r="Q53" s="1404">
        <f t="shared" si="14"/>
        <v>-0.02</v>
      </c>
      <c r="R53" s="1082">
        <v>67243.490000000005</v>
      </c>
      <c r="S53" s="1083">
        <v>67243.490000000005</v>
      </c>
      <c r="T53" s="1083">
        <v>0</v>
      </c>
      <c r="U53" s="1083">
        <v>0</v>
      </c>
      <c r="V53" s="1083">
        <v>0</v>
      </c>
      <c r="W53" s="1085">
        <f t="shared" si="24"/>
        <v>134486.98000000001</v>
      </c>
      <c r="X53" s="1404">
        <f t="shared" si="15"/>
        <v>0</v>
      </c>
      <c r="Y53" s="1404">
        <f t="shared" si="16"/>
        <v>0</v>
      </c>
      <c r="Z53" s="1082"/>
      <c r="AA53" s="1083"/>
      <c r="AB53" s="1083"/>
      <c r="AC53" s="1083"/>
      <c r="AD53" s="1083"/>
      <c r="AE53" s="1085">
        <f t="shared" si="25"/>
        <v>0</v>
      </c>
      <c r="AF53" s="1404">
        <f t="shared" si="17"/>
        <v>0</v>
      </c>
      <c r="AG53" s="1404">
        <f t="shared" si="18"/>
        <v>0</v>
      </c>
      <c r="AH53" s="1086">
        <v>1476.1</v>
      </c>
      <c r="AI53" s="1087">
        <v>51016.92</v>
      </c>
      <c r="AJ53" s="1087">
        <v>0</v>
      </c>
      <c r="AK53" s="1087">
        <v>-0.02</v>
      </c>
      <c r="AL53" s="1087">
        <v>0</v>
      </c>
      <c r="AM53" s="1088">
        <f t="shared" si="26"/>
        <v>52493</v>
      </c>
      <c r="AN53" s="1088">
        <f t="shared" si="19"/>
        <v>-0.02</v>
      </c>
      <c r="AO53" s="1088">
        <f t="shared" si="20"/>
        <v>-0.02</v>
      </c>
      <c r="AP53" s="1773"/>
      <c r="AQ53" s="1773"/>
      <c r="AR53" s="1773"/>
      <c r="AS53" s="1773"/>
      <c r="AT53" s="1773"/>
      <c r="AU53" s="1773">
        <f t="shared" si="21"/>
        <v>0</v>
      </c>
      <c r="AV53" s="1773">
        <f t="shared" si="22"/>
        <v>0</v>
      </c>
      <c r="AW53" s="1773">
        <f t="shared" si="23"/>
        <v>0</v>
      </c>
    </row>
    <row r="54" spans="1:49" s="237" customFormat="1" x14ac:dyDescent="0.2">
      <c r="A54" s="1078" t="s">
        <v>126</v>
      </c>
      <c r="B54" s="1079" t="s">
        <v>127</v>
      </c>
      <c r="C54" s="103" t="s">
        <v>266</v>
      </c>
      <c r="D54" s="1080">
        <f t="shared" si="6"/>
        <v>36553.199999999997</v>
      </c>
      <c r="E54" s="1080">
        <f t="shared" si="7"/>
        <v>80415.98</v>
      </c>
      <c r="F54" s="1080">
        <f t="shared" si="8"/>
        <v>0</v>
      </c>
      <c r="G54" s="1081">
        <f t="shared" si="9"/>
        <v>0</v>
      </c>
      <c r="H54" s="1081">
        <f t="shared" si="10"/>
        <v>0</v>
      </c>
      <c r="I54" s="1405">
        <f t="shared" si="11"/>
        <v>116969.18</v>
      </c>
      <c r="J54" s="1082">
        <v>1764.2</v>
      </c>
      <c r="K54" s="1083">
        <v>1764.2</v>
      </c>
      <c r="L54" s="1083">
        <v>0</v>
      </c>
      <c r="M54" s="1083">
        <v>0</v>
      </c>
      <c r="N54" s="1083">
        <v>0</v>
      </c>
      <c r="O54" s="1084">
        <f t="shared" si="12"/>
        <v>3528.4</v>
      </c>
      <c r="P54" s="1404">
        <f t="shared" si="13"/>
        <v>0</v>
      </c>
      <c r="Q54" s="1404">
        <f t="shared" si="14"/>
        <v>0</v>
      </c>
      <c r="R54" s="1082">
        <v>34756</v>
      </c>
      <c r="S54" s="1083">
        <v>34756</v>
      </c>
      <c r="T54" s="1083">
        <v>0</v>
      </c>
      <c r="U54" s="1083">
        <v>0</v>
      </c>
      <c r="V54" s="1083">
        <v>0</v>
      </c>
      <c r="W54" s="1085">
        <f t="shared" si="24"/>
        <v>69512</v>
      </c>
      <c r="X54" s="1404">
        <f t="shared" si="15"/>
        <v>0</v>
      </c>
      <c r="Y54" s="1404">
        <f t="shared" si="16"/>
        <v>0</v>
      </c>
      <c r="Z54" s="1086"/>
      <c r="AA54" s="1087"/>
      <c r="AB54" s="1087"/>
      <c r="AC54" s="1087"/>
      <c r="AD54" s="1087"/>
      <c r="AE54" s="1085">
        <f t="shared" si="25"/>
        <v>0</v>
      </c>
      <c r="AF54" s="1404">
        <f t="shared" si="17"/>
        <v>0</v>
      </c>
      <c r="AG54" s="1404">
        <f t="shared" si="18"/>
        <v>0</v>
      </c>
      <c r="AH54" s="1086">
        <v>33</v>
      </c>
      <c r="AI54" s="1087">
        <v>43895.78</v>
      </c>
      <c r="AJ54" s="1087">
        <v>0</v>
      </c>
      <c r="AK54" s="1087">
        <v>0</v>
      </c>
      <c r="AL54" s="1087">
        <v>0</v>
      </c>
      <c r="AM54" s="1088">
        <f t="shared" si="26"/>
        <v>43928.78</v>
      </c>
      <c r="AN54" s="1088">
        <f t="shared" si="19"/>
        <v>0</v>
      </c>
      <c r="AO54" s="1088">
        <f t="shared" si="20"/>
        <v>0</v>
      </c>
      <c r="AP54" s="1773"/>
      <c r="AQ54" s="1773"/>
      <c r="AR54" s="1773"/>
      <c r="AS54" s="1773"/>
      <c r="AT54" s="1773"/>
      <c r="AU54" s="1773">
        <f t="shared" si="21"/>
        <v>0</v>
      </c>
      <c r="AV54" s="1773">
        <f t="shared" si="22"/>
        <v>0</v>
      </c>
      <c r="AW54" s="1773">
        <f t="shared" si="23"/>
        <v>0</v>
      </c>
    </row>
    <row r="55" spans="1:49" s="237" customFormat="1" x14ac:dyDescent="0.2">
      <c r="A55" s="1078" t="s">
        <v>128</v>
      </c>
      <c r="B55" s="1079" t="s">
        <v>129</v>
      </c>
      <c r="C55" s="103" t="s">
        <v>266</v>
      </c>
      <c r="D55" s="1080">
        <f t="shared" si="6"/>
        <v>35576.06</v>
      </c>
      <c r="E55" s="1080">
        <f t="shared" si="7"/>
        <v>106897.20000000001</v>
      </c>
      <c r="F55" s="1080">
        <f t="shared" si="8"/>
        <v>0</v>
      </c>
      <c r="G55" s="1081">
        <f t="shared" si="9"/>
        <v>5000</v>
      </c>
      <c r="H55" s="1081">
        <f t="shared" si="10"/>
        <v>5000</v>
      </c>
      <c r="I55" s="1405">
        <f t="shared" si="11"/>
        <v>147473.26</v>
      </c>
      <c r="J55" s="1082">
        <v>2016.2</v>
      </c>
      <c r="K55" s="1083">
        <v>2016.2</v>
      </c>
      <c r="L55" s="1083">
        <v>0</v>
      </c>
      <c r="M55" s="1083">
        <v>0</v>
      </c>
      <c r="N55" s="1083">
        <v>0</v>
      </c>
      <c r="O55" s="1084">
        <f t="shared" si="12"/>
        <v>4032.4</v>
      </c>
      <c r="P55" s="1404">
        <f t="shared" si="13"/>
        <v>0</v>
      </c>
      <c r="Q55" s="1404">
        <f t="shared" si="14"/>
        <v>0</v>
      </c>
      <c r="R55" s="1082">
        <v>22833.45</v>
      </c>
      <c r="S55" s="1083">
        <v>22833.45</v>
      </c>
      <c r="T55" s="1083">
        <v>0</v>
      </c>
      <c r="U55" s="1083">
        <v>0</v>
      </c>
      <c r="V55" s="1083">
        <v>0</v>
      </c>
      <c r="W55" s="1085">
        <f t="shared" si="24"/>
        <v>45666.9</v>
      </c>
      <c r="X55" s="1404">
        <f t="shared" si="15"/>
        <v>0</v>
      </c>
      <c r="Y55" s="1404">
        <f t="shared" si="16"/>
        <v>0</v>
      </c>
      <c r="Z55" s="1082">
        <v>0</v>
      </c>
      <c r="AA55" s="1083">
        <v>0</v>
      </c>
      <c r="AB55" s="1083">
        <v>0</v>
      </c>
      <c r="AC55" s="1083">
        <v>5000</v>
      </c>
      <c r="AD55" s="1083">
        <v>0</v>
      </c>
      <c r="AE55" s="1085">
        <f t="shared" si="25"/>
        <v>5000</v>
      </c>
      <c r="AF55" s="1404">
        <f t="shared" si="17"/>
        <v>5000</v>
      </c>
      <c r="AG55" s="1404">
        <f t="shared" si="18"/>
        <v>5000</v>
      </c>
      <c r="AH55" s="1086">
        <v>9726.41</v>
      </c>
      <c r="AI55" s="1087">
        <v>82047.55</v>
      </c>
      <c r="AJ55" s="1087">
        <v>0</v>
      </c>
      <c r="AK55" s="1087">
        <v>0</v>
      </c>
      <c r="AL55" s="1087">
        <v>0</v>
      </c>
      <c r="AM55" s="1088">
        <f t="shared" si="26"/>
        <v>91773.96</v>
      </c>
      <c r="AN55" s="1088">
        <f t="shared" si="19"/>
        <v>0</v>
      </c>
      <c r="AO55" s="1088">
        <f t="shared" si="20"/>
        <v>0</v>
      </c>
      <c r="AP55" s="1773">
        <v>1000</v>
      </c>
      <c r="AQ55" s="1773">
        <v>0</v>
      </c>
      <c r="AR55" s="1773">
        <v>0</v>
      </c>
      <c r="AS55" s="1773">
        <v>0</v>
      </c>
      <c r="AT55" s="1773">
        <v>0</v>
      </c>
      <c r="AU55" s="1773">
        <f t="shared" si="21"/>
        <v>1000</v>
      </c>
      <c r="AV55" s="1773">
        <f t="shared" si="22"/>
        <v>0</v>
      </c>
      <c r="AW55" s="1773">
        <f t="shared" si="23"/>
        <v>0</v>
      </c>
    </row>
    <row r="56" spans="1:49" s="237" customFormat="1" x14ac:dyDescent="0.2">
      <c r="A56" s="1078" t="s">
        <v>130</v>
      </c>
      <c r="B56" s="1079" t="s">
        <v>131</v>
      </c>
      <c r="C56" s="103" t="s">
        <v>268</v>
      </c>
      <c r="D56" s="1080">
        <f t="shared" si="6"/>
        <v>904526.82</v>
      </c>
      <c r="E56" s="1080">
        <f t="shared" si="7"/>
        <v>1194903.97</v>
      </c>
      <c r="F56" s="1080">
        <f t="shared" si="8"/>
        <v>0</v>
      </c>
      <c r="G56" s="1081">
        <f t="shared" si="9"/>
        <v>57.35</v>
      </c>
      <c r="H56" s="1081">
        <f t="shared" si="10"/>
        <v>57.35</v>
      </c>
      <c r="I56" s="1405">
        <f t="shared" si="11"/>
        <v>2099488.14</v>
      </c>
      <c r="J56" s="1082">
        <v>366804.04</v>
      </c>
      <c r="K56" s="1083">
        <v>366804.04</v>
      </c>
      <c r="L56" s="1083">
        <v>0</v>
      </c>
      <c r="M56" s="1083">
        <v>57.47</v>
      </c>
      <c r="N56" s="1083">
        <v>0</v>
      </c>
      <c r="O56" s="1084">
        <f t="shared" si="12"/>
        <v>733665.54999999993</v>
      </c>
      <c r="P56" s="1404">
        <f t="shared" si="13"/>
        <v>57.47</v>
      </c>
      <c r="Q56" s="1404">
        <f t="shared" si="14"/>
        <v>57.47</v>
      </c>
      <c r="R56" s="1082">
        <v>507927.87</v>
      </c>
      <c r="S56" s="1083">
        <v>507927.87</v>
      </c>
      <c r="T56" s="1083">
        <v>0</v>
      </c>
      <c r="U56" s="1083">
        <v>-7.0000000000000007E-2</v>
      </c>
      <c r="V56" s="1083">
        <v>0</v>
      </c>
      <c r="W56" s="1085">
        <f t="shared" si="24"/>
        <v>1015855.67</v>
      </c>
      <c r="X56" s="1404">
        <f t="shared" si="15"/>
        <v>-7.0000000000000007E-2</v>
      </c>
      <c r="Y56" s="1404">
        <f t="shared" si="16"/>
        <v>-7.0000000000000007E-2</v>
      </c>
      <c r="Z56" s="1082"/>
      <c r="AA56" s="1083"/>
      <c r="AB56" s="1083"/>
      <c r="AC56" s="1083"/>
      <c r="AD56" s="1083"/>
      <c r="AE56" s="1085">
        <f t="shared" si="25"/>
        <v>0</v>
      </c>
      <c r="AF56" s="1404">
        <f t="shared" si="17"/>
        <v>0</v>
      </c>
      <c r="AG56" s="1404">
        <f t="shared" si="18"/>
        <v>0</v>
      </c>
      <c r="AH56" s="1086">
        <v>29794.91</v>
      </c>
      <c r="AI56" s="1087">
        <v>320172.06</v>
      </c>
      <c r="AJ56" s="1087">
        <v>0</v>
      </c>
      <c r="AK56" s="1087">
        <v>-0.05</v>
      </c>
      <c r="AL56" s="1087">
        <v>0</v>
      </c>
      <c r="AM56" s="1088">
        <f t="shared" si="26"/>
        <v>349966.92</v>
      </c>
      <c r="AN56" s="1088">
        <f t="shared" si="19"/>
        <v>-0.05</v>
      </c>
      <c r="AO56" s="1088">
        <f t="shared" si="20"/>
        <v>-0.05</v>
      </c>
      <c r="AP56" s="1773"/>
      <c r="AQ56" s="1773"/>
      <c r="AR56" s="1773"/>
      <c r="AS56" s="1773"/>
      <c r="AT56" s="1773"/>
      <c r="AU56" s="1773">
        <f t="shared" si="21"/>
        <v>0</v>
      </c>
      <c r="AV56" s="1773">
        <f t="shared" si="22"/>
        <v>0</v>
      </c>
      <c r="AW56" s="1773">
        <f t="shared" si="23"/>
        <v>0</v>
      </c>
    </row>
    <row r="57" spans="1:49" s="237" customFormat="1" x14ac:dyDescent="0.2">
      <c r="A57" s="1078" t="s">
        <v>132</v>
      </c>
      <c r="B57" s="1079" t="s">
        <v>133</v>
      </c>
      <c r="C57" s="103" t="s">
        <v>267</v>
      </c>
      <c r="D57" s="1080">
        <f t="shared" si="6"/>
        <v>436931.34</v>
      </c>
      <c r="E57" s="1080">
        <f t="shared" si="7"/>
        <v>652589.76</v>
      </c>
      <c r="F57" s="1080">
        <f t="shared" si="8"/>
        <v>0</v>
      </c>
      <c r="G57" s="1081">
        <f t="shared" si="9"/>
        <v>-0.19999999999999998</v>
      </c>
      <c r="H57" s="1081">
        <f t="shared" si="10"/>
        <v>-0.19999999999999998</v>
      </c>
      <c r="I57" s="1405">
        <f t="shared" si="11"/>
        <v>1089520.9000000001</v>
      </c>
      <c r="J57" s="1082">
        <v>152274.32</v>
      </c>
      <c r="K57" s="1083">
        <v>152274.32</v>
      </c>
      <c r="L57" s="1083">
        <v>0</v>
      </c>
      <c r="M57" s="1083">
        <v>-0.11</v>
      </c>
      <c r="N57" s="1083">
        <v>0</v>
      </c>
      <c r="O57" s="1084">
        <f t="shared" si="12"/>
        <v>304548.53000000003</v>
      </c>
      <c r="P57" s="1404">
        <f t="shared" si="13"/>
        <v>-0.11</v>
      </c>
      <c r="Q57" s="1404">
        <f t="shared" si="14"/>
        <v>-0.11</v>
      </c>
      <c r="R57" s="1082">
        <v>265046.84000000003</v>
      </c>
      <c r="S57" s="1083">
        <v>265046.84000000003</v>
      </c>
      <c r="T57" s="1083">
        <v>0</v>
      </c>
      <c r="U57" s="1083">
        <v>-0.06</v>
      </c>
      <c r="V57" s="1083">
        <v>0</v>
      </c>
      <c r="W57" s="1085">
        <f t="shared" si="24"/>
        <v>530093.62</v>
      </c>
      <c r="X57" s="1404">
        <f t="shared" si="15"/>
        <v>-0.06</v>
      </c>
      <c r="Y57" s="1404">
        <f t="shared" si="16"/>
        <v>-0.06</v>
      </c>
      <c r="Z57" s="1082"/>
      <c r="AA57" s="1083"/>
      <c r="AB57" s="1083"/>
      <c r="AC57" s="1083"/>
      <c r="AD57" s="1083"/>
      <c r="AE57" s="1085">
        <f t="shared" si="25"/>
        <v>0</v>
      </c>
      <c r="AF57" s="1404">
        <f t="shared" si="17"/>
        <v>0</v>
      </c>
      <c r="AG57" s="1404">
        <f t="shared" si="18"/>
        <v>0</v>
      </c>
      <c r="AH57" s="1086">
        <v>19610.18</v>
      </c>
      <c r="AI57" s="1087">
        <v>235268.6</v>
      </c>
      <c r="AJ57" s="1087">
        <v>0</v>
      </c>
      <c r="AK57" s="1087">
        <v>-0.03</v>
      </c>
      <c r="AL57" s="1087">
        <v>0</v>
      </c>
      <c r="AM57" s="1088">
        <f t="shared" si="26"/>
        <v>254878.75</v>
      </c>
      <c r="AN57" s="1088">
        <f t="shared" si="19"/>
        <v>-0.03</v>
      </c>
      <c r="AO57" s="1088">
        <f t="shared" si="20"/>
        <v>-0.03</v>
      </c>
      <c r="AP57" s="1773"/>
      <c r="AQ57" s="1773"/>
      <c r="AR57" s="1773"/>
      <c r="AS57" s="1773"/>
      <c r="AT57" s="1773"/>
      <c r="AU57" s="1773">
        <f t="shared" si="21"/>
        <v>0</v>
      </c>
      <c r="AV57" s="1773">
        <f t="shared" si="22"/>
        <v>0</v>
      </c>
      <c r="AW57" s="1773">
        <f t="shared" si="23"/>
        <v>0</v>
      </c>
    </row>
    <row r="58" spans="1:49" s="237" customFormat="1" x14ac:dyDescent="0.2">
      <c r="A58" s="1078" t="s">
        <v>134</v>
      </c>
      <c r="B58" s="1079" t="s">
        <v>135</v>
      </c>
      <c r="C58" s="103" t="s">
        <v>267</v>
      </c>
      <c r="D58" s="1080">
        <f t="shared" si="6"/>
        <v>409476.98</v>
      </c>
      <c r="E58" s="1080">
        <f t="shared" si="7"/>
        <v>1130369.8199999998</v>
      </c>
      <c r="F58" s="1080">
        <f t="shared" si="8"/>
        <v>0</v>
      </c>
      <c r="G58" s="1081">
        <f t="shared" si="9"/>
        <v>-0.18</v>
      </c>
      <c r="H58" s="1081">
        <f t="shared" si="10"/>
        <v>-0.18</v>
      </c>
      <c r="I58" s="1405">
        <f t="shared" si="11"/>
        <v>1539846.6199999999</v>
      </c>
      <c r="J58" s="1082">
        <v>169764.37</v>
      </c>
      <c r="K58" s="1083">
        <v>169764.37</v>
      </c>
      <c r="L58" s="1083">
        <v>0</v>
      </c>
      <c r="M58" s="1083">
        <v>-0.16</v>
      </c>
      <c r="N58" s="1083">
        <v>0</v>
      </c>
      <c r="O58" s="1084">
        <f t="shared" si="12"/>
        <v>339528.58</v>
      </c>
      <c r="P58" s="1404">
        <f t="shared" si="13"/>
        <v>-0.16</v>
      </c>
      <c r="Q58" s="1404">
        <f t="shared" si="14"/>
        <v>-0.16</v>
      </c>
      <c r="R58" s="1082">
        <v>220029.1</v>
      </c>
      <c r="S58" s="1083">
        <v>220029.1</v>
      </c>
      <c r="T58" s="1083">
        <v>0</v>
      </c>
      <c r="U58" s="1083">
        <v>-0.02</v>
      </c>
      <c r="V58" s="1083">
        <v>0</v>
      </c>
      <c r="W58" s="1085">
        <f t="shared" si="24"/>
        <v>440058.18</v>
      </c>
      <c r="X58" s="1404">
        <f t="shared" si="15"/>
        <v>-0.02</v>
      </c>
      <c r="Y58" s="1404">
        <f t="shared" si="16"/>
        <v>-0.02</v>
      </c>
      <c r="Z58" s="1082"/>
      <c r="AA58" s="1083"/>
      <c r="AB58" s="1083"/>
      <c r="AC58" s="1083"/>
      <c r="AD58" s="1083"/>
      <c r="AE58" s="1085">
        <f t="shared" si="25"/>
        <v>0</v>
      </c>
      <c r="AF58" s="1404">
        <f t="shared" si="17"/>
        <v>0</v>
      </c>
      <c r="AG58" s="1404">
        <f t="shared" si="18"/>
        <v>0</v>
      </c>
      <c r="AH58" s="1086">
        <v>19683.509999999998</v>
      </c>
      <c r="AI58" s="1087">
        <v>740576.35</v>
      </c>
      <c r="AJ58" s="1087">
        <v>0</v>
      </c>
      <c r="AK58" s="1087">
        <v>0</v>
      </c>
      <c r="AL58" s="1087">
        <v>0</v>
      </c>
      <c r="AM58" s="1088">
        <f t="shared" si="26"/>
        <v>760259.86</v>
      </c>
      <c r="AN58" s="1088">
        <f t="shared" si="19"/>
        <v>0</v>
      </c>
      <c r="AO58" s="1088">
        <f t="shared" si="20"/>
        <v>0</v>
      </c>
      <c r="AP58" s="1773"/>
      <c r="AQ58" s="1773"/>
      <c r="AR58" s="1773"/>
      <c r="AS58" s="1773"/>
      <c r="AT58" s="1773"/>
      <c r="AU58" s="1773">
        <f t="shared" si="21"/>
        <v>0</v>
      </c>
      <c r="AV58" s="1773">
        <f t="shared" si="22"/>
        <v>0</v>
      </c>
      <c r="AW58" s="1773">
        <f t="shared" si="23"/>
        <v>0</v>
      </c>
    </row>
    <row r="59" spans="1:49" s="237" customFormat="1" x14ac:dyDescent="0.2">
      <c r="A59" s="1078" t="s">
        <v>136</v>
      </c>
      <c r="B59" s="1079" t="s">
        <v>137</v>
      </c>
      <c r="C59" s="103" t="s">
        <v>266</v>
      </c>
      <c r="D59" s="1080">
        <f t="shared" si="6"/>
        <v>100612.19</v>
      </c>
      <c r="E59" s="1080">
        <f t="shared" si="7"/>
        <v>100612.19</v>
      </c>
      <c r="F59" s="1080">
        <f t="shared" si="8"/>
        <v>0</v>
      </c>
      <c r="G59" s="1081">
        <f t="shared" si="9"/>
        <v>-6.0000000000000005E-2</v>
      </c>
      <c r="H59" s="1081">
        <f t="shared" si="10"/>
        <v>-6.0000000000000005E-2</v>
      </c>
      <c r="I59" s="1405">
        <f t="shared" si="11"/>
        <v>201224.32000000001</v>
      </c>
      <c r="J59" s="1082">
        <v>10954.07</v>
      </c>
      <c r="K59" s="1083">
        <v>10954.07</v>
      </c>
      <c r="L59" s="1083">
        <v>0</v>
      </c>
      <c r="M59" s="1083">
        <v>-0.05</v>
      </c>
      <c r="N59" s="1083">
        <v>0</v>
      </c>
      <c r="O59" s="1084">
        <f t="shared" si="12"/>
        <v>21908.09</v>
      </c>
      <c r="P59" s="1404">
        <f t="shared" si="13"/>
        <v>-0.05</v>
      </c>
      <c r="Q59" s="1404">
        <f t="shared" si="14"/>
        <v>-0.05</v>
      </c>
      <c r="R59" s="1082">
        <v>89658.12</v>
      </c>
      <c r="S59" s="1083">
        <v>89658.12</v>
      </c>
      <c r="T59" s="1083">
        <v>0</v>
      </c>
      <c r="U59" s="1083">
        <v>-0.01</v>
      </c>
      <c r="V59" s="1083">
        <v>0</v>
      </c>
      <c r="W59" s="1085">
        <f t="shared" si="24"/>
        <v>179316.22999999998</v>
      </c>
      <c r="X59" s="1404">
        <f t="shared" si="15"/>
        <v>-0.01</v>
      </c>
      <c r="Y59" s="1404">
        <f t="shared" si="16"/>
        <v>-0.01</v>
      </c>
      <c r="Z59" s="1082"/>
      <c r="AA59" s="1083"/>
      <c r="AB59" s="1083"/>
      <c r="AC59" s="1083"/>
      <c r="AD59" s="1083"/>
      <c r="AE59" s="1085">
        <f t="shared" si="25"/>
        <v>0</v>
      </c>
      <c r="AF59" s="1404">
        <f t="shared" si="17"/>
        <v>0</v>
      </c>
      <c r="AG59" s="1404">
        <f t="shared" si="18"/>
        <v>0</v>
      </c>
      <c r="AH59" s="1086">
        <v>0</v>
      </c>
      <c r="AI59" s="1087">
        <v>0</v>
      </c>
      <c r="AJ59" s="1087">
        <v>0</v>
      </c>
      <c r="AK59" s="1087">
        <v>0</v>
      </c>
      <c r="AL59" s="1087">
        <v>0</v>
      </c>
      <c r="AM59" s="1088">
        <f t="shared" si="26"/>
        <v>0</v>
      </c>
      <c r="AN59" s="1088">
        <f t="shared" si="19"/>
        <v>0</v>
      </c>
      <c r="AO59" s="1088">
        <f t="shared" si="20"/>
        <v>0</v>
      </c>
      <c r="AP59" s="1773"/>
      <c r="AQ59" s="1773"/>
      <c r="AR59" s="1773"/>
      <c r="AS59" s="1773"/>
      <c r="AT59" s="1773"/>
      <c r="AU59" s="1773">
        <f t="shared" si="21"/>
        <v>0</v>
      </c>
      <c r="AV59" s="1773">
        <f t="shared" si="22"/>
        <v>0</v>
      </c>
      <c r="AW59" s="1773">
        <f t="shared" si="23"/>
        <v>0</v>
      </c>
    </row>
    <row r="60" spans="1:49" s="237" customFormat="1" x14ac:dyDescent="0.2">
      <c r="A60" s="1078" t="s">
        <v>140</v>
      </c>
      <c r="B60" s="1079" t="s">
        <v>141</v>
      </c>
      <c r="C60" s="103" t="s">
        <v>267</v>
      </c>
      <c r="D60" s="1080">
        <f t="shared" si="6"/>
        <v>211974</v>
      </c>
      <c r="E60" s="1080">
        <f t="shared" si="7"/>
        <v>393167.35999999999</v>
      </c>
      <c r="F60" s="1080">
        <f t="shared" si="8"/>
        <v>0</v>
      </c>
      <c r="G60" s="1081">
        <f t="shared" si="9"/>
        <v>-0.11</v>
      </c>
      <c r="H60" s="1081">
        <f t="shared" si="10"/>
        <v>-0.11</v>
      </c>
      <c r="I60" s="1405">
        <f t="shared" si="11"/>
        <v>605141.25</v>
      </c>
      <c r="J60" s="1082">
        <v>147156.59</v>
      </c>
      <c r="K60" s="1083">
        <v>147156.59</v>
      </c>
      <c r="L60" s="1083">
        <v>0</v>
      </c>
      <c r="M60" s="1083">
        <v>-0.1</v>
      </c>
      <c r="N60" s="1083">
        <v>0</v>
      </c>
      <c r="O60" s="1084">
        <f t="shared" si="12"/>
        <v>294313.08</v>
      </c>
      <c r="P60" s="1404">
        <f t="shared" si="13"/>
        <v>-0.1</v>
      </c>
      <c r="Q60" s="1404">
        <f t="shared" si="14"/>
        <v>-0.1</v>
      </c>
      <c r="R60" s="1082">
        <v>59703</v>
      </c>
      <c r="S60" s="1083">
        <v>59703</v>
      </c>
      <c r="T60" s="1083">
        <v>0</v>
      </c>
      <c r="U60" s="1083">
        <v>0</v>
      </c>
      <c r="V60" s="1083">
        <v>0</v>
      </c>
      <c r="W60" s="1085">
        <f t="shared" si="24"/>
        <v>119406</v>
      </c>
      <c r="X60" s="1404">
        <f t="shared" si="15"/>
        <v>0</v>
      </c>
      <c r="Y60" s="1404">
        <f t="shared" si="16"/>
        <v>0</v>
      </c>
      <c r="Z60" s="1082"/>
      <c r="AA60" s="1083"/>
      <c r="AB60" s="1083"/>
      <c r="AC60" s="1083"/>
      <c r="AD60" s="1083"/>
      <c r="AE60" s="1085">
        <f t="shared" si="25"/>
        <v>0</v>
      </c>
      <c r="AF60" s="1404">
        <f t="shared" si="17"/>
        <v>0</v>
      </c>
      <c r="AG60" s="1404">
        <f t="shared" si="18"/>
        <v>0</v>
      </c>
      <c r="AH60" s="1086">
        <v>5114.41</v>
      </c>
      <c r="AI60" s="1087">
        <v>186307.77</v>
      </c>
      <c r="AJ60" s="1087">
        <v>0</v>
      </c>
      <c r="AK60" s="1087">
        <v>-0.01</v>
      </c>
      <c r="AL60" s="1087">
        <v>0</v>
      </c>
      <c r="AM60" s="1088">
        <f t="shared" si="26"/>
        <v>191422.16999999998</v>
      </c>
      <c r="AN60" s="1088">
        <f t="shared" si="19"/>
        <v>-0.01</v>
      </c>
      <c r="AO60" s="1088">
        <f t="shared" si="20"/>
        <v>-0.01</v>
      </c>
      <c r="AP60" s="1773"/>
      <c r="AQ60" s="1773"/>
      <c r="AR60" s="1773"/>
      <c r="AS60" s="1773"/>
      <c r="AT60" s="1773"/>
      <c r="AU60" s="1773">
        <f t="shared" si="21"/>
        <v>0</v>
      </c>
      <c r="AV60" s="1773">
        <f t="shared" si="22"/>
        <v>0</v>
      </c>
      <c r="AW60" s="1773">
        <f t="shared" si="23"/>
        <v>0</v>
      </c>
    </row>
    <row r="61" spans="1:49" s="237" customFormat="1" x14ac:dyDescent="0.2">
      <c r="A61" s="1078" t="s">
        <v>146</v>
      </c>
      <c r="B61" s="1079" t="s">
        <v>147</v>
      </c>
      <c r="C61" s="103" t="s">
        <v>264</v>
      </c>
      <c r="D61" s="1080">
        <f t="shared" si="6"/>
        <v>125456.90999999999</v>
      </c>
      <c r="E61" s="1080">
        <f t="shared" si="7"/>
        <v>157372.41</v>
      </c>
      <c r="F61" s="1080">
        <f t="shared" si="8"/>
        <v>0</v>
      </c>
      <c r="G61" s="1081">
        <f t="shared" si="9"/>
        <v>-6.9999999999999993E-2</v>
      </c>
      <c r="H61" s="1081">
        <f t="shared" si="10"/>
        <v>-6.9999999999999993E-2</v>
      </c>
      <c r="I61" s="1405">
        <f t="shared" si="11"/>
        <v>282829.25</v>
      </c>
      <c r="J61" s="1082">
        <v>31718.720000000001</v>
      </c>
      <c r="K61" s="1083">
        <v>31718.720000000001</v>
      </c>
      <c r="L61" s="1083">
        <v>0</v>
      </c>
      <c r="M61" s="1083">
        <v>-0.06</v>
      </c>
      <c r="N61" s="1083">
        <v>0</v>
      </c>
      <c r="O61" s="1084">
        <f t="shared" si="12"/>
        <v>63437.380000000005</v>
      </c>
      <c r="P61" s="1404">
        <f t="shared" si="13"/>
        <v>-0.06</v>
      </c>
      <c r="Q61" s="1404">
        <f t="shared" si="14"/>
        <v>-0.06</v>
      </c>
      <c r="R61" s="1082">
        <v>89366.18</v>
      </c>
      <c r="S61" s="1083">
        <v>89366.18</v>
      </c>
      <c r="T61" s="1083">
        <v>0</v>
      </c>
      <c r="U61" s="1083">
        <v>-0.01</v>
      </c>
      <c r="V61" s="1083">
        <v>0</v>
      </c>
      <c r="W61" s="1085">
        <f t="shared" si="24"/>
        <v>178732.34999999998</v>
      </c>
      <c r="X61" s="1404">
        <f t="shared" si="15"/>
        <v>-0.01</v>
      </c>
      <c r="Y61" s="1404">
        <f t="shared" si="16"/>
        <v>-0.01</v>
      </c>
      <c r="Z61" s="1082"/>
      <c r="AA61" s="1083"/>
      <c r="AB61" s="1083"/>
      <c r="AC61" s="1083"/>
      <c r="AD61" s="1083"/>
      <c r="AE61" s="1085">
        <f t="shared" si="25"/>
        <v>0</v>
      </c>
      <c r="AF61" s="1404">
        <f t="shared" si="17"/>
        <v>0</v>
      </c>
      <c r="AG61" s="1404">
        <f t="shared" si="18"/>
        <v>0</v>
      </c>
      <c r="AH61" s="1086">
        <v>4372.01</v>
      </c>
      <c r="AI61" s="1087">
        <v>36287.51</v>
      </c>
      <c r="AJ61" s="1087">
        <v>0</v>
      </c>
      <c r="AK61" s="1087">
        <v>0</v>
      </c>
      <c r="AL61" s="1087">
        <v>0</v>
      </c>
      <c r="AM61" s="1088">
        <f t="shared" si="26"/>
        <v>40659.520000000004</v>
      </c>
      <c r="AN61" s="1088">
        <f t="shared" si="19"/>
        <v>0</v>
      </c>
      <c r="AO61" s="1088">
        <f t="shared" si="20"/>
        <v>0</v>
      </c>
      <c r="AP61" s="1773"/>
      <c r="AQ61" s="1773"/>
      <c r="AR61" s="1773"/>
      <c r="AS61" s="1773"/>
      <c r="AT61" s="1773"/>
      <c r="AU61" s="1773">
        <f t="shared" si="21"/>
        <v>0</v>
      </c>
      <c r="AV61" s="1773">
        <f t="shared" si="22"/>
        <v>0</v>
      </c>
      <c r="AW61" s="1773">
        <f t="shared" si="23"/>
        <v>0</v>
      </c>
    </row>
    <row r="62" spans="1:49" s="237" customFormat="1" x14ac:dyDescent="0.2">
      <c r="A62" s="1078" t="s">
        <v>148</v>
      </c>
      <c r="B62" s="1079" t="s">
        <v>149</v>
      </c>
      <c r="C62" s="103" t="s">
        <v>265</v>
      </c>
      <c r="D62" s="1080">
        <f t="shared" si="6"/>
        <v>184132.27000000002</v>
      </c>
      <c r="E62" s="1080">
        <f t="shared" si="7"/>
        <v>197919.77000000002</v>
      </c>
      <c r="F62" s="1080">
        <f t="shared" si="8"/>
        <v>0</v>
      </c>
      <c r="G62" s="1081">
        <f t="shared" si="9"/>
        <v>-0.04</v>
      </c>
      <c r="H62" s="1081">
        <f t="shared" si="10"/>
        <v>-0.04</v>
      </c>
      <c r="I62" s="1405">
        <f t="shared" si="11"/>
        <v>382052.00000000006</v>
      </c>
      <c r="J62" s="1082">
        <v>100103.07</v>
      </c>
      <c r="K62" s="1083">
        <v>100103.07</v>
      </c>
      <c r="L62" s="1083">
        <v>0</v>
      </c>
      <c r="M62" s="1083">
        <v>-0.04</v>
      </c>
      <c r="N62" s="1083">
        <v>0</v>
      </c>
      <c r="O62" s="1084">
        <f t="shared" si="12"/>
        <v>200206.1</v>
      </c>
      <c r="P62" s="1404">
        <f t="shared" si="13"/>
        <v>-0.04</v>
      </c>
      <c r="Q62" s="1404">
        <f t="shared" si="14"/>
        <v>-0.04</v>
      </c>
      <c r="R62" s="1082">
        <v>83921.95</v>
      </c>
      <c r="S62" s="1083">
        <v>83921.95</v>
      </c>
      <c r="T62" s="1083">
        <v>0</v>
      </c>
      <c r="U62" s="1083">
        <v>0</v>
      </c>
      <c r="V62" s="1083">
        <v>0</v>
      </c>
      <c r="W62" s="1085">
        <f t="shared" si="24"/>
        <v>167843.9</v>
      </c>
      <c r="X62" s="1404">
        <f t="shared" si="15"/>
        <v>0</v>
      </c>
      <c r="Y62" s="1404">
        <f t="shared" si="16"/>
        <v>0</v>
      </c>
      <c r="Z62" s="1082"/>
      <c r="AA62" s="1083"/>
      <c r="AB62" s="1083"/>
      <c r="AC62" s="1083"/>
      <c r="AD62" s="1083"/>
      <c r="AE62" s="1085">
        <f t="shared" si="25"/>
        <v>0</v>
      </c>
      <c r="AF62" s="1404">
        <f t="shared" si="17"/>
        <v>0</v>
      </c>
      <c r="AG62" s="1404">
        <f t="shared" si="18"/>
        <v>0</v>
      </c>
      <c r="AH62" s="1086">
        <v>107.25</v>
      </c>
      <c r="AI62" s="1087">
        <v>13894.75</v>
      </c>
      <c r="AJ62" s="1087">
        <v>0</v>
      </c>
      <c r="AK62" s="1087">
        <v>0</v>
      </c>
      <c r="AL62" s="1087">
        <v>0</v>
      </c>
      <c r="AM62" s="1088">
        <f t="shared" si="26"/>
        <v>14002</v>
      </c>
      <c r="AN62" s="1088">
        <f t="shared" si="19"/>
        <v>0</v>
      </c>
      <c r="AO62" s="1088">
        <f t="shared" si="20"/>
        <v>0</v>
      </c>
      <c r="AP62" s="1773"/>
      <c r="AQ62" s="1773"/>
      <c r="AR62" s="1773"/>
      <c r="AS62" s="1773"/>
      <c r="AT62" s="1773"/>
      <c r="AU62" s="1773">
        <f t="shared" si="21"/>
        <v>0</v>
      </c>
      <c r="AV62" s="1773">
        <f t="shared" si="22"/>
        <v>0</v>
      </c>
      <c r="AW62" s="1773">
        <f t="shared" si="23"/>
        <v>0</v>
      </c>
    </row>
    <row r="63" spans="1:49" s="237" customFormat="1" x14ac:dyDescent="0.2">
      <c r="A63" s="1078" t="s">
        <v>150</v>
      </c>
      <c r="B63" s="1079" t="s">
        <v>151</v>
      </c>
      <c r="C63" s="103" t="s">
        <v>266</v>
      </c>
      <c r="D63" s="1080">
        <f t="shared" si="6"/>
        <v>126720.78</v>
      </c>
      <c r="E63" s="1080">
        <f t="shared" si="7"/>
        <v>189099.7</v>
      </c>
      <c r="F63" s="1080">
        <f t="shared" si="8"/>
        <v>0</v>
      </c>
      <c r="G63" s="1081">
        <f t="shared" si="9"/>
        <v>-0.21</v>
      </c>
      <c r="H63" s="1081">
        <f t="shared" si="10"/>
        <v>-0.21</v>
      </c>
      <c r="I63" s="1405">
        <f t="shared" si="11"/>
        <v>315820.26999999996</v>
      </c>
      <c r="J63" s="1082">
        <v>16690.54</v>
      </c>
      <c r="K63" s="1083">
        <v>16690.54</v>
      </c>
      <c r="L63" s="1083">
        <v>0</v>
      </c>
      <c r="M63" s="1083">
        <v>-0.08</v>
      </c>
      <c r="N63" s="1083">
        <v>0</v>
      </c>
      <c r="O63" s="1084">
        <f t="shared" si="12"/>
        <v>33381</v>
      </c>
      <c r="P63" s="1404">
        <f t="shared" si="13"/>
        <v>-0.08</v>
      </c>
      <c r="Q63" s="1404">
        <f t="shared" si="14"/>
        <v>-0.08</v>
      </c>
      <c r="R63" s="1082">
        <v>94276.64</v>
      </c>
      <c r="S63" s="1083">
        <v>94276.64</v>
      </c>
      <c r="T63" s="1083">
        <v>0</v>
      </c>
      <c r="U63" s="1083">
        <v>-0.01</v>
      </c>
      <c r="V63" s="1083">
        <v>0</v>
      </c>
      <c r="W63" s="1085">
        <f t="shared" si="24"/>
        <v>188553.27</v>
      </c>
      <c r="X63" s="1404">
        <f t="shared" si="15"/>
        <v>-0.01</v>
      </c>
      <c r="Y63" s="1404">
        <f t="shared" si="16"/>
        <v>-0.01</v>
      </c>
      <c r="Z63" s="1082"/>
      <c r="AA63" s="1083"/>
      <c r="AB63" s="1083"/>
      <c r="AC63" s="1083"/>
      <c r="AD63" s="1083"/>
      <c r="AE63" s="1085">
        <f t="shared" si="25"/>
        <v>0</v>
      </c>
      <c r="AF63" s="1404">
        <f t="shared" si="17"/>
        <v>0</v>
      </c>
      <c r="AG63" s="1404">
        <f t="shared" si="18"/>
        <v>0</v>
      </c>
      <c r="AH63" s="1086">
        <v>15753.6</v>
      </c>
      <c r="AI63" s="1087">
        <v>78132.52</v>
      </c>
      <c r="AJ63" s="1087">
        <v>0</v>
      </c>
      <c r="AK63" s="1087">
        <v>-0.12</v>
      </c>
      <c r="AL63" s="1087">
        <v>0</v>
      </c>
      <c r="AM63" s="1088">
        <f t="shared" si="26"/>
        <v>93886.000000000015</v>
      </c>
      <c r="AN63" s="1088">
        <f t="shared" si="19"/>
        <v>-0.12</v>
      </c>
      <c r="AO63" s="1088">
        <f t="shared" si="20"/>
        <v>-0.12</v>
      </c>
      <c r="AP63" s="1773"/>
      <c r="AQ63" s="1773"/>
      <c r="AR63" s="1773"/>
      <c r="AS63" s="1773"/>
      <c r="AT63" s="1773"/>
      <c r="AU63" s="1773">
        <f t="shared" si="21"/>
        <v>0</v>
      </c>
      <c r="AV63" s="1773">
        <f t="shared" si="22"/>
        <v>0</v>
      </c>
      <c r="AW63" s="1773">
        <f t="shared" si="23"/>
        <v>0</v>
      </c>
    </row>
    <row r="64" spans="1:49" s="237" customFormat="1" x14ac:dyDescent="0.2">
      <c r="A64" s="1078" t="s">
        <v>152</v>
      </c>
      <c r="B64" s="1079" t="s">
        <v>153</v>
      </c>
      <c r="C64" s="103" t="s">
        <v>268</v>
      </c>
      <c r="D64" s="1080">
        <f t="shared" si="6"/>
        <v>451923.25</v>
      </c>
      <c r="E64" s="1080">
        <f t="shared" si="7"/>
        <v>598905.92999999993</v>
      </c>
      <c r="F64" s="1080">
        <f t="shared" si="8"/>
        <v>0</v>
      </c>
      <c r="G64" s="1081">
        <f t="shared" si="9"/>
        <v>-0.13</v>
      </c>
      <c r="H64" s="1081">
        <f t="shared" si="10"/>
        <v>-0.13</v>
      </c>
      <c r="I64" s="1405">
        <f t="shared" si="11"/>
        <v>1050829.05</v>
      </c>
      <c r="J64" s="1082">
        <v>62315.1</v>
      </c>
      <c r="K64" s="1083">
        <v>62315.1</v>
      </c>
      <c r="L64" s="1083">
        <v>0</v>
      </c>
      <c r="M64" s="1083">
        <v>-0.12</v>
      </c>
      <c r="N64" s="1083">
        <v>0</v>
      </c>
      <c r="O64" s="1084">
        <f t="shared" si="12"/>
        <v>124630.08</v>
      </c>
      <c r="P64" s="1404">
        <f t="shared" si="13"/>
        <v>-0.12</v>
      </c>
      <c r="Q64" s="1404">
        <f t="shared" si="14"/>
        <v>-0.12</v>
      </c>
      <c r="R64" s="1082">
        <v>385192.09</v>
      </c>
      <c r="S64" s="1083">
        <v>385192.09</v>
      </c>
      <c r="T64" s="1083">
        <v>0</v>
      </c>
      <c r="U64" s="1083">
        <v>-0.01</v>
      </c>
      <c r="V64" s="1083">
        <v>0</v>
      </c>
      <c r="W64" s="1085">
        <f t="shared" si="24"/>
        <v>770384.17</v>
      </c>
      <c r="X64" s="1404">
        <f t="shared" si="15"/>
        <v>-0.01</v>
      </c>
      <c r="Y64" s="1404">
        <f t="shared" si="16"/>
        <v>-0.01</v>
      </c>
      <c r="Z64" s="1082"/>
      <c r="AA64" s="1083"/>
      <c r="AB64" s="1083"/>
      <c r="AC64" s="1083"/>
      <c r="AD64" s="1083"/>
      <c r="AE64" s="1085">
        <f t="shared" si="25"/>
        <v>0</v>
      </c>
      <c r="AF64" s="1404">
        <f t="shared" si="17"/>
        <v>0</v>
      </c>
      <c r="AG64" s="1404">
        <f t="shared" si="18"/>
        <v>0</v>
      </c>
      <c r="AH64" s="1086">
        <v>4416.0600000000004</v>
      </c>
      <c r="AI64" s="1087">
        <v>151398.74</v>
      </c>
      <c r="AJ64" s="1087">
        <v>0</v>
      </c>
      <c r="AK64" s="1087">
        <v>0</v>
      </c>
      <c r="AL64" s="1087">
        <v>0</v>
      </c>
      <c r="AM64" s="1088">
        <f t="shared" si="26"/>
        <v>155814.79999999999</v>
      </c>
      <c r="AN64" s="1088">
        <f t="shared" si="19"/>
        <v>0</v>
      </c>
      <c r="AO64" s="1088">
        <f t="shared" si="20"/>
        <v>0</v>
      </c>
      <c r="AP64" s="1773"/>
      <c r="AQ64" s="1773"/>
      <c r="AR64" s="1773"/>
      <c r="AS64" s="1773"/>
      <c r="AT64" s="1773"/>
      <c r="AU64" s="1773">
        <f t="shared" si="21"/>
        <v>0</v>
      </c>
      <c r="AV64" s="1773">
        <f t="shared" si="22"/>
        <v>0</v>
      </c>
      <c r="AW64" s="1773">
        <f t="shared" si="23"/>
        <v>0</v>
      </c>
    </row>
    <row r="65" spans="1:49" s="237" customFormat="1" x14ac:dyDescent="0.2">
      <c r="A65" s="1078" t="s">
        <v>154</v>
      </c>
      <c r="B65" s="1079" t="s">
        <v>155</v>
      </c>
      <c r="C65" s="103" t="s">
        <v>265</v>
      </c>
      <c r="D65" s="1080">
        <f t="shared" si="6"/>
        <v>22804.57</v>
      </c>
      <c r="E65" s="1080">
        <f t="shared" si="7"/>
        <v>28334.57</v>
      </c>
      <c r="F65" s="1080">
        <f t="shared" si="8"/>
        <v>0</v>
      </c>
      <c r="G65" s="1081">
        <f t="shared" si="9"/>
        <v>-0.02</v>
      </c>
      <c r="H65" s="1081">
        <f t="shared" si="10"/>
        <v>-0.02</v>
      </c>
      <c r="I65" s="1405">
        <f t="shared" si="11"/>
        <v>51139.12</v>
      </c>
      <c r="J65" s="1082">
        <v>4445.07</v>
      </c>
      <c r="K65" s="1083">
        <v>4445.07</v>
      </c>
      <c r="L65" s="1083">
        <v>0</v>
      </c>
      <c r="M65" s="1083">
        <v>-0.02</v>
      </c>
      <c r="N65" s="1083">
        <v>0</v>
      </c>
      <c r="O65" s="1084">
        <f t="shared" si="12"/>
        <v>8890.119999999999</v>
      </c>
      <c r="P65" s="1404">
        <f t="shared" si="13"/>
        <v>-0.02</v>
      </c>
      <c r="Q65" s="1404">
        <f t="shared" si="14"/>
        <v>-0.02</v>
      </c>
      <c r="R65" s="1086">
        <v>18359.5</v>
      </c>
      <c r="S65" s="1087">
        <v>18359.5</v>
      </c>
      <c r="T65" s="1087">
        <v>0</v>
      </c>
      <c r="U65" s="1087">
        <v>0</v>
      </c>
      <c r="V65" s="1087">
        <v>0</v>
      </c>
      <c r="W65" s="1085">
        <f t="shared" si="24"/>
        <v>36719</v>
      </c>
      <c r="X65" s="1404">
        <f t="shared" si="15"/>
        <v>0</v>
      </c>
      <c r="Y65" s="1404">
        <f t="shared" si="16"/>
        <v>0</v>
      </c>
      <c r="Z65" s="1086"/>
      <c r="AA65" s="1087"/>
      <c r="AB65" s="1087"/>
      <c r="AC65" s="1087"/>
      <c r="AD65" s="1087"/>
      <c r="AE65" s="1085">
        <f t="shared" si="25"/>
        <v>0</v>
      </c>
      <c r="AF65" s="1404">
        <f t="shared" si="17"/>
        <v>0</v>
      </c>
      <c r="AG65" s="1404">
        <f t="shared" si="18"/>
        <v>0</v>
      </c>
      <c r="AH65" s="1086">
        <v>0</v>
      </c>
      <c r="AI65" s="1087">
        <v>5530</v>
      </c>
      <c r="AJ65" s="1087">
        <v>0</v>
      </c>
      <c r="AK65" s="1087">
        <v>0</v>
      </c>
      <c r="AL65" s="1087">
        <v>0</v>
      </c>
      <c r="AM65" s="1088">
        <f t="shared" si="26"/>
        <v>5530</v>
      </c>
      <c r="AN65" s="1088">
        <f t="shared" si="19"/>
        <v>0</v>
      </c>
      <c r="AO65" s="1088">
        <f t="shared" si="20"/>
        <v>0</v>
      </c>
      <c r="AP65" s="1773"/>
      <c r="AQ65" s="1773"/>
      <c r="AR65" s="1773"/>
      <c r="AS65" s="1773"/>
      <c r="AT65" s="1773"/>
      <c r="AU65" s="1773">
        <f t="shared" si="21"/>
        <v>0</v>
      </c>
      <c r="AV65" s="1773">
        <f t="shared" si="22"/>
        <v>0</v>
      </c>
      <c r="AW65" s="1773">
        <f t="shared" si="23"/>
        <v>0</v>
      </c>
    </row>
    <row r="66" spans="1:49" s="237" customFormat="1" x14ac:dyDescent="0.2">
      <c r="A66" s="1078" t="s">
        <v>156</v>
      </c>
      <c r="B66" s="1079" t="s">
        <v>157</v>
      </c>
      <c r="C66" s="103" t="s">
        <v>266</v>
      </c>
      <c r="D66" s="1080">
        <f t="shared" si="6"/>
        <v>68407.62</v>
      </c>
      <c r="E66" s="1080">
        <f t="shared" si="7"/>
        <v>80209.02</v>
      </c>
      <c r="F66" s="1080">
        <f t="shared" si="8"/>
        <v>0</v>
      </c>
      <c r="G66" s="1081">
        <f t="shared" si="9"/>
        <v>-0.08</v>
      </c>
      <c r="H66" s="1081">
        <f t="shared" si="10"/>
        <v>-0.08</v>
      </c>
      <c r="I66" s="1405">
        <f t="shared" si="11"/>
        <v>148616.56000000003</v>
      </c>
      <c r="J66" s="1082">
        <v>27447.82</v>
      </c>
      <c r="K66" s="1083">
        <v>27447.82</v>
      </c>
      <c r="L66" s="1083">
        <v>0</v>
      </c>
      <c r="M66" s="1083">
        <v>-0.08</v>
      </c>
      <c r="N66" s="1083">
        <v>0</v>
      </c>
      <c r="O66" s="1084">
        <f t="shared" si="12"/>
        <v>54895.56</v>
      </c>
      <c r="P66" s="1404">
        <f t="shared" si="13"/>
        <v>-0.08</v>
      </c>
      <c r="Q66" s="1404">
        <f t="shared" si="14"/>
        <v>-0.08</v>
      </c>
      <c r="R66" s="1082">
        <v>35775.5</v>
      </c>
      <c r="S66" s="1083">
        <v>35775.5</v>
      </c>
      <c r="T66" s="1083">
        <v>0</v>
      </c>
      <c r="U66" s="1083">
        <v>0</v>
      </c>
      <c r="V66" s="1083">
        <v>0</v>
      </c>
      <c r="W66" s="1085">
        <f t="shared" si="24"/>
        <v>71551</v>
      </c>
      <c r="X66" s="1404">
        <f t="shared" si="15"/>
        <v>0</v>
      </c>
      <c r="Y66" s="1404">
        <f t="shared" si="16"/>
        <v>0</v>
      </c>
      <c r="Z66" s="1082"/>
      <c r="AA66" s="1083"/>
      <c r="AB66" s="1083"/>
      <c r="AC66" s="1083"/>
      <c r="AD66" s="1083"/>
      <c r="AE66" s="1085">
        <f t="shared" si="25"/>
        <v>0</v>
      </c>
      <c r="AF66" s="1404">
        <f t="shared" si="17"/>
        <v>0</v>
      </c>
      <c r="AG66" s="1404">
        <f t="shared" si="18"/>
        <v>0</v>
      </c>
      <c r="AH66" s="1086">
        <v>5184.3</v>
      </c>
      <c r="AI66" s="1087">
        <v>16985.7</v>
      </c>
      <c r="AJ66" s="1087">
        <v>0</v>
      </c>
      <c r="AK66" s="1087">
        <v>0</v>
      </c>
      <c r="AL66" s="1087">
        <v>0</v>
      </c>
      <c r="AM66" s="1088">
        <f t="shared" si="26"/>
        <v>22170</v>
      </c>
      <c r="AN66" s="1088">
        <f t="shared" si="19"/>
        <v>0</v>
      </c>
      <c r="AO66" s="1088">
        <f t="shared" si="20"/>
        <v>0</v>
      </c>
      <c r="AP66" s="1773"/>
      <c r="AQ66" s="1773"/>
      <c r="AR66" s="1773"/>
      <c r="AS66" s="1773"/>
      <c r="AT66" s="1773"/>
      <c r="AU66" s="1773">
        <f t="shared" si="21"/>
        <v>0</v>
      </c>
      <c r="AV66" s="1773">
        <f t="shared" si="22"/>
        <v>0</v>
      </c>
      <c r="AW66" s="1773">
        <f t="shared" si="23"/>
        <v>0</v>
      </c>
    </row>
    <row r="67" spans="1:49" s="237" customFormat="1" x14ac:dyDescent="0.2">
      <c r="A67" s="1078" t="s">
        <v>162</v>
      </c>
      <c r="B67" s="1079" t="s">
        <v>163</v>
      </c>
      <c r="C67" s="103" t="s">
        <v>264</v>
      </c>
      <c r="D67" s="1080">
        <f t="shared" si="6"/>
        <v>54883.5</v>
      </c>
      <c r="E67" s="1080">
        <f t="shared" si="7"/>
        <v>54883.5</v>
      </c>
      <c r="F67" s="1080">
        <f t="shared" si="8"/>
        <v>0</v>
      </c>
      <c r="G67" s="1081">
        <f t="shared" si="9"/>
        <v>-0.01</v>
      </c>
      <c r="H67" s="1081">
        <f t="shared" si="10"/>
        <v>-0.01</v>
      </c>
      <c r="I67" s="1405">
        <f t="shared" si="11"/>
        <v>109766.99</v>
      </c>
      <c r="J67" s="1082">
        <v>54883.5</v>
      </c>
      <c r="K67" s="1083">
        <v>54883.5</v>
      </c>
      <c r="L67" s="1083">
        <v>0</v>
      </c>
      <c r="M67" s="1083">
        <v>-0.01</v>
      </c>
      <c r="N67" s="1083">
        <v>0</v>
      </c>
      <c r="O67" s="1084">
        <f t="shared" si="12"/>
        <v>109766.99</v>
      </c>
      <c r="P67" s="1404">
        <f t="shared" si="13"/>
        <v>-0.01</v>
      </c>
      <c r="Q67" s="1404">
        <f t="shared" si="14"/>
        <v>-0.01</v>
      </c>
      <c r="R67" s="1082">
        <v>0</v>
      </c>
      <c r="S67" s="1083">
        <v>0</v>
      </c>
      <c r="T67" s="1083">
        <v>0</v>
      </c>
      <c r="U67" s="1083">
        <v>0</v>
      </c>
      <c r="V67" s="1083">
        <v>0</v>
      </c>
      <c r="W67" s="1085">
        <f t="shared" si="24"/>
        <v>0</v>
      </c>
      <c r="X67" s="1404">
        <f t="shared" si="15"/>
        <v>0</v>
      </c>
      <c r="Y67" s="1404">
        <f t="shared" si="16"/>
        <v>0</v>
      </c>
      <c r="Z67" s="1082"/>
      <c r="AA67" s="1083"/>
      <c r="AB67" s="1083"/>
      <c r="AC67" s="1083"/>
      <c r="AD67" s="1083"/>
      <c r="AE67" s="1085">
        <f t="shared" si="25"/>
        <v>0</v>
      </c>
      <c r="AF67" s="1404">
        <f t="shared" si="17"/>
        <v>0</v>
      </c>
      <c r="AG67" s="1404">
        <f t="shared" si="18"/>
        <v>0</v>
      </c>
      <c r="AH67" s="1086">
        <v>0</v>
      </c>
      <c r="AI67" s="1087">
        <v>0</v>
      </c>
      <c r="AJ67" s="1087">
        <v>0</v>
      </c>
      <c r="AK67" s="1087">
        <v>0</v>
      </c>
      <c r="AL67" s="1087">
        <v>0</v>
      </c>
      <c r="AM67" s="1088">
        <f t="shared" si="26"/>
        <v>0</v>
      </c>
      <c r="AN67" s="1088">
        <f t="shared" si="19"/>
        <v>0</v>
      </c>
      <c r="AO67" s="1088">
        <f t="shared" si="20"/>
        <v>0</v>
      </c>
      <c r="AP67" s="1773"/>
      <c r="AQ67" s="1773"/>
      <c r="AR67" s="1773"/>
      <c r="AS67" s="1773"/>
      <c r="AT67" s="1773"/>
      <c r="AU67" s="1773">
        <f t="shared" si="21"/>
        <v>0</v>
      </c>
      <c r="AV67" s="1773">
        <f t="shared" si="22"/>
        <v>0</v>
      </c>
      <c r="AW67" s="1773">
        <f t="shared" si="23"/>
        <v>0</v>
      </c>
    </row>
    <row r="68" spans="1:49" s="237" customFormat="1" x14ac:dyDescent="0.2">
      <c r="A68" s="1078" t="s">
        <v>164</v>
      </c>
      <c r="B68" s="1079" t="s">
        <v>165</v>
      </c>
      <c r="C68" s="103" t="s">
        <v>266</v>
      </c>
      <c r="D68" s="1080">
        <f t="shared" si="6"/>
        <v>128519.61000000002</v>
      </c>
      <c r="E68" s="1080">
        <f t="shared" si="7"/>
        <v>187025.86</v>
      </c>
      <c r="F68" s="1080">
        <f t="shared" si="8"/>
        <v>0</v>
      </c>
      <c r="G68" s="1081">
        <f t="shared" si="9"/>
        <v>-0.04</v>
      </c>
      <c r="H68" s="1081">
        <f t="shared" si="10"/>
        <v>-0.04</v>
      </c>
      <c r="I68" s="1405">
        <f t="shared" si="11"/>
        <v>315545.43</v>
      </c>
      <c r="J68" s="1082">
        <v>60180.83</v>
      </c>
      <c r="K68" s="1083">
        <v>60180.83</v>
      </c>
      <c r="L68" s="1083">
        <v>0</v>
      </c>
      <c r="M68" s="1083">
        <v>-0.04</v>
      </c>
      <c r="N68" s="1083">
        <v>0</v>
      </c>
      <c r="O68" s="1084">
        <f t="shared" si="12"/>
        <v>120361.62000000001</v>
      </c>
      <c r="P68" s="1404">
        <f t="shared" si="13"/>
        <v>-0.04</v>
      </c>
      <c r="Q68" s="1404">
        <f t="shared" si="14"/>
        <v>-0.04</v>
      </c>
      <c r="R68" s="1082">
        <v>62186.5</v>
      </c>
      <c r="S68" s="1083">
        <v>62186.5</v>
      </c>
      <c r="T68" s="1083">
        <v>0</v>
      </c>
      <c r="U68" s="1083">
        <v>0</v>
      </c>
      <c r="V68" s="1083">
        <v>0</v>
      </c>
      <c r="W68" s="1085">
        <f t="shared" si="24"/>
        <v>124373</v>
      </c>
      <c r="X68" s="1404">
        <f t="shared" si="15"/>
        <v>0</v>
      </c>
      <c r="Y68" s="1404">
        <f t="shared" si="16"/>
        <v>0</v>
      </c>
      <c r="Z68" s="1082">
        <v>2250</v>
      </c>
      <c r="AA68" s="1083">
        <v>2250</v>
      </c>
      <c r="AB68" s="1083">
        <v>0</v>
      </c>
      <c r="AC68" s="1083">
        <v>0</v>
      </c>
      <c r="AD68" s="1083">
        <v>0</v>
      </c>
      <c r="AE68" s="1085">
        <f t="shared" si="25"/>
        <v>4500</v>
      </c>
      <c r="AF68" s="1404">
        <f t="shared" si="17"/>
        <v>0</v>
      </c>
      <c r="AG68" s="1404">
        <f t="shared" si="18"/>
        <v>0</v>
      </c>
      <c r="AH68" s="1086">
        <v>1795.07</v>
      </c>
      <c r="AI68" s="1087">
        <v>62408.53</v>
      </c>
      <c r="AJ68" s="1087">
        <v>0</v>
      </c>
      <c r="AK68" s="1087">
        <v>0</v>
      </c>
      <c r="AL68" s="1087">
        <v>0</v>
      </c>
      <c r="AM68" s="1088">
        <f t="shared" si="26"/>
        <v>64203.6</v>
      </c>
      <c r="AN68" s="1088">
        <f t="shared" si="19"/>
        <v>0</v>
      </c>
      <c r="AO68" s="1088">
        <f t="shared" si="20"/>
        <v>0</v>
      </c>
      <c r="AP68" s="1773">
        <v>2107.21</v>
      </c>
      <c r="AQ68" s="1773">
        <v>0</v>
      </c>
      <c r="AR68" s="1773">
        <v>0</v>
      </c>
      <c r="AS68" s="1773">
        <v>0</v>
      </c>
      <c r="AT68" s="1773">
        <v>0</v>
      </c>
      <c r="AU68" s="1773">
        <f t="shared" si="21"/>
        <v>2107.21</v>
      </c>
      <c r="AV68" s="1773">
        <f t="shared" si="22"/>
        <v>0</v>
      </c>
      <c r="AW68" s="1773">
        <f t="shared" si="23"/>
        <v>0</v>
      </c>
    </row>
    <row r="69" spans="1:49" s="237" customFormat="1" x14ac:dyDescent="0.2">
      <c r="A69" s="1078" t="s">
        <v>168</v>
      </c>
      <c r="B69" s="1079" t="s">
        <v>169</v>
      </c>
      <c r="C69" s="103" t="s">
        <v>266</v>
      </c>
      <c r="D69" s="1080">
        <f t="shared" si="6"/>
        <v>20368.5</v>
      </c>
      <c r="E69" s="1080">
        <f t="shared" si="7"/>
        <v>26844.5</v>
      </c>
      <c r="F69" s="1080">
        <f t="shared" si="8"/>
        <v>0</v>
      </c>
      <c r="G69" s="1081">
        <f t="shared" si="9"/>
        <v>0</v>
      </c>
      <c r="H69" s="1081">
        <f t="shared" si="10"/>
        <v>0</v>
      </c>
      <c r="I69" s="1405">
        <f t="shared" si="11"/>
        <v>47213</v>
      </c>
      <c r="J69" s="1082">
        <v>0</v>
      </c>
      <c r="K69" s="1083">
        <v>0</v>
      </c>
      <c r="L69" s="1083">
        <v>0</v>
      </c>
      <c r="M69" s="1083">
        <v>0</v>
      </c>
      <c r="N69" s="1083">
        <v>0</v>
      </c>
      <c r="O69" s="1084">
        <f t="shared" si="12"/>
        <v>0</v>
      </c>
      <c r="P69" s="1404">
        <f t="shared" si="13"/>
        <v>0</v>
      </c>
      <c r="Q69" s="1404">
        <f t="shared" si="14"/>
        <v>0</v>
      </c>
      <c r="R69" s="1082">
        <v>20368.5</v>
      </c>
      <c r="S69" s="1083">
        <v>20368.5</v>
      </c>
      <c r="T69" s="1083">
        <v>0</v>
      </c>
      <c r="U69" s="1083">
        <v>0</v>
      </c>
      <c r="V69" s="1083">
        <v>0</v>
      </c>
      <c r="W69" s="1085">
        <f t="shared" ref="W69:W100" si="27">SUM(R69:V69)</f>
        <v>40737</v>
      </c>
      <c r="X69" s="1404">
        <f t="shared" si="15"/>
        <v>0</v>
      </c>
      <c r="Y69" s="1404">
        <f t="shared" si="16"/>
        <v>0</v>
      </c>
      <c r="Z69" s="1082"/>
      <c r="AA69" s="1083"/>
      <c r="AB69" s="1083"/>
      <c r="AC69" s="1083"/>
      <c r="AD69" s="1083"/>
      <c r="AE69" s="1085">
        <f t="shared" ref="AE69:AE100" si="28">SUM(Z69:AD69)</f>
        <v>0</v>
      </c>
      <c r="AF69" s="1404">
        <f t="shared" si="17"/>
        <v>0</v>
      </c>
      <c r="AG69" s="1404">
        <f t="shared" si="18"/>
        <v>0</v>
      </c>
      <c r="AH69" s="1086">
        <v>0</v>
      </c>
      <c r="AI69" s="1087">
        <v>6476</v>
      </c>
      <c r="AJ69" s="1087">
        <v>0</v>
      </c>
      <c r="AK69" s="1087">
        <v>0</v>
      </c>
      <c r="AL69" s="1087">
        <v>0</v>
      </c>
      <c r="AM69" s="1088">
        <f t="shared" ref="AM69:AM100" si="29">SUM(AH69:AL69)</f>
        <v>6476</v>
      </c>
      <c r="AN69" s="1088">
        <f t="shared" si="19"/>
        <v>0</v>
      </c>
      <c r="AO69" s="1088">
        <f t="shared" si="20"/>
        <v>0</v>
      </c>
      <c r="AP69" s="1773"/>
      <c r="AQ69" s="1773"/>
      <c r="AR69" s="1773"/>
      <c r="AS69" s="1773"/>
      <c r="AT69" s="1773"/>
      <c r="AU69" s="1773">
        <f t="shared" si="21"/>
        <v>0</v>
      </c>
      <c r="AV69" s="1773">
        <f t="shared" si="22"/>
        <v>0</v>
      </c>
      <c r="AW69" s="1773">
        <f t="shared" si="23"/>
        <v>0</v>
      </c>
    </row>
    <row r="70" spans="1:49" s="237" customFormat="1" x14ac:dyDescent="0.2">
      <c r="A70" s="1078" t="s">
        <v>170</v>
      </c>
      <c r="B70" s="1079" t="s">
        <v>171</v>
      </c>
      <c r="C70" s="103" t="s">
        <v>267</v>
      </c>
      <c r="D70" s="1080">
        <f t="shared" ref="D70:D124" si="30">J70+R70+Z70+AH70+AP70</f>
        <v>372729.56</v>
      </c>
      <c r="E70" s="1080">
        <f t="shared" ref="E70:E124" si="31">K70+S70+AA70+AI70+AQ70</f>
        <v>605272.15999999992</v>
      </c>
      <c r="F70" s="1080">
        <f t="shared" ref="F70:F124" si="32">L70+T70+AB70+AJ70+AR70</f>
        <v>0</v>
      </c>
      <c r="G70" s="1081">
        <f t="shared" ref="G70:G124" si="33">P70+X70+AF70+AN70+AV70</f>
        <v>-0.08</v>
      </c>
      <c r="H70" s="1081">
        <f t="shared" ref="H70:H124" si="34">Q70+Y70+AG70+AO70+AW70</f>
        <v>-0.08</v>
      </c>
      <c r="I70" s="1405">
        <f t="shared" ref="I70:I124" si="35">SUM(D70:G70)</f>
        <v>978001.64</v>
      </c>
      <c r="J70" s="1082">
        <v>94511.11</v>
      </c>
      <c r="K70" s="1083">
        <v>94511.11</v>
      </c>
      <c r="L70" s="1083">
        <v>0</v>
      </c>
      <c r="M70" s="1083">
        <v>-0.08</v>
      </c>
      <c r="N70" s="1083">
        <v>0</v>
      </c>
      <c r="O70" s="1084">
        <f t="shared" ref="O70:O124" si="36">SUM(J70:N70)</f>
        <v>189022.14</v>
      </c>
      <c r="P70" s="1404">
        <f t="shared" ref="P70:P124" si="37">M70+N70</f>
        <v>-0.08</v>
      </c>
      <c r="Q70" s="1404">
        <f t="shared" ref="Q70:Q124" si="38">L70+P70</f>
        <v>-0.08</v>
      </c>
      <c r="R70" s="1082">
        <v>234673.5</v>
      </c>
      <c r="S70" s="1083">
        <v>234673.5</v>
      </c>
      <c r="T70" s="1083">
        <v>0</v>
      </c>
      <c r="U70" s="1083">
        <v>0</v>
      </c>
      <c r="V70" s="1083">
        <v>0</v>
      </c>
      <c r="W70" s="1085">
        <f t="shared" si="27"/>
        <v>469347</v>
      </c>
      <c r="X70" s="1404">
        <f t="shared" ref="X70:X124" si="39">U70+V70</f>
        <v>0</v>
      </c>
      <c r="Y70" s="1404">
        <f t="shared" ref="Y70:Y124" si="40">T70+X70</f>
        <v>0</v>
      </c>
      <c r="Z70" s="1082"/>
      <c r="AA70" s="1083"/>
      <c r="AB70" s="1083"/>
      <c r="AC70" s="1083"/>
      <c r="AD70" s="1083"/>
      <c r="AE70" s="1085">
        <f t="shared" si="28"/>
        <v>0</v>
      </c>
      <c r="AF70" s="1404">
        <f t="shared" ref="AF70:AF124" si="41">AC70+AD70</f>
        <v>0</v>
      </c>
      <c r="AG70" s="1404">
        <f t="shared" ref="AG70:AG124" si="42">AB70+AF70</f>
        <v>0</v>
      </c>
      <c r="AH70" s="1086">
        <v>43544.95</v>
      </c>
      <c r="AI70" s="1087">
        <v>276087.55</v>
      </c>
      <c r="AJ70" s="1087">
        <v>0</v>
      </c>
      <c r="AK70" s="1087">
        <v>0</v>
      </c>
      <c r="AL70" s="1087">
        <v>0</v>
      </c>
      <c r="AM70" s="1088">
        <f t="shared" si="29"/>
        <v>319632.5</v>
      </c>
      <c r="AN70" s="1088">
        <f t="shared" ref="AN70:AN124" si="43">AK70+AL70</f>
        <v>0</v>
      </c>
      <c r="AO70" s="1088">
        <f t="shared" ref="AO70:AO124" si="44">AJ70+AN70</f>
        <v>0</v>
      </c>
      <c r="AP70" s="1773"/>
      <c r="AQ70" s="1773"/>
      <c r="AR70" s="1773"/>
      <c r="AS70" s="1773"/>
      <c r="AT70" s="1773"/>
      <c r="AU70" s="1773">
        <f t="shared" ref="AU70:AU124" si="45">SUM(AP70:AT70)</f>
        <v>0</v>
      </c>
      <c r="AV70" s="1773">
        <f t="shared" ref="AV70:AV124" si="46">AS70+AT70</f>
        <v>0</v>
      </c>
      <c r="AW70" s="1773">
        <f t="shared" ref="AW70:AW124" si="47">AR70+AV70</f>
        <v>0</v>
      </c>
    </row>
    <row r="71" spans="1:49" s="237" customFormat="1" x14ac:dyDescent="0.2">
      <c r="A71" s="1078" t="s">
        <v>172</v>
      </c>
      <c r="B71" s="1079" t="s">
        <v>173</v>
      </c>
      <c r="C71" s="103" t="s">
        <v>267</v>
      </c>
      <c r="D71" s="1080">
        <f t="shared" si="30"/>
        <v>138271.49000000002</v>
      </c>
      <c r="E71" s="1080">
        <f t="shared" si="31"/>
        <v>147289.12</v>
      </c>
      <c r="F71" s="1080">
        <f t="shared" si="32"/>
        <v>0</v>
      </c>
      <c r="G71" s="1081">
        <f t="shared" si="33"/>
        <v>-0.03</v>
      </c>
      <c r="H71" s="1081">
        <f t="shared" si="34"/>
        <v>-0.03</v>
      </c>
      <c r="I71" s="1405">
        <f t="shared" si="35"/>
        <v>285560.57999999996</v>
      </c>
      <c r="J71" s="1082">
        <v>22077.599999999999</v>
      </c>
      <c r="K71" s="1083">
        <v>22077.599999999999</v>
      </c>
      <c r="L71" s="1083">
        <v>0</v>
      </c>
      <c r="M71" s="1083">
        <v>-0.02</v>
      </c>
      <c r="N71" s="1083">
        <v>0</v>
      </c>
      <c r="O71" s="1084">
        <f t="shared" si="36"/>
        <v>44155.18</v>
      </c>
      <c r="P71" s="1404">
        <f t="shared" si="37"/>
        <v>-0.02</v>
      </c>
      <c r="Q71" s="1404">
        <f t="shared" si="38"/>
        <v>-0.02</v>
      </c>
      <c r="R71" s="1082">
        <v>103590.97</v>
      </c>
      <c r="S71" s="1083">
        <v>103590.97</v>
      </c>
      <c r="T71" s="1083">
        <v>0</v>
      </c>
      <c r="U71" s="1083">
        <v>0</v>
      </c>
      <c r="V71" s="1083">
        <v>0</v>
      </c>
      <c r="W71" s="1085">
        <f t="shared" si="27"/>
        <v>207181.94</v>
      </c>
      <c r="X71" s="1404">
        <f t="shared" si="39"/>
        <v>0</v>
      </c>
      <c r="Y71" s="1404">
        <f t="shared" si="40"/>
        <v>0</v>
      </c>
      <c r="Z71" s="1082"/>
      <c r="AA71" s="1083"/>
      <c r="AB71" s="1083"/>
      <c r="AC71" s="1083"/>
      <c r="AD71" s="1083"/>
      <c r="AE71" s="1085">
        <f t="shared" si="28"/>
        <v>0</v>
      </c>
      <c r="AF71" s="1404">
        <f t="shared" si="41"/>
        <v>0</v>
      </c>
      <c r="AG71" s="1404">
        <f t="shared" si="42"/>
        <v>0</v>
      </c>
      <c r="AH71" s="1086">
        <v>10648.92</v>
      </c>
      <c r="AI71" s="1087">
        <v>21620.55</v>
      </c>
      <c r="AJ71" s="1087">
        <v>0</v>
      </c>
      <c r="AK71" s="1087">
        <v>-0.01</v>
      </c>
      <c r="AL71" s="1087">
        <v>0</v>
      </c>
      <c r="AM71" s="1088">
        <f t="shared" si="29"/>
        <v>32269.460000000003</v>
      </c>
      <c r="AN71" s="1088">
        <f t="shared" si="43"/>
        <v>-0.01</v>
      </c>
      <c r="AO71" s="1088">
        <f t="shared" si="44"/>
        <v>-0.01</v>
      </c>
      <c r="AP71" s="1773">
        <v>1954</v>
      </c>
      <c r="AQ71" s="1773">
        <v>0</v>
      </c>
      <c r="AR71" s="1773">
        <v>0</v>
      </c>
      <c r="AS71" s="1773">
        <v>0</v>
      </c>
      <c r="AT71" s="1773">
        <v>0</v>
      </c>
      <c r="AU71" s="1773">
        <f t="shared" si="45"/>
        <v>1954</v>
      </c>
      <c r="AV71" s="1773">
        <f t="shared" si="46"/>
        <v>0</v>
      </c>
      <c r="AW71" s="1773">
        <f t="shared" si="47"/>
        <v>0</v>
      </c>
    </row>
    <row r="72" spans="1:49" s="237" customFormat="1" x14ac:dyDescent="0.2">
      <c r="A72" s="1078" t="s">
        <v>174</v>
      </c>
      <c r="B72" s="1079" t="s">
        <v>175</v>
      </c>
      <c r="C72" s="103" t="s">
        <v>268</v>
      </c>
      <c r="D72" s="1080">
        <f t="shared" si="30"/>
        <v>41926.04</v>
      </c>
      <c r="E72" s="1080">
        <f t="shared" si="31"/>
        <v>41926.04</v>
      </c>
      <c r="F72" s="1080">
        <f t="shared" si="32"/>
        <v>0</v>
      </c>
      <c r="G72" s="1081">
        <f t="shared" si="33"/>
        <v>445.18</v>
      </c>
      <c r="H72" s="1081">
        <f t="shared" si="34"/>
        <v>445.18</v>
      </c>
      <c r="I72" s="1405">
        <f t="shared" si="35"/>
        <v>84297.26</v>
      </c>
      <c r="J72" s="1082">
        <v>38696.04</v>
      </c>
      <c r="K72" s="1083">
        <v>38696.04</v>
      </c>
      <c r="L72" s="1083">
        <v>0</v>
      </c>
      <c r="M72" s="1083">
        <v>445.18</v>
      </c>
      <c r="N72" s="1083">
        <v>0</v>
      </c>
      <c r="O72" s="1084">
        <f t="shared" si="36"/>
        <v>77837.259999999995</v>
      </c>
      <c r="P72" s="1404">
        <f t="shared" si="37"/>
        <v>445.18</v>
      </c>
      <c r="Q72" s="1404">
        <f t="shared" si="38"/>
        <v>445.18</v>
      </c>
      <c r="R72" s="1082">
        <v>3230</v>
      </c>
      <c r="S72" s="1083">
        <v>3230</v>
      </c>
      <c r="T72" s="1083">
        <v>0</v>
      </c>
      <c r="U72" s="1083">
        <v>0</v>
      </c>
      <c r="V72" s="1083">
        <v>0</v>
      </c>
      <c r="W72" s="1085">
        <f t="shared" si="27"/>
        <v>6460</v>
      </c>
      <c r="X72" s="1404">
        <f t="shared" si="39"/>
        <v>0</v>
      </c>
      <c r="Y72" s="1404">
        <f t="shared" si="40"/>
        <v>0</v>
      </c>
      <c r="Z72" s="1082"/>
      <c r="AA72" s="1083"/>
      <c r="AB72" s="1083"/>
      <c r="AC72" s="1083"/>
      <c r="AD72" s="1083"/>
      <c r="AE72" s="1085">
        <f t="shared" si="28"/>
        <v>0</v>
      </c>
      <c r="AF72" s="1404">
        <f t="shared" si="41"/>
        <v>0</v>
      </c>
      <c r="AG72" s="1404">
        <f t="shared" si="42"/>
        <v>0</v>
      </c>
      <c r="AH72" s="1086">
        <v>0</v>
      </c>
      <c r="AI72" s="1087">
        <v>0</v>
      </c>
      <c r="AJ72" s="1087">
        <v>0</v>
      </c>
      <c r="AK72" s="1087">
        <v>0</v>
      </c>
      <c r="AL72" s="1087">
        <v>0</v>
      </c>
      <c r="AM72" s="1088">
        <f t="shared" si="29"/>
        <v>0</v>
      </c>
      <c r="AN72" s="1088">
        <f t="shared" si="43"/>
        <v>0</v>
      </c>
      <c r="AO72" s="1088">
        <f t="shared" si="44"/>
        <v>0</v>
      </c>
      <c r="AP72" s="1773"/>
      <c r="AQ72" s="1773"/>
      <c r="AR72" s="1773"/>
      <c r="AS72" s="1773"/>
      <c r="AT72" s="1773"/>
      <c r="AU72" s="1773">
        <f t="shared" si="45"/>
        <v>0</v>
      </c>
      <c r="AV72" s="1773">
        <f t="shared" si="46"/>
        <v>0</v>
      </c>
      <c r="AW72" s="1773">
        <f t="shared" si="47"/>
        <v>0</v>
      </c>
    </row>
    <row r="73" spans="1:49" s="237" customFormat="1" x14ac:dyDescent="0.2">
      <c r="A73" s="1078" t="s">
        <v>178</v>
      </c>
      <c r="B73" s="1079" t="s">
        <v>179</v>
      </c>
      <c r="C73" s="103" t="s">
        <v>265</v>
      </c>
      <c r="D73" s="1080">
        <f t="shared" si="30"/>
        <v>92355.31</v>
      </c>
      <c r="E73" s="1080">
        <f t="shared" si="31"/>
        <v>167572.60999999999</v>
      </c>
      <c r="F73" s="1080">
        <f t="shared" si="32"/>
        <v>0</v>
      </c>
      <c r="G73" s="1081">
        <f t="shared" si="33"/>
        <v>-0.02</v>
      </c>
      <c r="H73" s="1081">
        <f t="shared" si="34"/>
        <v>-0.02</v>
      </c>
      <c r="I73" s="1405">
        <f t="shared" si="35"/>
        <v>259927.9</v>
      </c>
      <c r="J73" s="1082">
        <v>51354.46</v>
      </c>
      <c r="K73" s="1083">
        <v>51354.46</v>
      </c>
      <c r="L73" s="1083">
        <v>0</v>
      </c>
      <c r="M73" s="1083">
        <v>-0.02</v>
      </c>
      <c r="N73" s="1083">
        <v>0</v>
      </c>
      <c r="O73" s="1084">
        <f t="shared" si="36"/>
        <v>102708.9</v>
      </c>
      <c r="P73" s="1404">
        <f t="shared" si="37"/>
        <v>-0.02</v>
      </c>
      <c r="Q73" s="1404">
        <f t="shared" si="38"/>
        <v>-0.02</v>
      </c>
      <c r="R73" s="1082">
        <v>40557</v>
      </c>
      <c r="S73" s="1083">
        <v>40557</v>
      </c>
      <c r="T73" s="1083">
        <v>0</v>
      </c>
      <c r="U73" s="1083">
        <v>0</v>
      </c>
      <c r="V73" s="1083">
        <v>0</v>
      </c>
      <c r="W73" s="1085">
        <f t="shared" si="27"/>
        <v>81114</v>
      </c>
      <c r="X73" s="1404">
        <f t="shared" si="39"/>
        <v>0</v>
      </c>
      <c r="Y73" s="1404">
        <f t="shared" si="40"/>
        <v>0</v>
      </c>
      <c r="Z73" s="1082"/>
      <c r="AA73" s="1083"/>
      <c r="AB73" s="1083"/>
      <c r="AC73" s="1083"/>
      <c r="AD73" s="1083"/>
      <c r="AE73" s="1085">
        <f t="shared" si="28"/>
        <v>0</v>
      </c>
      <c r="AF73" s="1404">
        <f t="shared" si="41"/>
        <v>0</v>
      </c>
      <c r="AG73" s="1404">
        <f t="shared" si="42"/>
        <v>0</v>
      </c>
      <c r="AH73" s="1086">
        <v>443.85</v>
      </c>
      <c r="AI73" s="1087">
        <v>75661.149999999994</v>
      </c>
      <c r="AJ73" s="1087">
        <v>0</v>
      </c>
      <c r="AK73" s="1087">
        <v>0</v>
      </c>
      <c r="AL73" s="1087">
        <v>0</v>
      </c>
      <c r="AM73" s="1088">
        <f t="shared" si="29"/>
        <v>76105</v>
      </c>
      <c r="AN73" s="1088">
        <f t="shared" si="43"/>
        <v>0</v>
      </c>
      <c r="AO73" s="1088">
        <f t="shared" si="44"/>
        <v>0</v>
      </c>
      <c r="AP73" s="1773"/>
      <c r="AQ73" s="1773"/>
      <c r="AR73" s="1773"/>
      <c r="AS73" s="1773"/>
      <c r="AT73" s="1773"/>
      <c r="AU73" s="1773">
        <f t="shared" si="45"/>
        <v>0</v>
      </c>
      <c r="AV73" s="1773">
        <f t="shared" si="46"/>
        <v>0</v>
      </c>
      <c r="AW73" s="1773">
        <f t="shared" si="47"/>
        <v>0</v>
      </c>
    </row>
    <row r="74" spans="1:49" s="237" customFormat="1" x14ac:dyDescent="0.2">
      <c r="A74" s="1078" t="s">
        <v>182</v>
      </c>
      <c r="B74" s="1079" t="s">
        <v>183</v>
      </c>
      <c r="C74" s="103" t="s">
        <v>266</v>
      </c>
      <c r="D74" s="1080">
        <f t="shared" si="30"/>
        <v>146914.91000000003</v>
      </c>
      <c r="E74" s="1080">
        <f t="shared" si="31"/>
        <v>152020.01</v>
      </c>
      <c r="F74" s="1080">
        <f t="shared" si="32"/>
        <v>0</v>
      </c>
      <c r="G74" s="1081">
        <f t="shared" si="33"/>
        <v>-772.34999999999991</v>
      </c>
      <c r="H74" s="1081">
        <f t="shared" si="34"/>
        <v>-772.34999999999991</v>
      </c>
      <c r="I74" s="1405">
        <f t="shared" si="35"/>
        <v>298162.57000000007</v>
      </c>
      <c r="J74" s="1082">
        <v>103189.57</v>
      </c>
      <c r="K74" s="1083">
        <v>103189.57</v>
      </c>
      <c r="L74" s="1083">
        <v>0</v>
      </c>
      <c r="M74" s="1083">
        <v>-0.05</v>
      </c>
      <c r="N74" s="1083">
        <v>-772.3</v>
      </c>
      <c r="O74" s="1084">
        <f t="shared" si="36"/>
        <v>205606.79000000004</v>
      </c>
      <c r="P74" s="1404">
        <f t="shared" si="37"/>
        <v>-772.34999999999991</v>
      </c>
      <c r="Q74" s="1404">
        <f t="shared" si="38"/>
        <v>-772.34999999999991</v>
      </c>
      <c r="R74" s="1082">
        <v>38770.39</v>
      </c>
      <c r="S74" s="1083">
        <v>38770.39</v>
      </c>
      <c r="T74" s="1083">
        <v>0</v>
      </c>
      <c r="U74" s="1083">
        <v>0</v>
      </c>
      <c r="V74" s="1083">
        <v>0</v>
      </c>
      <c r="W74" s="1085">
        <f t="shared" si="27"/>
        <v>77540.78</v>
      </c>
      <c r="X74" s="1404">
        <f t="shared" si="39"/>
        <v>0</v>
      </c>
      <c r="Y74" s="1404">
        <f t="shared" si="40"/>
        <v>0</v>
      </c>
      <c r="Z74" s="1086"/>
      <c r="AA74" s="1087"/>
      <c r="AB74" s="1087"/>
      <c r="AC74" s="1087"/>
      <c r="AD74" s="1087"/>
      <c r="AE74" s="1085">
        <f t="shared" si="28"/>
        <v>0</v>
      </c>
      <c r="AF74" s="1404">
        <f t="shared" si="41"/>
        <v>0</v>
      </c>
      <c r="AG74" s="1404">
        <f t="shared" si="42"/>
        <v>0</v>
      </c>
      <c r="AH74" s="1086">
        <v>4954.95</v>
      </c>
      <c r="AI74" s="1087">
        <v>10060.049999999999</v>
      </c>
      <c r="AJ74" s="1087">
        <v>0</v>
      </c>
      <c r="AK74" s="1087">
        <v>0</v>
      </c>
      <c r="AL74" s="1087">
        <v>0</v>
      </c>
      <c r="AM74" s="1088">
        <f t="shared" si="29"/>
        <v>15015</v>
      </c>
      <c r="AN74" s="1088">
        <f t="shared" si="43"/>
        <v>0</v>
      </c>
      <c r="AO74" s="1088">
        <f t="shared" si="44"/>
        <v>0</v>
      </c>
      <c r="AP74" s="1773"/>
      <c r="AQ74" s="1773"/>
      <c r="AR74" s="1773"/>
      <c r="AS74" s="1773"/>
      <c r="AT74" s="1773"/>
      <c r="AU74" s="1773">
        <f t="shared" si="45"/>
        <v>0</v>
      </c>
      <c r="AV74" s="1773">
        <f t="shared" si="46"/>
        <v>0</v>
      </c>
      <c r="AW74" s="1773">
        <f t="shared" si="47"/>
        <v>0</v>
      </c>
    </row>
    <row r="75" spans="1:49" s="237" customFormat="1" x14ac:dyDescent="0.2">
      <c r="A75" s="1078" t="s">
        <v>184</v>
      </c>
      <c r="B75" s="1079" t="s">
        <v>185</v>
      </c>
      <c r="C75" s="103" t="s">
        <v>266</v>
      </c>
      <c r="D75" s="1080">
        <f t="shared" si="30"/>
        <v>163665.73000000001</v>
      </c>
      <c r="E75" s="1080">
        <f t="shared" si="31"/>
        <v>344090.53</v>
      </c>
      <c r="F75" s="1080">
        <f t="shared" si="32"/>
        <v>0</v>
      </c>
      <c r="G75" s="1081">
        <f t="shared" si="33"/>
        <v>-9.9999999999999992E-2</v>
      </c>
      <c r="H75" s="1081">
        <f t="shared" si="34"/>
        <v>-9.9999999999999992E-2</v>
      </c>
      <c r="I75" s="1405">
        <f t="shared" si="35"/>
        <v>507756.16000000003</v>
      </c>
      <c r="J75" s="1082">
        <v>36957.72</v>
      </c>
      <c r="K75" s="1083">
        <v>36957.72</v>
      </c>
      <c r="L75" s="1083">
        <v>0</v>
      </c>
      <c r="M75" s="1083">
        <v>-0.09</v>
      </c>
      <c r="N75" s="1083">
        <v>0</v>
      </c>
      <c r="O75" s="1084">
        <f t="shared" si="36"/>
        <v>73915.350000000006</v>
      </c>
      <c r="P75" s="1404">
        <f t="shared" si="37"/>
        <v>-0.09</v>
      </c>
      <c r="Q75" s="1404">
        <f t="shared" si="38"/>
        <v>-0.09</v>
      </c>
      <c r="R75" s="1082">
        <v>121569.91</v>
      </c>
      <c r="S75" s="1083">
        <v>121569.91</v>
      </c>
      <c r="T75" s="1083">
        <v>0</v>
      </c>
      <c r="U75" s="1083">
        <v>-0.01</v>
      </c>
      <c r="V75" s="1083">
        <v>0</v>
      </c>
      <c r="W75" s="1085">
        <f t="shared" si="27"/>
        <v>243139.81</v>
      </c>
      <c r="X75" s="1404">
        <f t="shared" si="39"/>
        <v>-0.01</v>
      </c>
      <c r="Y75" s="1404">
        <f t="shared" si="40"/>
        <v>-0.01</v>
      </c>
      <c r="Z75" s="1082"/>
      <c r="AA75" s="1083"/>
      <c r="AB75" s="1083"/>
      <c r="AC75" s="1083"/>
      <c r="AD75" s="1083"/>
      <c r="AE75" s="1085">
        <f t="shared" si="28"/>
        <v>0</v>
      </c>
      <c r="AF75" s="1404">
        <f t="shared" si="41"/>
        <v>0</v>
      </c>
      <c r="AG75" s="1404">
        <f t="shared" si="42"/>
        <v>0</v>
      </c>
      <c r="AH75" s="1086">
        <v>5138.1000000000004</v>
      </c>
      <c r="AI75" s="1087">
        <v>185562.9</v>
      </c>
      <c r="AJ75" s="1087">
        <v>0</v>
      </c>
      <c r="AK75" s="1087">
        <v>0</v>
      </c>
      <c r="AL75" s="1087">
        <v>0</v>
      </c>
      <c r="AM75" s="1088">
        <f t="shared" si="29"/>
        <v>190701</v>
      </c>
      <c r="AN75" s="1088">
        <f t="shared" si="43"/>
        <v>0</v>
      </c>
      <c r="AO75" s="1088">
        <f t="shared" si="44"/>
        <v>0</v>
      </c>
      <c r="AP75" s="1773"/>
      <c r="AQ75" s="1773"/>
      <c r="AR75" s="1773"/>
      <c r="AS75" s="1773"/>
      <c r="AT75" s="1773"/>
      <c r="AU75" s="1773">
        <f t="shared" si="45"/>
        <v>0</v>
      </c>
      <c r="AV75" s="1773">
        <f t="shared" si="46"/>
        <v>0</v>
      </c>
      <c r="AW75" s="1773">
        <f t="shared" si="47"/>
        <v>0</v>
      </c>
    </row>
    <row r="76" spans="1:49" s="237" customFormat="1" x14ac:dyDescent="0.2">
      <c r="A76" s="1078" t="s">
        <v>186</v>
      </c>
      <c r="B76" s="1079" t="s">
        <v>187</v>
      </c>
      <c r="C76" s="103" t="s">
        <v>264</v>
      </c>
      <c r="D76" s="1080">
        <f t="shared" si="30"/>
        <v>115129.17</v>
      </c>
      <c r="E76" s="1080">
        <f t="shared" si="31"/>
        <v>229154.16999999998</v>
      </c>
      <c r="F76" s="1080">
        <f t="shared" si="32"/>
        <v>0</v>
      </c>
      <c r="G76" s="1081">
        <f t="shared" si="33"/>
        <v>-0.01</v>
      </c>
      <c r="H76" s="1081">
        <f t="shared" si="34"/>
        <v>-0.01</v>
      </c>
      <c r="I76" s="1405">
        <f t="shared" si="35"/>
        <v>344283.32999999996</v>
      </c>
      <c r="J76" s="1082">
        <v>53743.15</v>
      </c>
      <c r="K76" s="1083">
        <v>53743.15</v>
      </c>
      <c r="L76" s="1083">
        <v>0</v>
      </c>
      <c r="M76" s="1083">
        <v>0</v>
      </c>
      <c r="N76" s="1083">
        <v>0</v>
      </c>
      <c r="O76" s="1084">
        <f t="shared" si="36"/>
        <v>107486.3</v>
      </c>
      <c r="P76" s="1404">
        <f t="shared" si="37"/>
        <v>0</v>
      </c>
      <c r="Q76" s="1404">
        <f t="shared" si="38"/>
        <v>0</v>
      </c>
      <c r="R76" s="1082">
        <v>60726.02</v>
      </c>
      <c r="S76" s="1083">
        <v>60726.02</v>
      </c>
      <c r="T76" s="1083">
        <v>0</v>
      </c>
      <c r="U76" s="1083">
        <v>-0.01</v>
      </c>
      <c r="V76" s="1083">
        <v>0</v>
      </c>
      <c r="W76" s="1085">
        <f t="shared" si="27"/>
        <v>121452.03</v>
      </c>
      <c r="X76" s="1404">
        <f t="shared" si="39"/>
        <v>-0.01</v>
      </c>
      <c r="Y76" s="1404">
        <f t="shared" si="40"/>
        <v>-0.01</v>
      </c>
      <c r="Z76" s="1082"/>
      <c r="AA76" s="1083"/>
      <c r="AB76" s="1083"/>
      <c r="AC76" s="1083"/>
      <c r="AD76" s="1083"/>
      <c r="AE76" s="1085">
        <f t="shared" si="28"/>
        <v>0</v>
      </c>
      <c r="AF76" s="1404">
        <f t="shared" si="41"/>
        <v>0</v>
      </c>
      <c r="AG76" s="1404">
        <f t="shared" si="42"/>
        <v>0</v>
      </c>
      <c r="AH76" s="1086">
        <v>660</v>
      </c>
      <c r="AI76" s="1087">
        <v>114685</v>
      </c>
      <c r="AJ76" s="1087">
        <v>0</v>
      </c>
      <c r="AK76" s="1087">
        <v>0</v>
      </c>
      <c r="AL76" s="1087">
        <v>0</v>
      </c>
      <c r="AM76" s="1088">
        <f t="shared" si="29"/>
        <v>115345</v>
      </c>
      <c r="AN76" s="1088">
        <f t="shared" si="43"/>
        <v>0</v>
      </c>
      <c r="AO76" s="1088">
        <f t="shared" si="44"/>
        <v>0</v>
      </c>
      <c r="AP76" s="1773"/>
      <c r="AQ76" s="1773"/>
      <c r="AR76" s="1773"/>
      <c r="AS76" s="1773"/>
      <c r="AT76" s="1773"/>
      <c r="AU76" s="1773">
        <f t="shared" si="45"/>
        <v>0</v>
      </c>
      <c r="AV76" s="1773">
        <f t="shared" si="46"/>
        <v>0</v>
      </c>
      <c r="AW76" s="1773">
        <f t="shared" si="47"/>
        <v>0</v>
      </c>
    </row>
    <row r="77" spans="1:49" s="237" customFormat="1" x14ac:dyDescent="0.2">
      <c r="A77" s="1078" t="s">
        <v>188</v>
      </c>
      <c r="B77" s="1079" t="s">
        <v>189</v>
      </c>
      <c r="C77" s="103" t="s">
        <v>267</v>
      </c>
      <c r="D77" s="1080">
        <f t="shared" si="30"/>
        <v>1007840.44</v>
      </c>
      <c r="E77" s="1080">
        <f t="shared" si="31"/>
        <v>1540772.02</v>
      </c>
      <c r="F77" s="1080">
        <f t="shared" si="32"/>
        <v>0</v>
      </c>
      <c r="G77" s="1081">
        <f t="shared" si="33"/>
        <v>-0.19</v>
      </c>
      <c r="H77" s="1081">
        <f t="shared" si="34"/>
        <v>-0.19</v>
      </c>
      <c r="I77" s="1405">
        <f t="shared" si="35"/>
        <v>2548612.27</v>
      </c>
      <c r="J77" s="1082">
        <v>343218.55</v>
      </c>
      <c r="K77" s="1083">
        <v>343218.55</v>
      </c>
      <c r="L77" s="1083">
        <v>0</v>
      </c>
      <c r="M77" s="1083">
        <v>-0.11</v>
      </c>
      <c r="N77" s="1083">
        <v>0</v>
      </c>
      <c r="O77" s="1084">
        <f t="shared" si="36"/>
        <v>686436.99</v>
      </c>
      <c r="P77" s="1404">
        <f t="shared" si="37"/>
        <v>-0.11</v>
      </c>
      <c r="Q77" s="1404">
        <f t="shared" si="38"/>
        <v>-0.11</v>
      </c>
      <c r="R77" s="1082">
        <v>572363.32999999996</v>
      </c>
      <c r="S77" s="1083">
        <v>572363.32999999996</v>
      </c>
      <c r="T77" s="1083">
        <v>0</v>
      </c>
      <c r="U77" s="1083">
        <v>-7.0000000000000007E-2</v>
      </c>
      <c r="V77" s="1083">
        <v>0</v>
      </c>
      <c r="W77" s="1085">
        <f t="shared" si="27"/>
        <v>1144726.5899999999</v>
      </c>
      <c r="X77" s="1404">
        <f t="shared" si="39"/>
        <v>-7.0000000000000007E-2</v>
      </c>
      <c r="Y77" s="1404">
        <f t="shared" si="40"/>
        <v>-7.0000000000000007E-2</v>
      </c>
      <c r="Z77" s="1082"/>
      <c r="AA77" s="1083"/>
      <c r="AB77" s="1083"/>
      <c r="AC77" s="1083"/>
      <c r="AD77" s="1083"/>
      <c r="AE77" s="1085">
        <f t="shared" si="28"/>
        <v>0</v>
      </c>
      <c r="AF77" s="1404">
        <f t="shared" si="41"/>
        <v>0</v>
      </c>
      <c r="AG77" s="1404">
        <f t="shared" si="42"/>
        <v>0</v>
      </c>
      <c r="AH77" s="1086">
        <v>92258.559999999998</v>
      </c>
      <c r="AI77" s="1087">
        <v>625190.14</v>
      </c>
      <c r="AJ77" s="1087">
        <v>0</v>
      </c>
      <c r="AK77" s="1087">
        <v>-0.01</v>
      </c>
      <c r="AL77" s="1087">
        <v>0</v>
      </c>
      <c r="AM77" s="1088">
        <f t="shared" si="29"/>
        <v>717448.69</v>
      </c>
      <c r="AN77" s="1088">
        <f t="shared" si="43"/>
        <v>-0.01</v>
      </c>
      <c r="AO77" s="1088">
        <f t="shared" si="44"/>
        <v>-0.01</v>
      </c>
      <c r="AP77" s="1773"/>
      <c r="AQ77" s="1773"/>
      <c r="AR77" s="1773"/>
      <c r="AS77" s="1773"/>
      <c r="AT77" s="1773"/>
      <c r="AU77" s="1773">
        <f t="shared" si="45"/>
        <v>0</v>
      </c>
      <c r="AV77" s="1773">
        <f t="shared" si="46"/>
        <v>0</v>
      </c>
      <c r="AW77" s="1773">
        <f t="shared" si="47"/>
        <v>0</v>
      </c>
    </row>
    <row r="78" spans="1:49" s="237" customFormat="1" x14ac:dyDescent="0.2">
      <c r="A78" s="1078" t="s">
        <v>190</v>
      </c>
      <c r="B78" s="1079" t="s">
        <v>191</v>
      </c>
      <c r="C78" s="103" t="s">
        <v>268</v>
      </c>
      <c r="D78" s="1080">
        <f t="shared" si="30"/>
        <v>1061525.29</v>
      </c>
      <c r="E78" s="1080">
        <f t="shared" si="31"/>
        <v>1129380.4100000001</v>
      </c>
      <c r="F78" s="1080">
        <f t="shared" si="32"/>
        <v>0</v>
      </c>
      <c r="G78" s="1081">
        <f t="shared" si="33"/>
        <v>701.33</v>
      </c>
      <c r="H78" s="1081">
        <f t="shared" si="34"/>
        <v>701.33</v>
      </c>
      <c r="I78" s="1405">
        <f t="shared" si="35"/>
        <v>2191607.0300000003</v>
      </c>
      <c r="J78" s="1082">
        <v>534260.52</v>
      </c>
      <c r="K78" s="1083">
        <v>534260.52</v>
      </c>
      <c r="L78" s="1083">
        <v>0</v>
      </c>
      <c r="M78" s="1083">
        <v>-0.22</v>
      </c>
      <c r="N78" s="1083">
        <v>0</v>
      </c>
      <c r="O78" s="1084">
        <f t="shared" si="36"/>
        <v>1068520.82</v>
      </c>
      <c r="P78" s="1404">
        <f t="shared" si="37"/>
        <v>-0.22</v>
      </c>
      <c r="Q78" s="1404">
        <f t="shared" si="38"/>
        <v>-0.22</v>
      </c>
      <c r="R78" s="1082">
        <v>525954.01</v>
      </c>
      <c r="S78" s="1083">
        <v>525954.01</v>
      </c>
      <c r="T78" s="1083">
        <v>0</v>
      </c>
      <c r="U78" s="1083">
        <v>-0.02</v>
      </c>
      <c r="V78" s="1083">
        <v>701.57</v>
      </c>
      <c r="W78" s="1085">
        <f t="shared" si="27"/>
        <v>1052609.57</v>
      </c>
      <c r="X78" s="1404">
        <f t="shared" si="39"/>
        <v>701.55000000000007</v>
      </c>
      <c r="Y78" s="1404">
        <f t="shared" si="40"/>
        <v>701.55000000000007</v>
      </c>
      <c r="Z78" s="1082"/>
      <c r="AA78" s="1083"/>
      <c r="AB78" s="1083"/>
      <c r="AC78" s="1083"/>
      <c r="AD78" s="1083"/>
      <c r="AE78" s="1085">
        <f t="shared" si="28"/>
        <v>0</v>
      </c>
      <c r="AF78" s="1404">
        <f t="shared" si="41"/>
        <v>0</v>
      </c>
      <c r="AG78" s="1404">
        <f t="shared" si="42"/>
        <v>0</v>
      </c>
      <c r="AH78" s="1086">
        <v>1310.76</v>
      </c>
      <c r="AI78" s="1087">
        <v>69165.88</v>
      </c>
      <c r="AJ78" s="1087">
        <v>0</v>
      </c>
      <c r="AK78" s="1087">
        <v>0</v>
      </c>
      <c r="AL78" s="1087">
        <v>0</v>
      </c>
      <c r="AM78" s="1088">
        <f t="shared" si="29"/>
        <v>70476.639999999999</v>
      </c>
      <c r="AN78" s="1088">
        <f t="shared" si="43"/>
        <v>0</v>
      </c>
      <c r="AO78" s="1088">
        <f t="shared" si="44"/>
        <v>0</v>
      </c>
      <c r="AP78" s="1773"/>
      <c r="AQ78" s="1773"/>
      <c r="AR78" s="1773"/>
      <c r="AS78" s="1773"/>
      <c r="AT78" s="1773"/>
      <c r="AU78" s="1773">
        <f t="shared" si="45"/>
        <v>0</v>
      </c>
      <c r="AV78" s="1773">
        <f t="shared" si="46"/>
        <v>0</v>
      </c>
      <c r="AW78" s="1773">
        <f t="shared" si="47"/>
        <v>0</v>
      </c>
    </row>
    <row r="79" spans="1:49" s="237" customFormat="1" x14ac:dyDescent="0.2">
      <c r="A79" s="1078" t="s">
        <v>194</v>
      </c>
      <c r="B79" s="1079" t="s">
        <v>195</v>
      </c>
      <c r="C79" s="103" t="s">
        <v>267</v>
      </c>
      <c r="D79" s="1080">
        <f t="shared" si="30"/>
        <v>74679.570000000007</v>
      </c>
      <c r="E79" s="1080">
        <f t="shared" si="31"/>
        <v>85844.87</v>
      </c>
      <c r="F79" s="1080">
        <f t="shared" si="32"/>
        <v>0</v>
      </c>
      <c r="G79" s="1081">
        <f t="shared" si="33"/>
        <v>9030.84</v>
      </c>
      <c r="H79" s="1081">
        <f t="shared" si="34"/>
        <v>9030.84</v>
      </c>
      <c r="I79" s="1405">
        <f t="shared" si="35"/>
        <v>169555.28</v>
      </c>
      <c r="J79" s="1082">
        <v>57845.22</v>
      </c>
      <c r="K79" s="1083">
        <v>57845.22</v>
      </c>
      <c r="L79" s="1083">
        <v>0</v>
      </c>
      <c r="M79" s="1083">
        <v>9030.84</v>
      </c>
      <c r="N79" s="1083">
        <v>0</v>
      </c>
      <c r="O79" s="1084">
        <f t="shared" si="36"/>
        <v>124721.28</v>
      </c>
      <c r="P79" s="1404">
        <f t="shared" si="37"/>
        <v>9030.84</v>
      </c>
      <c r="Q79" s="1404">
        <f t="shared" si="38"/>
        <v>9030.84</v>
      </c>
      <c r="R79" s="1082">
        <v>13948.5</v>
      </c>
      <c r="S79" s="1083">
        <v>13948.5</v>
      </c>
      <c r="T79" s="1083">
        <v>0</v>
      </c>
      <c r="U79" s="1083">
        <v>0</v>
      </c>
      <c r="V79" s="1083">
        <v>0</v>
      </c>
      <c r="W79" s="1085">
        <f t="shared" si="27"/>
        <v>27897</v>
      </c>
      <c r="X79" s="1404">
        <f t="shared" si="39"/>
        <v>0</v>
      </c>
      <c r="Y79" s="1404">
        <f t="shared" si="40"/>
        <v>0</v>
      </c>
      <c r="Z79" s="1082"/>
      <c r="AA79" s="1083"/>
      <c r="AB79" s="1083"/>
      <c r="AC79" s="1083"/>
      <c r="AD79" s="1083"/>
      <c r="AE79" s="1085">
        <f t="shared" si="28"/>
        <v>0</v>
      </c>
      <c r="AF79" s="1404">
        <f t="shared" si="41"/>
        <v>0</v>
      </c>
      <c r="AG79" s="1404">
        <f t="shared" si="42"/>
        <v>0</v>
      </c>
      <c r="AH79" s="1086">
        <v>2885.85</v>
      </c>
      <c r="AI79" s="1087">
        <v>14051.15</v>
      </c>
      <c r="AJ79" s="1087">
        <v>0</v>
      </c>
      <c r="AK79" s="1087">
        <v>0</v>
      </c>
      <c r="AL79" s="1087">
        <v>0</v>
      </c>
      <c r="AM79" s="1088">
        <f t="shared" si="29"/>
        <v>16937</v>
      </c>
      <c r="AN79" s="1088">
        <f t="shared" si="43"/>
        <v>0</v>
      </c>
      <c r="AO79" s="1088">
        <f t="shared" si="44"/>
        <v>0</v>
      </c>
      <c r="AP79" s="1773"/>
      <c r="AQ79" s="1773"/>
      <c r="AR79" s="1773"/>
      <c r="AS79" s="1773"/>
      <c r="AT79" s="1773"/>
      <c r="AU79" s="1773">
        <f t="shared" si="45"/>
        <v>0</v>
      </c>
      <c r="AV79" s="1773">
        <f t="shared" si="46"/>
        <v>0</v>
      </c>
      <c r="AW79" s="1773">
        <f t="shared" si="47"/>
        <v>0</v>
      </c>
    </row>
    <row r="80" spans="1:49" s="237" customFormat="1" x14ac:dyDescent="0.2">
      <c r="A80" s="1078" t="s">
        <v>198</v>
      </c>
      <c r="B80" s="1079" t="s">
        <v>199</v>
      </c>
      <c r="C80" s="103" t="s">
        <v>266</v>
      </c>
      <c r="D80" s="1080">
        <f t="shared" si="30"/>
        <v>60782.14</v>
      </c>
      <c r="E80" s="1080">
        <f t="shared" si="31"/>
        <v>84560.66</v>
      </c>
      <c r="F80" s="1080">
        <f t="shared" si="32"/>
        <v>0</v>
      </c>
      <c r="G80" s="1081">
        <f t="shared" si="33"/>
        <v>-7.0000000000000007E-2</v>
      </c>
      <c r="H80" s="1081">
        <f t="shared" si="34"/>
        <v>-7.0000000000000007E-2</v>
      </c>
      <c r="I80" s="1405">
        <f t="shared" si="35"/>
        <v>145342.72999999998</v>
      </c>
      <c r="J80" s="1082">
        <v>44947.14</v>
      </c>
      <c r="K80" s="1083">
        <v>44947.14</v>
      </c>
      <c r="L80" s="1083">
        <v>0</v>
      </c>
      <c r="M80" s="1083">
        <v>-7.0000000000000007E-2</v>
      </c>
      <c r="N80" s="1083">
        <v>0</v>
      </c>
      <c r="O80" s="1084">
        <f t="shared" si="36"/>
        <v>89894.209999999992</v>
      </c>
      <c r="P80" s="1404">
        <f t="shared" si="37"/>
        <v>-7.0000000000000007E-2</v>
      </c>
      <c r="Q80" s="1404">
        <f t="shared" si="38"/>
        <v>-7.0000000000000007E-2</v>
      </c>
      <c r="R80" s="1082">
        <v>15023</v>
      </c>
      <c r="S80" s="1083">
        <v>15023</v>
      </c>
      <c r="T80" s="1083">
        <v>0</v>
      </c>
      <c r="U80" s="1083">
        <v>0</v>
      </c>
      <c r="V80" s="1083">
        <v>0</v>
      </c>
      <c r="W80" s="1085">
        <f t="shared" si="27"/>
        <v>30046</v>
      </c>
      <c r="X80" s="1404">
        <f t="shared" si="39"/>
        <v>0</v>
      </c>
      <c r="Y80" s="1404">
        <f t="shared" si="40"/>
        <v>0</v>
      </c>
      <c r="Z80" s="1082"/>
      <c r="AA80" s="1083"/>
      <c r="AB80" s="1083"/>
      <c r="AC80" s="1083"/>
      <c r="AD80" s="1083"/>
      <c r="AE80" s="1085">
        <f t="shared" si="28"/>
        <v>0</v>
      </c>
      <c r="AF80" s="1404">
        <f t="shared" si="41"/>
        <v>0</v>
      </c>
      <c r="AG80" s="1404">
        <f t="shared" si="42"/>
        <v>0</v>
      </c>
      <c r="AH80" s="1086">
        <v>0</v>
      </c>
      <c r="AI80" s="1087">
        <v>24590.52</v>
      </c>
      <c r="AJ80" s="1087">
        <v>0</v>
      </c>
      <c r="AK80" s="1087">
        <v>0</v>
      </c>
      <c r="AL80" s="1087">
        <v>0</v>
      </c>
      <c r="AM80" s="1088">
        <f t="shared" si="29"/>
        <v>24590.52</v>
      </c>
      <c r="AN80" s="1088">
        <f t="shared" si="43"/>
        <v>0</v>
      </c>
      <c r="AO80" s="1088">
        <f t="shared" si="44"/>
        <v>0</v>
      </c>
      <c r="AP80" s="1773">
        <v>812</v>
      </c>
      <c r="AQ80" s="1773">
        <v>0</v>
      </c>
      <c r="AR80" s="1773">
        <v>0</v>
      </c>
      <c r="AS80" s="1773">
        <v>0</v>
      </c>
      <c r="AT80" s="1773">
        <v>0</v>
      </c>
      <c r="AU80" s="1773">
        <f t="shared" si="45"/>
        <v>812</v>
      </c>
      <c r="AV80" s="1773">
        <f t="shared" si="46"/>
        <v>0</v>
      </c>
      <c r="AW80" s="1773">
        <f t="shared" si="47"/>
        <v>0</v>
      </c>
    </row>
    <row r="81" spans="1:49" s="237" customFormat="1" x14ac:dyDescent="0.2">
      <c r="A81" s="1078" t="s">
        <v>202</v>
      </c>
      <c r="B81" s="1079" t="s">
        <v>203</v>
      </c>
      <c r="C81" s="103" t="s">
        <v>265</v>
      </c>
      <c r="D81" s="1080">
        <f t="shared" si="30"/>
        <v>1145584.92</v>
      </c>
      <c r="E81" s="1080">
        <f t="shared" si="31"/>
        <v>1983446.16</v>
      </c>
      <c r="F81" s="1080">
        <f t="shared" si="32"/>
        <v>0</v>
      </c>
      <c r="G81" s="1081">
        <f t="shared" si="33"/>
        <v>19350.169999999998</v>
      </c>
      <c r="H81" s="1081">
        <f t="shared" si="34"/>
        <v>19350.169999999998</v>
      </c>
      <c r="I81" s="1405">
        <f t="shared" si="35"/>
        <v>3148381.25</v>
      </c>
      <c r="J81" s="1082">
        <v>448662.08</v>
      </c>
      <c r="K81" s="1083">
        <v>448662.08</v>
      </c>
      <c r="L81" s="1083">
        <v>0</v>
      </c>
      <c r="M81" s="1083">
        <v>19350.25</v>
      </c>
      <c r="N81" s="1083">
        <v>0</v>
      </c>
      <c r="O81" s="1084">
        <f t="shared" si="36"/>
        <v>916674.41</v>
      </c>
      <c r="P81" s="1404">
        <f t="shared" si="37"/>
        <v>19350.25</v>
      </c>
      <c r="Q81" s="1404">
        <f t="shared" si="38"/>
        <v>19350.25</v>
      </c>
      <c r="R81" s="1082">
        <v>595983.59</v>
      </c>
      <c r="S81" s="1083">
        <v>595983.59</v>
      </c>
      <c r="T81" s="1083">
        <v>0</v>
      </c>
      <c r="U81" s="1083">
        <v>-0.08</v>
      </c>
      <c r="V81" s="1083">
        <v>0</v>
      </c>
      <c r="W81" s="1085">
        <f t="shared" si="27"/>
        <v>1191967.0999999999</v>
      </c>
      <c r="X81" s="1404">
        <f t="shared" si="39"/>
        <v>-0.08</v>
      </c>
      <c r="Y81" s="1404">
        <f t="shared" si="40"/>
        <v>-0.08</v>
      </c>
      <c r="Z81" s="1082"/>
      <c r="AA81" s="1083"/>
      <c r="AB81" s="1083"/>
      <c r="AC81" s="1083"/>
      <c r="AD81" s="1083"/>
      <c r="AE81" s="1085">
        <f t="shared" si="28"/>
        <v>0</v>
      </c>
      <c r="AF81" s="1404">
        <f t="shared" si="41"/>
        <v>0</v>
      </c>
      <c r="AG81" s="1404">
        <f t="shared" si="42"/>
        <v>0</v>
      </c>
      <c r="AH81" s="1086">
        <v>98223.62</v>
      </c>
      <c r="AI81" s="1087">
        <v>938800.49</v>
      </c>
      <c r="AJ81" s="1087">
        <v>0</v>
      </c>
      <c r="AK81" s="1087">
        <v>0</v>
      </c>
      <c r="AL81" s="1087">
        <v>0</v>
      </c>
      <c r="AM81" s="1088">
        <f t="shared" si="29"/>
        <v>1037024.11</v>
      </c>
      <c r="AN81" s="1088">
        <f t="shared" si="43"/>
        <v>0</v>
      </c>
      <c r="AO81" s="1088">
        <f t="shared" si="44"/>
        <v>0</v>
      </c>
      <c r="AP81" s="1773">
        <v>2715.63</v>
      </c>
      <c r="AQ81" s="1773">
        <v>0</v>
      </c>
      <c r="AR81" s="1773">
        <v>0</v>
      </c>
      <c r="AS81" s="1773">
        <v>0</v>
      </c>
      <c r="AT81" s="1773">
        <v>0</v>
      </c>
      <c r="AU81" s="1773">
        <f t="shared" si="45"/>
        <v>2715.63</v>
      </c>
      <c r="AV81" s="1773">
        <f t="shared" si="46"/>
        <v>0</v>
      </c>
      <c r="AW81" s="1773">
        <f t="shared" si="47"/>
        <v>0</v>
      </c>
    </row>
    <row r="82" spans="1:49" s="237" customFormat="1" x14ac:dyDescent="0.2">
      <c r="A82" s="1078" t="s">
        <v>204</v>
      </c>
      <c r="B82" s="1079" t="s">
        <v>205</v>
      </c>
      <c r="C82" s="103" t="s">
        <v>265</v>
      </c>
      <c r="D82" s="1080">
        <f t="shared" si="30"/>
        <v>165254.98000000001</v>
      </c>
      <c r="E82" s="1080">
        <f t="shared" si="31"/>
        <v>210722.57</v>
      </c>
      <c r="F82" s="1080">
        <f t="shared" si="32"/>
        <v>0</v>
      </c>
      <c r="G82" s="1081">
        <f t="shared" si="33"/>
        <v>-0.1</v>
      </c>
      <c r="H82" s="1081">
        <f t="shared" si="34"/>
        <v>-0.1</v>
      </c>
      <c r="I82" s="1405">
        <f t="shared" si="35"/>
        <v>375977.45000000007</v>
      </c>
      <c r="J82" s="1082">
        <v>72002.44</v>
      </c>
      <c r="K82" s="1083">
        <v>72002.44</v>
      </c>
      <c r="L82" s="1083">
        <v>0</v>
      </c>
      <c r="M82" s="1083">
        <v>-0.05</v>
      </c>
      <c r="N82" s="1083">
        <v>0</v>
      </c>
      <c r="O82" s="1084">
        <f t="shared" si="36"/>
        <v>144004.83000000002</v>
      </c>
      <c r="P82" s="1404">
        <f t="shared" si="37"/>
        <v>-0.05</v>
      </c>
      <c r="Q82" s="1404">
        <f t="shared" si="38"/>
        <v>-0.05</v>
      </c>
      <c r="R82" s="1082">
        <v>88087.47</v>
      </c>
      <c r="S82" s="1083">
        <v>88087.47</v>
      </c>
      <c r="T82" s="1083">
        <v>0</v>
      </c>
      <c r="U82" s="1083">
        <v>-0.02</v>
      </c>
      <c r="V82" s="1083">
        <v>0</v>
      </c>
      <c r="W82" s="1085">
        <f t="shared" si="27"/>
        <v>176174.92</v>
      </c>
      <c r="X82" s="1404">
        <f t="shared" si="39"/>
        <v>-0.02</v>
      </c>
      <c r="Y82" s="1404">
        <f t="shared" si="40"/>
        <v>-0.02</v>
      </c>
      <c r="Z82" s="1082"/>
      <c r="AA82" s="1083"/>
      <c r="AB82" s="1083"/>
      <c r="AC82" s="1083"/>
      <c r="AD82" s="1083"/>
      <c r="AE82" s="1085">
        <f t="shared" si="28"/>
        <v>0</v>
      </c>
      <c r="AF82" s="1404">
        <f t="shared" si="41"/>
        <v>0</v>
      </c>
      <c r="AG82" s="1404">
        <f t="shared" si="42"/>
        <v>0</v>
      </c>
      <c r="AH82" s="1086">
        <v>5165.07</v>
      </c>
      <c r="AI82" s="1087">
        <v>50632.659999999996</v>
      </c>
      <c r="AJ82" s="1087">
        <v>0</v>
      </c>
      <c r="AK82" s="1087">
        <v>-0.03</v>
      </c>
      <c r="AL82" s="1087">
        <v>0</v>
      </c>
      <c r="AM82" s="1088">
        <f t="shared" si="29"/>
        <v>55797.7</v>
      </c>
      <c r="AN82" s="1088">
        <f t="shared" si="43"/>
        <v>-0.03</v>
      </c>
      <c r="AO82" s="1088">
        <f t="shared" si="44"/>
        <v>-0.03</v>
      </c>
      <c r="AP82" s="1773"/>
      <c r="AQ82" s="1773"/>
      <c r="AR82" s="1773"/>
      <c r="AS82" s="1773"/>
      <c r="AT82" s="1773"/>
      <c r="AU82" s="1773">
        <f t="shared" si="45"/>
        <v>0</v>
      </c>
      <c r="AV82" s="1773">
        <f t="shared" si="46"/>
        <v>0</v>
      </c>
      <c r="AW82" s="1773">
        <f t="shared" si="47"/>
        <v>0</v>
      </c>
    </row>
    <row r="83" spans="1:49" s="237" customFormat="1" x14ac:dyDescent="0.2">
      <c r="A83" s="1078" t="s">
        <v>206</v>
      </c>
      <c r="B83" s="1079" t="s">
        <v>207</v>
      </c>
      <c r="C83" s="103" t="s">
        <v>267</v>
      </c>
      <c r="D83" s="1080">
        <f t="shared" si="30"/>
        <v>2356733.4899999998</v>
      </c>
      <c r="E83" s="1080">
        <f t="shared" si="31"/>
        <v>3777639.84</v>
      </c>
      <c r="F83" s="1080">
        <f t="shared" si="32"/>
        <v>0</v>
      </c>
      <c r="G83" s="1081">
        <f t="shared" si="33"/>
        <v>-0.34</v>
      </c>
      <c r="H83" s="1081">
        <f t="shared" si="34"/>
        <v>-0.34</v>
      </c>
      <c r="I83" s="1405">
        <f t="shared" si="35"/>
        <v>6134372.9900000002</v>
      </c>
      <c r="J83" s="1082">
        <v>775417.47</v>
      </c>
      <c r="K83" s="1083">
        <v>775417.47</v>
      </c>
      <c r="L83" s="1083">
        <v>0</v>
      </c>
      <c r="M83" s="1083">
        <v>-0.38</v>
      </c>
      <c r="N83" s="1083">
        <v>0</v>
      </c>
      <c r="O83" s="1084">
        <f t="shared" si="36"/>
        <v>1550834.56</v>
      </c>
      <c r="P83" s="1404">
        <f t="shared" si="37"/>
        <v>-0.38</v>
      </c>
      <c r="Q83" s="1404">
        <f t="shared" si="38"/>
        <v>-0.38</v>
      </c>
      <c r="R83" s="1082">
        <v>1260594.6599999999</v>
      </c>
      <c r="S83" s="1083">
        <v>1260594.6599999999</v>
      </c>
      <c r="T83" s="1083">
        <v>0</v>
      </c>
      <c r="U83" s="1083">
        <v>0.05</v>
      </c>
      <c r="V83" s="1083">
        <v>0</v>
      </c>
      <c r="W83" s="1085">
        <f t="shared" si="27"/>
        <v>2521189.3699999996</v>
      </c>
      <c r="X83" s="1404">
        <f t="shared" si="39"/>
        <v>0.05</v>
      </c>
      <c r="Y83" s="1404">
        <f t="shared" si="40"/>
        <v>0.05</v>
      </c>
      <c r="Z83" s="1082"/>
      <c r="AA83" s="1083"/>
      <c r="AB83" s="1083"/>
      <c r="AC83" s="1083"/>
      <c r="AD83" s="1083"/>
      <c r="AE83" s="1085">
        <f t="shared" si="28"/>
        <v>0</v>
      </c>
      <c r="AF83" s="1404">
        <f t="shared" si="41"/>
        <v>0</v>
      </c>
      <c r="AG83" s="1404">
        <f t="shared" si="42"/>
        <v>0</v>
      </c>
      <c r="AH83" s="1086">
        <v>320721.36</v>
      </c>
      <c r="AI83" s="1087">
        <v>1741627.71</v>
      </c>
      <c r="AJ83" s="1087">
        <v>0</v>
      </c>
      <c r="AK83" s="1087">
        <v>-0.01</v>
      </c>
      <c r="AL83" s="1087">
        <v>0</v>
      </c>
      <c r="AM83" s="1088">
        <f t="shared" si="29"/>
        <v>2062349.0599999998</v>
      </c>
      <c r="AN83" s="1088">
        <f t="shared" si="43"/>
        <v>-0.01</v>
      </c>
      <c r="AO83" s="1088">
        <f t="shared" si="44"/>
        <v>-0.01</v>
      </c>
      <c r="AP83" s="1773"/>
      <c r="AQ83" s="1773"/>
      <c r="AR83" s="1773"/>
      <c r="AS83" s="1773"/>
      <c r="AT83" s="1773"/>
      <c r="AU83" s="1773">
        <f t="shared" si="45"/>
        <v>0</v>
      </c>
      <c r="AV83" s="1773">
        <f t="shared" si="46"/>
        <v>0</v>
      </c>
      <c r="AW83" s="1773">
        <f t="shared" si="47"/>
        <v>0</v>
      </c>
    </row>
    <row r="84" spans="1:49" s="237" customFormat="1" x14ac:dyDescent="0.2">
      <c r="A84" s="1078" t="s">
        <v>208</v>
      </c>
      <c r="B84" s="1079" t="s">
        <v>209</v>
      </c>
      <c r="C84" s="103" t="s">
        <v>268</v>
      </c>
      <c r="D84" s="1080">
        <f t="shared" si="30"/>
        <v>618942.32999999996</v>
      </c>
      <c r="E84" s="1080">
        <f t="shared" si="31"/>
        <v>962238.09</v>
      </c>
      <c r="F84" s="1080">
        <f t="shared" si="32"/>
        <v>0</v>
      </c>
      <c r="G84" s="1081">
        <f t="shared" si="33"/>
        <v>-0.3</v>
      </c>
      <c r="H84" s="1081">
        <f t="shared" si="34"/>
        <v>-0.3</v>
      </c>
      <c r="I84" s="1405">
        <f t="shared" si="35"/>
        <v>1581180.1199999999</v>
      </c>
      <c r="J84" s="1082">
        <v>230048.72</v>
      </c>
      <c r="K84" s="1083">
        <v>230048.72</v>
      </c>
      <c r="L84" s="1083">
        <v>0</v>
      </c>
      <c r="M84" s="1083">
        <v>-0.28999999999999998</v>
      </c>
      <c r="N84" s="1083">
        <v>0</v>
      </c>
      <c r="O84" s="1084">
        <f t="shared" si="36"/>
        <v>460097.15</v>
      </c>
      <c r="P84" s="1404">
        <f t="shared" si="37"/>
        <v>-0.28999999999999998</v>
      </c>
      <c r="Q84" s="1404">
        <f t="shared" si="38"/>
        <v>-0.28999999999999998</v>
      </c>
      <c r="R84" s="1082">
        <v>378279.49</v>
      </c>
      <c r="S84" s="1083">
        <v>378279.49</v>
      </c>
      <c r="T84" s="1083">
        <v>0</v>
      </c>
      <c r="U84" s="1083">
        <v>-0.01</v>
      </c>
      <c r="V84" s="1083">
        <v>0</v>
      </c>
      <c r="W84" s="1085">
        <f t="shared" si="27"/>
        <v>756558.97</v>
      </c>
      <c r="X84" s="1404">
        <f t="shared" si="39"/>
        <v>-0.01</v>
      </c>
      <c r="Y84" s="1404">
        <f t="shared" si="40"/>
        <v>-0.01</v>
      </c>
      <c r="Z84" s="1082"/>
      <c r="AA84" s="1083"/>
      <c r="AB84" s="1083"/>
      <c r="AC84" s="1083"/>
      <c r="AD84" s="1083"/>
      <c r="AE84" s="1085">
        <f t="shared" si="28"/>
        <v>0</v>
      </c>
      <c r="AF84" s="1404">
        <f t="shared" si="41"/>
        <v>0</v>
      </c>
      <c r="AG84" s="1404">
        <f t="shared" si="42"/>
        <v>0</v>
      </c>
      <c r="AH84" s="1086">
        <v>10614.12</v>
      </c>
      <c r="AI84" s="1087">
        <v>353909.88</v>
      </c>
      <c r="AJ84" s="1087">
        <v>0</v>
      </c>
      <c r="AK84" s="1087">
        <v>0</v>
      </c>
      <c r="AL84" s="1087">
        <v>0</v>
      </c>
      <c r="AM84" s="1088">
        <f t="shared" si="29"/>
        <v>364524</v>
      </c>
      <c r="AN84" s="1088">
        <f t="shared" si="43"/>
        <v>0</v>
      </c>
      <c r="AO84" s="1088">
        <f t="shared" si="44"/>
        <v>0</v>
      </c>
      <c r="AP84" s="1773"/>
      <c r="AQ84" s="1773"/>
      <c r="AR84" s="1773"/>
      <c r="AS84" s="1773"/>
      <c r="AT84" s="1773"/>
      <c r="AU84" s="1773">
        <f t="shared" si="45"/>
        <v>0</v>
      </c>
      <c r="AV84" s="1773">
        <f t="shared" si="46"/>
        <v>0</v>
      </c>
      <c r="AW84" s="1773">
        <f t="shared" si="47"/>
        <v>0</v>
      </c>
    </row>
    <row r="85" spans="1:49" s="237" customFormat="1" x14ac:dyDescent="0.2">
      <c r="A85" s="1078" t="s">
        <v>210</v>
      </c>
      <c r="B85" s="1079" t="s">
        <v>211</v>
      </c>
      <c r="C85" s="103" t="s">
        <v>268</v>
      </c>
      <c r="D85" s="1080">
        <f t="shared" si="30"/>
        <v>290346.56</v>
      </c>
      <c r="E85" s="1080">
        <f t="shared" si="31"/>
        <v>352894.71999999997</v>
      </c>
      <c r="F85" s="1080">
        <f t="shared" si="32"/>
        <v>0</v>
      </c>
      <c r="G85" s="1081">
        <f t="shared" si="33"/>
        <v>-0.09</v>
      </c>
      <c r="H85" s="1081">
        <f t="shared" si="34"/>
        <v>-0.09</v>
      </c>
      <c r="I85" s="1405">
        <f t="shared" si="35"/>
        <v>643241.19000000006</v>
      </c>
      <c r="J85" s="1082">
        <v>83698.77</v>
      </c>
      <c r="K85" s="1083">
        <v>83698.77</v>
      </c>
      <c r="L85" s="1083">
        <v>0</v>
      </c>
      <c r="M85" s="1083">
        <v>-0.08</v>
      </c>
      <c r="N85" s="1083">
        <v>0</v>
      </c>
      <c r="O85" s="1084">
        <f t="shared" si="36"/>
        <v>167397.46000000002</v>
      </c>
      <c r="P85" s="1404">
        <f t="shared" si="37"/>
        <v>-0.08</v>
      </c>
      <c r="Q85" s="1404">
        <f t="shared" si="38"/>
        <v>-0.08</v>
      </c>
      <c r="R85" s="1082">
        <v>204667.79</v>
      </c>
      <c r="S85" s="1083">
        <v>204667.79</v>
      </c>
      <c r="T85" s="1083">
        <v>0</v>
      </c>
      <c r="U85" s="1083">
        <v>-0.01</v>
      </c>
      <c r="V85" s="1083">
        <v>0</v>
      </c>
      <c r="W85" s="1085">
        <f t="shared" si="27"/>
        <v>409335.57</v>
      </c>
      <c r="X85" s="1404">
        <f t="shared" si="39"/>
        <v>-0.01</v>
      </c>
      <c r="Y85" s="1404">
        <f t="shared" si="40"/>
        <v>-0.01</v>
      </c>
      <c r="Z85" s="1082"/>
      <c r="AA85" s="1083"/>
      <c r="AB85" s="1083"/>
      <c r="AC85" s="1083"/>
      <c r="AD85" s="1083"/>
      <c r="AE85" s="1085">
        <f t="shared" si="28"/>
        <v>0</v>
      </c>
      <c r="AF85" s="1404">
        <f t="shared" si="41"/>
        <v>0</v>
      </c>
      <c r="AG85" s="1404">
        <f t="shared" si="42"/>
        <v>0</v>
      </c>
      <c r="AH85" s="1086">
        <v>1980</v>
      </c>
      <c r="AI85" s="1087">
        <v>64528.160000000003</v>
      </c>
      <c r="AJ85" s="1087">
        <v>0</v>
      </c>
      <c r="AK85" s="1087">
        <v>0</v>
      </c>
      <c r="AL85" s="1087">
        <v>0</v>
      </c>
      <c r="AM85" s="1088">
        <f t="shared" si="29"/>
        <v>66508.160000000003</v>
      </c>
      <c r="AN85" s="1088">
        <f t="shared" si="43"/>
        <v>0</v>
      </c>
      <c r="AO85" s="1088">
        <f t="shared" si="44"/>
        <v>0</v>
      </c>
      <c r="AP85" s="1773"/>
      <c r="AQ85" s="1773"/>
      <c r="AR85" s="1773"/>
      <c r="AS85" s="1773"/>
      <c r="AT85" s="1773"/>
      <c r="AU85" s="1773">
        <f t="shared" si="45"/>
        <v>0</v>
      </c>
      <c r="AV85" s="1773">
        <f t="shared" si="46"/>
        <v>0</v>
      </c>
      <c r="AW85" s="1773">
        <f t="shared" si="47"/>
        <v>0</v>
      </c>
    </row>
    <row r="86" spans="1:49" s="237" customFormat="1" x14ac:dyDescent="0.2">
      <c r="A86" s="1078" t="s">
        <v>212</v>
      </c>
      <c r="B86" s="1079" t="s">
        <v>213</v>
      </c>
      <c r="C86" s="103" t="s">
        <v>267</v>
      </c>
      <c r="D86" s="1080">
        <f t="shared" si="30"/>
        <v>244300.61000000002</v>
      </c>
      <c r="E86" s="1080">
        <f t="shared" si="31"/>
        <v>489409.80000000005</v>
      </c>
      <c r="F86" s="1080">
        <f t="shared" si="32"/>
        <v>0</v>
      </c>
      <c r="G86" s="1081">
        <f t="shared" si="33"/>
        <v>8232.2999999999993</v>
      </c>
      <c r="H86" s="1081">
        <f t="shared" si="34"/>
        <v>8232.2999999999993</v>
      </c>
      <c r="I86" s="1405">
        <f t="shared" si="35"/>
        <v>741942.71000000008</v>
      </c>
      <c r="J86" s="1082">
        <v>104425.13</v>
      </c>
      <c r="K86" s="1083">
        <v>104425.13</v>
      </c>
      <c r="L86" s="1083">
        <v>0</v>
      </c>
      <c r="M86" s="1083">
        <v>-0.04</v>
      </c>
      <c r="N86" s="1083">
        <v>0</v>
      </c>
      <c r="O86" s="1084">
        <f t="shared" si="36"/>
        <v>208850.22</v>
      </c>
      <c r="P86" s="1404">
        <f t="shared" si="37"/>
        <v>-0.04</v>
      </c>
      <c r="Q86" s="1404">
        <f t="shared" si="38"/>
        <v>-0.04</v>
      </c>
      <c r="R86" s="1082">
        <v>126690.51</v>
      </c>
      <c r="S86" s="1083">
        <v>126690.51</v>
      </c>
      <c r="T86" s="1083">
        <v>0</v>
      </c>
      <c r="U86" s="1083">
        <v>-0.02</v>
      </c>
      <c r="V86" s="1083">
        <v>8232.3700000000008</v>
      </c>
      <c r="W86" s="1085">
        <f t="shared" si="27"/>
        <v>261613.37</v>
      </c>
      <c r="X86" s="1404">
        <f t="shared" si="39"/>
        <v>8232.35</v>
      </c>
      <c r="Y86" s="1404">
        <f t="shared" si="40"/>
        <v>8232.35</v>
      </c>
      <c r="Z86" s="1082"/>
      <c r="AA86" s="1083"/>
      <c r="AB86" s="1083"/>
      <c r="AC86" s="1083"/>
      <c r="AD86" s="1083"/>
      <c r="AE86" s="1085">
        <f t="shared" si="28"/>
        <v>0</v>
      </c>
      <c r="AF86" s="1404">
        <f t="shared" si="41"/>
        <v>0</v>
      </c>
      <c r="AG86" s="1404">
        <f t="shared" si="42"/>
        <v>0</v>
      </c>
      <c r="AH86" s="1086">
        <v>13184.97</v>
      </c>
      <c r="AI86" s="1087">
        <v>258294.16</v>
      </c>
      <c r="AJ86" s="1087">
        <v>0</v>
      </c>
      <c r="AK86" s="1087">
        <v>-0.01</v>
      </c>
      <c r="AL86" s="1087">
        <v>0</v>
      </c>
      <c r="AM86" s="1088">
        <f t="shared" si="29"/>
        <v>271479.12</v>
      </c>
      <c r="AN86" s="1088">
        <f t="shared" si="43"/>
        <v>-0.01</v>
      </c>
      <c r="AO86" s="1088">
        <f t="shared" si="44"/>
        <v>-0.01</v>
      </c>
      <c r="AP86" s="1773"/>
      <c r="AQ86" s="1773"/>
      <c r="AR86" s="1773"/>
      <c r="AS86" s="1773"/>
      <c r="AT86" s="1773"/>
      <c r="AU86" s="1773">
        <f t="shared" si="45"/>
        <v>0</v>
      </c>
      <c r="AV86" s="1773">
        <f t="shared" si="46"/>
        <v>0</v>
      </c>
      <c r="AW86" s="1773">
        <f t="shared" si="47"/>
        <v>0</v>
      </c>
    </row>
    <row r="87" spans="1:49" s="237" customFormat="1" x14ac:dyDescent="0.2">
      <c r="A87" s="1078" t="s">
        <v>214</v>
      </c>
      <c r="B87" s="1079" t="s">
        <v>215</v>
      </c>
      <c r="C87" s="103" t="s">
        <v>268</v>
      </c>
      <c r="D87" s="1080">
        <f t="shared" si="30"/>
        <v>235686.36</v>
      </c>
      <c r="E87" s="1080">
        <f t="shared" si="31"/>
        <v>263901.32999999996</v>
      </c>
      <c r="F87" s="1080">
        <f t="shared" si="32"/>
        <v>0</v>
      </c>
      <c r="G87" s="1081">
        <f t="shared" si="33"/>
        <v>-9.9999999999999992E-2</v>
      </c>
      <c r="H87" s="1081">
        <f t="shared" si="34"/>
        <v>-9.9999999999999992E-2</v>
      </c>
      <c r="I87" s="1405">
        <f t="shared" si="35"/>
        <v>499587.58999999997</v>
      </c>
      <c r="J87" s="1082">
        <v>77028.179999999993</v>
      </c>
      <c r="K87" s="1083">
        <v>77028.179999999993</v>
      </c>
      <c r="L87" s="1083">
        <v>0</v>
      </c>
      <c r="M87" s="1083">
        <v>-0.09</v>
      </c>
      <c r="N87" s="1083">
        <v>0</v>
      </c>
      <c r="O87" s="1084">
        <f t="shared" si="36"/>
        <v>154056.26999999999</v>
      </c>
      <c r="P87" s="1404">
        <f t="shared" si="37"/>
        <v>-0.09</v>
      </c>
      <c r="Q87" s="1404">
        <f t="shared" si="38"/>
        <v>-0.09</v>
      </c>
      <c r="R87" s="1082">
        <v>138102.81</v>
      </c>
      <c r="S87" s="1083">
        <v>138102.81</v>
      </c>
      <c r="T87" s="1083">
        <v>0</v>
      </c>
      <c r="U87" s="1083">
        <v>-0.01</v>
      </c>
      <c r="V87" s="1083">
        <v>0</v>
      </c>
      <c r="W87" s="1085">
        <f t="shared" si="27"/>
        <v>276205.61</v>
      </c>
      <c r="X87" s="1404">
        <f t="shared" si="39"/>
        <v>-0.01</v>
      </c>
      <c r="Y87" s="1404">
        <f t="shared" si="40"/>
        <v>-0.01</v>
      </c>
      <c r="Z87" s="1082"/>
      <c r="AA87" s="1083"/>
      <c r="AB87" s="1083"/>
      <c r="AC87" s="1083"/>
      <c r="AD87" s="1083"/>
      <c r="AE87" s="1085">
        <f t="shared" si="28"/>
        <v>0</v>
      </c>
      <c r="AF87" s="1404">
        <f t="shared" si="41"/>
        <v>0</v>
      </c>
      <c r="AG87" s="1404">
        <f t="shared" si="42"/>
        <v>0</v>
      </c>
      <c r="AH87" s="1086">
        <v>20555.37</v>
      </c>
      <c r="AI87" s="1087">
        <v>48770.34</v>
      </c>
      <c r="AJ87" s="1087">
        <v>0</v>
      </c>
      <c r="AK87" s="1087">
        <v>0</v>
      </c>
      <c r="AL87" s="1087">
        <v>0</v>
      </c>
      <c r="AM87" s="1088">
        <f t="shared" si="29"/>
        <v>69325.709999999992</v>
      </c>
      <c r="AN87" s="1088">
        <f t="shared" si="43"/>
        <v>0</v>
      </c>
      <c r="AO87" s="1088">
        <f t="shared" si="44"/>
        <v>0</v>
      </c>
      <c r="AP87" s="1773"/>
      <c r="AQ87" s="1773"/>
      <c r="AR87" s="1773"/>
      <c r="AS87" s="1773"/>
      <c r="AT87" s="1773"/>
      <c r="AU87" s="1773">
        <f t="shared" si="45"/>
        <v>0</v>
      </c>
      <c r="AV87" s="1773">
        <f t="shared" si="46"/>
        <v>0</v>
      </c>
      <c r="AW87" s="1773">
        <f t="shared" si="47"/>
        <v>0</v>
      </c>
    </row>
    <row r="88" spans="1:49" s="237" customFormat="1" x14ac:dyDescent="0.2">
      <c r="A88" s="1078" t="s">
        <v>216</v>
      </c>
      <c r="B88" s="1079" t="s">
        <v>217</v>
      </c>
      <c r="C88" s="103" t="s">
        <v>264</v>
      </c>
      <c r="D88" s="1080">
        <f t="shared" si="30"/>
        <v>65816.59</v>
      </c>
      <c r="E88" s="1080">
        <f t="shared" si="31"/>
        <v>65169.58</v>
      </c>
      <c r="F88" s="1080">
        <f t="shared" si="32"/>
        <v>0</v>
      </c>
      <c r="G88" s="1081">
        <f t="shared" si="33"/>
        <v>-0.03</v>
      </c>
      <c r="H88" s="1081">
        <f t="shared" si="34"/>
        <v>-0.03</v>
      </c>
      <c r="I88" s="1405">
        <f t="shared" si="35"/>
        <v>130986.14</v>
      </c>
      <c r="J88" s="1082">
        <v>4066.58</v>
      </c>
      <c r="K88" s="1083">
        <v>4066.58</v>
      </c>
      <c r="L88" s="1083">
        <v>0</v>
      </c>
      <c r="M88" s="1083">
        <v>-0.03</v>
      </c>
      <c r="N88" s="1083">
        <v>0</v>
      </c>
      <c r="O88" s="1084">
        <f t="shared" si="36"/>
        <v>8133.13</v>
      </c>
      <c r="P88" s="1404">
        <f t="shared" si="37"/>
        <v>-0.03</v>
      </c>
      <c r="Q88" s="1404">
        <f t="shared" si="38"/>
        <v>-0.03</v>
      </c>
      <c r="R88" s="1082">
        <v>61103</v>
      </c>
      <c r="S88" s="1083">
        <v>61103</v>
      </c>
      <c r="T88" s="1083">
        <v>0</v>
      </c>
      <c r="U88" s="1083">
        <v>0</v>
      </c>
      <c r="V88" s="1083">
        <v>0</v>
      </c>
      <c r="W88" s="1085">
        <f t="shared" si="27"/>
        <v>122206</v>
      </c>
      <c r="X88" s="1404">
        <f t="shared" si="39"/>
        <v>0</v>
      </c>
      <c r="Y88" s="1404">
        <f t="shared" si="40"/>
        <v>0</v>
      </c>
      <c r="Z88" s="1086"/>
      <c r="AA88" s="1087"/>
      <c r="AB88" s="1087"/>
      <c r="AC88" s="1087"/>
      <c r="AD88" s="1087"/>
      <c r="AE88" s="1085">
        <f t="shared" si="28"/>
        <v>0</v>
      </c>
      <c r="AF88" s="1404">
        <f t="shared" si="41"/>
        <v>0</v>
      </c>
      <c r="AG88" s="1404">
        <f t="shared" si="42"/>
        <v>0</v>
      </c>
      <c r="AH88" s="1086">
        <v>0</v>
      </c>
      <c r="AI88" s="1087">
        <v>0</v>
      </c>
      <c r="AJ88" s="1087">
        <v>0</v>
      </c>
      <c r="AK88" s="1087">
        <v>0</v>
      </c>
      <c r="AL88" s="1087">
        <v>0</v>
      </c>
      <c r="AM88" s="1088">
        <f t="shared" si="29"/>
        <v>0</v>
      </c>
      <c r="AN88" s="1088">
        <f t="shared" si="43"/>
        <v>0</v>
      </c>
      <c r="AO88" s="1088">
        <f t="shared" si="44"/>
        <v>0</v>
      </c>
      <c r="AP88" s="1773">
        <v>647.01</v>
      </c>
      <c r="AQ88" s="1773">
        <v>0</v>
      </c>
      <c r="AR88" s="1773">
        <v>0</v>
      </c>
      <c r="AS88" s="1773">
        <v>0</v>
      </c>
      <c r="AT88" s="1773">
        <v>0</v>
      </c>
      <c r="AU88" s="1773">
        <f t="shared" si="45"/>
        <v>647.01</v>
      </c>
      <c r="AV88" s="1773">
        <f t="shared" si="46"/>
        <v>0</v>
      </c>
      <c r="AW88" s="1773">
        <f t="shared" si="47"/>
        <v>0</v>
      </c>
    </row>
    <row r="89" spans="1:49" s="237" customFormat="1" x14ac:dyDescent="0.2">
      <c r="A89" s="1078" t="s">
        <v>218</v>
      </c>
      <c r="B89" s="1079" t="s">
        <v>219</v>
      </c>
      <c r="C89" s="103" t="s">
        <v>267</v>
      </c>
      <c r="D89" s="1080">
        <f t="shared" si="30"/>
        <v>806570.79999999993</v>
      </c>
      <c r="E89" s="1080">
        <f t="shared" si="31"/>
        <v>1415462.15</v>
      </c>
      <c r="F89" s="1080">
        <f t="shared" si="32"/>
        <v>0</v>
      </c>
      <c r="G89" s="1081">
        <f t="shared" si="33"/>
        <v>-0.22999999999999998</v>
      </c>
      <c r="H89" s="1081">
        <f t="shared" si="34"/>
        <v>-0.22999999999999998</v>
      </c>
      <c r="I89" s="1405">
        <f t="shared" si="35"/>
        <v>2222032.7199999997</v>
      </c>
      <c r="J89" s="1082">
        <v>463424.56</v>
      </c>
      <c r="K89" s="1083">
        <v>463424.56</v>
      </c>
      <c r="L89" s="1083">
        <v>0</v>
      </c>
      <c r="M89" s="1083">
        <v>-0.18</v>
      </c>
      <c r="N89" s="1083">
        <v>0</v>
      </c>
      <c r="O89" s="1084">
        <f t="shared" si="36"/>
        <v>926848.94</v>
      </c>
      <c r="P89" s="1404">
        <f t="shared" si="37"/>
        <v>-0.18</v>
      </c>
      <c r="Q89" s="1404">
        <f t="shared" si="38"/>
        <v>-0.18</v>
      </c>
      <c r="R89" s="1082">
        <v>330227.87</v>
      </c>
      <c r="S89" s="1083">
        <v>330227.87</v>
      </c>
      <c r="T89" s="1083">
        <v>0</v>
      </c>
      <c r="U89" s="1083">
        <v>-0.05</v>
      </c>
      <c r="V89" s="1083">
        <v>0</v>
      </c>
      <c r="W89" s="1085">
        <f t="shared" si="27"/>
        <v>660455.68999999994</v>
      </c>
      <c r="X89" s="1404">
        <f t="shared" si="39"/>
        <v>-0.05</v>
      </c>
      <c r="Y89" s="1404">
        <f t="shared" si="40"/>
        <v>-0.05</v>
      </c>
      <c r="Z89" s="1082"/>
      <c r="AA89" s="1083"/>
      <c r="AB89" s="1083"/>
      <c r="AC89" s="1083"/>
      <c r="AD89" s="1083"/>
      <c r="AE89" s="1085">
        <f t="shared" si="28"/>
        <v>0</v>
      </c>
      <c r="AF89" s="1404">
        <f t="shared" si="41"/>
        <v>0</v>
      </c>
      <c r="AG89" s="1404">
        <f t="shared" si="42"/>
        <v>0</v>
      </c>
      <c r="AH89" s="1086">
        <v>9925</v>
      </c>
      <c r="AI89" s="1087">
        <v>621809.72</v>
      </c>
      <c r="AJ89" s="1087">
        <v>0</v>
      </c>
      <c r="AK89" s="1087">
        <v>0</v>
      </c>
      <c r="AL89" s="1087">
        <v>0</v>
      </c>
      <c r="AM89" s="1088">
        <f t="shared" si="29"/>
        <v>631734.72</v>
      </c>
      <c r="AN89" s="1088">
        <f t="shared" si="43"/>
        <v>0</v>
      </c>
      <c r="AO89" s="1088">
        <f t="shared" si="44"/>
        <v>0</v>
      </c>
      <c r="AP89" s="1773">
        <v>2993.37</v>
      </c>
      <c r="AQ89" s="1773">
        <v>0</v>
      </c>
      <c r="AR89" s="1773">
        <v>0</v>
      </c>
      <c r="AS89" s="1773">
        <v>0</v>
      </c>
      <c r="AT89" s="1773">
        <v>0</v>
      </c>
      <c r="AU89" s="1773">
        <f t="shared" si="45"/>
        <v>2993.37</v>
      </c>
      <c r="AV89" s="1773">
        <f t="shared" si="46"/>
        <v>0</v>
      </c>
      <c r="AW89" s="1773">
        <f t="shared" si="47"/>
        <v>0</v>
      </c>
    </row>
    <row r="90" spans="1:49" s="237" customFormat="1" x14ac:dyDescent="0.2">
      <c r="A90" s="1078" t="s">
        <v>220</v>
      </c>
      <c r="B90" s="1079" t="s">
        <v>221</v>
      </c>
      <c r="C90" s="103" t="s">
        <v>267</v>
      </c>
      <c r="D90" s="1080">
        <f t="shared" si="30"/>
        <v>557991.1</v>
      </c>
      <c r="E90" s="1080">
        <f t="shared" si="31"/>
        <v>877019.91</v>
      </c>
      <c r="F90" s="1080">
        <f t="shared" si="32"/>
        <v>0</v>
      </c>
      <c r="G90" s="1081">
        <f t="shared" si="33"/>
        <v>-0.14000000000000001</v>
      </c>
      <c r="H90" s="1081">
        <f t="shared" si="34"/>
        <v>-0.14000000000000001</v>
      </c>
      <c r="I90" s="1405">
        <f t="shared" si="35"/>
        <v>1435010.87</v>
      </c>
      <c r="J90" s="1082">
        <v>107614.78</v>
      </c>
      <c r="K90" s="1083">
        <v>107614.78</v>
      </c>
      <c r="L90" s="1083">
        <v>0</v>
      </c>
      <c r="M90" s="1083">
        <v>-0.11</v>
      </c>
      <c r="N90" s="1083">
        <v>0</v>
      </c>
      <c r="O90" s="1084">
        <f t="shared" si="36"/>
        <v>215229.45</v>
      </c>
      <c r="P90" s="1404">
        <f t="shared" si="37"/>
        <v>-0.11</v>
      </c>
      <c r="Q90" s="1404">
        <f t="shared" si="38"/>
        <v>-0.11</v>
      </c>
      <c r="R90" s="1082">
        <v>393163.86</v>
      </c>
      <c r="S90" s="1083">
        <v>393163.86</v>
      </c>
      <c r="T90" s="1083">
        <v>0</v>
      </c>
      <c r="U90" s="1083">
        <v>-0.03</v>
      </c>
      <c r="V90" s="1083">
        <v>0</v>
      </c>
      <c r="W90" s="1085">
        <f t="shared" si="27"/>
        <v>786327.69</v>
      </c>
      <c r="X90" s="1404">
        <f t="shared" si="39"/>
        <v>-0.03</v>
      </c>
      <c r="Y90" s="1404">
        <f t="shared" si="40"/>
        <v>-0.03</v>
      </c>
      <c r="Z90" s="1082"/>
      <c r="AA90" s="1083"/>
      <c r="AB90" s="1083"/>
      <c r="AC90" s="1083"/>
      <c r="AD90" s="1083"/>
      <c r="AE90" s="1085">
        <f t="shared" si="28"/>
        <v>0</v>
      </c>
      <c r="AF90" s="1404">
        <f t="shared" si="41"/>
        <v>0</v>
      </c>
      <c r="AG90" s="1404">
        <f t="shared" si="42"/>
        <v>0</v>
      </c>
      <c r="AH90" s="1086">
        <v>54310.239999999998</v>
      </c>
      <c r="AI90" s="1087">
        <v>376241.27</v>
      </c>
      <c r="AJ90" s="1087">
        <v>0</v>
      </c>
      <c r="AK90" s="1087">
        <v>0</v>
      </c>
      <c r="AL90" s="1087">
        <v>0</v>
      </c>
      <c r="AM90" s="1088">
        <f t="shared" si="29"/>
        <v>430551.51</v>
      </c>
      <c r="AN90" s="1088">
        <f t="shared" si="43"/>
        <v>0</v>
      </c>
      <c r="AO90" s="1088">
        <f t="shared" si="44"/>
        <v>0</v>
      </c>
      <c r="AP90" s="1773">
        <v>2902.22</v>
      </c>
      <c r="AQ90" s="1773">
        <v>0</v>
      </c>
      <c r="AR90" s="1773">
        <v>0</v>
      </c>
      <c r="AS90" s="1773">
        <v>0</v>
      </c>
      <c r="AT90" s="1773">
        <v>0</v>
      </c>
      <c r="AU90" s="1773">
        <f t="shared" si="45"/>
        <v>2902.22</v>
      </c>
      <c r="AV90" s="1773">
        <f t="shared" si="46"/>
        <v>0</v>
      </c>
      <c r="AW90" s="1773">
        <f t="shared" si="47"/>
        <v>0</v>
      </c>
    </row>
    <row r="91" spans="1:49" s="237" customFormat="1" x14ac:dyDescent="0.2">
      <c r="A91" s="1078" t="s">
        <v>224</v>
      </c>
      <c r="B91" s="1079" t="s">
        <v>225</v>
      </c>
      <c r="C91" s="103" t="s">
        <v>264</v>
      </c>
      <c r="D91" s="1080">
        <f t="shared" si="30"/>
        <v>3238</v>
      </c>
      <c r="E91" s="1080">
        <f t="shared" si="31"/>
        <v>3238</v>
      </c>
      <c r="F91" s="1080">
        <f t="shared" si="32"/>
        <v>0</v>
      </c>
      <c r="G91" s="1081">
        <f t="shared" si="33"/>
        <v>0</v>
      </c>
      <c r="H91" s="1081">
        <f t="shared" si="34"/>
        <v>0</v>
      </c>
      <c r="I91" s="1405">
        <f t="shared" si="35"/>
        <v>6476</v>
      </c>
      <c r="J91" s="1082">
        <v>0</v>
      </c>
      <c r="K91" s="1083">
        <v>0</v>
      </c>
      <c r="L91" s="1083">
        <v>0</v>
      </c>
      <c r="M91" s="1083">
        <v>0</v>
      </c>
      <c r="N91" s="1083">
        <v>0</v>
      </c>
      <c r="O91" s="1084">
        <f t="shared" si="36"/>
        <v>0</v>
      </c>
      <c r="P91" s="1404">
        <f t="shared" si="37"/>
        <v>0</v>
      </c>
      <c r="Q91" s="1404">
        <f t="shared" si="38"/>
        <v>0</v>
      </c>
      <c r="R91" s="1082">
        <v>3238</v>
      </c>
      <c r="S91" s="1083">
        <v>3238</v>
      </c>
      <c r="T91" s="1083">
        <v>0</v>
      </c>
      <c r="U91" s="1083">
        <v>0</v>
      </c>
      <c r="V91" s="1083">
        <v>0</v>
      </c>
      <c r="W91" s="1085">
        <f t="shared" si="27"/>
        <v>6476</v>
      </c>
      <c r="X91" s="1404">
        <f t="shared" si="39"/>
        <v>0</v>
      </c>
      <c r="Y91" s="1404">
        <f t="shared" si="40"/>
        <v>0</v>
      </c>
      <c r="Z91" s="1086"/>
      <c r="AA91" s="1087"/>
      <c r="AB91" s="1087"/>
      <c r="AC91" s="1087"/>
      <c r="AD91" s="1087"/>
      <c r="AE91" s="1085">
        <f t="shared" si="28"/>
        <v>0</v>
      </c>
      <c r="AF91" s="1404">
        <f t="shared" si="41"/>
        <v>0</v>
      </c>
      <c r="AG91" s="1404">
        <f t="shared" si="42"/>
        <v>0</v>
      </c>
      <c r="AH91" s="1086">
        <v>0</v>
      </c>
      <c r="AI91" s="1087">
        <v>0</v>
      </c>
      <c r="AJ91" s="1087">
        <v>0</v>
      </c>
      <c r="AK91" s="1087">
        <v>0</v>
      </c>
      <c r="AL91" s="1087">
        <v>0</v>
      </c>
      <c r="AM91" s="1088">
        <f t="shared" si="29"/>
        <v>0</v>
      </c>
      <c r="AN91" s="1088">
        <f t="shared" si="43"/>
        <v>0</v>
      </c>
      <c r="AO91" s="1088">
        <f t="shared" si="44"/>
        <v>0</v>
      </c>
      <c r="AP91" s="1773"/>
      <c r="AQ91" s="1773"/>
      <c r="AR91" s="1773"/>
      <c r="AS91" s="1773"/>
      <c r="AT91" s="1773"/>
      <c r="AU91" s="1773">
        <f t="shared" si="45"/>
        <v>0</v>
      </c>
      <c r="AV91" s="1773">
        <f t="shared" si="46"/>
        <v>0</v>
      </c>
      <c r="AW91" s="1773">
        <f t="shared" si="47"/>
        <v>0</v>
      </c>
    </row>
    <row r="92" spans="1:49" s="237" customFormat="1" x14ac:dyDescent="0.2">
      <c r="A92" s="1078" t="s">
        <v>226</v>
      </c>
      <c r="B92" s="1079" t="s">
        <v>227</v>
      </c>
      <c r="C92" s="103" t="s">
        <v>264</v>
      </c>
      <c r="D92" s="1080">
        <f t="shared" si="30"/>
        <v>48510.35</v>
      </c>
      <c r="E92" s="1080">
        <f t="shared" si="31"/>
        <v>76207.149999999994</v>
      </c>
      <c r="F92" s="1080">
        <f t="shared" si="32"/>
        <v>0</v>
      </c>
      <c r="G92" s="1081">
        <f t="shared" si="33"/>
        <v>0</v>
      </c>
      <c r="H92" s="1081">
        <f t="shared" si="34"/>
        <v>0</v>
      </c>
      <c r="I92" s="1405">
        <f t="shared" si="35"/>
        <v>124717.5</v>
      </c>
      <c r="J92" s="1082">
        <v>4534.75</v>
      </c>
      <c r="K92" s="1083">
        <v>4534.75</v>
      </c>
      <c r="L92" s="1083">
        <v>0</v>
      </c>
      <c r="M92" s="1083">
        <v>0</v>
      </c>
      <c r="N92" s="1083">
        <v>0</v>
      </c>
      <c r="O92" s="1084">
        <f t="shared" si="36"/>
        <v>9069.5</v>
      </c>
      <c r="P92" s="1404">
        <f t="shared" si="37"/>
        <v>0</v>
      </c>
      <c r="Q92" s="1404">
        <f t="shared" si="38"/>
        <v>0</v>
      </c>
      <c r="R92" s="1082">
        <v>42946</v>
      </c>
      <c r="S92" s="1083">
        <v>42946</v>
      </c>
      <c r="T92" s="1083">
        <v>0</v>
      </c>
      <c r="U92" s="1083">
        <v>0</v>
      </c>
      <c r="V92" s="1083">
        <v>0</v>
      </c>
      <c r="W92" s="1085">
        <f t="shared" si="27"/>
        <v>85892</v>
      </c>
      <c r="X92" s="1404">
        <f t="shared" si="39"/>
        <v>0</v>
      </c>
      <c r="Y92" s="1404">
        <f t="shared" si="40"/>
        <v>0</v>
      </c>
      <c r="Z92" s="1082"/>
      <c r="AA92" s="1083"/>
      <c r="AB92" s="1083"/>
      <c r="AC92" s="1083"/>
      <c r="AD92" s="1083"/>
      <c r="AE92" s="1085">
        <f t="shared" si="28"/>
        <v>0</v>
      </c>
      <c r="AF92" s="1404">
        <f t="shared" si="41"/>
        <v>0</v>
      </c>
      <c r="AG92" s="1404">
        <f t="shared" si="42"/>
        <v>0</v>
      </c>
      <c r="AH92" s="1086">
        <v>1029.5999999999999</v>
      </c>
      <c r="AI92" s="1087">
        <v>28726.400000000001</v>
      </c>
      <c r="AJ92" s="1087">
        <v>0</v>
      </c>
      <c r="AK92" s="1087">
        <v>0</v>
      </c>
      <c r="AL92" s="1087">
        <v>0</v>
      </c>
      <c r="AM92" s="1088">
        <f t="shared" si="29"/>
        <v>29756</v>
      </c>
      <c r="AN92" s="1088">
        <f t="shared" si="43"/>
        <v>0</v>
      </c>
      <c r="AO92" s="1088">
        <f t="shared" si="44"/>
        <v>0</v>
      </c>
      <c r="AP92" s="1773"/>
      <c r="AQ92" s="1773"/>
      <c r="AR92" s="1773"/>
      <c r="AS92" s="1773"/>
      <c r="AT92" s="1773"/>
      <c r="AU92" s="1773">
        <f t="shared" si="45"/>
        <v>0</v>
      </c>
      <c r="AV92" s="1773">
        <f t="shared" si="46"/>
        <v>0</v>
      </c>
      <c r="AW92" s="1773">
        <f t="shared" si="47"/>
        <v>0</v>
      </c>
    </row>
    <row r="93" spans="1:49" s="237" customFormat="1" x14ac:dyDescent="0.2">
      <c r="A93" s="1078" t="s">
        <v>228</v>
      </c>
      <c r="B93" s="1079" t="s">
        <v>229</v>
      </c>
      <c r="C93" s="103" t="s">
        <v>268</v>
      </c>
      <c r="D93" s="1080">
        <f t="shared" si="30"/>
        <v>686509.43</v>
      </c>
      <c r="E93" s="1080">
        <f t="shared" si="31"/>
        <v>1123764.45</v>
      </c>
      <c r="F93" s="1080">
        <f t="shared" si="32"/>
        <v>0</v>
      </c>
      <c r="G93" s="1081">
        <f t="shared" si="33"/>
        <v>-0.1</v>
      </c>
      <c r="H93" s="1081">
        <f t="shared" si="34"/>
        <v>-0.1</v>
      </c>
      <c r="I93" s="1405">
        <f t="shared" si="35"/>
        <v>1810273.7799999998</v>
      </c>
      <c r="J93" s="1082">
        <v>87262.26</v>
      </c>
      <c r="K93" s="1083">
        <v>87262.26</v>
      </c>
      <c r="L93" s="1083">
        <v>0</v>
      </c>
      <c r="M93" s="1083">
        <v>-0.03</v>
      </c>
      <c r="N93" s="1083">
        <v>0</v>
      </c>
      <c r="O93" s="1084">
        <f t="shared" si="36"/>
        <v>174524.49</v>
      </c>
      <c r="P93" s="1404">
        <f t="shared" si="37"/>
        <v>-0.03</v>
      </c>
      <c r="Q93" s="1404">
        <f t="shared" si="38"/>
        <v>-0.03</v>
      </c>
      <c r="R93" s="1082">
        <v>568181.01</v>
      </c>
      <c r="S93" s="1083">
        <v>568181.01</v>
      </c>
      <c r="T93" s="1083">
        <v>0</v>
      </c>
      <c r="U93" s="1083">
        <v>-0.02</v>
      </c>
      <c r="V93" s="1083">
        <v>0</v>
      </c>
      <c r="W93" s="1085">
        <f t="shared" si="27"/>
        <v>1136362</v>
      </c>
      <c r="X93" s="1404">
        <f t="shared" si="39"/>
        <v>-0.02</v>
      </c>
      <c r="Y93" s="1404">
        <f t="shared" si="40"/>
        <v>-0.02</v>
      </c>
      <c r="Z93" s="1082"/>
      <c r="AA93" s="1083"/>
      <c r="AB93" s="1083"/>
      <c r="AC93" s="1083"/>
      <c r="AD93" s="1083"/>
      <c r="AE93" s="1085">
        <f t="shared" si="28"/>
        <v>0</v>
      </c>
      <c r="AF93" s="1404">
        <f t="shared" si="41"/>
        <v>0</v>
      </c>
      <c r="AG93" s="1404">
        <f t="shared" si="42"/>
        <v>0</v>
      </c>
      <c r="AH93" s="1086">
        <v>31066.16</v>
      </c>
      <c r="AI93" s="1087">
        <v>468321.18</v>
      </c>
      <c r="AJ93" s="1087">
        <v>0</v>
      </c>
      <c r="AK93" s="1087">
        <v>-0.05</v>
      </c>
      <c r="AL93" s="1087">
        <v>0</v>
      </c>
      <c r="AM93" s="1088">
        <f t="shared" si="29"/>
        <v>499387.29</v>
      </c>
      <c r="AN93" s="1088">
        <f t="shared" si="43"/>
        <v>-0.05</v>
      </c>
      <c r="AO93" s="1088">
        <f t="shared" si="44"/>
        <v>-0.05</v>
      </c>
      <c r="AP93" s="1773"/>
      <c r="AQ93" s="1773"/>
      <c r="AR93" s="1773"/>
      <c r="AS93" s="1773"/>
      <c r="AT93" s="1773"/>
      <c r="AU93" s="1773">
        <f t="shared" si="45"/>
        <v>0</v>
      </c>
      <c r="AV93" s="1773">
        <f t="shared" si="46"/>
        <v>0</v>
      </c>
      <c r="AW93" s="1773">
        <f t="shared" si="47"/>
        <v>0</v>
      </c>
    </row>
    <row r="94" spans="1:49" s="237" customFormat="1" x14ac:dyDescent="0.2">
      <c r="A94" s="1078" t="s">
        <v>232</v>
      </c>
      <c r="B94" s="1079" t="s">
        <v>233</v>
      </c>
      <c r="C94" s="103" t="s">
        <v>267</v>
      </c>
      <c r="D94" s="1080">
        <f t="shared" si="30"/>
        <v>306510.27999999997</v>
      </c>
      <c r="E94" s="1080">
        <f t="shared" si="31"/>
        <v>511206.14</v>
      </c>
      <c r="F94" s="1080">
        <f t="shared" si="32"/>
        <v>0</v>
      </c>
      <c r="G94" s="1081">
        <f t="shared" si="33"/>
        <v>-0.1</v>
      </c>
      <c r="H94" s="1081">
        <f t="shared" si="34"/>
        <v>-0.1</v>
      </c>
      <c r="I94" s="1405">
        <f t="shared" si="35"/>
        <v>817716.32</v>
      </c>
      <c r="J94" s="1082">
        <v>98523.81</v>
      </c>
      <c r="K94" s="1083">
        <v>98523.81</v>
      </c>
      <c r="L94" s="1083">
        <v>0</v>
      </c>
      <c r="M94" s="1083">
        <v>-0.06</v>
      </c>
      <c r="N94" s="1083">
        <v>0</v>
      </c>
      <c r="O94" s="1084">
        <f t="shared" si="36"/>
        <v>197047.56</v>
      </c>
      <c r="P94" s="1404">
        <f t="shared" si="37"/>
        <v>-0.06</v>
      </c>
      <c r="Q94" s="1404">
        <f t="shared" si="38"/>
        <v>-0.06</v>
      </c>
      <c r="R94" s="1082">
        <v>175116.79999999999</v>
      </c>
      <c r="S94" s="1083">
        <v>175116.79999999999</v>
      </c>
      <c r="T94" s="1083">
        <v>0</v>
      </c>
      <c r="U94" s="1083">
        <v>-0.02</v>
      </c>
      <c r="V94" s="1083">
        <v>0</v>
      </c>
      <c r="W94" s="1085">
        <f t="shared" si="27"/>
        <v>350233.57999999996</v>
      </c>
      <c r="X94" s="1404">
        <f t="shared" si="39"/>
        <v>-0.02</v>
      </c>
      <c r="Y94" s="1404">
        <f t="shared" si="40"/>
        <v>-0.02</v>
      </c>
      <c r="Z94" s="1082"/>
      <c r="AA94" s="1083"/>
      <c r="AB94" s="1083"/>
      <c r="AC94" s="1083"/>
      <c r="AD94" s="1083"/>
      <c r="AE94" s="1085">
        <f t="shared" si="28"/>
        <v>0</v>
      </c>
      <c r="AF94" s="1404">
        <f t="shared" si="41"/>
        <v>0</v>
      </c>
      <c r="AG94" s="1404">
        <f t="shared" si="42"/>
        <v>0</v>
      </c>
      <c r="AH94" s="1086">
        <v>32869.67</v>
      </c>
      <c r="AI94" s="1087">
        <v>237565.53</v>
      </c>
      <c r="AJ94" s="1087">
        <v>0</v>
      </c>
      <c r="AK94" s="1087">
        <v>-0.02</v>
      </c>
      <c r="AL94" s="1087">
        <v>0</v>
      </c>
      <c r="AM94" s="1088">
        <f t="shared" si="29"/>
        <v>270435.18</v>
      </c>
      <c r="AN94" s="1088">
        <f t="shared" si="43"/>
        <v>-0.02</v>
      </c>
      <c r="AO94" s="1088">
        <f t="shared" si="44"/>
        <v>-0.02</v>
      </c>
      <c r="AP94" s="1773"/>
      <c r="AQ94" s="1773"/>
      <c r="AR94" s="1773"/>
      <c r="AS94" s="1773"/>
      <c r="AT94" s="1773"/>
      <c r="AU94" s="1773">
        <f t="shared" si="45"/>
        <v>0</v>
      </c>
      <c r="AV94" s="1773">
        <f t="shared" si="46"/>
        <v>0</v>
      </c>
      <c r="AW94" s="1773">
        <f t="shared" si="47"/>
        <v>0</v>
      </c>
    </row>
    <row r="95" spans="1:49" s="237" customFormat="1" x14ac:dyDescent="0.2">
      <c r="A95" s="1078" t="s">
        <v>234</v>
      </c>
      <c r="B95" s="1079" t="s">
        <v>235</v>
      </c>
      <c r="C95" s="103" t="s">
        <v>268</v>
      </c>
      <c r="D95" s="1080">
        <f t="shared" si="30"/>
        <v>531291.07000000007</v>
      </c>
      <c r="E95" s="1080">
        <f t="shared" si="31"/>
        <v>683462.32000000007</v>
      </c>
      <c r="F95" s="1080">
        <f t="shared" si="32"/>
        <v>0</v>
      </c>
      <c r="G95" s="1081">
        <f t="shared" si="33"/>
        <v>-0.19</v>
      </c>
      <c r="H95" s="1081">
        <f t="shared" si="34"/>
        <v>-0.19</v>
      </c>
      <c r="I95" s="1405">
        <f t="shared" si="35"/>
        <v>1214753.2000000002</v>
      </c>
      <c r="J95" s="1082">
        <v>179245.17</v>
      </c>
      <c r="K95" s="1083">
        <v>179245.17</v>
      </c>
      <c r="L95" s="1083">
        <v>0</v>
      </c>
      <c r="M95" s="1083">
        <v>-0.15</v>
      </c>
      <c r="N95" s="1083">
        <v>0</v>
      </c>
      <c r="O95" s="1084">
        <f t="shared" si="36"/>
        <v>358490.19</v>
      </c>
      <c r="P95" s="1404">
        <f t="shared" si="37"/>
        <v>-0.15</v>
      </c>
      <c r="Q95" s="1404">
        <f t="shared" si="38"/>
        <v>-0.15</v>
      </c>
      <c r="R95" s="1082">
        <v>343181.38</v>
      </c>
      <c r="S95" s="1083">
        <v>343181.38</v>
      </c>
      <c r="T95" s="1083">
        <v>0</v>
      </c>
      <c r="U95" s="1083">
        <v>0</v>
      </c>
      <c r="V95" s="1083">
        <v>0</v>
      </c>
      <c r="W95" s="1085">
        <f t="shared" si="27"/>
        <v>686362.76</v>
      </c>
      <c r="X95" s="1404">
        <f t="shared" si="39"/>
        <v>0</v>
      </c>
      <c r="Y95" s="1404">
        <f t="shared" si="40"/>
        <v>0</v>
      </c>
      <c r="Z95" s="1082"/>
      <c r="AA95" s="1083"/>
      <c r="AB95" s="1083"/>
      <c r="AC95" s="1083"/>
      <c r="AD95" s="1083"/>
      <c r="AE95" s="1085">
        <f t="shared" si="28"/>
        <v>0</v>
      </c>
      <c r="AF95" s="1404">
        <f t="shared" si="41"/>
        <v>0</v>
      </c>
      <c r="AG95" s="1404">
        <f t="shared" si="42"/>
        <v>0</v>
      </c>
      <c r="AH95" s="1086">
        <v>7829.27</v>
      </c>
      <c r="AI95" s="1087">
        <v>161035.76999999999</v>
      </c>
      <c r="AJ95" s="1087">
        <v>0</v>
      </c>
      <c r="AK95" s="1087">
        <v>-0.04</v>
      </c>
      <c r="AL95" s="1087">
        <v>0</v>
      </c>
      <c r="AM95" s="1088">
        <f t="shared" si="29"/>
        <v>168864.99999999997</v>
      </c>
      <c r="AN95" s="1088">
        <f t="shared" si="43"/>
        <v>-0.04</v>
      </c>
      <c r="AO95" s="1088">
        <f t="shared" si="44"/>
        <v>-0.04</v>
      </c>
      <c r="AP95" s="1773">
        <v>1035.25</v>
      </c>
      <c r="AQ95" s="1773">
        <v>0</v>
      </c>
      <c r="AR95" s="1773">
        <v>0</v>
      </c>
      <c r="AS95" s="1773">
        <v>0</v>
      </c>
      <c r="AT95" s="1773">
        <v>0</v>
      </c>
      <c r="AU95" s="1773">
        <f t="shared" si="45"/>
        <v>1035.25</v>
      </c>
      <c r="AV95" s="1773">
        <f t="shared" si="46"/>
        <v>0</v>
      </c>
      <c r="AW95" s="1773">
        <f t="shared" si="47"/>
        <v>0</v>
      </c>
    </row>
    <row r="96" spans="1:49" s="237" customFormat="1" x14ac:dyDescent="0.2">
      <c r="A96" s="1078" t="s">
        <v>236</v>
      </c>
      <c r="B96" s="1079" t="s">
        <v>237</v>
      </c>
      <c r="C96" s="103" t="s">
        <v>266</v>
      </c>
      <c r="D96" s="1080">
        <f t="shared" si="30"/>
        <v>121506.48</v>
      </c>
      <c r="E96" s="1080">
        <f t="shared" si="31"/>
        <v>147824.47999999998</v>
      </c>
      <c r="F96" s="1080">
        <f t="shared" si="32"/>
        <v>0</v>
      </c>
      <c r="G96" s="1081">
        <f t="shared" si="33"/>
        <v>-7.0000000000000007E-2</v>
      </c>
      <c r="H96" s="1081">
        <f t="shared" si="34"/>
        <v>-7.0000000000000007E-2</v>
      </c>
      <c r="I96" s="1405">
        <f t="shared" si="35"/>
        <v>269330.88999999996</v>
      </c>
      <c r="J96" s="1082">
        <v>96434.98</v>
      </c>
      <c r="K96" s="1083">
        <v>96434.98</v>
      </c>
      <c r="L96" s="1083">
        <v>0</v>
      </c>
      <c r="M96" s="1083">
        <v>-7.0000000000000007E-2</v>
      </c>
      <c r="N96" s="1083">
        <v>0</v>
      </c>
      <c r="O96" s="1084">
        <f t="shared" si="36"/>
        <v>192869.88999999998</v>
      </c>
      <c r="P96" s="1404">
        <f t="shared" si="37"/>
        <v>-7.0000000000000007E-2</v>
      </c>
      <c r="Q96" s="1404">
        <f t="shared" si="38"/>
        <v>-7.0000000000000007E-2</v>
      </c>
      <c r="R96" s="1082">
        <v>24071.5</v>
      </c>
      <c r="S96" s="1083">
        <v>24071.5</v>
      </c>
      <c r="T96" s="1083">
        <v>0</v>
      </c>
      <c r="U96" s="1083">
        <v>0</v>
      </c>
      <c r="V96" s="1083">
        <v>0</v>
      </c>
      <c r="W96" s="1085">
        <f t="shared" si="27"/>
        <v>48143</v>
      </c>
      <c r="X96" s="1404">
        <f t="shared" si="39"/>
        <v>0</v>
      </c>
      <c r="Y96" s="1404">
        <f t="shared" si="40"/>
        <v>0</v>
      </c>
      <c r="Z96" s="1082"/>
      <c r="AA96" s="1083"/>
      <c r="AB96" s="1083"/>
      <c r="AC96" s="1083"/>
      <c r="AD96" s="1083"/>
      <c r="AE96" s="1085">
        <f t="shared" si="28"/>
        <v>0</v>
      </c>
      <c r="AF96" s="1404">
        <f t="shared" si="41"/>
        <v>0</v>
      </c>
      <c r="AG96" s="1404">
        <f t="shared" si="42"/>
        <v>0</v>
      </c>
      <c r="AH96" s="1086">
        <v>0</v>
      </c>
      <c r="AI96" s="1087">
        <v>27318</v>
      </c>
      <c r="AJ96" s="1087">
        <v>0</v>
      </c>
      <c r="AK96" s="1087">
        <v>0</v>
      </c>
      <c r="AL96" s="1087">
        <v>0</v>
      </c>
      <c r="AM96" s="1088">
        <f t="shared" si="29"/>
        <v>27318</v>
      </c>
      <c r="AN96" s="1088">
        <f t="shared" si="43"/>
        <v>0</v>
      </c>
      <c r="AO96" s="1088">
        <f t="shared" si="44"/>
        <v>0</v>
      </c>
      <c r="AP96" s="1773">
        <v>1000</v>
      </c>
      <c r="AQ96" s="1773">
        <v>0</v>
      </c>
      <c r="AR96" s="1773">
        <v>0</v>
      </c>
      <c r="AS96" s="1773">
        <v>0</v>
      </c>
      <c r="AT96" s="1773">
        <v>0</v>
      </c>
      <c r="AU96" s="1773">
        <f t="shared" si="45"/>
        <v>1000</v>
      </c>
      <c r="AV96" s="1773">
        <f t="shared" si="46"/>
        <v>0</v>
      </c>
      <c r="AW96" s="1773">
        <f t="shared" si="47"/>
        <v>0</v>
      </c>
    </row>
    <row r="97" spans="1:49" s="237" customFormat="1" x14ac:dyDescent="0.2">
      <c r="A97" s="1078" t="s">
        <v>242</v>
      </c>
      <c r="B97" s="1079" t="s">
        <v>243</v>
      </c>
      <c r="C97" s="103" t="s">
        <v>268</v>
      </c>
      <c r="D97" s="1080">
        <f t="shared" si="30"/>
        <v>918358.03</v>
      </c>
      <c r="E97" s="1080">
        <f t="shared" si="31"/>
        <v>1160064.8800000001</v>
      </c>
      <c r="F97" s="1080">
        <f t="shared" si="32"/>
        <v>0</v>
      </c>
      <c r="G97" s="1081">
        <f t="shared" si="33"/>
        <v>-0.2</v>
      </c>
      <c r="H97" s="1081">
        <f t="shared" si="34"/>
        <v>-0.2</v>
      </c>
      <c r="I97" s="1405">
        <f t="shared" si="35"/>
        <v>2078422.7100000002</v>
      </c>
      <c r="J97" s="1082">
        <v>307953.75</v>
      </c>
      <c r="K97" s="1083">
        <v>307953.75</v>
      </c>
      <c r="L97" s="1083">
        <v>0</v>
      </c>
      <c r="M97" s="1083">
        <v>-0.11</v>
      </c>
      <c r="N97" s="1083">
        <v>0</v>
      </c>
      <c r="O97" s="1084">
        <f t="shared" si="36"/>
        <v>615907.39</v>
      </c>
      <c r="P97" s="1404">
        <f t="shared" si="37"/>
        <v>-0.11</v>
      </c>
      <c r="Q97" s="1404">
        <f t="shared" si="38"/>
        <v>-0.11</v>
      </c>
      <c r="R97" s="1082">
        <v>597844.93000000005</v>
      </c>
      <c r="S97" s="1083">
        <v>597844.93000000005</v>
      </c>
      <c r="T97" s="1083">
        <v>0</v>
      </c>
      <c r="U97" s="1083">
        <v>-0.08</v>
      </c>
      <c r="V97" s="1083">
        <v>0</v>
      </c>
      <c r="W97" s="1085">
        <f t="shared" si="27"/>
        <v>1195689.78</v>
      </c>
      <c r="X97" s="1404">
        <f t="shared" si="39"/>
        <v>-0.08</v>
      </c>
      <c r="Y97" s="1404">
        <f t="shared" si="40"/>
        <v>-0.08</v>
      </c>
      <c r="Z97" s="1082"/>
      <c r="AA97" s="1083"/>
      <c r="AB97" s="1083"/>
      <c r="AC97" s="1083"/>
      <c r="AD97" s="1083"/>
      <c r="AE97" s="1085">
        <f t="shared" si="28"/>
        <v>0</v>
      </c>
      <c r="AF97" s="1404">
        <f t="shared" si="41"/>
        <v>0</v>
      </c>
      <c r="AG97" s="1404">
        <f t="shared" si="42"/>
        <v>0</v>
      </c>
      <c r="AH97" s="1086">
        <v>9580.07</v>
      </c>
      <c r="AI97" s="1087">
        <v>254266.2</v>
      </c>
      <c r="AJ97" s="1087">
        <v>0</v>
      </c>
      <c r="AK97" s="1087">
        <v>-0.01</v>
      </c>
      <c r="AL97" s="1087">
        <v>0</v>
      </c>
      <c r="AM97" s="1088">
        <f t="shared" si="29"/>
        <v>263846.26</v>
      </c>
      <c r="AN97" s="1088">
        <f t="shared" si="43"/>
        <v>-0.01</v>
      </c>
      <c r="AO97" s="1088">
        <f t="shared" si="44"/>
        <v>-0.01</v>
      </c>
      <c r="AP97" s="1773">
        <v>2979.28</v>
      </c>
      <c r="AQ97" s="1773">
        <v>0</v>
      </c>
      <c r="AR97" s="1773">
        <v>0</v>
      </c>
      <c r="AS97" s="1773">
        <v>0</v>
      </c>
      <c r="AT97" s="1773">
        <v>0</v>
      </c>
      <c r="AU97" s="1773">
        <f t="shared" si="45"/>
        <v>2979.28</v>
      </c>
      <c r="AV97" s="1773">
        <f t="shared" si="46"/>
        <v>0</v>
      </c>
      <c r="AW97" s="1773">
        <f t="shared" si="47"/>
        <v>0</v>
      </c>
    </row>
    <row r="98" spans="1:49" s="237" customFormat="1" x14ac:dyDescent="0.2">
      <c r="A98" s="1078" t="s">
        <v>244</v>
      </c>
      <c r="B98" s="1079" t="s">
        <v>245</v>
      </c>
      <c r="C98" s="103" t="s">
        <v>268</v>
      </c>
      <c r="D98" s="1080">
        <f t="shared" si="30"/>
        <v>468989.94999999995</v>
      </c>
      <c r="E98" s="1080">
        <f t="shared" si="31"/>
        <v>703735.53</v>
      </c>
      <c r="F98" s="1080">
        <f t="shared" si="32"/>
        <v>0</v>
      </c>
      <c r="G98" s="1081">
        <f t="shared" si="33"/>
        <v>-0.19999999999999998</v>
      </c>
      <c r="H98" s="1081">
        <f t="shared" si="34"/>
        <v>-0.19999999999999998</v>
      </c>
      <c r="I98" s="1405">
        <f t="shared" si="35"/>
        <v>1172725.28</v>
      </c>
      <c r="J98" s="1082">
        <v>202378.71</v>
      </c>
      <c r="K98" s="1083">
        <v>202378.71</v>
      </c>
      <c r="L98" s="1083">
        <v>0</v>
      </c>
      <c r="M98" s="1083">
        <v>-0.18</v>
      </c>
      <c r="N98" s="1083">
        <v>0</v>
      </c>
      <c r="O98" s="1084">
        <f t="shared" si="36"/>
        <v>404757.24</v>
      </c>
      <c r="P98" s="1404">
        <f t="shared" si="37"/>
        <v>-0.18</v>
      </c>
      <c r="Q98" s="1404">
        <f t="shared" si="38"/>
        <v>-0.18</v>
      </c>
      <c r="R98" s="1082">
        <v>250853.9</v>
      </c>
      <c r="S98" s="1083">
        <v>250853.9</v>
      </c>
      <c r="T98" s="1083">
        <v>0</v>
      </c>
      <c r="U98" s="1083">
        <v>-0.02</v>
      </c>
      <c r="V98" s="1083">
        <v>0</v>
      </c>
      <c r="W98" s="1085">
        <f t="shared" si="27"/>
        <v>501707.77999999997</v>
      </c>
      <c r="X98" s="1404">
        <f t="shared" si="39"/>
        <v>-0.02</v>
      </c>
      <c r="Y98" s="1404">
        <f t="shared" si="40"/>
        <v>-0.02</v>
      </c>
      <c r="Z98" s="1082"/>
      <c r="AA98" s="1083"/>
      <c r="AB98" s="1083"/>
      <c r="AC98" s="1083"/>
      <c r="AD98" s="1083"/>
      <c r="AE98" s="1085">
        <f t="shared" si="28"/>
        <v>0</v>
      </c>
      <c r="AF98" s="1404">
        <f t="shared" si="41"/>
        <v>0</v>
      </c>
      <c r="AG98" s="1404">
        <f t="shared" si="42"/>
        <v>0</v>
      </c>
      <c r="AH98" s="1086">
        <v>14082.12</v>
      </c>
      <c r="AI98" s="1087">
        <v>250502.92</v>
      </c>
      <c r="AJ98" s="1087">
        <v>0</v>
      </c>
      <c r="AK98" s="1087">
        <v>0</v>
      </c>
      <c r="AL98" s="1087">
        <v>0</v>
      </c>
      <c r="AM98" s="1088">
        <f t="shared" si="29"/>
        <v>264585.04000000004</v>
      </c>
      <c r="AN98" s="1088">
        <f t="shared" si="43"/>
        <v>0</v>
      </c>
      <c r="AO98" s="1088">
        <f t="shared" si="44"/>
        <v>0</v>
      </c>
      <c r="AP98" s="1773">
        <v>1675.22</v>
      </c>
      <c r="AQ98" s="1773">
        <v>0</v>
      </c>
      <c r="AR98" s="1773">
        <v>0</v>
      </c>
      <c r="AS98" s="1773">
        <v>0</v>
      </c>
      <c r="AT98" s="1773">
        <v>0</v>
      </c>
      <c r="AU98" s="1773">
        <f t="shared" si="45"/>
        <v>1675.22</v>
      </c>
      <c r="AV98" s="1773">
        <f t="shared" si="46"/>
        <v>0</v>
      </c>
      <c r="AW98" s="1773">
        <f t="shared" si="47"/>
        <v>0</v>
      </c>
    </row>
    <row r="99" spans="1:49" s="237" customFormat="1" x14ac:dyDescent="0.2">
      <c r="A99" s="1078" t="s">
        <v>246</v>
      </c>
      <c r="B99" s="1079" t="s">
        <v>310</v>
      </c>
      <c r="C99" s="103" t="s">
        <v>264</v>
      </c>
      <c r="D99" s="1080">
        <f t="shared" si="30"/>
        <v>167988.14</v>
      </c>
      <c r="E99" s="1080">
        <f t="shared" si="31"/>
        <v>240562.38</v>
      </c>
      <c r="F99" s="1080">
        <f t="shared" si="32"/>
        <v>0</v>
      </c>
      <c r="G99" s="1081">
        <f t="shared" si="33"/>
        <v>-0.05</v>
      </c>
      <c r="H99" s="1081">
        <f t="shared" si="34"/>
        <v>-0.05</v>
      </c>
      <c r="I99" s="1405">
        <f t="shared" si="35"/>
        <v>408550.47000000003</v>
      </c>
      <c r="J99" s="1082">
        <v>45032.44</v>
      </c>
      <c r="K99" s="1083">
        <v>45032.44</v>
      </c>
      <c r="L99" s="1083">
        <v>0</v>
      </c>
      <c r="M99" s="1083">
        <v>-0.03</v>
      </c>
      <c r="N99" s="1083">
        <v>0</v>
      </c>
      <c r="O99" s="1084">
        <f t="shared" si="36"/>
        <v>90064.85</v>
      </c>
      <c r="P99" s="1404">
        <f t="shared" si="37"/>
        <v>-0.03</v>
      </c>
      <c r="Q99" s="1404">
        <f t="shared" si="38"/>
        <v>-0.03</v>
      </c>
      <c r="R99" s="1082">
        <v>119346.82</v>
      </c>
      <c r="S99" s="1083">
        <v>119346.82</v>
      </c>
      <c r="T99" s="1083">
        <v>0</v>
      </c>
      <c r="U99" s="1083">
        <v>-0.02</v>
      </c>
      <c r="V99" s="1083">
        <v>0</v>
      </c>
      <c r="W99" s="1085">
        <f t="shared" si="27"/>
        <v>238693.62000000002</v>
      </c>
      <c r="X99" s="1404">
        <f t="shared" si="39"/>
        <v>-0.02</v>
      </c>
      <c r="Y99" s="1404">
        <f t="shared" si="40"/>
        <v>-0.02</v>
      </c>
      <c r="Z99" s="1082"/>
      <c r="AA99" s="1083"/>
      <c r="AB99" s="1083"/>
      <c r="AC99" s="1083"/>
      <c r="AD99" s="1083"/>
      <c r="AE99" s="1085">
        <f t="shared" si="28"/>
        <v>0</v>
      </c>
      <c r="AF99" s="1404">
        <f t="shared" si="41"/>
        <v>0</v>
      </c>
      <c r="AG99" s="1404">
        <f t="shared" si="42"/>
        <v>0</v>
      </c>
      <c r="AH99" s="1086">
        <v>3608.88</v>
      </c>
      <c r="AI99" s="1087">
        <v>76183.12</v>
      </c>
      <c r="AJ99" s="1087">
        <v>0</v>
      </c>
      <c r="AK99" s="1087">
        <v>0</v>
      </c>
      <c r="AL99" s="1087">
        <v>0</v>
      </c>
      <c r="AM99" s="1088">
        <f t="shared" si="29"/>
        <v>79792</v>
      </c>
      <c r="AN99" s="1088">
        <f t="shared" si="43"/>
        <v>0</v>
      </c>
      <c r="AO99" s="1088">
        <f t="shared" si="44"/>
        <v>0</v>
      </c>
      <c r="AP99" s="1773"/>
      <c r="AQ99" s="1773"/>
      <c r="AR99" s="1773"/>
      <c r="AS99" s="1773"/>
      <c r="AT99" s="1773"/>
      <c r="AU99" s="1773">
        <f t="shared" si="45"/>
        <v>0</v>
      </c>
      <c r="AV99" s="1773">
        <f t="shared" si="46"/>
        <v>0</v>
      </c>
      <c r="AW99" s="1773">
        <f t="shared" si="47"/>
        <v>0</v>
      </c>
    </row>
    <row r="100" spans="1:49" s="237" customFormat="1" x14ac:dyDescent="0.2">
      <c r="A100" s="1078" t="s">
        <v>14</v>
      </c>
      <c r="B100" s="1079" t="s">
        <v>15</v>
      </c>
      <c r="C100" s="103" t="s">
        <v>267</v>
      </c>
      <c r="D100" s="1080">
        <f t="shared" si="30"/>
        <v>1736467.0299999998</v>
      </c>
      <c r="E100" s="1080">
        <f t="shared" si="31"/>
        <v>2337881.7399999998</v>
      </c>
      <c r="F100" s="1080">
        <f t="shared" si="32"/>
        <v>0</v>
      </c>
      <c r="G100" s="1081">
        <f t="shared" si="33"/>
        <v>210133.94999999998</v>
      </c>
      <c r="H100" s="1081">
        <f t="shared" si="34"/>
        <v>210133.94999999998</v>
      </c>
      <c r="I100" s="1405">
        <f t="shared" si="35"/>
        <v>4284482.72</v>
      </c>
      <c r="J100" s="1082">
        <v>397968.88</v>
      </c>
      <c r="K100" s="1083">
        <v>397968.88</v>
      </c>
      <c r="L100" s="1083">
        <v>0</v>
      </c>
      <c r="M100" s="1083">
        <v>-0.15</v>
      </c>
      <c r="N100" s="1083">
        <v>0</v>
      </c>
      <c r="O100" s="1084">
        <f t="shared" si="36"/>
        <v>795937.61</v>
      </c>
      <c r="P100" s="1404">
        <f t="shared" si="37"/>
        <v>-0.15</v>
      </c>
      <c r="Q100" s="1404">
        <f t="shared" si="38"/>
        <v>-0.15</v>
      </c>
      <c r="R100" s="1082">
        <v>1143578.1299999999</v>
      </c>
      <c r="S100" s="1083">
        <v>1143578.1299999999</v>
      </c>
      <c r="T100" s="1083">
        <v>0</v>
      </c>
      <c r="U100" s="1083">
        <v>-0.01</v>
      </c>
      <c r="V100" s="1083">
        <v>210134.12</v>
      </c>
      <c r="W100" s="1085">
        <f t="shared" si="27"/>
        <v>2497290.37</v>
      </c>
      <c r="X100" s="1404">
        <f t="shared" si="39"/>
        <v>210134.11</v>
      </c>
      <c r="Y100" s="1404">
        <f t="shared" si="40"/>
        <v>210134.11</v>
      </c>
      <c r="Z100" s="1082"/>
      <c r="AA100" s="1083"/>
      <c r="AB100" s="1083"/>
      <c r="AC100" s="1083"/>
      <c r="AD100" s="1083"/>
      <c r="AE100" s="1085">
        <f t="shared" si="28"/>
        <v>0</v>
      </c>
      <c r="AF100" s="1404">
        <f t="shared" si="41"/>
        <v>0</v>
      </c>
      <c r="AG100" s="1404">
        <f t="shared" si="42"/>
        <v>0</v>
      </c>
      <c r="AH100" s="1086">
        <v>194920.02</v>
      </c>
      <c r="AI100" s="1087">
        <v>796334.73</v>
      </c>
      <c r="AJ100" s="1087">
        <v>0</v>
      </c>
      <c r="AK100" s="1087">
        <v>-0.01</v>
      </c>
      <c r="AL100" s="1087">
        <v>0</v>
      </c>
      <c r="AM100" s="1088">
        <f t="shared" si="29"/>
        <v>991254.74</v>
      </c>
      <c r="AN100" s="1088">
        <f t="shared" si="43"/>
        <v>-0.01</v>
      </c>
      <c r="AO100" s="1088">
        <f t="shared" si="44"/>
        <v>-0.01</v>
      </c>
      <c r="AP100" s="1773"/>
      <c r="AQ100" s="1773"/>
      <c r="AR100" s="1773"/>
      <c r="AS100" s="1773"/>
      <c r="AT100" s="1773"/>
      <c r="AU100" s="1773">
        <f t="shared" si="45"/>
        <v>0</v>
      </c>
      <c r="AV100" s="1773">
        <f t="shared" si="46"/>
        <v>0</v>
      </c>
      <c r="AW100" s="1773">
        <f t="shared" si="47"/>
        <v>0</v>
      </c>
    </row>
    <row r="101" spans="1:49" s="237" customFormat="1" x14ac:dyDescent="0.2">
      <c r="A101" s="1078" t="s">
        <v>34</v>
      </c>
      <c r="B101" s="1079" t="s">
        <v>35</v>
      </c>
      <c r="C101" s="103" t="s">
        <v>268</v>
      </c>
      <c r="D101" s="1080">
        <f t="shared" si="30"/>
        <v>721070.22</v>
      </c>
      <c r="E101" s="1080">
        <f t="shared" si="31"/>
        <v>829588.56</v>
      </c>
      <c r="F101" s="1080">
        <f t="shared" si="32"/>
        <v>0</v>
      </c>
      <c r="G101" s="1081">
        <f t="shared" si="33"/>
        <v>-0.19</v>
      </c>
      <c r="H101" s="1081">
        <f t="shared" si="34"/>
        <v>-0.19</v>
      </c>
      <c r="I101" s="1405">
        <f t="shared" si="35"/>
        <v>1550658.59</v>
      </c>
      <c r="J101" s="1082">
        <v>438188.72</v>
      </c>
      <c r="K101" s="1083">
        <v>438188.72</v>
      </c>
      <c r="L101" s="1083">
        <v>0</v>
      </c>
      <c r="M101" s="1083">
        <v>-0.16</v>
      </c>
      <c r="N101" s="1083">
        <v>0</v>
      </c>
      <c r="O101" s="1084">
        <f t="shared" si="36"/>
        <v>876377.27999999991</v>
      </c>
      <c r="P101" s="1404">
        <f t="shared" si="37"/>
        <v>-0.16</v>
      </c>
      <c r="Q101" s="1404">
        <f t="shared" si="38"/>
        <v>-0.16</v>
      </c>
      <c r="R101" s="1082">
        <v>276482.28000000003</v>
      </c>
      <c r="S101" s="1083">
        <v>276482.28000000003</v>
      </c>
      <c r="T101" s="1083">
        <v>0</v>
      </c>
      <c r="U101" s="1083">
        <v>-0.03</v>
      </c>
      <c r="V101" s="1083">
        <v>0</v>
      </c>
      <c r="W101" s="1085">
        <f t="shared" ref="W101:W124" si="48">SUM(R101:V101)</f>
        <v>552964.53</v>
      </c>
      <c r="X101" s="1404">
        <f t="shared" si="39"/>
        <v>-0.03</v>
      </c>
      <c r="Y101" s="1404">
        <f t="shared" si="40"/>
        <v>-0.03</v>
      </c>
      <c r="Z101" s="1082"/>
      <c r="AA101" s="1083"/>
      <c r="AB101" s="1083"/>
      <c r="AC101" s="1083"/>
      <c r="AD101" s="1083"/>
      <c r="AE101" s="1085">
        <f t="shared" ref="AE101:AE131" si="49">SUM(Z101:AD101)</f>
        <v>0</v>
      </c>
      <c r="AF101" s="1404">
        <f t="shared" si="41"/>
        <v>0</v>
      </c>
      <c r="AG101" s="1404">
        <f t="shared" si="42"/>
        <v>0</v>
      </c>
      <c r="AH101" s="1086">
        <v>4454.34</v>
      </c>
      <c r="AI101" s="1087">
        <v>114917.56</v>
      </c>
      <c r="AJ101" s="1087">
        <v>0</v>
      </c>
      <c r="AK101" s="1087">
        <v>0</v>
      </c>
      <c r="AL101" s="1087">
        <v>0</v>
      </c>
      <c r="AM101" s="1088">
        <f t="shared" ref="AM101:AM124" si="50">SUM(AH101:AL101)</f>
        <v>119371.9</v>
      </c>
      <c r="AN101" s="1088">
        <f t="shared" si="43"/>
        <v>0</v>
      </c>
      <c r="AO101" s="1088">
        <f t="shared" si="44"/>
        <v>0</v>
      </c>
      <c r="AP101" s="1773">
        <v>1944.88</v>
      </c>
      <c r="AQ101" s="1773">
        <v>0</v>
      </c>
      <c r="AR101" s="1773">
        <v>0</v>
      </c>
      <c r="AS101" s="1773">
        <v>0</v>
      </c>
      <c r="AT101" s="1773">
        <v>0</v>
      </c>
      <c r="AU101" s="1773">
        <f t="shared" si="45"/>
        <v>1944.88</v>
      </c>
      <c r="AV101" s="1773">
        <f t="shared" si="46"/>
        <v>0</v>
      </c>
      <c r="AW101" s="1773">
        <f t="shared" si="47"/>
        <v>0</v>
      </c>
    </row>
    <row r="102" spans="1:49" s="237" customFormat="1" x14ac:dyDescent="0.2">
      <c r="A102" s="1078" t="s">
        <v>52</v>
      </c>
      <c r="B102" s="1079" t="s">
        <v>53</v>
      </c>
      <c r="C102" s="103" t="s">
        <v>265</v>
      </c>
      <c r="D102" s="1080">
        <f t="shared" si="30"/>
        <v>1390409.91</v>
      </c>
      <c r="E102" s="1080">
        <f t="shared" si="31"/>
        <v>1715038.87</v>
      </c>
      <c r="F102" s="1080">
        <f t="shared" si="32"/>
        <v>0</v>
      </c>
      <c r="G102" s="1081">
        <f t="shared" si="33"/>
        <v>1859.88</v>
      </c>
      <c r="H102" s="1081">
        <f t="shared" si="34"/>
        <v>1859.88</v>
      </c>
      <c r="I102" s="1405">
        <f t="shared" si="35"/>
        <v>3107308.66</v>
      </c>
      <c r="J102" s="1082">
        <v>638399.87</v>
      </c>
      <c r="K102" s="1083">
        <v>638399.87</v>
      </c>
      <c r="L102" s="1083">
        <v>0</v>
      </c>
      <c r="M102" s="1083">
        <v>1859.93</v>
      </c>
      <c r="N102" s="1083">
        <v>0</v>
      </c>
      <c r="O102" s="1084">
        <f t="shared" si="36"/>
        <v>1278659.67</v>
      </c>
      <c r="P102" s="1404">
        <f t="shared" si="37"/>
        <v>1859.93</v>
      </c>
      <c r="Q102" s="1404">
        <f t="shared" si="38"/>
        <v>1859.93</v>
      </c>
      <c r="R102" s="1082">
        <v>707182.66</v>
      </c>
      <c r="S102" s="1083">
        <v>707182.66</v>
      </c>
      <c r="T102" s="1083">
        <v>0</v>
      </c>
      <c r="U102" s="1083">
        <v>-0.05</v>
      </c>
      <c r="V102" s="1083">
        <v>0</v>
      </c>
      <c r="W102" s="1085">
        <f t="shared" si="48"/>
        <v>1414365.27</v>
      </c>
      <c r="X102" s="1404">
        <f t="shared" si="39"/>
        <v>-0.05</v>
      </c>
      <c r="Y102" s="1404">
        <f t="shared" si="40"/>
        <v>-0.05</v>
      </c>
      <c r="Z102" s="1082"/>
      <c r="AA102" s="1083"/>
      <c r="AB102" s="1083"/>
      <c r="AC102" s="1083"/>
      <c r="AD102" s="1083"/>
      <c r="AE102" s="1085">
        <f t="shared" si="49"/>
        <v>0</v>
      </c>
      <c r="AF102" s="1404">
        <f t="shared" si="41"/>
        <v>0</v>
      </c>
      <c r="AG102" s="1404">
        <f t="shared" si="42"/>
        <v>0</v>
      </c>
      <c r="AH102" s="1086">
        <v>42081.13</v>
      </c>
      <c r="AI102" s="1087">
        <v>369456.34</v>
      </c>
      <c r="AJ102" s="1087">
        <v>0</v>
      </c>
      <c r="AK102" s="1087">
        <v>0</v>
      </c>
      <c r="AL102" s="1087">
        <v>0</v>
      </c>
      <c r="AM102" s="1088">
        <f t="shared" si="50"/>
        <v>411537.47000000003</v>
      </c>
      <c r="AN102" s="1088">
        <f t="shared" si="43"/>
        <v>0</v>
      </c>
      <c r="AO102" s="1088">
        <f t="shared" si="44"/>
        <v>0</v>
      </c>
      <c r="AP102" s="1773">
        <v>2746.25</v>
      </c>
      <c r="AQ102" s="1773">
        <v>0</v>
      </c>
      <c r="AR102" s="1773">
        <v>0</v>
      </c>
      <c r="AS102" s="1773">
        <v>0</v>
      </c>
      <c r="AT102" s="1773">
        <v>0</v>
      </c>
      <c r="AU102" s="1773">
        <f t="shared" si="45"/>
        <v>2746.25</v>
      </c>
      <c r="AV102" s="1773">
        <f t="shared" si="46"/>
        <v>0</v>
      </c>
      <c r="AW102" s="1773">
        <f t="shared" si="47"/>
        <v>0</v>
      </c>
    </row>
    <row r="103" spans="1:49" s="237" customFormat="1" x14ac:dyDescent="0.2">
      <c r="A103" s="1078" t="s">
        <v>54</v>
      </c>
      <c r="B103" s="1079" t="s">
        <v>55</v>
      </c>
      <c r="C103" s="103" t="s">
        <v>264</v>
      </c>
      <c r="D103" s="1080">
        <f t="shared" si="30"/>
        <v>1100274.24</v>
      </c>
      <c r="E103" s="1080">
        <f t="shared" si="31"/>
        <v>1311697.57</v>
      </c>
      <c r="F103" s="1080">
        <f t="shared" si="32"/>
        <v>0</v>
      </c>
      <c r="G103" s="1081">
        <f t="shared" si="33"/>
        <v>1674.8899999999999</v>
      </c>
      <c r="H103" s="1081">
        <f t="shared" si="34"/>
        <v>1674.8899999999999</v>
      </c>
      <c r="I103" s="1405">
        <f t="shared" si="35"/>
        <v>2413646.7000000002</v>
      </c>
      <c r="J103" s="1082">
        <v>354031.08</v>
      </c>
      <c r="K103" s="1083">
        <v>354031.08</v>
      </c>
      <c r="L103" s="1083">
        <v>0</v>
      </c>
      <c r="M103" s="1083">
        <v>1669.6</v>
      </c>
      <c r="N103" s="1083">
        <v>0</v>
      </c>
      <c r="O103" s="1084">
        <f t="shared" si="36"/>
        <v>709731.76</v>
      </c>
      <c r="P103" s="1404">
        <f t="shared" si="37"/>
        <v>1669.6</v>
      </c>
      <c r="Q103" s="1404">
        <f t="shared" si="38"/>
        <v>1669.6</v>
      </c>
      <c r="R103" s="1082">
        <v>707205.52</v>
      </c>
      <c r="S103" s="1083">
        <v>707205.52</v>
      </c>
      <c r="T103" s="1083">
        <v>0</v>
      </c>
      <c r="U103" s="1083">
        <v>5.29</v>
      </c>
      <c r="V103" s="1083">
        <v>0</v>
      </c>
      <c r="W103" s="1085">
        <f t="shared" si="48"/>
        <v>1414416.33</v>
      </c>
      <c r="X103" s="1404">
        <f t="shared" si="39"/>
        <v>5.29</v>
      </c>
      <c r="Y103" s="1404">
        <f t="shared" si="40"/>
        <v>5.29</v>
      </c>
      <c r="Z103" s="1082"/>
      <c r="AA103" s="1083"/>
      <c r="AB103" s="1083"/>
      <c r="AC103" s="1083"/>
      <c r="AD103" s="1083"/>
      <c r="AE103" s="1085">
        <f t="shared" si="49"/>
        <v>0</v>
      </c>
      <c r="AF103" s="1404">
        <f t="shared" si="41"/>
        <v>0</v>
      </c>
      <c r="AG103" s="1404">
        <f t="shared" si="42"/>
        <v>0</v>
      </c>
      <c r="AH103" s="1086">
        <v>39037.64</v>
      </c>
      <c r="AI103" s="1087">
        <v>250460.97</v>
      </c>
      <c r="AJ103" s="1087">
        <v>0</v>
      </c>
      <c r="AK103" s="1087">
        <v>0</v>
      </c>
      <c r="AL103" s="1087">
        <v>0</v>
      </c>
      <c r="AM103" s="1088">
        <f t="shared" si="50"/>
        <v>289498.61</v>
      </c>
      <c r="AN103" s="1088">
        <f t="shared" si="43"/>
        <v>0</v>
      </c>
      <c r="AO103" s="1088">
        <f t="shared" si="44"/>
        <v>0</v>
      </c>
      <c r="AP103" s="1773"/>
      <c r="AQ103" s="1773"/>
      <c r="AR103" s="1773"/>
      <c r="AS103" s="1773"/>
      <c r="AT103" s="1773"/>
      <c r="AU103" s="1773">
        <f t="shared" si="45"/>
        <v>0</v>
      </c>
      <c r="AV103" s="1773">
        <f t="shared" si="46"/>
        <v>0</v>
      </c>
      <c r="AW103" s="1773">
        <f t="shared" si="47"/>
        <v>0</v>
      </c>
    </row>
    <row r="104" spans="1:49" s="237" customFormat="1" x14ac:dyDescent="0.2">
      <c r="A104" s="1078" t="s">
        <v>66</v>
      </c>
      <c r="B104" s="1079" t="s">
        <v>67</v>
      </c>
      <c r="C104" s="103" t="s">
        <v>265</v>
      </c>
      <c r="D104" s="1080">
        <f t="shared" si="30"/>
        <v>685774.72</v>
      </c>
      <c r="E104" s="1080">
        <f t="shared" si="31"/>
        <v>881498.26</v>
      </c>
      <c r="F104" s="1080">
        <f t="shared" si="32"/>
        <v>0</v>
      </c>
      <c r="G104" s="1081">
        <f t="shared" si="33"/>
        <v>-0.22999999999999998</v>
      </c>
      <c r="H104" s="1081">
        <f t="shared" si="34"/>
        <v>-0.22999999999999998</v>
      </c>
      <c r="I104" s="1405">
        <f t="shared" si="35"/>
        <v>1567272.75</v>
      </c>
      <c r="J104" s="1082">
        <v>476361.59</v>
      </c>
      <c r="K104" s="1083">
        <v>476361.59</v>
      </c>
      <c r="L104" s="1083">
        <v>0</v>
      </c>
      <c r="M104" s="1083">
        <v>-0.19</v>
      </c>
      <c r="N104" s="1083">
        <v>0</v>
      </c>
      <c r="O104" s="1084">
        <f t="shared" si="36"/>
        <v>952722.99000000011</v>
      </c>
      <c r="P104" s="1404">
        <f t="shared" si="37"/>
        <v>-0.19</v>
      </c>
      <c r="Q104" s="1404">
        <f t="shared" si="38"/>
        <v>-0.19</v>
      </c>
      <c r="R104" s="1082">
        <v>184044.04</v>
      </c>
      <c r="S104" s="1083">
        <v>184044.04</v>
      </c>
      <c r="T104" s="1083">
        <v>0</v>
      </c>
      <c r="U104" s="1083">
        <v>-0.02</v>
      </c>
      <c r="V104" s="1083">
        <v>0</v>
      </c>
      <c r="W104" s="1085">
        <f t="shared" si="48"/>
        <v>368088.06</v>
      </c>
      <c r="X104" s="1404">
        <f t="shared" si="39"/>
        <v>-0.02</v>
      </c>
      <c r="Y104" s="1404">
        <f t="shared" si="40"/>
        <v>-0.02</v>
      </c>
      <c r="Z104" s="1082"/>
      <c r="AA104" s="1083"/>
      <c r="AB104" s="1083"/>
      <c r="AC104" s="1083"/>
      <c r="AD104" s="1083"/>
      <c r="AE104" s="1085">
        <f t="shared" si="49"/>
        <v>0</v>
      </c>
      <c r="AF104" s="1404">
        <f t="shared" si="41"/>
        <v>0</v>
      </c>
      <c r="AG104" s="1404">
        <f t="shared" si="42"/>
        <v>0</v>
      </c>
      <c r="AH104" s="1086">
        <v>25369.09</v>
      </c>
      <c r="AI104" s="1087">
        <v>221092.63</v>
      </c>
      <c r="AJ104" s="1087">
        <v>0</v>
      </c>
      <c r="AK104" s="1087">
        <v>-0.02</v>
      </c>
      <c r="AL104" s="1087">
        <v>0</v>
      </c>
      <c r="AM104" s="1088">
        <f t="shared" si="50"/>
        <v>246461.7</v>
      </c>
      <c r="AN104" s="1088">
        <f t="shared" si="43"/>
        <v>-0.02</v>
      </c>
      <c r="AO104" s="1088">
        <f t="shared" si="44"/>
        <v>-0.02</v>
      </c>
      <c r="AP104" s="1773"/>
      <c r="AQ104" s="1773"/>
      <c r="AR104" s="1773"/>
      <c r="AS104" s="1773"/>
      <c r="AT104" s="1773"/>
      <c r="AU104" s="1773">
        <f t="shared" si="45"/>
        <v>0</v>
      </c>
      <c r="AV104" s="1773">
        <f t="shared" si="46"/>
        <v>0</v>
      </c>
      <c r="AW104" s="1773">
        <f t="shared" si="47"/>
        <v>0</v>
      </c>
    </row>
    <row r="105" spans="1:49" s="237" customFormat="1" x14ac:dyDescent="0.2">
      <c r="A105" s="1078" t="s">
        <v>82</v>
      </c>
      <c r="B105" s="1079" t="s">
        <v>311</v>
      </c>
      <c r="C105" s="103" t="s">
        <v>264</v>
      </c>
      <c r="D105" s="1080">
        <f t="shared" si="30"/>
        <v>37481.42</v>
      </c>
      <c r="E105" s="1080">
        <f t="shared" si="31"/>
        <v>43957.42</v>
      </c>
      <c r="F105" s="1080">
        <f t="shared" si="32"/>
        <v>0</v>
      </c>
      <c r="G105" s="1081">
        <f t="shared" si="33"/>
        <v>-0.03</v>
      </c>
      <c r="H105" s="1081">
        <f t="shared" si="34"/>
        <v>-0.03</v>
      </c>
      <c r="I105" s="1405">
        <f t="shared" si="35"/>
        <v>81438.81</v>
      </c>
      <c r="J105" s="1082">
        <v>37481.42</v>
      </c>
      <c r="K105" s="1083">
        <v>37481.42</v>
      </c>
      <c r="L105" s="1083">
        <v>0</v>
      </c>
      <c r="M105" s="1083">
        <v>-0.03</v>
      </c>
      <c r="N105" s="1083">
        <v>0</v>
      </c>
      <c r="O105" s="1084">
        <f t="shared" si="36"/>
        <v>74962.81</v>
      </c>
      <c r="P105" s="1404">
        <f t="shared" si="37"/>
        <v>-0.03</v>
      </c>
      <c r="Q105" s="1404">
        <f t="shared" si="38"/>
        <v>-0.03</v>
      </c>
      <c r="R105" s="1086">
        <v>0</v>
      </c>
      <c r="S105" s="1087">
        <v>0</v>
      </c>
      <c r="T105" s="1087">
        <v>0</v>
      </c>
      <c r="U105" s="1087">
        <v>0</v>
      </c>
      <c r="V105" s="1087">
        <v>0</v>
      </c>
      <c r="W105" s="1085">
        <f t="shared" si="48"/>
        <v>0</v>
      </c>
      <c r="X105" s="1404">
        <f t="shared" si="39"/>
        <v>0</v>
      </c>
      <c r="Y105" s="1404">
        <f t="shared" si="40"/>
        <v>0</v>
      </c>
      <c r="Z105" s="1082"/>
      <c r="AA105" s="1083"/>
      <c r="AB105" s="1083"/>
      <c r="AC105" s="1083"/>
      <c r="AD105" s="1083"/>
      <c r="AE105" s="1085">
        <f t="shared" si="49"/>
        <v>0</v>
      </c>
      <c r="AF105" s="1404">
        <f t="shared" si="41"/>
        <v>0</v>
      </c>
      <c r="AG105" s="1404">
        <f t="shared" si="42"/>
        <v>0</v>
      </c>
      <c r="AH105" s="1086">
        <v>0</v>
      </c>
      <c r="AI105" s="1087">
        <v>6476</v>
      </c>
      <c r="AJ105" s="1087">
        <v>0</v>
      </c>
      <c r="AK105" s="1087">
        <v>0</v>
      </c>
      <c r="AL105" s="1087">
        <v>0</v>
      </c>
      <c r="AM105" s="1088">
        <f t="shared" si="50"/>
        <v>6476</v>
      </c>
      <c r="AN105" s="1088">
        <f t="shared" si="43"/>
        <v>0</v>
      </c>
      <c r="AO105" s="1088">
        <f t="shared" si="44"/>
        <v>0</v>
      </c>
      <c r="AP105" s="1773"/>
      <c r="AQ105" s="1773"/>
      <c r="AR105" s="1773"/>
      <c r="AS105" s="1773"/>
      <c r="AT105" s="1773"/>
      <c r="AU105" s="1773">
        <f t="shared" si="45"/>
        <v>0</v>
      </c>
      <c r="AV105" s="1773">
        <f t="shared" si="46"/>
        <v>0</v>
      </c>
      <c r="AW105" s="1773">
        <f t="shared" si="47"/>
        <v>0</v>
      </c>
    </row>
    <row r="106" spans="1:49" s="237" customFormat="1" x14ac:dyDescent="0.2">
      <c r="A106" s="1078" t="s">
        <v>88</v>
      </c>
      <c r="B106" s="1079" t="s">
        <v>89</v>
      </c>
      <c r="C106" s="103" t="s">
        <v>267</v>
      </c>
      <c r="D106" s="1080">
        <f t="shared" si="30"/>
        <v>701822.79</v>
      </c>
      <c r="E106" s="1080">
        <f t="shared" si="31"/>
        <v>1024972.49</v>
      </c>
      <c r="F106" s="1080">
        <f t="shared" si="32"/>
        <v>0</v>
      </c>
      <c r="G106" s="1081">
        <f t="shared" si="33"/>
        <v>-0.24000000000000002</v>
      </c>
      <c r="H106" s="1081">
        <f t="shared" si="34"/>
        <v>-0.24000000000000002</v>
      </c>
      <c r="I106" s="1405">
        <f t="shared" si="35"/>
        <v>1726795.04</v>
      </c>
      <c r="J106" s="1082">
        <v>275967.86</v>
      </c>
      <c r="K106" s="1083">
        <v>275967.86</v>
      </c>
      <c r="L106" s="1083">
        <v>0</v>
      </c>
      <c r="M106" s="1083">
        <v>-0.15</v>
      </c>
      <c r="N106" s="1083">
        <v>0</v>
      </c>
      <c r="O106" s="1084">
        <f t="shared" si="36"/>
        <v>551935.56999999995</v>
      </c>
      <c r="P106" s="1404">
        <f t="shared" si="37"/>
        <v>-0.15</v>
      </c>
      <c r="Q106" s="1404">
        <f t="shared" si="38"/>
        <v>-0.15</v>
      </c>
      <c r="R106" s="1082">
        <v>387713.96</v>
      </c>
      <c r="S106" s="1083">
        <v>387713.96</v>
      </c>
      <c r="T106" s="1083">
        <v>0</v>
      </c>
      <c r="U106" s="1083">
        <v>-0.05</v>
      </c>
      <c r="V106" s="1083">
        <v>0</v>
      </c>
      <c r="W106" s="1085">
        <f t="shared" si="48"/>
        <v>775427.87</v>
      </c>
      <c r="X106" s="1404">
        <f t="shared" si="39"/>
        <v>-0.05</v>
      </c>
      <c r="Y106" s="1404">
        <f t="shared" si="40"/>
        <v>-0.05</v>
      </c>
      <c r="Z106" s="1082"/>
      <c r="AA106" s="1083"/>
      <c r="AB106" s="1083"/>
      <c r="AC106" s="1083"/>
      <c r="AD106" s="1083"/>
      <c r="AE106" s="1085">
        <f t="shared" si="49"/>
        <v>0</v>
      </c>
      <c r="AF106" s="1404">
        <f t="shared" si="41"/>
        <v>0</v>
      </c>
      <c r="AG106" s="1404">
        <f t="shared" si="42"/>
        <v>0</v>
      </c>
      <c r="AH106" s="1082">
        <v>36448.11</v>
      </c>
      <c r="AI106" s="1083">
        <v>361290.67</v>
      </c>
      <c r="AJ106" s="1083">
        <v>0</v>
      </c>
      <c r="AK106" s="1083">
        <v>-0.04</v>
      </c>
      <c r="AL106" s="1083">
        <v>0</v>
      </c>
      <c r="AM106" s="1088">
        <f t="shared" si="50"/>
        <v>397738.74</v>
      </c>
      <c r="AN106" s="1088">
        <f t="shared" si="43"/>
        <v>-0.04</v>
      </c>
      <c r="AO106" s="1088">
        <f t="shared" si="44"/>
        <v>-0.04</v>
      </c>
      <c r="AP106" s="1773">
        <v>1692.86</v>
      </c>
      <c r="AQ106" s="1773">
        <v>0</v>
      </c>
      <c r="AR106" s="1773">
        <v>0</v>
      </c>
      <c r="AS106" s="1773">
        <v>0</v>
      </c>
      <c r="AT106" s="1773">
        <v>0</v>
      </c>
      <c r="AU106" s="1773">
        <f t="shared" si="45"/>
        <v>1692.86</v>
      </c>
      <c r="AV106" s="1773">
        <f t="shared" si="46"/>
        <v>0</v>
      </c>
      <c r="AW106" s="1773">
        <f t="shared" si="47"/>
        <v>0</v>
      </c>
    </row>
    <row r="107" spans="1:49" s="237" customFormat="1" x14ac:dyDescent="0.2">
      <c r="A107" s="1078" t="s">
        <v>90</v>
      </c>
      <c r="B107" s="1079" t="s">
        <v>91</v>
      </c>
      <c r="C107" s="103" t="s">
        <v>268</v>
      </c>
      <c r="D107" s="1080">
        <f t="shared" si="30"/>
        <v>58330.340000000004</v>
      </c>
      <c r="E107" s="1080">
        <f t="shared" si="31"/>
        <v>77296.09</v>
      </c>
      <c r="F107" s="1080">
        <f t="shared" si="32"/>
        <v>0</v>
      </c>
      <c r="G107" s="1081">
        <f t="shared" si="33"/>
        <v>-0.01</v>
      </c>
      <c r="H107" s="1081">
        <f t="shared" si="34"/>
        <v>-0.01</v>
      </c>
      <c r="I107" s="1405">
        <f t="shared" si="35"/>
        <v>135626.41999999998</v>
      </c>
      <c r="J107" s="1086">
        <v>23729.24</v>
      </c>
      <c r="K107" s="1087">
        <v>23729.24</v>
      </c>
      <c r="L107" s="1087">
        <v>0</v>
      </c>
      <c r="M107" s="1087">
        <v>-0.01</v>
      </c>
      <c r="N107" s="1087">
        <v>0</v>
      </c>
      <c r="O107" s="1084">
        <f t="shared" si="36"/>
        <v>47458.47</v>
      </c>
      <c r="P107" s="1404">
        <f t="shared" si="37"/>
        <v>-0.01</v>
      </c>
      <c r="Q107" s="1404">
        <f t="shared" si="38"/>
        <v>-0.01</v>
      </c>
      <c r="R107" s="1082">
        <v>34505</v>
      </c>
      <c r="S107" s="1083">
        <v>34505</v>
      </c>
      <c r="T107" s="1083">
        <v>0</v>
      </c>
      <c r="U107" s="1083">
        <v>0</v>
      </c>
      <c r="V107" s="1083">
        <v>0</v>
      </c>
      <c r="W107" s="1085">
        <f t="shared" si="48"/>
        <v>69010</v>
      </c>
      <c r="X107" s="1404">
        <f t="shared" si="39"/>
        <v>0</v>
      </c>
      <c r="Y107" s="1404">
        <f t="shared" si="40"/>
        <v>0</v>
      </c>
      <c r="Z107" s="1082"/>
      <c r="AA107" s="1083"/>
      <c r="AB107" s="1083"/>
      <c r="AC107" s="1083"/>
      <c r="AD107" s="1083"/>
      <c r="AE107" s="1085">
        <f t="shared" si="49"/>
        <v>0</v>
      </c>
      <c r="AF107" s="1404">
        <f t="shared" si="41"/>
        <v>0</v>
      </c>
      <c r="AG107" s="1404">
        <f t="shared" si="42"/>
        <v>0</v>
      </c>
      <c r="AH107" s="1086">
        <v>96.1</v>
      </c>
      <c r="AI107" s="1087">
        <v>19061.849999999999</v>
      </c>
      <c r="AJ107" s="1087">
        <v>0</v>
      </c>
      <c r="AK107" s="1087">
        <v>0</v>
      </c>
      <c r="AL107" s="1087">
        <v>0</v>
      </c>
      <c r="AM107" s="1088">
        <f t="shared" si="50"/>
        <v>19157.949999999997</v>
      </c>
      <c r="AN107" s="1088">
        <f t="shared" si="43"/>
        <v>0</v>
      </c>
      <c r="AO107" s="1088">
        <f t="shared" si="44"/>
        <v>0</v>
      </c>
      <c r="AP107" s="1773"/>
      <c r="AQ107" s="1773"/>
      <c r="AR107" s="1773"/>
      <c r="AS107" s="1773"/>
      <c r="AT107" s="1773"/>
      <c r="AU107" s="1773">
        <f t="shared" si="45"/>
        <v>0</v>
      </c>
      <c r="AV107" s="1773">
        <f t="shared" si="46"/>
        <v>0</v>
      </c>
      <c r="AW107" s="1773">
        <f t="shared" si="47"/>
        <v>0</v>
      </c>
    </row>
    <row r="108" spans="1:49" s="237" customFormat="1" x14ac:dyDescent="0.2">
      <c r="A108" s="1078" t="s">
        <v>106</v>
      </c>
      <c r="B108" s="1079" t="s">
        <v>107</v>
      </c>
      <c r="C108" s="103" t="s">
        <v>264</v>
      </c>
      <c r="D108" s="1080">
        <f t="shared" si="30"/>
        <v>1125458.99</v>
      </c>
      <c r="E108" s="1080">
        <f t="shared" si="31"/>
        <v>1721474.06</v>
      </c>
      <c r="F108" s="1080">
        <f t="shared" si="32"/>
        <v>0</v>
      </c>
      <c r="G108" s="1081">
        <f t="shared" si="33"/>
        <v>-0.05</v>
      </c>
      <c r="H108" s="1081">
        <f t="shared" si="34"/>
        <v>-0.05</v>
      </c>
      <c r="I108" s="1405">
        <f t="shared" si="35"/>
        <v>2846933</v>
      </c>
      <c r="J108" s="1082">
        <v>116844.41</v>
      </c>
      <c r="K108" s="1083">
        <v>116844.41</v>
      </c>
      <c r="L108" s="1083">
        <v>0</v>
      </c>
      <c r="M108" s="1083">
        <v>-0.05</v>
      </c>
      <c r="N108" s="1083">
        <v>0</v>
      </c>
      <c r="O108" s="1084">
        <f t="shared" si="36"/>
        <v>233688.77000000002</v>
      </c>
      <c r="P108" s="1404">
        <f t="shared" si="37"/>
        <v>-0.05</v>
      </c>
      <c r="Q108" s="1404">
        <f t="shared" si="38"/>
        <v>-0.05</v>
      </c>
      <c r="R108" s="1082">
        <v>686848</v>
      </c>
      <c r="S108" s="1083">
        <v>686848</v>
      </c>
      <c r="T108" s="1083">
        <v>0</v>
      </c>
      <c r="U108" s="1083">
        <v>0</v>
      </c>
      <c r="V108" s="1083">
        <v>0</v>
      </c>
      <c r="W108" s="1085">
        <f t="shared" si="48"/>
        <v>1373696</v>
      </c>
      <c r="X108" s="1404">
        <f t="shared" si="39"/>
        <v>0</v>
      </c>
      <c r="Y108" s="1404">
        <f t="shared" si="40"/>
        <v>0</v>
      </c>
      <c r="Z108" s="1082"/>
      <c r="AA108" s="1083"/>
      <c r="AB108" s="1083"/>
      <c r="AC108" s="1083"/>
      <c r="AD108" s="1083"/>
      <c r="AE108" s="1085">
        <f t="shared" si="49"/>
        <v>0</v>
      </c>
      <c r="AF108" s="1404">
        <f t="shared" si="41"/>
        <v>0</v>
      </c>
      <c r="AG108" s="1404">
        <f t="shared" si="42"/>
        <v>0</v>
      </c>
      <c r="AH108" s="1086">
        <v>318766.58</v>
      </c>
      <c r="AI108" s="1087">
        <v>917781.65</v>
      </c>
      <c r="AJ108" s="1087">
        <v>0</v>
      </c>
      <c r="AK108" s="1087">
        <v>0</v>
      </c>
      <c r="AL108" s="1087">
        <v>0</v>
      </c>
      <c r="AM108" s="1088">
        <f t="shared" si="50"/>
        <v>1236548.23</v>
      </c>
      <c r="AN108" s="1088">
        <f t="shared" si="43"/>
        <v>0</v>
      </c>
      <c r="AO108" s="1088">
        <f t="shared" si="44"/>
        <v>0</v>
      </c>
      <c r="AP108" s="1773">
        <v>3000</v>
      </c>
      <c r="AQ108" s="1773">
        <v>0</v>
      </c>
      <c r="AR108" s="1773">
        <v>0</v>
      </c>
      <c r="AS108" s="1773">
        <v>0</v>
      </c>
      <c r="AT108" s="1773">
        <v>0</v>
      </c>
      <c r="AU108" s="1773">
        <f t="shared" si="45"/>
        <v>3000</v>
      </c>
      <c r="AV108" s="1773">
        <f t="shared" si="46"/>
        <v>0</v>
      </c>
      <c r="AW108" s="1773">
        <f t="shared" si="47"/>
        <v>0</v>
      </c>
    </row>
    <row r="109" spans="1:49" s="237" customFormat="1" x14ac:dyDescent="0.2">
      <c r="A109" s="1078" t="s">
        <v>116</v>
      </c>
      <c r="B109" s="1079" t="s">
        <v>117</v>
      </c>
      <c r="C109" s="103" t="s">
        <v>266</v>
      </c>
      <c r="D109" s="1080">
        <f t="shared" si="30"/>
        <v>366549.28</v>
      </c>
      <c r="E109" s="1080">
        <f t="shared" si="31"/>
        <v>403001.08000000007</v>
      </c>
      <c r="F109" s="1080">
        <f t="shared" si="32"/>
        <v>0</v>
      </c>
      <c r="G109" s="1081">
        <f t="shared" si="33"/>
        <v>-0.13</v>
      </c>
      <c r="H109" s="1081">
        <f t="shared" si="34"/>
        <v>-0.13</v>
      </c>
      <c r="I109" s="1405">
        <f t="shared" si="35"/>
        <v>769550.2300000001</v>
      </c>
      <c r="J109" s="1082">
        <v>160106.95000000001</v>
      </c>
      <c r="K109" s="1083">
        <v>160106.95000000001</v>
      </c>
      <c r="L109" s="1083">
        <v>0</v>
      </c>
      <c r="M109" s="1083">
        <v>-0.12</v>
      </c>
      <c r="N109" s="1083">
        <v>0</v>
      </c>
      <c r="O109" s="1084">
        <f t="shared" si="36"/>
        <v>320213.78000000003</v>
      </c>
      <c r="P109" s="1404">
        <f t="shared" si="37"/>
        <v>-0.12</v>
      </c>
      <c r="Q109" s="1404">
        <f t="shared" si="38"/>
        <v>-0.12</v>
      </c>
      <c r="R109" s="1082">
        <v>201914.73</v>
      </c>
      <c r="S109" s="1083">
        <v>201914.73</v>
      </c>
      <c r="T109" s="1083">
        <v>0</v>
      </c>
      <c r="U109" s="1083">
        <v>-0.01</v>
      </c>
      <c r="V109" s="1083">
        <v>0</v>
      </c>
      <c r="W109" s="1085">
        <f t="shared" si="48"/>
        <v>403829.45</v>
      </c>
      <c r="X109" s="1404">
        <f t="shared" si="39"/>
        <v>-0.01</v>
      </c>
      <c r="Y109" s="1404">
        <f t="shared" si="40"/>
        <v>-0.01</v>
      </c>
      <c r="Z109" s="1082"/>
      <c r="AA109" s="1083"/>
      <c r="AB109" s="1083"/>
      <c r="AC109" s="1083"/>
      <c r="AD109" s="1083"/>
      <c r="AE109" s="1085">
        <f t="shared" si="49"/>
        <v>0</v>
      </c>
      <c r="AF109" s="1404">
        <f t="shared" si="41"/>
        <v>0</v>
      </c>
      <c r="AG109" s="1404">
        <f t="shared" si="42"/>
        <v>0</v>
      </c>
      <c r="AH109" s="1086">
        <v>4527.6000000000004</v>
      </c>
      <c r="AI109" s="1087">
        <v>40979.4</v>
      </c>
      <c r="AJ109" s="1087">
        <v>0</v>
      </c>
      <c r="AK109" s="1087">
        <v>0</v>
      </c>
      <c r="AL109" s="1087">
        <v>0</v>
      </c>
      <c r="AM109" s="1088">
        <f t="shared" si="50"/>
        <v>45507</v>
      </c>
      <c r="AN109" s="1088">
        <f t="shared" si="43"/>
        <v>0</v>
      </c>
      <c r="AO109" s="1088">
        <f t="shared" si="44"/>
        <v>0</v>
      </c>
      <c r="AP109" s="1773"/>
      <c r="AQ109" s="1773"/>
      <c r="AR109" s="1773"/>
      <c r="AS109" s="1773"/>
      <c r="AT109" s="1773"/>
      <c r="AU109" s="1773">
        <f t="shared" si="45"/>
        <v>0</v>
      </c>
      <c r="AV109" s="1773">
        <f t="shared" si="46"/>
        <v>0</v>
      </c>
      <c r="AW109" s="1773">
        <f t="shared" si="47"/>
        <v>0</v>
      </c>
    </row>
    <row r="110" spans="1:49" s="237" customFormat="1" x14ac:dyDescent="0.2">
      <c r="A110" s="1078" t="s">
        <v>138</v>
      </c>
      <c r="B110" s="1079" t="s">
        <v>139</v>
      </c>
      <c r="C110" s="103" t="s">
        <v>265</v>
      </c>
      <c r="D110" s="1080">
        <f t="shared" si="30"/>
        <v>3215836.53</v>
      </c>
      <c r="E110" s="1080">
        <f t="shared" si="31"/>
        <v>4373945.5999999996</v>
      </c>
      <c r="F110" s="1080">
        <f t="shared" si="32"/>
        <v>0</v>
      </c>
      <c r="G110" s="1081">
        <f t="shared" si="33"/>
        <v>-0.46</v>
      </c>
      <c r="H110" s="1081">
        <f t="shared" si="34"/>
        <v>-0.46</v>
      </c>
      <c r="I110" s="1405">
        <f t="shared" si="35"/>
        <v>7589781.669999999</v>
      </c>
      <c r="J110" s="1082">
        <v>920292.16</v>
      </c>
      <c r="K110" s="1083">
        <v>920292.16</v>
      </c>
      <c r="L110" s="1083">
        <v>0</v>
      </c>
      <c r="M110" s="1083">
        <v>-0.38</v>
      </c>
      <c r="N110" s="1083">
        <v>0</v>
      </c>
      <c r="O110" s="1084">
        <f t="shared" si="36"/>
        <v>1840583.9400000002</v>
      </c>
      <c r="P110" s="1404">
        <f t="shared" si="37"/>
        <v>-0.38</v>
      </c>
      <c r="Q110" s="1404">
        <f t="shared" si="38"/>
        <v>-0.38</v>
      </c>
      <c r="R110" s="1082">
        <v>1835293.53</v>
      </c>
      <c r="S110" s="1083">
        <v>1835293.53</v>
      </c>
      <c r="T110" s="1083">
        <v>0</v>
      </c>
      <c r="U110" s="1083">
        <v>-7.0000000000000007E-2</v>
      </c>
      <c r="V110" s="1083">
        <v>0</v>
      </c>
      <c r="W110" s="1085">
        <f t="shared" si="48"/>
        <v>3670586.99</v>
      </c>
      <c r="X110" s="1404">
        <f t="shared" si="39"/>
        <v>-7.0000000000000007E-2</v>
      </c>
      <c r="Y110" s="1404">
        <f t="shared" si="40"/>
        <v>-7.0000000000000007E-2</v>
      </c>
      <c r="Z110" s="1082"/>
      <c r="AA110" s="1083"/>
      <c r="AB110" s="1083"/>
      <c r="AC110" s="1083"/>
      <c r="AD110" s="1083"/>
      <c r="AE110" s="1085">
        <f t="shared" si="49"/>
        <v>0</v>
      </c>
      <c r="AF110" s="1404">
        <f t="shared" si="41"/>
        <v>0</v>
      </c>
      <c r="AG110" s="1404">
        <f t="shared" si="42"/>
        <v>0</v>
      </c>
      <c r="AH110" s="1086">
        <v>460250.84</v>
      </c>
      <c r="AI110" s="1087">
        <v>1618359.91</v>
      </c>
      <c r="AJ110" s="1087">
        <v>0</v>
      </c>
      <c r="AK110" s="1087">
        <v>-0.01</v>
      </c>
      <c r="AL110" s="1087">
        <v>0</v>
      </c>
      <c r="AM110" s="1088">
        <f t="shared" si="50"/>
        <v>2078610.74</v>
      </c>
      <c r="AN110" s="1088">
        <f t="shared" si="43"/>
        <v>-0.01</v>
      </c>
      <c r="AO110" s="1088">
        <f t="shared" si="44"/>
        <v>-0.01</v>
      </c>
      <c r="AP110" s="1773"/>
      <c r="AQ110" s="1773"/>
      <c r="AR110" s="1773"/>
      <c r="AS110" s="1773"/>
      <c r="AT110" s="1773"/>
      <c r="AU110" s="1773">
        <f t="shared" si="45"/>
        <v>0</v>
      </c>
      <c r="AV110" s="1773">
        <f t="shared" si="46"/>
        <v>0</v>
      </c>
      <c r="AW110" s="1773">
        <f t="shared" si="47"/>
        <v>0</v>
      </c>
    </row>
    <row r="111" spans="1:49" s="237" customFormat="1" x14ac:dyDescent="0.2">
      <c r="A111" s="1078" t="s">
        <v>142</v>
      </c>
      <c r="B111" s="1079" t="s">
        <v>143</v>
      </c>
      <c r="C111" s="103" t="s">
        <v>267</v>
      </c>
      <c r="D111" s="1080">
        <f t="shared" si="30"/>
        <v>212031.52</v>
      </c>
      <c r="E111" s="1080">
        <f t="shared" si="31"/>
        <v>258624.19999999998</v>
      </c>
      <c r="F111" s="1080">
        <f t="shared" si="32"/>
        <v>0</v>
      </c>
      <c r="G111" s="1081">
        <f t="shared" si="33"/>
        <v>447.81</v>
      </c>
      <c r="H111" s="1081">
        <f t="shared" si="34"/>
        <v>447.81</v>
      </c>
      <c r="I111" s="1405">
        <f t="shared" si="35"/>
        <v>471103.52999999997</v>
      </c>
      <c r="J111" s="1082">
        <v>152686.79999999999</v>
      </c>
      <c r="K111" s="1083">
        <v>152686.79999999999</v>
      </c>
      <c r="L111" s="1083">
        <v>0</v>
      </c>
      <c r="M111" s="1083">
        <v>447.82</v>
      </c>
      <c r="N111" s="1083">
        <v>0</v>
      </c>
      <c r="O111" s="1084">
        <f t="shared" si="36"/>
        <v>305821.42</v>
      </c>
      <c r="P111" s="1404">
        <f t="shared" si="37"/>
        <v>447.82</v>
      </c>
      <c r="Q111" s="1404">
        <f t="shared" si="38"/>
        <v>447.82</v>
      </c>
      <c r="R111" s="1082">
        <v>49081.06</v>
      </c>
      <c r="S111" s="1083">
        <v>49081.06</v>
      </c>
      <c r="T111" s="1083">
        <v>0</v>
      </c>
      <c r="U111" s="1083">
        <v>-0.01</v>
      </c>
      <c r="V111" s="1083">
        <v>0</v>
      </c>
      <c r="W111" s="1085">
        <f t="shared" si="48"/>
        <v>98162.11</v>
      </c>
      <c r="X111" s="1404">
        <f t="shared" si="39"/>
        <v>-0.01</v>
      </c>
      <c r="Y111" s="1404">
        <f t="shared" si="40"/>
        <v>-0.01</v>
      </c>
      <c r="Z111" s="1082"/>
      <c r="AA111" s="1083"/>
      <c r="AB111" s="1083"/>
      <c r="AC111" s="1083"/>
      <c r="AD111" s="1083"/>
      <c r="AE111" s="1085">
        <f t="shared" si="49"/>
        <v>0</v>
      </c>
      <c r="AF111" s="1404">
        <f t="shared" si="41"/>
        <v>0</v>
      </c>
      <c r="AG111" s="1404">
        <f t="shared" si="42"/>
        <v>0</v>
      </c>
      <c r="AH111" s="1086">
        <v>10263.66</v>
      </c>
      <c r="AI111" s="1087">
        <v>56856.34</v>
      </c>
      <c r="AJ111" s="1087">
        <v>0</v>
      </c>
      <c r="AK111" s="1087">
        <v>0</v>
      </c>
      <c r="AL111" s="1087">
        <v>0</v>
      </c>
      <c r="AM111" s="1088">
        <f t="shared" si="50"/>
        <v>67120</v>
      </c>
      <c r="AN111" s="1088">
        <f t="shared" si="43"/>
        <v>0</v>
      </c>
      <c r="AO111" s="1088">
        <f t="shared" si="44"/>
        <v>0</v>
      </c>
      <c r="AP111" s="1773"/>
      <c r="AQ111" s="1773"/>
      <c r="AR111" s="1773"/>
      <c r="AS111" s="1773"/>
      <c r="AT111" s="1773"/>
      <c r="AU111" s="1773">
        <f t="shared" si="45"/>
        <v>0</v>
      </c>
      <c r="AV111" s="1773">
        <f t="shared" si="46"/>
        <v>0</v>
      </c>
      <c r="AW111" s="1773">
        <f t="shared" si="47"/>
        <v>0</v>
      </c>
    </row>
    <row r="112" spans="1:49" s="237" customFormat="1" x14ac:dyDescent="0.2">
      <c r="A112" s="1078" t="s">
        <v>144</v>
      </c>
      <c r="B112" s="1079" t="s">
        <v>145</v>
      </c>
      <c r="C112" s="103" t="s">
        <v>267</v>
      </c>
      <c r="D112" s="1080">
        <f t="shared" si="30"/>
        <v>6339.88</v>
      </c>
      <c r="E112" s="1080">
        <f t="shared" si="31"/>
        <v>6339.88</v>
      </c>
      <c r="F112" s="1080">
        <f t="shared" si="32"/>
        <v>0</v>
      </c>
      <c r="G112" s="1081">
        <f t="shared" si="33"/>
        <v>-0.03</v>
      </c>
      <c r="H112" s="1081">
        <f t="shared" si="34"/>
        <v>-0.03</v>
      </c>
      <c r="I112" s="1405">
        <f t="shared" si="35"/>
        <v>12679.73</v>
      </c>
      <c r="J112" s="1082">
        <v>6339.88</v>
      </c>
      <c r="K112" s="1083">
        <v>6339.88</v>
      </c>
      <c r="L112" s="1083">
        <v>0</v>
      </c>
      <c r="M112" s="1083">
        <v>-0.03</v>
      </c>
      <c r="N112" s="1083">
        <v>0</v>
      </c>
      <c r="O112" s="1084">
        <f t="shared" si="36"/>
        <v>12679.73</v>
      </c>
      <c r="P112" s="1404">
        <f t="shared" si="37"/>
        <v>-0.03</v>
      </c>
      <c r="Q112" s="1404">
        <f t="shared" si="38"/>
        <v>-0.03</v>
      </c>
      <c r="R112" s="1082">
        <v>0</v>
      </c>
      <c r="S112" s="1083">
        <v>0</v>
      </c>
      <c r="T112" s="1083">
        <v>0</v>
      </c>
      <c r="U112" s="1083">
        <v>0</v>
      </c>
      <c r="V112" s="1083">
        <v>0</v>
      </c>
      <c r="W112" s="1085">
        <f t="shared" si="48"/>
        <v>0</v>
      </c>
      <c r="X112" s="1404">
        <f t="shared" si="39"/>
        <v>0</v>
      </c>
      <c r="Y112" s="1404">
        <f t="shared" si="40"/>
        <v>0</v>
      </c>
      <c r="Z112" s="1082"/>
      <c r="AA112" s="1083"/>
      <c r="AB112" s="1083"/>
      <c r="AC112" s="1083"/>
      <c r="AD112" s="1083"/>
      <c r="AE112" s="1085">
        <f t="shared" si="49"/>
        <v>0</v>
      </c>
      <c r="AF112" s="1404">
        <f t="shared" si="41"/>
        <v>0</v>
      </c>
      <c r="AG112" s="1404">
        <f t="shared" si="42"/>
        <v>0</v>
      </c>
      <c r="AH112" s="1086">
        <v>0</v>
      </c>
      <c r="AI112" s="1087">
        <v>0</v>
      </c>
      <c r="AJ112" s="1087">
        <v>0</v>
      </c>
      <c r="AK112" s="1087">
        <v>0</v>
      </c>
      <c r="AL112" s="1087">
        <v>0</v>
      </c>
      <c r="AM112" s="1088">
        <f t="shared" si="50"/>
        <v>0</v>
      </c>
      <c r="AN112" s="1088">
        <f t="shared" si="43"/>
        <v>0</v>
      </c>
      <c r="AO112" s="1088">
        <f t="shared" si="44"/>
        <v>0</v>
      </c>
      <c r="AP112" s="1773"/>
      <c r="AQ112" s="1773"/>
      <c r="AR112" s="1773"/>
      <c r="AS112" s="1773"/>
      <c r="AT112" s="1773"/>
      <c r="AU112" s="1773">
        <f t="shared" si="45"/>
        <v>0</v>
      </c>
      <c r="AV112" s="1773">
        <f t="shared" si="46"/>
        <v>0</v>
      </c>
      <c r="AW112" s="1773">
        <f t="shared" si="47"/>
        <v>0</v>
      </c>
    </row>
    <row r="113" spans="1:49" s="237" customFormat="1" x14ac:dyDescent="0.2">
      <c r="A113" s="1078" t="s">
        <v>158</v>
      </c>
      <c r="B113" s="1079" t="s">
        <v>159</v>
      </c>
      <c r="C113" s="103" t="s">
        <v>264</v>
      </c>
      <c r="D113" s="1080">
        <f t="shared" si="30"/>
        <v>2061514.35</v>
      </c>
      <c r="E113" s="1080">
        <f t="shared" si="31"/>
        <v>2597206.64</v>
      </c>
      <c r="F113" s="1080">
        <f t="shared" si="32"/>
        <v>0</v>
      </c>
      <c r="G113" s="1081">
        <f t="shared" si="33"/>
        <v>-0.32</v>
      </c>
      <c r="H113" s="1081">
        <f t="shared" si="34"/>
        <v>-0.32</v>
      </c>
      <c r="I113" s="1405">
        <f t="shared" si="35"/>
        <v>4658720.67</v>
      </c>
      <c r="J113" s="1082">
        <v>360533.99</v>
      </c>
      <c r="K113" s="1083">
        <v>360533.99</v>
      </c>
      <c r="L113" s="1083">
        <v>0</v>
      </c>
      <c r="M113" s="1083">
        <v>-0.2</v>
      </c>
      <c r="N113" s="1083">
        <v>0</v>
      </c>
      <c r="O113" s="1084">
        <f t="shared" si="36"/>
        <v>721067.78</v>
      </c>
      <c r="P113" s="1404">
        <f t="shared" si="37"/>
        <v>-0.2</v>
      </c>
      <c r="Q113" s="1404">
        <f t="shared" si="38"/>
        <v>-0.2</v>
      </c>
      <c r="R113" s="1082">
        <v>1637797.01</v>
      </c>
      <c r="S113" s="1083">
        <v>1637797.01</v>
      </c>
      <c r="T113" s="1083">
        <v>0</v>
      </c>
      <c r="U113" s="1083">
        <v>-0.12</v>
      </c>
      <c r="V113" s="1083">
        <v>0</v>
      </c>
      <c r="W113" s="1085">
        <f t="shared" si="48"/>
        <v>3275593.9</v>
      </c>
      <c r="X113" s="1404">
        <f t="shared" si="39"/>
        <v>-0.12</v>
      </c>
      <c r="Y113" s="1404">
        <f t="shared" si="40"/>
        <v>-0.12</v>
      </c>
      <c r="Z113" s="1082"/>
      <c r="AA113" s="1083"/>
      <c r="AB113" s="1083"/>
      <c r="AC113" s="1083"/>
      <c r="AD113" s="1083"/>
      <c r="AE113" s="1085">
        <f t="shared" si="49"/>
        <v>0</v>
      </c>
      <c r="AF113" s="1404">
        <f t="shared" si="41"/>
        <v>0</v>
      </c>
      <c r="AG113" s="1404">
        <f t="shared" si="42"/>
        <v>0</v>
      </c>
      <c r="AH113" s="1086">
        <v>63183.35</v>
      </c>
      <c r="AI113" s="1087">
        <v>598875.64</v>
      </c>
      <c r="AJ113" s="1087">
        <v>0</v>
      </c>
      <c r="AK113" s="1087">
        <v>0</v>
      </c>
      <c r="AL113" s="1087">
        <v>0</v>
      </c>
      <c r="AM113" s="1088">
        <f t="shared" si="50"/>
        <v>662058.99</v>
      </c>
      <c r="AN113" s="1088">
        <f t="shared" si="43"/>
        <v>0</v>
      </c>
      <c r="AO113" s="1088">
        <f t="shared" si="44"/>
        <v>0</v>
      </c>
      <c r="AP113" s="1773"/>
      <c r="AQ113" s="1773"/>
      <c r="AR113" s="1773"/>
      <c r="AS113" s="1773"/>
      <c r="AT113" s="1773"/>
      <c r="AU113" s="1773">
        <f t="shared" si="45"/>
        <v>0</v>
      </c>
      <c r="AV113" s="1773">
        <f t="shared" si="46"/>
        <v>0</v>
      </c>
      <c r="AW113" s="1773">
        <f t="shared" si="47"/>
        <v>0</v>
      </c>
    </row>
    <row r="114" spans="1:49" s="237" customFormat="1" x14ac:dyDescent="0.2">
      <c r="A114" s="1078" t="s">
        <v>160</v>
      </c>
      <c r="B114" s="1079" t="s">
        <v>161</v>
      </c>
      <c r="C114" s="103" t="s">
        <v>264</v>
      </c>
      <c r="D114" s="1080">
        <f t="shared" si="30"/>
        <v>2875721.45</v>
      </c>
      <c r="E114" s="1080">
        <f t="shared" si="31"/>
        <v>3314368.8</v>
      </c>
      <c r="F114" s="1080">
        <f t="shared" si="32"/>
        <v>0</v>
      </c>
      <c r="G114" s="1081">
        <f t="shared" si="33"/>
        <v>-0.47000000000000003</v>
      </c>
      <c r="H114" s="1081">
        <f t="shared" si="34"/>
        <v>-0.47000000000000003</v>
      </c>
      <c r="I114" s="1405">
        <f t="shared" si="35"/>
        <v>6190089.7800000003</v>
      </c>
      <c r="J114" s="1082">
        <v>1271318.22</v>
      </c>
      <c r="K114" s="1083">
        <v>1271318.22</v>
      </c>
      <c r="L114" s="1083">
        <v>0</v>
      </c>
      <c r="M114" s="1083">
        <v>-0.33</v>
      </c>
      <c r="N114" s="1083">
        <v>0</v>
      </c>
      <c r="O114" s="1084">
        <f t="shared" si="36"/>
        <v>2542636.11</v>
      </c>
      <c r="P114" s="1404">
        <f t="shared" si="37"/>
        <v>-0.33</v>
      </c>
      <c r="Q114" s="1404">
        <f t="shared" si="38"/>
        <v>-0.33</v>
      </c>
      <c r="R114" s="1082">
        <v>1485205.53</v>
      </c>
      <c r="S114" s="1083">
        <v>1485205.53</v>
      </c>
      <c r="T114" s="1083">
        <v>0</v>
      </c>
      <c r="U114" s="1083">
        <v>-0.14000000000000001</v>
      </c>
      <c r="V114" s="1083">
        <v>0</v>
      </c>
      <c r="W114" s="1085">
        <f t="shared" si="48"/>
        <v>2970410.92</v>
      </c>
      <c r="X114" s="1404">
        <f t="shared" si="39"/>
        <v>-0.14000000000000001</v>
      </c>
      <c r="Y114" s="1404">
        <f t="shared" si="40"/>
        <v>-0.14000000000000001</v>
      </c>
      <c r="Z114" s="1082"/>
      <c r="AA114" s="1083"/>
      <c r="AB114" s="1083"/>
      <c r="AC114" s="1083"/>
      <c r="AD114" s="1083"/>
      <c r="AE114" s="1085">
        <f t="shared" si="49"/>
        <v>0</v>
      </c>
      <c r="AF114" s="1404">
        <f t="shared" si="41"/>
        <v>0</v>
      </c>
      <c r="AG114" s="1404">
        <f t="shared" si="42"/>
        <v>0</v>
      </c>
      <c r="AH114" s="1086">
        <v>119197.7</v>
      </c>
      <c r="AI114" s="1087">
        <v>557845.05000000005</v>
      </c>
      <c r="AJ114" s="1087">
        <v>0</v>
      </c>
      <c r="AK114" s="1087">
        <v>0</v>
      </c>
      <c r="AL114" s="1087">
        <v>0</v>
      </c>
      <c r="AM114" s="1088">
        <f t="shared" si="50"/>
        <v>677042.75</v>
      </c>
      <c r="AN114" s="1088">
        <f t="shared" si="43"/>
        <v>0</v>
      </c>
      <c r="AO114" s="1088">
        <f t="shared" si="44"/>
        <v>0</v>
      </c>
      <c r="AP114" s="1773"/>
      <c r="AQ114" s="1773"/>
      <c r="AR114" s="1773"/>
      <c r="AS114" s="1773"/>
      <c r="AT114" s="1773"/>
      <c r="AU114" s="1773">
        <f t="shared" si="45"/>
        <v>0</v>
      </c>
      <c r="AV114" s="1773">
        <f t="shared" si="46"/>
        <v>0</v>
      </c>
      <c r="AW114" s="1773">
        <f t="shared" si="47"/>
        <v>0</v>
      </c>
    </row>
    <row r="115" spans="1:49" s="237" customFormat="1" x14ac:dyDescent="0.2">
      <c r="A115" s="1078" t="s">
        <v>166</v>
      </c>
      <c r="B115" s="1079" t="s">
        <v>167</v>
      </c>
      <c r="C115" s="103" t="s">
        <v>268</v>
      </c>
      <c r="D115" s="1080">
        <f t="shared" si="30"/>
        <v>44481.979999999996</v>
      </c>
      <c r="E115" s="1080">
        <f t="shared" si="31"/>
        <v>51808.56</v>
      </c>
      <c r="F115" s="1080">
        <f t="shared" si="32"/>
        <v>0</v>
      </c>
      <c r="G115" s="1081">
        <f t="shared" si="33"/>
        <v>-0.01</v>
      </c>
      <c r="H115" s="1081">
        <f t="shared" si="34"/>
        <v>-0.01</v>
      </c>
      <c r="I115" s="1405">
        <f t="shared" si="35"/>
        <v>96290.53</v>
      </c>
      <c r="J115" s="1082">
        <v>4303.9799999999996</v>
      </c>
      <c r="K115" s="1083">
        <v>4303.9799999999996</v>
      </c>
      <c r="L115" s="1083">
        <v>0</v>
      </c>
      <c r="M115" s="1083">
        <v>-0.01</v>
      </c>
      <c r="N115" s="1083">
        <v>0</v>
      </c>
      <c r="O115" s="1084">
        <f t="shared" si="36"/>
        <v>8607.9499999999989</v>
      </c>
      <c r="P115" s="1404">
        <f t="shared" si="37"/>
        <v>-0.01</v>
      </c>
      <c r="Q115" s="1404">
        <f t="shared" si="38"/>
        <v>-0.01</v>
      </c>
      <c r="R115" s="1082">
        <v>36464.5</v>
      </c>
      <c r="S115" s="1083">
        <v>36464.5</v>
      </c>
      <c r="T115" s="1083">
        <v>0</v>
      </c>
      <c r="U115" s="1083">
        <v>0</v>
      </c>
      <c r="V115" s="1083">
        <v>0</v>
      </c>
      <c r="W115" s="1085">
        <f t="shared" si="48"/>
        <v>72929</v>
      </c>
      <c r="X115" s="1404">
        <f t="shared" si="39"/>
        <v>0</v>
      </c>
      <c r="Y115" s="1404">
        <f t="shared" si="40"/>
        <v>0</v>
      </c>
      <c r="Z115" s="1082"/>
      <c r="AA115" s="1083"/>
      <c r="AB115" s="1083"/>
      <c r="AC115" s="1083"/>
      <c r="AD115" s="1083"/>
      <c r="AE115" s="1085">
        <f t="shared" si="49"/>
        <v>0</v>
      </c>
      <c r="AF115" s="1404">
        <f t="shared" si="41"/>
        <v>0</v>
      </c>
      <c r="AG115" s="1404">
        <f t="shared" si="42"/>
        <v>0</v>
      </c>
      <c r="AH115" s="1086">
        <v>2713.92</v>
      </c>
      <c r="AI115" s="1087">
        <v>11040.08</v>
      </c>
      <c r="AJ115" s="1087">
        <v>0</v>
      </c>
      <c r="AK115" s="1087">
        <v>0</v>
      </c>
      <c r="AL115" s="1087">
        <v>0</v>
      </c>
      <c r="AM115" s="1088">
        <f t="shared" si="50"/>
        <v>13754</v>
      </c>
      <c r="AN115" s="1088">
        <f t="shared" si="43"/>
        <v>0</v>
      </c>
      <c r="AO115" s="1088">
        <f t="shared" si="44"/>
        <v>0</v>
      </c>
      <c r="AP115" s="1773">
        <v>999.58</v>
      </c>
      <c r="AQ115" s="1773">
        <v>0</v>
      </c>
      <c r="AR115" s="1773">
        <v>0</v>
      </c>
      <c r="AS115" s="1773">
        <v>0</v>
      </c>
      <c r="AT115" s="1773">
        <v>0</v>
      </c>
      <c r="AU115" s="1773">
        <f t="shared" si="45"/>
        <v>999.58</v>
      </c>
      <c r="AV115" s="1773">
        <f t="shared" si="46"/>
        <v>0</v>
      </c>
      <c r="AW115" s="1773">
        <f t="shared" si="47"/>
        <v>0</v>
      </c>
    </row>
    <row r="116" spans="1:49" s="237" customFormat="1" x14ac:dyDescent="0.2">
      <c r="A116" s="1078" t="s">
        <v>176</v>
      </c>
      <c r="B116" s="1079" t="s">
        <v>177</v>
      </c>
      <c r="C116" s="103" t="s">
        <v>266</v>
      </c>
      <c r="D116" s="1080">
        <f t="shared" si="30"/>
        <v>967086.50999999989</v>
      </c>
      <c r="E116" s="1080">
        <f t="shared" si="31"/>
        <v>1197059.5799999998</v>
      </c>
      <c r="F116" s="1080">
        <f t="shared" si="32"/>
        <v>0</v>
      </c>
      <c r="G116" s="1081">
        <f t="shared" si="33"/>
        <v>-0.18</v>
      </c>
      <c r="H116" s="1081">
        <f t="shared" si="34"/>
        <v>-0.18</v>
      </c>
      <c r="I116" s="1405">
        <f t="shared" si="35"/>
        <v>2164145.9099999997</v>
      </c>
      <c r="J116" s="1082">
        <v>324562.67</v>
      </c>
      <c r="K116" s="1083">
        <v>324562.67</v>
      </c>
      <c r="L116" s="1083">
        <v>0</v>
      </c>
      <c r="M116" s="1083">
        <v>-0.18</v>
      </c>
      <c r="N116" s="1083">
        <v>0</v>
      </c>
      <c r="O116" s="1084">
        <f t="shared" si="36"/>
        <v>649125.15999999992</v>
      </c>
      <c r="P116" s="1404">
        <f t="shared" si="37"/>
        <v>-0.18</v>
      </c>
      <c r="Q116" s="1404">
        <f t="shared" si="38"/>
        <v>-0.18</v>
      </c>
      <c r="R116" s="1082">
        <v>619696.5</v>
      </c>
      <c r="S116" s="1083">
        <v>619696.5</v>
      </c>
      <c r="T116" s="1083">
        <v>0</v>
      </c>
      <c r="U116" s="1083">
        <v>0</v>
      </c>
      <c r="V116" s="1083">
        <v>0</v>
      </c>
      <c r="W116" s="1085">
        <f t="shared" si="48"/>
        <v>1239393</v>
      </c>
      <c r="X116" s="1404">
        <f t="shared" si="39"/>
        <v>0</v>
      </c>
      <c r="Y116" s="1404">
        <f t="shared" si="40"/>
        <v>0</v>
      </c>
      <c r="Z116" s="1082"/>
      <c r="AA116" s="1083"/>
      <c r="AB116" s="1083"/>
      <c r="AC116" s="1083"/>
      <c r="AD116" s="1083"/>
      <c r="AE116" s="1085">
        <f t="shared" si="49"/>
        <v>0</v>
      </c>
      <c r="AF116" s="1404">
        <f t="shared" si="41"/>
        <v>0</v>
      </c>
      <c r="AG116" s="1404">
        <f t="shared" si="42"/>
        <v>0</v>
      </c>
      <c r="AH116" s="1086">
        <v>22827.34</v>
      </c>
      <c r="AI116" s="1087">
        <v>252800.41</v>
      </c>
      <c r="AJ116" s="1087">
        <v>0</v>
      </c>
      <c r="AK116" s="1087">
        <v>0</v>
      </c>
      <c r="AL116" s="1087">
        <v>0</v>
      </c>
      <c r="AM116" s="1088">
        <f t="shared" si="50"/>
        <v>275627.75</v>
      </c>
      <c r="AN116" s="1088">
        <f t="shared" si="43"/>
        <v>0</v>
      </c>
      <c r="AO116" s="1088">
        <f t="shared" si="44"/>
        <v>0</v>
      </c>
      <c r="AP116" s="1773"/>
      <c r="AQ116" s="1773"/>
      <c r="AR116" s="1773"/>
      <c r="AS116" s="1773"/>
      <c r="AT116" s="1773"/>
      <c r="AU116" s="1773">
        <f t="shared" si="45"/>
        <v>0</v>
      </c>
      <c r="AV116" s="1773">
        <f t="shared" si="46"/>
        <v>0</v>
      </c>
      <c r="AW116" s="1773">
        <f t="shared" si="47"/>
        <v>0</v>
      </c>
    </row>
    <row r="117" spans="1:49" s="237" customFormat="1" x14ac:dyDescent="0.2">
      <c r="A117" s="1078" t="s">
        <v>180</v>
      </c>
      <c r="B117" s="1079" t="s">
        <v>181</v>
      </c>
      <c r="C117" s="103" t="s">
        <v>264</v>
      </c>
      <c r="D117" s="1080">
        <f t="shared" si="30"/>
        <v>1294304.6199999999</v>
      </c>
      <c r="E117" s="1080">
        <f t="shared" si="31"/>
        <v>1838915.02</v>
      </c>
      <c r="F117" s="1080">
        <f t="shared" si="32"/>
        <v>0</v>
      </c>
      <c r="G117" s="1081">
        <f t="shared" si="33"/>
        <v>-0.38</v>
      </c>
      <c r="H117" s="1081">
        <f t="shared" si="34"/>
        <v>-0.38</v>
      </c>
      <c r="I117" s="1405">
        <f t="shared" si="35"/>
        <v>3133219.26</v>
      </c>
      <c r="J117" s="1082">
        <v>479654.44</v>
      </c>
      <c r="K117" s="1083">
        <v>479654.44</v>
      </c>
      <c r="L117" s="1083">
        <v>0</v>
      </c>
      <c r="M117" s="1083">
        <v>-0.38</v>
      </c>
      <c r="N117" s="1083">
        <v>0</v>
      </c>
      <c r="O117" s="1084">
        <f t="shared" si="36"/>
        <v>959308.5</v>
      </c>
      <c r="P117" s="1404">
        <f t="shared" si="37"/>
        <v>-0.38</v>
      </c>
      <c r="Q117" s="1404">
        <f t="shared" si="38"/>
        <v>-0.38</v>
      </c>
      <c r="R117" s="1082">
        <v>812798.75</v>
      </c>
      <c r="S117" s="1083">
        <v>812798.75</v>
      </c>
      <c r="T117" s="1083">
        <v>0</v>
      </c>
      <c r="U117" s="1083">
        <v>0</v>
      </c>
      <c r="V117" s="1083">
        <v>0</v>
      </c>
      <c r="W117" s="1085">
        <f t="shared" si="48"/>
        <v>1625597.5</v>
      </c>
      <c r="X117" s="1404">
        <f t="shared" si="39"/>
        <v>0</v>
      </c>
      <c r="Y117" s="1404">
        <f t="shared" si="40"/>
        <v>0</v>
      </c>
      <c r="Z117" s="1082"/>
      <c r="AA117" s="1083"/>
      <c r="AB117" s="1083"/>
      <c r="AC117" s="1083"/>
      <c r="AD117" s="1083"/>
      <c r="AE117" s="1085">
        <f t="shared" si="49"/>
        <v>0</v>
      </c>
      <c r="AF117" s="1404">
        <f t="shared" si="41"/>
        <v>0</v>
      </c>
      <c r="AG117" s="1404">
        <f t="shared" si="42"/>
        <v>0</v>
      </c>
      <c r="AH117" s="1086">
        <v>1851.43</v>
      </c>
      <c r="AI117" s="1087">
        <v>546461.82999999996</v>
      </c>
      <c r="AJ117" s="1087">
        <v>0</v>
      </c>
      <c r="AK117" s="1087">
        <v>0</v>
      </c>
      <c r="AL117" s="1087">
        <v>0</v>
      </c>
      <c r="AM117" s="1088">
        <f t="shared" si="50"/>
        <v>548313.26</v>
      </c>
      <c r="AN117" s="1088">
        <f t="shared" si="43"/>
        <v>0</v>
      </c>
      <c r="AO117" s="1088">
        <f t="shared" si="44"/>
        <v>0</v>
      </c>
      <c r="AP117" s="1773"/>
      <c r="AQ117" s="1773"/>
      <c r="AR117" s="1773"/>
      <c r="AS117" s="1773"/>
      <c r="AT117" s="1773"/>
      <c r="AU117" s="1773">
        <f t="shared" si="45"/>
        <v>0</v>
      </c>
      <c r="AV117" s="1773">
        <f t="shared" si="46"/>
        <v>0</v>
      </c>
      <c r="AW117" s="1773">
        <f t="shared" si="47"/>
        <v>0</v>
      </c>
    </row>
    <row r="118" spans="1:49" s="237" customFormat="1" x14ac:dyDescent="0.2">
      <c r="A118" s="1078" t="s">
        <v>192</v>
      </c>
      <c r="B118" s="1079" t="s">
        <v>193</v>
      </c>
      <c r="C118" s="103" t="s">
        <v>268</v>
      </c>
      <c r="D118" s="1080">
        <f t="shared" si="30"/>
        <v>199307.86</v>
      </c>
      <c r="E118" s="1080">
        <f t="shared" si="31"/>
        <v>221128.44</v>
      </c>
      <c r="F118" s="1080">
        <f t="shared" si="32"/>
        <v>0</v>
      </c>
      <c r="G118" s="1081">
        <f t="shared" si="33"/>
        <v>-0.06</v>
      </c>
      <c r="H118" s="1081">
        <f t="shared" si="34"/>
        <v>-0.06</v>
      </c>
      <c r="I118" s="1405">
        <f t="shared" si="35"/>
        <v>420436.24</v>
      </c>
      <c r="J118" s="1082">
        <v>70701.89</v>
      </c>
      <c r="K118" s="1083">
        <v>70701.89</v>
      </c>
      <c r="L118" s="1083">
        <v>0</v>
      </c>
      <c r="M118" s="1083">
        <v>-0.06</v>
      </c>
      <c r="N118" s="1083">
        <v>0</v>
      </c>
      <c r="O118" s="1084">
        <f t="shared" si="36"/>
        <v>141403.72</v>
      </c>
      <c r="P118" s="1404">
        <f t="shared" si="37"/>
        <v>-0.06</v>
      </c>
      <c r="Q118" s="1404">
        <f t="shared" si="38"/>
        <v>-0.06</v>
      </c>
      <c r="R118" s="1082">
        <v>121648.23</v>
      </c>
      <c r="S118" s="1083">
        <v>121648.23</v>
      </c>
      <c r="T118" s="1083">
        <v>0</v>
      </c>
      <c r="U118" s="1083">
        <v>0</v>
      </c>
      <c r="V118" s="1083">
        <v>0</v>
      </c>
      <c r="W118" s="1085">
        <f t="shared" si="48"/>
        <v>243296.46</v>
      </c>
      <c r="X118" s="1404">
        <f t="shared" si="39"/>
        <v>0</v>
      </c>
      <c r="Y118" s="1404">
        <f t="shared" si="40"/>
        <v>0</v>
      </c>
      <c r="Z118" s="1082"/>
      <c r="AA118" s="1083"/>
      <c r="AB118" s="1083"/>
      <c r="AC118" s="1083"/>
      <c r="AD118" s="1083"/>
      <c r="AE118" s="1085">
        <f t="shared" si="49"/>
        <v>0</v>
      </c>
      <c r="AF118" s="1404">
        <f t="shared" si="41"/>
        <v>0</v>
      </c>
      <c r="AG118" s="1404">
        <f t="shared" si="42"/>
        <v>0</v>
      </c>
      <c r="AH118" s="1086">
        <v>6957.74</v>
      </c>
      <c r="AI118" s="1087">
        <v>28778.32</v>
      </c>
      <c r="AJ118" s="1087">
        <v>0</v>
      </c>
      <c r="AK118" s="1087">
        <v>0</v>
      </c>
      <c r="AL118" s="1087">
        <v>0</v>
      </c>
      <c r="AM118" s="1088">
        <f t="shared" si="50"/>
        <v>35736.06</v>
      </c>
      <c r="AN118" s="1088">
        <f t="shared" si="43"/>
        <v>0</v>
      </c>
      <c r="AO118" s="1088">
        <f t="shared" si="44"/>
        <v>0</v>
      </c>
      <c r="AP118" s="1773"/>
      <c r="AQ118" s="1773"/>
      <c r="AR118" s="1773"/>
      <c r="AS118" s="1773"/>
      <c r="AT118" s="1773"/>
      <c r="AU118" s="1773">
        <f t="shared" si="45"/>
        <v>0</v>
      </c>
      <c r="AV118" s="1773">
        <f t="shared" si="46"/>
        <v>0</v>
      </c>
      <c r="AW118" s="1773">
        <f t="shared" si="47"/>
        <v>0</v>
      </c>
    </row>
    <row r="119" spans="1:49" s="237" customFormat="1" x14ac:dyDescent="0.2">
      <c r="A119" s="1078" t="s">
        <v>196</v>
      </c>
      <c r="B119" s="1079" t="s">
        <v>312</v>
      </c>
      <c r="C119" s="103" t="s">
        <v>266</v>
      </c>
      <c r="D119" s="1080">
        <f t="shared" si="30"/>
        <v>4279902.2699999996</v>
      </c>
      <c r="E119" s="1080">
        <f t="shared" si="31"/>
        <v>5703160.7000000002</v>
      </c>
      <c r="F119" s="1080">
        <f t="shared" si="32"/>
        <v>0</v>
      </c>
      <c r="G119" s="1081">
        <f t="shared" si="33"/>
        <v>999188.72000000009</v>
      </c>
      <c r="H119" s="1081">
        <f t="shared" si="34"/>
        <v>999188.72000000009</v>
      </c>
      <c r="I119" s="1405">
        <f t="shared" si="35"/>
        <v>10982251.689999999</v>
      </c>
      <c r="J119" s="1082">
        <v>1482152.1</v>
      </c>
      <c r="K119" s="1083">
        <v>1482152.1</v>
      </c>
      <c r="L119" s="1083">
        <v>0</v>
      </c>
      <c r="M119" s="1083">
        <v>-0.32</v>
      </c>
      <c r="N119" s="1083">
        <v>990918.98</v>
      </c>
      <c r="O119" s="1084">
        <f t="shared" si="36"/>
        <v>3955222.8600000003</v>
      </c>
      <c r="P119" s="1404">
        <f t="shared" si="37"/>
        <v>990918.66</v>
      </c>
      <c r="Q119" s="1404">
        <f t="shared" si="38"/>
        <v>990918.66</v>
      </c>
      <c r="R119" s="1082">
        <v>2644313.0099999998</v>
      </c>
      <c r="S119" s="1083">
        <v>2644313.0099999998</v>
      </c>
      <c r="T119" s="1083">
        <v>0</v>
      </c>
      <c r="U119" s="1083">
        <v>-0.13</v>
      </c>
      <c r="V119" s="1083">
        <v>8270.19</v>
      </c>
      <c r="W119" s="1085">
        <f t="shared" si="48"/>
        <v>5296896.08</v>
      </c>
      <c r="X119" s="1404">
        <f t="shared" si="39"/>
        <v>8270.0600000000013</v>
      </c>
      <c r="Y119" s="1404">
        <f t="shared" si="40"/>
        <v>8270.0600000000013</v>
      </c>
      <c r="Z119" s="1082"/>
      <c r="AA119" s="1083"/>
      <c r="AB119" s="1083"/>
      <c r="AC119" s="1083"/>
      <c r="AD119" s="1083"/>
      <c r="AE119" s="1085">
        <f t="shared" si="49"/>
        <v>0</v>
      </c>
      <c r="AF119" s="1404">
        <f t="shared" si="41"/>
        <v>0</v>
      </c>
      <c r="AG119" s="1404">
        <f t="shared" si="42"/>
        <v>0</v>
      </c>
      <c r="AH119" s="1086">
        <v>151114.73000000001</v>
      </c>
      <c r="AI119" s="1087">
        <v>1576695.59</v>
      </c>
      <c r="AJ119" s="1087">
        <v>0</v>
      </c>
      <c r="AK119" s="1087">
        <v>0</v>
      </c>
      <c r="AL119" s="1087">
        <v>0</v>
      </c>
      <c r="AM119" s="1088">
        <f t="shared" si="50"/>
        <v>1727810.32</v>
      </c>
      <c r="AN119" s="1088">
        <f t="shared" si="43"/>
        <v>0</v>
      </c>
      <c r="AO119" s="1088">
        <f t="shared" si="44"/>
        <v>0</v>
      </c>
      <c r="AP119" s="1773">
        <v>2322.4299999999998</v>
      </c>
      <c r="AQ119" s="1773">
        <v>0</v>
      </c>
      <c r="AR119" s="1773">
        <v>0</v>
      </c>
      <c r="AS119" s="1773">
        <v>0</v>
      </c>
      <c r="AT119" s="1773">
        <v>0</v>
      </c>
      <c r="AU119" s="1773">
        <f t="shared" si="45"/>
        <v>2322.4299999999998</v>
      </c>
      <c r="AV119" s="1773">
        <f t="shared" si="46"/>
        <v>0</v>
      </c>
      <c r="AW119" s="1773">
        <f t="shared" si="47"/>
        <v>0</v>
      </c>
    </row>
    <row r="120" spans="1:49" s="237" customFormat="1" x14ac:dyDescent="0.2">
      <c r="A120" s="1078" t="s">
        <v>200</v>
      </c>
      <c r="B120" s="1079" t="s">
        <v>313</v>
      </c>
      <c r="C120" s="103" t="s">
        <v>265</v>
      </c>
      <c r="D120" s="1080">
        <f t="shared" si="30"/>
        <v>3882268.23</v>
      </c>
      <c r="E120" s="1080">
        <f t="shared" si="31"/>
        <v>4999823.4700000007</v>
      </c>
      <c r="F120" s="1080">
        <f t="shared" si="32"/>
        <v>0</v>
      </c>
      <c r="G120" s="1081">
        <f t="shared" si="33"/>
        <v>319.34000000000003</v>
      </c>
      <c r="H120" s="1081">
        <f t="shared" si="34"/>
        <v>319.34000000000003</v>
      </c>
      <c r="I120" s="1405">
        <f t="shared" si="35"/>
        <v>8882411.040000001</v>
      </c>
      <c r="J120" s="1082">
        <v>914568.37</v>
      </c>
      <c r="K120" s="1083">
        <v>914568.37</v>
      </c>
      <c r="L120" s="1083">
        <v>0</v>
      </c>
      <c r="M120" s="1083">
        <v>-0.34</v>
      </c>
      <c r="N120" s="1083">
        <v>0</v>
      </c>
      <c r="O120" s="1084">
        <f t="shared" si="36"/>
        <v>1829136.4</v>
      </c>
      <c r="P120" s="1404">
        <f t="shared" si="37"/>
        <v>-0.34</v>
      </c>
      <c r="Q120" s="1404">
        <f t="shared" si="38"/>
        <v>-0.34</v>
      </c>
      <c r="R120" s="1082">
        <v>2830082.29</v>
      </c>
      <c r="S120" s="1083">
        <v>2830082.29</v>
      </c>
      <c r="T120" s="1083">
        <v>0</v>
      </c>
      <c r="U120" s="1083">
        <v>-0.1</v>
      </c>
      <c r="V120" s="1083">
        <v>0</v>
      </c>
      <c r="W120" s="1085">
        <f t="shared" si="48"/>
        <v>5660164.4800000004</v>
      </c>
      <c r="X120" s="1404">
        <f t="shared" si="39"/>
        <v>-0.1</v>
      </c>
      <c r="Y120" s="1404">
        <f t="shared" si="40"/>
        <v>-0.1</v>
      </c>
      <c r="Z120" s="1082"/>
      <c r="AA120" s="1083"/>
      <c r="AB120" s="1083"/>
      <c r="AC120" s="1083"/>
      <c r="AD120" s="1083"/>
      <c r="AE120" s="1085">
        <f t="shared" si="49"/>
        <v>0</v>
      </c>
      <c r="AF120" s="1404">
        <f t="shared" si="41"/>
        <v>0</v>
      </c>
      <c r="AG120" s="1404">
        <f t="shared" si="42"/>
        <v>0</v>
      </c>
      <c r="AH120" s="1086">
        <v>135117.57</v>
      </c>
      <c r="AI120" s="1087">
        <v>1255172.81</v>
      </c>
      <c r="AJ120" s="1087">
        <v>0</v>
      </c>
      <c r="AK120" s="1087">
        <v>-0.01</v>
      </c>
      <c r="AL120" s="1087">
        <v>0</v>
      </c>
      <c r="AM120" s="1088">
        <f t="shared" si="50"/>
        <v>1390290.37</v>
      </c>
      <c r="AN120" s="1088">
        <f t="shared" si="43"/>
        <v>-0.01</v>
      </c>
      <c r="AO120" s="1088">
        <f t="shared" si="44"/>
        <v>-0.01</v>
      </c>
      <c r="AP120" s="1773">
        <v>2500</v>
      </c>
      <c r="AQ120" s="1773">
        <v>0</v>
      </c>
      <c r="AR120" s="1773">
        <v>0</v>
      </c>
      <c r="AS120" s="1773">
        <v>319.79000000000002</v>
      </c>
      <c r="AT120" s="1773">
        <v>0</v>
      </c>
      <c r="AU120" s="1773">
        <f t="shared" si="45"/>
        <v>2819.79</v>
      </c>
      <c r="AV120" s="1773">
        <f t="shared" si="46"/>
        <v>319.79000000000002</v>
      </c>
      <c r="AW120" s="1773">
        <f t="shared" si="47"/>
        <v>319.79000000000002</v>
      </c>
    </row>
    <row r="121" spans="1:49" s="237" customFormat="1" x14ac:dyDescent="0.2">
      <c r="A121" s="1078" t="s">
        <v>222</v>
      </c>
      <c r="B121" s="1079" t="s">
        <v>223</v>
      </c>
      <c r="C121" s="103" t="s">
        <v>264</v>
      </c>
      <c r="D121" s="1080">
        <f t="shared" si="30"/>
        <v>234127.93999999997</v>
      </c>
      <c r="E121" s="1080">
        <f t="shared" si="31"/>
        <v>346165.77999999997</v>
      </c>
      <c r="F121" s="1080">
        <f t="shared" si="32"/>
        <v>0</v>
      </c>
      <c r="G121" s="1081">
        <f t="shared" si="33"/>
        <v>7241</v>
      </c>
      <c r="H121" s="1081">
        <f t="shared" si="34"/>
        <v>7241</v>
      </c>
      <c r="I121" s="1405">
        <f t="shared" si="35"/>
        <v>587534.72</v>
      </c>
      <c r="J121" s="1082">
        <v>91765.98</v>
      </c>
      <c r="K121" s="1083">
        <v>91765.98</v>
      </c>
      <c r="L121" s="1083">
        <v>0</v>
      </c>
      <c r="M121" s="1083">
        <v>-0.08</v>
      </c>
      <c r="N121" s="1083">
        <v>7241.08</v>
      </c>
      <c r="O121" s="1084">
        <f t="shared" si="36"/>
        <v>190772.96</v>
      </c>
      <c r="P121" s="1404">
        <f t="shared" si="37"/>
        <v>7241</v>
      </c>
      <c r="Q121" s="1404">
        <f t="shared" si="38"/>
        <v>7241</v>
      </c>
      <c r="R121" s="1082">
        <v>137024</v>
      </c>
      <c r="S121" s="1083">
        <v>137024</v>
      </c>
      <c r="T121" s="1083">
        <v>0</v>
      </c>
      <c r="U121" s="1083">
        <v>0</v>
      </c>
      <c r="V121" s="1083">
        <v>0</v>
      </c>
      <c r="W121" s="1085">
        <f t="shared" si="48"/>
        <v>274048</v>
      </c>
      <c r="X121" s="1404">
        <f t="shared" si="39"/>
        <v>0</v>
      </c>
      <c r="Y121" s="1404">
        <f t="shared" si="40"/>
        <v>0</v>
      </c>
      <c r="Z121" s="1082"/>
      <c r="AA121" s="1083"/>
      <c r="AB121" s="1083"/>
      <c r="AC121" s="1083"/>
      <c r="AD121" s="1083"/>
      <c r="AE121" s="1085">
        <f t="shared" si="49"/>
        <v>0</v>
      </c>
      <c r="AF121" s="1404">
        <f t="shared" si="41"/>
        <v>0</v>
      </c>
      <c r="AG121" s="1404">
        <f t="shared" si="42"/>
        <v>0</v>
      </c>
      <c r="AH121" s="1086">
        <v>5337.96</v>
      </c>
      <c r="AI121" s="1087">
        <v>117375.8</v>
      </c>
      <c r="AJ121" s="1087">
        <v>0</v>
      </c>
      <c r="AK121" s="1087">
        <v>0</v>
      </c>
      <c r="AL121" s="1087">
        <v>0</v>
      </c>
      <c r="AM121" s="1088">
        <f t="shared" si="50"/>
        <v>122713.76000000001</v>
      </c>
      <c r="AN121" s="1088">
        <f t="shared" si="43"/>
        <v>0</v>
      </c>
      <c r="AO121" s="1088">
        <f t="shared" si="44"/>
        <v>0</v>
      </c>
      <c r="AP121" s="1773"/>
      <c r="AQ121" s="1773"/>
      <c r="AR121" s="1773"/>
      <c r="AS121" s="1773"/>
      <c r="AT121" s="1773"/>
      <c r="AU121" s="1773">
        <f t="shared" si="45"/>
        <v>0</v>
      </c>
      <c r="AV121" s="1773">
        <f t="shared" si="46"/>
        <v>0</v>
      </c>
      <c r="AW121" s="1773">
        <f t="shared" si="47"/>
        <v>0</v>
      </c>
    </row>
    <row r="122" spans="1:49" s="237" customFormat="1" x14ac:dyDescent="0.2">
      <c r="A122" s="1078" t="s">
        <v>230</v>
      </c>
      <c r="B122" s="1079" t="s">
        <v>231</v>
      </c>
      <c r="C122" s="103" t="s">
        <v>264</v>
      </c>
      <c r="D122" s="1080">
        <f t="shared" si="30"/>
        <v>2289613.2600000002</v>
      </c>
      <c r="E122" s="1080">
        <f t="shared" si="31"/>
        <v>3466398.14</v>
      </c>
      <c r="F122" s="1080">
        <f t="shared" si="32"/>
        <v>0</v>
      </c>
      <c r="G122" s="1081">
        <f t="shared" si="33"/>
        <v>-0.38999999999999996</v>
      </c>
      <c r="H122" s="1081">
        <f t="shared" si="34"/>
        <v>-0.38999999999999996</v>
      </c>
      <c r="I122" s="1405">
        <f t="shared" si="35"/>
        <v>5756011.0100000007</v>
      </c>
      <c r="J122" s="1082">
        <v>902568.52</v>
      </c>
      <c r="K122" s="1083">
        <v>902568.52</v>
      </c>
      <c r="L122" s="1083">
        <v>0</v>
      </c>
      <c r="M122" s="1083">
        <v>-0.35</v>
      </c>
      <c r="N122" s="1083">
        <v>0</v>
      </c>
      <c r="O122" s="1084">
        <f t="shared" si="36"/>
        <v>1805136.69</v>
      </c>
      <c r="P122" s="1404">
        <f t="shared" si="37"/>
        <v>-0.35</v>
      </c>
      <c r="Q122" s="1404">
        <f t="shared" si="38"/>
        <v>-0.35</v>
      </c>
      <c r="R122" s="1082">
        <v>1116867.83</v>
      </c>
      <c r="S122" s="1083">
        <v>1116867.83</v>
      </c>
      <c r="T122" s="1083">
        <v>0</v>
      </c>
      <c r="U122" s="1083">
        <v>-0.04</v>
      </c>
      <c r="V122" s="1083">
        <v>0</v>
      </c>
      <c r="W122" s="1085">
        <f t="shared" si="48"/>
        <v>2233735.62</v>
      </c>
      <c r="X122" s="1404">
        <f t="shared" si="39"/>
        <v>-0.04</v>
      </c>
      <c r="Y122" s="1404">
        <f t="shared" si="40"/>
        <v>-0.04</v>
      </c>
      <c r="Z122" s="1082"/>
      <c r="AA122" s="1083"/>
      <c r="AB122" s="1083"/>
      <c r="AC122" s="1083"/>
      <c r="AD122" s="1083"/>
      <c r="AE122" s="1085">
        <f t="shared" si="49"/>
        <v>0</v>
      </c>
      <c r="AF122" s="1404">
        <f t="shared" si="41"/>
        <v>0</v>
      </c>
      <c r="AG122" s="1404">
        <f t="shared" si="42"/>
        <v>0</v>
      </c>
      <c r="AH122" s="1086">
        <v>270176.90999999997</v>
      </c>
      <c r="AI122" s="1087">
        <v>1446961.79</v>
      </c>
      <c r="AJ122" s="1087">
        <v>0</v>
      </c>
      <c r="AK122" s="1087">
        <v>0</v>
      </c>
      <c r="AL122" s="1087">
        <v>0</v>
      </c>
      <c r="AM122" s="1088">
        <f t="shared" si="50"/>
        <v>1717138.7</v>
      </c>
      <c r="AN122" s="1088">
        <f t="shared" si="43"/>
        <v>0</v>
      </c>
      <c r="AO122" s="1088">
        <f t="shared" si="44"/>
        <v>0</v>
      </c>
      <c r="AP122" s="1773"/>
      <c r="AQ122" s="1773"/>
      <c r="AR122" s="1773"/>
      <c r="AS122" s="1773"/>
      <c r="AT122" s="1773"/>
      <c r="AU122" s="1773">
        <f t="shared" si="45"/>
        <v>0</v>
      </c>
      <c r="AV122" s="1773">
        <f t="shared" si="46"/>
        <v>0</v>
      </c>
      <c r="AW122" s="1773">
        <f t="shared" si="47"/>
        <v>0</v>
      </c>
    </row>
    <row r="123" spans="1:49" s="237" customFormat="1" x14ac:dyDescent="0.2">
      <c r="A123" s="1078" t="s">
        <v>238</v>
      </c>
      <c r="B123" s="1079" t="s">
        <v>239</v>
      </c>
      <c r="C123" s="103" t="s">
        <v>264</v>
      </c>
      <c r="D123" s="1080">
        <f t="shared" si="30"/>
        <v>75181.959999999992</v>
      </c>
      <c r="E123" s="1080">
        <f t="shared" si="31"/>
        <v>75181.959999999992</v>
      </c>
      <c r="F123" s="1080">
        <f t="shared" si="32"/>
        <v>0</v>
      </c>
      <c r="G123" s="1081">
        <f t="shared" si="33"/>
        <v>-0.09</v>
      </c>
      <c r="H123" s="1081">
        <f t="shared" si="34"/>
        <v>-0.09</v>
      </c>
      <c r="I123" s="1405">
        <f t="shared" si="35"/>
        <v>150363.82999999999</v>
      </c>
      <c r="J123" s="1082">
        <v>22133.96</v>
      </c>
      <c r="K123" s="1083">
        <v>22133.96</v>
      </c>
      <c r="L123" s="1083">
        <v>0</v>
      </c>
      <c r="M123" s="1083">
        <v>-0.09</v>
      </c>
      <c r="N123" s="1083">
        <v>0</v>
      </c>
      <c r="O123" s="1084">
        <f t="shared" si="36"/>
        <v>44267.83</v>
      </c>
      <c r="P123" s="1404">
        <f t="shared" si="37"/>
        <v>-0.09</v>
      </c>
      <c r="Q123" s="1404">
        <f t="shared" si="38"/>
        <v>-0.09</v>
      </c>
      <c r="R123" s="1082">
        <v>53048</v>
      </c>
      <c r="S123" s="1083">
        <v>53048</v>
      </c>
      <c r="T123" s="1083">
        <v>0</v>
      </c>
      <c r="U123" s="1083">
        <v>0</v>
      </c>
      <c r="V123" s="1083">
        <v>0</v>
      </c>
      <c r="W123" s="1085">
        <f t="shared" si="48"/>
        <v>106096</v>
      </c>
      <c r="X123" s="1404">
        <f t="shared" si="39"/>
        <v>0</v>
      </c>
      <c r="Y123" s="1404">
        <f t="shared" si="40"/>
        <v>0</v>
      </c>
      <c r="Z123" s="1082"/>
      <c r="AA123" s="1083"/>
      <c r="AB123" s="1083"/>
      <c r="AC123" s="1083"/>
      <c r="AD123" s="1083"/>
      <c r="AE123" s="1085">
        <f t="shared" si="49"/>
        <v>0</v>
      </c>
      <c r="AF123" s="1404">
        <f t="shared" si="41"/>
        <v>0</v>
      </c>
      <c r="AG123" s="1404">
        <f t="shared" si="42"/>
        <v>0</v>
      </c>
      <c r="AH123" s="1086">
        <v>0</v>
      </c>
      <c r="AI123" s="1087">
        <v>0</v>
      </c>
      <c r="AJ123" s="1087">
        <v>0</v>
      </c>
      <c r="AK123" s="1087">
        <v>0</v>
      </c>
      <c r="AL123" s="1087">
        <v>0</v>
      </c>
      <c r="AM123" s="1088">
        <f t="shared" si="50"/>
        <v>0</v>
      </c>
      <c r="AN123" s="1088">
        <f t="shared" si="43"/>
        <v>0</v>
      </c>
      <c r="AO123" s="1088">
        <f t="shared" si="44"/>
        <v>0</v>
      </c>
      <c r="AP123" s="1773"/>
      <c r="AQ123" s="1773"/>
      <c r="AR123" s="1773"/>
      <c r="AS123" s="1773"/>
      <c r="AT123" s="1773"/>
      <c r="AU123" s="1773">
        <f t="shared" si="45"/>
        <v>0</v>
      </c>
      <c r="AV123" s="1773">
        <f t="shared" si="46"/>
        <v>0</v>
      </c>
      <c r="AW123" s="1773">
        <f t="shared" si="47"/>
        <v>0</v>
      </c>
    </row>
    <row r="124" spans="1:49" s="237" customFormat="1" x14ac:dyDescent="0.2">
      <c r="A124" s="1078" t="s">
        <v>240</v>
      </c>
      <c r="B124" s="1079" t="s">
        <v>241</v>
      </c>
      <c r="C124" s="111" t="s">
        <v>267</v>
      </c>
      <c r="D124" s="1080">
        <f t="shared" si="30"/>
        <v>428120.37</v>
      </c>
      <c r="E124" s="1080">
        <f t="shared" si="31"/>
        <v>514856.1</v>
      </c>
      <c r="F124" s="1080">
        <f t="shared" si="32"/>
        <v>0</v>
      </c>
      <c r="G124" s="1081">
        <f t="shared" si="33"/>
        <v>-0.22999999999999998</v>
      </c>
      <c r="H124" s="1081">
        <f t="shared" si="34"/>
        <v>-0.22999999999999998</v>
      </c>
      <c r="I124" s="1405">
        <f t="shared" si="35"/>
        <v>942976.24</v>
      </c>
      <c r="J124" s="1082">
        <v>170870.26</v>
      </c>
      <c r="K124" s="1083">
        <v>170870.26</v>
      </c>
      <c r="L124" s="1083">
        <v>0</v>
      </c>
      <c r="M124" s="1083">
        <v>-0.21</v>
      </c>
      <c r="N124" s="1083">
        <v>0</v>
      </c>
      <c r="O124" s="1084">
        <f t="shared" si="36"/>
        <v>341740.31</v>
      </c>
      <c r="P124" s="1404">
        <f t="shared" si="37"/>
        <v>-0.21</v>
      </c>
      <c r="Q124" s="1404">
        <f t="shared" si="38"/>
        <v>-0.21</v>
      </c>
      <c r="R124" s="1082">
        <v>253171.96</v>
      </c>
      <c r="S124" s="1083">
        <v>253171.96</v>
      </c>
      <c r="T124" s="1083">
        <v>0</v>
      </c>
      <c r="U124" s="1083">
        <v>-0.02</v>
      </c>
      <c r="V124" s="1083">
        <v>0</v>
      </c>
      <c r="W124" s="1085">
        <f t="shared" si="48"/>
        <v>506343.89999999997</v>
      </c>
      <c r="X124" s="1404">
        <f t="shared" si="39"/>
        <v>-0.02</v>
      </c>
      <c r="Y124" s="1404">
        <f t="shared" si="40"/>
        <v>-0.02</v>
      </c>
      <c r="Z124" s="1082"/>
      <c r="AA124" s="1083"/>
      <c r="AB124" s="1083"/>
      <c r="AC124" s="1083"/>
      <c r="AD124" s="1083"/>
      <c r="AE124" s="1085">
        <f t="shared" si="49"/>
        <v>0</v>
      </c>
      <c r="AF124" s="1404">
        <f t="shared" si="41"/>
        <v>0</v>
      </c>
      <c r="AG124" s="1404">
        <f t="shared" si="42"/>
        <v>0</v>
      </c>
      <c r="AH124" s="1086">
        <v>4078.15</v>
      </c>
      <c r="AI124" s="1087">
        <v>90813.88</v>
      </c>
      <c r="AJ124" s="1087">
        <v>0</v>
      </c>
      <c r="AK124" s="1087">
        <v>0</v>
      </c>
      <c r="AL124" s="1087">
        <v>0</v>
      </c>
      <c r="AM124" s="1088">
        <f t="shared" si="50"/>
        <v>94892.03</v>
      </c>
      <c r="AN124" s="1088">
        <f t="shared" si="43"/>
        <v>0</v>
      </c>
      <c r="AO124" s="1088">
        <f t="shared" si="44"/>
        <v>0</v>
      </c>
      <c r="AP124" s="1773"/>
      <c r="AQ124" s="1773"/>
      <c r="AR124" s="1773"/>
      <c r="AS124" s="1773"/>
      <c r="AT124" s="1773"/>
      <c r="AU124" s="1773">
        <f t="shared" si="45"/>
        <v>0</v>
      </c>
      <c r="AV124" s="1773">
        <f t="shared" si="46"/>
        <v>0</v>
      </c>
      <c r="AW124" s="1773">
        <f t="shared" si="47"/>
        <v>0</v>
      </c>
    </row>
    <row r="125" spans="1:49" s="237" customFormat="1" x14ac:dyDescent="0.2">
      <c r="J125" s="1089"/>
      <c r="K125" s="1090"/>
      <c r="L125" s="1090"/>
      <c r="M125" s="1090"/>
      <c r="N125" s="1090"/>
      <c r="O125" s="1084"/>
      <c r="P125" s="1404"/>
      <c r="Q125" s="1404"/>
      <c r="R125" s="1091"/>
      <c r="S125" s="1090"/>
      <c r="T125" s="1090"/>
      <c r="U125" s="1090"/>
      <c r="V125" s="1090"/>
      <c r="W125" s="1085"/>
      <c r="X125" s="1404"/>
      <c r="Y125" s="1404"/>
      <c r="Z125" s="1091"/>
      <c r="AA125" s="1090"/>
      <c r="AB125" s="1092"/>
      <c r="AC125" s="1093"/>
      <c r="AD125" s="1093"/>
      <c r="AE125" s="1085"/>
      <c r="AF125" s="1404"/>
      <c r="AG125" s="1404"/>
      <c r="AH125" s="1093"/>
      <c r="AI125" s="1093"/>
      <c r="AJ125" s="1093"/>
      <c r="AK125" s="1093"/>
      <c r="AL125" s="1093"/>
      <c r="AM125" s="1088"/>
      <c r="AN125" s="1088"/>
      <c r="AO125" s="1088"/>
    </row>
    <row r="126" spans="1:49" s="237" customFormat="1" x14ac:dyDescent="0.2">
      <c r="A126" s="237" t="s">
        <v>266</v>
      </c>
      <c r="D126" s="1080">
        <f t="shared" ref="D126:I126" si="51">D8+D19+D21+D23+D25+D29+D32+D36+D41+D46+D47+D52+D54+D55+D59+D63+D66+D68+D69+D74+D75+D80+D96+D109+D116+D119</f>
        <v>10309835.380000001</v>
      </c>
      <c r="E126" s="1080">
        <f t="shared" si="51"/>
        <v>13785432.260000002</v>
      </c>
      <c r="F126" s="1080">
        <f t="shared" si="51"/>
        <v>0</v>
      </c>
      <c r="G126" s="1081">
        <f t="shared" si="51"/>
        <v>857063.89</v>
      </c>
      <c r="H126" s="1081">
        <f t="shared" si="51"/>
        <v>857063.89</v>
      </c>
      <c r="I126" s="1405">
        <f t="shared" si="51"/>
        <v>24952331.530000001</v>
      </c>
      <c r="J126" s="1535">
        <f t="shared" ref="J126" si="52">J8+J19+J21+J23+J25+J29+J32+J36+J41+J46+J47+J52+J54+J55+J59+J63+J66+J68+J69+J74+J75+J80+J96+J109+J116+J119</f>
        <v>3639450.4000000004</v>
      </c>
      <c r="K126" s="1535">
        <f t="shared" ref="K126:N126" si="53">K8+K19+K21+K23+K25+K29+K32+K36+K41+K46+K47+K52+K54+K55+K59+K63+K66+K68+K69+K74+K75+K80+K96+K109+K116+K119</f>
        <v>3639450.4000000004</v>
      </c>
      <c r="L126" s="1535">
        <f t="shared" si="53"/>
        <v>0</v>
      </c>
      <c r="M126" s="1535">
        <f t="shared" si="53"/>
        <v>-2.1300000000000003</v>
      </c>
      <c r="N126" s="1535">
        <f t="shared" si="53"/>
        <v>990146.67999999993</v>
      </c>
      <c r="O126" s="1084">
        <f t="shared" ref="O126:O131" si="54">SUM(J126:N126)</f>
        <v>8269045.3500000006</v>
      </c>
      <c r="P126" s="1404">
        <f t="shared" ref="P126:P131" si="55">M126+N126</f>
        <v>990144.54999999993</v>
      </c>
      <c r="Q126" s="1404">
        <f t="shared" ref="Q126:Q131" si="56">L126+P126</f>
        <v>990144.54999999993</v>
      </c>
      <c r="R126" s="1535">
        <f t="shared" ref="R126:V126" si="57">R8+R19+R21+R23+R25+R29+R32+R36+R41+R46+R47+R52+R54+R55+R59+R63+R66+R68+R69+R74+R75+R80+R96+R109+R116+R119</f>
        <v>6148785.1100000013</v>
      </c>
      <c r="S126" s="1535">
        <f t="shared" si="57"/>
        <v>6148785.1100000013</v>
      </c>
      <c r="T126" s="1535">
        <f t="shared" si="57"/>
        <v>0</v>
      </c>
      <c r="U126" s="1535">
        <f t="shared" si="57"/>
        <v>88.609999999999985</v>
      </c>
      <c r="V126" s="1535">
        <f t="shared" si="57"/>
        <v>-138169.1</v>
      </c>
      <c r="W126" s="1085">
        <f t="shared" ref="W126:W131" si="58">SUM(R126:V126)</f>
        <v>12159489.730000002</v>
      </c>
      <c r="X126" s="1404">
        <f t="shared" ref="X126:X131" si="59">U126+V126</f>
        <v>-138080.49000000002</v>
      </c>
      <c r="Y126" s="1404">
        <f t="shared" ref="Y126:Y131" si="60">T126+X126</f>
        <v>-138080.49000000002</v>
      </c>
      <c r="Z126" s="1535">
        <f t="shared" ref="Z126:AD126" si="61">Z8+Z19+Z21+Z23+Z25+Z29+Z32+Z36+Z41+Z46+Z47+Z52+Z54+Z55+Z59+Z63+Z66+Z68+Z69+Z74+Z75+Z80+Z96+Z109+Z116+Z119</f>
        <v>4750</v>
      </c>
      <c r="AA126" s="1535">
        <f t="shared" si="61"/>
        <v>4750</v>
      </c>
      <c r="AB126" s="1535">
        <f t="shared" si="61"/>
        <v>0</v>
      </c>
      <c r="AC126" s="1535">
        <f t="shared" si="61"/>
        <v>5000</v>
      </c>
      <c r="AD126" s="1535">
        <f t="shared" si="61"/>
        <v>0</v>
      </c>
      <c r="AE126" s="1085">
        <f t="shared" si="49"/>
        <v>14500</v>
      </c>
      <c r="AF126" s="1535">
        <f>AC126+AD126</f>
        <v>5000</v>
      </c>
      <c r="AG126" s="1535">
        <f>AB126+AC126+AD126</f>
        <v>5000</v>
      </c>
      <c r="AH126" s="1535">
        <f t="shared" ref="AH126:AL126" si="62">AH8+AH19+AH21+AH23+AH25+AH29+AH32+AH36+AH41+AH46+AH47+AH52+AH54+AH55+AH59+AH63+AH66+AH68+AH69+AH74+AH75+AH80+AH96+AH109+AH116+AH119</f>
        <v>508583.23</v>
      </c>
      <c r="AI126" s="1535">
        <f t="shared" si="62"/>
        <v>3992446.75</v>
      </c>
      <c r="AJ126" s="1535">
        <f t="shared" si="62"/>
        <v>0</v>
      </c>
      <c r="AK126" s="1535">
        <f t="shared" si="62"/>
        <v>-0.16999999999999998</v>
      </c>
      <c r="AL126" s="1535">
        <f t="shared" si="62"/>
        <v>0</v>
      </c>
      <c r="AM126" s="1088">
        <f t="shared" ref="AM126:AM131" si="63">SUM(AH126:AL126)</f>
        <v>4501029.8100000005</v>
      </c>
      <c r="AN126" s="1088">
        <f t="shared" ref="AN126:AN131" si="64">AK126+AL126</f>
        <v>-0.16999999999999998</v>
      </c>
      <c r="AO126" s="1088">
        <f t="shared" ref="AO126:AO131" si="65">AJ126+AN126</f>
        <v>-0.16999999999999998</v>
      </c>
      <c r="AP126" s="1535">
        <f t="shared" ref="AP126:AT126" si="66">AP8+AP19+AP21+AP23+AP25+AP29+AP32+AP36+AP41+AP46+AP47+AP52+AP54+AP55+AP59+AP63+AP66+AP68+AP69+AP74+AP75+AP80+AP96+AP109+AP116+AP119</f>
        <v>8266.64</v>
      </c>
      <c r="AQ126" s="1535">
        <f t="shared" si="66"/>
        <v>0</v>
      </c>
      <c r="AR126" s="1535">
        <f t="shared" si="66"/>
        <v>0</v>
      </c>
      <c r="AS126" s="1535">
        <f t="shared" si="66"/>
        <v>0</v>
      </c>
      <c r="AT126" s="1535">
        <f t="shared" si="66"/>
        <v>0</v>
      </c>
      <c r="AU126" s="1088">
        <f t="shared" ref="AU126:AU131" si="67">SUM(AP126:AT126)</f>
        <v>8266.64</v>
      </c>
      <c r="AV126" s="1088">
        <f t="shared" ref="AV126:AV131" si="68">AS126+AT126</f>
        <v>0</v>
      </c>
      <c r="AW126" s="1088">
        <f t="shared" ref="AW126:AW131" si="69">AR126+AV126</f>
        <v>0</v>
      </c>
    </row>
    <row r="127" spans="1:49" s="237" customFormat="1" x14ac:dyDescent="0.2">
      <c r="A127" s="237" t="s">
        <v>264</v>
      </c>
      <c r="D127" s="1080">
        <f t="shared" ref="D127:I127" si="70">D5+D17+D31+D40+D44+D50+D51+D61+D67+D76+D88+D91+D92+D99+D103+D105+D108+D113+D114+D117+D121+D122+D123</f>
        <v>12755598.380000001</v>
      </c>
      <c r="E127" s="1080">
        <f t="shared" si="70"/>
        <v>17261835.609999999</v>
      </c>
      <c r="F127" s="1080">
        <f t="shared" si="70"/>
        <v>0</v>
      </c>
      <c r="G127" s="1081">
        <f t="shared" si="70"/>
        <v>15058.01</v>
      </c>
      <c r="H127" s="1081">
        <f t="shared" si="70"/>
        <v>15058.01</v>
      </c>
      <c r="I127" s="1405">
        <f t="shared" si="70"/>
        <v>30032491.999999996</v>
      </c>
      <c r="J127" s="1535">
        <f t="shared" ref="J127" si="71">J5+J17+J31+J40+J44+J50+J51+J61+J67+J76+J88+J91+J92+J99+J103+J105+J108+J113+J114+J117+J121+J122+J123</f>
        <v>4181255.86</v>
      </c>
      <c r="K127" s="1535">
        <f t="shared" ref="K127:N127" si="72">K5+K17+K31+K40+K44+K50+K51+K61+K67+K76+K88+K91+K92+K99+K103+K105+K108+K113+K114+K117+K121+K122+K123</f>
        <v>4181255.86</v>
      </c>
      <c r="L127" s="1535">
        <f t="shared" si="72"/>
        <v>0</v>
      </c>
      <c r="M127" s="1535">
        <f t="shared" si="72"/>
        <v>2090.7799999999997</v>
      </c>
      <c r="N127" s="1535">
        <f t="shared" si="72"/>
        <v>7241.08</v>
      </c>
      <c r="O127" s="1084">
        <f t="shared" si="54"/>
        <v>8371843.5800000001</v>
      </c>
      <c r="P127" s="1404">
        <f t="shared" si="55"/>
        <v>9331.86</v>
      </c>
      <c r="Q127" s="1404">
        <f t="shared" si="56"/>
        <v>9331.86</v>
      </c>
      <c r="R127" s="1535">
        <f t="shared" ref="R127:V127" si="73">R5+R17+R31+R40+R44+R50+R51+R61+R67+R76+R88+R91+R92+R99+R103+R105+R108+R113+R114+R117+R121+R122+R123</f>
        <v>7705092.96</v>
      </c>
      <c r="S127" s="1535">
        <f t="shared" si="73"/>
        <v>7705092.96</v>
      </c>
      <c r="T127" s="1535">
        <f t="shared" si="73"/>
        <v>0</v>
      </c>
      <c r="U127" s="1535">
        <f t="shared" si="73"/>
        <v>5726.1499999999987</v>
      </c>
      <c r="V127" s="1535">
        <f t="shared" si="73"/>
        <v>0</v>
      </c>
      <c r="W127" s="1085">
        <f t="shared" si="58"/>
        <v>15415912.07</v>
      </c>
      <c r="X127" s="1404">
        <f t="shared" si="59"/>
        <v>5726.1499999999987</v>
      </c>
      <c r="Y127" s="1404">
        <f t="shared" si="60"/>
        <v>5726.1499999999987</v>
      </c>
      <c r="Z127" s="1535">
        <f t="shared" ref="Z127:AD127" si="74">Z5+Z17+Z31+Z40+Z44+Z50+Z51+Z61+Z67+Z76+Z88+Z91+Z92+Z99+Z103+Z105+Z108+Z113+Z114+Z117+Z121+Z122+Z123</f>
        <v>0</v>
      </c>
      <c r="AA127" s="1535">
        <f t="shared" si="74"/>
        <v>0</v>
      </c>
      <c r="AB127" s="1535">
        <f t="shared" si="74"/>
        <v>0</v>
      </c>
      <c r="AC127" s="1535">
        <f t="shared" si="74"/>
        <v>0</v>
      </c>
      <c r="AD127" s="1535">
        <f t="shared" si="74"/>
        <v>0</v>
      </c>
      <c r="AE127" s="1085">
        <f t="shared" si="49"/>
        <v>0</v>
      </c>
      <c r="AF127" s="1535">
        <f t="shared" ref="AF127:AF131" si="75">AC127+AD127</f>
        <v>0</v>
      </c>
      <c r="AG127" s="1535">
        <f t="shared" ref="AG127:AG131" si="76">AB127+AC127+AD127</f>
        <v>0</v>
      </c>
      <c r="AH127" s="1535">
        <f t="shared" ref="AH127:AL127" si="77">AH5+AH17+AH31+AH40+AH44+AH50+AH51+AH61+AH67+AH76+AH88+AH91+AH92+AH99+AH103+AH105+AH108+AH113+AH114+AH117+AH121+AH122+AH123</f>
        <v>865099.07000000007</v>
      </c>
      <c r="AI127" s="1535">
        <f t="shared" si="77"/>
        <v>5375486.79</v>
      </c>
      <c r="AJ127" s="1535">
        <f t="shared" si="77"/>
        <v>0</v>
      </c>
      <c r="AK127" s="1535">
        <f t="shared" si="77"/>
        <v>0</v>
      </c>
      <c r="AL127" s="1535">
        <f t="shared" si="77"/>
        <v>0</v>
      </c>
      <c r="AM127" s="1088">
        <f t="shared" si="63"/>
        <v>6240585.8600000003</v>
      </c>
      <c r="AN127" s="1088">
        <f t="shared" si="64"/>
        <v>0</v>
      </c>
      <c r="AO127" s="1088">
        <f t="shared" si="65"/>
        <v>0</v>
      </c>
      <c r="AP127" s="1535">
        <f t="shared" ref="AP127:AT127" si="78">AP5+AP17+AP31+AP40+AP44+AP50+AP51+AP61+AP67+AP76+AP88+AP91+AP92+AP99+AP103+AP105+AP108+AP113+AP114+AP117+AP121+AP122+AP123</f>
        <v>4150.49</v>
      </c>
      <c r="AQ127" s="1535">
        <f t="shared" si="78"/>
        <v>0</v>
      </c>
      <c r="AR127" s="1535">
        <f t="shared" si="78"/>
        <v>0</v>
      </c>
      <c r="AS127" s="1535">
        <f t="shared" si="78"/>
        <v>0</v>
      </c>
      <c r="AT127" s="1535">
        <f t="shared" si="78"/>
        <v>0</v>
      </c>
      <c r="AU127" s="1088">
        <f t="shared" si="67"/>
        <v>4150.49</v>
      </c>
      <c r="AV127" s="1088">
        <f t="shared" si="68"/>
        <v>0</v>
      </c>
      <c r="AW127" s="1088">
        <f t="shared" si="69"/>
        <v>0</v>
      </c>
    </row>
    <row r="128" spans="1:49" s="237" customFormat="1" x14ac:dyDescent="0.2">
      <c r="A128" s="237" t="s">
        <v>267</v>
      </c>
      <c r="D128" s="1080">
        <f t="shared" ref="D128:I128" si="79">D11+D26+D28+D33+D34+D38+D43+D53+D57+D58+D60+D70+D71+D77+D79+D83+D86+D89+D90+D94+D100+D106+D111+D112+D124</f>
        <v>17164993.629999999</v>
      </c>
      <c r="E128" s="1080">
        <f t="shared" si="79"/>
        <v>26138012.299999993</v>
      </c>
      <c r="F128" s="1080">
        <f t="shared" si="79"/>
        <v>0</v>
      </c>
      <c r="G128" s="1081">
        <f t="shared" si="79"/>
        <v>228304.9</v>
      </c>
      <c r="H128" s="1081">
        <f t="shared" si="79"/>
        <v>228304.9</v>
      </c>
      <c r="I128" s="1405">
        <f t="shared" si="79"/>
        <v>43531310.829999998</v>
      </c>
      <c r="J128" s="1535">
        <f t="shared" ref="J128" si="80">J11+J26+J28+J33+J34+J38+J43+J53+J57+J58+J60+J70+J71+J77+J79+J83+J86+J89+J90+J94+J100+J106+J111+J112+J124</f>
        <v>5646418.5299999984</v>
      </c>
      <c r="K128" s="1535">
        <f t="shared" ref="K128:N128" si="81">K11+K26+K28+K33+K34+K38+K43+K53+K57+K58+K60+K70+K71+K77+K79+K83+K86+K89+K90+K94+K100+K106+K111+K112+K124</f>
        <v>5646418.5299999984</v>
      </c>
      <c r="L128" s="1535">
        <f t="shared" si="81"/>
        <v>0</v>
      </c>
      <c r="M128" s="1535">
        <f t="shared" si="81"/>
        <v>9475.09</v>
      </c>
      <c r="N128" s="1535">
        <f t="shared" si="81"/>
        <v>0</v>
      </c>
      <c r="O128" s="1084">
        <f t="shared" si="54"/>
        <v>11302312.149999997</v>
      </c>
      <c r="P128" s="1404">
        <f t="shared" si="55"/>
        <v>9475.09</v>
      </c>
      <c r="Q128" s="1404">
        <f t="shared" si="56"/>
        <v>9475.09</v>
      </c>
      <c r="R128" s="1535">
        <f t="shared" ref="R128:V128" si="82">R11+R26+R28+R33+R34+R38+R43+R53+R57+R58+R60+R70+R71+R77+R79+R83+R86+R89+R90+R94+R100+R106+R111+R112+R124</f>
        <v>10044506.850000001</v>
      </c>
      <c r="S128" s="1535">
        <f t="shared" si="82"/>
        <v>10044506.850000001</v>
      </c>
      <c r="T128" s="1535">
        <f t="shared" si="82"/>
        <v>0</v>
      </c>
      <c r="U128" s="1535">
        <f t="shared" si="82"/>
        <v>463.61000000000013</v>
      </c>
      <c r="V128" s="1535">
        <f t="shared" si="82"/>
        <v>218366.49</v>
      </c>
      <c r="W128" s="1085">
        <f t="shared" si="58"/>
        <v>20307843.800000001</v>
      </c>
      <c r="X128" s="1404">
        <f t="shared" si="59"/>
        <v>218830.09999999998</v>
      </c>
      <c r="Y128" s="1404">
        <f t="shared" si="60"/>
        <v>218830.09999999998</v>
      </c>
      <c r="Z128" s="1535">
        <f t="shared" ref="Z128:AD128" si="83">Z11+Z26+Z28+Z33+Z34+Z38+Z43+Z53+Z57+Z58+Z60+Z70+Z71+Z77+Z79+Z83+Z86+Z89+Z90+Z94+Z100+Z106+Z111+Z112+Z124</f>
        <v>0</v>
      </c>
      <c r="AA128" s="1535">
        <f t="shared" si="83"/>
        <v>0</v>
      </c>
      <c r="AB128" s="1535">
        <f t="shared" si="83"/>
        <v>0</v>
      </c>
      <c r="AC128" s="1535">
        <f t="shared" si="83"/>
        <v>0</v>
      </c>
      <c r="AD128" s="1535">
        <f t="shared" si="83"/>
        <v>0</v>
      </c>
      <c r="AE128" s="1085">
        <f t="shared" si="49"/>
        <v>0</v>
      </c>
      <c r="AF128" s="1535">
        <f t="shared" si="75"/>
        <v>0</v>
      </c>
      <c r="AG128" s="1535">
        <f t="shared" si="76"/>
        <v>0</v>
      </c>
      <c r="AH128" s="1535">
        <f t="shared" ref="AH128:AL128" si="84">AH11+AH26+AH28+AH33+AH34+AH38+AH43+AH53+AH57+AH58+AH60+AH70+AH71+AH77+AH79+AH83+AH86+AH89+AH90+AH94+AH100+AH106+AH111+AH112+AH124</f>
        <v>1460692.71</v>
      </c>
      <c r="AI128" s="1535">
        <f t="shared" si="84"/>
        <v>10447086.92</v>
      </c>
      <c r="AJ128" s="1535">
        <f t="shared" si="84"/>
        <v>0</v>
      </c>
      <c r="AK128" s="1535">
        <f t="shared" si="84"/>
        <v>-0.28999999999999998</v>
      </c>
      <c r="AL128" s="1535">
        <f t="shared" si="84"/>
        <v>0</v>
      </c>
      <c r="AM128" s="1088">
        <f t="shared" si="63"/>
        <v>11907779.34</v>
      </c>
      <c r="AN128" s="1088">
        <f t="shared" si="64"/>
        <v>-0.28999999999999998</v>
      </c>
      <c r="AO128" s="1088">
        <f t="shared" si="65"/>
        <v>-0.28999999999999998</v>
      </c>
      <c r="AP128" s="1535">
        <f t="shared" ref="AP128:AT128" si="85">AP11+AP26+AP28+AP33+AP34+AP38+AP43+AP53+AP57+AP58+AP60+AP70+AP71+AP77+AP79+AP83+AP86+AP89+AP90+AP94+AP100+AP106+AP111+AP112+AP124</f>
        <v>13375.539999999999</v>
      </c>
      <c r="AQ128" s="1535">
        <f t="shared" si="85"/>
        <v>0</v>
      </c>
      <c r="AR128" s="1535">
        <f t="shared" si="85"/>
        <v>0</v>
      </c>
      <c r="AS128" s="1535">
        <f t="shared" si="85"/>
        <v>0</v>
      </c>
      <c r="AT128" s="1535">
        <f t="shared" si="85"/>
        <v>0</v>
      </c>
      <c r="AU128" s="1088">
        <f t="shared" si="67"/>
        <v>13375.539999999999</v>
      </c>
      <c r="AV128" s="1088">
        <f t="shared" si="68"/>
        <v>0</v>
      </c>
      <c r="AW128" s="1088">
        <f t="shared" si="69"/>
        <v>0</v>
      </c>
    </row>
    <row r="129" spans="1:49" s="237" customFormat="1" x14ac:dyDescent="0.2">
      <c r="A129" s="237" t="s">
        <v>265</v>
      </c>
      <c r="D129" s="1080">
        <f t="shared" ref="D129:I129" si="86">D6+D7+D9+D10+D12+D13+D14+D16+D20+D24+D27+D37+D45+D48+D49+D62+D65+D73+D81+D82+D102+D104+D110+D120</f>
        <v>17762096.560000002</v>
      </c>
      <c r="E129" s="1080">
        <f t="shared" si="86"/>
        <v>24027913.240000002</v>
      </c>
      <c r="F129" s="1080">
        <f t="shared" si="86"/>
        <v>0</v>
      </c>
      <c r="G129" s="1081">
        <f t="shared" si="86"/>
        <v>21526.49</v>
      </c>
      <c r="H129" s="1081">
        <f t="shared" si="86"/>
        <v>21526.49</v>
      </c>
      <c r="I129" s="1405">
        <f t="shared" si="86"/>
        <v>41811536.289999999</v>
      </c>
      <c r="J129" s="1535">
        <f t="shared" ref="J129" si="87">J6+J7+J9+J10+J12+J13+J14+J16+J20+J24+J27+J37+J45+J48+J49+J62+J65+J73+J81+J82+J102+J104+J110+J120</f>
        <v>6364360.4299999997</v>
      </c>
      <c r="K129" s="1535">
        <f t="shared" ref="K129:N129" si="88">K6+K7+K9+K10+K12+K13+K14+K16+K20+K24+K27+K37+K45+K48+K49+K62+K65+K73+K81+K82+K102+K104+K110+K120</f>
        <v>6364360.4299999997</v>
      </c>
      <c r="L129" s="1535">
        <f t="shared" si="88"/>
        <v>0</v>
      </c>
      <c r="M129" s="1535">
        <f t="shared" si="88"/>
        <v>21207.25</v>
      </c>
      <c r="N129" s="1535">
        <f t="shared" si="88"/>
        <v>0</v>
      </c>
      <c r="O129" s="1084">
        <f t="shared" si="54"/>
        <v>12749928.109999999</v>
      </c>
      <c r="P129" s="1404">
        <f t="shared" si="55"/>
        <v>21207.25</v>
      </c>
      <c r="Q129" s="1404">
        <f t="shared" si="56"/>
        <v>21207.25</v>
      </c>
      <c r="R129" s="1535">
        <f t="shared" ref="R129:V129" si="89">R6+R7+R9+R10+R12+R13+R14+R16+R20+R24+R27+R37+R45+R48+R49+R62+R65+R73+R81+R82+R102+R104+R110+R120</f>
        <v>10231484.34</v>
      </c>
      <c r="S129" s="1535">
        <f t="shared" si="89"/>
        <v>10231484.34</v>
      </c>
      <c r="T129" s="1535">
        <f t="shared" si="89"/>
        <v>0</v>
      </c>
      <c r="U129" s="1535">
        <f t="shared" si="89"/>
        <v>-0.44000000000000006</v>
      </c>
      <c r="V129" s="1535">
        <f t="shared" si="89"/>
        <v>0</v>
      </c>
      <c r="W129" s="1085">
        <f t="shared" si="58"/>
        <v>20462968.239999998</v>
      </c>
      <c r="X129" s="1404">
        <f t="shared" si="59"/>
        <v>-0.44000000000000006</v>
      </c>
      <c r="Y129" s="1404">
        <f t="shared" si="60"/>
        <v>-0.44000000000000006</v>
      </c>
      <c r="Z129" s="1535">
        <f t="shared" ref="Z129:AD129" si="90">Z6+Z7+Z9+Z10+Z12+Z13+Z14+Z16+Z20+Z24+Z27+Z37+Z45+Z48+Z49+Z62+Z65+Z73+Z81+Z82+Z102+Z104+Z110+Z120</f>
        <v>0</v>
      </c>
      <c r="AA129" s="1535">
        <f t="shared" si="90"/>
        <v>0</v>
      </c>
      <c r="AB129" s="1535">
        <f t="shared" si="90"/>
        <v>0</v>
      </c>
      <c r="AC129" s="1535">
        <f t="shared" si="90"/>
        <v>0</v>
      </c>
      <c r="AD129" s="1535">
        <f t="shared" si="90"/>
        <v>0</v>
      </c>
      <c r="AE129" s="1085">
        <f t="shared" si="49"/>
        <v>0</v>
      </c>
      <c r="AF129" s="1535">
        <f t="shared" si="75"/>
        <v>0</v>
      </c>
      <c r="AG129" s="1535">
        <f t="shared" si="76"/>
        <v>0</v>
      </c>
      <c r="AH129" s="1535">
        <f t="shared" ref="AH129:AL129" si="91">AH6+AH7+AH9+AH10+AH12+AH13+AH14+AH16+AH20+AH24+AH27+AH37+AH45+AH48+AH49+AH62+AH65+AH73+AH81+AH82+AH102+AH104+AH110+AH120</f>
        <v>1147551.1500000001</v>
      </c>
      <c r="AI129" s="1535">
        <f t="shared" si="91"/>
        <v>7432068.4700000007</v>
      </c>
      <c r="AJ129" s="1535">
        <f t="shared" si="91"/>
        <v>0</v>
      </c>
      <c r="AK129" s="1535">
        <f t="shared" si="91"/>
        <v>-0.11</v>
      </c>
      <c r="AL129" s="1535">
        <f t="shared" si="91"/>
        <v>0</v>
      </c>
      <c r="AM129" s="1088">
        <f t="shared" si="63"/>
        <v>8579619.5100000016</v>
      </c>
      <c r="AN129" s="1088">
        <f t="shared" si="64"/>
        <v>-0.11</v>
      </c>
      <c r="AO129" s="1088">
        <f t="shared" si="65"/>
        <v>-0.11</v>
      </c>
      <c r="AP129" s="1535">
        <f t="shared" ref="AP129:AT129" si="92">AP6+AP7+AP9+AP10+AP12+AP13+AP14+AP16+AP20+AP24+AP27+AP37+AP45+AP48+AP49+AP62+AP65+AP73+AP81+AP82+AP102+AP104+AP110+AP120</f>
        <v>18700.64</v>
      </c>
      <c r="AQ129" s="1535">
        <f t="shared" si="92"/>
        <v>0</v>
      </c>
      <c r="AR129" s="1535">
        <f t="shared" si="92"/>
        <v>0</v>
      </c>
      <c r="AS129" s="1535">
        <f t="shared" si="92"/>
        <v>319.79000000000002</v>
      </c>
      <c r="AT129" s="1535">
        <f t="shared" si="92"/>
        <v>0</v>
      </c>
      <c r="AU129" s="1088">
        <f t="shared" si="67"/>
        <v>19020.43</v>
      </c>
      <c r="AV129" s="1088">
        <f t="shared" si="68"/>
        <v>319.79000000000002</v>
      </c>
      <c r="AW129" s="1088">
        <f t="shared" si="69"/>
        <v>319.79000000000002</v>
      </c>
    </row>
    <row r="130" spans="1:49" s="237" customFormat="1" x14ac:dyDescent="0.2">
      <c r="A130" s="237" t="s">
        <v>268</v>
      </c>
      <c r="D130" s="1080">
        <f t="shared" ref="D130:I130" si="93">D15+D18+D22+D30+D35+D39+D42+D56+D64+D72+D78+D84+D85+D87+D93+D95+D97+D98+D101+D107+D115+D118</f>
        <v>10161262.76</v>
      </c>
      <c r="E130" s="1080">
        <f t="shared" si="93"/>
        <v>13140809.52</v>
      </c>
      <c r="F130" s="1080">
        <f t="shared" si="93"/>
        <v>0</v>
      </c>
      <c r="G130" s="1081">
        <f t="shared" si="93"/>
        <v>1201.4700000000003</v>
      </c>
      <c r="H130" s="1081">
        <f t="shared" si="93"/>
        <v>1201.4700000000003</v>
      </c>
      <c r="I130" s="1405">
        <f t="shared" si="93"/>
        <v>23303273.750000004</v>
      </c>
      <c r="J130" s="1535">
        <f t="shared" ref="J130" si="94">J15+J18+J22+J30+J35+J39+J42+J56+J64+J72+J78+J84+J85+J87+J93+J95+J97+J98+J101+J107+J115+J118</f>
        <v>3816420.8200000003</v>
      </c>
      <c r="K130" s="1535">
        <f t="shared" ref="K130:N130" si="95">K15+K18+K22+K30+K35+K39+K42+K56+K64+K72+K78+K84+K85+K87+K93+K95+K97+K98+K101+K107+K115+K118</f>
        <v>3816420.8200000003</v>
      </c>
      <c r="L130" s="1535">
        <f t="shared" si="95"/>
        <v>0</v>
      </c>
      <c r="M130" s="1535">
        <f t="shared" si="95"/>
        <v>500.42</v>
      </c>
      <c r="N130" s="1535">
        <f t="shared" si="95"/>
        <v>0</v>
      </c>
      <c r="O130" s="1084">
        <f t="shared" si="54"/>
        <v>7633342.0600000005</v>
      </c>
      <c r="P130" s="1404">
        <f t="shared" si="55"/>
        <v>500.42</v>
      </c>
      <c r="Q130" s="1404">
        <f t="shared" si="56"/>
        <v>500.42</v>
      </c>
      <c r="R130" s="1535">
        <f t="shared" ref="R130:V130" si="96">R15+R18+R22+R30+R35+R39+R42+R56+R64+R72+R78+R84+R85+R87+R93+R95+R97+R98+R101+R107+R115+R118</f>
        <v>6055606.9100000011</v>
      </c>
      <c r="S130" s="1535">
        <f t="shared" si="96"/>
        <v>6055606.9100000011</v>
      </c>
      <c r="T130" s="1535">
        <f t="shared" si="96"/>
        <v>0</v>
      </c>
      <c r="U130" s="1535">
        <f t="shared" si="96"/>
        <v>-0.35000000000000009</v>
      </c>
      <c r="V130" s="1535">
        <f t="shared" si="96"/>
        <v>701.57</v>
      </c>
      <c r="W130" s="1085">
        <f t="shared" si="58"/>
        <v>12111915.040000003</v>
      </c>
      <c r="X130" s="1404">
        <f t="shared" si="59"/>
        <v>701.22</v>
      </c>
      <c r="Y130" s="1404">
        <f t="shared" si="60"/>
        <v>701.22</v>
      </c>
      <c r="Z130" s="1535">
        <f t="shared" ref="Z130:AD130" si="97">Z15+Z18+Z22+Z30+Z35+Z39+Z42+Z56+Z64+Z72+Z78+Z84+Z85+Z87+Z93+Z95+Z97+Z98+Z101+Z107+Z115+Z118</f>
        <v>0</v>
      </c>
      <c r="AA130" s="1535">
        <f t="shared" si="97"/>
        <v>0</v>
      </c>
      <c r="AB130" s="1535">
        <f t="shared" si="97"/>
        <v>0</v>
      </c>
      <c r="AC130" s="1535">
        <f t="shared" si="97"/>
        <v>0</v>
      </c>
      <c r="AD130" s="1535">
        <f t="shared" si="97"/>
        <v>0</v>
      </c>
      <c r="AE130" s="1085">
        <f t="shared" si="49"/>
        <v>0</v>
      </c>
      <c r="AF130" s="1535">
        <f t="shared" si="75"/>
        <v>0</v>
      </c>
      <c r="AG130" s="1535">
        <f t="shared" si="76"/>
        <v>0</v>
      </c>
      <c r="AH130" s="1535">
        <f t="shared" ref="AH130:AL130" si="98">AH15+AH18+AH22+AH30+AH35+AH39+AH42+AH56+AH64+AH72+AH78+AH84+AH85+AH87+AH93+AH95+AH97+AH98+AH101+AH107+AH115+AH118</f>
        <v>276579.14999999997</v>
      </c>
      <c r="AI130" s="1535">
        <f t="shared" si="98"/>
        <v>3268781.79</v>
      </c>
      <c r="AJ130" s="1535">
        <f t="shared" si="98"/>
        <v>0</v>
      </c>
      <c r="AK130" s="1535">
        <f t="shared" si="98"/>
        <v>-0.17</v>
      </c>
      <c r="AL130" s="1535">
        <f t="shared" si="98"/>
        <v>0</v>
      </c>
      <c r="AM130" s="1088">
        <f t="shared" si="63"/>
        <v>3545360.77</v>
      </c>
      <c r="AN130" s="1088">
        <f t="shared" si="64"/>
        <v>-0.17</v>
      </c>
      <c r="AO130" s="1088">
        <f t="shared" si="65"/>
        <v>-0.17</v>
      </c>
      <c r="AP130" s="1535">
        <f t="shared" ref="AP130:AT130" si="99">AP15+AP18+AP22+AP30+AP35+AP39+AP42+AP56+AP64+AP72+AP78+AP84+AP85+AP87+AP93+AP95+AP97+AP98+AP101+AP107+AP115+AP118</f>
        <v>12655.88</v>
      </c>
      <c r="AQ130" s="1535">
        <f t="shared" si="99"/>
        <v>0</v>
      </c>
      <c r="AR130" s="1535">
        <f t="shared" si="99"/>
        <v>0</v>
      </c>
      <c r="AS130" s="1535">
        <f t="shared" si="99"/>
        <v>0</v>
      </c>
      <c r="AT130" s="1535">
        <f t="shared" si="99"/>
        <v>0</v>
      </c>
      <c r="AU130" s="1088">
        <f t="shared" si="67"/>
        <v>12655.88</v>
      </c>
      <c r="AV130" s="1088">
        <f t="shared" si="68"/>
        <v>0</v>
      </c>
      <c r="AW130" s="1088">
        <f t="shared" si="69"/>
        <v>0</v>
      </c>
    </row>
    <row r="131" spans="1:49" s="237" customFormat="1" x14ac:dyDescent="0.2">
      <c r="A131" s="237" t="s">
        <v>9</v>
      </c>
      <c r="D131" s="1080">
        <f t="shared" ref="D131:I131" si="100">SUM(D126:D130)</f>
        <v>68153786.710000008</v>
      </c>
      <c r="E131" s="1080">
        <f t="shared" si="100"/>
        <v>94354002.929999992</v>
      </c>
      <c r="F131" s="1080">
        <f t="shared" si="100"/>
        <v>0</v>
      </c>
      <c r="G131" s="1081">
        <f t="shared" si="100"/>
        <v>1123154.76</v>
      </c>
      <c r="H131" s="1081">
        <f t="shared" si="100"/>
        <v>1123154.76</v>
      </c>
      <c r="I131" s="1405">
        <f t="shared" si="100"/>
        <v>163630944.40000001</v>
      </c>
      <c r="J131" s="1536">
        <f t="shared" ref="J131" si="101">SUM(J126:J130)</f>
        <v>23647906.039999999</v>
      </c>
      <c r="K131" s="1536">
        <f t="shared" ref="K131:N131" si="102">SUM(K126:K130)</f>
        <v>23647906.039999999</v>
      </c>
      <c r="L131" s="1536">
        <f t="shared" si="102"/>
        <v>0</v>
      </c>
      <c r="M131" s="1536">
        <f t="shared" si="102"/>
        <v>33271.409999999996</v>
      </c>
      <c r="N131" s="1536">
        <f t="shared" si="102"/>
        <v>997387.75999999989</v>
      </c>
      <c r="O131" s="1084">
        <f t="shared" si="54"/>
        <v>48326471.249999993</v>
      </c>
      <c r="P131" s="1404">
        <f t="shared" si="55"/>
        <v>1030659.1699999999</v>
      </c>
      <c r="Q131" s="1404">
        <f t="shared" si="56"/>
        <v>1030659.1699999999</v>
      </c>
      <c r="R131" s="1536">
        <f t="shared" ref="R131:V131" si="103">SUM(R126:R130)</f>
        <v>40185476.170000009</v>
      </c>
      <c r="S131" s="1536">
        <f t="shared" si="103"/>
        <v>40185476.170000009</v>
      </c>
      <c r="T131" s="1536">
        <f t="shared" si="103"/>
        <v>0</v>
      </c>
      <c r="U131" s="1536">
        <f t="shared" si="103"/>
        <v>6277.579999999999</v>
      </c>
      <c r="V131" s="1536">
        <f t="shared" si="103"/>
        <v>80898.959999999992</v>
      </c>
      <c r="W131" s="1085">
        <f t="shared" si="58"/>
        <v>80458128.88000001</v>
      </c>
      <c r="X131" s="1404">
        <f t="shared" si="59"/>
        <v>87176.54</v>
      </c>
      <c r="Y131" s="1404">
        <f t="shared" si="60"/>
        <v>87176.54</v>
      </c>
      <c r="Z131" s="1536">
        <f t="shared" ref="Z131:AD131" si="104">SUM(Z126:Z130)</f>
        <v>4750</v>
      </c>
      <c r="AA131" s="1536">
        <f t="shared" si="104"/>
        <v>4750</v>
      </c>
      <c r="AB131" s="1536">
        <f t="shared" si="104"/>
        <v>0</v>
      </c>
      <c r="AC131" s="1536">
        <f t="shared" si="104"/>
        <v>5000</v>
      </c>
      <c r="AD131" s="1536">
        <f t="shared" si="104"/>
        <v>0</v>
      </c>
      <c r="AE131" s="1085">
        <f t="shared" si="49"/>
        <v>14500</v>
      </c>
      <c r="AF131" s="1536">
        <f t="shared" si="75"/>
        <v>5000</v>
      </c>
      <c r="AG131" s="1536">
        <f t="shared" si="76"/>
        <v>5000</v>
      </c>
      <c r="AH131" s="1536">
        <f t="shared" ref="AH131:AL131" si="105">SUM(AH126:AH130)</f>
        <v>4258505.3100000005</v>
      </c>
      <c r="AI131" s="1536">
        <f t="shared" si="105"/>
        <v>30515870.719999999</v>
      </c>
      <c r="AJ131" s="1536">
        <f t="shared" si="105"/>
        <v>0</v>
      </c>
      <c r="AK131" s="1536">
        <f t="shared" si="105"/>
        <v>-0.74</v>
      </c>
      <c r="AL131" s="1536">
        <f t="shared" si="105"/>
        <v>0</v>
      </c>
      <c r="AM131" s="1088">
        <f t="shared" si="63"/>
        <v>34774375.289999999</v>
      </c>
      <c r="AN131" s="1088">
        <f t="shared" si="64"/>
        <v>-0.74</v>
      </c>
      <c r="AO131" s="1088">
        <f t="shared" si="65"/>
        <v>-0.74</v>
      </c>
      <c r="AP131" s="1536">
        <f t="shared" ref="AP131:AT131" si="106">SUM(AP126:AP130)</f>
        <v>57149.189999999995</v>
      </c>
      <c r="AQ131" s="1536">
        <f t="shared" si="106"/>
        <v>0</v>
      </c>
      <c r="AR131" s="1536">
        <f t="shared" si="106"/>
        <v>0</v>
      </c>
      <c r="AS131" s="1536">
        <f t="shared" si="106"/>
        <v>319.79000000000002</v>
      </c>
      <c r="AT131" s="1536">
        <f t="shared" si="106"/>
        <v>0</v>
      </c>
      <c r="AU131" s="1088">
        <f t="shared" si="67"/>
        <v>57468.979999999996</v>
      </c>
      <c r="AV131" s="1088">
        <f t="shared" si="68"/>
        <v>319.79000000000002</v>
      </c>
      <c r="AW131" s="1088">
        <f t="shared" si="69"/>
        <v>319.79000000000002</v>
      </c>
    </row>
    <row r="132" spans="1:49" s="237" customFormat="1" x14ac:dyDescent="0.2">
      <c r="J132" s="1093"/>
      <c r="K132" s="1093"/>
      <c r="L132" s="1093"/>
      <c r="M132" s="1093"/>
      <c r="N132" s="1093"/>
      <c r="O132" s="1404"/>
      <c r="P132" s="1404"/>
      <c r="Q132" s="1404"/>
      <c r="R132" s="1093"/>
      <c r="S132" s="1093"/>
      <c r="T132" s="1093"/>
      <c r="U132" s="1093"/>
      <c r="V132" s="1093"/>
      <c r="W132" s="1404"/>
      <c r="X132" s="1404"/>
      <c r="Y132" s="1404"/>
      <c r="Z132" s="1093"/>
      <c r="AA132" s="1093"/>
      <c r="AB132" s="1093"/>
      <c r="AC132" s="1093"/>
      <c r="AD132" s="1093"/>
      <c r="AE132" s="1404"/>
      <c r="AF132" s="1404"/>
      <c r="AG132" s="1404"/>
      <c r="AH132" s="1093"/>
      <c r="AI132" s="1093"/>
      <c r="AJ132" s="1093"/>
      <c r="AK132" s="1093"/>
      <c r="AL132" s="1093"/>
      <c r="AM132" s="1534"/>
      <c r="AN132" s="1534"/>
      <c r="AO132" s="1534"/>
    </row>
    <row r="133" spans="1:49" s="1094" customFormat="1" x14ac:dyDescent="0.2">
      <c r="A133" s="1094" t="s">
        <v>1205</v>
      </c>
      <c r="B133" s="1095"/>
      <c r="C133" s="1095"/>
      <c r="D133" s="1096"/>
    </row>
    <row r="134" spans="1:49" s="1094" customFormat="1" x14ac:dyDescent="0.2"/>
    <row r="135" spans="1:49" s="185" customFormat="1" x14ac:dyDescent="0.2">
      <c r="A135" s="185" t="s">
        <v>248</v>
      </c>
    </row>
    <row r="136" spans="1:49" x14ac:dyDescent="0.2">
      <c r="A136" s="192" t="s">
        <v>249</v>
      </c>
      <c r="B136" s="170" t="s">
        <v>250</v>
      </c>
      <c r="C136" s="170"/>
    </row>
  </sheetData>
  <autoFilter ref="A3:C124"/>
  <hyperlinks>
    <hyperlink ref="B136" r:id="rId1"/>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1" ySplit="4" topLeftCell="B99" activePane="bottomRight" state="frozen"/>
      <selection pane="topRight" activeCell="B1" sqref="B1"/>
      <selection pane="bottomLeft" activeCell="A5" sqref="A5"/>
      <selection pane="bottomRight" activeCell="D126" sqref="D126:D131"/>
    </sheetView>
  </sheetViews>
  <sheetFormatPr defaultRowHeight="12.75" x14ac:dyDescent="0.2"/>
  <cols>
    <col min="1" max="1" width="9" style="222"/>
    <col min="2" max="2" width="27.75" style="222" customWidth="1"/>
    <col min="3" max="3" width="14.25" style="222" customWidth="1"/>
    <col min="4" max="9" width="12.125" style="222" customWidth="1"/>
    <col min="10" max="16384" width="9" style="222"/>
  </cols>
  <sheetData>
    <row r="1" spans="1:9" x14ac:dyDescent="0.2">
      <c r="A1" s="65" t="s">
        <v>1184</v>
      </c>
      <c r="D1" s="1063"/>
      <c r="E1" s="1063"/>
      <c r="F1" s="1063"/>
      <c r="G1" s="1063"/>
      <c r="H1" s="1063"/>
      <c r="I1" s="1063"/>
    </row>
    <row r="2" spans="1:9" x14ac:dyDescent="0.2">
      <c r="D2" s="1064"/>
      <c r="E2" s="1064"/>
      <c r="F2" s="1064"/>
      <c r="G2" s="1064"/>
      <c r="H2" s="1064"/>
      <c r="I2" s="1064"/>
    </row>
    <row r="3" spans="1:9" ht="25.5" x14ac:dyDescent="0.2">
      <c r="A3" s="1065" t="s">
        <v>4</v>
      </c>
      <c r="B3" s="1066" t="s">
        <v>5</v>
      </c>
      <c r="C3" s="1066" t="s">
        <v>251</v>
      </c>
      <c r="D3" s="1067" t="s">
        <v>1021</v>
      </c>
      <c r="E3" s="1068" t="s">
        <v>1022</v>
      </c>
      <c r="F3" s="1068" t="s">
        <v>1020</v>
      </c>
      <c r="G3" s="1068" t="s">
        <v>1023</v>
      </c>
      <c r="H3" s="1070" t="s">
        <v>1024</v>
      </c>
      <c r="I3" s="1070" t="s">
        <v>1025</v>
      </c>
    </row>
    <row r="4" spans="1:9" x14ac:dyDescent="0.2">
      <c r="A4" s="1071">
        <v>999</v>
      </c>
      <c r="B4" s="1072" t="s">
        <v>9</v>
      </c>
      <c r="C4" s="1073"/>
      <c r="D4" s="1074">
        <f t="shared" ref="D4:H4" si="0">SUM(D5:D124)</f>
        <v>0</v>
      </c>
      <c r="E4" s="1075">
        <f t="shared" si="0"/>
        <v>223512032.00000009</v>
      </c>
      <c r="F4" s="1075">
        <f t="shared" si="0"/>
        <v>119788501.26000006</v>
      </c>
      <c r="G4" s="1075">
        <f t="shared" si="0"/>
        <v>0</v>
      </c>
      <c r="H4" s="1077">
        <f t="shared" si="0"/>
        <v>343300533.26000011</v>
      </c>
      <c r="I4" s="1077">
        <f t="shared" ref="I4" si="1">SUM(I5:I124)</f>
        <v>119788501.26000006</v>
      </c>
    </row>
    <row r="5" spans="1:9" s="237" customFormat="1" x14ac:dyDescent="0.2">
      <c r="A5" s="1078" t="s">
        <v>10</v>
      </c>
      <c r="B5" s="1079" t="s">
        <v>11</v>
      </c>
      <c r="C5" s="103" t="s">
        <v>264</v>
      </c>
      <c r="D5" s="1082"/>
      <c r="E5" s="1083">
        <v>493115</v>
      </c>
      <c r="F5" s="1083">
        <v>169137.57</v>
      </c>
      <c r="G5" s="1087"/>
      <c r="H5" s="1085">
        <f>SUM(D5:G5)</f>
        <v>662252.57000000007</v>
      </c>
      <c r="I5" s="1085">
        <f>F5+G5</f>
        <v>169137.57</v>
      </c>
    </row>
    <row r="6" spans="1:9" s="237" customFormat="1" x14ac:dyDescent="0.2">
      <c r="A6" s="1078" t="s">
        <v>12</v>
      </c>
      <c r="B6" s="1079" t="s">
        <v>13</v>
      </c>
      <c r="C6" s="103" t="s">
        <v>265</v>
      </c>
      <c r="D6" s="1082"/>
      <c r="E6" s="1083">
        <v>5478095.5899999999</v>
      </c>
      <c r="F6" s="1083">
        <v>4021455.07</v>
      </c>
      <c r="G6" s="1087"/>
      <c r="H6" s="1085">
        <f t="shared" ref="H6:H69" si="2">SUM(D6:G6)</f>
        <v>9499550.6600000001</v>
      </c>
      <c r="I6" s="1085">
        <f t="shared" ref="I6:I69" si="3">F6+G6</f>
        <v>4021455.07</v>
      </c>
    </row>
    <row r="7" spans="1:9" s="237" customFormat="1" x14ac:dyDescent="0.2">
      <c r="A7" s="1078" t="s">
        <v>16</v>
      </c>
      <c r="B7" s="1079" t="s">
        <v>297</v>
      </c>
      <c r="C7" s="103" t="s">
        <v>265</v>
      </c>
      <c r="D7" s="1082"/>
      <c r="E7" s="1083">
        <v>1985810.33</v>
      </c>
      <c r="F7" s="1083">
        <v>557469.31000000006</v>
      </c>
      <c r="G7" s="1087"/>
      <c r="H7" s="1085">
        <f t="shared" si="2"/>
        <v>2543279.64</v>
      </c>
      <c r="I7" s="1085">
        <f t="shared" si="3"/>
        <v>557469.31000000006</v>
      </c>
    </row>
    <row r="8" spans="1:9" s="237" customFormat="1" x14ac:dyDescent="0.2">
      <c r="A8" s="1078" t="s">
        <v>18</v>
      </c>
      <c r="B8" s="1079" t="s">
        <v>19</v>
      </c>
      <c r="C8" s="103" t="s">
        <v>266</v>
      </c>
      <c r="D8" s="1082"/>
      <c r="E8" s="1083">
        <v>241197.71</v>
      </c>
      <c r="F8" s="1083">
        <v>117661.82</v>
      </c>
      <c r="G8" s="1087"/>
      <c r="H8" s="1085">
        <f t="shared" si="2"/>
        <v>358859.53</v>
      </c>
      <c r="I8" s="1085">
        <f t="shared" si="3"/>
        <v>117661.82</v>
      </c>
    </row>
    <row r="9" spans="1:9" s="237" customFormat="1" x14ac:dyDescent="0.2">
      <c r="A9" s="1078" t="s">
        <v>20</v>
      </c>
      <c r="B9" s="1079" t="s">
        <v>21</v>
      </c>
      <c r="C9" s="103" t="s">
        <v>265</v>
      </c>
      <c r="D9" s="1082"/>
      <c r="E9" s="1083">
        <v>731119.87</v>
      </c>
      <c r="F9" s="1083">
        <v>272845.7</v>
      </c>
      <c r="G9" s="1087"/>
      <c r="H9" s="1085">
        <f t="shared" si="2"/>
        <v>1003965.5700000001</v>
      </c>
      <c r="I9" s="1085">
        <f t="shared" si="3"/>
        <v>272845.7</v>
      </c>
    </row>
    <row r="10" spans="1:9" s="237" customFormat="1" x14ac:dyDescent="0.2">
      <c r="A10" s="1078" t="s">
        <v>22</v>
      </c>
      <c r="B10" s="1079" t="s">
        <v>23</v>
      </c>
      <c r="C10" s="103" t="s">
        <v>265</v>
      </c>
      <c r="D10" s="1082"/>
      <c r="E10" s="1083">
        <v>1140699.54</v>
      </c>
      <c r="F10" s="1083">
        <v>369819.52</v>
      </c>
      <c r="G10" s="1087"/>
      <c r="H10" s="1085">
        <f t="shared" si="2"/>
        <v>1510519.06</v>
      </c>
      <c r="I10" s="1085">
        <f t="shared" si="3"/>
        <v>369819.52</v>
      </c>
    </row>
    <row r="11" spans="1:9" s="237" customFormat="1" x14ac:dyDescent="0.2">
      <c r="A11" s="1078" t="s">
        <v>24</v>
      </c>
      <c r="B11" s="1079" t="s">
        <v>25</v>
      </c>
      <c r="C11" s="103" t="s">
        <v>267</v>
      </c>
      <c r="D11" s="1082"/>
      <c r="E11" s="1083">
        <v>3383287.84</v>
      </c>
      <c r="F11" s="1083">
        <v>2916217.78</v>
      </c>
      <c r="G11" s="1087"/>
      <c r="H11" s="1085">
        <f t="shared" si="2"/>
        <v>6299505.6199999992</v>
      </c>
      <c r="I11" s="1085">
        <f t="shared" si="3"/>
        <v>2916217.78</v>
      </c>
    </row>
    <row r="12" spans="1:9" s="237" customFormat="1" x14ac:dyDescent="0.2">
      <c r="A12" s="1078" t="s">
        <v>26</v>
      </c>
      <c r="B12" s="1079" t="s">
        <v>686</v>
      </c>
      <c r="C12" s="103" t="s">
        <v>265</v>
      </c>
      <c r="D12" s="1082"/>
      <c r="E12" s="1083">
        <v>6244067.2400000002</v>
      </c>
      <c r="F12" s="1083">
        <v>2771032.97</v>
      </c>
      <c r="G12" s="1087"/>
      <c r="H12" s="1085">
        <f t="shared" si="2"/>
        <v>9015100.2100000009</v>
      </c>
      <c r="I12" s="1085">
        <f t="shared" si="3"/>
        <v>2771032.97</v>
      </c>
    </row>
    <row r="13" spans="1:9" s="237" customFormat="1" x14ac:dyDescent="0.2">
      <c r="A13" s="1078" t="s">
        <v>27</v>
      </c>
      <c r="B13" s="1079" t="s">
        <v>28</v>
      </c>
      <c r="C13" s="103" t="s">
        <v>265</v>
      </c>
      <c r="D13" s="1082"/>
      <c r="E13" s="1083">
        <v>100384.64</v>
      </c>
      <c r="F13" s="1083">
        <v>76439.360000000001</v>
      </c>
      <c r="G13" s="1087"/>
      <c r="H13" s="1085">
        <f t="shared" si="2"/>
        <v>176824</v>
      </c>
      <c r="I13" s="1085">
        <f t="shared" si="3"/>
        <v>76439.360000000001</v>
      </c>
    </row>
    <row r="14" spans="1:9" s="237" customFormat="1" x14ac:dyDescent="0.2">
      <c r="A14" s="1078" t="s">
        <v>29</v>
      </c>
      <c r="B14" s="1079" t="s">
        <v>941</v>
      </c>
      <c r="C14" s="103" t="s">
        <v>265</v>
      </c>
      <c r="D14" s="1082"/>
      <c r="E14" s="1083">
        <v>1154086.67</v>
      </c>
      <c r="F14" s="1083">
        <v>514298.04</v>
      </c>
      <c r="G14" s="1087"/>
      <c r="H14" s="1085">
        <f t="shared" si="2"/>
        <v>1668384.71</v>
      </c>
      <c r="I14" s="1085">
        <f t="shared" si="3"/>
        <v>514298.04</v>
      </c>
    </row>
    <row r="15" spans="1:9" s="237" customFormat="1" x14ac:dyDescent="0.2">
      <c r="A15" s="1078" t="s">
        <v>30</v>
      </c>
      <c r="B15" s="1079" t="s">
        <v>31</v>
      </c>
      <c r="C15" s="103" t="s">
        <v>268</v>
      </c>
      <c r="D15" s="1082"/>
      <c r="E15" s="1083">
        <v>274004.82</v>
      </c>
      <c r="F15" s="1083">
        <v>73528.2</v>
      </c>
      <c r="G15" s="1087"/>
      <c r="H15" s="1085">
        <f t="shared" si="2"/>
        <v>347533.02</v>
      </c>
      <c r="I15" s="1085">
        <f t="shared" si="3"/>
        <v>73528.2</v>
      </c>
    </row>
    <row r="16" spans="1:9" s="237" customFormat="1" x14ac:dyDescent="0.2">
      <c r="A16" s="1078" t="s">
        <v>32</v>
      </c>
      <c r="B16" s="1079" t="s">
        <v>33</v>
      </c>
      <c r="C16" s="103" t="s">
        <v>265</v>
      </c>
      <c r="D16" s="1082"/>
      <c r="E16" s="1083">
        <v>746247.37</v>
      </c>
      <c r="F16" s="1083">
        <v>391738.54</v>
      </c>
      <c r="G16" s="1087"/>
      <c r="H16" s="1085">
        <f t="shared" si="2"/>
        <v>1137985.9099999999</v>
      </c>
      <c r="I16" s="1085">
        <f t="shared" si="3"/>
        <v>391738.54</v>
      </c>
    </row>
    <row r="17" spans="1:9" s="237" customFormat="1" x14ac:dyDescent="0.2">
      <c r="A17" s="1078" t="s">
        <v>36</v>
      </c>
      <c r="B17" s="1079" t="s">
        <v>37</v>
      </c>
      <c r="C17" s="103" t="s">
        <v>264</v>
      </c>
      <c r="D17" s="1082"/>
      <c r="E17" s="1083">
        <v>421071.2</v>
      </c>
      <c r="F17" s="1083">
        <v>133350.94</v>
      </c>
      <c r="G17" s="1087"/>
      <c r="H17" s="1085">
        <f t="shared" si="2"/>
        <v>554422.14</v>
      </c>
      <c r="I17" s="1085">
        <f t="shared" si="3"/>
        <v>133350.94</v>
      </c>
    </row>
    <row r="18" spans="1:9" s="237" customFormat="1" x14ac:dyDescent="0.2">
      <c r="A18" s="1078" t="s">
        <v>38</v>
      </c>
      <c r="B18" s="1079" t="s">
        <v>39</v>
      </c>
      <c r="C18" s="103" t="s">
        <v>268</v>
      </c>
      <c r="D18" s="1082"/>
      <c r="E18" s="1083">
        <v>886166.6</v>
      </c>
      <c r="F18" s="1083">
        <v>451365.72</v>
      </c>
      <c r="G18" s="1087"/>
      <c r="H18" s="1085">
        <f t="shared" si="2"/>
        <v>1337532.3199999998</v>
      </c>
      <c r="I18" s="1085">
        <f t="shared" si="3"/>
        <v>451365.72</v>
      </c>
    </row>
    <row r="19" spans="1:9" s="237" customFormat="1" x14ac:dyDescent="0.2">
      <c r="A19" s="1078" t="s">
        <v>40</v>
      </c>
      <c r="B19" s="1079" t="s">
        <v>41</v>
      </c>
      <c r="C19" s="103" t="s">
        <v>266</v>
      </c>
      <c r="D19" s="1082"/>
      <c r="E19" s="1083">
        <v>1350658.86</v>
      </c>
      <c r="F19" s="1083">
        <v>321254.32</v>
      </c>
      <c r="G19" s="1087"/>
      <c r="H19" s="1085">
        <f t="shared" si="2"/>
        <v>1671913.1800000002</v>
      </c>
      <c r="I19" s="1085">
        <f t="shared" si="3"/>
        <v>321254.32</v>
      </c>
    </row>
    <row r="20" spans="1:9" s="237" customFormat="1" x14ac:dyDescent="0.2">
      <c r="A20" s="1078" t="s">
        <v>42</v>
      </c>
      <c r="B20" s="1079" t="s">
        <v>43</v>
      </c>
      <c r="C20" s="103" t="s">
        <v>265</v>
      </c>
      <c r="D20" s="1082"/>
      <c r="E20" s="1083">
        <v>1557884.23</v>
      </c>
      <c r="F20" s="1083">
        <v>679695.13</v>
      </c>
      <c r="G20" s="1087"/>
      <c r="H20" s="1085">
        <f t="shared" si="2"/>
        <v>2237579.36</v>
      </c>
      <c r="I20" s="1085">
        <f t="shared" si="3"/>
        <v>679695.13</v>
      </c>
    </row>
    <row r="21" spans="1:9" s="237" customFormat="1" x14ac:dyDescent="0.2">
      <c r="A21" s="1078" t="s">
        <v>44</v>
      </c>
      <c r="B21" s="1079" t="s">
        <v>45</v>
      </c>
      <c r="C21" s="103" t="s">
        <v>266</v>
      </c>
      <c r="D21" s="1082"/>
      <c r="E21" s="1083">
        <v>1341401.18</v>
      </c>
      <c r="F21" s="1083">
        <v>688559.31</v>
      </c>
      <c r="G21" s="1087"/>
      <c r="H21" s="1085">
        <f t="shared" si="2"/>
        <v>2029960.49</v>
      </c>
      <c r="I21" s="1085">
        <f t="shared" si="3"/>
        <v>688559.31</v>
      </c>
    </row>
    <row r="22" spans="1:9" s="237" customFormat="1" x14ac:dyDescent="0.2">
      <c r="A22" s="1078" t="s">
        <v>46</v>
      </c>
      <c r="B22" s="1079" t="s">
        <v>47</v>
      </c>
      <c r="C22" s="103" t="s">
        <v>268</v>
      </c>
      <c r="D22" s="1082"/>
      <c r="E22" s="1083">
        <v>1318606.02</v>
      </c>
      <c r="F22" s="1083">
        <v>430656.56</v>
      </c>
      <c r="G22" s="1087"/>
      <c r="H22" s="1085">
        <f t="shared" si="2"/>
        <v>1749262.58</v>
      </c>
      <c r="I22" s="1085">
        <f t="shared" si="3"/>
        <v>430656.56</v>
      </c>
    </row>
    <row r="23" spans="1:9" s="237" customFormat="1" x14ac:dyDescent="0.2">
      <c r="A23" s="1078" t="s">
        <v>48</v>
      </c>
      <c r="B23" s="1079" t="s">
        <v>269</v>
      </c>
      <c r="C23" s="103" t="s">
        <v>266</v>
      </c>
      <c r="D23" s="1082"/>
      <c r="E23" s="1083">
        <v>144804.03</v>
      </c>
      <c r="F23" s="1083">
        <v>61770.97</v>
      </c>
      <c r="G23" s="1087"/>
      <c r="H23" s="1085">
        <f t="shared" si="2"/>
        <v>206575</v>
      </c>
      <c r="I23" s="1085">
        <f t="shared" si="3"/>
        <v>61770.97</v>
      </c>
    </row>
    <row r="24" spans="1:9" s="237" customFormat="1" x14ac:dyDescent="0.2">
      <c r="A24" s="1078" t="s">
        <v>50</v>
      </c>
      <c r="B24" s="1079" t="s">
        <v>51</v>
      </c>
      <c r="C24" s="103" t="s">
        <v>265</v>
      </c>
      <c r="D24" s="1082"/>
      <c r="E24" s="1083">
        <v>965322.67</v>
      </c>
      <c r="F24" s="1083">
        <v>269068.14</v>
      </c>
      <c r="G24" s="1087"/>
      <c r="H24" s="1085">
        <f t="shared" si="2"/>
        <v>1234390.81</v>
      </c>
      <c r="I24" s="1085">
        <f t="shared" si="3"/>
        <v>269068.14</v>
      </c>
    </row>
    <row r="25" spans="1:9" s="237" customFormat="1" x14ac:dyDescent="0.2">
      <c r="A25" s="1078" t="s">
        <v>56</v>
      </c>
      <c r="B25" s="1079" t="s">
        <v>295</v>
      </c>
      <c r="C25" s="103" t="s">
        <v>266</v>
      </c>
      <c r="D25" s="1082"/>
      <c r="E25" s="1083">
        <v>6106816.0800000001</v>
      </c>
      <c r="F25" s="1083">
        <v>3710854.3899999997</v>
      </c>
      <c r="G25" s="1087"/>
      <c r="H25" s="1085">
        <f t="shared" si="2"/>
        <v>9817670.4699999988</v>
      </c>
      <c r="I25" s="1085">
        <f t="shared" si="3"/>
        <v>3710854.3899999997</v>
      </c>
    </row>
    <row r="26" spans="1:9" s="237" customFormat="1" x14ac:dyDescent="0.2">
      <c r="A26" s="1078" t="s">
        <v>58</v>
      </c>
      <c r="B26" s="1079" t="s">
        <v>59</v>
      </c>
      <c r="C26" s="103" t="s">
        <v>267</v>
      </c>
      <c r="D26" s="1082"/>
      <c r="E26" s="1083">
        <v>349302.94</v>
      </c>
      <c r="F26" s="1083">
        <v>287167.09000000003</v>
      </c>
      <c r="G26" s="1087"/>
      <c r="H26" s="1085">
        <f t="shared" si="2"/>
        <v>636470.03</v>
      </c>
      <c r="I26" s="1085">
        <f t="shared" si="3"/>
        <v>287167.09000000003</v>
      </c>
    </row>
    <row r="27" spans="1:9" s="237" customFormat="1" x14ac:dyDescent="0.2">
      <c r="A27" s="1078" t="s">
        <v>60</v>
      </c>
      <c r="B27" s="1079" t="s">
        <v>61</v>
      </c>
      <c r="C27" s="103" t="s">
        <v>265</v>
      </c>
      <c r="D27" s="1082"/>
      <c r="E27" s="1083">
        <v>330498.56</v>
      </c>
      <c r="F27" s="1083">
        <v>130318.94</v>
      </c>
      <c r="G27" s="1087"/>
      <c r="H27" s="1085">
        <f t="shared" si="2"/>
        <v>460817.5</v>
      </c>
      <c r="I27" s="1085">
        <f t="shared" si="3"/>
        <v>130318.94</v>
      </c>
    </row>
    <row r="28" spans="1:9" s="237" customFormat="1" x14ac:dyDescent="0.2">
      <c r="A28" s="1078" t="s">
        <v>62</v>
      </c>
      <c r="B28" s="1079" t="s">
        <v>63</v>
      </c>
      <c r="C28" s="103" t="s">
        <v>267</v>
      </c>
      <c r="D28" s="1082"/>
      <c r="E28" s="1083">
        <v>3066246.77</v>
      </c>
      <c r="F28" s="1083">
        <v>1584374.21</v>
      </c>
      <c r="G28" s="1087"/>
      <c r="H28" s="1085">
        <f t="shared" si="2"/>
        <v>4650620.9800000004</v>
      </c>
      <c r="I28" s="1085">
        <f t="shared" si="3"/>
        <v>1584374.21</v>
      </c>
    </row>
    <row r="29" spans="1:9" s="237" customFormat="1" x14ac:dyDescent="0.2">
      <c r="A29" s="1078" t="s">
        <v>64</v>
      </c>
      <c r="B29" s="1079" t="s">
        <v>65</v>
      </c>
      <c r="C29" s="103" t="s">
        <v>266</v>
      </c>
      <c r="D29" s="1082"/>
      <c r="E29" s="1083">
        <v>415966.03</v>
      </c>
      <c r="F29" s="1083">
        <v>176612.63</v>
      </c>
      <c r="G29" s="1087"/>
      <c r="H29" s="1085">
        <f t="shared" si="2"/>
        <v>592578.66</v>
      </c>
      <c r="I29" s="1085">
        <f t="shared" si="3"/>
        <v>176612.63</v>
      </c>
    </row>
    <row r="30" spans="1:9" s="237" customFormat="1" x14ac:dyDescent="0.2">
      <c r="A30" s="1078" t="s">
        <v>68</v>
      </c>
      <c r="B30" s="1079" t="s">
        <v>69</v>
      </c>
      <c r="C30" s="103" t="s">
        <v>268</v>
      </c>
      <c r="D30" s="1082"/>
      <c r="E30" s="1083">
        <v>847906.7</v>
      </c>
      <c r="F30" s="1083">
        <v>325018.53999999998</v>
      </c>
      <c r="G30" s="1087"/>
      <c r="H30" s="1085">
        <f t="shared" si="2"/>
        <v>1172925.24</v>
      </c>
      <c r="I30" s="1085">
        <f t="shared" si="3"/>
        <v>325018.53999999998</v>
      </c>
    </row>
    <row r="31" spans="1:9" s="237" customFormat="1" x14ac:dyDescent="0.2">
      <c r="A31" s="1078" t="s">
        <v>70</v>
      </c>
      <c r="B31" s="1079" t="s">
        <v>71</v>
      </c>
      <c r="C31" s="103" t="s">
        <v>264</v>
      </c>
      <c r="D31" s="1082"/>
      <c r="E31" s="1083">
        <v>949020.34</v>
      </c>
      <c r="F31" s="1083">
        <v>482810.01</v>
      </c>
      <c r="G31" s="1087"/>
      <c r="H31" s="1085">
        <f t="shared" si="2"/>
        <v>1431830.35</v>
      </c>
      <c r="I31" s="1085">
        <f t="shared" si="3"/>
        <v>482810.01</v>
      </c>
    </row>
    <row r="32" spans="1:9" s="237" customFormat="1" x14ac:dyDescent="0.2">
      <c r="A32" s="1078" t="s">
        <v>72</v>
      </c>
      <c r="B32" s="1079" t="s">
        <v>73</v>
      </c>
      <c r="C32" s="103" t="s">
        <v>266</v>
      </c>
      <c r="D32" s="1082"/>
      <c r="E32" s="1083">
        <v>203092.07</v>
      </c>
      <c r="F32" s="1083">
        <v>132504.71</v>
      </c>
      <c r="G32" s="1087"/>
      <c r="H32" s="1085">
        <f t="shared" si="2"/>
        <v>335596.78</v>
      </c>
      <c r="I32" s="1085">
        <f t="shared" si="3"/>
        <v>132504.71</v>
      </c>
    </row>
    <row r="33" spans="1:9" s="237" customFormat="1" x14ac:dyDescent="0.2">
      <c r="A33" s="1078" t="s">
        <v>74</v>
      </c>
      <c r="B33" s="1079" t="s">
        <v>302</v>
      </c>
      <c r="C33" s="103" t="s">
        <v>267</v>
      </c>
      <c r="D33" s="1082"/>
      <c r="E33" s="1083">
        <v>22030277.030000001</v>
      </c>
      <c r="F33" s="1083">
        <v>17742393.449999999</v>
      </c>
      <c r="G33" s="1087"/>
      <c r="H33" s="1085">
        <f t="shared" si="2"/>
        <v>39772670.480000004</v>
      </c>
      <c r="I33" s="1085">
        <f t="shared" si="3"/>
        <v>17742393.449999999</v>
      </c>
    </row>
    <row r="34" spans="1:9" s="237" customFormat="1" x14ac:dyDescent="0.2">
      <c r="A34" s="1078" t="s">
        <v>76</v>
      </c>
      <c r="B34" s="1079" t="s">
        <v>77</v>
      </c>
      <c r="C34" s="103" t="s">
        <v>267</v>
      </c>
      <c r="D34" s="1082"/>
      <c r="E34" s="1083">
        <v>2842164.09</v>
      </c>
      <c r="F34" s="1083">
        <v>2346191.4500000002</v>
      </c>
      <c r="G34" s="1087"/>
      <c r="H34" s="1085">
        <f t="shared" si="2"/>
        <v>5188355.54</v>
      </c>
      <c r="I34" s="1085">
        <f t="shared" si="3"/>
        <v>2346191.4500000002</v>
      </c>
    </row>
    <row r="35" spans="1:9" s="237" customFormat="1" x14ac:dyDescent="0.2">
      <c r="A35" s="1078" t="s">
        <v>78</v>
      </c>
      <c r="B35" s="1079" t="s">
        <v>79</v>
      </c>
      <c r="C35" s="103" t="s">
        <v>268</v>
      </c>
      <c r="D35" s="1082"/>
      <c r="E35" s="1083">
        <v>324007.78999999998</v>
      </c>
      <c r="F35" s="1083">
        <v>86080.03</v>
      </c>
      <c r="G35" s="1087"/>
      <c r="H35" s="1085">
        <f t="shared" si="2"/>
        <v>410087.81999999995</v>
      </c>
      <c r="I35" s="1085">
        <f t="shared" si="3"/>
        <v>86080.03</v>
      </c>
    </row>
    <row r="36" spans="1:9" s="237" customFormat="1" x14ac:dyDescent="0.2">
      <c r="A36" s="1078" t="s">
        <v>80</v>
      </c>
      <c r="B36" s="1079" t="s">
        <v>81</v>
      </c>
      <c r="C36" s="103" t="s">
        <v>266</v>
      </c>
      <c r="D36" s="1082"/>
      <c r="E36" s="1083">
        <v>1273049.54</v>
      </c>
      <c r="F36" s="1083">
        <v>728805.81</v>
      </c>
      <c r="G36" s="1087"/>
      <c r="H36" s="1085">
        <f t="shared" si="2"/>
        <v>2001855.35</v>
      </c>
      <c r="I36" s="1085">
        <f t="shared" si="3"/>
        <v>728805.81</v>
      </c>
    </row>
    <row r="37" spans="1:9" s="237" customFormat="1" x14ac:dyDescent="0.2">
      <c r="A37" s="1078" t="s">
        <v>84</v>
      </c>
      <c r="B37" s="1079" t="s">
        <v>308</v>
      </c>
      <c r="C37" s="103" t="s">
        <v>265</v>
      </c>
      <c r="D37" s="1082"/>
      <c r="E37" s="1083">
        <v>3227372.46</v>
      </c>
      <c r="F37" s="1083">
        <v>1138885.1599999999</v>
      </c>
      <c r="G37" s="1087"/>
      <c r="H37" s="1085">
        <f t="shared" si="2"/>
        <v>4366257.62</v>
      </c>
      <c r="I37" s="1085">
        <f t="shared" si="3"/>
        <v>1138885.1599999999</v>
      </c>
    </row>
    <row r="38" spans="1:9" s="237" customFormat="1" x14ac:dyDescent="0.2">
      <c r="A38" s="1078" t="s">
        <v>86</v>
      </c>
      <c r="B38" s="1079" t="s">
        <v>87</v>
      </c>
      <c r="C38" s="103" t="s">
        <v>267</v>
      </c>
      <c r="D38" s="1082"/>
      <c r="E38" s="1083">
        <v>1135545.3600000001</v>
      </c>
      <c r="F38" s="1083">
        <v>777839.27</v>
      </c>
      <c r="G38" s="1087"/>
      <c r="H38" s="1085">
        <f t="shared" si="2"/>
        <v>1913384.6300000001</v>
      </c>
      <c r="I38" s="1085">
        <f t="shared" si="3"/>
        <v>777839.27</v>
      </c>
    </row>
    <row r="39" spans="1:9" s="237" customFormat="1" x14ac:dyDescent="0.2">
      <c r="A39" s="1078" t="s">
        <v>92</v>
      </c>
      <c r="B39" s="1079" t="s">
        <v>93</v>
      </c>
      <c r="C39" s="103" t="s">
        <v>268</v>
      </c>
      <c r="D39" s="1082"/>
      <c r="E39" s="1083">
        <v>953449.27</v>
      </c>
      <c r="F39" s="1083">
        <v>319056.96999999997</v>
      </c>
      <c r="G39" s="1087"/>
      <c r="H39" s="1085">
        <f t="shared" si="2"/>
        <v>1272506.24</v>
      </c>
      <c r="I39" s="1085">
        <f t="shared" si="3"/>
        <v>319056.96999999997</v>
      </c>
    </row>
    <row r="40" spans="1:9" s="237" customFormat="1" x14ac:dyDescent="0.2">
      <c r="A40" s="1078" t="s">
        <v>94</v>
      </c>
      <c r="B40" s="1079" t="s">
        <v>95</v>
      </c>
      <c r="C40" s="103" t="s">
        <v>264</v>
      </c>
      <c r="D40" s="1082"/>
      <c r="E40" s="1083">
        <v>846302</v>
      </c>
      <c r="F40" s="1083">
        <v>493708.04</v>
      </c>
      <c r="G40" s="1087"/>
      <c r="H40" s="1085">
        <f t="shared" si="2"/>
        <v>1340010.04</v>
      </c>
      <c r="I40" s="1085">
        <f t="shared" si="3"/>
        <v>493708.04</v>
      </c>
    </row>
    <row r="41" spans="1:9" s="237" customFormat="1" x14ac:dyDescent="0.2">
      <c r="A41" s="1078" t="s">
        <v>96</v>
      </c>
      <c r="B41" s="1079" t="s">
        <v>97</v>
      </c>
      <c r="C41" s="103" t="s">
        <v>266</v>
      </c>
      <c r="D41" s="1082"/>
      <c r="E41" s="1083">
        <v>550160.79</v>
      </c>
      <c r="F41" s="1083">
        <v>530378.93999999994</v>
      </c>
      <c r="G41" s="1087"/>
      <c r="H41" s="1085">
        <f t="shared" si="2"/>
        <v>1080539.73</v>
      </c>
      <c r="I41" s="1085">
        <f t="shared" si="3"/>
        <v>530378.93999999994</v>
      </c>
    </row>
    <row r="42" spans="1:9" s="237" customFormat="1" x14ac:dyDescent="0.2">
      <c r="A42" s="1078" t="s">
        <v>98</v>
      </c>
      <c r="B42" s="1079" t="s">
        <v>99</v>
      </c>
      <c r="C42" s="103" t="s">
        <v>268</v>
      </c>
      <c r="D42" s="1082"/>
      <c r="E42" s="1083">
        <v>575724.63</v>
      </c>
      <c r="F42" s="1083">
        <v>145995.35999999999</v>
      </c>
      <c r="G42" s="1087"/>
      <c r="H42" s="1085">
        <f t="shared" si="2"/>
        <v>721719.99</v>
      </c>
      <c r="I42" s="1085">
        <f t="shared" si="3"/>
        <v>145995.35999999999</v>
      </c>
    </row>
    <row r="43" spans="1:9" s="237" customFormat="1" x14ac:dyDescent="0.2">
      <c r="A43" s="1078" t="s">
        <v>100</v>
      </c>
      <c r="B43" s="1079" t="s">
        <v>101</v>
      </c>
      <c r="C43" s="103" t="s">
        <v>267</v>
      </c>
      <c r="D43" s="1082"/>
      <c r="E43" s="1083">
        <v>1096321.2</v>
      </c>
      <c r="F43" s="1083">
        <v>571439.47</v>
      </c>
      <c r="G43" s="1087"/>
      <c r="H43" s="1085">
        <f t="shared" si="2"/>
        <v>1667760.67</v>
      </c>
      <c r="I43" s="1085">
        <f t="shared" si="3"/>
        <v>571439.47</v>
      </c>
    </row>
    <row r="44" spans="1:9" s="237" customFormat="1" x14ac:dyDescent="0.2">
      <c r="A44" s="1078" t="s">
        <v>102</v>
      </c>
      <c r="B44" s="1079" t="s">
        <v>103</v>
      </c>
      <c r="C44" s="103" t="s">
        <v>264</v>
      </c>
      <c r="D44" s="1082"/>
      <c r="E44" s="1083">
        <v>746693.97</v>
      </c>
      <c r="F44" s="1083">
        <v>217655.96</v>
      </c>
      <c r="G44" s="1087"/>
      <c r="H44" s="1085">
        <f t="shared" si="2"/>
        <v>964349.92999999993</v>
      </c>
      <c r="I44" s="1085">
        <f t="shared" si="3"/>
        <v>217655.96</v>
      </c>
    </row>
    <row r="45" spans="1:9" s="237" customFormat="1" x14ac:dyDescent="0.2">
      <c r="A45" s="1078" t="s">
        <v>104</v>
      </c>
      <c r="B45" s="1079" t="s">
        <v>309</v>
      </c>
      <c r="C45" s="103" t="s">
        <v>265</v>
      </c>
      <c r="D45" s="1082"/>
      <c r="E45" s="1083">
        <v>1931005.31</v>
      </c>
      <c r="F45" s="1083">
        <v>571874.15</v>
      </c>
      <c r="G45" s="1087"/>
      <c r="H45" s="1085">
        <f t="shared" si="2"/>
        <v>2502879.46</v>
      </c>
      <c r="I45" s="1085">
        <f t="shared" si="3"/>
        <v>571874.15</v>
      </c>
    </row>
    <row r="46" spans="1:9" s="237" customFormat="1" x14ac:dyDescent="0.2">
      <c r="A46" s="1078" t="s">
        <v>108</v>
      </c>
      <c r="B46" s="1079" t="s">
        <v>109</v>
      </c>
      <c r="C46" s="103" t="s">
        <v>266</v>
      </c>
      <c r="D46" s="1082"/>
      <c r="E46" s="1083">
        <v>2248252.7799999998</v>
      </c>
      <c r="F46" s="1083">
        <v>1583400.68</v>
      </c>
      <c r="G46" s="1087"/>
      <c r="H46" s="1085">
        <f t="shared" si="2"/>
        <v>3831653.46</v>
      </c>
      <c r="I46" s="1085">
        <f t="shared" si="3"/>
        <v>1583400.68</v>
      </c>
    </row>
    <row r="47" spans="1:9" s="237" customFormat="1" x14ac:dyDescent="0.2">
      <c r="A47" s="1078" t="s">
        <v>110</v>
      </c>
      <c r="B47" s="1079" t="s">
        <v>111</v>
      </c>
      <c r="C47" s="103" t="s">
        <v>266</v>
      </c>
      <c r="D47" s="1082"/>
      <c r="E47" s="1083">
        <v>5956129.8499999996</v>
      </c>
      <c r="F47" s="1083">
        <v>3521431.6</v>
      </c>
      <c r="G47" s="1087"/>
      <c r="H47" s="1085">
        <f t="shared" si="2"/>
        <v>9477561.4499999993</v>
      </c>
      <c r="I47" s="1085">
        <f t="shared" si="3"/>
        <v>3521431.6</v>
      </c>
    </row>
    <row r="48" spans="1:9" s="237" customFormat="1" x14ac:dyDescent="0.2">
      <c r="A48" s="1078" t="s">
        <v>112</v>
      </c>
      <c r="B48" s="1079" t="s">
        <v>300</v>
      </c>
      <c r="C48" s="103" t="s">
        <v>265</v>
      </c>
      <c r="D48" s="1082"/>
      <c r="E48" s="1083">
        <v>661931.84</v>
      </c>
      <c r="F48" s="1083">
        <v>280338.06</v>
      </c>
      <c r="G48" s="1087"/>
      <c r="H48" s="1085">
        <f t="shared" si="2"/>
        <v>942269.89999999991</v>
      </c>
      <c r="I48" s="1085">
        <f t="shared" si="3"/>
        <v>280338.06</v>
      </c>
    </row>
    <row r="49" spans="1:9" s="237" customFormat="1" x14ac:dyDescent="0.2">
      <c r="A49" s="1078" t="s">
        <v>114</v>
      </c>
      <c r="B49" s="1079" t="s">
        <v>115</v>
      </c>
      <c r="C49" s="103" t="s">
        <v>265</v>
      </c>
      <c r="D49" s="1082"/>
      <c r="E49" s="1083">
        <v>2080.86</v>
      </c>
      <c r="F49" s="1083">
        <v>1668.39</v>
      </c>
      <c r="G49" s="1087"/>
      <c r="H49" s="1085">
        <f t="shared" si="2"/>
        <v>3749.25</v>
      </c>
      <c r="I49" s="1085">
        <f t="shared" si="3"/>
        <v>1668.39</v>
      </c>
    </row>
    <row r="50" spans="1:9" s="237" customFormat="1" x14ac:dyDescent="0.2">
      <c r="A50" s="1078" t="s">
        <v>118</v>
      </c>
      <c r="B50" s="1079" t="s">
        <v>119</v>
      </c>
      <c r="C50" s="103" t="s">
        <v>264</v>
      </c>
      <c r="D50" s="1082"/>
      <c r="E50" s="1083">
        <v>115139.92</v>
      </c>
      <c r="F50" s="1083">
        <v>62106.13</v>
      </c>
      <c r="G50" s="1087"/>
      <c r="H50" s="1085">
        <f t="shared" si="2"/>
        <v>177246.05</v>
      </c>
      <c r="I50" s="1085">
        <f t="shared" si="3"/>
        <v>62106.13</v>
      </c>
    </row>
    <row r="51" spans="1:9" s="237" customFormat="1" x14ac:dyDescent="0.2">
      <c r="A51" s="1078" t="s">
        <v>120</v>
      </c>
      <c r="B51" s="1079" t="s">
        <v>121</v>
      </c>
      <c r="C51" s="103" t="s">
        <v>264</v>
      </c>
      <c r="D51" s="1082"/>
      <c r="E51" s="1083">
        <v>407547.76</v>
      </c>
      <c r="F51" s="1083">
        <v>274701.96999999997</v>
      </c>
      <c r="G51" s="1087"/>
      <c r="H51" s="1085">
        <f t="shared" si="2"/>
        <v>682249.73</v>
      </c>
      <c r="I51" s="1085">
        <f t="shared" si="3"/>
        <v>274701.96999999997</v>
      </c>
    </row>
    <row r="52" spans="1:9" s="237" customFormat="1" x14ac:dyDescent="0.2">
      <c r="A52" s="1078" t="s">
        <v>122</v>
      </c>
      <c r="B52" s="1079" t="s">
        <v>271</v>
      </c>
      <c r="C52" s="103" t="s">
        <v>266</v>
      </c>
      <c r="D52" s="1082"/>
      <c r="E52" s="1083">
        <v>450833.06</v>
      </c>
      <c r="F52" s="1083">
        <v>206868.46</v>
      </c>
      <c r="G52" s="1087"/>
      <c r="H52" s="1085">
        <f t="shared" si="2"/>
        <v>657701.52</v>
      </c>
      <c r="I52" s="1085">
        <f t="shared" si="3"/>
        <v>206868.46</v>
      </c>
    </row>
    <row r="53" spans="1:9" s="237" customFormat="1" x14ac:dyDescent="0.2">
      <c r="A53" s="1078" t="s">
        <v>124</v>
      </c>
      <c r="B53" s="1079" t="s">
        <v>125</v>
      </c>
      <c r="C53" s="103" t="s">
        <v>267</v>
      </c>
      <c r="D53" s="1082"/>
      <c r="E53" s="1083">
        <v>1004622.14</v>
      </c>
      <c r="F53" s="1083">
        <v>576233.5</v>
      </c>
      <c r="G53" s="1087"/>
      <c r="H53" s="1085">
        <f t="shared" si="2"/>
        <v>1580855.6400000001</v>
      </c>
      <c r="I53" s="1085">
        <f t="shared" si="3"/>
        <v>576233.5</v>
      </c>
    </row>
    <row r="54" spans="1:9" s="237" customFormat="1" x14ac:dyDescent="0.2">
      <c r="A54" s="1078" t="s">
        <v>126</v>
      </c>
      <c r="B54" s="1079" t="s">
        <v>127</v>
      </c>
      <c r="C54" s="103" t="s">
        <v>266</v>
      </c>
      <c r="D54" s="1082"/>
      <c r="E54" s="1083">
        <v>330549.88</v>
      </c>
      <c r="F54" s="1083">
        <v>219108.45</v>
      </c>
      <c r="G54" s="1087"/>
      <c r="H54" s="1085">
        <f t="shared" si="2"/>
        <v>549658.33000000007</v>
      </c>
      <c r="I54" s="1085">
        <f t="shared" si="3"/>
        <v>219108.45</v>
      </c>
    </row>
    <row r="55" spans="1:9" s="237" customFormat="1" x14ac:dyDescent="0.2">
      <c r="A55" s="1078" t="s">
        <v>128</v>
      </c>
      <c r="B55" s="1079" t="s">
        <v>129</v>
      </c>
      <c r="C55" s="103" t="s">
        <v>266</v>
      </c>
      <c r="D55" s="1082"/>
      <c r="E55" s="1083">
        <v>333546.65999999997</v>
      </c>
      <c r="F55" s="1083">
        <v>346654.78</v>
      </c>
      <c r="G55" s="1087"/>
      <c r="H55" s="1085">
        <f t="shared" si="2"/>
        <v>680201.44</v>
      </c>
      <c r="I55" s="1085">
        <f t="shared" si="3"/>
        <v>346654.78</v>
      </c>
    </row>
    <row r="56" spans="1:9" s="237" customFormat="1" x14ac:dyDescent="0.2">
      <c r="A56" s="1078" t="s">
        <v>130</v>
      </c>
      <c r="B56" s="1079" t="s">
        <v>131</v>
      </c>
      <c r="C56" s="103" t="s">
        <v>268</v>
      </c>
      <c r="D56" s="1082"/>
      <c r="E56" s="1083">
        <v>1056751.8999999999</v>
      </c>
      <c r="F56" s="1083">
        <v>326782.11</v>
      </c>
      <c r="G56" s="1087"/>
      <c r="H56" s="1085">
        <f t="shared" si="2"/>
        <v>1383534.0099999998</v>
      </c>
      <c r="I56" s="1085">
        <f t="shared" si="3"/>
        <v>326782.11</v>
      </c>
    </row>
    <row r="57" spans="1:9" s="237" customFormat="1" x14ac:dyDescent="0.2">
      <c r="A57" s="1078" t="s">
        <v>132</v>
      </c>
      <c r="B57" s="1079" t="s">
        <v>133</v>
      </c>
      <c r="C57" s="103" t="s">
        <v>267</v>
      </c>
      <c r="D57" s="1082"/>
      <c r="E57" s="1083">
        <v>2875611.73</v>
      </c>
      <c r="F57" s="1083">
        <v>2541419.46</v>
      </c>
      <c r="G57" s="1087"/>
      <c r="H57" s="1085">
        <f t="shared" si="2"/>
        <v>5417031.1899999995</v>
      </c>
      <c r="I57" s="1085">
        <f t="shared" si="3"/>
        <v>2541419.46</v>
      </c>
    </row>
    <row r="58" spans="1:9" s="237" customFormat="1" x14ac:dyDescent="0.2">
      <c r="A58" s="1078" t="s">
        <v>134</v>
      </c>
      <c r="B58" s="1079" t="s">
        <v>135</v>
      </c>
      <c r="C58" s="103" t="s">
        <v>267</v>
      </c>
      <c r="D58" s="1082"/>
      <c r="E58" s="1083">
        <v>1227496.8999999999</v>
      </c>
      <c r="F58" s="1083">
        <v>931369.52</v>
      </c>
      <c r="G58" s="1087"/>
      <c r="H58" s="1085">
        <f t="shared" si="2"/>
        <v>2158866.42</v>
      </c>
      <c r="I58" s="1085">
        <f t="shared" si="3"/>
        <v>931369.52</v>
      </c>
    </row>
    <row r="59" spans="1:9" s="237" customFormat="1" x14ac:dyDescent="0.2">
      <c r="A59" s="1078" t="s">
        <v>136</v>
      </c>
      <c r="B59" s="1079" t="s">
        <v>137</v>
      </c>
      <c r="C59" s="103" t="s">
        <v>266</v>
      </c>
      <c r="D59" s="1082"/>
      <c r="E59" s="1083">
        <v>813345.43</v>
      </c>
      <c r="F59" s="1083">
        <v>124350.53</v>
      </c>
      <c r="G59" s="1087"/>
      <c r="H59" s="1085">
        <f t="shared" si="2"/>
        <v>937695.96000000008</v>
      </c>
      <c r="I59" s="1085">
        <f t="shared" si="3"/>
        <v>124350.53</v>
      </c>
    </row>
    <row r="60" spans="1:9" s="237" customFormat="1" x14ac:dyDescent="0.2">
      <c r="A60" s="1078" t="s">
        <v>140</v>
      </c>
      <c r="B60" s="1079" t="s">
        <v>141</v>
      </c>
      <c r="C60" s="103" t="s">
        <v>267</v>
      </c>
      <c r="D60" s="1082"/>
      <c r="E60" s="1083">
        <v>1963562.51</v>
      </c>
      <c r="F60" s="1083">
        <v>909855.23</v>
      </c>
      <c r="G60" s="1087"/>
      <c r="H60" s="1085">
        <f t="shared" si="2"/>
        <v>2873417.74</v>
      </c>
      <c r="I60" s="1085">
        <f t="shared" si="3"/>
        <v>909855.23</v>
      </c>
    </row>
    <row r="61" spans="1:9" s="237" customFormat="1" x14ac:dyDescent="0.2">
      <c r="A61" s="1078" t="s">
        <v>146</v>
      </c>
      <c r="B61" s="1079" t="s">
        <v>147</v>
      </c>
      <c r="C61" s="103" t="s">
        <v>264</v>
      </c>
      <c r="D61" s="1082"/>
      <c r="E61" s="1083">
        <v>165598.66</v>
      </c>
      <c r="F61" s="1083">
        <v>120510.35</v>
      </c>
      <c r="G61" s="1087"/>
      <c r="H61" s="1085">
        <f t="shared" si="2"/>
        <v>286109.01</v>
      </c>
      <c r="I61" s="1085">
        <f t="shared" si="3"/>
        <v>120510.35</v>
      </c>
    </row>
    <row r="62" spans="1:9" s="237" customFormat="1" x14ac:dyDescent="0.2">
      <c r="A62" s="1078" t="s">
        <v>148</v>
      </c>
      <c r="B62" s="1079" t="s">
        <v>149</v>
      </c>
      <c r="C62" s="103" t="s">
        <v>265</v>
      </c>
      <c r="D62" s="1082"/>
      <c r="E62" s="1083">
        <v>1419135.47</v>
      </c>
      <c r="F62" s="1083">
        <v>413964.5</v>
      </c>
      <c r="G62" s="1087"/>
      <c r="H62" s="1085">
        <f t="shared" si="2"/>
        <v>1833099.97</v>
      </c>
      <c r="I62" s="1085">
        <f t="shared" si="3"/>
        <v>413964.5</v>
      </c>
    </row>
    <row r="63" spans="1:9" s="237" customFormat="1" x14ac:dyDescent="0.2">
      <c r="A63" s="1078" t="s">
        <v>150</v>
      </c>
      <c r="B63" s="1079" t="s">
        <v>151</v>
      </c>
      <c r="C63" s="103" t="s">
        <v>266</v>
      </c>
      <c r="D63" s="1082"/>
      <c r="E63" s="1083">
        <v>301208.19</v>
      </c>
      <c r="F63" s="1083">
        <v>228631.79</v>
      </c>
      <c r="G63" s="1087"/>
      <c r="H63" s="1085">
        <f t="shared" si="2"/>
        <v>529839.98</v>
      </c>
      <c r="I63" s="1085">
        <f t="shared" si="3"/>
        <v>228631.79</v>
      </c>
    </row>
    <row r="64" spans="1:9" s="237" customFormat="1" x14ac:dyDescent="0.2">
      <c r="A64" s="1078" t="s">
        <v>152</v>
      </c>
      <c r="B64" s="1079" t="s">
        <v>153</v>
      </c>
      <c r="C64" s="103" t="s">
        <v>268</v>
      </c>
      <c r="D64" s="1082"/>
      <c r="E64" s="1083">
        <v>641514.65</v>
      </c>
      <c r="F64" s="1083">
        <v>226920.21</v>
      </c>
      <c r="G64" s="1087"/>
      <c r="H64" s="1085">
        <f t="shared" si="2"/>
        <v>868434.86</v>
      </c>
      <c r="I64" s="1085">
        <f t="shared" si="3"/>
        <v>226920.21</v>
      </c>
    </row>
    <row r="65" spans="1:9" s="237" customFormat="1" x14ac:dyDescent="0.2">
      <c r="A65" s="1078" t="s">
        <v>154</v>
      </c>
      <c r="B65" s="1079" t="s">
        <v>155</v>
      </c>
      <c r="C65" s="103" t="s">
        <v>265</v>
      </c>
      <c r="D65" s="1082"/>
      <c r="E65" s="1083">
        <v>476718.43</v>
      </c>
      <c r="F65" s="1083">
        <v>217160.2</v>
      </c>
      <c r="G65" s="1087"/>
      <c r="H65" s="1085">
        <f t="shared" si="2"/>
        <v>693878.63</v>
      </c>
      <c r="I65" s="1085">
        <f t="shared" si="3"/>
        <v>217160.2</v>
      </c>
    </row>
    <row r="66" spans="1:9" s="237" customFormat="1" x14ac:dyDescent="0.2">
      <c r="A66" s="1078" t="s">
        <v>156</v>
      </c>
      <c r="B66" s="1079" t="s">
        <v>157</v>
      </c>
      <c r="C66" s="103" t="s">
        <v>266</v>
      </c>
      <c r="D66" s="1082"/>
      <c r="E66" s="1083">
        <v>477549.6</v>
      </c>
      <c r="F66" s="1083">
        <v>350365.37</v>
      </c>
      <c r="G66" s="1087"/>
      <c r="H66" s="1085">
        <f t="shared" si="2"/>
        <v>827914.97</v>
      </c>
      <c r="I66" s="1085">
        <f t="shared" si="3"/>
        <v>350365.37</v>
      </c>
    </row>
    <row r="67" spans="1:9" s="237" customFormat="1" x14ac:dyDescent="0.2">
      <c r="A67" s="1078" t="s">
        <v>162</v>
      </c>
      <c r="B67" s="1079" t="s">
        <v>163</v>
      </c>
      <c r="C67" s="103" t="s">
        <v>264</v>
      </c>
      <c r="D67" s="1082"/>
      <c r="E67" s="1083">
        <v>325463.43</v>
      </c>
      <c r="F67" s="1083">
        <v>81859.13</v>
      </c>
      <c r="G67" s="1087"/>
      <c r="H67" s="1085">
        <f t="shared" si="2"/>
        <v>407322.56</v>
      </c>
      <c r="I67" s="1085">
        <f t="shared" si="3"/>
        <v>81859.13</v>
      </c>
    </row>
    <row r="68" spans="1:9" s="237" customFormat="1" x14ac:dyDescent="0.2">
      <c r="A68" s="1078" t="s">
        <v>164</v>
      </c>
      <c r="B68" s="1079" t="s">
        <v>165</v>
      </c>
      <c r="C68" s="103" t="s">
        <v>266</v>
      </c>
      <c r="D68" s="1082"/>
      <c r="E68" s="1083">
        <v>153538.31</v>
      </c>
      <c r="F68" s="1083">
        <v>75693.009999999995</v>
      </c>
      <c r="G68" s="1087"/>
      <c r="H68" s="1085">
        <f t="shared" si="2"/>
        <v>229231.32</v>
      </c>
      <c r="I68" s="1085">
        <f t="shared" si="3"/>
        <v>75693.009999999995</v>
      </c>
    </row>
    <row r="69" spans="1:9" s="237" customFormat="1" x14ac:dyDescent="0.2">
      <c r="A69" s="1078" t="s">
        <v>168</v>
      </c>
      <c r="B69" s="1079" t="s">
        <v>169</v>
      </c>
      <c r="C69" s="103" t="s">
        <v>266</v>
      </c>
      <c r="D69" s="1082"/>
      <c r="E69" s="1083">
        <v>431794.02</v>
      </c>
      <c r="F69" s="1083">
        <v>186245.16</v>
      </c>
      <c r="G69" s="1087"/>
      <c r="H69" s="1085">
        <f t="shared" si="2"/>
        <v>618039.18000000005</v>
      </c>
      <c r="I69" s="1085">
        <f t="shared" si="3"/>
        <v>186245.16</v>
      </c>
    </row>
    <row r="70" spans="1:9" s="237" customFormat="1" x14ac:dyDescent="0.2">
      <c r="A70" s="1078" t="s">
        <v>170</v>
      </c>
      <c r="B70" s="1079" t="s">
        <v>171</v>
      </c>
      <c r="C70" s="103" t="s">
        <v>267</v>
      </c>
      <c r="D70" s="1082"/>
      <c r="E70" s="1083">
        <v>1155096.08</v>
      </c>
      <c r="F70" s="1083">
        <v>688400.16</v>
      </c>
      <c r="G70" s="1087"/>
      <c r="H70" s="1085">
        <f t="shared" ref="H70:H130" si="4">SUM(D70:G70)</f>
        <v>1843496.2400000002</v>
      </c>
      <c r="I70" s="1085">
        <f t="shared" ref="I70:I130" si="5">F70+G70</f>
        <v>688400.16</v>
      </c>
    </row>
    <row r="71" spans="1:9" s="237" customFormat="1" x14ac:dyDescent="0.2">
      <c r="A71" s="1078" t="s">
        <v>172</v>
      </c>
      <c r="B71" s="1079" t="s">
        <v>173</v>
      </c>
      <c r="C71" s="103" t="s">
        <v>267</v>
      </c>
      <c r="D71" s="1082"/>
      <c r="E71" s="1083">
        <v>705644.44</v>
      </c>
      <c r="F71" s="1083">
        <v>281799.94</v>
      </c>
      <c r="G71" s="1087"/>
      <c r="H71" s="1085">
        <f t="shared" si="4"/>
        <v>987444.37999999989</v>
      </c>
      <c r="I71" s="1085">
        <f t="shared" si="5"/>
        <v>281799.94</v>
      </c>
    </row>
    <row r="72" spans="1:9" s="237" customFormat="1" x14ac:dyDescent="0.2">
      <c r="A72" s="1078" t="s">
        <v>174</v>
      </c>
      <c r="B72" s="1079" t="s">
        <v>175</v>
      </c>
      <c r="C72" s="103" t="s">
        <v>268</v>
      </c>
      <c r="D72" s="1082"/>
      <c r="E72" s="1083">
        <v>108843.92</v>
      </c>
      <c r="F72" s="1083">
        <v>36565.589999999997</v>
      </c>
      <c r="G72" s="1087"/>
      <c r="H72" s="1085">
        <f t="shared" si="4"/>
        <v>145409.51</v>
      </c>
      <c r="I72" s="1085">
        <f t="shared" si="5"/>
        <v>36565.589999999997</v>
      </c>
    </row>
    <row r="73" spans="1:9" s="237" customFormat="1" x14ac:dyDescent="0.2">
      <c r="A73" s="1078" t="s">
        <v>178</v>
      </c>
      <c r="B73" s="1079" t="s">
        <v>179</v>
      </c>
      <c r="C73" s="103" t="s">
        <v>265</v>
      </c>
      <c r="D73" s="1082"/>
      <c r="E73" s="1083">
        <v>3174682.85</v>
      </c>
      <c r="F73" s="1083">
        <v>923996.45</v>
      </c>
      <c r="G73" s="1087"/>
      <c r="H73" s="1085">
        <f t="shared" si="4"/>
        <v>4098679.3</v>
      </c>
      <c r="I73" s="1085">
        <f t="shared" si="5"/>
        <v>923996.45</v>
      </c>
    </row>
    <row r="74" spans="1:9" s="237" customFormat="1" x14ac:dyDescent="0.2">
      <c r="A74" s="1078" t="s">
        <v>182</v>
      </c>
      <c r="B74" s="1079" t="s">
        <v>183</v>
      </c>
      <c r="C74" s="103" t="s">
        <v>266</v>
      </c>
      <c r="D74" s="1082"/>
      <c r="E74" s="1083">
        <v>1025473.44</v>
      </c>
      <c r="F74" s="1083">
        <v>779758.95</v>
      </c>
      <c r="G74" s="1087"/>
      <c r="H74" s="1085">
        <f t="shared" si="4"/>
        <v>1805232.39</v>
      </c>
      <c r="I74" s="1085">
        <f t="shared" si="5"/>
        <v>779758.95</v>
      </c>
    </row>
    <row r="75" spans="1:9" s="237" customFormat="1" x14ac:dyDescent="0.2">
      <c r="A75" s="1078" t="s">
        <v>184</v>
      </c>
      <c r="B75" s="1079" t="s">
        <v>185</v>
      </c>
      <c r="C75" s="103" t="s">
        <v>266</v>
      </c>
      <c r="D75" s="1082"/>
      <c r="E75" s="1083">
        <v>694516.73</v>
      </c>
      <c r="F75" s="1083">
        <v>196169.21</v>
      </c>
      <c r="G75" s="1087"/>
      <c r="H75" s="1085">
        <f t="shared" si="4"/>
        <v>890685.94</v>
      </c>
      <c r="I75" s="1085">
        <f t="shared" si="5"/>
        <v>196169.21</v>
      </c>
    </row>
    <row r="76" spans="1:9" s="237" customFormat="1" x14ac:dyDescent="0.2">
      <c r="A76" s="1078" t="s">
        <v>186</v>
      </c>
      <c r="B76" s="1079" t="s">
        <v>187</v>
      </c>
      <c r="C76" s="103" t="s">
        <v>264</v>
      </c>
      <c r="D76" s="1082"/>
      <c r="E76" s="1083">
        <v>772335.75</v>
      </c>
      <c r="F76" s="1083">
        <v>460065.09</v>
      </c>
      <c r="G76" s="1087"/>
      <c r="H76" s="1085">
        <f t="shared" si="4"/>
        <v>1232400.8400000001</v>
      </c>
      <c r="I76" s="1085">
        <f t="shared" si="5"/>
        <v>460065.09</v>
      </c>
    </row>
    <row r="77" spans="1:9" s="237" customFormat="1" x14ac:dyDescent="0.2">
      <c r="A77" s="1078" t="s">
        <v>188</v>
      </c>
      <c r="B77" s="1079" t="s">
        <v>189</v>
      </c>
      <c r="C77" s="103" t="s">
        <v>267</v>
      </c>
      <c r="D77" s="1082"/>
      <c r="E77" s="1083">
        <v>5312862.22</v>
      </c>
      <c r="F77" s="1083">
        <v>2559300.65</v>
      </c>
      <c r="G77" s="1087"/>
      <c r="H77" s="1085">
        <f t="shared" si="4"/>
        <v>7872162.8699999992</v>
      </c>
      <c r="I77" s="1085">
        <f t="shared" si="5"/>
        <v>2559300.65</v>
      </c>
    </row>
    <row r="78" spans="1:9" s="237" customFormat="1" x14ac:dyDescent="0.2">
      <c r="A78" s="1078" t="s">
        <v>190</v>
      </c>
      <c r="B78" s="1079" t="s">
        <v>191</v>
      </c>
      <c r="C78" s="103" t="s">
        <v>268</v>
      </c>
      <c r="D78" s="1082"/>
      <c r="E78" s="1083">
        <v>2431891</v>
      </c>
      <c r="F78" s="1083">
        <v>955262.31</v>
      </c>
      <c r="G78" s="1087"/>
      <c r="H78" s="1085">
        <f t="shared" si="4"/>
        <v>3387153.31</v>
      </c>
      <c r="I78" s="1085">
        <f t="shared" si="5"/>
        <v>955262.31</v>
      </c>
    </row>
    <row r="79" spans="1:9" s="237" customFormat="1" x14ac:dyDescent="0.2">
      <c r="A79" s="1078" t="s">
        <v>194</v>
      </c>
      <c r="B79" s="1079" t="s">
        <v>195</v>
      </c>
      <c r="C79" s="103" t="s">
        <v>267</v>
      </c>
      <c r="D79" s="1082"/>
      <c r="E79" s="1083">
        <v>731483.72</v>
      </c>
      <c r="F79" s="1083">
        <v>490186.14</v>
      </c>
      <c r="G79" s="1087"/>
      <c r="H79" s="1085">
        <f t="shared" si="4"/>
        <v>1221669.8599999999</v>
      </c>
      <c r="I79" s="1085">
        <f t="shared" si="5"/>
        <v>490186.14</v>
      </c>
    </row>
    <row r="80" spans="1:9" s="237" customFormat="1" x14ac:dyDescent="0.2">
      <c r="A80" s="1078" t="s">
        <v>198</v>
      </c>
      <c r="B80" s="1079" t="s">
        <v>199</v>
      </c>
      <c r="C80" s="103" t="s">
        <v>266</v>
      </c>
      <c r="D80" s="1082"/>
      <c r="E80" s="1083">
        <v>151929.01999999999</v>
      </c>
      <c r="F80" s="1083">
        <v>70108.63</v>
      </c>
      <c r="G80" s="1087"/>
      <c r="H80" s="1085">
        <f t="shared" si="4"/>
        <v>222037.65</v>
      </c>
      <c r="I80" s="1085">
        <f t="shared" si="5"/>
        <v>70108.63</v>
      </c>
    </row>
    <row r="81" spans="1:9" s="237" customFormat="1" x14ac:dyDescent="0.2">
      <c r="A81" s="1078" t="s">
        <v>202</v>
      </c>
      <c r="B81" s="1079" t="s">
        <v>203</v>
      </c>
      <c r="C81" s="103" t="s">
        <v>265</v>
      </c>
      <c r="D81" s="1082"/>
      <c r="E81" s="1083">
        <v>4247712.32</v>
      </c>
      <c r="F81" s="1083">
        <v>3077232.5300000003</v>
      </c>
      <c r="G81" s="1087"/>
      <c r="H81" s="1085">
        <f t="shared" si="4"/>
        <v>7324944.8500000006</v>
      </c>
      <c r="I81" s="1085">
        <f t="shared" si="5"/>
        <v>3077232.5300000003</v>
      </c>
    </row>
    <row r="82" spans="1:9" s="237" customFormat="1" x14ac:dyDescent="0.2">
      <c r="A82" s="1078" t="s">
        <v>204</v>
      </c>
      <c r="B82" s="1079" t="s">
        <v>205</v>
      </c>
      <c r="C82" s="103" t="s">
        <v>265</v>
      </c>
      <c r="D82" s="1082"/>
      <c r="E82" s="1083">
        <v>2681216.25</v>
      </c>
      <c r="F82" s="1083">
        <v>809097.35000000009</v>
      </c>
      <c r="G82" s="1087"/>
      <c r="H82" s="1085">
        <f t="shared" si="4"/>
        <v>3490313.6</v>
      </c>
      <c r="I82" s="1085">
        <f t="shared" si="5"/>
        <v>809097.35000000009</v>
      </c>
    </row>
    <row r="83" spans="1:9" s="237" customFormat="1" x14ac:dyDescent="0.2">
      <c r="A83" s="1078" t="s">
        <v>206</v>
      </c>
      <c r="B83" s="1079" t="s">
        <v>207</v>
      </c>
      <c r="C83" s="103" t="s">
        <v>267</v>
      </c>
      <c r="D83" s="1082"/>
      <c r="E83" s="1083">
        <v>5388081.1400000006</v>
      </c>
      <c r="F83" s="1083">
        <v>2980504.67</v>
      </c>
      <c r="G83" s="1087"/>
      <c r="H83" s="1085">
        <f t="shared" si="4"/>
        <v>8368585.8100000005</v>
      </c>
      <c r="I83" s="1085">
        <f t="shared" si="5"/>
        <v>2980504.67</v>
      </c>
    </row>
    <row r="84" spans="1:9" s="237" customFormat="1" x14ac:dyDescent="0.2">
      <c r="A84" s="1078" t="s">
        <v>208</v>
      </c>
      <c r="B84" s="1079" t="s">
        <v>209</v>
      </c>
      <c r="C84" s="103" t="s">
        <v>268</v>
      </c>
      <c r="D84" s="1082"/>
      <c r="E84" s="1083">
        <v>922703.76</v>
      </c>
      <c r="F84" s="1083">
        <v>214934.39</v>
      </c>
      <c r="G84" s="1087"/>
      <c r="H84" s="1085">
        <f t="shared" si="4"/>
        <v>1137638.1499999999</v>
      </c>
      <c r="I84" s="1085">
        <f t="shared" si="5"/>
        <v>214934.39</v>
      </c>
    </row>
    <row r="85" spans="1:9" s="237" customFormat="1" x14ac:dyDescent="0.2">
      <c r="A85" s="1078" t="s">
        <v>210</v>
      </c>
      <c r="B85" s="1079" t="s">
        <v>211</v>
      </c>
      <c r="C85" s="103" t="s">
        <v>268</v>
      </c>
      <c r="D85" s="1082"/>
      <c r="E85" s="1083">
        <v>438246.02</v>
      </c>
      <c r="F85" s="1083">
        <v>209037.07</v>
      </c>
      <c r="G85" s="1087"/>
      <c r="H85" s="1085">
        <f t="shared" si="4"/>
        <v>647283.09000000008</v>
      </c>
      <c r="I85" s="1085">
        <f t="shared" si="5"/>
        <v>209037.07</v>
      </c>
    </row>
    <row r="86" spans="1:9" s="237" customFormat="1" x14ac:dyDescent="0.2">
      <c r="A86" s="1078" t="s">
        <v>212</v>
      </c>
      <c r="B86" s="1079" t="s">
        <v>213</v>
      </c>
      <c r="C86" s="103" t="s">
        <v>267</v>
      </c>
      <c r="D86" s="1082"/>
      <c r="E86" s="1083">
        <v>1490981.16</v>
      </c>
      <c r="F86" s="1083">
        <v>737175.48</v>
      </c>
      <c r="G86" s="1087"/>
      <c r="H86" s="1085">
        <f t="shared" si="4"/>
        <v>2228156.6399999997</v>
      </c>
      <c r="I86" s="1085">
        <f t="shared" si="5"/>
        <v>737175.48</v>
      </c>
    </row>
    <row r="87" spans="1:9" s="237" customFormat="1" x14ac:dyDescent="0.2">
      <c r="A87" s="1078" t="s">
        <v>214</v>
      </c>
      <c r="B87" s="1079" t="s">
        <v>215</v>
      </c>
      <c r="C87" s="103" t="s">
        <v>268</v>
      </c>
      <c r="D87" s="1082"/>
      <c r="E87" s="1083">
        <v>515498.35</v>
      </c>
      <c r="F87" s="1083">
        <v>144354.18</v>
      </c>
      <c r="G87" s="1087"/>
      <c r="H87" s="1085">
        <f t="shared" si="4"/>
        <v>659852.53</v>
      </c>
      <c r="I87" s="1085">
        <f t="shared" si="5"/>
        <v>144354.18</v>
      </c>
    </row>
    <row r="88" spans="1:9" s="237" customFormat="1" x14ac:dyDescent="0.2">
      <c r="A88" s="1078" t="s">
        <v>216</v>
      </c>
      <c r="B88" s="1079" t="s">
        <v>217</v>
      </c>
      <c r="C88" s="103" t="s">
        <v>264</v>
      </c>
      <c r="D88" s="1082"/>
      <c r="E88" s="1083">
        <v>307072.88</v>
      </c>
      <c r="F88" s="1083">
        <v>145674.43</v>
      </c>
      <c r="G88" s="1087"/>
      <c r="H88" s="1085">
        <f t="shared" si="4"/>
        <v>452747.31</v>
      </c>
      <c r="I88" s="1085">
        <f t="shared" si="5"/>
        <v>145674.43</v>
      </c>
    </row>
    <row r="89" spans="1:9" s="237" customFormat="1" x14ac:dyDescent="0.2">
      <c r="A89" s="1078" t="s">
        <v>218</v>
      </c>
      <c r="B89" s="1079" t="s">
        <v>219</v>
      </c>
      <c r="C89" s="103" t="s">
        <v>267</v>
      </c>
      <c r="D89" s="1082"/>
      <c r="E89" s="1083">
        <v>3806200.38</v>
      </c>
      <c r="F89" s="1083">
        <v>3240876.67</v>
      </c>
      <c r="G89" s="1087"/>
      <c r="H89" s="1085">
        <f t="shared" si="4"/>
        <v>7047077.0499999998</v>
      </c>
      <c r="I89" s="1085">
        <f t="shared" si="5"/>
        <v>3240876.67</v>
      </c>
    </row>
    <row r="90" spans="1:9" s="237" customFormat="1" x14ac:dyDescent="0.2">
      <c r="A90" s="1078" t="s">
        <v>220</v>
      </c>
      <c r="B90" s="1079" t="s">
        <v>221</v>
      </c>
      <c r="C90" s="103" t="s">
        <v>267</v>
      </c>
      <c r="D90" s="1082"/>
      <c r="E90" s="1083">
        <v>2194732.61</v>
      </c>
      <c r="F90" s="1083">
        <v>1758252.62</v>
      </c>
      <c r="G90" s="1087"/>
      <c r="H90" s="1085">
        <f t="shared" si="4"/>
        <v>3952985.23</v>
      </c>
      <c r="I90" s="1085">
        <f t="shared" si="5"/>
        <v>1758252.62</v>
      </c>
    </row>
    <row r="91" spans="1:9" s="237" customFormat="1" x14ac:dyDescent="0.2">
      <c r="A91" s="1078" t="s">
        <v>224</v>
      </c>
      <c r="B91" s="1079" t="s">
        <v>225</v>
      </c>
      <c r="C91" s="103" t="s">
        <v>264</v>
      </c>
      <c r="D91" s="1082"/>
      <c r="E91" s="1083">
        <v>86133.88</v>
      </c>
      <c r="F91" s="1083">
        <v>55939.8</v>
      </c>
      <c r="G91" s="1087"/>
      <c r="H91" s="1085">
        <f t="shared" si="4"/>
        <v>142073.68</v>
      </c>
      <c r="I91" s="1085">
        <f t="shared" si="5"/>
        <v>55939.8</v>
      </c>
    </row>
    <row r="92" spans="1:9" s="237" customFormat="1" x14ac:dyDescent="0.2">
      <c r="A92" s="1078" t="s">
        <v>226</v>
      </c>
      <c r="B92" s="1079" t="s">
        <v>227</v>
      </c>
      <c r="C92" s="103" t="s">
        <v>264</v>
      </c>
      <c r="D92" s="1082"/>
      <c r="E92" s="1083">
        <v>563018.23999999999</v>
      </c>
      <c r="F92" s="1083">
        <v>174774</v>
      </c>
      <c r="G92" s="1087"/>
      <c r="H92" s="1085">
        <f t="shared" si="4"/>
        <v>737792.24</v>
      </c>
      <c r="I92" s="1085">
        <f t="shared" si="5"/>
        <v>174774</v>
      </c>
    </row>
    <row r="93" spans="1:9" s="237" customFormat="1" x14ac:dyDescent="0.2">
      <c r="A93" s="1078" t="s">
        <v>228</v>
      </c>
      <c r="B93" s="1079" t="s">
        <v>229</v>
      </c>
      <c r="C93" s="103" t="s">
        <v>268</v>
      </c>
      <c r="D93" s="1082"/>
      <c r="E93" s="1083">
        <v>1652757.86</v>
      </c>
      <c r="F93" s="1083">
        <v>507077.33</v>
      </c>
      <c r="G93" s="1087"/>
      <c r="H93" s="1085">
        <f t="shared" si="4"/>
        <v>2159835.19</v>
      </c>
      <c r="I93" s="1085">
        <f t="shared" si="5"/>
        <v>507077.33</v>
      </c>
    </row>
    <row r="94" spans="1:9" s="237" customFormat="1" x14ac:dyDescent="0.2">
      <c r="A94" s="1078" t="s">
        <v>232</v>
      </c>
      <c r="B94" s="1079" t="s">
        <v>233</v>
      </c>
      <c r="C94" s="103" t="s">
        <v>267</v>
      </c>
      <c r="D94" s="1082"/>
      <c r="E94" s="1083">
        <v>1031622.93</v>
      </c>
      <c r="F94" s="1083">
        <v>628855.9</v>
      </c>
      <c r="G94" s="1087"/>
      <c r="H94" s="1085">
        <f t="shared" si="4"/>
        <v>1660478.83</v>
      </c>
      <c r="I94" s="1085">
        <f t="shared" si="5"/>
        <v>628855.9</v>
      </c>
    </row>
    <row r="95" spans="1:9" s="237" customFormat="1" x14ac:dyDescent="0.2">
      <c r="A95" s="1078" t="s">
        <v>234</v>
      </c>
      <c r="B95" s="1079" t="s">
        <v>235</v>
      </c>
      <c r="C95" s="103" t="s">
        <v>268</v>
      </c>
      <c r="D95" s="1082"/>
      <c r="E95" s="1083">
        <v>786355.22</v>
      </c>
      <c r="F95" s="1083">
        <v>296112.84000000003</v>
      </c>
      <c r="G95" s="1087"/>
      <c r="H95" s="1085">
        <f t="shared" si="4"/>
        <v>1082468.06</v>
      </c>
      <c r="I95" s="1085">
        <f t="shared" si="5"/>
        <v>296112.84000000003</v>
      </c>
    </row>
    <row r="96" spans="1:9" s="237" customFormat="1" x14ac:dyDescent="0.2">
      <c r="A96" s="1078" t="s">
        <v>236</v>
      </c>
      <c r="B96" s="1079" t="s">
        <v>237</v>
      </c>
      <c r="C96" s="103" t="s">
        <v>266</v>
      </c>
      <c r="D96" s="1082"/>
      <c r="E96" s="1083">
        <v>913128.73</v>
      </c>
      <c r="F96" s="1083">
        <v>416992.43</v>
      </c>
      <c r="G96" s="1087"/>
      <c r="H96" s="1085">
        <f t="shared" si="4"/>
        <v>1330121.1599999999</v>
      </c>
      <c r="I96" s="1085">
        <f t="shared" si="5"/>
        <v>416992.43</v>
      </c>
    </row>
    <row r="97" spans="1:9" s="237" customFormat="1" x14ac:dyDescent="0.2">
      <c r="A97" s="1078" t="s">
        <v>242</v>
      </c>
      <c r="B97" s="1079" t="s">
        <v>243</v>
      </c>
      <c r="C97" s="103" t="s">
        <v>268</v>
      </c>
      <c r="D97" s="1082"/>
      <c r="E97" s="1083">
        <v>1639661.87</v>
      </c>
      <c r="F97" s="1083">
        <v>608556.29</v>
      </c>
      <c r="G97" s="1087"/>
      <c r="H97" s="1085">
        <f t="shared" si="4"/>
        <v>2248218.16</v>
      </c>
      <c r="I97" s="1085">
        <f t="shared" si="5"/>
        <v>608556.29</v>
      </c>
    </row>
    <row r="98" spans="1:9" s="237" customFormat="1" x14ac:dyDescent="0.2">
      <c r="A98" s="1078" t="s">
        <v>244</v>
      </c>
      <c r="B98" s="1079" t="s">
        <v>245</v>
      </c>
      <c r="C98" s="103" t="s">
        <v>268</v>
      </c>
      <c r="D98" s="1082"/>
      <c r="E98" s="1083">
        <v>1320843.52</v>
      </c>
      <c r="F98" s="1083">
        <v>482715.53</v>
      </c>
      <c r="G98" s="1087"/>
      <c r="H98" s="1085">
        <f t="shared" si="4"/>
        <v>1803559.05</v>
      </c>
      <c r="I98" s="1085">
        <f t="shared" si="5"/>
        <v>482715.53</v>
      </c>
    </row>
    <row r="99" spans="1:9" s="237" customFormat="1" x14ac:dyDescent="0.2">
      <c r="A99" s="1078" t="s">
        <v>246</v>
      </c>
      <c r="B99" s="1079" t="s">
        <v>310</v>
      </c>
      <c r="C99" s="103" t="s">
        <v>264</v>
      </c>
      <c r="D99" s="1082"/>
      <c r="E99" s="1083">
        <v>743883.15</v>
      </c>
      <c r="F99" s="1083">
        <v>406429.94</v>
      </c>
      <c r="G99" s="1087"/>
      <c r="H99" s="1085">
        <f t="shared" si="4"/>
        <v>1150313.0900000001</v>
      </c>
      <c r="I99" s="1085">
        <f t="shared" si="5"/>
        <v>406429.94</v>
      </c>
    </row>
    <row r="100" spans="1:9" s="237" customFormat="1" x14ac:dyDescent="0.2">
      <c r="A100" s="1078" t="s">
        <v>14</v>
      </c>
      <c r="B100" s="1079" t="s">
        <v>15</v>
      </c>
      <c r="C100" s="103" t="s">
        <v>267</v>
      </c>
      <c r="D100" s="1082"/>
      <c r="E100" s="1083">
        <v>3706203.89</v>
      </c>
      <c r="F100" s="1083">
        <v>3913192.28</v>
      </c>
      <c r="G100" s="1087"/>
      <c r="H100" s="1085">
        <f t="shared" si="4"/>
        <v>7619396.1699999999</v>
      </c>
      <c r="I100" s="1085">
        <f t="shared" si="5"/>
        <v>3913192.28</v>
      </c>
    </row>
    <row r="101" spans="1:9" s="237" customFormat="1" x14ac:dyDescent="0.2">
      <c r="A101" s="1078" t="s">
        <v>34</v>
      </c>
      <c r="B101" s="1079" t="s">
        <v>35</v>
      </c>
      <c r="C101" s="103" t="s">
        <v>268</v>
      </c>
      <c r="D101" s="1082"/>
      <c r="E101" s="1083">
        <v>1326823.0900000001</v>
      </c>
      <c r="F101" s="1083">
        <v>453241.16</v>
      </c>
      <c r="G101" s="1087"/>
      <c r="H101" s="1085">
        <f t="shared" si="4"/>
        <v>1780064.25</v>
      </c>
      <c r="I101" s="1085">
        <f t="shared" si="5"/>
        <v>453241.16</v>
      </c>
    </row>
    <row r="102" spans="1:9" s="237" customFormat="1" x14ac:dyDescent="0.2">
      <c r="A102" s="1078" t="s">
        <v>52</v>
      </c>
      <c r="B102" s="1079" t="s">
        <v>53</v>
      </c>
      <c r="C102" s="103" t="s">
        <v>265</v>
      </c>
      <c r="D102" s="1082"/>
      <c r="E102" s="1083">
        <v>5450529.7300000004</v>
      </c>
      <c r="F102" s="1083">
        <v>2179393.42</v>
      </c>
      <c r="G102" s="1087"/>
      <c r="H102" s="1085">
        <f t="shared" si="4"/>
        <v>7629923.1500000004</v>
      </c>
      <c r="I102" s="1085">
        <f t="shared" si="5"/>
        <v>2179393.42</v>
      </c>
    </row>
    <row r="103" spans="1:9" s="237" customFormat="1" x14ac:dyDescent="0.2">
      <c r="A103" s="1078" t="s">
        <v>54</v>
      </c>
      <c r="B103" s="1079" t="s">
        <v>55</v>
      </c>
      <c r="C103" s="103" t="s">
        <v>264</v>
      </c>
      <c r="D103" s="1082"/>
      <c r="E103" s="1083">
        <v>2010809.94</v>
      </c>
      <c r="F103" s="1083">
        <v>1118738.47</v>
      </c>
      <c r="G103" s="1087"/>
      <c r="H103" s="1085">
        <f t="shared" si="4"/>
        <v>3129548.41</v>
      </c>
      <c r="I103" s="1085">
        <f t="shared" si="5"/>
        <v>1118738.47</v>
      </c>
    </row>
    <row r="104" spans="1:9" s="237" customFormat="1" x14ac:dyDescent="0.2">
      <c r="A104" s="1078" t="s">
        <v>66</v>
      </c>
      <c r="B104" s="1079" t="s">
        <v>67</v>
      </c>
      <c r="C104" s="103" t="s">
        <v>265</v>
      </c>
      <c r="D104" s="1082"/>
      <c r="E104" s="1083">
        <v>3258102.96</v>
      </c>
      <c r="F104" s="1083">
        <v>924694.01</v>
      </c>
      <c r="G104" s="1087"/>
      <c r="H104" s="1085">
        <f t="shared" si="4"/>
        <v>4182796.9699999997</v>
      </c>
      <c r="I104" s="1085">
        <f t="shared" si="5"/>
        <v>924694.01</v>
      </c>
    </row>
    <row r="105" spans="1:9" s="237" customFormat="1" x14ac:dyDescent="0.2">
      <c r="A105" s="1078" t="s">
        <v>82</v>
      </c>
      <c r="B105" s="1079" t="s">
        <v>311</v>
      </c>
      <c r="C105" s="103" t="s">
        <v>264</v>
      </c>
      <c r="D105" s="1082"/>
      <c r="E105" s="1083">
        <v>127809.4</v>
      </c>
      <c r="F105" s="1083">
        <v>70844.73</v>
      </c>
      <c r="G105" s="1087"/>
      <c r="H105" s="1085">
        <f t="shared" si="4"/>
        <v>198654.13</v>
      </c>
      <c r="I105" s="1085">
        <f t="shared" si="5"/>
        <v>70844.73</v>
      </c>
    </row>
    <row r="106" spans="1:9" s="237" customFormat="1" x14ac:dyDescent="0.2">
      <c r="A106" s="1078" t="s">
        <v>88</v>
      </c>
      <c r="B106" s="1079" t="s">
        <v>89</v>
      </c>
      <c r="C106" s="103" t="s">
        <v>267</v>
      </c>
      <c r="D106" s="1082"/>
      <c r="E106" s="1083">
        <v>1277436.75</v>
      </c>
      <c r="F106" s="1083">
        <v>669660.78</v>
      </c>
      <c r="G106" s="1087"/>
      <c r="H106" s="1085">
        <f t="shared" si="4"/>
        <v>1947097.53</v>
      </c>
      <c r="I106" s="1085">
        <f t="shared" si="5"/>
        <v>669660.78</v>
      </c>
    </row>
    <row r="107" spans="1:9" s="237" customFormat="1" x14ac:dyDescent="0.2">
      <c r="A107" s="1078" t="s">
        <v>90</v>
      </c>
      <c r="B107" s="1079" t="s">
        <v>91</v>
      </c>
      <c r="C107" s="103" t="s">
        <v>268</v>
      </c>
      <c r="D107" s="1082"/>
      <c r="E107" s="1083">
        <v>156478.5</v>
      </c>
      <c r="F107" s="1083">
        <v>41775.11</v>
      </c>
      <c r="G107" s="1087"/>
      <c r="H107" s="1085">
        <f t="shared" si="4"/>
        <v>198253.61</v>
      </c>
      <c r="I107" s="1085">
        <f t="shared" si="5"/>
        <v>41775.11</v>
      </c>
    </row>
    <row r="108" spans="1:9" s="237" customFormat="1" x14ac:dyDescent="0.2">
      <c r="A108" s="1078" t="s">
        <v>106</v>
      </c>
      <c r="B108" s="1079" t="s">
        <v>107</v>
      </c>
      <c r="C108" s="103" t="s">
        <v>264</v>
      </c>
      <c r="D108" s="1082"/>
      <c r="E108" s="1083">
        <v>6061612.8499999996</v>
      </c>
      <c r="F108" s="1083">
        <v>1620289.54</v>
      </c>
      <c r="G108" s="1087"/>
      <c r="H108" s="1085">
        <f t="shared" si="4"/>
        <v>7681902.3899999997</v>
      </c>
      <c r="I108" s="1085">
        <f t="shared" si="5"/>
        <v>1620289.54</v>
      </c>
    </row>
    <row r="109" spans="1:9" s="237" customFormat="1" x14ac:dyDescent="0.2">
      <c r="A109" s="1078" t="s">
        <v>116</v>
      </c>
      <c r="B109" s="1079" t="s">
        <v>117</v>
      </c>
      <c r="C109" s="103" t="s">
        <v>266</v>
      </c>
      <c r="D109" s="1082"/>
      <c r="E109" s="1083">
        <v>3477801.33</v>
      </c>
      <c r="F109" s="1083">
        <v>1003035.17</v>
      </c>
      <c r="G109" s="1087"/>
      <c r="H109" s="1085">
        <f t="shared" si="4"/>
        <v>4480836.5</v>
      </c>
      <c r="I109" s="1085">
        <f t="shared" si="5"/>
        <v>1003035.17</v>
      </c>
    </row>
    <row r="110" spans="1:9" s="237" customFormat="1" x14ac:dyDescent="0.2">
      <c r="A110" s="1078" t="s">
        <v>138</v>
      </c>
      <c r="B110" s="1079" t="s">
        <v>139</v>
      </c>
      <c r="C110" s="103" t="s">
        <v>265</v>
      </c>
      <c r="D110" s="1082"/>
      <c r="E110" s="1083">
        <v>4100718.42</v>
      </c>
      <c r="F110" s="1083">
        <v>1508257.32</v>
      </c>
      <c r="G110" s="1087"/>
      <c r="H110" s="1085">
        <f t="shared" si="4"/>
        <v>5608975.7400000002</v>
      </c>
      <c r="I110" s="1085">
        <f t="shared" si="5"/>
        <v>1508257.32</v>
      </c>
    </row>
    <row r="111" spans="1:9" s="237" customFormat="1" x14ac:dyDescent="0.2">
      <c r="A111" s="1078" t="s">
        <v>142</v>
      </c>
      <c r="B111" s="1079" t="s">
        <v>143</v>
      </c>
      <c r="C111" s="103" t="s">
        <v>267</v>
      </c>
      <c r="D111" s="1082"/>
      <c r="E111" s="1083">
        <v>863992.45</v>
      </c>
      <c r="F111" s="1083">
        <v>612559.46</v>
      </c>
      <c r="G111" s="1087"/>
      <c r="H111" s="1085">
        <f t="shared" si="4"/>
        <v>1476551.91</v>
      </c>
      <c r="I111" s="1085">
        <f t="shared" si="5"/>
        <v>612559.46</v>
      </c>
    </row>
    <row r="112" spans="1:9" s="237" customFormat="1" x14ac:dyDescent="0.2">
      <c r="A112" s="1078" t="s">
        <v>144</v>
      </c>
      <c r="B112" s="1079" t="s">
        <v>145</v>
      </c>
      <c r="C112" s="103" t="s">
        <v>267</v>
      </c>
      <c r="D112" s="1082"/>
      <c r="E112" s="1083">
        <v>297880.81</v>
      </c>
      <c r="F112" s="1083">
        <v>228831.26</v>
      </c>
      <c r="G112" s="1087"/>
      <c r="H112" s="1085">
        <f t="shared" si="4"/>
        <v>526712.07000000007</v>
      </c>
      <c r="I112" s="1085">
        <f t="shared" si="5"/>
        <v>228831.26</v>
      </c>
    </row>
    <row r="113" spans="1:9" s="237" customFormat="1" x14ac:dyDescent="0.2">
      <c r="A113" s="1078" t="s">
        <v>158</v>
      </c>
      <c r="B113" s="1079" t="s">
        <v>159</v>
      </c>
      <c r="C113" s="103" t="s">
        <v>264</v>
      </c>
      <c r="D113" s="1082"/>
      <c r="E113" s="1083">
        <v>4352928.42</v>
      </c>
      <c r="F113" s="1083">
        <v>1591186.52</v>
      </c>
      <c r="G113" s="1087"/>
      <c r="H113" s="1085">
        <f t="shared" si="4"/>
        <v>5944114.9399999995</v>
      </c>
      <c r="I113" s="1085">
        <f t="shared" si="5"/>
        <v>1591186.52</v>
      </c>
    </row>
    <row r="114" spans="1:9" s="237" customFormat="1" x14ac:dyDescent="0.2">
      <c r="A114" s="1078" t="s">
        <v>160</v>
      </c>
      <c r="B114" s="1079" t="s">
        <v>161</v>
      </c>
      <c r="C114" s="103" t="s">
        <v>264</v>
      </c>
      <c r="D114" s="1082"/>
      <c r="E114" s="1083">
        <v>6284032.8799999999</v>
      </c>
      <c r="F114" s="1083">
        <v>2050257.23</v>
      </c>
      <c r="G114" s="1087"/>
      <c r="H114" s="1085">
        <f t="shared" si="4"/>
        <v>8334290.1099999994</v>
      </c>
      <c r="I114" s="1085">
        <f t="shared" si="5"/>
        <v>2050257.23</v>
      </c>
    </row>
    <row r="115" spans="1:9" s="237" customFormat="1" x14ac:dyDescent="0.2">
      <c r="A115" s="1078" t="s">
        <v>166</v>
      </c>
      <c r="B115" s="1079" t="s">
        <v>167</v>
      </c>
      <c r="C115" s="103" t="s">
        <v>268</v>
      </c>
      <c r="D115" s="1082"/>
      <c r="E115" s="1083">
        <v>73187.210000000006</v>
      </c>
      <c r="F115" s="1083">
        <v>38241.72</v>
      </c>
      <c r="G115" s="1087"/>
      <c r="H115" s="1085">
        <f t="shared" si="4"/>
        <v>111428.93000000001</v>
      </c>
      <c r="I115" s="1085">
        <f t="shared" si="5"/>
        <v>38241.72</v>
      </c>
    </row>
    <row r="116" spans="1:9" s="237" customFormat="1" x14ac:dyDescent="0.2">
      <c r="A116" s="1078" t="s">
        <v>176</v>
      </c>
      <c r="B116" s="1079" t="s">
        <v>177</v>
      </c>
      <c r="C116" s="103" t="s">
        <v>266</v>
      </c>
      <c r="D116" s="1082"/>
      <c r="E116" s="1083">
        <v>2714729.55</v>
      </c>
      <c r="F116" s="1083">
        <v>1473323.69</v>
      </c>
      <c r="G116" s="1087"/>
      <c r="H116" s="1085">
        <f t="shared" si="4"/>
        <v>4188053.2399999998</v>
      </c>
      <c r="I116" s="1085">
        <f t="shared" si="5"/>
        <v>1473323.69</v>
      </c>
    </row>
    <row r="117" spans="1:9" s="237" customFormat="1" x14ac:dyDescent="0.2">
      <c r="A117" s="1078" t="s">
        <v>180</v>
      </c>
      <c r="B117" s="1079" t="s">
        <v>181</v>
      </c>
      <c r="C117" s="103" t="s">
        <v>264</v>
      </c>
      <c r="D117" s="1082"/>
      <c r="E117" s="1083">
        <v>2632103.5299999998</v>
      </c>
      <c r="F117" s="1083">
        <v>915746.19</v>
      </c>
      <c r="G117" s="1087"/>
      <c r="H117" s="1085">
        <f t="shared" si="4"/>
        <v>3547849.7199999997</v>
      </c>
      <c r="I117" s="1085">
        <f t="shared" si="5"/>
        <v>915746.19</v>
      </c>
    </row>
    <row r="118" spans="1:9" s="237" customFormat="1" x14ac:dyDescent="0.2">
      <c r="A118" s="1078" t="s">
        <v>192</v>
      </c>
      <c r="B118" s="1079" t="s">
        <v>193</v>
      </c>
      <c r="C118" s="103" t="s">
        <v>268</v>
      </c>
      <c r="D118" s="1082"/>
      <c r="E118" s="1083">
        <v>843757.69</v>
      </c>
      <c r="F118" s="1083">
        <v>216369.18</v>
      </c>
      <c r="G118" s="1087"/>
      <c r="H118" s="1085">
        <f t="shared" si="4"/>
        <v>1060126.8699999999</v>
      </c>
      <c r="I118" s="1085">
        <f t="shared" si="5"/>
        <v>216369.18</v>
      </c>
    </row>
    <row r="119" spans="1:9" s="237" customFormat="1" x14ac:dyDescent="0.2">
      <c r="A119" s="1078" t="s">
        <v>196</v>
      </c>
      <c r="B119" s="1079" t="s">
        <v>312</v>
      </c>
      <c r="C119" s="103" t="s">
        <v>266</v>
      </c>
      <c r="D119" s="1082"/>
      <c r="E119" s="1083">
        <v>9204475.4900000002</v>
      </c>
      <c r="F119" s="1083">
        <v>5544840.0999999996</v>
      </c>
      <c r="G119" s="1087"/>
      <c r="H119" s="1085">
        <f t="shared" si="4"/>
        <v>14749315.59</v>
      </c>
      <c r="I119" s="1085">
        <f t="shared" si="5"/>
        <v>5544840.0999999996</v>
      </c>
    </row>
    <row r="120" spans="1:9" s="237" customFormat="1" x14ac:dyDescent="0.2">
      <c r="A120" s="1078" t="s">
        <v>200</v>
      </c>
      <c r="B120" s="1079" t="s">
        <v>313</v>
      </c>
      <c r="C120" s="103" t="s">
        <v>265</v>
      </c>
      <c r="D120" s="1082"/>
      <c r="E120" s="1083">
        <v>6623428.3300000001</v>
      </c>
      <c r="F120" s="1083">
        <v>2938440.9</v>
      </c>
      <c r="G120" s="1087"/>
      <c r="H120" s="1085">
        <f t="shared" si="4"/>
        <v>9561869.2300000004</v>
      </c>
      <c r="I120" s="1085">
        <f t="shared" si="5"/>
        <v>2938440.9</v>
      </c>
    </row>
    <row r="121" spans="1:9" s="237" customFormat="1" x14ac:dyDescent="0.2">
      <c r="A121" s="1078" t="s">
        <v>222</v>
      </c>
      <c r="B121" s="1079" t="s">
        <v>223</v>
      </c>
      <c r="C121" s="103" t="s">
        <v>264</v>
      </c>
      <c r="D121" s="1082"/>
      <c r="E121" s="1083">
        <v>968522.02</v>
      </c>
      <c r="F121" s="1083">
        <v>326903.55</v>
      </c>
      <c r="G121" s="1087"/>
      <c r="H121" s="1085">
        <f t="shared" si="4"/>
        <v>1295425.57</v>
      </c>
      <c r="I121" s="1085">
        <f t="shared" si="5"/>
        <v>326903.55</v>
      </c>
    </row>
    <row r="122" spans="1:9" s="237" customFormat="1" x14ac:dyDescent="0.2">
      <c r="A122" s="1078" t="s">
        <v>230</v>
      </c>
      <c r="B122" s="1079" t="s">
        <v>231</v>
      </c>
      <c r="C122" s="103" t="s">
        <v>264</v>
      </c>
      <c r="D122" s="1082"/>
      <c r="E122" s="1083">
        <v>6079890.3399999999</v>
      </c>
      <c r="F122" s="1083">
        <v>3594009.2</v>
      </c>
      <c r="G122" s="1087"/>
      <c r="H122" s="1085">
        <f t="shared" si="4"/>
        <v>9673899.5399999991</v>
      </c>
      <c r="I122" s="1085">
        <f t="shared" si="5"/>
        <v>3594009.2</v>
      </c>
    </row>
    <row r="123" spans="1:9" s="237" customFormat="1" x14ac:dyDescent="0.2">
      <c r="A123" s="1078" t="s">
        <v>238</v>
      </c>
      <c r="B123" s="1079" t="s">
        <v>239</v>
      </c>
      <c r="C123" s="103" t="s">
        <v>264</v>
      </c>
      <c r="D123" s="1082"/>
      <c r="E123" s="1083">
        <v>99110.63</v>
      </c>
      <c r="F123" s="1083">
        <v>84963.19</v>
      </c>
      <c r="G123" s="1087"/>
      <c r="H123" s="1085">
        <f t="shared" si="4"/>
        <v>184073.82</v>
      </c>
      <c r="I123" s="1085">
        <f t="shared" si="5"/>
        <v>84963.19</v>
      </c>
    </row>
    <row r="124" spans="1:9" s="237" customFormat="1" x14ac:dyDescent="0.2">
      <c r="A124" s="1078" t="s">
        <v>240</v>
      </c>
      <c r="B124" s="1079" t="s">
        <v>241</v>
      </c>
      <c r="C124" s="111" t="s">
        <v>267</v>
      </c>
      <c r="D124" s="1082"/>
      <c r="E124" s="1083">
        <v>926178.03</v>
      </c>
      <c r="F124" s="1083">
        <v>738532.37</v>
      </c>
      <c r="G124" s="1087"/>
      <c r="H124" s="1085">
        <f t="shared" si="4"/>
        <v>1664710.4</v>
      </c>
      <c r="I124" s="1085">
        <f t="shared" si="5"/>
        <v>738532.37</v>
      </c>
    </row>
    <row r="125" spans="1:9" s="237" customFormat="1" x14ac:dyDescent="0.2">
      <c r="D125" s="1093"/>
      <c r="E125" s="1093"/>
      <c r="F125" s="1093"/>
      <c r="G125" s="1093"/>
      <c r="H125" s="1093"/>
      <c r="I125" s="1093"/>
    </row>
    <row r="126" spans="1:9" s="237" customFormat="1" x14ac:dyDescent="0.2">
      <c r="A126" s="237" t="s">
        <v>266</v>
      </c>
      <c r="D126" s="1651">
        <f t="shared" ref="D126:G126" si="6">D8+D19+D21+D23+D25+D29+D32+D36+D41+D46+D47+D52+D54+D55+D59+D63+D66+D68+D69+D74+D75+D80+D96+D109+D116+D119</f>
        <v>0</v>
      </c>
      <c r="E126" s="1651">
        <f t="shared" si="6"/>
        <v>41305948.359999999</v>
      </c>
      <c r="F126" s="1651">
        <f t="shared" si="6"/>
        <v>22795380.909999996</v>
      </c>
      <c r="G126" s="1651">
        <f t="shared" si="6"/>
        <v>0</v>
      </c>
      <c r="H126" s="1085">
        <f t="shared" si="4"/>
        <v>64101329.269999996</v>
      </c>
      <c r="I126" s="1085">
        <f t="shared" si="5"/>
        <v>22795380.909999996</v>
      </c>
    </row>
    <row r="127" spans="1:9" s="237" customFormat="1" x14ac:dyDescent="0.2">
      <c r="A127" s="237" t="s">
        <v>264</v>
      </c>
      <c r="D127" s="1651">
        <f t="shared" ref="D127:G127" si="7">D5+D17+D31+D40+D44+D50+D51+D61+D67+D76+D88+D91+D92+D99+D103+D105+D108+D113+D114+D117+D121+D122+D123</f>
        <v>0</v>
      </c>
      <c r="E127" s="1651">
        <f t="shared" si="7"/>
        <v>35559216.190000005</v>
      </c>
      <c r="F127" s="1651">
        <f t="shared" si="7"/>
        <v>14651661.980000002</v>
      </c>
      <c r="G127" s="1651">
        <f t="shared" si="7"/>
        <v>0</v>
      </c>
      <c r="H127" s="1085">
        <f t="shared" si="4"/>
        <v>50210878.170000009</v>
      </c>
      <c r="I127" s="1085">
        <f t="shared" si="5"/>
        <v>14651661.980000002</v>
      </c>
    </row>
    <row r="128" spans="1:9" s="237" customFormat="1" x14ac:dyDescent="0.2">
      <c r="A128" s="237" t="s">
        <v>267</v>
      </c>
      <c r="D128" s="1651">
        <f t="shared" ref="D128:G128" si="8">D11+D26+D28+D33+D34+D38+D43+D53+D57+D58+D60+D70+D71+D77+D79+D83+D86+D89+D90+D94+D100+D106+D111+D112+D124</f>
        <v>0</v>
      </c>
      <c r="E128" s="1651">
        <f t="shared" si="8"/>
        <v>69862835.11999999</v>
      </c>
      <c r="F128" s="1651">
        <f t="shared" si="8"/>
        <v>50712628.809999995</v>
      </c>
      <c r="G128" s="1651">
        <f t="shared" si="8"/>
        <v>0</v>
      </c>
      <c r="H128" s="1085">
        <f t="shared" si="4"/>
        <v>120575463.92999998</v>
      </c>
      <c r="I128" s="1085">
        <f t="shared" si="5"/>
        <v>50712628.809999995</v>
      </c>
    </row>
    <row r="129" spans="1:9" s="237" customFormat="1" x14ac:dyDescent="0.2">
      <c r="A129" s="237" t="s">
        <v>265</v>
      </c>
      <c r="D129" s="1651">
        <f t="shared" ref="D129:G129" si="9">D6+D7+D9+D10+D12+D13+D14+D16+D20+D24+D27+D37+D45+D48+D49+D62+D65+D73+D81+D82+D102+D104+D110+D120</f>
        <v>0</v>
      </c>
      <c r="E129" s="1651">
        <f t="shared" si="9"/>
        <v>57688851.940000005</v>
      </c>
      <c r="F129" s="1651">
        <f t="shared" si="9"/>
        <v>25039183.16</v>
      </c>
      <c r="G129" s="1651">
        <f t="shared" si="9"/>
        <v>0</v>
      </c>
      <c r="H129" s="1085">
        <f t="shared" si="4"/>
        <v>82728035.100000009</v>
      </c>
      <c r="I129" s="1085">
        <f t="shared" si="5"/>
        <v>25039183.16</v>
      </c>
    </row>
    <row r="130" spans="1:9" s="237" customFormat="1" x14ac:dyDescent="0.2">
      <c r="A130" s="237" t="s">
        <v>268</v>
      </c>
      <c r="D130" s="1651">
        <f t="shared" ref="D130:G130" si="10">D15+D18+D22+D30+D35+D39+D42+D56+D64+D72+D78+D84+D85+D87+D93+D95+D97+D98+D101+D107+D115+D118</f>
        <v>0</v>
      </c>
      <c r="E130" s="1651">
        <f t="shared" si="10"/>
        <v>19095180.390000001</v>
      </c>
      <c r="F130" s="1093">
        <f t="shared" si="10"/>
        <v>6589646.3999999994</v>
      </c>
      <c r="G130" s="1651">
        <f t="shared" si="10"/>
        <v>0</v>
      </c>
      <c r="H130" s="1085">
        <f t="shared" si="4"/>
        <v>25684826.789999999</v>
      </c>
      <c r="I130" s="1085">
        <f t="shared" si="5"/>
        <v>6589646.3999999994</v>
      </c>
    </row>
    <row r="131" spans="1:9" s="237" customFormat="1" x14ac:dyDescent="0.2">
      <c r="A131" s="237" t="s">
        <v>9</v>
      </c>
      <c r="D131" s="1093">
        <f t="shared" ref="D131:G131" si="11">SUM(D126:D130)</f>
        <v>0</v>
      </c>
      <c r="E131" s="1093">
        <f t="shared" si="11"/>
        <v>223512032</v>
      </c>
      <c r="F131" s="1093">
        <f t="shared" si="11"/>
        <v>119788501.25999999</v>
      </c>
      <c r="G131" s="1093">
        <f t="shared" si="11"/>
        <v>0</v>
      </c>
      <c r="H131" s="1085">
        <f t="shared" ref="H131" si="12">SUM(D131:G131)</f>
        <v>343300533.25999999</v>
      </c>
      <c r="I131" s="1085">
        <f t="shared" ref="I131" si="13">F131+G131</f>
        <v>119788501.25999999</v>
      </c>
    </row>
    <row r="132" spans="1:9" s="237" customFormat="1" x14ac:dyDescent="0.2">
      <c r="D132" s="1650"/>
      <c r="E132" s="1093"/>
      <c r="F132" s="1093"/>
      <c r="G132" s="1093"/>
      <c r="H132" s="1404"/>
      <c r="I132" s="1404"/>
    </row>
    <row r="133" spans="1:9" s="237" customFormat="1" x14ac:dyDescent="0.2">
      <c r="D133" s="1093"/>
      <c r="E133" s="1093"/>
      <c r="F133" s="1093"/>
      <c r="G133" s="1093"/>
      <c r="H133" s="1093"/>
      <c r="I133" s="1093"/>
    </row>
    <row r="134" spans="1:9" s="1094" customFormat="1" x14ac:dyDescent="0.2">
      <c r="A134" s="1094" t="s">
        <v>853</v>
      </c>
      <c r="B134" s="1095"/>
      <c r="C134" s="1095"/>
    </row>
    <row r="135" spans="1:9" s="1094" customFormat="1" x14ac:dyDescent="0.2"/>
    <row r="136" spans="1:9" s="185" customFormat="1" x14ac:dyDescent="0.2">
      <c r="A136" s="185" t="s">
        <v>248</v>
      </c>
    </row>
    <row r="137" spans="1:9" x14ac:dyDescent="0.2">
      <c r="A137" s="192" t="s">
        <v>249</v>
      </c>
      <c r="B137" s="170" t="s">
        <v>250</v>
      </c>
      <c r="C137" s="170"/>
    </row>
  </sheetData>
  <autoFilter ref="A3:I124"/>
  <hyperlinks>
    <hyperlink ref="B137" r:id="rId1"/>
  </hyperlinks>
  <pageMargins left="0.7" right="0.7" top="0.75" bottom="0.75" header="0.3" footer="0.3"/>
  <pageSetup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7"/>
  <sheetViews>
    <sheetView workbookViewId="0">
      <pane xSplit="3" ySplit="4" topLeftCell="D106" activePane="bottomRight" state="frozen"/>
      <selection pane="topRight" activeCell="D1" sqref="D1"/>
      <selection pane="bottomLeft" activeCell="A5" sqref="A5"/>
      <selection pane="bottomRight" activeCell="D126" sqref="D126:D131"/>
    </sheetView>
  </sheetViews>
  <sheetFormatPr defaultRowHeight="15.75" x14ac:dyDescent="0.25"/>
  <cols>
    <col min="1" max="1" width="9.25" style="1128" bestFit="1" customWidth="1"/>
    <col min="2" max="2" width="28.125" style="1129" customWidth="1"/>
    <col min="3" max="3" width="16.5" style="1129" customWidth="1"/>
    <col min="4" max="4" width="12.625" style="1130" bestFit="1" customWidth="1"/>
    <col min="5" max="5" width="13.5" style="1130" bestFit="1" customWidth="1"/>
    <col min="6" max="6" width="12.625" style="1130" bestFit="1" customWidth="1"/>
    <col min="7" max="7" width="13.5" style="1130" bestFit="1" customWidth="1"/>
    <col min="8" max="8" width="11.25" style="1130" customWidth="1"/>
    <col min="9" max="11" width="13.75" style="1131" customWidth="1"/>
    <col min="12" max="16384" width="9" style="1129"/>
  </cols>
  <sheetData>
    <row r="1" spans="1:11" x14ac:dyDescent="0.25">
      <c r="A1" s="1133" t="s">
        <v>1188</v>
      </c>
    </row>
    <row r="3" spans="1:11" s="1127" customFormat="1" ht="15" x14ac:dyDescent="0.25">
      <c r="A3" s="1126" t="s">
        <v>4</v>
      </c>
      <c r="B3" s="1127" t="s">
        <v>5</v>
      </c>
      <c r="C3" s="1127" t="s">
        <v>251</v>
      </c>
      <c r="D3" s="1136" t="s">
        <v>866</v>
      </c>
      <c r="E3" s="1136" t="s">
        <v>867</v>
      </c>
      <c r="F3" s="1136" t="s">
        <v>868</v>
      </c>
      <c r="G3" s="1136" t="s">
        <v>869</v>
      </c>
      <c r="H3" s="1136" t="s">
        <v>870</v>
      </c>
      <c r="I3" s="1137" t="s">
        <v>314</v>
      </c>
      <c r="J3" s="1137" t="s">
        <v>315</v>
      </c>
      <c r="K3" s="1138" t="s">
        <v>871</v>
      </c>
    </row>
    <row r="4" spans="1:11" s="1127" customFormat="1" ht="15" x14ac:dyDescent="0.25">
      <c r="A4" s="1134" t="s">
        <v>8</v>
      </c>
      <c r="B4" s="1135" t="s">
        <v>872</v>
      </c>
      <c r="C4" s="1135"/>
      <c r="D4" s="1699">
        <f>SUM(D5:D124)</f>
        <v>52620515.549999997</v>
      </c>
      <c r="E4" s="1699">
        <f t="shared" ref="E4:K4" si="0">SUM(E5:E124)</f>
        <v>7506959</v>
      </c>
      <c r="F4" s="1699">
        <f t="shared" si="0"/>
        <v>52741</v>
      </c>
      <c r="G4" s="1699">
        <f t="shared" si="0"/>
        <v>69567436.010000005</v>
      </c>
      <c r="H4" s="1699">
        <f t="shared" si="0"/>
        <v>129747651.55999999</v>
      </c>
      <c r="I4" s="1699">
        <f t="shared" si="0"/>
        <v>103411023.285</v>
      </c>
      <c r="J4" s="1699">
        <f t="shared" si="0"/>
        <v>26336628.274999999</v>
      </c>
      <c r="K4" s="1700">
        <f t="shared" si="0"/>
        <v>129747651.55999999</v>
      </c>
    </row>
    <row r="5" spans="1:11" ht="15" x14ac:dyDescent="0.25">
      <c r="A5" s="1128" t="s">
        <v>10</v>
      </c>
      <c r="B5" s="1129" t="s">
        <v>11</v>
      </c>
      <c r="C5" s="1129" t="s">
        <v>264</v>
      </c>
      <c r="D5" s="1703">
        <v>29442</v>
      </c>
      <c r="E5" s="1703">
        <v>17996</v>
      </c>
      <c r="F5" s="1703">
        <v>0</v>
      </c>
      <c r="G5" s="1703">
        <v>84038</v>
      </c>
      <c r="H5" s="1703">
        <f>SUM(D5:G5)</f>
        <v>131476</v>
      </c>
      <c r="I5" s="1702">
        <f>(D5*0.5)+E5+(F5*0.5)+G5</f>
        <v>116755</v>
      </c>
      <c r="J5" s="1702">
        <f>(D5*0.5)+(F5*0.5)</f>
        <v>14721</v>
      </c>
      <c r="K5" s="1701">
        <f>I5+J5</f>
        <v>131476</v>
      </c>
    </row>
    <row r="6" spans="1:11" ht="15" x14ac:dyDescent="0.25">
      <c r="A6" s="1128" t="s">
        <v>12</v>
      </c>
      <c r="B6" s="1129" t="s">
        <v>13</v>
      </c>
      <c r="C6" s="1129" t="s">
        <v>265</v>
      </c>
      <c r="D6" s="1703">
        <v>259439</v>
      </c>
      <c r="E6" s="1703">
        <v>1967</v>
      </c>
      <c r="F6" s="1703">
        <v>115</v>
      </c>
      <c r="G6" s="1703">
        <v>701809</v>
      </c>
      <c r="H6" s="1703">
        <f>SUM(D6:G6)</f>
        <v>963330</v>
      </c>
      <c r="I6" s="1702">
        <f>(D6*0.5)+E6+(F6*0.5)+G6</f>
        <v>833553</v>
      </c>
      <c r="J6" s="1702">
        <f>(D6*0.5)+(F6*0.5)</f>
        <v>129777</v>
      </c>
      <c r="K6" s="1701">
        <f t="shared" ref="K6:K69" si="1">I6+J6</f>
        <v>963330</v>
      </c>
    </row>
    <row r="7" spans="1:11" ht="15" x14ac:dyDescent="0.25">
      <c r="A7" s="1128" t="s">
        <v>16</v>
      </c>
      <c r="B7" s="1132" t="s">
        <v>297</v>
      </c>
      <c r="C7" s="1132" t="s">
        <v>265</v>
      </c>
      <c r="D7" s="1703">
        <v>30174</v>
      </c>
      <c r="E7" s="1703"/>
      <c r="F7" s="1703">
        <v>0</v>
      </c>
      <c r="G7" s="1703">
        <v>81935</v>
      </c>
      <c r="H7" s="1703">
        <f t="shared" ref="H7:H70" si="2">SUM(D7:G7)</f>
        <v>112109</v>
      </c>
      <c r="I7" s="1702">
        <f t="shared" ref="I7:I70" si="3">(D7*0.5)+E7+(F7*0.5)+G7</f>
        <v>97022</v>
      </c>
      <c r="J7" s="1702">
        <f t="shared" ref="J7:J70" si="4">(D7*0.5)+(F7*0.5)</f>
        <v>15087</v>
      </c>
      <c r="K7" s="1701">
        <f t="shared" si="1"/>
        <v>112109</v>
      </c>
    </row>
    <row r="8" spans="1:11" ht="15" x14ac:dyDescent="0.25">
      <c r="A8" s="1128" t="s">
        <v>18</v>
      </c>
      <c r="B8" s="1129" t="s">
        <v>19</v>
      </c>
      <c r="C8" s="1129" t="s">
        <v>266</v>
      </c>
      <c r="D8" s="1703">
        <v>26741</v>
      </c>
      <c r="E8" s="1703">
        <v>13267</v>
      </c>
      <c r="F8" s="1703">
        <v>0</v>
      </c>
      <c r="G8" s="1703">
        <v>55115</v>
      </c>
      <c r="H8" s="1703">
        <f t="shared" si="2"/>
        <v>95123</v>
      </c>
      <c r="I8" s="1702">
        <f t="shared" si="3"/>
        <v>81752.5</v>
      </c>
      <c r="J8" s="1702">
        <f t="shared" si="4"/>
        <v>13370.5</v>
      </c>
      <c r="K8" s="1701">
        <f t="shared" si="1"/>
        <v>95123</v>
      </c>
    </row>
    <row r="9" spans="1:11" ht="15" x14ac:dyDescent="0.25">
      <c r="A9" s="1128" t="s">
        <v>20</v>
      </c>
      <c r="B9" s="1129" t="s">
        <v>21</v>
      </c>
      <c r="C9" s="1129" t="s">
        <v>265</v>
      </c>
      <c r="D9" s="1703">
        <v>112377</v>
      </c>
      <c r="E9" s="1703">
        <v>25722</v>
      </c>
      <c r="F9" s="1703">
        <v>996</v>
      </c>
      <c r="G9" s="1703">
        <v>187366</v>
      </c>
      <c r="H9" s="1703">
        <f t="shared" si="2"/>
        <v>326461</v>
      </c>
      <c r="I9" s="1702">
        <f t="shared" si="3"/>
        <v>269774.5</v>
      </c>
      <c r="J9" s="1702">
        <f t="shared" si="4"/>
        <v>56686.5</v>
      </c>
      <c r="K9" s="1701">
        <f t="shared" si="1"/>
        <v>326461</v>
      </c>
    </row>
    <row r="10" spans="1:11" ht="15" x14ac:dyDescent="0.25">
      <c r="A10" s="1128" t="s">
        <v>22</v>
      </c>
      <c r="B10" s="1129" t="s">
        <v>23</v>
      </c>
      <c r="C10" s="1129" t="s">
        <v>265</v>
      </c>
      <c r="D10" s="1703">
        <v>46262</v>
      </c>
      <c r="E10" s="1703"/>
      <c r="F10" s="1703">
        <v>0</v>
      </c>
      <c r="G10" s="1703">
        <v>58851</v>
      </c>
      <c r="H10" s="1703">
        <f t="shared" si="2"/>
        <v>105113</v>
      </c>
      <c r="I10" s="1702">
        <f t="shared" si="3"/>
        <v>81982</v>
      </c>
      <c r="J10" s="1702">
        <f t="shared" si="4"/>
        <v>23131</v>
      </c>
      <c r="K10" s="1701">
        <f t="shared" si="1"/>
        <v>105113</v>
      </c>
    </row>
    <row r="11" spans="1:11" ht="15" x14ac:dyDescent="0.25">
      <c r="A11" s="1128" t="s">
        <v>24</v>
      </c>
      <c r="B11" s="1129" t="s">
        <v>25</v>
      </c>
      <c r="C11" s="1129" t="s">
        <v>267</v>
      </c>
      <c r="D11" s="1703">
        <v>740428</v>
      </c>
      <c r="E11" s="1703">
        <v>698240</v>
      </c>
      <c r="F11" s="1703">
        <v>347</v>
      </c>
      <c r="G11" s="1703">
        <v>1428692</v>
      </c>
      <c r="H11" s="1703">
        <f t="shared" si="2"/>
        <v>2867707</v>
      </c>
      <c r="I11" s="1702">
        <f t="shared" si="3"/>
        <v>2497319.5</v>
      </c>
      <c r="J11" s="1702">
        <f t="shared" si="4"/>
        <v>370387.5</v>
      </c>
      <c r="K11" s="1701">
        <f t="shared" si="1"/>
        <v>2867707</v>
      </c>
    </row>
    <row r="12" spans="1:11" ht="15" x14ac:dyDescent="0.25">
      <c r="A12" s="1128" t="s">
        <v>26</v>
      </c>
      <c r="B12" s="1132" t="s">
        <v>686</v>
      </c>
      <c r="C12" s="1132" t="s">
        <v>265</v>
      </c>
      <c r="D12" s="1703">
        <v>424646</v>
      </c>
      <c r="E12" s="1703">
        <v>12952</v>
      </c>
      <c r="F12" s="1703">
        <v>71</v>
      </c>
      <c r="G12" s="1703">
        <v>578788</v>
      </c>
      <c r="H12" s="1703">
        <f t="shared" si="2"/>
        <v>1016457</v>
      </c>
      <c r="I12" s="1702">
        <f t="shared" si="3"/>
        <v>804098.5</v>
      </c>
      <c r="J12" s="1702">
        <f t="shared" si="4"/>
        <v>212358.5</v>
      </c>
      <c r="K12" s="1701">
        <f t="shared" si="1"/>
        <v>1016457</v>
      </c>
    </row>
    <row r="13" spans="1:11" ht="15" x14ac:dyDescent="0.25">
      <c r="A13" s="1128" t="s">
        <v>27</v>
      </c>
      <c r="B13" s="1129" t="s">
        <v>28</v>
      </c>
      <c r="C13" s="1129" t="s">
        <v>265</v>
      </c>
      <c r="D13" s="1703">
        <v>414</v>
      </c>
      <c r="E13" s="1703"/>
      <c r="F13" s="1703">
        <v>0</v>
      </c>
      <c r="G13" s="1703">
        <v>0</v>
      </c>
      <c r="H13" s="1703">
        <f t="shared" si="2"/>
        <v>414</v>
      </c>
      <c r="I13" s="1702">
        <f t="shared" si="3"/>
        <v>207</v>
      </c>
      <c r="J13" s="1702">
        <f t="shared" si="4"/>
        <v>207</v>
      </c>
      <c r="K13" s="1701">
        <f t="shared" si="1"/>
        <v>414</v>
      </c>
    </row>
    <row r="14" spans="1:11" ht="15" x14ac:dyDescent="0.25">
      <c r="A14" s="1128" t="s">
        <v>29</v>
      </c>
      <c r="B14" s="1129" t="s">
        <v>941</v>
      </c>
      <c r="C14" s="1129" t="s">
        <v>265</v>
      </c>
      <c r="D14" s="1703">
        <v>185512</v>
      </c>
      <c r="E14" s="1703">
        <v>7427</v>
      </c>
      <c r="F14" s="1703">
        <v>558</v>
      </c>
      <c r="G14" s="1703">
        <v>416073</v>
      </c>
      <c r="H14" s="1703">
        <f t="shared" si="2"/>
        <v>609570</v>
      </c>
      <c r="I14" s="1702">
        <f t="shared" si="3"/>
        <v>516535</v>
      </c>
      <c r="J14" s="1702">
        <f t="shared" si="4"/>
        <v>93035</v>
      </c>
      <c r="K14" s="1701">
        <f t="shared" si="1"/>
        <v>609570</v>
      </c>
    </row>
    <row r="15" spans="1:11" ht="15" x14ac:dyDescent="0.25">
      <c r="A15" s="1128" t="s">
        <v>30</v>
      </c>
      <c r="B15" s="1129" t="s">
        <v>31</v>
      </c>
      <c r="C15" s="1129" t="s">
        <v>268</v>
      </c>
      <c r="D15" s="1703">
        <v>0</v>
      </c>
      <c r="E15" s="1703"/>
      <c r="F15" s="1703">
        <v>0</v>
      </c>
      <c r="G15" s="1703">
        <v>10415</v>
      </c>
      <c r="H15" s="1703">
        <f t="shared" si="2"/>
        <v>10415</v>
      </c>
      <c r="I15" s="1702">
        <f t="shared" si="3"/>
        <v>10415</v>
      </c>
      <c r="J15" s="1702">
        <f t="shared" si="4"/>
        <v>0</v>
      </c>
      <c r="K15" s="1701">
        <f t="shared" si="1"/>
        <v>10415</v>
      </c>
    </row>
    <row r="16" spans="1:11" ht="15" x14ac:dyDescent="0.25">
      <c r="A16" s="1128" t="s">
        <v>32</v>
      </c>
      <c r="B16" s="1129" t="s">
        <v>33</v>
      </c>
      <c r="C16" s="1129" t="s">
        <v>265</v>
      </c>
      <c r="D16" s="1703">
        <v>60803</v>
      </c>
      <c r="E16" s="1703">
        <v>13051</v>
      </c>
      <c r="F16" s="1703">
        <v>30</v>
      </c>
      <c r="G16" s="1703">
        <v>176172</v>
      </c>
      <c r="H16" s="1703">
        <f t="shared" si="2"/>
        <v>250056</v>
      </c>
      <c r="I16" s="1702">
        <f t="shared" si="3"/>
        <v>219639.5</v>
      </c>
      <c r="J16" s="1702">
        <f t="shared" si="4"/>
        <v>30416.5</v>
      </c>
      <c r="K16" s="1701">
        <f t="shared" si="1"/>
        <v>250056</v>
      </c>
    </row>
    <row r="17" spans="1:11" ht="15" x14ac:dyDescent="0.25">
      <c r="A17" s="1128" t="s">
        <v>36</v>
      </c>
      <c r="B17" s="1129" t="s">
        <v>37</v>
      </c>
      <c r="C17" s="1129" t="s">
        <v>264</v>
      </c>
      <c r="D17" s="1703">
        <v>24356</v>
      </c>
      <c r="E17" s="1703"/>
      <c r="F17" s="1703">
        <v>0</v>
      </c>
      <c r="G17" s="1703">
        <v>54444</v>
      </c>
      <c r="H17" s="1703">
        <f t="shared" si="2"/>
        <v>78800</v>
      </c>
      <c r="I17" s="1702">
        <f t="shared" si="3"/>
        <v>66622</v>
      </c>
      <c r="J17" s="1702">
        <f t="shared" si="4"/>
        <v>12178</v>
      </c>
      <c r="K17" s="1701">
        <f t="shared" si="1"/>
        <v>78800</v>
      </c>
    </row>
    <row r="18" spans="1:11" ht="15" x14ac:dyDescent="0.25">
      <c r="A18" s="1128" t="s">
        <v>38</v>
      </c>
      <c r="B18" s="1129" t="s">
        <v>39</v>
      </c>
      <c r="C18" s="1129" t="s">
        <v>268</v>
      </c>
      <c r="D18" s="1703">
        <v>0</v>
      </c>
      <c r="E18" s="1703"/>
      <c r="F18" s="1703">
        <v>0</v>
      </c>
      <c r="G18" s="1703">
        <v>1218</v>
      </c>
      <c r="H18" s="1703">
        <f t="shared" si="2"/>
        <v>1218</v>
      </c>
      <c r="I18" s="1702">
        <f t="shared" si="3"/>
        <v>1218</v>
      </c>
      <c r="J18" s="1702">
        <f t="shared" si="4"/>
        <v>0</v>
      </c>
      <c r="K18" s="1701">
        <f t="shared" si="1"/>
        <v>1218</v>
      </c>
    </row>
    <row r="19" spans="1:11" ht="15" x14ac:dyDescent="0.25">
      <c r="A19" s="1128" t="s">
        <v>40</v>
      </c>
      <c r="B19" s="1129" t="s">
        <v>41</v>
      </c>
      <c r="C19" s="1129" t="s">
        <v>266</v>
      </c>
      <c r="D19" s="1703">
        <v>4751</v>
      </c>
      <c r="E19" s="1703"/>
      <c r="F19" s="1703">
        <v>0</v>
      </c>
      <c r="G19" s="1703">
        <v>62626</v>
      </c>
      <c r="H19" s="1703">
        <f t="shared" si="2"/>
        <v>67377</v>
      </c>
      <c r="I19" s="1702">
        <f t="shared" si="3"/>
        <v>65001.5</v>
      </c>
      <c r="J19" s="1702">
        <f t="shared" si="4"/>
        <v>2375.5</v>
      </c>
      <c r="K19" s="1701">
        <f t="shared" si="1"/>
        <v>67377</v>
      </c>
    </row>
    <row r="20" spans="1:11" ht="15" x14ac:dyDescent="0.25">
      <c r="A20" s="1128" t="s">
        <v>42</v>
      </c>
      <c r="B20" s="1129" t="s">
        <v>43</v>
      </c>
      <c r="C20" s="1129" t="s">
        <v>265</v>
      </c>
      <c r="D20" s="1703">
        <v>181893</v>
      </c>
      <c r="E20" s="1703">
        <v>112</v>
      </c>
      <c r="F20" s="1703">
        <v>0</v>
      </c>
      <c r="G20" s="1703">
        <v>376673</v>
      </c>
      <c r="H20" s="1703">
        <f t="shared" si="2"/>
        <v>558678</v>
      </c>
      <c r="I20" s="1702">
        <f t="shared" si="3"/>
        <v>467731.5</v>
      </c>
      <c r="J20" s="1702">
        <f t="shared" si="4"/>
        <v>90946.5</v>
      </c>
      <c r="K20" s="1701">
        <f t="shared" si="1"/>
        <v>558678</v>
      </c>
    </row>
    <row r="21" spans="1:11" ht="15" x14ac:dyDescent="0.25">
      <c r="A21" s="1128" t="s">
        <v>44</v>
      </c>
      <c r="B21" s="1129" t="s">
        <v>45</v>
      </c>
      <c r="C21" s="1129" t="s">
        <v>266</v>
      </c>
      <c r="D21" s="1703">
        <v>311635</v>
      </c>
      <c r="E21" s="1703">
        <v>43498</v>
      </c>
      <c r="F21" s="1703">
        <v>0</v>
      </c>
      <c r="G21" s="1703">
        <v>197809</v>
      </c>
      <c r="H21" s="1703">
        <f t="shared" si="2"/>
        <v>552942</v>
      </c>
      <c r="I21" s="1702">
        <f t="shared" si="3"/>
        <v>397124.5</v>
      </c>
      <c r="J21" s="1702">
        <f t="shared" si="4"/>
        <v>155817.5</v>
      </c>
      <c r="K21" s="1701">
        <f t="shared" si="1"/>
        <v>552942</v>
      </c>
    </row>
    <row r="22" spans="1:11" ht="15" x14ac:dyDescent="0.25">
      <c r="A22" s="1128" t="s">
        <v>46</v>
      </c>
      <c r="B22" s="1129" t="s">
        <v>47</v>
      </c>
      <c r="C22" s="1129" t="s">
        <v>268</v>
      </c>
      <c r="D22" s="1703">
        <v>156301</v>
      </c>
      <c r="E22" s="1703">
        <v>1607</v>
      </c>
      <c r="F22" s="1703">
        <v>0</v>
      </c>
      <c r="G22" s="1703">
        <v>264863</v>
      </c>
      <c r="H22" s="1703">
        <f t="shared" si="2"/>
        <v>422771</v>
      </c>
      <c r="I22" s="1702">
        <f t="shared" si="3"/>
        <v>344620.5</v>
      </c>
      <c r="J22" s="1702">
        <f t="shared" si="4"/>
        <v>78150.5</v>
      </c>
      <c r="K22" s="1701">
        <f t="shared" si="1"/>
        <v>422771</v>
      </c>
    </row>
    <row r="23" spans="1:11" ht="15" x14ac:dyDescent="0.25">
      <c r="A23" s="1128" t="s">
        <v>48</v>
      </c>
      <c r="B23" s="1129" t="s">
        <v>269</v>
      </c>
      <c r="C23" s="1129" t="s">
        <v>266</v>
      </c>
      <c r="D23" s="1703">
        <v>4974</v>
      </c>
      <c r="E23" s="1703">
        <v>15623</v>
      </c>
      <c r="F23" s="1703">
        <v>0</v>
      </c>
      <c r="G23" s="1703">
        <v>96257</v>
      </c>
      <c r="H23" s="1703">
        <f t="shared" si="2"/>
        <v>116854</v>
      </c>
      <c r="I23" s="1702">
        <f t="shared" si="3"/>
        <v>114367</v>
      </c>
      <c r="J23" s="1702">
        <f t="shared" si="4"/>
        <v>2487</v>
      </c>
      <c r="K23" s="1701">
        <f t="shared" si="1"/>
        <v>116854</v>
      </c>
    </row>
    <row r="24" spans="1:11" ht="15" x14ac:dyDescent="0.25">
      <c r="A24" s="1128" t="s">
        <v>50</v>
      </c>
      <c r="B24" s="1129" t="s">
        <v>51</v>
      </c>
      <c r="C24" s="1129" t="s">
        <v>265</v>
      </c>
      <c r="D24" s="1703">
        <v>7540</v>
      </c>
      <c r="E24" s="1703"/>
      <c r="F24" s="1703">
        <v>0</v>
      </c>
      <c r="G24" s="1703">
        <v>20080</v>
      </c>
      <c r="H24" s="1703">
        <f t="shared" si="2"/>
        <v>27620</v>
      </c>
      <c r="I24" s="1702">
        <f t="shared" si="3"/>
        <v>23850</v>
      </c>
      <c r="J24" s="1702">
        <f t="shared" si="4"/>
        <v>3770</v>
      </c>
      <c r="K24" s="1701">
        <f t="shared" si="1"/>
        <v>27620</v>
      </c>
    </row>
    <row r="25" spans="1:11" ht="15" x14ac:dyDescent="0.25">
      <c r="A25" s="1128" t="s">
        <v>56</v>
      </c>
      <c r="B25" s="1132" t="s">
        <v>295</v>
      </c>
      <c r="C25" s="1132" t="s">
        <v>266</v>
      </c>
      <c r="D25" s="1703">
        <v>2207441</v>
      </c>
      <c r="E25" s="1703">
        <v>77631</v>
      </c>
      <c r="F25" s="1703">
        <v>0</v>
      </c>
      <c r="G25" s="1703">
        <v>1363217</v>
      </c>
      <c r="H25" s="1703">
        <f t="shared" si="2"/>
        <v>3648289</v>
      </c>
      <c r="I25" s="1702">
        <f t="shared" si="3"/>
        <v>2544568.5</v>
      </c>
      <c r="J25" s="1702">
        <f t="shared" si="4"/>
        <v>1103720.5</v>
      </c>
      <c r="K25" s="1701">
        <f t="shared" si="1"/>
        <v>3648289</v>
      </c>
    </row>
    <row r="26" spans="1:11" ht="15" x14ac:dyDescent="0.25">
      <c r="A26" s="1128" t="s">
        <v>58</v>
      </c>
      <c r="B26" s="1129" t="s">
        <v>59</v>
      </c>
      <c r="C26" s="1129" t="s">
        <v>267</v>
      </c>
      <c r="D26" s="1703">
        <v>32257</v>
      </c>
      <c r="E26" s="1703">
        <v>19161</v>
      </c>
      <c r="F26" s="1703">
        <v>0</v>
      </c>
      <c r="G26" s="1703">
        <v>102756</v>
      </c>
      <c r="H26" s="1703">
        <f t="shared" si="2"/>
        <v>154174</v>
      </c>
      <c r="I26" s="1702">
        <f t="shared" si="3"/>
        <v>138045.5</v>
      </c>
      <c r="J26" s="1702">
        <f t="shared" si="4"/>
        <v>16128.5</v>
      </c>
      <c r="K26" s="1701">
        <f t="shared" si="1"/>
        <v>154174</v>
      </c>
    </row>
    <row r="27" spans="1:11" ht="15" x14ac:dyDescent="0.25">
      <c r="A27" s="1128" t="s">
        <v>60</v>
      </c>
      <c r="B27" s="1129" t="s">
        <v>61</v>
      </c>
      <c r="C27" s="1129" t="s">
        <v>265</v>
      </c>
      <c r="D27" s="1703">
        <v>14594</v>
      </c>
      <c r="E27" s="1703">
        <v>7573</v>
      </c>
      <c r="F27" s="1703">
        <v>0</v>
      </c>
      <c r="G27" s="1703">
        <v>28861</v>
      </c>
      <c r="H27" s="1703">
        <f t="shared" si="2"/>
        <v>51028</v>
      </c>
      <c r="I27" s="1702">
        <f t="shared" si="3"/>
        <v>43731</v>
      </c>
      <c r="J27" s="1702">
        <f t="shared" si="4"/>
        <v>7297</v>
      </c>
      <c r="K27" s="1701">
        <f t="shared" si="1"/>
        <v>51028</v>
      </c>
    </row>
    <row r="28" spans="1:11" ht="15" x14ac:dyDescent="0.25">
      <c r="A28" s="1128" t="s">
        <v>62</v>
      </c>
      <c r="B28" s="1129" t="s">
        <v>63</v>
      </c>
      <c r="C28" s="1129" t="s">
        <v>267</v>
      </c>
      <c r="D28" s="1703">
        <v>337800</v>
      </c>
      <c r="E28" s="1703">
        <v>676287</v>
      </c>
      <c r="F28" s="1703">
        <v>0</v>
      </c>
      <c r="G28" s="1703">
        <v>632626</v>
      </c>
      <c r="H28" s="1703">
        <f t="shared" si="2"/>
        <v>1646713</v>
      </c>
      <c r="I28" s="1702">
        <f t="shared" si="3"/>
        <v>1477813</v>
      </c>
      <c r="J28" s="1702">
        <f t="shared" si="4"/>
        <v>168900</v>
      </c>
      <c r="K28" s="1701">
        <f t="shared" si="1"/>
        <v>1646713</v>
      </c>
    </row>
    <row r="29" spans="1:11" ht="15" x14ac:dyDescent="0.25">
      <c r="A29" s="1128" t="s">
        <v>64</v>
      </c>
      <c r="B29" s="1129" t="s">
        <v>65</v>
      </c>
      <c r="C29" s="1129" t="s">
        <v>266</v>
      </c>
      <c r="D29" s="1703">
        <v>31486</v>
      </c>
      <c r="E29" s="1703"/>
      <c r="F29" s="1703">
        <v>0</v>
      </c>
      <c r="G29" s="1703">
        <v>88359</v>
      </c>
      <c r="H29" s="1703">
        <f t="shared" si="2"/>
        <v>119845</v>
      </c>
      <c r="I29" s="1702">
        <f t="shared" si="3"/>
        <v>104102</v>
      </c>
      <c r="J29" s="1702">
        <f t="shared" si="4"/>
        <v>15743</v>
      </c>
      <c r="K29" s="1701">
        <f t="shared" si="1"/>
        <v>119845</v>
      </c>
    </row>
    <row r="30" spans="1:11" ht="15" x14ac:dyDescent="0.25">
      <c r="A30" s="1128" t="s">
        <v>68</v>
      </c>
      <c r="B30" s="1129" t="s">
        <v>69</v>
      </c>
      <c r="C30" s="1129" t="s">
        <v>268</v>
      </c>
      <c r="D30" s="1703">
        <v>15704</v>
      </c>
      <c r="E30" s="1703">
        <v>4799</v>
      </c>
      <c r="F30" s="1703">
        <v>0</v>
      </c>
      <c r="G30" s="1703">
        <v>15113</v>
      </c>
      <c r="H30" s="1703">
        <f t="shared" si="2"/>
        <v>35616</v>
      </c>
      <c r="I30" s="1702">
        <f t="shared" si="3"/>
        <v>27764</v>
      </c>
      <c r="J30" s="1702">
        <f t="shared" si="4"/>
        <v>7852</v>
      </c>
      <c r="K30" s="1701">
        <f t="shared" si="1"/>
        <v>35616</v>
      </c>
    </row>
    <row r="31" spans="1:11" ht="15" x14ac:dyDescent="0.25">
      <c r="A31" s="1128" t="s">
        <v>70</v>
      </c>
      <c r="B31" s="1129" t="s">
        <v>71</v>
      </c>
      <c r="C31" s="1129" t="s">
        <v>264</v>
      </c>
      <c r="D31" s="1703">
        <v>115532</v>
      </c>
      <c r="E31" s="1703">
        <v>8436</v>
      </c>
      <c r="F31" s="1703">
        <v>0</v>
      </c>
      <c r="G31" s="1703">
        <v>116694</v>
      </c>
      <c r="H31" s="1703">
        <f t="shared" si="2"/>
        <v>240662</v>
      </c>
      <c r="I31" s="1702">
        <f t="shared" si="3"/>
        <v>182896</v>
      </c>
      <c r="J31" s="1702">
        <f t="shared" si="4"/>
        <v>57766</v>
      </c>
      <c r="K31" s="1701">
        <f t="shared" si="1"/>
        <v>240662</v>
      </c>
    </row>
    <row r="32" spans="1:11" ht="15" x14ac:dyDescent="0.25">
      <c r="A32" s="1128" t="s">
        <v>72</v>
      </c>
      <c r="B32" s="1129" t="s">
        <v>73</v>
      </c>
      <c r="C32" s="1129" t="s">
        <v>266</v>
      </c>
      <c r="D32" s="1703">
        <v>196454</v>
      </c>
      <c r="E32" s="1703">
        <v>39203</v>
      </c>
      <c r="F32" s="1703">
        <v>0</v>
      </c>
      <c r="G32" s="1703">
        <v>167969</v>
      </c>
      <c r="H32" s="1703">
        <f t="shared" si="2"/>
        <v>403626</v>
      </c>
      <c r="I32" s="1702">
        <f t="shared" si="3"/>
        <v>305399</v>
      </c>
      <c r="J32" s="1702">
        <f t="shared" si="4"/>
        <v>98227</v>
      </c>
      <c r="K32" s="1701">
        <f t="shared" si="1"/>
        <v>403626</v>
      </c>
    </row>
    <row r="33" spans="1:11" ht="15" x14ac:dyDescent="0.25">
      <c r="A33" s="1128" t="s">
        <v>74</v>
      </c>
      <c r="B33" s="1129" t="s">
        <v>664</v>
      </c>
      <c r="C33" s="1129" t="s">
        <v>267</v>
      </c>
      <c r="D33" s="1703">
        <v>6227556.5500000007</v>
      </c>
      <c r="E33" s="1703">
        <v>1263992</v>
      </c>
      <c r="F33" s="1703">
        <v>13359</v>
      </c>
      <c r="G33" s="1703">
        <v>18365247</v>
      </c>
      <c r="H33" s="1703">
        <f t="shared" si="2"/>
        <v>25870154.550000001</v>
      </c>
      <c r="I33" s="1702">
        <f t="shared" si="3"/>
        <v>22749696.774999999</v>
      </c>
      <c r="J33" s="1702">
        <f t="shared" si="4"/>
        <v>3120457.7750000004</v>
      </c>
      <c r="K33" s="1701">
        <f t="shared" si="1"/>
        <v>25870154.549999997</v>
      </c>
    </row>
    <row r="34" spans="1:11" ht="15" x14ac:dyDescent="0.25">
      <c r="A34" s="1128" t="s">
        <v>76</v>
      </c>
      <c r="B34" s="1129" t="s">
        <v>77</v>
      </c>
      <c r="C34" s="1129" t="s">
        <v>267</v>
      </c>
      <c r="D34" s="1703">
        <v>159920</v>
      </c>
      <c r="E34" s="1703">
        <v>50303</v>
      </c>
      <c r="F34" s="1703">
        <v>0</v>
      </c>
      <c r="G34" s="1703">
        <v>460020</v>
      </c>
      <c r="H34" s="1703">
        <f t="shared" si="2"/>
        <v>670243</v>
      </c>
      <c r="I34" s="1702">
        <f t="shared" si="3"/>
        <v>590283</v>
      </c>
      <c r="J34" s="1702">
        <f t="shared" si="4"/>
        <v>79960</v>
      </c>
      <c r="K34" s="1701">
        <f t="shared" si="1"/>
        <v>670243</v>
      </c>
    </row>
    <row r="35" spans="1:11" ht="15" x14ac:dyDescent="0.25">
      <c r="A35" s="1128" t="s">
        <v>78</v>
      </c>
      <c r="B35" s="1129" t="s">
        <v>79</v>
      </c>
      <c r="C35" s="1129" t="s">
        <v>268</v>
      </c>
      <c r="D35" s="1703">
        <v>19695</v>
      </c>
      <c r="E35" s="1703"/>
      <c r="F35" s="1703">
        <v>0</v>
      </c>
      <c r="G35" s="1703">
        <v>15318</v>
      </c>
      <c r="H35" s="1703">
        <f t="shared" si="2"/>
        <v>35013</v>
      </c>
      <c r="I35" s="1702">
        <f t="shared" si="3"/>
        <v>25165.5</v>
      </c>
      <c r="J35" s="1702">
        <f t="shared" si="4"/>
        <v>9847.5</v>
      </c>
      <c r="K35" s="1701">
        <f t="shared" si="1"/>
        <v>35013</v>
      </c>
    </row>
    <row r="36" spans="1:11" ht="15" x14ac:dyDescent="0.25">
      <c r="A36" s="1128" t="s">
        <v>80</v>
      </c>
      <c r="B36" s="1129" t="s">
        <v>81</v>
      </c>
      <c r="C36" s="1129" t="s">
        <v>266</v>
      </c>
      <c r="D36" s="1703">
        <v>73803</v>
      </c>
      <c r="E36" s="1703"/>
      <c r="F36" s="1703">
        <v>0</v>
      </c>
      <c r="G36" s="1703">
        <v>158586</v>
      </c>
      <c r="H36" s="1703">
        <f t="shared" si="2"/>
        <v>232389</v>
      </c>
      <c r="I36" s="1702">
        <f t="shared" si="3"/>
        <v>195487.5</v>
      </c>
      <c r="J36" s="1702">
        <f t="shared" si="4"/>
        <v>36901.5</v>
      </c>
      <c r="K36" s="1701">
        <f t="shared" si="1"/>
        <v>232389</v>
      </c>
    </row>
    <row r="37" spans="1:11" ht="15" x14ac:dyDescent="0.25">
      <c r="A37" s="1128" t="s">
        <v>84</v>
      </c>
      <c r="B37" s="1129" t="s">
        <v>308</v>
      </c>
      <c r="C37" s="1129" t="s">
        <v>265</v>
      </c>
      <c r="D37" s="1703">
        <v>207979</v>
      </c>
      <c r="E37" s="1703">
        <v>25515</v>
      </c>
      <c r="F37" s="1703">
        <v>267</v>
      </c>
      <c r="G37" s="1703">
        <v>313690</v>
      </c>
      <c r="H37" s="1703">
        <f t="shared" si="2"/>
        <v>547451</v>
      </c>
      <c r="I37" s="1702">
        <f t="shared" si="3"/>
        <v>443328</v>
      </c>
      <c r="J37" s="1702">
        <f t="shared" si="4"/>
        <v>104123</v>
      </c>
      <c r="K37" s="1701">
        <f t="shared" si="1"/>
        <v>547451</v>
      </c>
    </row>
    <row r="38" spans="1:11" ht="15" x14ac:dyDescent="0.25">
      <c r="A38" s="1128" t="s">
        <v>86</v>
      </c>
      <c r="B38" s="1129" t="s">
        <v>87</v>
      </c>
      <c r="C38" s="1129" t="s">
        <v>267</v>
      </c>
      <c r="D38" s="1703">
        <v>107640</v>
      </c>
      <c r="E38" s="1703">
        <v>14673</v>
      </c>
      <c r="F38" s="1703">
        <v>0</v>
      </c>
      <c r="G38" s="1703">
        <v>478372</v>
      </c>
      <c r="H38" s="1703">
        <f t="shared" si="2"/>
        <v>600685</v>
      </c>
      <c r="I38" s="1702">
        <f t="shared" si="3"/>
        <v>546865</v>
      </c>
      <c r="J38" s="1702">
        <f t="shared" si="4"/>
        <v>53820</v>
      </c>
      <c r="K38" s="1701">
        <f t="shared" si="1"/>
        <v>600685</v>
      </c>
    </row>
    <row r="39" spans="1:11" ht="15" x14ac:dyDescent="0.25">
      <c r="A39" s="1128" t="s">
        <v>92</v>
      </c>
      <c r="B39" s="1129" t="s">
        <v>93</v>
      </c>
      <c r="C39" s="1129" t="s">
        <v>268</v>
      </c>
      <c r="D39" s="1703">
        <v>45211</v>
      </c>
      <c r="E39" s="1703">
        <v>12466</v>
      </c>
      <c r="F39" s="1703">
        <v>0</v>
      </c>
      <c r="G39" s="1703">
        <v>37827</v>
      </c>
      <c r="H39" s="1703">
        <f t="shared" si="2"/>
        <v>95504</v>
      </c>
      <c r="I39" s="1702">
        <f t="shared" si="3"/>
        <v>72898.5</v>
      </c>
      <c r="J39" s="1702">
        <f t="shared" si="4"/>
        <v>22605.5</v>
      </c>
      <c r="K39" s="1701">
        <f t="shared" si="1"/>
        <v>95504</v>
      </c>
    </row>
    <row r="40" spans="1:11" ht="15" x14ac:dyDescent="0.25">
      <c r="A40" s="1128" t="s">
        <v>94</v>
      </c>
      <c r="B40" s="1129" t="s">
        <v>95</v>
      </c>
      <c r="C40" s="1129" t="s">
        <v>264</v>
      </c>
      <c r="D40" s="1703">
        <v>120276</v>
      </c>
      <c r="E40" s="1703">
        <v>22111</v>
      </c>
      <c r="F40" s="1703">
        <v>0</v>
      </c>
      <c r="G40" s="1703">
        <v>240680</v>
      </c>
      <c r="H40" s="1703">
        <f t="shared" si="2"/>
        <v>383067</v>
      </c>
      <c r="I40" s="1702">
        <f t="shared" si="3"/>
        <v>322929</v>
      </c>
      <c r="J40" s="1702">
        <f t="shared" si="4"/>
        <v>60138</v>
      </c>
      <c r="K40" s="1701">
        <f t="shared" si="1"/>
        <v>383067</v>
      </c>
    </row>
    <row r="41" spans="1:11" ht="15" x14ac:dyDescent="0.25">
      <c r="A41" s="1128" t="s">
        <v>96</v>
      </c>
      <c r="B41" s="1129" t="s">
        <v>97</v>
      </c>
      <c r="C41" s="1129" t="s">
        <v>266</v>
      </c>
      <c r="D41" s="1703">
        <v>41695</v>
      </c>
      <c r="E41" s="1703">
        <v>750</v>
      </c>
      <c r="F41" s="1703">
        <v>0</v>
      </c>
      <c r="G41" s="1703">
        <v>213043</v>
      </c>
      <c r="H41" s="1703">
        <f t="shared" si="2"/>
        <v>255488</v>
      </c>
      <c r="I41" s="1702">
        <f t="shared" si="3"/>
        <v>234640.5</v>
      </c>
      <c r="J41" s="1702">
        <f t="shared" si="4"/>
        <v>20847.5</v>
      </c>
      <c r="K41" s="1701">
        <f t="shared" si="1"/>
        <v>255488</v>
      </c>
    </row>
    <row r="42" spans="1:11" ht="15" x14ac:dyDescent="0.25">
      <c r="A42" s="1128" t="s">
        <v>98</v>
      </c>
      <c r="B42" s="1129" t="s">
        <v>99</v>
      </c>
      <c r="C42" s="1129" t="s">
        <v>268</v>
      </c>
      <c r="D42" s="1703">
        <v>12877</v>
      </c>
      <c r="E42" s="1703"/>
      <c r="F42" s="1703">
        <v>0</v>
      </c>
      <c r="G42" s="1703">
        <v>34408</v>
      </c>
      <c r="H42" s="1703">
        <f t="shared" si="2"/>
        <v>47285</v>
      </c>
      <c r="I42" s="1702">
        <f t="shared" si="3"/>
        <v>40846.5</v>
      </c>
      <c r="J42" s="1702">
        <f t="shared" si="4"/>
        <v>6438.5</v>
      </c>
      <c r="K42" s="1701">
        <f t="shared" si="1"/>
        <v>47285</v>
      </c>
    </row>
    <row r="43" spans="1:11" ht="15" x14ac:dyDescent="0.25">
      <c r="A43" s="1128" t="s">
        <v>100</v>
      </c>
      <c r="B43" s="1129" t="s">
        <v>101</v>
      </c>
      <c r="C43" s="1129" t="s">
        <v>267</v>
      </c>
      <c r="D43" s="1703">
        <v>48979</v>
      </c>
      <c r="E43" s="1703">
        <v>841</v>
      </c>
      <c r="F43" s="1703">
        <v>0</v>
      </c>
      <c r="G43" s="1703">
        <v>45007</v>
      </c>
      <c r="H43" s="1703">
        <f t="shared" si="2"/>
        <v>94827</v>
      </c>
      <c r="I43" s="1702">
        <f t="shared" si="3"/>
        <v>70337.5</v>
      </c>
      <c r="J43" s="1702">
        <f t="shared" si="4"/>
        <v>24489.5</v>
      </c>
      <c r="K43" s="1701">
        <f t="shared" si="1"/>
        <v>94827</v>
      </c>
    </row>
    <row r="44" spans="1:11" ht="15" x14ac:dyDescent="0.25">
      <c r="A44" s="1128" t="s">
        <v>102</v>
      </c>
      <c r="B44" s="1129" t="s">
        <v>103</v>
      </c>
      <c r="C44" s="1129" t="s">
        <v>264</v>
      </c>
      <c r="D44" s="1703">
        <v>96243</v>
      </c>
      <c r="E44" s="1703"/>
      <c r="F44" s="1703">
        <v>0</v>
      </c>
      <c r="G44" s="1703">
        <v>167374</v>
      </c>
      <c r="H44" s="1703">
        <f t="shared" si="2"/>
        <v>263617</v>
      </c>
      <c r="I44" s="1702">
        <f t="shared" si="3"/>
        <v>215495.5</v>
      </c>
      <c r="J44" s="1702">
        <f t="shared" si="4"/>
        <v>48121.5</v>
      </c>
      <c r="K44" s="1701">
        <f t="shared" si="1"/>
        <v>263617</v>
      </c>
    </row>
    <row r="45" spans="1:11" ht="15" x14ac:dyDescent="0.25">
      <c r="A45" s="1128" t="s">
        <v>104</v>
      </c>
      <c r="B45" s="1129" t="s">
        <v>309</v>
      </c>
      <c r="C45" s="1129" t="s">
        <v>265</v>
      </c>
      <c r="D45" s="1703">
        <v>24298</v>
      </c>
      <c r="E45" s="1703">
        <v>10439</v>
      </c>
      <c r="F45" s="1703">
        <v>0</v>
      </c>
      <c r="G45" s="1703">
        <v>64906</v>
      </c>
      <c r="H45" s="1703">
        <f t="shared" si="2"/>
        <v>99643</v>
      </c>
      <c r="I45" s="1702">
        <f t="shared" si="3"/>
        <v>87494</v>
      </c>
      <c r="J45" s="1702">
        <f t="shared" si="4"/>
        <v>12149</v>
      </c>
      <c r="K45" s="1701">
        <f t="shared" si="1"/>
        <v>99643</v>
      </c>
    </row>
    <row r="46" spans="1:11" ht="15" x14ac:dyDescent="0.25">
      <c r="A46" s="1128" t="s">
        <v>108</v>
      </c>
      <c r="B46" s="1129" t="s">
        <v>109</v>
      </c>
      <c r="C46" s="1129" t="s">
        <v>266</v>
      </c>
      <c r="D46" s="1703">
        <v>235696</v>
      </c>
      <c r="E46" s="1703">
        <v>54275</v>
      </c>
      <c r="F46" s="1703">
        <v>0</v>
      </c>
      <c r="G46" s="1703">
        <v>580193</v>
      </c>
      <c r="H46" s="1703">
        <f t="shared" si="2"/>
        <v>870164</v>
      </c>
      <c r="I46" s="1702">
        <f t="shared" si="3"/>
        <v>752316</v>
      </c>
      <c r="J46" s="1702">
        <f t="shared" si="4"/>
        <v>117848</v>
      </c>
      <c r="K46" s="1701">
        <f t="shared" si="1"/>
        <v>870164</v>
      </c>
    </row>
    <row r="47" spans="1:11" ht="15" x14ac:dyDescent="0.25">
      <c r="A47" s="1128" t="s">
        <v>110</v>
      </c>
      <c r="B47" s="1132" t="s">
        <v>111</v>
      </c>
      <c r="C47" s="1132" t="s">
        <v>266</v>
      </c>
      <c r="D47" s="1703">
        <v>3457778</v>
      </c>
      <c r="E47" s="1703">
        <v>191317</v>
      </c>
      <c r="F47" s="1703">
        <v>4804</v>
      </c>
      <c r="G47" s="1703">
        <v>2460973</v>
      </c>
      <c r="H47" s="1703">
        <f t="shared" si="2"/>
        <v>6114872</v>
      </c>
      <c r="I47" s="1702">
        <f t="shared" si="3"/>
        <v>4383581</v>
      </c>
      <c r="J47" s="1702">
        <f t="shared" si="4"/>
        <v>1731291</v>
      </c>
      <c r="K47" s="1701">
        <f t="shared" si="1"/>
        <v>6114872</v>
      </c>
    </row>
    <row r="48" spans="1:11" ht="15" x14ac:dyDescent="0.25">
      <c r="A48" s="1128" t="s">
        <v>112</v>
      </c>
      <c r="B48" s="1132" t="s">
        <v>300</v>
      </c>
      <c r="C48" s="1132" t="s">
        <v>265</v>
      </c>
      <c r="D48" s="1703">
        <v>265405</v>
      </c>
      <c r="E48" s="1703"/>
      <c r="F48" s="1703">
        <v>0</v>
      </c>
      <c r="G48" s="1703">
        <v>420014</v>
      </c>
      <c r="H48" s="1703">
        <f t="shared" si="2"/>
        <v>685419</v>
      </c>
      <c r="I48" s="1702">
        <f t="shared" si="3"/>
        <v>552716.5</v>
      </c>
      <c r="J48" s="1702">
        <f t="shared" si="4"/>
        <v>132702.5</v>
      </c>
      <c r="K48" s="1701">
        <f t="shared" si="1"/>
        <v>685419</v>
      </c>
    </row>
    <row r="49" spans="1:11" ht="15" x14ac:dyDescent="0.25">
      <c r="A49" s="1128" t="s">
        <v>114</v>
      </c>
      <c r="B49" s="1132" t="s">
        <v>115</v>
      </c>
      <c r="C49" s="1132" t="s">
        <v>265</v>
      </c>
      <c r="D49" s="1703">
        <v>0</v>
      </c>
      <c r="E49" s="1703">
        <v>0</v>
      </c>
      <c r="F49" s="1703">
        <v>0</v>
      </c>
      <c r="G49" s="1703">
        <v>0</v>
      </c>
      <c r="H49" s="1703">
        <f t="shared" si="2"/>
        <v>0</v>
      </c>
      <c r="I49" s="1702">
        <f t="shared" si="3"/>
        <v>0</v>
      </c>
      <c r="J49" s="1702">
        <f t="shared" si="4"/>
        <v>0</v>
      </c>
      <c r="K49" s="1701">
        <f t="shared" si="1"/>
        <v>0</v>
      </c>
    </row>
    <row r="50" spans="1:11" ht="15" x14ac:dyDescent="0.25">
      <c r="A50" s="1128" t="s">
        <v>118</v>
      </c>
      <c r="B50" s="1129" t="s">
        <v>119</v>
      </c>
      <c r="C50" s="1129" t="s">
        <v>264</v>
      </c>
      <c r="D50" s="1703">
        <v>35171</v>
      </c>
      <c r="E50" s="1703">
        <v>1497</v>
      </c>
      <c r="F50" s="1703">
        <v>0</v>
      </c>
      <c r="G50" s="1703">
        <v>97928</v>
      </c>
      <c r="H50" s="1703">
        <f t="shared" si="2"/>
        <v>134596</v>
      </c>
      <c r="I50" s="1702">
        <f t="shared" si="3"/>
        <v>117010.5</v>
      </c>
      <c r="J50" s="1702">
        <f t="shared" si="4"/>
        <v>17585.5</v>
      </c>
      <c r="K50" s="1701">
        <f t="shared" si="1"/>
        <v>134596</v>
      </c>
    </row>
    <row r="51" spans="1:11" ht="15" x14ac:dyDescent="0.25">
      <c r="A51" s="1128" t="s">
        <v>120</v>
      </c>
      <c r="B51" s="1129" t="s">
        <v>121</v>
      </c>
      <c r="C51" s="1129" t="s">
        <v>264</v>
      </c>
      <c r="D51" s="1703">
        <v>286050</v>
      </c>
      <c r="E51" s="1703">
        <v>153160</v>
      </c>
      <c r="F51" s="1703">
        <v>0</v>
      </c>
      <c r="G51" s="1703">
        <v>420277</v>
      </c>
      <c r="H51" s="1703">
        <f t="shared" si="2"/>
        <v>859487</v>
      </c>
      <c r="I51" s="1702">
        <f t="shared" si="3"/>
        <v>716462</v>
      </c>
      <c r="J51" s="1702">
        <f t="shared" si="4"/>
        <v>143025</v>
      </c>
      <c r="K51" s="1701">
        <f t="shared" si="1"/>
        <v>859487</v>
      </c>
    </row>
    <row r="52" spans="1:11" ht="15" x14ac:dyDescent="0.25">
      <c r="A52" s="1128" t="s">
        <v>122</v>
      </c>
      <c r="B52" s="1129" t="s">
        <v>271</v>
      </c>
      <c r="C52" s="1129" t="s">
        <v>266</v>
      </c>
      <c r="D52" s="1703">
        <v>16802</v>
      </c>
      <c r="E52" s="1703">
        <v>5589</v>
      </c>
      <c r="F52" s="1703">
        <v>418</v>
      </c>
      <c r="G52" s="1703">
        <v>69861</v>
      </c>
      <c r="H52" s="1703">
        <f t="shared" si="2"/>
        <v>92670</v>
      </c>
      <c r="I52" s="1702">
        <f t="shared" si="3"/>
        <v>84060</v>
      </c>
      <c r="J52" s="1702">
        <f t="shared" si="4"/>
        <v>8610</v>
      </c>
      <c r="K52" s="1701">
        <f t="shared" si="1"/>
        <v>92670</v>
      </c>
    </row>
    <row r="53" spans="1:11" ht="15" x14ac:dyDescent="0.25">
      <c r="A53" s="1128" t="s">
        <v>124</v>
      </c>
      <c r="B53" s="1129" t="s">
        <v>125</v>
      </c>
      <c r="C53" s="1129" t="s">
        <v>267</v>
      </c>
      <c r="D53" s="1703">
        <v>207725</v>
      </c>
      <c r="E53" s="1703">
        <v>56378</v>
      </c>
      <c r="F53" s="1703">
        <v>0</v>
      </c>
      <c r="G53" s="1703">
        <v>357712</v>
      </c>
      <c r="H53" s="1703">
        <f t="shared" si="2"/>
        <v>621815</v>
      </c>
      <c r="I53" s="1702">
        <f t="shared" si="3"/>
        <v>517952.5</v>
      </c>
      <c r="J53" s="1702">
        <f t="shared" si="4"/>
        <v>103862.5</v>
      </c>
      <c r="K53" s="1701">
        <f t="shared" si="1"/>
        <v>621815</v>
      </c>
    </row>
    <row r="54" spans="1:11" ht="15" x14ac:dyDescent="0.25">
      <c r="A54" s="1128" t="s">
        <v>126</v>
      </c>
      <c r="B54" s="1129" t="s">
        <v>127</v>
      </c>
      <c r="C54" s="1129" t="s">
        <v>266</v>
      </c>
      <c r="D54" s="1703">
        <v>35722</v>
      </c>
      <c r="E54" s="1703">
        <v>44868</v>
      </c>
      <c r="F54" s="1703">
        <v>176</v>
      </c>
      <c r="G54" s="1703">
        <v>146774</v>
      </c>
      <c r="H54" s="1703">
        <f t="shared" si="2"/>
        <v>227540</v>
      </c>
      <c r="I54" s="1702">
        <f t="shared" si="3"/>
        <v>209591</v>
      </c>
      <c r="J54" s="1702">
        <f t="shared" si="4"/>
        <v>17949</v>
      </c>
      <c r="K54" s="1701">
        <f t="shared" si="1"/>
        <v>227540</v>
      </c>
    </row>
    <row r="55" spans="1:11" ht="15" x14ac:dyDescent="0.25">
      <c r="A55" s="1128" t="s">
        <v>128</v>
      </c>
      <c r="B55" s="1129" t="s">
        <v>129</v>
      </c>
      <c r="C55" s="1129" t="s">
        <v>266</v>
      </c>
      <c r="D55" s="1703">
        <v>23544</v>
      </c>
      <c r="E55" s="1703"/>
      <c r="F55" s="1703">
        <v>0</v>
      </c>
      <c r="G55" s="1703">
        <v>46848</v>
      </c>
      <c r="H55" s="1703">
        <f t="shared" si="2"/>
        <v>70392</v>
      </c>
      <c r="I55" s="1702">
        <f t="shared" si="3"/>
        <v>58620</v>
      </c>
      <c r="J55" s="1702">
        <f t="shared" si="4"/>
        <v>11772</v>
      </c>
      <c r="K55" s="1701">
        <f t="shared" si="1"/>
        <v>70392</v>
      </c>
    </row>
    <row r="56" spans="1:11" ht="15" x14ac:dyDescent="0.25">
      <c r="A56" s="1128" t="s">
        <v>130</v>
      </c>
      <c r="B56" s="1129" t="s">
        <v>131</v>
      </c>
      <c r="C56" s="1129" t="s">
        <v>268</v>
      </c>
      <c r="D56" s="1703">
        <v>38779</v>
      </c>
      <c r="E56" s="1703"/>
      <c r="F56" s="1703">
        <v>0</v>
      </c>
      <c r="G56" s="1703">
        <v>41452</v>
      </c>
      <c r="H56" s="1703">
        <f t="shared" si="2"/>
        <v>80231</v>
      </c>
      <c r="I56" s="1702">
        <f t="shared" si="3"/>
        <v>60841.5</v>
      </c>
      <c r="J56" s="1702">
        <f t="shared" si="4"/>
        <v>19389.5</v>
      </c>
      <c r="K56" s="1701">
        <f t="shared" si="1"/>
        <v>80231</v>
      </c>
    </row>
    <row r="57" spans="1:11" ht="15" x14ac:dyDescent="0.25">
      <c r="A57" s="1128" t="s">
        <v>132</v>
      </c>
      <c r="B57" s="1129" t="s">
        <v>133</v>
      </c>
      <c r="C57" s="1129" t="s">
        <v>267</v>
      </c>
      <c r="D57" s="1703">
        <v>1495963</v>
      </c>
      <c r="E57" s="1703">
        <v>578675</v>
      </c>
      <c r="F57" s="1703">
        <v>1064</v>
      </c>
      <c r="G57" s="1703">
        <v>1353194</v>
      </c>
      <c r="H57" s="1703">
        <f t="shared" si="2"/>
        <v>3428896</v>
      </c>
      <c r="I57" s="1702">
        <f t="shared" si="3"/>
        <v>2680382.5</v>
      </c>
      <c r="J57" s="1702">
        <f t="shared" si="4"/>
        <v>748513.5</v>
      </c>
      <c r="K57" s="1701">
        <f t="shared" si="1"/>
        <v>3428896</v>
      </c>
    </row>
    <row r="58" spans="1:11" ht="15" x14ac:dyDescent="0.25">
      <c r="A58" s="1128" t="s">
        <v>134</v>
      </c>
      <c r="B58" s="1129" t="s">
        <v>135</v>
      </c>
      <c r="C58" s="1129" t="s">
        <v>267</v>
      </c>
      <c r="D58" s="1703">
        <v>159517</v>
      </c>
      <c r="E58" s="1703"/>
      <c r="F58" s="1703">
        <v>0</v>
      </c>
      <c r="G58" s="1703">
        <v>31585</v>
      </c>
      <c r="H58" s="1703">
        <f t="shared" si="2"/>
        <v>191102</v>
      </c>
      <c r="I58" s="1702">
        <f t="shared" si="3"/>
        <v>111343.5</v>
      </c>
      <c r="J58" s="1702">
        <f t="shared" si="4"/>
        <v>79758.5</v>
      </c>
      <c r="K58" s="1701">
        <f t="shared" si="1"/>
        <v>191102</v>
      </c>
    </row>
    <row r="59" spans="1:11" ht="15" x14ac:dyDescent="0.25">
      <c r="A59" s="1128" t="s">
        <v>136</v>
      </c>
      <c r="B59" s="1129" t="s">
        <v>137</v>
      </c>
      <c r="C59" s="1129" t="s">
        <v>266</v>
      </c>
      <c r="D59" s="1703">
        <v>2342</v>
      </c>
      <c r="E59" s="1703"/>
      <c r="F59" s="1703">
        <v>0</v>
      </c>
      <c r="G59" s="1703">
        <v>26101</v>
      </c>
      <c r="H59" s="1703">
        <f t="shared" si="2"/>
        <v>28443</v>
      </c>
      <c r="I59" s="1702">
        <f t="shared" si="3"/>
        <v>27272</v>
      </c>
      <c r="J59" s="1702">
        <f t="shared" si="4"/>
        <v>1171</v>
      </c>
      <c r="K59" s="1701">
        <f t="shared" si="1"/>
        <v>28443</v>
      </c>
    </row>
    <row r="60" spans="1:11" ht="15" x14ac:dyDescent="0.25">
      <c r="A60" s="1128" t="s">
        <v>140</v>
      </c>
      <c r="B60" s="1129" t="s">
        <v>141</v>
      </c>
      <c r="C60" s="1129" t="s">
        <v>267</v>
      </c>
      <c r="D60" s="1703">
        <v>28565</v>
      </c>
      <c r="E60" s="1703">
        <v>15118</v>
      </c>
      <c r="F60" s="1703">
        <v>0</v>
      </c>
      <c r="G60" s="1703">
        <v>18567</v>
      </c>
      <c r="H60" s="1703">
        <f t="shared" si="2"/>
        <v>62250</v>
      </c>
      <c r="I60" s="1702">
        <f t="shared" si="3"/>
        <v>47967.5</v>
      </c>
      <c r="J60" s="1702">
        <f t="shared" si="4"/>
        <v>14282.5</v>
      </c>
      <c r="K60" s="1701">
        <f t="shared" si="1"/>
        <v>62250</v>
      </c>
    </row>
    <row r="61" spans="1:11" ht="15" x14ac:dyDescent="0.25">
      <c r="A61" s="1128" t="s">
        <v>146</v>
      </c>
      <c r="B61" s="1129" t="s">
        <v>147</v>
      </c>
      <c r="C61" s="1129" t="s">
        <v>264</v>
      </c>
      <c r="D61" s="1703">
        <v>25223</v>
      </c>
      <c r="E61" s="1703"/>
      <c r="F61" s="1703">
        <v>0</v>
      </c>
      <c r="G61" s="1703">
        <v>30715</v>
      </c>
      <c r="H61" s="1703">
        <f t="shared" si="2"/>
        <v>55938</v>
      </c>
      <c r="I61" s="1702">
        <f t="shared" si="3"/>
        <v>43326.5</v>
      </c>
      <c r="J61" s="1702">
        <f t="shared" si="4"/>
        <v>12611.5</v>
      </c>
      <c r="K61" s="1701">
        <f t="shared" si="1"/>
        <v>55938</v>
      </c>
    </row>
    <row r="62" spans="1:11" ht="15" x14ac:dyDescent="0.25">
      <c r="A62" s="1128" t="s">
        <v>148</v>
      </c>
      <c r="B62" s="1129" t="s">
        <v>149</v>
      </c>
      <c r="C62" s="1129" t="s">
        <v>265</v>
      </c>
      <c r="D62" s="1703">
        <v>50698</v>
      </c>
      <c r="E62" s="1703">
        <v>888</v>
      </c>
      <c r="F62" s="1703">
        <v>0</v>
      </c>
      <c r="G62" s="1703">
        <v>86129</v>
      </c>
      <c r="H62" s="1703">
        <f t="shared" si="2"/>
        <v>137715</v>
      </c>
      <c r="I62" s="1702">
        <f t="shared" si="3"/>
        <v>112366</v>
      </c>
      <c r="J62" s="1702">
        <f t="shared" si="4"/>
        <v>25349</v>
      </c>
      <c r="K62" s="1701">
        <f t="shared" si="1"/>
        <v>137715</v>
      </c>
    </row>
    <row r="63" spans="1:11" ht="15" x14ac:dyDescent="0.25">
      <c r="A63" s="1128" t="s">
        <v>150</v>
      </c>
      <c r="B63" s="1129" t="s">
        <v>151</v>
      </c>
      <c r="C63" s="1129" t="s">
        <v>266</v>
      </c>
      <c r="D63" s="1703">
        <v>98170</v>
      </c>
      <c r="E63" s="1703">
        <v>27436</v>
      </c>
      <c r="F63" s="1703">
        <v>0</v>
      </c>
      <c r="G63" s="1703">
        <v>76713</v>
      </c>
      <c r="H63" s="1703">
        <f t="shared" si="2"/>
        <v>202319</v>
      </c>
      <c r="I63" s="1702">
        <f t="shared" si="3"/>
        <v>153234</v>
      </c>
      <c r="J63" s="1702">
        <f t="shared" si="4"/>
        <v>49085</v>
      </c>
      <c r="K63" s="1701">
        <f t="shared" si="1"/>
        <v>202319</v>
      </c>
    </row>
    <row r="64" spans="1:11" ht="15" x14ac:dyDescent="0.25">
      <c r="A64" s="1128" t="s">
        <v>152</v>
      </c>
      <c r="B64" s="1129" t="s">
        <v>153</v>
      </c>
      <c r="C64" s="1129" t="s">
        <v>268</v>
      </c>
      <c r="D64" s="1703">
        <v>289433</v>
      </c>
      <c r="E64" s="1703">
        <v>30258</v>
      </c>
      <c r="F64" s="1703">
        <v>0</v>
      </c>
      <c r="G64" s="1703">
        <v>496329</v>
      </c>
      <c r="H64" s="1703">
        <f t="shared" si="2"/>
        <v>816020</v>
      </c>
      <c r="I64" s="1702">
        <f t="shared" si="3"/>
        <v>671303.5</v>
      </c>
      <c r="J64" s="1702">
        <f t="shared" si="4"/>
        <v>144716.5</v>
      </c>
      <c r="K64" s="1701">
        <f t="shared" si="1"/>
        <v>816020</v>
      </c>
    </row>
    <row r="65" spans="1:11" ht="15" x14ac:dyDescent="0.25">
      <c r="A65" s="1128" t="s">
        <v>154</v>
      </c>
      <c r="B65" s="1129" t="s">
        <v>155</v>
      </c>
      <c r="C65" s="1129" t="s">
        <v>265</v>
      </c>
      <c r="D65" s="1703">
        <v>15121</v>
      </c>
      <c r="E65" s="1703">
        <v>449</v>
      </c>
      <c r="F65" s="1703">
        <v>0</v>
      </c>
      <c r="G65" s="1703">
        <v>41798</v>
      </c>
      <c r="H65" s="1703">
        <f t="shared" si="2"/>
        <v>57368</v>
      </c>
      <c r="I65" s="1702">
        <f t="shared" si="3"/>
        <v>49807.5</v>
      </c>
      <c r="J65" s="1702">
        <f t="shared" si="4"/>
        <v>7560.5</v>
      </c>
      <c r="K65" s="1701">
        <f t="shared" si="1"/>
        <v>57368</v>
      </c>
    </row>
    <row r="66" spans="1:11" ht="15" x14ac:dyDescent="0.25">
      <c r="A66" s="1128" t="s">
        <v>156</v>
      </c>
      <c r="B66" s="1129" t="s">
        <v>157</v>
      </c>
      <c r="C66" s="1129" t="s">
        <v>266</v>
      </c>
      <c r="D66" s="1703">
        <v>103970</v>
      </c>
      <c r="E66" s="1703">
        <v>10855</v>
      </c>
      <c r="F66" s="1703">
        <v>270</v>
      </c>
      <c r="G66" s="1703">
        <v>42585</v>
      </c>
      <c r="H66" s="1703">
        <f t="shared" si="2"/>
        <v>157680</v>
      </c>
      <c r="I66" s="1702">
        <f t="shared" si="3"/>
        <v>105560</v>
      </c>
      <c r="J66" s="1702">
        <f t="shared" si="4"/>
        <v>52120</v>
      </c>
      <c r="K66" s="1701">
        <f t="shared" si="1"/>
        <v>157680</v>
      </c>
    </row>
    <row r="67" spans="1:11" ht="15" x14ac:dyDescent="0.25">
      <c r="A67" s="1128" t="s">
        <v>162</v>
      </c>
      <c r="B67" s="1129" t="s">
        <v>163</v>
      </c>
      <c r="C67" s="1129" t="s">
        <v>264</v>
      </c>
      <c r="D67" s="1703">
        <v>113751</v>
      </c>
      <c r="E67" s="1703">
        <v>1367</v>
      </c>
      <c r="F67" s="1703">
        <v>0</v>
      </c>
      <c r="G67" s="1703">
        <v>163940</v>
      </c>
      <c r="H67" s="1703">
        <f t="shared" si="2"/>
        <v>279058</v>
      </c>
      <c r="I67" s="1702">
        <f t="shared" si="3"/>
        <v>222182.5</v>
      </c>
      <c r="J67" s="1702">
        <f t="shared" si="4"/>
        <v>56875.5</v>
      </c>
      <c r="K67" s="1701">
        <f t="shared" si="1"/>
        <v>279058</v>
      </c>
    </row>
    <row r="68" spans="1:11" ht="15" x14ac:dyDescent="0.25">
      <c r="A68" s="1128" t="s">
        <v>164</v>
      </c>
      <c r="B68" s="1129" t="s">
        <v>165</v>
      </c>
      <c r="C68" s="1129" t="s">
        <v>266</v>
      </c>
      <c r="D68" s="1703">
        <v>23420</v>
      </c>
      <c r="E68" s="1703">
        <v>484</v>
      </c>
      <c r="F68" s="1703">
        <v>0</v>
      </c>
      <c r="G68" s="1703">
        <v>20853</v>
      </c>
      <c r="H68" s="1703">
        <f t="shared" si="2"/>
        <v>44757</v>
      </c>
      <c r="I68" s="1702">
        <f t="shared" si="3"/>
        <v>33047</v>
      </c>
      <c r="J68" s="1702">
        <f t="shared" si="4"/>
        <v>11710</v>
      </c>
      <c r="K68" s="1701">
        <f t="shared" si="1"/>
        <v>44757</v>
      </c>
    </row>
    <row r="69" spans="1:11" ht="15" x14ac:dyDescent="0.25">
      <c r="A69" s="1128" t="s">
        <v>168</v>
      </c>
      <c r="B69" s="1129" t="s">
        <v>169</v>
      </c>
      <c r="C69" s="1129" t="s">
        <v>266</v>
      </c>
      <c r="D69" s="1703">
        <v>20973</v>
      </c>
      <c r="E69" s="1703"/>
      <c r="F69" s="1703">
        <v>0</v>
      </c>
      <c r="G69" s="1703">
        <v>91519</v>
      </c>
      <c r="H69" s="1703">
        <f t="shared" si="2"/>
        <v>112492</v>
      </c>
      <c r="I69" s="1702">
        <f t="shared" si="3"/>
        <v>102005.5</v>
      </c>
      <c r="J69" s="1702">
        <f t="shared" si="4"/>
        <v>10486.5</v>
      </c>
      <c r="K69" s="1701">
        <f t="shared" si="1"/>
        <v>112492</v>
      </c>
    </row>
    <row r="70" spans="1:11" ht="15" x14ac:dyDescent="0.25">
      <c r="A70" s="1128" t="s">
        <v>170</v>
      </c>
      <c r="B70" s="1129" t="s">
        <v>171</v>
      </c>
      <c r="C70" s="1129" t="s">
        <v>267</v>
      </c>
      <c r="D70" s="1703">
        <v>131507</v>
      </c>
      <c r="E70" s="1703">
        <v>23010</v>
      </c>
      <c r="F70" s="1703">
        <v>0</v>
      </c>
      <c r="G70" s="1703">
        <v>236559</v>
      </c>
      <c r="H70" s="1703">
        <f t="shared" si="2"/>
        <v>391076</v>
      </c>
      <c r="I70" s="1702">
        <f t="shared" si="3"/>
        <v>325322.5</v>
      </c>
      <c r="J70" s="1702">
        <f t="shared" si="4"/>
        <v>65753.5</v>
      </c>
      <c r="K70" s="1701">
        <f t="shared" ref="K70:K126" si="5">I70+J70</f>
        <v>391076</v>
      </c>
    </row>
    <row r="71" spans="1:11" ht="15" x14ac:dyDescent="0.25">
      <c r="A71" s="1128" t="s">
        <v>172</v>
      </c>
      <c r="B71" s="1129" t="s">
        <v>173</v>
      </c>
      <c r="C71" s="1129" t="s">
        <v>267</v>
      </c>
      <c r="D71" s="1703">
        <v>9612</v>
      </c>
      <c r="E71" s="1703"/>
      <c r="F71" s="1703">
        <v>88</v>
      </c>
      <c r="G71" s="1703">
        <v>87975</v>
      </c>
      <c r="H71" s="1703">
        <f t="shared" ref="H71:H126" si="6">SUM(D71:G71)</f>
        <v>97675</v>
      </c>
      <c r="I71" s="1702">
        <f t="shared" ref="I71:I124" si="7">(D71*0.5)+E71+(F71*0.5)+G71</f>
        <v>92825</v>
      </c>
      <c r="J71" s="1702">
        <f t="shared" ref="J71:J124" si="8">(D71*0.5)+(F71*0.5)</f>
        <v>4850</v>
      </c>
      <c r="K71" s="1701">
        <f t="shared" si="5"/>
        <v>97675</v>
      </c>
    </row>
    <row r="72" spans="1:11" ht="15" x14ac:dyDescent="0.25">
      <c r="A72" s="1128" t="s">
        <v>174</v>
      </c>
      <c r="B72" s="1129" t="s">
        <v>175</v>
      </c>
      <c r="C72" s="1129" t="s">
        <v>268</v>
      </c>
      <c r="D72" s="1703">
        <v>29576</v>
      </c>
      <c r="E72" s="1703"/>
      <c r="F72" s="1703">
        <v>0</v>
      </c>
      <c r="G72" s="1703">
        <v>72155</v>
      </c>
      <c r="H72" s="1703">
        <f t="shared" si="6"/>
        <v>101731</v>
      </c>
      <c r="I72" s="1702">
        <f t="shared" si="7"/>
        <v>86943</v>
      </c>
      <c r="J72" s="1702">
        <f t="shared" si="8"/>
        <v>14788</v>
      </c>
      <c r="K72" s="1701">
        <f t="shared" si="5"/>
        <v>101731</v>
      </c>
    </row>
    <row r="73" spans="1:11" ht="15" x14ac:dyDescent="0.25">
      <c r="A73" s="1128" t="s">
        <v>178</v>
      </c>
      <c r="B73" s="1129" t="s">
        <v>179</v>
      </c>
      <c r="C73" s="1129" t="s">
        <v>265</v>
      </c>
      <c r="D73" s="1703">
        <v>118509</v>
      </c>
      <c r="E73" s="1703">
        <v>9746</v>
      </c>
      <c r="F73" s="1703">
        <v>0</v>
      </c>
      <c r="G73" s="1703">
        <v>195871</v>
      </c>
      <c r="H73" s="1703">
        <f t="shared" si="6"/>
        <v>324126</v>
      </c>
      <c r="I73" s="1702">
        <f t="shared" si="7"/>
        <v>264871.5</v>
      </c>
      <c r="J73" s="1702">
        <f t="shared" si="8"/>
        <v>59254.5</v>
      </c>
      <c r="K73" s="1701">
        <f t="shared" si="5"/>
        <v>324126</v>
      </c>
    </row>
    <row r="74" spans="1:11" ht="15" x14ac:dyDescent="0.25">
      <c r="A74" s="1128" t="s">
        <v>182</v>
      </c>
      <c r="B74" s="1129" t="s">
        <v>183</v>
      </c>
      <c r="C74" s="1129" t="s">
        <v>266</v>
      </c>
      <c r="D74" s="1703">
        <v>83721</v>
      </c>
      <c r="E74" s="1703">
        <v>24238</v>
      </c>
      <c r="F74" s="1703">
        <v>0</v>
      </c>
      <c r="G74" s="1703">
        <v>77832</v>
      </c>
      <c r="H74" s="1703">
        <f t="shared" si="6"/>
        <v>185791</v>
      </c>
      <c r="I74" s="1702">
        <f t="shared" si="7"/>
        <v>143930.5</v>
      </c>
      <c r="J74" s="1702">
        <f t="shared" si="8"/>
        <v>41860.5</v>
      </c>
      <c r="K74" s="1701">
        <f t="shared" si="5"/>
        <v>185791</v>
      </c>
    </row>
    <row r="75" spans="1:11" ht="15" x14ac:dyDescent="0.25">
      <c r="A75" s="1128" t="s">
        <v>184</v>
      </c>
      <c r="B75" s="1129" t="s">
        <v>185</v>
      </c>
      <c r="C75" s="1129" t="s">
        <v>266</v>
      </c>
      <c r="D75" s="1703">
        <v>48379</v>
      </c>
      <c r="E75" s="1703"/>
      <c r="F75" s="1703">
        <v>0</v>
      </c>
      <c r="G75" s="1703">
        <v>79558</v>
      </c>
      <c r="H75" s="1703">
        <f t="shared" si="6"/>
        <v>127937</v>
      </c>
      <c r="I75" s="1702">
        <f t="shared" si="7"/>
        <v>103747.5</v>
      </c>
      <c r="J75" s="1702">
        <f t="shared" si="8"/>
        <v>24189.5</v>
      </c>
      <c r="K75" s="1701">
        <f t="shared" si="5"/>
        <v>127937</v>
      </c>
    </row>
    <row r="76" spans="1:11" ht="15" x14ac:dyDescent="0.25">
      <c r="A76" s="1128" t="s">
        <v>186</v>
      </c>
      <c r="B76" s="1129" t="s">
        <v>187</v>
      </c>
      <c r="C76" s="1129" t="s">
        <v>264</v>
      </c>
      <c r="D76" s="1703">
        <v>31847</v>
      </c>
      <c r="E76" s="1703"/>
      <c r="F76" s="1703">
        <v>0</v>
      </c>
      <c r="G76" s="1703">
        <v>96245</v>
      </c>
      <c r="H76" s="1703">
        <f t="shared" si="6"/>
        <v>128092</v>
      </c>
      <c r="I76" s="1702">
        <f t="shared" si="7"/>
        <v>112168.5</v>
      </c>
      <c r="J76" s="1702">
        <f t="shared" si="8"/>
        <v>15923.5</v>
      </c>
      <c r="K76" s="1701">
        <f t="shared" si="5"/>
        <v>128092</v>
      </c>
    </row>
    <row r="77" spans="1:11" ht="15" x14ac:dyDescent="0.25">
      <c r="A77" s="1128" t="s">
        <v>188</v>
      </c>
      <c r="B77" s="1129" t="s">
        <v>189</v>
      </c>
      <c r="C77" s="1129" t="s">
        <v>267</v>
      </c>
      <c r="D77" s="1703">
        <v>3343475</v>
      </c>
      <c r="E77" s="1703">
        <v>494817</v>
      </c>
      <c r="F77" s="1703">
        <v>668</v>
      </c>
      <c r="G77" s="1703">
        <v>2638249</v>
      </c>
      <c r="H77" s="1703">
        <f t="shared" si="6"/>
        <v>6477209</v>
      </c>
      <c r="I77" s="1702">
        <f t="shared" si="7"/>
        <v>4805137.5</v>
      </c>
      <c r="J77" s="1702">
        <f t="shared" si="8"/>
        <v>1672071.5</v>
      </c>
      <c r="K77" s="1701">
        <f t="shared" si="5"/>
        <v>6477209</v>
      </c>
    </row>
    <row r="78" spans="1:11" ht="15" x14ac:dyDescent="0.25">
      <c r="A78" s="1128" t="s">
        <v>190</v>
      </c>
      <c r="B78" s="1129" t="s">
        <v>191</v>
      </c>
      <c r="C78" s="1129" t="s">
        <v>268</v>
      </c>
      <c r="D78" s="1703">
        <v>145196</v>
      </c>
      <c r="E78" s="1703">
        <v>10101</v>
      </c>
      <c r="F78" s="1703">
        <v>0</v>
      </c>
      <c r="G78" s="1703">
        <v>153359</v>
      </c>
      <c r="H78" s="1703">
        <f t="shared" si="6"/>
        <v>308656</v>
      </c>
      <c r="I78" s="1702">
        <f t="shared" si="7"/>
        <v>236058</v>
      </c>
      <c r="J78" s="1702">
        <f t="shared" si="8"/>
        <v>72598</v>
      </c>
      <c r="K78" s="1701">
        <f t="shared" si="5"/>
        <v>308656</v>
      </c>
    </row>
    <row r="79" spans="1:11" ht="15" x14ac:dyDescent="0.25">
      <c r="A79" s="1128" t="s">
        <v>194</v>
      </c>
      <c r="B79" s="1129" t="s">
        <v>195</v>
      </c>
      <c r="C79" s="1129" t="s">
        <v>267</v>
      </c>
      <c r="D79" s="1703">
        <v>23873</v>
      </c>
      <c r="E79" s="1703">
        <v>3412</v>
      </c>
      <c r="F79" s="1703">
        <v>0</v>
      </c>
      <c r="G79" s="1703">
        <v>81922</v>
      </c>
      <c r="H79" s="1703">
        <f t="shared" si="6"/>
        <v>109207</v>
      </c>
      <c r="I79" s="1702">
        <f t="shared" si="7"/>
        <v>97270.5</v>
      </c>
      <c r="J79" s="1702">
        <f t="shared" si="8"/>
        <v>11936.5</v>
      </c>
      <c r="K79" s="1701">
        <f t="shared" si="5"/>
        <v>109207</v>
      </c>
    </row>
    <row r="80" spans="1:11" ht="15" x14ac:dyDescent="0.25">
      <c r="A80" s="1128" t="s">
        <v>198</v>
      </c>
      <c r="B80" s="1129" t="s">
        <v>199</v>
      </c>
      <c r="C80" s="1129" t="s">
        <v>266</v>
      </c>
      <c r="D80" s="1703">
        <v>22610</v>
      </c>
      <c r="E80" s="1703"/>
      <c r="F80" s="1703">
        <v>0</v>
      </c>
      <c r="G80" s="1703">
        <v>34922</v>
      </c>
      <c r="H80" s="1703">
        <f t="shared" si="6"/>
        <v>57532</v>
      </c>
      <c r="I80" s="1702">
        <f t="shared" si="7"/>
        <v>46227</v>
      </c>
      <c r="J80" s="1702">
        <f t="shared" si="8"/>
        <v>11305</v>
      </c>
      <c r="K80" s="1701">
        <f t="shared" si="5"/>
        <v>57532</v>
      </c>
    </row>
    <row r="81" spans="1:11" ht="15" x14ac:dyDescent="0.25">
      <c r="A81" s="1128" t="s">
        <v>202</v>
      </c>
      <c r="B81" s="1129" t="s">
        <v>203</v>
      </c>
      <c r="C81" s="1129" t="s">
        <v>265</v>
      </c>
      <c r="D81" s="1703">
        <v>809515</v>
      </c>
      <c r="E81" s="1703">
        <v>69502</v>
      </c>
      <c r="F81" s="1703">
        <v>870</v>
      </c>
      <c r="G81" s="1703">
        <v>1003639</v>
      </c>
      <c r="H81" s="1703">
        <f t="shared" si="6"/>
        <v>1883526</v>
      </c>
      <c r="I81" s="1702">
        <f t="shared" si="7"/>
        <v>1478333.5</v>
      </c>
      <c r="J81" s="1702">
        <f t="shared" si="8"/>
        <v>405192.5</v>
      </c>
      <c r="K81" s="1701">
        <f t="shared" si="5"/>
        <v>1883526</v>
      </c>
    </row>
    <row r="82" spans="1:11" ht="15" x14ac:dyDescent="0.25">
      <c r="A82" s="1128" t="s">
        <v>204</v>
      </c>
      <c r="B82" s="1132" t="s">
        <v>205</v>
      </c>
      <c r="C82" s="1132" t="s">
        <v>265</v>
      </c>
      <c r="D82" s="1703">
        <v>63503</v>
      </c>
      <c r="E82" s="1703"/>
      <c r="F82" s="1703">
        <v>0</v>
      </c>
      <c r="G82" s="1703">
        <v>67295</v>
      </c>
      <c r="H82" s="1703">
        <f t="shared" si="6"/>
        <v>130798</v>
      </c>
      <c r="I82" s="1702">
        <f t="shared" si="7"/>
        <v>99046.5</v>
      </c>
      <c r="J82" s="1702">
        <f t="shared" si="8"/>
        <v>31751.5</v>
      </c>
      <c r="K82" s="1701">
        <f t="shared" si="5"/>
        <v>130798</v>
      </c>
    </row>
    <row r="83" spans="1:11" ht="15" x14ac:dyDescent="0.25">
      <c r="A83" s="1128" t="s">
        <v>206</v>
      </c>
      <c r="B83" s="1132" t="s">
        <v>207</v>
      </c>
      <c r="C83" s="1132" t="s">
        <v>267</v>
      </c>
      <c r="D83" s="1703">
        <v>469443</v>
      </c>
      <c r="E83" s="1703">
        <v>32063</v>
      </c>
      <c r="F83" s="1703">
        <v>0</v>
      </c>
      <c r="G83" s="1703">
        <v>453199</v>
      </c>
      <c r="H83" s="1703">
        <f t="shared" si="6"/>
        <v>954705</v>
      </c>
      <c r="I83" s="1702">
        <f t="shared" si="7"/>
        <v>719983.5</v>
      </c>
      <c r="J83" s="1702">
        <f t="shared" si="8"/>
        <v>234721.5</v>
      </c>
      <c r="K83" s="1701">
        <f t="shared" si="5"/>
        <v>954705</v>
      </c>
    </row>
    <row r="84" spans="1:11" ht="15" x14ac:dyDescent="0.25">
      <c r="A84" s="1128" t="s">
        <v>208</v>
      </c>
      <c r="B84" s="1129" t="s">
        <v>209</v>
      </c>
      <c r="C84" s="1129" t="s">
        <v>268</v>
      </c>
      <c r="D84" s="1703">
        <v>23053</v>
      </c>
      <c r="E84" s="1703"/>
      <c r="F84" s="1703">
        <v>0</v>
      </c>
      <c r="G84" s="1703">
        <v>60679</v>
      </c>
      <c r="H84" s="1703">
        <f t="shared" si="6"/>
        <v>83732</v>
      </c>
      <c r="I84" s="1702">
        <f t="shared" si="7"/>
        <v>72205.5</v>
      </c>
      <c r="J84" s="1702">
        <f t="shared" si="8"/>
        <v>11526.5</v>
      </c>
      <c r="K84" s="1701">
        <f t="shared" si="5"/>
        <v>83732</v>
      </c>
    </row>
    <row r="85" spans="1:11" ht="15" x14ac:dyDescent="0.25">
      <c r="A85" s="1128" t="s">
        <v>210</v>
      </c>
      <c r="B85" s="1129" t="s">
        <v>211</v>
      </c>
      <c r="C85" s="1129" t="s">
        <v>268</v>
      </c>
      <c r="D85" s="1703">
        <v>22045</v>
      </c>
      <c r="E85" s="1703"/>
      <c r="F85" s="1703">
        <v>0</v>
      </c>
      <c r="G85" s="1703">
        <v>6875</v>
      </c>
      <c r="H85" s="1703">
        <f t="shared" si="6"/>
        <v>28920</v>
      </c>
      <c r="I85" s="1702">
        <f t="shared" si="7"/>
        <v>17897.5</v>
      </c>
      <c r="J85" s="1702">
        <f t="shared" si="8"/>
        <v>11022.5</v>
      </c>
      <c r="K85" s="1701">
        <f t="shared" si="5"/>
        <v>28920</v>
      </c>
    </row>
    <row r="86" spans="1:11" ht="15" x14ac:dyDescent="0.25">
      <c r="A86" s="1128" t="s">
        <v>212</v>
      </c>
      <c r="B86" s="1129" t="s">
        <v>213</v>
      </c>
      <c r="C86" s="1129" t="s">
        <v>267</v>
      </c>
      <c r="D86" s="1703">
        <v>33948</v>
      </c>
      <c r="E86" s="1703">
        <v>9186</v>
      </c>
      <c r="F86" s="1703">
        <v>74</v>
      </c>
      <c r="G86" s="1703">
        <v>166639</v>
      </c>
      <c r="H86" s="1703">
        <f t="shared" si="6"/>
        <v>209847</v>
      </c>
      <c r="I86" s="1702">
        <f t="shared" si="7"/>
        <v>192836</v>
      </c>
      <c r="J86" s="1702">
        <f t="shared" si="8"/>
        <v>17011</v>
      </c>
      <c r="K86" s="1701">
        <f t="shared" si="5"/>
        <v>209847</v>
      </c>
    </row>
    <row r="87" spans="1:11" ht="15" x14ac:dyDescent="0.25">
      <c r="A87" s="1128" t="s">
        <v>214</v>
      </c>
      <c r="B87" s="1129" t="s">
        <v>215</v>
      </c>
      <c r="C87" s="1129" t="s">
        <v>268</v>
      </c>
      <c r="D87" s="1703">
        <v>57567</v>
      </c>
      <c r="E87" s="1703">
        <v>4426</v>
      </c>
      <c r="F87" s="1703">
        <v>0</v>
      </c>
      <c r="G87" s="1703">
        <v>78086</v>
      </c>
      <c r="H87" s="1703">
        <f t="shared" si="6"/>
        <v>140079</v>
      </c>
      <c r="I87" s="1702">
        <f t="shared" si="7"/>
        <v>111295.5</v>
      </c>
      <c r="J87" s="1702">
        <f t="shared" si="8"/>
        <v>28783.5</v>
      </c>
      <c r="K87" s="1701">
        <f t="shared" si="5"/>
        <v>140079</v>
      </c>
    </row>
    <row r="88" spans="1:11" ht="15" x14ac:dyDescent="0.25">
      <c r="A88" s="1128" t="s">
        <v>216</v>
      </c>
      <c r="B88" s="1129" t="s">
        <v>217</v>
      </c>
      <c r="C88" s="1129" t="s">
        <v>264</v>
      </c>
      <c r="D88" s="1703">
        <v>23270</v>
      </c>
      <c r="E88" s="1703">
        <v>2557</v>
      </c>
      <c r="F88" s="1703">
        <v>0</v>
      </c>
      <c r="G88" s="1703">
        <v>20947</v>
      </c>
      <c r="H88" s="1703">
        <f t="shared" si="6"/>
        <v>46774</v>
      </c>
      <c r="I88" s="1702">
        <f t="shared" si="7"/>
        <v>35139</v>
      </c>
      <c r="J88" s="1702">
        <f t="shared" si="8"/>
        <v>11635</v>
      </c>
      <c r="K88" s="1701">
        <f t="shared" si="5"/>
        <v>46774</v>
      </c>
    </row>
    <row r="89" spans="1:11" ht="15" x14ac:dyDescent="0.25">
      <c r="A89" s="1128" t="s">
        <v>218</v>
      </c>
      <c r="B89" s="1129" t="s">
        <v>219</v>
      </c>
      <c r="C89" s="1129" t="s">
        <v>267</v>
      </c>
      <c r="D89" s="1703">
        <v>843391</v>
      </c>
      <c r="E89" s="1703">
        <v>65646</v>
      </c>
      <c r="F89" s="1703">
        <v>0</v>
      </c>
      <c r="G89" s="1703">
        <v>205998</v>
      </c>
      <c r="H89" s="1703">
        <f t="shared" si="6"/>
        <v>1115035</v>
      </c>
      <c r="I89" s="1702">
        <f t="shared" si="7"/>
        <v>693339.5</v>
      </c>
      <c r="J89" s="1702">
        <f t="shared" si="8"/>
        <v>421695.5</v>
      </c>
      <c r="K89" s="1701">
        <f t="shared" si="5"/>
        <v>1115035</v>
      </c>
    </row>
    <row r="90" spans="1:11" ht="15" x14ac:dyDescent="0.25">
      <c r="A90" s="1128" t="s">
        <v>220</v>
      </c>
      <c r="B90" s="1129" t="s">
        <v>221</v>
      </c>
      <c r="C90" s="1129" t="s">
        <v>267</v>
      </c>
      <c r="D90" s="1703">
        <v>880268</v>
      </c>
      <c r="E90" s="1703">
        <v>276902</v>
      </c>
      <c r="F90" s="1703">
        <v>1164</v>
      </c>
      <c r="G90" s="1703">
        <v>464233</v>
      </c>
      <c r="H90" s="1703">
        <f t="shared" si="6"/>
        <v>1622567</v>
      </c>
      <c r="I90" s="1702">
        <f t="shared" si="7"/>
        <v>1181851</v>
      </c>
      <c r="J90" s="1702">
        <f t="shared" si="8"/>
        <v>440716</v>
      </c>
      <c r="K90" s="1701">
        <f t="shared" si="5"/>
        <v>1622567</v>
      </c>
    </row>
    <row r="91" spans="1:11" ht="15" x14ac:dyDescent="0.25">
      <c r="A91" s="1128" t="s">
        <v>224</v>
      </c>
      <c r="B91" s="1129" t="s">
        <v>225</v>
      </c>
      <c r="C91" s="1129" t="s">
        <v>264</v>
      </c>
      <c r="D91" s="1703">
        <v>8326</v>
      </c>
      <c r="E91" s="1703">
        <v>2121</v>
      </c>
      <c r="F91" s="1703">
        <v>0</v>
      </c>
      <c r="G91" s="1703">
        <v>53050</v>
      </c>
      <c r="H91" s="1703">
        <f t="shared" si="6"/>
        <v>63497</v>
      </c>
      <c r="I91" s="1702">
        <f t="shared" si="7"/>
        <v>59334</v>
      </c>
      <c r="J91" s="1702">
        <f t="shared" si="8"/>
        <v>4163</v>
      </c>
      <c r="K91" s="1701">
        <f t="shared" si="5"/>
        <v>63497</v>
      </c>
    </row>
    <row r="92" spans="1:11" ht="15" x14ac:dyDescent="0.25">
      <c r="A92" s="1128" t="s">
        <v>226</v>
      </c>
      <c r="B92" s="1129" t="s">
        <v>227</v>
      </c>
      <c r="C92" s="1129" t="s">
        <v>264</v>
      </c>
      <c r="D92" s="1703">
        <v>39341</v>
      </c>
      <c r="E92" s="1703">
        <v>7635</v>
      </c>
      <c r="F92" s="1703">
        <v>0</v>
      </c>
      <c r="G92" s="1703">
        <v>94596</v>
      </c>
      <c r="H92" s="1703">
        <f t="shared" si="6"/>
        <v>141572</v>
      </c>
      <c r="I92" s="1702">
        <f t="shared" si="7"/>
        <v>121901.5</v>
      </c>
      <c r="J92" s="1702">
        <f t="shared" si="8"/>
        <v>19670.5</v>
      </c>
      <c r="K92" s="1701">
        <f t="shared" si="5"/>
        <v>141572</v>
      </c>
    </row>
    <row r="93" spans="1:11" ht="15" x14ac:dyDescent="0.25">
      <c r="A93" s="1128" t="s">
        <v>228</v>
      </c>
      <c r="B93" s="1129" t="s">
        <v>229</v>
      </c>
      <c r="C93" s="1129" t="s">
        <v>268</v>
      </c>
      <c r="D93" s="1703">
        <v>119147</v>
      </c>
      <c r="E93" s="1703">
        <v>5332</v>
      </c>
      <c r="F93" s="1703">
        <v>0</v>
      </c>
      <c r="G93" s="1703">
        <v>125003</v>
      </c>
      <c r="H93" s="1703">
        <f t="shared" si="6"/>
        <v>249482</v>
      </c>
      <c r="I93" s="1702">
        <f t="shared" si="7"/>
        <v>189908.5</v>
      </c>
      <c r="J93" s="1702">
        <f t="shared" si="8"/>
        <v>59573.5</v>
      </c>
      <c r="K93" s="1701">
        <f t="shared" si="5"/>
        <v>249482</v>
      </c>
    </row>
    <row r="94" spans="1:11" ht="15" x14ac:dyDescent="0.25">
      <c r="A94" s="1128" t="s">
        <v>232</v>
      </c>
      <c r="B94" s="1129" t="s">
        <v>233</v>
      </c>
      <c r="C94" s="1129" t="s">
        <v>267</v>
      </c>
      <c r="D94" s="1703">
        <v>217544</v>
      </c>
      <c r="E94" s="1703">
        <v>660</v>
      </c>
      <c r="F94" s="1703">
        <v>0</v>
      </c>
      <c r="G94" s="1703">
        <v>428454</v>
      </c>
      <c r="H94" s="1703">
        <f t="shared" si="6"/>
        <v>646658</v>
      </c>
      <c r="I94" s="1702">
        <f t="shared" si="7"/>
        <v>537886</v>
      </c>
      <c r="J94" s="1702">
        <f t="shared" si="8"/>
        <v>108772</v>
      </c>
      <c r="K94" s="1701">
        <f t="shared" si="5"/>
        <v>646658</v>
      </c>
    </row>
    <row r="95" spans="1:11" ht="15" x14ac:dyDescent="0.25">
      <c r="A95" s="1128" t="s">
        <v>234</v>
      </c>
      <c r="B95" s="1129" t="s">
        <v>235</v>
      </c>
      <c r="C95" s="1129" t="s">
        <v>268</v>
      </c>
      <c r="D95" s="1703">
        <v>38524</v>
      </c>
      <c r="E95" s="1703">
        <v>5660</v>
      </c>
      <c r="F95" s="1703">
        <v>0</v>
      </c>
      <c r="G95" s="1703">
        <v>113888</v>
      </c>
      <c r="H95" s="1703">
        <f t="shared" si="6"/>
        <v>158072</v>
      </c>
      <c r="I95" s="1702">
        <f t="shared" si="7"/>
        <v>138810</v>
      </c>
      <c r="J95" s="1702">
        <f t="shared" si="8"/>
        <v>19262</v>
      </c>
      <c r="K95" s="1701">
        <f t="shared" si="5"/>
        <v>158072</v>
      </c>
    </row>
    <row r="96" spans="1:11" ht="15" x14ac:dyDescent="0.25">
      <c r="A96" s="1128" t="s">
        <v>236</v>
      </c>
      <c r="B96" s="1129" t="s">
        <v>237</v>
      </c>
      <c r="C96" s="1129" t="s">
        <v>266</v>
      </c>
      <c r="D96" s="1703">
        <v>36444</v>
      </c>
      <c r="E96" s="1703"/>
      <c r="F96" s="1703">
        <v>0</v>
      </c>
      <c r="G96" s="1703">
        <v>112380</v>
      </c>
      <c r="H96" s="1703">
        <f t="shared" si="6"/>
        <v>148824</v>
      </c>
      <c r="I96" s="1702">
        <f t="shared" si="7"/>
        <v>130602</v>
      </c>
      <c r="J96" s="1702">
        <f t="shared" si="8"/>
        <v>18222</v>
      </c>
      <c r="K96" s="1701">
        <f t="shared" si="5"/>
        <v>148824</v>
      </c>
    </row>
    <row r="97" spans="1:11" ht="15" x14ac:dyDescent="0.25">
      <c r="A97" s="1128" t="s">
        <v>242</v>
      </c>
      <c r="B97" s="1129" t="s">
        <v>243</v>
      </c>
      <c r="C97" s="1129" t="s">
        <v>268</v>
      </c>
      <c r="D97" s="1703">
        <v>85162</v>
      </c>
      <c r="E97" s="1703">
        <v>714</v>
      </c>
      <c r="F97" s="1703">
        <v>0</v>
      </c>
      <c r="G97" s="1703">
        <v>62112</v>
      </c>
      <c r="H97" s="1703">
        <f t="shared" si="6"/>
        <v>147988</v>
      </c>
      <c r="I97" s="1702">
        <f t="shared" si="7"/>
        <v>105407</v>
      </c>
      <c r="J97" s="1702">
        <f t="shared" si="8"/>
        <v>42581</v>
      </c>
      <c r="K97" s="1701">
        <f t="shared" si="5"/>
        <v>147988</v>
      </c>
    </row>
    <row r="98" spans="1:11" ht="15" x14ac:dyDescent="0.25">
      <c r="A98" s="1128" t="s">
        <v>244</v>
      </c>
      <c r="B98" s="1129" t="s">
        <v>245</v>
      </c>
      <c r="C98" s="1129" t="s">
        <v>268</v>
      </c>
      <c r="D98" s="1703">
        <v>58322</v>
      </c>
      <c r="E98" s="1703">
        <v>252</v>
      </c>
      <c r="F98" s="1703">
        <v>360</v>
      </c>
      <c r="G98" s="1703">
        <v>157719</v>
      </c>
      <c r="H98" s="1703">
        <f t="shared" si="6"/>
        <v>216653</v>
      </c>
      <c r="I98" s="1702">
        <f t="shared" si="7"/>
        <v>187312</v>
      </c>
      <c r="J98" s="1702">
        <f t="shared" si="8"/>
        <v>29341</v>
      </c>
      <c r="K98" s="1701">
        <f t="shared" si="5"/>
        <v>216653</v>
      </c>
    </row>
    <row r="99" spans="1:11" ht="15" x14ac:dyDescent="0.25">
      <c r="A99" s="1128" t="s">
        <v>246</v>
      </c>
      <c r="B99" s="1129" t="s">
        <v>310</v>
      </c>
      <c r="C99" s="1129" t="s">
        <v>264</v>
      </c>
      <c r="D99" s="1703">
        <v>181434</v>
      </c>
      <c r="E99" s="1703">
        <v>40777</v>
      </c>
      <c r="F99" s="1703">
        <v>0</v>
      </c>
      <c r="G99" s="1703">
        <v>306789</v>
      </c>
      <c r="H99" s="1703">
        <f t="shared" si="6"/>
        <v>529000</v>
      </c>
      <c r="I99" s="1702">
        <f t="shared" si="7"/>
        <v>438283</v>
      </c>
      <c r="J99" s="1702">
        <f t="shared" si="8"/>
        <v>90717</v>
      </c>
      <c r="K99" s="1701">
        <f t="shared" si="5"/>
        <v>529000</v>
      </c>
    </row>
    <row r="100" spans="1:11" ht="15" x14ac:dyDescent="0.25">
      <c r="A100" s="1128" t="s">
        <v>14</v>
      </c>
      <c r="B100" s="1129" t="s">
        <v>15</v>
      </c>
      <c r="C100" s="1129" t="s">
        <v>267</v>
      </c>
      <c r="D100" s="1703">
        <v>1166007</v>
      </c>
      <c r="E100" s="1703">
        <v>276890</v>
      </c>
      <c r="F100" s="1703">
        <v>7770</v>
      </c>
      <c r="G100" s="1703">
        <v>2024225</v>
      </c>
      <c r="H100" s="1703">
        <f t="shared" si="6"/>
        <v>3474892</v>
      </c>
      <c r="I100" s="1702">
        <f t="shared" si="7"/>
        <v>2888003.5</v>
      </c>
      <c r="J100" s="1702">
        <f t="shared" si="8"/>
        <v>586888.5</v>
      </c>
      <c r="K100" s="1701">
        <f t="shared" si="5"/>
        <v>3474892</v>
      </c>
    </row>
    <row r="101" spans="1:11" ht="15" x14ac:dyDescent="0.25">
      <c r="A101" s="1128" t="s">
        <v>34</v>
      </c>
      <c r="B101" s="1129" t="s">
        <v>35</v>
      </c>
      <c r="C101" s="1129" t="s">
        <v>268</v>
      </c>
      <c r="D101" s="1703">
        <v>292229</v>
      </c>
      <c r="E101" s="1703">
        <v>24952</v>
      </c>
      <c r="F101" s="1703">
        <v>40</v>
      </c>
      <c r="G101" s="1703">
        <v>301509</v>
      </c>
      <c r="H101" s="1703">
        <f t="shared" si="6"/>
        <v>618730</v>
      </c>
      <c r="I101" s="1702">
        <f t="shared" si="7"/>
        <v>472595.5</v>
      </c>
      <c r="J101" s="1702">
        <f t="shared" si="8"/>
        <v>146134.5</v>
      </c>
      <c r="K101" s="1701">
        <f t="shared" si="5"/>
        <v>618730</v>
      </c>
    </row>
    <row r="102" spans="1:11" ht="15" x14ac:dyDescent="0.25">
      <c r="A102" s="1128" t="s">
        <v>52</v>
      </c>
      <c r="B102" s="1129" t="s">
        <v>53</v>
      </c>
      <c r="C102" s="1129" t="s">
        <v>265</v>
      </c>
      <c r="D102" s="1703">
        <v>722261</v>
      </c>
      <c r="E102" s="1703">
        <v>1717</v>
      </c>
      <c r="F102" s="1703">
        <v>1516</v>
      </c>
      <c r="G102" s="1703">
        <v>670569</v>
      </c>
      <c r="H102" s="1703">
        <f t="shared" si="6"/>
        <v>1396063</v>
      </c>
      <c r="I102" s="1702">
        <f t="shared" si="7"/>
        <v>1034174.5</v>
      </c>
      <c r="J102" s="1702">
        <f t="shared" si="8"/>
        <v>361888.5</v>
      </c>
      <c r="K102" s="1701">
        <f t="shared" si="5"/>
        <v>1396063</v>
      </c>
    </row>
    <row r="103" spans="1:11" ht="15" x14ac:dyDescent="0.25">
      <c r="A103" s="1128" t="s">
        <v>54</v>
      </c>
      <c r="B103" s="1129" t="s">
        <v>55</v>
      </c>
      <c r="C103" s="1129" t="s">
        <v>264</v>
      </c>
      <c r="D103" s="1703">
        <v>2011478</v>
      </c>
      <c r="E103" s="1703">
        <v>38726</v>
      </c>
      <c r="F103" s="1703">
        <v>1251</v>
      </c>
      <c r="G103" s="1703">
        <v>1797332</v>
      </c>
      <c r="H103" s="1703">
        <f t="shared" si="6"/>
        <v>3848787</v>
      </c>
      <c r="I103" s="1702">
        <f t="shared" si="7"/>
        <v>2842422.5</v>
      </c>
      <c r="J103" s="1702">
        <f t="shared" si="8"/>
        <v>1006364.5</v>
      </c>
      <c r="K103" s="1701">
        <f t="shared" si="5"/>
        <v>3848787</v>
      </c>
    </row>
    <row r="104" spans="1:11" ht="15" x14ac:dyDescent="0.25">
      <c r="A104" s="1128" t="s">
        <v>66</v>
      </c>
      <c r="B104" s="1129" t="s">
        <v>67</v>
      </c>
      <c r="C104" s="1129" t="s">
        <v>265</v>
      </c>
      <c r="D104" s="1703">
        <v>262342</v>
      </c>
      <c r="E104" s="1703">
        <v>64815</v>
      </c>
      <c r="F104" s="1703">
        <v>352</v>
      </c>
      <c r="G104" s="1703">
        <v>563801</v>
      </c>
      <c r="H104" s="1703">
        <f t="shared" si="6"/>
        <v>891310</v>
      </c>
      <c r="I104" s="1702">
        <f t="shared" si="7"/>
        <v>759963</v>
      </c>
      <c r="J104" s="1702">
        <f t="shared" si="8"/>
        <v>131347</v>
      </c>
      <c r="K104" s="1701">
        <f t="shared" si="5"/>
        <v>891310</v>
      </c>
    </row>
    <row r="105" spans="1:11" ht="15" x14ac:dyDescent="0.25">
      <c r="A105" s="1128" t="s">
        <v>82</v>
      </c>
      <c r="B105" s="1129" t="s">
        <v>311</v>
      </c>
      <c r="C105" s="1129" t="s">
        <v>264</v>
      </c>
      <c r="D105" s="1703">
        <v>82029</v>
      </c>
      <c r="E105" s="1703"/>
      <c r="F105" s="1703">
        <v>0</v>
      </c>
      <c r="G105" s="1703">
        <v>68140</v>
      </c>
      <c r="H105" s="1703">
        <f t="shared" si="6"/>
        <v>150169</v>
      </c>
      <c r="I105" s="1702">
        <f t="shared" si="7"/>
        <v>109154.5</v>
      </c>
      <c r="J105" s="1702">
        <f t="shared" si="8"/>
        <v>41014.5</v>
      </c>
      <c r="K105" s="1701">
        <f t="shared" si="5"/>
        <v>150169</v>
      </c>
    </row>
    <row r="106" spans="1:11" ht="15" x14ac:dyDescent="0.25">
      <c r="A106" s="1128" t="s">
        <v>88</v>
      </c>
      <c r="B106" s="1129" t="s">
        <v>89</v>
      </c>
      <c r="C106" s="1129" t="s">
        <v>267</v>
      </c>
      <c r="D106" s="1703">
        <v>661105</v>
      </c>
      <c r="E106" s="1703">
        <v>300322</v>
      </c>
      <c r="F106" s="1703">
        <v>0</v>
      </c>
      <c r="G106" s="1703">
        <v>197154.1</v>
      </c>
      <c r="H106" s="1703">
        <f t="shared" si="6"/>
        <v>1158581.1000000001</v>
      </c>
      <c r="I106" s="1702">
        <f t="shared" si="7"/>
        <v>828028.6</v>
      </c>
      <c r="J106" s="1702">
        <f t="shared" si="8"/>
        <v>330552.5</v>
      </c>
      <c r="K106" s="1701">
        <f t="shared" si="5"/>
        <v>1158581.1000000001</v>
      </c>
    </row>
    <row r="107" spans="1:11" ht="15" x14ac:dyDescent="0.25">
      <c r="A107" s="1128" t="s">
        <v>90</v>
      </c>
      <c r="B107" s="1129" t="s">
        <v>91</v>
      </c>
      <c r="C107" s="1129" t="s">
        <v>268</v>
      </c>
      <c r="D107" s="1703">
        <v>27109</v>
      </c>
      <c r="E107" s="1703"/>
      <c r="F107" s="1703">
        <v>0</v>
      </c>
      <c r="G107" s="1703">
        <v>62847</v>
      </c>
      <c r="H107" s="1703">
        <f t="shared" si="6"/>
        <v>89956</v>
      </c>
      <c r="I107" s="1702">
        <f t="shared" si="7"/>
        <v>76401.5</v>
      </c>
      <c r="J107" s="1702">
        <f t="shared" si="8"/>
        <v>13554.5</v>
      </c>
      <c r="K107" s="1701">
        <f t="shared" si="5"/>
        <v>89956</v>
      </c>
    </row>
    <row r="108" spans="1:11" ht="15" x14ac:dyDescent="0.25">
      <c r="A108" s="1128" t="s">
        <v>106</v>
      </c>
      <c r="B108" s="1129" t="s">
        <v>107</v>
      </c>
      <c r="C108" s="1129" t="s">
        <v>264</v>
      </c>
      <c r="D108" s="1703">
        <v>1994137</v>
      </c>
      <c r="E108" s="1703"/>
      <c r="F108" s="1703">
        <v>0</v>
      </c>
      <c r="G108" s="1703">
        <v>471949</v>
      </c>
      <c r="H108" s="1703">
        <f t="shared" si="6"/>
        <v>2466086</v>
      </c>
      <c r="I108" s="1702">
        <f t="shared" si="7"/>
        <v>1469017.5</v>
      </c>
      <c r="J108" s="1702">
        <f t="shared" si="8"/>
        <v>997068.5</v>
      </c>
      <c r="K108" s="1701">
        <f t="shared" si="5"/>
        <v>2466086</v>
      </c>
    </row>
    <row r="109" spans="1:11" ht="15" x14ac:dyDescent="0.25">
      <c r="A109" s="1128" t="s">
        <v>116</v>
      </c>
      <c r="B109" s="1129" t="s">
        <v>117</v>
      </c>
      <c r="C109" s="1129" t="s">
        <v>266</v>
      </c>
      <c r="D109" s="1703">
        <v>320366</v>
      </c>
      <c r="E109" s="1703">
        <v>114234</v>
      </c>
      <c r="F109" s="1703">
        <v>0</v>
      </c>
      <c r="G109" s="1703">
        <v>230358</v>
      </c>
      <c r="H109" s="1703">
        <f t="shared" si="6"/>
        <v>664958</v>
      </c>
      <c r="I109" s="1702">
        <f t="shared" si="7"/>
        <v>504775</v>
      </c>
      <c r="J109" s="1702">
        <f t="shared" si="8"/>
        <v>160183</v>
      </c>
      <c r="K109" s="1701">
        <f t="shared" si="5"/>
        <v>664958</v>
      </c>
    </row>
    <row r="110" spans="1:11" ht="15" x14ac:dyDescent="0.25">
      <c r="A110" s="1128" t="s">
        <v>138</v>
      </c>
      <c r="B110" s="1129" t="s">
        <v>139</v>
      </c>
      <c r="C110" s="1129" t="s">
        <v>265</v>
      </c>
      <c r="D110" s="1703">
        <v>409213</v>
      </c>
      <c r="E110" s="1703">
        <v>23615</v>
      </c>
      <c r="F110" s="1703">
        <v>1314</v>
      </c>
      <c r="G110" s="1703">
        <v>766659</v>
      </c>
      <c r="H110" s="1703">
        <f t="shared" si="6"/>
        <v>1200801</v>
      </c>
      <c r="I110" s="1702">
        <f t="shared" si="7"/>
        <v>995537.5</v>
      </c>
      <c r="J110" s="1702">
        <f t="shared" si="8"/>
        <v>205263.5</v>
      </c>
      <c r="K110" s="1701">
        <f t="shared" si="5"/>
        <v>1200801</v>
      </c>
    </row>
    <row r="111" spans="1:11" ht="15" x14ac:dyDescent="0.25">
      <c r="A111" s="1128" t="s">
        <v>142</v>
      </c>
      <c r="B111" s="1129" t="s">
        <v>143</v>
      </c>
      <c r="C111" s="1129" t="s">
        <v>267</v>
      </c>
      <c r="D111" s="1703">
        <v>398005</v>
      </c>
      <c r="E111" s="1703">
        <v>73352</v>
      </c>
      <c r="F111" s="1703">
        <v>0</v>
      </c>
      <c r="G111" s="1703">
        <v>1086929</v>
      </c>
      <c r="H111" s="1703">
        <f t="shared" si="6"/>
        <v>1558286</v>
      </c>
      <c r="I111" s="1702">
        <f t="shared" si="7"/>
        <v>1359283.5</v>
      </c>
      <c r="J111" s="1702">
        <f t="shared" si="8"/>
        <v>199002.5</v>
      </c>
      <c r="K111" s="1701">
        <f t="shared" si="5"/>
        <v>1558286</v>
      </c>
    </row>
    <row r="112" spans="1:11" ht="15" x14ac:dyDescent="0.25">
      <c r="A112" s="1128" t="s">
        <v>144</v>
      </c>
      <c r="B112" s="1129" t="s">
        <v>145</v>
      </c>
      <c r="C112" s="1129" t="s">
        <v>267</v>
      </c>
      <c r="D112" s="1703">
        <v>96508</v>
      </c>
      <c r="E112" s="1703">
        <v>68925</v>
      </c>
      <c r="F112" s="1703">
        <v>0</v>
      </c>
      <c r="G112" s="1703">
        <v>162433</v>
      </c>
      <c r="H112" s="1703">
        <f t="shared" si="6"/>
        <v>327866</v>
      </c>
      <c r="I112" s="1702">
        <f t="shared" si="7"/>
        <v>279612</v>
      </c>
      <c r="J112" s="1702">
        <f t="shared" si="8"/>
        <v>48254</v>
      </c>
      <c r="K112" s="1701">
        <f t="shared" si="5"/>
        <v>327866</v>
      </c>
    </row>
    <row r="113" spans="1:11" ht="15" x14ac:dyDescent="0.25">
      <c r="A113" s="1128" t="s">
        <v>158</v>
      </c>
      <c r="B113" s="1129" t="s">
        <v>159</v>
      </c>
      <c r="C113" s="1129" t="s">
        <v>264</v>
      </c>
      <c r="D113" s="1703">
        <v>2610449</v>
      </c>
      <c r="E113" s="1703">
        <v>271899</v>
      </c>
      <c r="F113" s="1703">
        <v>3191</v>
      </c>
      <c r="G113" s="1703">
        <v>2575175</v>
      </c>
      <c r="H113" s="1703">
        <f t="shared" si="6"/>
        <v>5460714</v>
      </c>
      <c r="I113" s="1702">
        <f t="shared" si="7"/>
        <v>4153894</v>
      </c>
      <c r="J113" s="1702">
        <f t="shared" si="8"/>
        <v>1306820</v>
      </c>
      <c r="K113" s="1701">
        <f t="shared" si="5"/>
        <v>5460714</v>
      </c>
    </row>
    <row r="114" spans="1:11" ht="15" x14ac:dyDescent="0.25">
      <c r="A114" s="1128" t="s">
        <v>160</v>
      </c>
      <c r="B114" s="1129" t="s">
        <v>161</v>
      </c>
      <c r="C114" s="1129" t="s">
        <v>264</v>
      </c>
      <c r="D114" s="1703">
        <v>3184165</v>
      </c>
      <c r="E114" s="1703">
        <v>35825</v>
      </c>
      <c r="F114" s="1703">
        <v>1509</v>
      </c>
      <c r="G114" s="1703">
        <v>3980858.91</v>
      </c>
      <c r="H114" s="1703">
        <f t="shared" si="6"/>
        <v>7202357.9100000001</v>
      </c>
      <c r="I114" s="1702">
        <f t="shared" si="7"/>
        <v>5609520.9100000001</v>
      </c>
      <c r="J114" s="1702">
        <f t="shared" si="8"/>
        <v>1592837</v>
      </c>
      <c r="K114" s="1701">
        <f t="shared" si="5"/>
        <v>7202357.9100000001</v>
      </c>
    </row>
    <row r="115" spans="1:11" ht="15" x14ac:dyDescent="0.25">
      <c r="A115" s="1128" t="s">
        <v>166</v>
      </c>
      <c r="B115" s="1129" t="s">
        <v>167</v>
      </c>
      <c r="C115" s="1129" t="s">
        <v>268</v>
      </c>
      <c r="D115" s="1703">
        <v>7233</v>
      </c>
      <c r="E115" s="1703"/>
      <c r="F115" s="1703">
        <v>0</v>
      </c>
      <c r="G115" s="1703">
        <v>12062</v>
      </c>
      <c r="H115" s="1703">
        <f t="shared" si="6"/>
        <v>19295</v>
      </c>
      <c r="I115" s="1702">
        <f t="shared" si="7"/>
        <v>15678.5</v>
      </c>
      <c r="J115" s="1702">
        <f t="shared" si="8"/>
        <v>3616.5</v>
      </c>
      <c r="K115" s="1701">
        <f t="shared" si="5"/>
        <v>19295</v>
      </c>
    </row>
    <row r="116" spans="1:11" ht="15" x14ac:dyDescent="0.25">
      <c r="A116" s="1128" t="s">
        <v>176</v>
      </c>
      <c r="B116" s="1129" t="s">
        <v>177</v>
      </c>
      <c r="C116" s="1129" t="s">
        <v>266</v>
      </c>
      <c r="D116" s="1703">
        <v>596601</v>
      </c>
      <c r="E116" s="1703">
        <v>41753</v>
      </c>
      <c r="F116" s="1703">
        <v>660</v>
      </c>
      <c r="G116" s="1703">
        <v>516785</v>
      </c>
      <c r="H116" s="1703">
        <f t="shared" si="6"/>
        <v>1155799</v>
      </c>
      <c r="I116" s="1702">
        <f t="shared" si="7"/>
        <v>857168.5</v>
      </c>
      <c r="J116" s="1702">
        <f t="shared" si="8"/>
        <v>298630.5</v>
      </c>
      <c r="K116" s="1701">
        <f t="shared" si="5"/>
        <v>1155799</v>
      </c>
    </row>
    <row r="117" spans="1:11" ht="15" x14ac:dyDescent="0.25">
      <c r="A117" s="1128" t="s">
        <v>180</v>
      </c>
      <c r="B117" s="1129" t="s">
        <v>181</v>
      </c>
      <c r="C117" s="1129" t="s">
        <v>264</v>
      </c>
      <c r="D117" s="1703">
        <v>1491593</v>
      </c>
      <c r="E117" s="1703">
        <v>252421</v>
      </c>
      <c r="F117" s="1703">
        <v>2103</v>
      </c>
      <c r="G117" s="1703">
        <v>766081</v>
      </c>
      <c r="H117" s="1703">
        <f t="shared" si="6"/>
        <v>2512198</v>
      </c>
      <c r="I117" s="1702">
        <f t="shared" si="7"/>
        <v>1765350</v>
      </c>
      <c r="J117" s="1702">
        <f t="shared" si="8"/>
        <v>746848</v>
      </c>
      <c r="K117" s="1701">
        <f t="shared" si="5"/>
        <v>2512198</v>
      </c>
    </row>
    <row r="118" spans="1:11" ht="15" x14ac:dyDescent="0.25">
      <c r="A118" s="1128" t="s">
        <v>192</v>
      </c>
      <c r="B118" s="1129" t="s">
        <v>193</v>
      </c>
      <c r="C118" s="1129" t="s">
        <v>268</v>
      </c>
      <c r="D118" s="1703">
        <v>77027</v>
      </c>
      <c r="E118" s="1703">
        <v>6941</v>
      </c>
      <c r="F118" s="1703">
        <v>0</v>
      </c>
      <c r="G118" s="1703">
        <v>41836</v>
      </c>
      <c r="H118" s="1703">
        <f t="shared" si="6"/>
        <v>125804</v>
      </c>
      <c r="I118" s="1702">
        <f t="shared" si="7"/>
        <v>87290.5</v>
      </c>
      <c r="J118" s="1702">
        <f t="shared" si="8"/>
        <v>38513.5</v>
      </c>
      <c r="K118" s="1701">
        <f t="shared" si="5"/>
        <v>125804</v>
      </c>
    </row>
    <row r="119" spans="1:11" ht="15" x14ac:dyDescent="0.25">
      <c r="A119" s="1128" t="s">
        <v>196</v>
      </c>
      <c r="B119" s="1129" t="s">
        <v>312</v>
      </c>
      <c r="C119" s="1129" t="s">
        <v>266</v>
      </c>
      <c r="D119" s="1703">
        <v>4086852</v>
      </c>
      <c r="E119" s="1703">
        <v>136029</v>
      </c>
      <c r="F119" s="1703">
        <v>92</v>
      </c>
      <c r="G119" s="1703">
        <v>2272299</v>
      </c>
      <c r="H119" s="1703">
        <f t="shared" si="6"/>
        <v>6495272</v>
      </c>
      <c r="I119" s="1702">
        <f t="shared" si="7"/>
        <v>4451800</v>
      </c>
      <c r="J119" s="1702">
        <f t="shared" si="8"/>
        <v>2043472</v>
      </c>
      <c r="K119" s="1701">
        <f t="shared" si="5"/>
        <v>6495272</v>
      </c>
    </row>
    <row r="120" spans="1:11" ht="15" x14ac:dyDescent="0.25">
      <c r="A120" s="1128" t="s">
        <v>200</v>
      </c>
      <c r="B120" s="1129" t="s">
        <v>313</v>
      </c>
      <c r="C120" s="1129" t="s">
        <v>265</v>
      </c>
      <c r="D120" s="1703">
        <v>1966555</v>
      </c>
      <c r="E120" s="1703">
        <v>352041</v>
      </c>
      <c r="F120" s="1703">
        <v>5533</v>
      </c>
      <c r="G120" s="1703">
        <v>1517788</v>
      </c>
      <c r="H120" s="1703">
        <f t="shared" si="6"/>
        <v>3841917</v>
      </c>
      <c r="I120" s="1702">
        <f t="shared" si="7"/>
        <v>2855873</v>
      </c>
      <c r="J120" s="1702">
        <f t="shared" si="8"/>
        <v>986044</v>
      </c>
      <c r="K120" s="1701">
        <f t="shared" si="5"/>
        <v>3841917</v>
      </c>
    </row>
    <row r="121" spans="1:11" ht="15" x14ac:dyDescent="0.25">
      <c r="A121" s="1128" t="s">
        <v>222</v>
      </c>
      <c r="B121" s="1129" t="s">
        <v>223</v>
      </c>
      <c r="C121" s="1129" t="s">
        <v>264</v>
      </c>
      <c r="D121" s="1703">
        <v>232145</v>
      </c>
      <c r="E121" s="1703">
        <v>26878</v>
      </c>
      <c r="F121" s="1703">
        <v>0</v>
      </c>
      <c r="G121" s="1703">
        <v>497365</v>
      </c>
      <c r="H121" s="1703">
        <f t="shared" si="6"/>
        <v>756388</v>
      </c>
      <c r="I121" s="1702">
        <f t="shared" si="7"/>
        <v>640315.5</v>
      </c>
      <c r="J121" s="1702">
        <f t="shared" si="8"/>
        <v>116072.5</v>
      </c>
      <c r="K121" s="1701">
        <f t="shared" si="5"/>
        <v>756388</v>
      </c>
    </row>
    <row r="122" spans="1:11" ht="15" x14ac:dyDescent="0.25">
      <c r="A122" s="1128" t="s">
        <v>230</v>
      </c>
      <c r="B122" s="1129" t="s">
        <v>231</v>
      </c>
      <c r="C122" s="1129" t="s">
        <v>264</v>
      </c>
      <c r="D122" s="1703">
        <v>1878791</v>
      </c>
      <c r="E122" s="1703">
        <v>19790</v>
      </c>
      <c r="F122" s="1703">
        <v>1711</v>
      </c>
      <c r="G122" s="1703">
        <v>5788474</v>
      </c>
      <c r="H122" s="1703">
        <f t="shared" si="6"/>
        <v>7688766</v>
      </c>
      <c r="I122" s="1702">
        <f t="shared" si="7"/>
        <v>6748515</v>
      </c>
      <c r="J122" s="1702">
        <f t="shared" si="8"/>
        <v>940251</v>
      </c>
      <c r="K122" s="1701">
        <f t="shared" si="5"/>
        <v>7688766</v>
      </c>
    </row>
    <row r="123" spans="1:11" ht="15" x14ac:dyDescent="0.25">
      <c r="A123" s="1128" t="s">
        <v>238</v>
      </c>
      <c r="B123" s="1129" t="s">
        <v>239</v>
      </c>
      <c r="C123" s="1129" t="s">
        <v>264</v>
      </c>
      <c r="D123" s="1703">
        <v>67643</v>
      </c>
      <c r="E123" s="1703">
        <v>22888</v>
      </c>
      <c r="F123" s="1703">
        <v>0</v>
      </c>
      <c r="G123" s="1703">
        <v>135370</v>
      </c>
      <c r="H123" s="1703">
        <f t="shared" si="6"/>
        <v>225901</v>
      </c>
      <c r="I123" s="1702">
        <f t="shared" si="7"/>
        <v>192079.5</v>
      </c>
      <c r="J123" s="1702">
        <f t="shared" si="8"/>
        <v>33821.5</v>
      </c>
      <c r="K123" s="1701">
        <f t="shared" si="5"/>
        <v>225901</v>
      </c>
    </row>
    <row r="124" spans="1:11" ht="15" x14ac:dyDescent="0.25">
      <c r="A124" s="1128" t="s">
        <v>240</v>
      </c>
      <c r="B124" s="1129" t="s">
        <v>241</v>
      </c>
      <c r="C124" s="1129" t="s">
        <v>267</v>
      </c>
      <c r="D124" s="1703">
        <v>205174</v>
      </c>
      <c r="E124" s="1703">
        <v>5933</v>
      </c>
      <c r="F124" s="1703">
        <v>0</v>
      </c>
      <c r="G124" s="1703">
        <v>237852</v>
      </c>
      <c r="H124" s="1703">
        <f t="shared" si="6"/>
        <v>448959</v>
      </c>
      <c r="I124" s="1702">
        <f t="shared" si="7"/>
        <v>346372</v>
      </c>
      <c r="J124" s="1702">
        <f t="shared" si="8"/>
        <v>102587</v>
      </c>
      <c r="K124" s="1701">
        <f t="shared" si="5"/>
        <v>448959</v>
      </c>
    </row>
    <row r="126" spans="1:11" ht="15" x14ac:dyDescent="0.25">
      <c r="A126" s="1537" t="s">
        <v>266</v>
      </c>
      <c r="D126" s="1535">
        <f t="shared" ref="D126" si="9">D8+D19+D21+D23+D25+D29+D32+D36+D41+D46+D47+D52+D54+D55+D59+D63+D66+D68+D69+D74+D75+D80+D96+D109+D116+D119</f>
        <v>12112370</v>
      </c>
      <c r="E126" s="1535">
        <f t="shared" ref="E126:F126" si="10">E8+E19+E21+E23+E25+E29+E32+E36+E41+E46+E47+E52+E54+E55+E59+E63+E66+E68+E69+E74+E75+E80+E96+E109+E116+E119</f>
        <v>841050</v>
      </c>
      <c r="F126" s="1535">
        <f t="shared" si="10"/>
        <v>6420</v>
      </c>
      <c r="G126" s="1535">
        <f t="shared" ref="G126" si="11">G8+G19+G21+G23+G25+G29+G32+G36+G41+G46+G47+G52+G54+G55+G59+G63+G66+G68+G69+G74+G75+G80+G96+G109+G116+G119</f>
        <v>9289535</v>
      </c>
      <c r="H126" s="1703">
        <f t="shared" si="6"/>
        <v>22249375</v>
      </c>
      <c r="I126" s="1702">
        <f t="shared" ref="I126" si="12">(D126*0.5)+E126+(F126*0.5)+G126</f>
        <v>16189980</v>
      </c>
      <c r="J126" s="1702">
        <f t="shared" ref="J126" si="13">(D126*0.5)+(F126*0.5)</f>
        <v>6059395</v>
      </c>
      <c r="K126" s="1701">
        <f t="shared" si="5"/>
        <v>22249375</v>
      </c>
    </row>
    <row r="127" spans="1:11" ht="15" x14ac:dyDescent="0.25">
      <c r="A127" s="1537" t="s">
        <v>264</v>
      </c>
      <c r="D127" s="1535">
        <f t="shared" ref="D127" si="14">D5+D17+D31+D40+D44+D50+D51+D61+D67+D76+D88+D91+D92+D99+D103+D105+D108+D113+D114+D117+D121+D122+D123</f>
        <v>14682692</v>
      </c>
      <c r="E127" s="1535">
        <f t="shared" ref="E127:F127" si="15">E5+E17+E31+E40+E44+E50+E51+E61+E67+E76+E88+E91+E92+E99+E103+E105+E108+E113+E114+E117+E121+E122+E123</f>
        <v>926084</v>
      </c>
      <c r="F127" s="1535">
        <f t="shared" si="15"/>
        <v>9765</v>
      </c>
      <c r="G127" s="1535">
        <f t="shared" ref="G127" si="16">G5+G17+G31+G40+G44+G50+G51+G61+G67+G76+G88+G91+G92+G99+G103+G105+G108+G113+G114+G117+G121+G122+G123</f>
        <v>18028461.91</v>
      </c>
      <c r="H127" s="1703">
        <f t="shared" ref="H127:H131" si="17">SUM(D127:G127)</f>
        <v>33647002.909999996</v>
      </c>
      <c r="I127" s="1702">
        <f t="shared" ref="I127:I130" si="18">(D127*0.5)+E127+(F127*0.5)+G127</f>
        <v>26300774.41</v>
      </c>
      <c r="J127" s="1702">
        <f t="shared" ref="J127:J130" si="19">(D127*0.5)+(F127*0.5)</f>
        <v>7346228.5</v>
      </c>
      <c r="K127" s="1701">
        <f t="shared" ref="K127:K131" si="20">I127+J127</f>
        <v>33647002.909999996</v>
      </c>
    </row>
    <row r="128" spans="1:11" ht="15" x14ac:dyDescent="0.25">
      <c r="A128" s="1537" t="s">
        <v>267</v>
      </c>
      <c r="D128" s="1535">
        <f t="shared" ref="D128" si="21">D11+D26+D28+D33+D34+D38+D43+D53+D57+D58+D60+D70+D71+D77+D79+D83+D86+D89+D90+D94+D100+D106+D111+D112+D124</f>
        <v>18026210.550000001</v>
      </c>
      <c r="E128" s="1535">
        <f t="shared" ref="E128:F128" si="22">E11+E26+E28+E33+E34+E38+E43+E53+E57+E58+E60+E70+E71+E77+E79+E83+E86+E89+E90+E94+E100+E106+E111+E112+E124</f>
        <v>5004786</v>
      </c>
      <c r="F128" s="1535">
        <f t="shared" si="22"/>
        <v>24534</v>
      </c>
      <c r="G128" s="1535">
        <f t="shared" ref="G128" si="23">G11+G26+G28+G33+G34+G38+G43+G53+G57+G58+G60+G70+G71+G77+G79+G83+G86+G89+G90+G94+G100+G106+G111+G112+G124</f>
        <v>31745599.100000001</v>
      </c>
      <c r="H128" s="1703">
        <f t="shared" si="17"/>
        <v>54801129.650000006</v>
      </c>
      <c r="I128" s="1702">
        <f t="shared" si="18"/>
        <v>45775757.375</v>
      </c>
      <c r="J128" s="1702">
        <f t="shared" si="19"/>
        <v>9025372.2750000004</v>
      </c>
      <c r="K128" s="1701">
        <f t="shared" si="20"/>
        <v>54801129.649999999</v>
      </c>
    </row>
    <row r="129" spans="1:11" ht="15" x14ac:dyDescent="0.25">
      <c r="A129" s="1537" t="s">
        <v>265</v>
      </c>
      <c r="D129" s="1535">
        <f t="shared" ref="D129" si="24">D6+D7+D9+D10+D12+D13+D14+D16+D20+D24+D27+D37+D45+D48+D49+D62+D65+D73+D81+D82+D102+D104+D110+D120</f>
        <v>6239053</v>
      </c>
      <c r="E129" s="1535">
        <f t="shared" ref="E129:F129" si="25">E6+E7+E9+E10+E12+E13+E14+E16+E20+E24+E27+E37+E45+E48+E49+E62+E65+E73+E81+E82+E102+E104+E110+E120</f>
        <v>627531</v>
      </c>
      <c r="F129" s="1535">
        <f t="shared" si="25"/>
        <v>11622</v>
      </c>
      <c r="G129" s="1535">
        <f t="shared" ref="G129" si="26">G6+G7+G9+G10+G12+G13+G14+G16+G20+G24+G27+G37+G45+G48+G49+G62+G65+G73+G81+G82+G102+G104+G110+G120</f>
        <v>8338767</v>
      </c>
      <c r="H129" s="1703">
        <f t="shared" si="17"/>
        <v>15216973</v>
      </c>
      <c r="I129" s="1702">
        <f t="shared" si="18"/>
        <v>12091635.5</v>
      </c>
      <c r="J129" s="1702">
        <f t="shared" si="19"/>
        <v>3125337.5</v>
      </c>
      <c r="K129" s="1701">
        <f t="shared" si="20"/>
        <v>15216973</v>
      </c>
    </row>
    <row r="130" spans="1:11" ht="15" x14ac:dyDescent="0.25">
      <c r="A130" s="1537" t="s">
        <v>268</v>
      </c>
      <c r="D130" s="1535">
        <f t="shared" ref="D130" si="27">D15+D18+D22+D30+D35+D39+D42+D56+D64+D72+D78+D84+D85+D87+D93+D95+D97+D98+D101+D107+D115+D118</f>
        <v>1560190</v>
      </c>
      <c r="E130" s="1535">
        <f t="shared" ref="E130:F130" si="28">E15+E18+E22+E30+E35+E39+E42+E56+E64+E72+E78+E84+E85+E87+E93+E95+E97+E98+E101+E107+E115+E118</f>
        <v>107508</v>
      </c>
      <c r="F130" s="1535">
        <f t="shared" si="28"/>
        <v>400</v>
      </c>
      <c r="G130" s="1535">
        <f t="shared" ref="G130" si="29">G15+G18+G22+G30+G35+G39+G42+G56+G64+G72+G78+G84+G85+G87+G93+G95+G97+G98+G101+G107+G115+G118</f>
        <v>2165073</v>
      </c>
      <c r="H130" s="1703">
        <f t="shared" si="17"/>
        <v>3833171</v>
      </c>
      <c r="I130" s="1702">
        <f t="shared" si="18"/>
        <v>3052876</v>
      </c>
      <c r="J130" s="1702">
        <f t="shared" si="19"/>
        <v>780295</v>
      </c>
      <c r="K130" s="1701">
        <f t="shared" si="20"/>
        <v>3833171</v>
      </c>
    </row>
    <row r="131" spans="1:11" ht="15" x14ac:dyDescent="0.25">
      <c r="A131" s="1537" t="s">
        <v>9</v>
      </c>
      <c r="D131" s="1538">
        <f t="shared" ref="D131" si="30">SUM(D126:D130)</f>
        <v>52620515.549999997</v>
      </c>
      <c r="E131" s="1538">
        <f t="shared" ref="E131:F131" si="31">SUM(E126:E130)</f>
        <v>7506959</v>
      </c>
      <c r="F131" s="1538">
        <f t="shared" si="31"/>
        <v>52741</v>
      </c>
      <c r="G131" s="1538">
        <f t="shared" ref="G131" si="32">SUM(G126:G130)</f>
        <v>69567436.010000005</v>
      </c>
      <c r="H131" s="1703">
        <f t="shared" si="17"/>
        <v>129747651.56</v>
      </c>
      <c r="I131" s="1702">
        <f t="shared" ref="I131" si="33">(D131*0.5)+E131+(F131*0.5)+G131</f>
        <v>103411023.285</v>
      </c>
      <c r="J131" s="1702">
        <f t="shared" ref="J131" si="34">(D131*0.5)+(F131*0.5)</f>
        <v>26336628.274999999</v>
      </c>
      <c r="K131" s="1701">
        <f t="shared" si="20"/>
        <v>129747651.56</v>
      </c>
    </row>
    <row r="134" spans="1:11" x14ac:dyDescent="0.25">
      <c r="A134" s="394" t="s">
        <v>802</v>
      </c>
      <c r="B134" s="715"/>
    </row>
    <row r="135" spans="1:11" x14ac:dyDescent="0.25">
      <c r="A135" s="394"/>
      <c r="B135" s="394"/>
    </row>
    <row r="136" spans="1:11" x14ac:dyDescent="0.25">
      <c r="A136" s="414" t="s">
        <v>248</v>
      </c>
      <c r="B136" s="414"/>
    </row>
    <row r="137" spans="1:11" x14ac:dyDescent="0.25">
      <c r="A137" s="415" t="s">
        <v>249</v>
      </c>
      <c r="B137" s="416" t="s">
        <v>250</v>
      </c>
    </row>
  </sheetData>
  <autoFilter ref="A3:C124"/>
  <hyperlinks>
    <hyperlink ref="B137"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Y136"/>
  <sheetViews>
    <sheetView workbookViewId="0">
      <pane xSplit="3" ySplit="4" topLeftCell="AU107" activePane="bottomRight" state="frozen"/>
      <selection pane="topRight" activeCell="D1" sqref="D1"/>
      <selection pane="bottomLeft" activeCell="A6" sqref="A6"/>
      <selection pane="bottomRight" activeCell="AZ127" sqref="AZ127"/>
    </sheetView>
  </sheetViews>
  <sheetFormatPr defaultColWidth="13.25" defaultRowHeight="15.75" x14ac:dyDescent="0.25"/>
  <cols>
    <col min="1" max="1" width="13.25" style="270"/>
    <col min="2" max="2" width="35" style="270" customWidth="1"/>
    <col min="3" max="3" width="16.75" style="270" customWidth="1"/>
    <col min="4" max="5" width="13.25" style="270"/>
    <col min="6" max="6" width="15.75" style="270" customWidth="1"/>
    <col min="7" max="9" width="13.25" style="270"/>
    <col min="10" max="11" width="10.75" style="270" customWidth="1"/>
    <col min="12" max="12" width="10.75" style="721" customWidth="1"/>
    <col min="13" max="27" width="13.25" style="721"/>
    <col min="28" max="30" width="11.125" style="721" customWidth="1"/>
    <col min="31" max="51" width="13.25" style="721"/>
    <col min="52" max="16384" width="13.25" style="270"/>
  </cols>
  <sheetData>
    <row r="1" spans="1:51" x14ac:dyDescent="0.25">
      <c r="A1" s="264" t="s">
        <v>1192</v>
      </c>
      <c r="J1" s="807"/>
      <c r="K1" s="807"/>
      <c r="L1" s="807"/>
      <c r="M1" s="807"/>
      <c r="N1" s="807"/>
      <c r="O1" s="807"/>
      <c r="P1" s="807"/>
      <c r="Q1" s="807"/>
      <c r="R1" s="807"/>
      <c r="S1" s="807"/>
      <c r="T1" s="807"/>
      <c r="U1" s="807"/>
      <c r="V1" s="807"/>
      <c r="W1" s="807"/>
      <c r="X1" s="807"/>
      <c r="Y1" s="807"/>
      <c r="Z1" s="807"/>
      <c r="AA1" s="807"/>
      <c r="AB1" s="807"/>
      <c r="AC1" s="807"/>
      <c r="AD1" s="807"/>
      <c r="AE1" s="807"/>
      <c r="AF1" s="807"/>
      <c r="AG1" s="807"/>
      <c r="AH1" s="807"/>
      <c r="AI1" s="807"/>
      <c r="AJ1" s="807"/>
      <c r="AK1" s="807"/>
      <c r="AL1" s="807"/>
      <c r="AM1" s="807"/>
      <c r="AN1" s="807"/>
      <c r="AO1" s="807"/>
      <c r="AP1" s="807"/>
      <c r="AQ1" s="807"/>
      <c r="AR1" s="807"/>
      <c r="AS1" s="807"/>
      <c r="AT1" s="807"/>
      <c r="AU1" s="807"/>
      <c r="AV1" s="807"/>
      <c r="AW1" s="807"/>
      <c r="AX1" s="807"/>
      <c r="AY1" s="807"/>
    </row>
    <row r="2" spans="1:51" x14ac:dyDescent="0.25">
      <c r="B2" s="808"/>
      <c r="C2" s="912"/>
      <c r="J2" s="807"/>
      <c r="K2" s="807"/>
      <c r="L2" s="807"/>
      <c r="M2" s="807"/>
      <c r="N2" s="807"/>
      <c r="O2" s="807"/>
      <c r="P2" s="807"/>
      <c r="Q2" s="807"/>
      <c r="R2" s="807"/>
      <c r="S2" s="807"/>
      <c r="T2" s="807"/>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c r="AT2" s="807"/>
      <c r="AU2" s="807"/>
      <c r="AV2" s="807"/>
      <c r="AW2" s="807"/>
      <c r="AX2" s="807"/>
      <c r="AY2" s="807"/>
    </row>
    <row r="3" spans="1:51" s="721" customFormat="1" ht="30" x14ac:dyDescent="0.25">
      <c r="A3" s="1103" t="s">
        <v>4</v>
      </c>
      <c r="B3" s="1103" t="s">
        <v>5</v>
      </c>
      <c r="C3" s="1104" t="s">
        <v>251</v>
      </c>
      <c r="D3" s="1105" t="s">
        <v>314</v>
      </c>
      <c r="E3" s="1106" t="s">
        <v>315</v>
      </c>
      <c r="F3" s="1106" t="s">
        <v>316</v>
      </c>
      <c r="G3" s="1106" t="s">
        <v>304</v>
      </c>
      <c r="H3" s="1107" t="s">
        <v>971</v>
      </c>
      <c r="I3" s="1410" t="s">
        <v>281</v>
      </c>
      <c r="J3" s="1108" t="s">
        <v>426</v>
      </c>
      <c r="K3" s="1109" t="s">
        <v>427</v>
      </c>
      <c r="L3" s="1109" t="s">
        <v>428</v>
      </c>
      <c r="M3" s="1109" t="s">
        <v>1032</v>
      </c>
      <c r="N3" s="1109" t="s">
        <v>1033</v>
      </c>
      <c r="O3" s="1425" t="s">
        <v>429</v>
      </c>
      <c r="P3" s="1108" t="s">
        <v>412</v>
      </c>
      <c r="Q3" s="1109" t="s">
        <v>413</v>
      </c>
      <c r="R3" s="1109" t="s">
        <v>414</v>
      </c>
      <c r="S3" s="1109" t="s">
        <v>989</v>
      </c>
      <c r="T3" s="1109" t="s">
        <v>1092</v>
      </c>
      <c r="U3" s="1424" t="s">
        <v>415</v>
      </c>
      <c r="V3" s="1446" t="s">
        <v>416</v>
      </c>
      <c r="W3" s="1109" t="s">
        <v>417</v>
      </c>
      <c r="X3" s="1109" t="s">
        <v>418</v>
      </c>
      <c r="Y3" s="1109" t="s">
        <v>984</v>
      </c>
      <c r="Z3" s="1109" t="s">
        <v>1093</v>
      </c>
      <c r="AA3" s="1424" t="s">
        <v>419</v>
      </c>
      <c r="AB3" s="1108" t="s">
        <v>430</v>
      </c>
      <c r="AC3" s="1109" t="s">
        <v>431</v>
      </c>
      <c r="AD3" s="1109" t="s">
        <v>432</v>
      </c>
      <c r="AE3" s="1109" t="s">
        <v>1034</v>
      </c>
      <c r="AF3" s="1109" t="s">
        <v>1035</v>
      </c>
      <c r="AG3" s="1424" t="s">
        <v>433</v>
      </c>
      <c r="AH3" s="1108" t="s">
        <v>434</v>
      </c>
      <c r="AI3" s="1109" t="s">
        <v>435</v>
      </c>
      <c r="AJ3" s="1109" t="s">
        <v>436</v>
      </c>
      <c r="AK3" s="1109" t="s">
        <v>1036</v>
      </c>
      <c r="AL3" s="1109" t="s">
        <v>1037</v>
      </c>
      <c r="AM3" s="1424" t="s">
        <v>437</v>
      </c>
      <c r="AN3" s="1108" t="s">
        <v>420</v>
      </c>
      <c r="AO3" s="1109" t="s">
        <v>421</v>
      </c>
      <c r="AP3" s="1109" t="s">
        <v>422</v>
      </c>
      <c r="AQ3" s="1109" t="s">
        <v>985</v>
      </c>
      <c r="AR3" s="1109" t="s">
        <v>986</v>
      </c>
      <c r="AS3" s="1424" t="s">
        <v>423</v>
      </c>
      <c r="AT3" s="1108" t="s">
        <v>424</v>
      </c>
      <c r="AU3" s="1109" t="s">
        <v>425</v>
      </c>
      <c r="AV3" s="1109" t="s">
        <v>410</v>
      </c>
      <c r="AW3" s="1109" t="s">
        <v>987</v>
      </c>
      <c r="AX3" s="1109" t="s">
        <v>988</v>
      </c>
      <c r="AY3" s="1424" t="s">
        <v>411</v>
      </c>
    </row>
    <row r="4" spans="1:51" s="721" customFormat="1" x14ac:dyDescent="0.25">
      <c r="A4" s="1110">
        <v>999</v>
      </c>
      <c r="B4" s="1110" t="s">
        <v>9</v>
      </c>
      <c r="C4" s="1111"/>
      <c r="D4" s="1407">
        <f t="shared" ref="D4:N4" si="0">SUM(D5:D124)</f>
        <v>3746769.6700000004</v>
      </c>
      <c r="E4" s="1407">
        <f t="shared" si="0"/>
        <v>21498706.400000006</v>
      </c>
      <c r="F4" s="1407">
        <f t="shared" si="0"/>
        <v>5535777.3299999991</v>
      </c>
      <c r="G4" s="1409">
        <f t="shared" si="0"/>
        <v>1360319.3800000004</v>
      </c>
      <c r="H4" s="1409">
        <f t="shared" si="0"/>
        <v>6896096.7099999981</v>
      </c>
      <c r="I4" s="1409">
        <f t="shared" si="0"/>
        <v>32141572.780000005</v>
      </c>
      <c r="J4" s="1407">
        <f t="shared" si="0"/>
        <v>0</v>
      </c>
      <c r="K4" s="1112">
        <f t="shared" si="0"/>
        <v>21251695.339999996</v>
      </c>
      <c r="L4" s="1112">
        <f t="shared" si="0"/>
        <v>5312923.8199999994</v>
      </c>
      <c r="M4" s="1112">
        <f t="shared" si="0"/>
        <v>-12</v>
      </c>
      <c r="N4" s="1112">
        <f t="shared" si="0"/>
        <v>1599</v>
      </c>
      <c r="O4" s="1113">
        <f t="shared" ref="O4:AM4" si="1">SUM(O5:O124)</f>
        <v>26566206.16</v>
      </c>
      <c r="P4" s="1447">
        <f t="shared" si="1"/>
        <v>-116742.38000000002</v>
      </c>
      <c r="Q4" s="1445">
        <f t="shared" si="1"/>
        <v>-112164.36999999998</v>
      </c>
      <c r="R4" s="1445">
        <f t="shared" si="1"/>
        <v>0</v>
      </c>
      <c r="S4" s="1445">
        <f t="shared" si="1"/>
        <v>1660.6300000000017</v>
      </c>
      <c r="T4" s="1445">
        <f t="shared" si="1"/>
        <v>0</v>
      </c>
      <c r="U4" s="1448">
        <f t="shared" si="1"/>
        <v>-227246.12</v>
      </c>
      <c r="V4" s="1448">
        <f t="shared" si="1"/>
        <v>2110.65</v>
      </c>
      <c r="W4" s="1448">
        <f t="shared" si="1"/>
        <v>2027.8799999999999</v>
      </c>
      <c r="X4" s="1448">
        <f t="shared" si="1"/>
        <v>0</v>
      </c>
      <c r="Y4" s="1448">
        <f t="shared" si="1"/>
        <v>1428.86</v>
      </c>
      <c r="Z4" s="1448">
        <f t="shared" si="1"/>
        <v>0</v>
      </c>
      <c r="AA4" s="1448">
        <f t="shared" si="1"/>
        <v>5567.3899999999994</v>
      </c>
      <c r="AB4" s="1426">
        <f t="shared" si="1"/>
        <v>0</v>
      </c>
      <c r="AC4" s="1115">
        <f t="shared" si="1"/>
        <v>371422.36000000004</v>
      </c>
      <c r="AD4" s="1115">
        <f t="shared" si="1"/>
        <v>222853.51000000004</v>
      </c>
      <c r="AE4" s="1115">
        <f t="shared" si="1"/>
        <v>1284721.54</v>
      </c>
      <c r="AF4" s="1115">
        <f t="shared" si="1"/>
        <v>62438.29</v>
      </c>
      <c r="AG4" s="1116">
        <f t="shared" si="1"/>
        <v>1941435.7</v>
      </c>
      <c r="AH4" s="1114">
        <f t="shared" si="1"/>
        <v>944191.4</v>
      </c>
      <c r="AI4" s="1427">
        <f t="shared" si="1"/>
        <v>0</v>
      </c>
      <c r="AJ4" s="1427">
        <f t="shared" si="1"/>
        <v>0</v>
      </c>
      <c r="AK4" s="1115">
        <f t="shared" si="1"/>
        <v>0</v>
      </c>
      <c r="AL4" s="1115">
        <f t="shared" si="1"/>
        <v>0</v>
      </c>
      <c r="AM4" s="1116">
        <f t="shared" si="1"/>
        <v>944191.4</v>
      </c>
      <c r="AN4" s="1455">
        <f t="shared" ref="AN4:AS4" si="2">SUM(AN5:AN124)</f>
        <v>0</v>
      </c>
      <c r="AO4" s="1456">
        <f t="shared" si="2"/>
        <v>-15684.809999999998</v>
      </c>
      <c r="AP4" s="1456">
        <f t="shared" si="2"/>
        <v>0</v>
      </c>
      <c r="AQ4" s="1456">
        <f t="shared" si="2"/>
        <v>8149.09</v>
      </c>
      <c r="AR4" s="1456">
        <f t="shared" si="2"/>
        <v>0</v>
      </c>
      <c r="AS4" s="1116">
        <f t="shared" si="2"/>
        <v>-7535.7199999999993</v>
      </c>
      <c r="AT4" s="1455">
        <f t="shared" ref="AT4:AY4" si="3">SUM(AT5:AT124)</f>
        <v>2917210</v>
      </c>
      <c r="AU4" s="1456">
        <f t="shared" si="3"/>
        <v>1410</v>
      </c>
      <c r="AV4" s="1456">
        <f t="shared" si="3"/>
        <v>0</v>
      </c>
      <c r="AW4" s="1456">
        <f t="shared" si="3"/>
        <v>333.97</v>
      </c>
      <c r="AX4" s="1456">
        <f t="shared" si="3"/>
        <v>0</v>
      </c>
      <c r="AY4" s="1116">
        <f t="shared" si="3"/>
        <v>2918953.97</v>
      </c>
    </row>
    <row r="5" spans="1:51" s="837" customFormat="1" x14ac:dyDescent="0.25">
      <c r="A5" s="1117" t="s">
        <v>10</v>
      </c>
      <c r="B5" s="1117" t="s">
        <v>11</v>
      </c>
      <c r="C5" s="1061" t="s">
        <v>264</v>
      </c>
      <c r="D5" s="1406">
        <f>J5+P5+V5+AB5+AH5+AN5+AT5</f>
        <v>-2284.42</v>
      </c>
      <c r="E5" s="1406">
        <f>K5+Q5+W5+AC5+AI5+AO5+AU5</f>
        <v>146040.34000000003</v>
      </c>
      <c r="F5" s="1406">
        <f>L5+R5+X5+AD5+AJ5+AP5+AV5</f>
        <v>37058.800000000003</v>
      </c>
      <c r="G5" s="1408">
        <f>M5+N5+S5+T5+Y5+Z5+AE5+AF5+AK5+AL5+AQ5+AR5+AW5+AX5</f>
        <v>0</v>
      </c>
      <c r="H5" s="1411">
        <f>F5+G5</f>
        <v>37058.800000000003</v>
      </c>
      <c r="I5" s="1412">
        <f>SUM(D5:G5)</f>
        <v>180814.72000000003</v>
      </c>
      <c r="J5" s="1118">
        <v>0</v>
      </c>
      <c r="K5" s="1118">
        <v>148235.20000000001</v>
      </c>
      <c r="L5" s="1118">
        <v>37058.800000000003</v>
      </c>
      <c r="M5" s="1118">
        <v>0</v>
      </c>
      <c r="N5" s="1118">
        <v>0</v>
      </c>
      <c r="O5" s="1119">
        <f>SUM(J5:N5)</f>
        <v>185294</v>
      </c>
      <c r="P5" s="1449">
        <v>-2284.42</v>
      </c>
      <c r="Q5" s="1444">
        <v>-2194.86</v>
      </c>
      <c r="R5" s="1444">
        <v>0</v>
      </c>
      <c r="S5" s="1444">
        <v>0</v>
      </c>
      <c r="T5" s="1444">
        <v>0</v>
      </c>
      <c r="U5" s="1450">
        <f>SUM(P5:T5)</f>
        <v>-4479.2800000000007</v>
      </c>
      <c r="V5" s="1444"/>
      <c r="W5" s="1444"/>
      <c r="X5" s="1444"/>
      <c r="Y5" s="1444"/>
      <c r="Z5" s="1444"/>
      <c r="AA5" s="1444">
        <f>SUM(V5:Z5)</f>
        <v>0</v>
      </c>
      <c r="AB5" s="1097"/>
      <c r="AC5" s="1098"/>
      <c r="AD5" s="1098"/>
      <c r="AE5" s="1098"/>
      <c r="AF5" s="1098"/>
      <c r="AG5" s="1099">
        <f>SUM(AB5:AF5)</f>
        <v>0</v>
      </c>
      <c r="AH5" s="1100"/>
      <c r="AI5" s="1101"/>
      <c r="AJ5" s="1101"/>
      <c r="AK5" s="1101"/>
      <c r="AL5" s="1101"/>
      <c r="AM5" s="1102">
        <f>SUM(AH5:AL5)</f>
        <v>0</v>
      </c>
      <c r="AN5" s="1100"/>
      <c r="AO5" s="1101"/>
      <c r="AP5" s="1101"/>
      <c r="AQ5" s="1101"/>
      <c r="AR5" s="1101"/>
      <c r="AS5" s="1102">
        <f>SUM(AN5:AR5)</f>
        <v>0</v>
      </c>
      <c r="AT5" s="1100"/>
      <c r="AU5" s="1101"/>
      <c r="AV5" s="1101"/>
      <c r="AW5" s="1101"/>
      <c r="AX5" s="1101"/>
      <c r="AY5" s="1102">
        <f>SUM(AT5:AX5)</f>
        <v>0</v>
      </c>
    </row>
    <row r="6" spans="1:51" s="837" customFormat="1" x14ac:dyDescent="0.25">
      <c r="A6" s="1117" t="s">
        <v>12</v>
      </c>
      <c r="B6" s="1117" t="s">
        <v>13</v>
      </c>
      <c r="C6" s="1061" t="s">
        <v>265</v>
      </c>
      <c r="D6" s="1406">
        <f t="shared" ref="D6:D69" si="4">J6+P6+V6+AB6+AH6+AN6+AT6</f>
        <v>16902</v>
      </c>
      <c r="E6" s="1406">
        <f t="shared" ref="E6:E69" si="5">K6+Q6+W6+AC6+AI6+AO6+AU6</f>
        <v>136953.35999999999</v>
      </c>
      <c r="F6" s="1406">
        <f t="shared" ref="F6:F69" si="6">L6+R6+X6+AD6+AJ6+AP6+AV6</f>
        <v>34823.759999999995</v>
      </c>
      <c r="G6" s="1408">
        <f t="shared" ref="G6:G69" si="7">M6+N6+S6+T6+Y6+Z6+AE6+AF6+AK6+AL6+AQ6+AR6+AW6+AX6</f>
        <v>-0.12</v>
      </c>
      <c r="H6" s="1411">
        <f t="shared" ref="H6:H69" si="8">F6+G6</f>
        <v>34823.639999999992</v>
      </c>
      <c r="I6" s="1412">
        <f t="shared" ref="I6:I69" si="9">SUM(D6:G6)</f>
        <v>188679</v>
      </c>
      <c r="J6" s="1118">
        <v>0</v>
      </c>
      <c r="K6" s="1118">
        <v>136468.79999999999</v>
      </c>
      <c r="L6" s="1118">
        <v>34117.199999999997</v>
      </c>
      <c r="M6" s="1118">
        <v>0</v>
      </c>
      <c r="N6" s="1118">
        <v>0</v>
      </c>
      <c r="O6" s="1119">
        <f t="shared" ref="O6:O69" si="10">SUM(J6:N6)</f>
        <v>170586</v>
      </c>
      <c r="P6" s="1451"/>
      <c r="Q6" s="1444"/>
      <c r="R6" s="1444"/>
      <c r="S6" s="1444"/>
      <c r="T6" s="1444"/>
      <c r="U6" s="1450">
        <f t="shared" ref="U6:U69" si="11">SUM(P6:T6)</f>
        <v>0</v>
      </c>
      <c r="V6" s="1444"/>
      <c r="W6" s="1444"/>
      <c r="X6" s="1444"/>
      <c r="Y6" s="1444"/>
      <c r="Z6" s="1444"/>
      <c r="AA6" s="1444">
        <f t="shared" ref="AA6:AA69" si="12">SUM(V6:Z6)</f>
        <v>0</v>
      </c>
      <c r="AB6" s="1100">
        <v>0</v>
      </c>
      <c r="AC6" s="1101">
        <v>1177.56</v>
      </c>
      <c r="AD6" s="1101">
        <v>706.56</v>
      </c>
      <c r="AE6" s="1101">
        <v>-0.12</v>
      </c>
      <c r="AF6" s="1101">
        <v>0</v>
      </c>
      <c r="AG6" s="1099">
        <f t="shared" ref="AG6:AG69" si="13">SUM(AB6:AF6)</f>
        <v>1884</v>
      </c>
      <c r="AH6" s="1100">
        <v>16902</v>
      </c>
      <c r="AI6" s="1101">
        <v>0</v>
      </c>
      <c r="AJ6" s="1101">
        <v>0</v>
      </c>
      <c r="AK6" s="1101">
        <v>0</v>
      </c>
      <c r="AL6" s="1101">
        <v>0</v>
      </c>
      <c r="AM6" s="1102">
        <f t="shared" ref="AM6:AM69" si="14">SUM(AH6:AL6)</f>
        <v>16902</v>
      </c>
      <c r="AN6" s="1100">
        <v>0</v>
      </c>
      <c r="AO6" s="1101">
        <v>-693</v>
      </c>
      <c r="AP6" s="1101">
        <v>0</v>
      </c>
      <c r="AQ6" s="1101">
        <v>0</v>
      </c>
      <c r="AR6" s="1101">
        <v>0</v>
      </c>
      <c r="AS6" s="1102">
        <f t="shared" ref="AS6:AS69" si="15">SUM(AN6:AR6)</f>
        <v>-693</v>
      </c>
      <c r="AT6" s="1100"/>
      <c r="AU6" s="1101"/>
      <c r="AV6" s="1101"/>
      <c r="AW6" s="1101"/>
      <c r="AX6" s="1101"/>
      <c r="AY6" s="1102">
        <f t="shared" ref="AY6:AY69" si="16">SUM(AT6:AX6)</f>
        <v>0</v>
      </c>
    </row>
    <row r="7" spans="1:51" s="837" customFormat="1" x14ac:dyDescent="0.25">
      <c r="A7" s="1117" t="s">
        <v>16</v>
      </c>
      <c r="B7" s="1117" t="s">
        <v>297</v>
      </c>
      <c r="C7" s="1061" t="s">
        <v>265</v>
      </c>
      <c r="D7" s="1406">
        <f t="shared" si="4"/>
        <v>-2316.5</v>
      </c>
      <c r="E7" s="1406">
        <f t="shared" si="5"/>
        <v>89061.170000000013</v>
      </c>
      <c r="F7" s="1406">
        <f t="shared" si="6"/>
        <v>22821.7</v>
      </c>
      <c r="G7" s="1408">
        <f t="shared" si="7"/>
        <v>503.28</v>
      </c>
      <c r="H7" s="1411">
        <f t="shared" si="8"/>
        <v>23324.98</v>
      </c>
      <c r="I7" s="1412">
        <f t="shared" si="9"/>
        <v>110069.65000000001</v>
      </c>
      <c r="J7" s="1118">
        <v>0</v>
      </c>
      <c r="K7" s="1118">
        <v>91286.82</v>
      </c>
      <c r="L7" s="1118">
        <v>22821.7</v>
      </c>
      <c r="M7" s="1118">
        <v>0</v>
      </c>
      <c r="N7" s="1118">
        <v>0</v>
      </c>
      <c r="O7" s="1119">
        <f t="shared" si="10"/>
        <v>114108.52</v>
      </c>
      <c r="P7" s="1451">
        <v>-2316.5</v>
      </c>
      <c r="Q7" s="1444">
        <v>-2225.65</v>
      </c>
      <c r="R7" s="1444">
        <v>0</v>
      </c>
      <c r="S7" s="1444">
        <v>503.28</v>
      </c>
      <c r="T7" s="1444">
        <v>0</v>
      </c>
      <c r="U7" s="1450">
        <f t="shared" si="11"/>
        <v>-4038.87</v>
      </c>
      <c r="V7" s="1444"/>
      <c r="W7" s="1444"/>
      <c r="X7" s="1444"/>
      <c r="Y7" s="1444"/>
      <c r="Z7" s="1444"/>
      <c r="AA7" s="1444">
        <f t="shared" si="12"/>
        <v>0</v>
      </c>
      <c r="AB7" s="1097"/>
      <c r="AC7" s="1098"/>
      <c r="AD7" s="1098"/>
      <c r="AE7" s="1098"/>
      <c r="AF7" s="1098"/>
      <c r="AG7" s="1099">
        <f t="shared" si="13"/>
        <v>0</v>
      </c>
      <c r="AH7" s="1097"/>
      <c r="AI7" s="1098"/>
      <c r="AJ7" s="1098"/>
      <c r="AK7" s="1098"/>
      <c r="AL7" s="1098"/>
      <c r="AM7" s="1102">
        <f t="shared" si="14"/>
        <v>0</v>
      </c>
      <c r="AN7" s="1097"/>
      <c r="AO7" s="1098"/>
      <c r="AP7" s="1098"/>
      <c r="AQ7" s="1098"/>
      <c r="AR7" s="1098"/>
      <c r="AS7" s="1102">
        <f t="shared" si="15"/>
        <v>0</v>
      </c>
      <c r="AT7" s="1097"/>
      <c r="AU7" s="1098"/>
      <c r="AV7" s="1098"/>
      <c r="AW7" s="1098"/>
      <c r="AX7" s="1098"/>
      <c r="AY7" s="1102">
        <f t="shared" si="16"/>
        <v>0</v>
      </c>
    </row>
    <row r="8" spans="1:51" s="837" customFormat="1" x14ac:dyDescent="0.25">
      <c r="A8" s="1117" t="s">
        <v>18</v>
      </c>
      <c r="B8" s="1117" t="s">
        <v>19</v>
      </c>
      <c r="C8" s="1061" t="s">
        <v>266</v>
      </c>
      <c r="D8" s="1406">
        <f t="shared" si="4"/>
        <v>0</v>
      </c>
      <c r="E8" s="1406">
        <f t="shared" si="5"/>
        <v>72191.87</v>
      </c>
      <c r="F8" s="1406">
        <f t="shared" si="6"/>
        <v>18047.97</v>
      </c>
      <c r="G8" s="1408">
        <f t="shared" si="7"/>
        <v>0</v>
      </c>
      <c r="H8" s="1411">
        <f t="shared" si="8"/>
        <v>18047.97</v>
      </c>
      <c r="I8" s="1412">
        <f t="shared" si="9"/>
        <v>90239.84</v>
      </c>
      <c r="J8" s="1118">
        <v>0</v>
      </c>
      <c r="K8" s="1118">
        <v>72191.87</v>
      </c>
      <c r="L8" s="1118">
        <v>18047.97</v>
      </c>
      <c r="M8" s="1118">
        <v>0</v>
      </c>
      <c r="N8" s="1118">
        <v>0</v>
      </c>
      <c r="O8" s="1119">
        <f t="shared" si="10"/>
        <v>90239.84</v>
      </c>
      <c r="P8" s="1451"/>
      <c r="Q8" s="1444"/>
      <c r="R8" s="1444"/>
      <c r="S8" s="1444"/>
      <c r="T8" s="1444"/>
      <c r="U8" s="1450">
        <f t="shared" si="11"/>
        <v>0</v>
      </c>
      <c r="V8" s="1444"/>
      <c r="W8" s="1444"/>
      <c r="X8" s="1444"/>
      <c r="Y8" s="1444"/>
      <c r="Z8" s="1444"/>
      <c r="AA8" s="1444">
        <f t="shared" si="12"/>
        <v>0</v>
      </c>
      <c r="AB8" s="1097"/>
      <c r="AC8" s="1098"/>
      <c r="AD8" s="1098"/>
      <c r="AE8" s="1098"/>
      <c r="AF8" s="1098"/>
      <c r="AG8" s="1099">
        <f t="shared" si="13"/>
        <v>0</v>
      </c>
      <c r="AH8" s="1097"/>
      <c r="AI8" s="1098"/>
      <c r="AJ8" s="1098"/>
      <c r="AK8" s="1098"/>
      <c r="AL8" s="1098"/>
      <c r="AM8" s="1102">
        <f t="shared" si="14"/>
        <v>0</v>
      </c>
      <c r="AN8" s="1097"/>
      <c r="AO8" s="1098"/>
      <c r="AP8" s="1098"/>
      <c r="AQ8" s="1098"/>
      <c r="AR8" s="1098"/>
      <c r="AS8" s="1102">
        <f t="shared" si="15"/>
        <v>0</v>
      </c>
      <c r="AT8" s="1097"/>
      <c r="AU8" s="1098"/>
      <c r="AV8" s="1098"/>
      <c r="AW8" s="1098"/>
      <c r="AX8" s="1098"/>
      <c r="AY8" s="1102">
        <f t="shared" si="16"/>
        <v>0</v>
      </c>
    </row>
    <row r="9" spans="1:51" s="837" customFormat="1" x14ac:dyDescent="0.25">
      <c r="A9" s="1117" t="s">
        <v>20</v>
      </c>
      <c r="B9" s="1117" t="s">
        <v>21</v>
      </c>
      <c r="C9" s="1061" t="s">
        <v>265</v>
      </c>
      <c r="D9" s="1406">
        <f t="shared" si="4"/>
        <v>-40.799999999999997</v>
      </c>
      <c r="E9" s="1406">
        <f t="shared" si="5"/>
        <v>121594.40000000001</v>
      </c>
      <c r="F9" s="1406">
        <f t="shared" si="6"/>
        <v>30408.400000000001</v>
      </c>
      <c r="G9" s="1408">
        <f t="shared" si="7"/>
        <v>0</v>
      </c>
      <c r="H9" s="1411">
        <f t="shared" si="8"/>
        <v>30408.400000000001</v>
      </c>
      <c r="I9" s="1412">
        <f t="shared" si="9"/>
        <v>151962</v>
      </c>
      <c r="J9" s="1118">
        <v>0</v>
      </c>
      <c r="K9" s="1118">
        <v>121633.60000000001</v>
      </c>
      <c r="L9" s="1118">
        <v>30408.400000000001</v>
      </c>
      <c r="M9" s="1118">
        <v>0</v>
      </c>
      <c r="N9" s="1118">
        <v>0</v>
      </c>
      <c r="O9" s="1119">
        <f t="shared" si="10"/>
        <v>152042</v>
      </c>
      <c r="P9" s="1451">
        <v>-40.799999999999997</v>
      </c>
      <c r="Q9" s="1444">
        <v>-39.200000000000003</v>
      </c>
      <c r="R9" s="1444">
        <v>0</v>
      </c>
      <c r="S9" s="1444">
        <v>0</v>
      </c>
      <c r="T9" s="1444">
        <v>0</v>
      </c>
      <c r="U9" s="1450">
        <f t="shared" si="11"/>
        <v>-80</v>
      </c>
      <c r="V9" s="1444"/>
      <c r="W9" s="1444"/>
      <c r="X9" s="1444"/>
      <c r="Y9" s="1444"/>
      <c r="Z9" s="1444"/>
      <c r="AA9" s="1444">
        <f t="shared" si="12"/>
        <v>0</v>
      </c>
      <c r="AB9" s="1097"/>
      <c r="AC9" s="1098"/>
      <c r="AD9" s="1098"/>
      <c r="AE9" s="1098"/>
      <c r="AF9" s="1098"/>
      <c r="AG9" s="1099">
        <f t="shared" si="13"/>
        <v>0</v>
      </c>
      <c r="AH9" s="1097"/>
      <c r="AI9" s="1098"/>
      <c r="AJ9" s="1098"/>
      <c r="AK9" s="1098"/>
      <c r="AL9" s="1098"/>
      <c r="AM9" s="1102">
        <f t="shared" si="14"/>
        <v>0</v>
      </c>
      <c r="AN9" s="1097"/>
      <c r="AO9" s="1098"/>
      <c r="AP9" s="1098"/>
      <c r="AQ9" s="1098"/>
      <c r="AR9" s="1098"/>
      <c r="AS9" s="1102">
        <f t="shared" si="15"/>
        <v>0</v>
      </c>
      <c r="AT9" s="1097"/>
      <c r="AU9" s="1098"/>
      <c r="AV9" s="1098"/>
      <c r="AW9" s="1098"/>
      <c r="AX9" s="1098"/>
      <c r="AY9" s="1102">
        <f t="shared" si="16"/>
        <v>0</v>
      </c>
    </row>
    <row r="10" spans="1:51" s="837" customFormat="1" x14ac:dyDescent="0.25">
      <c r="A10" s="1117" t="s">
        <v>22</v>
      </c>
      <c r="B10" s="1117" t="s">
        <v>23</v>
      </c>
      <c r="C10" s="1061" t="s">
        <v>265</v>
      </c>
      <c r="D10" s="1406">
        <f t="shared" si="4"/>
        <v>139.85</v>
      </c>
      <c r="E10" s="1406">
        <f t="shared" si="5"/>
        <v>79382.37</v>
      </c>
      <c r="F10" s="1406">
        <f t="shared" si="6"/>
        <v>19812</v>
      </c>
      <c r="G10" s="1408">
        <f t="shared" si="7"/>
        <v>0</v>
      </c>
      <c r="H10" s="1411">
        <f t="shared" si="8"/>
        <v>19812</v>
      </c>
      <c r="I10" s="1412">
        <f t="shared" si="9"/>
        <v>99334.22</v>
      </c>
      <c r="J10" s="1118">
        <v>0</v>
      </c>
      <c r="K10" s="1118">
        <v>79248</v>
      </c>
      <c r="L10" s="1118">
        <v>19812</v>
      </c>
      <c r="M10" s="1118">
        <v>0</v>
      </c>
      <c r="N10" s="1118">
        <v>0</v>
      </c>
      <c r="O10" s="1119">
        <f t="shared" si="10"/>
        <v>99060</v>
      </c>
      <c r="P10" s="1451"/>
      <c r="Q10" s="1444"/>
      <c r="R10" s="1444"/>
      <c r="S10" s="1444"/>
      <c r="T10" s="1444"/>
      <c r="U10" s="1450">
        <f t="shared" si="11"/>
        <v>0</v>
      </c>
      <c r="V10" s="1444">
        <v>139.85</v>
      </c>
      <c r="W10" s="1444">
        <v>134.37</v>
      </c>
      <c r="X10" s="1444">
        <v>0</v>
      </c>
      <c r="Y10" s="1444">
        <v>0</v>
      </c>
      <c r="Z10" s="1444">
        <v>0</v>
      </c>
      <c r="AA10" s="1444">
        <f t="shared" si="12"/>
        <v>274.22000000000003</v>
      </c>
      <c r="AB10" s="1097"/>
      <c r="AC10" s="1098"/>
      <c r="AD10" s="1098"/>
      <c r="AE10" s="1098"/>
      <c r="AF10" s="1098"/>
      <c r="AG10" s="1099">
        <f t="shared" si="13"/>
        <v>0</v>
      </c>
      <c r="AH10" s="1097"/>
      <c r="AI10" s="1098"/>
      <c r="AJ10" s="1098"/>
      <c r="AK10" s="1098"/>
      <c r="AL10" s="1098"/>
      <c r="AM10" s="1102">
        <f t="shared" si="14"/>
        <v>0</v>
      </c>
      <c r="AN10" s="1097"/>
      <c r="AO10" s="1098"/>
      <c r="AP10" s="1098"/>
      <c r="AQ10" s="1098"/>
      <c r="AR10" s="1098"/>
      <c r="AS10" s="1102">
        <f t="shared" si="15"/>
        <v>0</v>
      </c>
      <c r="AT10" s="1097"/>
      <c r="AU10" s="1098"/>
      <c r="AV10" s="1098"/>
      <c r="AW10" s="1098"/>
      <c r="AX10" s="1098"/>
      <c r="AY10" s="1102">
        <f t="shared" si="16"/>
        <v>0</v>
      </c>
    </row>
    <row r="11" spans="1:51" s="837" customFormat="1" x14ac:dyDescent="0.25">
      <c r="A11" s="1117" t="s">
        <v>24</v>
      </c>
      <c r="B11" s="1117" t="s">
        <v>25</v>
      </c>
      <c r="C11" s="1061" t="s">
        <v>267</v>
      </c>
      <c r="D11" s="1406">
        <f t="shared" si="4"/>
        <v>198910.12</v>
      </c>
      <c r="E11" s="1406">
        <f t="shared" si="5"/>
        <v>431702.9</v>
      </c>
      <c r="F11" s="1406">
        <f t="shared" si="6"/>
        <v>108044.15</v>
      </c>
      <c r="G11" s="1408">
        <f t="shared" si="7"/>
        <v>564975.75</v>
      </c>
      <c r="H11" s="1411">
        <f t="shared" si="8"/>
        <v>673019.9</v>
      </c>
      <c r="I11" s="1412">
        <f t="shared" si="9"/>
        <v>1303632.92</v>
      </c>
      <c r="J11" s="1118">
        <v>0</v>
      </c>
      <c r="K11" s="1118">
        <v>432506.57</v>
      </c>
      <c r="L11" s="1118">
        <v>108126.64</v>
      </c>
      <c r="M11" s="1118">
        <v>0</v>
      </c>
      <c r="N11" s="1118">
        <v>0</v>
      </c>
      <c r="O11" s="1119">
        <f t="shared" si="10"/>
        <v>540633.21</v>
      </c>
      <c r="P11" s="1451">
        <v>-1863.33</v>
      </c>
      <c r="Q11" s="1444">
        <v>-1790.26</v>
      </c>
      <c r="R11" s="1444">
        <v>0</v>
      </c>
      <c r="S11" s="1444">
        <v>-341.26</v>
      </c>
      <c r="T11" s="1444">
        <v>0</v>
      </c>
      <c r="U11" s="1450">
        <f t="shared" si="11"/>
        <v>-3994.8500000000004</v>
      </c>
      <c r="V11" s="1444"/>
      <c r="W11" s="1444"/>
      <c r="X11" s="1444"/>
      <c r="Y11" s="1444"/>
      <c r="Z11" s="1444"/>
      <c r="AA11" s="1444">
        <f t="shared" si="12"/>
        <v>0</v>
      </c>
      <c r="AB11" s="1100">
        <v>0</v>
      </c>
      <c r="AC11" s="1101">
        <v>-137.5</v>
      </c>
      <c r="AD11" s="1101">
        <v>-82.49</v>
      </c>
      <c r="AE11" s="1101">
        <v>565046.02</v>
      </c>
      <c r="AF11" s="1101">
        <v>0</v>
      </c>
      <c r="AG11" s="1099">
        <f t="shared" si="13"/>
        <v>564826.03</v>
      </c>
      <c r="AH11" s="1100">
        <v>49505</v>
      </c>
      <c r="AI11" s="1101">
        <v>0</v>
      </c>
      <c r="AJ11" s="1101">
        <v>0</v>
      </c>
      <c r="AK11" s="1101">
        <v>0</v>
      </c>
      <c r="AL11" s="1101">
        <v>0</v>
      </c>
      <c r="AM11" s="1102">
        <f t="shared" si="14"/>
        <v>49505</v>
      </c>
      <c r="AN11" s="1100">
        <v>0</v>
      </c>
      <c r="AO11" s="1101">
        <v>1124.0899999999999</v>
      </c>
      <c r="AP11" s="1101">
        <v>0</v>
      </c>
      <c r="AQ11" s="1101">
        <v>270.99</v>
      </c>
      <c r="AR11" s="1101">
        <v>0</v>
      </c>
      <c r="AS11" s="1102">
        <f t="shared" si="15"/>
        <v>1395.08</v>
      </c>
      <c r="AT11" s="1100">
        <v>151268.45000000001</v>
      </c>
      <c r="AU11" s="1101">
        <v>0</v>
      </c>
      <c r="AV11" s="1101">
        <v>0</v>
      </c>
      <c r="AW11" s="1101">
        <v>0</v>
      </c>
      <c r="AX11" s="1101">
        <v>0</v>
      </c>
      <c r="AY11" s="1102">
        <f t="shared" si="16"/>
        <v>151268.45000000001</v>
      </c>
    </row>
    <row r="12" spans="1:51" s="837" customFormat="1" x14ac:dyDescent="0.25">
      <c r="A12" s="1117" t="s">
        <v>26</v>
      </c>
      <c r="B12" s="1117" t="s">
        <v>686</v>
      </c>
      <c r="C12" s="1061" t="s">
        <v>265</v>
      </c>
      <c r="D12" s="1406">
        <f t="shared" si="4"/>
        <v>317052.88</v>
      </c>
      <c r="E12" s="1406">
        <f t="shared" si="5"/>
        <v>325970.58</v>
      </c>
      <c r="F12" s="1406">
        <f t="shared" si="6"/>
        <v>85230.63</v>
      </c>
      <c r="G12" s="1408">
        <f t="shared" si="7"/>
        <v>28380.89</v>
      </c>
      <c r="H12" s="1411">
        <f t="shared" si="8"/>
        <v>113611.52</v>
      </c>
      <c r="I12" s="1412">
        <f t="shared" si="9"/>
        <v>756634.98</v>
      </c>
      <c r="J12" s="1118">
        <v>0</v>
      </c>
      <c r="K12" s="1118">
        <v>315970.40000000002</v>
      </c>
      <c r="L12" s="1118">
        <v>78992.600000000006</v>
      </c>
      <c r="M12" s="1118">
        <v>0</v>
      </c>
      <c r="N12" s="1118">
        <v>0</v>
      </c>
      <c r="O12" s="1119">
        <f t="shared" si="10"/>
        <v>394963</v>
      </c>
      <c r="P12" s="1451">
        <v>-1379.65</v>
      </c>
      <c r="Q12" s="1444">
        <v>-1325.5300000000002</v>
      </c>
      <c r="R12" s="1444">
        <v>0</v>
      </c>
      <c r="S12" s="1444">
        <v>0</v>
      </c>
      <c r="T12" s="1444">
        <v>0</v>
      </c>
      <c r="U12" s="1450">
        <f t="shared" si="11"/>
        <v>-2705.1800000000003</v>
      </c>
      <c r="V12" s="1444"/>
      <c r="W12" s="1444"/>
      <c r="X12" s="1444"/>
      <c r="Y12" s="1444"/>
      <c r="Z12" s="1444"/>
      <c r="AA12" s="1444">
        <f t="shared" si="12"/>
        <v>0</v>
      </c>
      <c r="AB12" s="1100">
        <v>0</v>
      </c>
      <c r="AC12" s="1101">
        <v>10396.709999999999</v>
      </c>
      <c r="AD12" s="1101">
        <v>6238.0300000000007</v>
      </c>
      <c r="AE12" s="1101">
        <v>28380.89</v>
      </c>
      <c r="AF12" s="1101">
        <v>0</v>
      </c>
      <c r="AG12" s="1099">
        <f t="shared" si="13"/>
        <v>45015.63</v>
      </c>
      <c r="AH12" s="1100">
        <v>2904</v>
      </c>
      <c r="AI12" s="1101">
        <v>0</v>
      </c>
      <c r="AJ12" s="1101">
        <v>0</v>
      </c>
      <c r="AK12" s="1101">
        <v>0</v>
      </c>
      <c r="AL12" s="1101">
        <v>0</v>
      </c>
      <c r="AM12" s="1102">
        <f t="shared" si="14"/>
        <v>2904</v>
      </c>
      <c r="AN12" s="1100">
        <v>0</v>
      </c>
      <c r="AO12" s="1101">
        <v>-481</v>
      </c>
      <c r="AP12" s="1101">
        <v>0</v>
      </c>
      <c r="AQ12" s="1101">
        <v>0</v>
      </c>
      <c r="AR12" s="1101">
        <v>0</v>
      </c>
      <c r="AS12" s="1102">
        <f t="shared" si="15"/>
        <v>-481</v>
      </c>
      <c r="AT12" s="1100">
        <v>315528.53000000003</v>
      </c>
      <c r="AU12" s="1101">
        <v>1410</v>
      </c>
      <c r="AV12" s="1101">
        <v>0</v>
      </c>
      <c r="AW12" s="1101">
        <v>0</v>
      </c>
      <c r="AX12" s="1101">
        <v>0</v>
      </c>
      <c r="AY12" s="1102">
        <f t="shared" si="16"/>
        <v>316938.53000000003</v>
      </c>
    </row>
    <row r="13" spans="1:51" s="837" customFormat="1" x14ac:dyDescent="0.25">
      <c r="A13" s="1117" t="s">
        <v>27</v>
      </c>
      <c r="B13" s="1117" t="s">
        <v>28</v>
      </c>
      <c r="C13" s="1061" t="s">
        <v>265</v>
      </c>
      <c r="D13" s="1406">
        <f t="shared" si="4"/>
        <v>0</v>
      </c>
      <c r="E13" s="1406">
        <f t="shared" si="5"/>
        <v>5452.8</v>
      </c>
      <c r="F13" s="1406">
        <f t="shared" si="6"/>
        <v>1363.2</v>
      </c>
      <c r="G13" s="1408">
        <f t="shared" si="7"/>
        <v>0</v>
      </c>
      <c r="H13" s="1411">
        <f t="shared" si="8"/>
        <v>1363.2</v>
      </c>
      <c r="I13" s="1412">
        <f t="shared" si="9"/>
        <v>6816</v>
      </c>
      <c r="J13" s="1118">
        <v>0</v>
      </c>
      <c r="K13" s="1118">
        <v>5452.8</v>
      </c>
      <c r="L13" s="1118">
        <v>1363.2</v>
      </c>
      <c r="M13" s="1118">
        <v>0</v>
      </c>
      <c r="N13" s="1118">
        <v>0</v>
      </c>
      <c r="O13" s="1119">
        <f t="shared" si="10"/>
        <v>6816</v>
      </c>
      <c r="P13" s="1451"/>
      <c r="Q13" s="1444"/>
      <c r="R13" s="1444"/>
      <c r="S13" s="1444"/>
      <c r="T13" s="1444"/>
      <c r="U13" s="1450">
        <f t="shared" si="11"/>
        <v>0</v>
      </c>
      <c r="V13" s="1444"/>
      <c r="W13" s="1444"/>
      <c r="X13" s="1444"/>
      <c r="Y13" s="1444"/>
      <c r="Z13" s="1444"/>
      <c r="AA13" s="1444">
        <f t="shared" si="12"/>
        <v>0</v>
      </c>
      <c r="AB13" s="1097"/>
      <c r="AC13" s="1098"/>
      <c r="AD13" s="1098"/>
      <c r="AE13" s="1098"/>
      <c r="AF13" s="1098"/>
      <c r="AG13" s="1099">
        <f t="shared" si="13"/>
        <v>0</v>
      </c>
      <c r="AH13" s="1097"/>
      <c r="AI13" s="1098"/>
      <c r="AJ13" s="1098"/>
      <c r="AK13" s="1098"/>
      <c r="AL13" s="1098"/>
      <c r="AM13" s="1102">
        <f t="shared" si="14"/>
        <v>0</v>
      </c>
      <c r="AN13" s="1097"/>
      <c r="AO13" s="1098"/>
      <c r="AP13" s="1098"/>
      <c r="AQ13" s="1098"/>
      <c r="AR13" s="1098"/>
      <c r="AS13" s="1102">
        <f t="shared" si="15"/>
        <v>0</v>
      </c>
      <c r="AT13" s="1097"/>
      <c r="AU13" s="1098"/>
      <c r="AV13" s="1098"/>
      <c r="AW13" s="1098"/>
      <c r="AX13" s="1098"/>
      <c r="AY13" s="1102">
        <f t="shared" si="16"/>
        <v>0</v>
      </c>
    </row>
    <row r="14" spans="1:51" s="837" customFormat="1" x14ac:dyDescent="0.25">
      <c r="A14" s="1117" t="s">
        <v>29</v>
      </c>
      <c r="B14" s="1117" t="s">
        <v>941</v>
      </c>
      <c r="C14" s="1061" t="s">
        <v>265</v>
      </c>
      <c r="D14" s="1406">
        <f t="shared" si="4"/>
        <v>-403.30999999999995</v>
      </c>
      <c r="E14" s="1406">
        <f t="shared" si="5"/>
        <v>175538.90999999997</v>
      </c>
      <c r="F14" s="1406">
        <f t="shared" si="6"/>
        <v>44119.95</v>
      </c>
      <c r="G14" s="1408">
        <f t="shared" si="7"/>
        <v>0</v>
      </c>
      <c r="H14" s="1411">
        <f t="shared" si="8"/>
        <v>44119.95</v>
      </c>
      <c r="I14" s="1412">
        <f t="shared" si="9"/>
        <v>219255.55</v>
      </c>
      <c r="J14" s="1118">
        <v>0</v>
      </c>
      <c r="K14" s="1118">
        <v>176479.8</v>
      </c>
      <c r="L14" s="1118">
        <v>44119.95</v>
      </c>
      <c r="M14" s="1118">
        <v>0</v>
      </c>
      <c r="N14" s="1118">
        <v>0</v>
      </c>
      <c r="O14" s="1119">
        <f t="shared" si="10"/>
        <v>220599.75</v>
      </c>
      <c r="P14" s="1451">
        <v>-979.31</v>
      </c>
      <c r="Q14" s="1444">
        <v>-940.89</v>
      </c>
      <c r="R14" s="1444">
        <v>0</v>
      </c>
      <c r="S14" s="1444">
        <v>0</v>
      </c>
      <c r="T14" s="1444">
        <v>0</v>
      </c>
      <c r="U14" s="1450">
        <f t="shared" si="11"/>
        <v>-1920.1999999999998</v>
      </c>
      <c r="V14" s="1444"/>
      <c r="W14" s="1444"/>
      <c r="X14" s="1444"/>
      <c r="Y14" s="1444"/>
      <c r="Z14" s="1444"/>
      <c r="AA14" s="1444">
        <f t="shared" si="12"/>
        <v>0</v>
      </c>
      <c r="AB14" s="1097"/>
      <c r="AC14" s="1098"/>
      <c r="AD14" s="1098"/>
      <c r="AE14" s="1098"/>
      <c r="AF14" s="1098"/>
      <c r="AG14" s="1099">
        <f t="shared" si="13"/>
        <v>0</v>
      </c>
      <c r="AH14" s="1097">
        <v>576</v>
      </c>
      <c r="AI14" s="1098">
        <v>0</v>
      </c>
      <c r="AJ14" s="1098">
        <v>0</v>
      </c>
      <c r="AK14" s="1098">
        <v>0</v>
      </c>
      <c r="AL14" s="1098">
        <v>0</v>
      </c>
      <c r="AM14" s="1102">
        <f t="shared" si="14"/>
        <v>576</v>
      </c>
      <c r="AN14" s="1097"/>
      <c r="AO14" s="1098"/>
      <c r="AP14" s="1098"/>
      <c r="AQ14" s="1098"/>
      <c r="AR14" s="1098"/>
      <c r="AS14" s="1102">
        <f t="shared" si="15"/>
        <v>0</v>
      </c>
      <c r="AT14" s="1097"/>
      <c r="AU14" s="1098"/>
      <c r="AV14" s="1098"/>
      <c r="AW14" s="1098"/>
      <c r="AX14" s="1098"/>
      <c r="AY14" s="1102">
        <f t="shared" si="16"/>
        <v>0</v>
      </c>
    </row>
    <row r="15" spans="1:51" s="837" customFormat="1" x14ac:dyDescent="0.25">
      <c r="A15" s="1117" t="s">
        <v>30</v>
      </c>
      <c r="B15" s="1117" t="s">
        <v>31</v>
      </c>
      <c r="C15" s="1061" t="s">
        <v>268</v>
      </c>
      <c r="D15" s="1406">
        <f t="shared" si="4"/>
        <v>-131.58000000000001</v>
      </c>
      <c r="E15" s="1406">
        <f t="shared" si="5"/>
        <v>10751.98</v>
      </c>
      <c r="F15" s="1406">
        <f t="shared" si="6"/>
        <v>2719.6</v>
      </c>
      <c r="G15" s="1408">
        <f t="shared" si="7"/>
        <v>0</v>
      </c>
      <c r="H15" s="1411">
        <f t="shared" si="8"/>
        <v>2719.6</v>
      </c>
      <c r="I15" s="1412">
        <f t="shared" si="9"/>
        <v>13340</v>
      </c>
      <c r="J15" s="1118">
        <v>0</v>
      </c>
      <c r="K15" s="1118">
        <v>10878.4</v>
      </c>
      <c r="L15" s="1118">
        <v>2719.6</v>
      </c>
      <c r="M15" s="1118">
        <v>0</v>
      </c>
      <c r="N15" s="1118">
        <v>0</v>
      </c>
      <c r="O15" s="1119">
        <f t="shared" si="10"/>
        <v>13598</v>
      </c>
      <c r="P15" s="1451">
        <v>-131.58000000000001</v>
      </c>
      <c r="Q15" s="1444">
        <v>-126.42</v>
      </c>
      <c r="R15" s="1444">
        <v>0</v>
      </c>
      <c r="S15" s="1444">
        <v>0</v>
      </c>
      <c r="T15" s="1444">
        <v>0</v>
      </c>
      <c r="U15" s="1450">
        <f t="shared" si="11"/>
        <v>-258</v>
      </c>
      <c r="V15" s="1444"/>
      <c r="W15" s="1444"/>
      <c r="X15" s="1444"/>
      <c r="Y15" s="1444"/>
      <c r="Z15" s="1444"/>
      <c r="AA15" s="1444">
        <f t="shared" si="12"/>
        <v>0</v>
      </c>
      <c r="AB15" s="1097"/>
      <c r="AC15" s="1098"/>
      <c r="AD15" s="1098"/>
      <c r="AE15" s="1098"/>
      <c r="AF15" s="1098"/>
      <c r="AG15" s="1099">
        <f t="shared" si="13"/>
        <v>0</v>
      </c>
      <c r="AH15" s="1097"/>
      <c r="AI15" s="1098"/>
      <c r="AJ15" s="1098"/>
      <c r="AK15" s="1098"/>
      <c r="AL15" s="1098"/>
      <c r="AM15" s="1102">
        <f t="shared" si="14"/>
        <v>0</v>
      </c>
      <c r="AN15" s="1097"/>
      <c r="AO15" s="1098"/>
      <c r="AP15" s="1098"/>
      <c r="AQ15" s="1098"/>
      <c r="AR15" s="1098"/>
      <c r="AS15" s="1102">
        <f t="shared" si="15"/>
        <v>0</v>
      </c>
      <c r="AT15" s="1097"/>
      <c r="AU15" s="1098"/>
      <c r="AV15" s="1098"/>
      <c r="AW15" s="1098"/>
      <c r="AX15" s="1098"/>
      <c r="AY15" s="1102">
        <f t="shared" si="16"/>
        <v>0</v>
      </c>
    </row>
    <row r="16" spans="1:51" s="837" customFormat="1" x14ac:dyDescent="0.25">
      <c r="A16" s="1117" t="s">
        <v>32</v>
      </c>
      <c r="B16" s="1117" t="s">
        <v>33</v>
      </c>
      <c r="C16" s="1061" t="s">
        <v>265</v>
      </c>
      <c r="D16" s="1406">
        <f t="shared" si="4"/>
        <v>0</v>
      </c>
      <c r="E16" s="1406">
        <f t="shared" si="5"/>
        <v>89732.800000000003</v>
      </c>
      <c r="F16" s="1406">
        <f t="shared" si="6"/>
        <v>22433.200000000001</v>
      </c>
      <c r="G16" s="1408">
        <f t="shared" si="7"/>
        <v>0</v>
      </c>
      <c r="H16" s="1411">
        <f t="shared" si="8"/>
        <v>22433.200000000001</v>
      </c>
      <c r="I16" s="1412">
        <f t="shared" si="9"/>
        <v>112166</v>
      </c>
      <c r="J16" s="1118">
        <v>0</v>
      </c>
      <c r="K16" s="1118">
        <v>89732.800000000003</v>
      </c>
      <c r="L16" s="1118">
        <v>22433.200000000001</v>
      </c>
      <c r="M16" s="1118">
        <v>0</v>
      </c>
      <c r="N16" s="1118">
        <v>0</v>
      </c>
      <c r="O16" s="1119">
        <f t="shared" si="10"/>
        <v>112166</v>
      </c>
      <c r="P16" s="1451"/>
      <c r="Q16" s="1444"/>
      <c r="R16" s="1444"/>
      <c r="S16" s="1444"/>
      <c r="T16" s="1444"/>
      <c r="U16" s="1450">
        <f t="shared" si="11"/>
        <v>0</v>
      </c>
      <c r="V16" s="1444"/>
      <c r="W16" s="1444"/>
      <c r="X16" s="1444"/>
      <c r="Y16" s="1444"/>
      <c r="Z16" s="1444"/>
      <c r="AA16" s="1444">
        <f t="shared" si="12"/>
        <v>0</v>
      </c>
      <c r="AB16" s="1097"/>
      <c r="AC16" s="1098"/>
      <c r="AD16" s="1098"/>
      <c r="AE16" s="1098"/>
      <c r="AF16" s="1098"/>
      <c r="AG16" s="1099">
        <f t="shared" si="13"/>
        <v>0</v>
      </c>
      <c r="AH16" s="1097"/>
      <c r="AI16" s="1098"/>
      <c r="AJ16" s="1098"/>
      <c r="AK16" s="1098"/>
      <c r="AL16" s="1098"/>
      <c r="AM16" s="1102">
        <f t="shared" si="14"/>
        <v>0</v>
      </c>
      <c r="AN16" s="1097"/>
      <c r="AO16" s="1098"/>
      <c r="AP16" s="1098"/>
      <c r="AQ16" s="1098"/>
      <c r="AR16" s="1098"/>
      <c r="AS16" s="1102">
        <f t="shared" si="15"/>
        <v>0</v>
      </c>
      <c r="AT16" s="1097"/>
      <c r="AU16" s="1098"/>
      <c r="AV16" s="1098"/>
      <c r="AW16" s="1098"/>
      <c r="AX16" s="1098"/>
      <c r="AY16" s="1102">
        <f t="shared" si="16"/>
        <v>0</v>
      </c>
    </row>
    <row r="17" spans="1:51" s="837" customFormat="1" x14ac:dyDescent="0.25">
      <c r="A17" s="1117" t="s">
        <v>36</v>
      </c>
      <c r="B17" s="1117" t="s">
        <v>37</v>
      </c>
      <c r="C17" s="1061" t="s">
        <v>264</v>
      </c>
      <c r="D17" s="1406">
        <f t="shared" si="4"/>
        <v>20552.810000000001</v>
      </c>
      <c r="E17" s="1406">
        <f t="shared" si="5"/>
        <v>121088</v>
      </c>
      <c r="F17" s="1406">
        <f t="shared" si="6"/>
        <v>30272</v>
      </c>
      <c r="G17" s="1408">
        <f t="shared" si="7"/>
        <v>0</v>
      </c>
      <c r="H17" s="1411">
        <f t="shared" si="8"/>
        <v>30272</v>
      </c>
      <c r="I17" s="1412">
        <f t="shared" si="9"/>
        <v>171912.81</v>
      </c>
      <c r="J17" s="1118">
        <v>0</v>
      </c>
      <c r="K17" s="1118">
        <v>121088</v>
      </c>
      <c r="L17" s="1118">
        <v>30272</v>
      </c>
      <c r="M17" s="1118">
        <v>0</v>
      </c>
      <c r="N17" s="1118">
        <v>0</v>
      </c>
      <c r="O17" s="1119">
        <f t="shared" si="10"/>
        <v>151360</v>
      </c>
      <c r="P17" s="1451"/>
      <c r="Q17" s="1444"/>
      <c r="R17" s="1444"/>
      <c r="S17" s="1444"/>
      <c r="T17" s="1444"/>
      <c r="U17" s="1450">
        <f t="shared" si="11"/>
        <v>0</v>
      </c>
      <c r="V17" s="1444"/>
      <c r="W17" s="1444"/>
      <c r="X17" s="1444"/>
      <c r="Y17" s="1444"/>
      <c r="Z17" s="1444"/>
      <c r="AA17" s="1444">
        <f t="shared" si="12"/>
        <v>0</v>
      </c>
      <c r="AB17" s="1097"/>
      <c r="AC17" s="1098"/>
      <c r="AD17" s="1098"/>
      <c r="AE17" s="1098"/>
      <c r="AF17" s="1098"/>
      <c r="AG17" s="1099">
        <f t="shared" si="13"/>
        <v>0</v>
      </c>
      <c r="AH17" s="1097"/>
      <c r="AI17" s="1098"/>
      <c r="AJ17" s="1098"/>
      <c r="AK17" s="1098"/>
      <c r="AL17" s="1098"/>
      <c r="AM17" s="1102">
        <f t="shared" si="14"/>
        <v>0</v>
      </c>
      <c r="AN17" s="1097"/>
      <c r="AO17" s="1098"/>
      <c r="AP17" s="1098"/>
      <c r="AQ17" s="1098"/>
      <c r="AR17" s="1098"/>
      <c r="AS17" s="1102">
        <f t="shared" si="15"/>
        <v>0</v>
      </c>
      <c r="AT17" s="1097">
        <v>20552.810000000001</v>
      </c>
      <c r="AU17" s="1098">
        <v>0</v>
      </c>
      <c r="AV17" s="1098">
        <v>0</v>
      </c>
      <c r="AW17" s="1098">
        <v>0</v>
      </c>
      <c r="AX17" s="1098">
        <v>0</v>
      </c>
      <c r="AY17" s="1102">
        <f t="shared" si="16"/>
        <v>20552.810000000001</v>
      </c>
    </row>
    <row r="18" spans="1:51" s="837" customFormat="1" x14ac:dyDescent="0.25">
      <c r="A18" s="1117" t="s">
        <v>38</v>
      </c>
      <c r="B18" s="1117" t="s">
        <v>39</v>
      </c>
      <c r="C18" s="1061" t="s">
        <v>268</v>
      </c>
      <c r="D18" s="1406">
        <f t="shared" si="4"/>
        <v>-1399.44</v>
      </c>
      <c r="E18" s="1406">
        <f t="shared" si="5"/>
        <v>103053.04000000001</v>
      </c>
      <c r="F18" s="1406">
        <f t="shared" si="6"/>
        <v>26099.4</v>
      </c>
      <c r="G18" s="1408">
        <f t="shared" si="7"/>
        <v>0</v>
      </c>
      <c r="H18" s="1411">
        <f t="shared" si="8"/>
        <v>26099.4</v>
      </c>
      <c r="I18" s="1412">
        <f t="shared" si="9"/>
        <v>127753</v>
      </c>
      <c r="J18" s="1118">
        <v>0</v>
      </c>
      <c r="K18" s="1118">
        <v>104397.6</v>
      </c>
      <c r="L18" s="1118">
        <v>26099.4</v>
      </c>
      <c r="M18" s="1118">
        <v>0</v>
      </c>
      <c r="N18" s="1118">
        <v>0</v>
      </c>
      <c r="O18" s="1119">
        <f t="shared" si="10"/>
        <v>130497</v>
      </c>
      <c r="P18" s="1451">
        <v>-1399.44</v>
      </c>
      <c r="Q18" s="1444">
        <v>-1344.56</v>
      </c>
      <c r="R18" s="1444">
        <v>0</v>
      </c>
      <c r="S18" s="1444">
        <v>0</v>
      </c>
      <c r="T18" s="1444">
        <v>0</v>
      </c>
      <c r="U18" s="1450">
        <f t="shared" si="11"/>
        <v>-2744</v>
      </c>
      <c r="V18" s="1444"/>
      <c r="W18" s="1444"/>
      <c r="X18" s="1444"/>
      <c r="Y18" s="1444"/>
      <c r="Z18" s="1444"/>
      <c r="AA18" s="1444">
        <f t="shared" si="12"/>
        <v>0</v>
      </c>
      <c r="AB18" s="1097"/>
      <c r="AC18" s="1098"/>
      <c r="AD18" s="1098"/>
      <c r="AE18" s="1098"/>
      <c r="AF18" s="1098"/>
      <c r="AG18" s="1099">
        <f t="shared" si="13"/>
        <v>0</v>
      </c>
      <c r="AH18" s="1097"/>
      <c r="AI18" s="1098"/>
      <c r="AJ18" s="1098"/>
      <c r="AK18" s="1098"/>
      <c r="AL18" s="1098"/>
      <c r="AM18" s="1102">
        <f t="shared" si="14"/>
        <v>0</v>
      </c>
      <c r="AN18" s="1097"/>
      <c r="AO18" s="1098"/>
      <c r="AP18" s="1098"/>
      <c r="AQ18" s="1098"/>
      <c r="AR18" s="1098"/>
      <c r="AS18" s="1102">
        <f t="shared" si="15"/>
        <v>0</v>
      </c>
      <c r="AT18" s="1097"/>
      <c r="AU18" s="1098"/>
      <c r="AV18" s="1098"/>
      <c r="AW18" s="1098"/>
      <c r="AX18" s="1098"/>
      <c r="AY18" s="1102">
        <f t="shared" si="16"/>
        <v>0</v>
      </c>
    </row>
    <row r="19" spans="1:51" s="837" customFormat="1" x14ac:dyDescent="0.25">
      <c r="A19" s="1117" t="s">
        <v>40</v>
      </c>
      <c r="B19" s="1117" t="s">
        <v>41</v>
      </c>
      <c r="C19" s="1061" t="s">
        <v>266</v>
      </c>
      <c r="D19" s="1406">
        <f t="shared" si="4"/>
        <v>-72.69</v>
      </c>
      <c r="E19" s="1406">
        <f t="shared" si="5"/>
        <v>77928.549999999988</v>
      </c>
      <c r="F19" s="1406">
        <f t="shared" si="6"/>
        <v>19499.599999999999</v>
      </c>
      <c r="G19" s="1408">
        <f t="shared" si="7"/>
        <v>0</v>
      </c>
      <c r="H19" s="1411">
        <f t="shared" si="8"/>
        <v>19499.599999999999</v>
      </c>
      <c r="I19" s="1412">
        <f t="shared" si="9"/>
        <v>97355.459999999992</v>
      </c>
      <c r="J19" s="1118">
        <v>0</v>
      </c>
      <c r="K19" s="1118">
        <v>77998.399999999994</v>
      </c>
      <c r="L19" s="1118">
        <v>19499.599999999999</v>
      </c>
      <c r="M19" s="1118">
        <v>0</v>
      </c>
      <c r="N19" s="1118">
        <v>0</v>
      </c>
      <c r="O19" s="1119">
        <f t="shared" si="10"/>
        <v>97498</v>
      </c>
      <c r="P19" s="1451">
        <v>-72.69</v>
      </c>
      <c r="Q19" s="1444">
        <v>-69.849999999999994</v>
      </c>
      <c r="R19" s="1444">
        <v>0</v>
      </c>
      <c r="S19" s="1444">
        <v>0</v>
      </c>
      <c r="T19" s="1444">
        <v>0</v>
      </c>
      <c r="U19" s="1450">
        <f t="shared" si="11"/>
        <v>-142.54</v>
      </c>
      <c r="V19" s="1444"/>
      <c r="W19" s="1444"/>
      <c r="X19" s="1444"/>
      <c r="Y19" s="1444"/>
      <c r="Z19" s="1444"/>
      <c r="AA19" s="1444">
        <f t="shared" si="12"/>
        <v>0</v>
      </c>
      <c r="AB19" s="1097"/>
      <c r="AC19" s="1098"/>
      <c r="AD19" s="1098"/>
      <c r="AE19" s="1098"/>
      <c r="AF19" s="1098"/>
      <c r="AG19" s="1099">
        <f t="shared" si="13"/>
        <v>0</v>
      </c>
      <c r="AH19" s="1097"/>
      <c r="AI19" s="1098"/>
      <c r="AJ19" s="1098"/>
      <c r="AK19" s="1098"/>
      <c r="AL19" s="1098"/>
      <c r="AM19" s="1102">
        <f t="shared" si="14"/>
        <v>0</v>
      </c>
      <c r="AN19" s="1097"/>
      <c r="AO19" s="1098"/>
      <c r="AP19" s="1098"/>
      <c r="AQ19" s="1098"/>
      <c r="AR19" s="1098"/>
      <c r="AS19" s="1102">
        <f t="shared" si="15"/>
        <v>0</v>
      </c>
      <c r="AT19" s="1097"/>
      <c r="AU19" s="1098"/>
      <c r="AV19" s="1098"/>
      <c r="AW19" s="1098"/>
      <c r="AX19" s="1098"/>
      <c r="AY19" s="1102">
        <f t="shared" si="16"/>
        <v>0</v>
      </c>
    </row>
    <row r="20" spans="1:51" s="837" customFormat="1" x14ac:dyDescent="0.25">
      <c r="A20" s="1117" t="s">
        <v>42</v>
      </c>
      <c r="B20" s="1117" t="s">
        <v>43</v>
      </c>
      <c r="C20" s="1061" t="s">
        <v>265</v>
      </c>
      <c r="D20" s="1406">
        <f t="shared" si="4"/>
        <v>-88.09</v>
      </c>
      <c r="E20" s="1406">
        <f t="shared" si="5"/>
        <v>186370.47</v>
      </c>
      <c r="F20" s="1406">
        <f t="shared" si="6"/>
        <v>51113.89</v>
      </c>
      <c r="G20" s="1408">
        <f t="shared" si="7"/>
        <v>8982.89</v>
      </c>
      <c r="H20" s="1411">
        <f t="shared" si="8"/>
        <v>60096.78</v>
      </c>
      <c r="I20" s="1412">
        <f t="shared" si="9"/>
        <v>246379.16000000003</v>
      </c>
      <c r="J20" s="1118">
        <v>0</v>
      </c>
      <c r="K20" s="1118">
        <v>173597.6</v>
      </c>
      <c r="L20" s="1118">
        <v>43399.4</v>
      </c>
      <c r="M20" s="1118">
        <v>0</v>
      </c>
      <c r="N20" s="1118">
        <v>0</v>
      </c>
      <c r="O20" s="1119">
        <f t="shared" si="10"/>
        <v>216997</v>
      </c>
      <c r="P20" s="1451">
        <v>-88.09</v>
      </c>
      <c r="Q20" s="1444">
        <v>-84.64</v>
      </c>
      <c r="R20" s="1444">
        <v>0</v>
      </c>
      <c r="S20" s="1444">
        <v>0</v>
      </c>
      <c r="T20" s="1444">
        <v>0</v>
      </c>
      <c r="U20" s="1450">
        <f t="shared" si="11"/>
        <v>-172.73000000000002</v>
      </c>
      <c r="V20" s="1444"/>
      <c r="W20" s="1444"/>
      <c r="X20" s="1444"/>
      <c r="Y20" s="1444"/>
      <c r="Z20" s="1444"/>
      <c r="AA20" s="1444">
        <f t="shared" si="12"/>
        <v>0</v>
      </c>
      <c r="AB20" s="1100">
        <v>0</v>
      </c>
      <c r="AC20" s="1101">
        <v>12857.51</v>
      </c>
      <c r="AD20" s="1101">
        <v>7714.49</v>
      </c>
      <c r="AE20" s="1101">
        <v>0</v>
      </c>
      <c r="AF20" s="1101">
        <v>8982.89</v>
      </c>
      <c r="AG20" s="1099">
        <f t="shared" si="13"/>
        <v>29554.89</v>
      </c>
      <c r="AH20" s="1097"/>
      <c r="AI20" s="1098"/>
      <c r="AJ20" s="1098"/>
      <c r="AK20" s="1098"/>
      <c r="AL20" s="1098"/>
      <c r="AM20" s="1102">
        <f t="shared" si="14"/>
        <v>0</v>
      </c>
      <c r="AN20" s="1097"/>
      <c r="AO20" s="1098"/>
      <c r="AP20" s="1098"/>
      <c r="AQ20" s="1098"/>
      <c r="AR20" s="1098"/>
      <c r="AS20" s="1102">
        <f t="shared" si="15"/>
        <v>0</v>
      </c>
      <c r="AT20" s="1097"/>
      <c r="AU20" s="1098"/>
      <c r="AV20" s="1098"/>
      <c r="AW20" s="1098"/>
      <c r="AX20" s="1098"/>
      <c r="AY20" s="1102">
        <f t="shared" si="16"/>
        <v>0</v>
      </c>
    </row>
    <row r="21" spans="1:51" s="837" customFormat="1" x14ac:dyDescent="0.25">
      <c r="A21" s="1117" t="s">
        <v>44</v>
      </c>
      <c r="B21" s="1117" t="s">
        <v>45</v>
      </c>
      <c r="C21" s="1061" t="s">
        <v>266</v>
      </c>
      <c r="D21" s="1406">
        <f t="shared" si="4"/>
        <v>0</v>
      </c>
      <c r="E21" s="1406">
        <f t="shared" si="5"/>
        <v>23692</v>
      </c>
      <c r="F21" s="1406">
        <f t="shared" si="6"/>
        <v>5923</v>
      </c>
      <c r="G21" s="1408">
        <f t="shared" si="7"/>
        <v>0</v>
      </c>
      <c r="H21" s="1411">
        <f t="shared" si="8"/>
        <v>5923</v>
      </c>
      <c r="I21" s="1412">
        <f t="shared" si="9"/>
        <v>29615</v>
      </c>
      <c r="J21" s="1118">
        <v>0</v>
      </c>
      <c r="K21" s="1118">
        <v>23692</v>
      </c>
      <c r="L21" s="1118">
        <v>5923</v>
      </c>
      <c r="M21" s="1118">
        <v>0</v>
      </c>
      <c r="N21" s="1118">
        <v>0</v>
      </c>
      <c r="O21" s="1119">
        <f t="shared" si="10"/>
        <v>29615</v>
      </c>
      <c r="P21" s="1451"/>
      <c r="Q21" s="1444"/>
      <c r="R21" s="1444"/>
      <c r="S21" s="1444"/>
      <c r="T21" s="1444"/>
      <c r="U21" s="1450">
        <f t="shared" si="11"/>
        <v>0</v>
      </c>
      <c r="V21" s="1444"/>
      <c r="W21" s="1444"/>
      <c r="X21" s="1444"/>
      <c r="Y21" s="1444"/>
      <c r="Z21" s="1444"/>
      <c r="AA21" s="1444">
        <f t="shared" si="12"/>
        <v>0</v>
      </c>
      <c r="AB21" s="1097"/>
      <c r="AC21" s="1098"/>
      <c r="AD21" s="1098"/>
      <c r="AE21" s="1098"/>
      <c r="AF21" s="1098"/>
      <c r="AG21" s="1099">
        <f t="shared" si="13"/>
        <v>0</v>
      </c>
      <c r="AH21" s="1097"/>
      <c r="AI21" s="1098"/>
      <c r="AJ21" s="1098"/>
      <c r="AK21" s="1098"/>
      <c r="AL21" s="1098"/>
      <c r="AM21" s="1102">
        <f t="shared" si="14"/>
        <v>0</v>
      </c>
      <c r="AN21" s="1097"/>
      <c r="AO21" s="1098"/>
      <c r="AP21" s="1098"/>
      <c r="AQ21" s="1098"/>
      <c r="AR21" s="1098"/>
      <c r="AS21" s="1102">
        <f t="shared" si="15"/>
        <v>0</v>
      </c>
      <c r="AT21" s="1097"/>
      <c r="AU21" s="1098"/>
      <c r="AV21" s="1098"/>
      <c r="AW21" s="1098"/>
      <c r="AX21" s="1098"/>
      <c r="AY21" s="1102">
        <f t="shared" si="16"/>
        <v>0</v>
      </c>
    </row>
    <row r="22" spans="1:51" s="837" customFormat="1" x14ac:dyDescent="0.25">
      <c r="A22" s="1117" t="s">
        <v>46</v>
      </c>
      <c r="B22" s="1117" t="s">
        <v>47</v>
      </c>
      <c r="C22" s="1061" t="s">
        <v>268</v>
      </c>
      <c r="D22" s="1406">
        <f t="shared" si="4"/>
        <v>-47.43</v>
      </c>
      <c r="E22" s="1406">
        <f t="shared" si="5"/>
        <v>141789.63</v>
      </c>
      <c r="F22" s="1406">
        <f t="shared" si="6"/>
        <v>35458.800000000003</v>
      </c>
      <c r="G22" s="1408">
        <f t="shared" si="7"/>
        <v>0</v>
      </c>
      <c r="H22" s="1411">
        <f t="shared" si="8"/>
        <v>35458.800000000003</v>
      </c>
      <c r="I22" s="1412">
        <f t="shared" si="9"/>
        <v>177201</v>
      </c>
      <c r="J22" s="1118">
        <v>0</v>
      </c>
      <c r="K22" s="1118">
        <v>141835.20000000001</v>
      </c>
      <c r="L22" s="1118">
        <v>35458.800000000003</v>
      </c>
      <c r="M22" s="1118">
        <v>0</v>
      </c>
      <c r="N22" s="1118">
        <v>0</v>
      </c>
      <c r="O22" s="1119">
        <f t="shared" si="10"/>
        <v>177294</v>
      </c>
      <c r="P22" s="1451">
        <v>-47.43</v>
      </c>
      <c r="Q22" s="1444">
        <v>-45.57</v>
      </c>
      <c r="R22" s="1444">
        <v>0</v>
      </c>
      <c r="S22" s="1444">
        <v>0</v>
      </c>
      <c r="T22" s="1444">
        <v>0</v>
      </c>
      <c r="U22" s="1450">
        <f t="shared" si="11"/>
        <v>-93</v>
      </c>
      <c r="V22" s="1444"/>
      <c r="W22" s="1444"/>
      <c r="X22" s="1444"/>
      <c r="Y22" s="1444"/>
      <c r="Z22" s="1444"/>
      <c r="AA22" s="1444">
        <f t="shared" si="12"/>
        <v>0</v>
      </c>
      <c r="AB22" s="1097"/>
      <c r="AC22" s="1098"/>
      <c r="AD22" s="1098"/>
      <c r="AE22" s="1098"/>
      <c r="AF22" s="1098"/>
      <c r="AG22" s="1099">
        <f t="shared" si="13"/>
        <v>0</v>
      </c>
      <c r="AH22" s="1097"/>
      <c r="AI22" s="1098"/>
      <c r="AJ22" s="1098"/>
      <c r="AK22" s="1098"/>
      <c r="AL22" s="1098"/>
      <c r="AM22" s="1102">
        <f t="shared" si="14"/>
        <v>0</v>
      </c>
      <c r="AN22" s="1097"/>
      <c r="AO22" s="1098"/>
      <c r="AP22" s="1098"/>
      <c r="AQ22" s="1098"/>
      <c r="AR22" s="1098"/>
      <c r="AS22" s="1102">
        <f t="shared" si="15"/>
        <v>0</v>
      </c>
      <c r="AT22" s="1097"/>
      <c r="AU22" s="1098"/>
      <c r="AV22" s="1098"/>
      <c r="AW22" s="1098"/>
      <c r="AX22" s="1098"/>
      <c r="AY22" s="1102">
        <f t="shared" si="16"/>
        <v>0</v>
      </c>
    </row>
    <row r="23" spans="1:51" s="837" customFormat="1" x14ac:dyDescent="0.25">
      <c r="A23" s="1117" t="s">
        <v>48</v>
      </c>
      <c r="B23" s="1117" t="s">
        <v>269</v>
      </c>
      <c r="C23" s="1061" t="s">
        <v>266</v>
      </c>
      <c r="D23" s="1406">
        <f t="shared" si="4"/>
        <v>0</v>
      </c>
      <c r="E23" s="1406">
        <f t="shared" si="5"/>
        <v>32544.799999999999</v>
      </c>
      <c r="F23" s="1406">
        <f t="shared" si="6"/>
        <v>8136.2</v>
      </c>
      <c r="G23" s="1408">
        <f t="shared" si="7"/>
        <v>0</v>
      </c>
      <c r="H23" s="1411">
        <f t="shared" si="8"/>
        <v>8136.2</v>
      </c>
      <c r="I23" s="1412">
        <f t="shared" si="9"/>
        <v>40681</v>
      </c>
      <c r="J23" s="1118">
        <v>0</v>
      </c>
      <c r="K23" s="1118">
        <v>32544.799999999999</v>
      </c>
      <c r="L23" s="1118">
        <v>8136.2</v>
      </c>
      <c r="M23" s="1118">
        <v>0</v>
      </c>
      <c r="N23" s="1118">
        <v>0</v>
      </c>
      <c r="O23" s="1119">
        <f t="shared" si="10"/>
        <v>40681</v>
      </c>
      <c r="P23" s="1451"/>
      <c r="Q23" s="1444"/>
      <c r="R23" s="1444"/>
      <c r="S23" s="1444"/>
      <c r="T23" s="1444"/>
      <c r="U23" s="1450">
        <f t="shared" si="11"/>
        <v>0</v>
      </c>
      <c r="V23" s="1444"/>
      <c r="W23" s="1444"/>
      <c r="X23" s="1444"/>
      <c r="Y23" s="1444"/>
      <c r="Z23" s="1444"/>
      <c r="AA23" s="1444">
        <f t="shared" si="12"/>
        <v>0</v>
      </c>
      <c r="AB23" s="1097"/>
      <c r="AC23" s="1098"/>
      <c r="AD23" s="1098"/>
      <c r="AE23" s="1098"/>
      <c r="AF23" s="1098"/>
      <c r="AG23" s="1099">
        <f t="shared" si="13"/>
        <v>0</v>
      </c>
      <c r="AH23" s="1097"/>
      <c r="AI23" s="1098"/>
      <c r="AJ23" s="1098"/>
      <c r="AK23" s="1098"/>
      <c r="AL23" s="1098"/>
      <c r="AM23" s="1102">
        <f t="shared" si="14"/>
        <v>0</v>
      </c>
      <c r="AN23" s="1097"/>
      <c r="AO23" s="1098"/>
      <c r="AP23" s="1098"/>
      <c r="AQ23" s="1098"/>
      <c r="AR23" s="1098"/>
      <c r="AS23" s="1102">
        <f t="shared" si="15"/>
        <v>0</v>
      </c>
      <c r="AT23" s="1097"/>
      <c r="AU23" s="1098"/>
      <c r="AV23" s="1098"/>
      <c r="AW23" s="1098"/>
      <c r="AX23" s="1098"/>
      <c r="AY23" s="1102">
        <f t="shared" si="16"/>
        <v>0</v>
      </c>
    </row>
    <row r="24" spans="1:51" s="837" customFormat="1" x14ac:dyDescent="0.25">
      <c r="A24" s="1117" t="s">
        <v>50</v>
      </c>
      <c r="B24" s="1117" t="s">
        <v>51</v>
      </c>
      <c r="C24" s="1061" t="s">
        <v>265</v>
      </c>
      <c r="D24" s="1406">
        <f t="shared" si="4"/>
        <v>183398.92</v>
      </c>
      <c r="E24" s="1406">
        <f t="shared" si="5"/>
        <v>55395.4</v>
      </c>
      <c r="F24" s="1406">
        <f t="shared" si="6"/>
        <v>13934.6</v>
      </c>
      <c r="G24" s="1408">
        <f t="shared" si="7"/>
        <v>0</v>
      </c>
      <c r="H24" s="1411">
        <f t="shared" si="8"/>
        <v>13934.6</v>
      </c>
      <c r="I24" s="1412">
        <f t="shared" si="9"/>
        <v>252728.92</v>
      </c>
      <c r="J24" s="1118">
        <v>0</v>
      </c>
      <c r="K24" s="1118">
        <v>55738.400000000001</v>
      </c>
      <c r="L24" s="1118">
        <v>13934.6</v>
      </c>
      <c r="M24" s="1118">
        <v>0</v>
      </c>
      <c r="N24" s="1118">
        <v>0</v>
      </c>
      <c r="O24" s="1119">
        <f t="shared" si="10"/>
        <v>69673</v>
      </c>
      <c r="P24" s="1451">
        <v>-357</v>
      </c>
      <c r="Q24" s="1444">
        <v>-343</v>
      </c>
      <c r="R24" s="1444">
        <v>0</v>
      </c>
      <c r="S24" s="1444">
        <v>0</v>
      </c>
      <c r="T24" s="1444">
        <v>0</v>
      </c>
      <c r="U24" s="1450">
        <f t="shared" si="11"/>
        <v>-700</v>
      </c>
      <c r="V24" s="1444"/>
      <c r="W24" s="1444"/>
      <c r="X24" s="1444"/>
      <c r="Y24" s="1444"/>
      <c r="Z24" s="1444"/>
      <c r="AA24" s="1444">
        <f t="shared" si="12"/>
        <v>0</v>
      </c>
      <c r="AB24" s="1097"/>
      <c r="AC24" s="1098"/>
      <c r="AD24" s="1098"/>
      <c r="AE24" s="1098"/>
      <c r="AF24" s="1098"/>
      <c r="AG24" s="1099">
        <f t="shared" si="13"/>
        <v>0</v>
      </c>
      <c r="AH24" s="1097"/>
      <c r="AI24" s="1098"/>
      <c r="AJ24" s="1098"/>
      <c r="AK24" s="1098"/>
      <c r="AL24" s="1098"/>
      <c r="AM24" s="1102">
        <f t="shared" si="14"/>
        <v>0</v>
      </c>
      <c r="AN24" s="1097"/>
      <c r="AO24" s="1098"/>
      <c r="AP24" s="1098"/>
      <c r="AQ24" s="1098"/>
      <c r="AR24" s="1098"/>
      <c r="AS24" s="1102">
        <f t="shared" si="15"/>
        <v>0</v>
      </c>
      <c r="AT24" s="1097">
        <v>183755.92</v>
      </c>
      <c r="AU24" s="1098">
        <v>0</v>
      </c>
      <c r="AV24" s="1098">
        <v>0</v>
      </c>
      <c r="AW24" s="1098">
        <v>0</v>
      </c>
      <c r="AX24" s="1098">
        <v>0</v>
      </c>
      <c r="AY24" s="1102">
        <f t="shared" si="16"/>
        <v>183755.92</v>
      </c>
    </row>
    <row r="25" spans="1:51" s="837" customFormat="1" x14ac:dyDescent="0.25">
      <c r="A25" s="1117" t="s">
        <v>56</v>
      </c>
      <c r="B25" s="1117" t="s">
        <v>295</v>
      </c>
      <c r="C25" s="1061" t="s">
        <v>266</v>
      </c>
      <c r="D25" s="1406">
        <f t="shared" si="4"/>
        <v>-2511.21</v>
      </c>
      <c r="E25" s="1406">
        <f t="shared" si="5"/>
        <v>648844.72</v>
      </c>
      <c r="F25" s="1406">
        <f t="shared" si="6"/>
        <v>176440.68999999997</v>
      </c>
      <c r="G25" s="1408">
        <f t="shared" si="7"/>
        <v>-587.42999999999995</v>
      </c>
      <c r="H25" s="1411">
        <f t="shared" si="8"/>
        <v>175853.25999999998</v>
      </c>
      <c r="I25" s="1412">
        <f t="shared" si="9"/>
        <v>822186.7699999999</v>
      </c>
      <c r="J25" s="1118">
        <v>0</v>
      </c>
      <c r="K25" s="1118">
        <v>615174.5199999999</v>
      </c>
      <c r="L25" s="1118">
        <v>153793.62999999998</v>
      </c>
      <c r="M25" s="1118">
        <v>-12</v>
      </c>
      <c r="N25" s="1118">
        <v>0</v>
      </c>
      <c r="O25" s="1119">
        <f t="shared" si="10"/>
        <v>768956.14999999991</v>
      </c>
      <c r="P25" s="1451">
        <v>-4241.21</v>
      </c>
      <c r="Q25" s="1444">
        <v>-4074.8599999999997</v>
      </c>
      <c r="R25" s="1444">
        <v>0</v>
      </c>
      <c r="S25" s="1444">
        <v>-575.30999999999995</v>
      </c>
      <c r="T25" s="1444">
        <v>0</v>
      </c>
      <c r="U25" s="1450">
        <f t="shared" si="11"/>
        <v>-8891.3799999999992</v>
      </c>
      <c r="V25" s="1444"/>
      <c r="W25" s="1444"/>
      <c r="X25" s="1444"/>
      <c r="Y25" s="1444"/>
      <c r="Z25" s="1444"/>
      <c r="AA25" s="1444">
        <f t="shared" si="12"/>
        <v>0</v>
      </c>
      <c r="AB25" s="1100">
        <v>0</v>
      </c>
      <c r="AC25" s="1101">
        <v>37745.06</v>
      </c>
      <c r="AD25" s="1101">
        <v>22647.06</v>
      </c>
      <c r="AE25" s="1101">
        <v>-0.12</v>
      </c>
      <c r="AF25" s="1101">
        <v>0</v>
      </c>
      <c r="AG25" s="1099">
        <f t="shared" si="13"/>
        <v>60391.999999999993</v>
      </c>
      <c r="AH25" s="1100">
        <v>1730</v>
      </c>
      <c r="AI25" s="1101">
        <v>0</v>
      </c>
      <c r="AJ25" s="1101">
        <v>0</v>
      </c>
      <c r="AK25" s="1101">
        <v>0</v>
      </c>
      <c r="AL25" s="1101">
        <v>0</v>
      </c>
      <c r="AM25" s="1102">
        <f t="shared" si="14"/>
        <v>1730</v>
      </c>
      <c r="AN25" s="1100"/>
      <c r="AO25" s="1101"/>
      <c r="AP25" s="1101"/>
      <c r="AQ25" s="1101"/>
      <c r="AR25" s="1101"/>
      <c r="AS25" s="1102">
        <f t="shared" si="15"/>
        <v>0</v>
      </c>
      <c r="AT25" s="1100"/>
      <c r="AU25" s="1101"/>
      <c r="AV25" s="1101"/>
      <c r="AW25" s="1101"/>
      <c r="AX25" s="1101"/>
      <c r="AY25" s="1102">
        <f t="shared" si="16"/>
        <v>0</v>
      </c>
    </row>
    <row r="26" spans="1:51" s="837" customFormat="1" x14ac:dyDescent="0.25">
      <c r="A26" s="1117" t="s">
        <v>58</v>
      </c>
      <c r="B26" s="1117" t="s">
        <v>59</v>
      </c>
      <c r="C26" s="1061" t="s">
        <v>267</v>
      </c>
      <c r="D26" s="1406">
        <f t="shared" si="4"/>
        <v>0</v>
      </c>
      <c r="E26" s="1406">
        <f t="shared" si="5"/>
        <v>21059.200000000001</v>
      </c>
      <c r="F26" s="1406">
        <f t="shared" si="6"/>
        <v>5264.8</v>
      </c>
      <c r="G26" s="1408">
        <f t="shared" si="7"/>
        <v>-71</v>
      </c>
      <c r="H26" s="1411">
        <f t="shared" si="8"/>
        <v>5193.8</v>
      </c>
      <c r="I26" s="1412">
        <f t="shared" si="9"/>
        <v>26253</v>
      </c>
      <c r="J26" s="1118">
        <v>0</v>
      </c>
      <c r="K26" s="1118">
        <v>21059.200000000001</v>
      </c>
      <c r="L26" s="1118">
        <v>5264.8</v>
      </c>
      <c r="M26" s="1118">
        <v>0</v>
      </c>
      <c r="N26" s="1118">
        <v>0</v>
      </c>
      <c r="O26" s="1119">
        <f t="shared" si="10"/>
        <v>26324</v>
      </c>
      <c r="P26" s="1451"/>
      <c r="Q26" s="1444"/>
      <c r="R26" s="1444"/>
      <c r="S26" s="1444"/>
      <c r="T26" s="1444"/>
      <c r="U26" s="1450">
        <f t="shared" si="11"/>
        <v>0</v>
      </c>
      <c r="V26" s="1444"/>
      <c r="W26" s="1444"/>
      <c r="X26" s="1444"/>
      <c r="Y26" s="1444"/>
      <c r="Z26" s="1444"/>
      <c r="AA26" s="1444">
        <f t="shared" si="12"/>
        <v>0</v>
      </c>
      <c r="AB26" s="1097"/>
      <c r="AC26" s="1098"/>
      <c r="AD26" s="1098"/>
      <c r="AE26" s="1098"/>
      <c r="AF26" s="1098"/>
      <c r="AG26" s="1099">
        <f t="shared" si="13"/>
        <v>0</v>
      </c>
      <c r="AH26" s="1097"/>
      <c r="AI26" s="1098"/>
      <c r="AJ26" s="1098"/>
      <c r="AK26" s="1098"/>
      <c r="AL26" s="1098"/>
      <c r="AM26" s="1102">
        <f t="shared" si="14"/>
        <v>0</v>
      </c>
      <c r="AN26" s="1097">
        <v>0</v>
      </c>
      <c r="AO26" s="1098">
        <v>0</v>
      </c>
      <c r="AP26" s="1098">
        <v>0</v>
      </c>
      <c r="AQ26" s="1098">
        <v>-71</v>
      </c>
      <c r="AR26" s="1098">
        <v>0</v>
      </c>
      <c r="AS26" s="1102">
        <f t="shared" si="15"/>
        <v>-71</v>
      </c>
      <c r="AT26" s="1097"/>
      <c r="AU26" s="1098"/>
      <c r="AV26" s="1098"/>
      <c r="AW26" s="1098"/>
      <c r="AX26" s="1098"/>
      <c r="AY26" s="1102">
        <f t="shared" si="16"/>
        <v>0</v>
      </c>
    </row>
    <row r="27" spans="1:51" s="837" customFormat="1" x14ac:dyDescent="0.25">
      <c r="A27" s="1117" t="s">
        <v>60</v>
      </c>
      <c r="B27" s="1117" t="s">
        <v>61</v>
      </c>
      <c r="C27" s="1061" t="s">
        <v>265</v>
      </c>
      <c r="D27" s="1406">
        <f t="shared" si="4"/>
        <v>0</v>
      </c>
      <c r="E27" s="1406">
        <f t="shared" si="5"/>
        <v>36452</v>
      </c>
      <c r="F27" s="1406">
        <f t="shared" si="6"/>
        <v>9113</v>
      </c>
      <c r="G27" s="1408">
        <f t="shared" si="7"/>
        <v>0</v>
      </c>
      <c r="H27" s="1411">
        <f t="shared" si="8"/>
        <v>9113</v>
      </c>
      <c r="I27" s="1412">
        <f t="shared" si="9"/>
        <v>45565</v>
      </c>
      <c r="J27" s="1118">
        <v>0</v>
      </c>
      <c r="K27" s="1118">
        <v>36452</v>
      </c>
      <c r="L27" s="1118">
        <v>9113</v>
      </c>
      <c r="M27" s="1118">
        <v>0</v>
      </c>
      <c r="N27" s="1118">
        <v>0</v>
      </c>
      <c r="O27" s="1119">
        <f t="shared" si="10"/>
        <v>45565</v>
      </c>
      <c r="P27" s="1451"/>
      <c r="Q27" s="1444"/>
      <c r="R27" s="1444"/>
      <c r="S27" s="1444"/>
      <c r="T27" s="1444"/>
      <c r="U27" s="1450">
        <f t="shared" si="11"/>
        <v>0</v>
      </c>
      <c r="V27" s="1444"/>
      <c r="W27" s="1444"/>
      <c r="X27" s="1444"/>
      <c r="Y27" s="1444"/>
      <c r="Z27" s="1444"/>
      <c r="AA27" s="1444">
        <f t="shared" si="12"/>
        <v>0</v>
      </c>
      <c r="AB27" s="1097"/>
      <c r="AC27" s="1098"/>
      <c r="AD27" s="1098"/>
      <c r="AE27" s="1098"/>
      <c r="AF27" s="1098"/>
      <c r="AG27" s="1099">
        <f t="shared" si="13"/>
        <v>0</v>
      </c>
      <c r="AH27" s="1097"/>
      <c r="AI27" s="1098"/>
      <c r="AJ27" s="1098"/>
      <c r="AK27" s="1098"/>
      <c r="AL27" s="1098"/>
      <c r="AM27" s="1102">
        <f t="shared" si="14"/>
        <v>0</v>
      </c>
      <c r="AN27" s="1097"/>
      <c r="AO27" s="1098"/>
      <c r="AP27" s="1098"/>
      <c r="AQ27" s="1098"/>
      <c r="AR27" s="1098"/>
      <c r="AS27" s="1102">
        <f t="shared" si="15"/>
        <v>0</v>
      </c>
      <c r="AT27" s="1097"/>
      <c r="AU27" s="1098"/>
      <c r="AV27" s="1098"/>
      <c r="AW27" s="1098"/>
      <c r="AX27" s="1098"/>
      <c r="AY27" s="1102">
        <f t="shared" si="16"/>
        <v>0</v>
      </c>
    </row>
    <row r="28" spans="1:51" s="837" customFormat="1" x14ac:dyDescent="0.25">
      <c r="A28" s="1117" t="s">
        <v>62</v>
      </c>
      <c r="B28" s="1117" t="s">
        <v>63</v>
      </c>
      <c r="C28" s="1061" t="s">
        <v>267</v>
      </c>
      <c r="D28" s="1406">
        <f t="shared" si="4"/>
        <v>-963.95</v>
      </c>
      <c r="E28" s="1406">
        <f t="shared" si="5"/>
        <v>64236.65</v>
      </c>
      <c r="F28" s="1406">
        <f t="shared" si="6"/>
        <v>16265.2</v>
      </c>
      <c r="G28" s="1408">
        <f t="shared" si="7"/>
        <v>564</v>
      </c>
      <c r="H28" s="1411">
        <f t="shared" si="8"/>
        <v>16829.2</v>
      </c>
      <c r="I28" s="1412">
        <f t="shared" si="9"/>
        <v>80101.900000000009</v>
      </c>
      <c r="J28" s="1118">
        <v>0</v>
      </c>
      <c r="K28" s="1118">
        <v>65060.800000000003</v>
      </c>
      <c r="L28" s="1118">
        <v>16265.2</v>
      </c>
      <c r="M28" s="1118">
        <v>0</v>
      </c>
      <c r="N28" s="1118">
        <v>0</v>
      </c>
      <c r="O28" s="1119">
        <f t="shared" si="10"/>
        <v>81326</v>
      </c>
      <c r="P28" s="1451">
        <v>-963.95</v>
      </c>
      <c r="Q28" s="1444">
        <v>-926.15</v>
      </c>
      <c r="R28" s="1444">
        <v>0</v>
      </c>
      <c r="S28" s="1444">
        <v>8</v>
      </c>
      <c r="T28" s="1444">
        <v>0</v>
      </c>
      <c r="U28" s="1450">
        <f t="shared" si="11"/>
        <v>-1882.1</v>
      </c>
      <c r="V28" s="1444"/>
      <c r="W28" s="1444"/>
      <c r="X28" s="1444"/>
      <c r="Y28" s="1444"/>
      <c r="Z28" s="1444"/>
      <c r="AA28" s="1444">
        <f t="shared" si="12"/>
        <v>0</v>
      </c>
      <c r="AB28" s="1100"/>
      <c r="AC28" s="1101"/>
      <c r="AD28" s="1101"/>
      <c r="AE28" s="1101"/>
      <c r="AF28" s="1101"/>
      <c r="AG28" s="1099">
        <f t="shared" si="13"/>
        <v>0</v>
      </c>
      <c r="AH28" s="1097"/>
      <c r="AI28" s="1098"/>
      <c r="AJ28" s="1098"/>
      <c r="AK28" s="1098"/>
      <c r="AL28" s="1098"/>
      <c r="AM28" s="1102">
        <f t="shared" si="14"/>
        <v>0</v>
      </c>
      <c r="AN28" s="1097">
        <v>0</v>
      </c>
      <c r="AO28" s="1098">
        <v>102</v>
      </c>
      <c r="AP28" s="1098">
        <v>0</v>
      </c>
      <c r="AQ28" s="1098">
        <v>556</v>
      </c>
      <c r="AR28" s="1098">
        <v>0</v>
      </c>
      <c r="AS28" s="1102">
        <f t="shared" si="15"/>
        <v>658</v>
      </c>
      <c r="AT28" s="1097"/>
      <c r="AU28" s="1098"/>
      <c r="AV28" s="1098"/>
      <c r="AW28" s="1098"/>
      <c r="AX28" s="1098"/>
      <c r="AY28" s="1102">
        <f t="shared" si="16"/>
        <v>0</v>
      </c>
    </row>
    <row r="29" spans="1:51" s="837" customFormat="1" x14ac:dyDescent="0.25">
      <c r="A29" s="1117" t="s">
        <v>64</v>
      </c>
      <c r="B29" s="1117" t="s">
        <v>65</v>
      </c>
      <c r="C29" s="1061" t="s">
        <v>266</v>
      </c>
      <c r="D29" s="1406">
        <f t="shared" si="4"/>
        <v>-323.08999999999997</v>
      </c>
      <c r="E29" s="1406">
        <f t="shared" si="5"/>
        <v>62041.58</v>
      </c>
      <c r="F29" s="1406">
        <f t="shared" si="6"/>
        <v>15588</v>
      </c>
      <c r="G29" s="1408">
        <f t="shared" si="7"/>
        <v>0.01</v>
      </c>
      <c r="H29" s="1411">
        <f t="shared" si="8"/>
        <v>15588.01</v>
      </c>
      <c r="I29" s="1412">
        <f t="shared" si="9"/>
        <v>77306.5</v>
      </c>
      <c r="J29" s="1118">
        <v>0</v>
      </c>
      <c r="K29" s="1118">
        <v>62352</v>
      </c>
      <c r="L29" s="1118">
        <v>15588</v>
      </c>
      <c r="M29" s="1118">
        <v>0</v>
      </c>
      <c r="N29" s="1118">
        <v>0</v>
      </c>
      <c r="O29" s="1119">
        <f t="shared" si="10"/>
        <v>77940</v>
      </c>
      <c r="P29" s="1451">
        <v>-323.08999999999997</v>
      </c>
      <c r="Q29" s="1444">
        <v>-310.42</v>
      </c>
      <c r="R29" s="1444">
        <v>0</v>
      </c>
      <c r="S29" s="1444">
        <v>0.01</v>
      </c>
      <c r="T29" s="1444">
        <v>0</v>
      </c>
      <c r="U29" s="1450">
        <f t="shared" si="11"/>
        <v>-633.5</v>
      </c>
      <c r="V29" s="1444"/>
      <c r="W29" s="1444"/>
      <c r="X29" s="1444"/>
      <c r="Y29" s="1444"/>
      <c r="Z29" s="1444"/>
      <c r="AA29" s="1444">
        <f t="shared" si="12"/>
        <v>0</v>
      </c>
      <c r="AB29" s="1097"/>
      <c r="AC29" s="1098"/>
      <c r="AD29" s="1098"/>
      <c r="AE29" s="1098"/>
      <c r="AF29" s="1098"/>
      <c r="AG29" s="1099">
        <f t="shared" si="13"/>
        <v>0</v>
      </c>
      <c r="AH29" s="1097"/>
      <c r="AI29" s="1098"/>
      <c r="AJ29" s="1098"/>
      <c r="AK29" s="1098"/>
      <c r="AL29" s="1098"/>
      <c r="AM29" s="1102">
        <f t="shared" si="14"/>
        <v>0</v>
      </c>
      <c r="AN29" s="1097"/>
      <c r="AO29" s="1098"/>
      <c r="AP29" s="1098"/>
      <c r="AQ29" s="1098"/>
      <c r="AR29" s="1098"/>
      <c r="AS29" s="1102">
        <f t="shared" si="15"/>
        <v>0</v>
      </c>
      <c r="AT29" s="1097"/>
      <c r="AU29" s="1098"/>
      <c r="AV29" s="1098"/>
      <c r="AW29" s="1098"/>
      <c r="AX29" s="1098"/>
      <c r="AY29" s="1102">
        <f t="shared" si="16"/>
        <v>0</v>
      </c>
    </row>
    <row r="30" spans="1:51" s="837" customFormat="1" x14ac:dyDescent="0.25">
      <c r="A30" s="1117" t="s">
        <v>68</v>
      </c>
      <c r="B30" s="1117" t="s">
        <v>69</v>
      </c>
      <c r="C30" s="1061" t="s">
        <v>268</v>
      </c>
      <c r="D30" s="1406">
        <f t="shared" si="4"/>
        <v>-379.4</v>
      </c>
      <c r="E30" s="1406">
        <f t="shared" si="5"/>
        <v>40711.25</v>
      </c>
      <c r="F30" s="1406">
        <f t="shared" si="6"/>
        <v>10268.94</v>
      </c>
      <c r="G30" s="1408">
        <f t="shared" si="7"/>
        <v>0.01</v>
      </c>
      <c r="H30" s="1411">
        <f t="shared" si="8"/>
        <v>10268.950000000001</v>
      </c>
      <c r="I30" s="1412">
        <f t="shared" si="9"/>
        <v>50600.800000000003</v>
      </c>
      <c r="J30" s="1118">
        <v>0</v>
      </c>
      <c r="K30" s="1118">
        <v>41075.78</v>
      </c>
      <c r="L30" s="1118">
        <v>10268.94</v>
      </c>
      <c r="M30" s="1118">
        <v>0</v>
      </c>
      <c r="N30" s="1118">
        <v>0</v>
      </c>
      <c r="O30" s="1119">
        <f t="shared" si="10"/>
        <v>51344.72</v>
      </c>
      <c r="P30" s="1451">
        <v>-379.4</v>
      </c>
      <c r="Q30" s="1444">
        <v>-364.53</v>
      </c>
      <c r="R30" s="1444">
        <v>0</v>
      </c>
      <c r="S30" s="1444">
        <v>0.01</v>
      </c>
      <c r="T30" s="1444">
        <v>0</v>
      </c>
      <c r="U30" s="1450">
        <f t="shared" si="11"/>
        <v>-743.92</v>
      </c>
      <c r="V30" s="1444"/>
      <c r="W30" s="1444"/>
      <c r="X30" s="1444"/>
      <c r="Y30" s="1444"/>
      <c r="Z30" s="1444"/>
      <c r="AA30" s="1444">
        <f t="shared" si="12"/>
        <v>0</v>
      </c>
      <c r="AB30" s="1097"/>
      <c r="AC30" s="1098"/>
      <c r="AD30" s="1098"/>
      <c r="AE30" s="1098"/>
      <c r="AF30" s="1098"/>
      <c r="AG30" s="1099">
        <f t="shared" si="13"/>
        <v>0</v>
      </c>
      <c r="AH30" s="1097"/>
      <c r="AI30" s="1098"/>
      <c r="AJ30" s="1098"/>
      <c r="AK30" s="1098"/>
      <c r="AL30" s="1098"/>
      <c r="AM30" s="1102">
        <f t="shared" si="14"/>
        <v>0</v>
      </c>
      <c r="AN30" s="1097"/>
      <c r="AO30" s="1098"/>
      <c r="AP30" s="1098"/>
      <c r="AQ30" s="1098"/>
      <c r="AR30" s="1098"/>
      <c r="AS30" s="1102">
        <f t="shared" si="15"/>
        <v>0</v>
      </c>
      <c r="AT30" s="1097"/>
      <c r="AU30" s="1098"/>
      <c r="AV30" s="1098"/>
      <c r="AW30" s="1098"/>
      <c r="AX30" s="1098"/>
      <c r="AY30" s="1102">
        <f t="shared" si="16"/>
        <v>0</v>
      </c>
    </row>
    <row r="31" spans="1:51" s="837" customFormat="1" x14ac:dyDescent="0.25">
      <c r="A31" s="1117" t="s">
        <v>70</v>
      </c>
      <c r="B31" s="1117" t="s">
        <v>71</v>
      </c>
      <c r="C31" s="1061" t="s">
        <v>264</v>
      </c>
      <c r="D31" s="1406">
        <f t="shared" si="4"/>
        <v>0</v>
      </c>
      <c r="E31" s="1406">
        <f t="shared" si="5"/>
        <v>195358.4</v>
      </c>
      <c r="F31" s="1406">
        <f t="shared" si="6"/>
        <v>48839.6</v>
      </c>
      <c r="G31" s="1408">
        <f t="shared" si="7"/>
        <v>0</v>
      </c>
      <c r="H31" s="1411">
        <f t="shared" si="8"/>
        <v>48839.6</v>
      </c>
      <c r="I31" s="1412">
        <f t="shared" si="9"/>
        <v>244198</v>
      </c>
      <c r="J31" s="1118">
        <v>0</v>
      </c>
      <c r="K31" s="1118">
        <v>195358.4</v>
      </c>
      <c r="L31" s="1118">
        <v>48839.6</v>
      </c>
      <c r="M31" s="1118">
        <v>0</v>
      </c>
      <c r="N31" s="1118">
        <v>0</v>
      </c>
      <c r="O31" s="1119">
        <f t="shared" si="10"/>
        <v>244198</v>
      </c>
      <c r="P31" s="1451"/>
      <c r="Q31" s="1444"/>
      <c r="R31" s="1444"/>
      <c r="S31" s="1444"/>
      <c r="T31" s="1444"/>
      <c r="U31" s="1450">
        <f t="shared" si="11"/>
        <v>0</v>
      </c>
      <c r="V31" s="1444"/>
      <c r="W31" s="1444"/>
      <c r="X31" s="1444"/>
      <c r="Y31" s="1444"/>
      <c r="Z31" s="1444"/>
      <c r="AA31" s="1444">
        <f t="shared" si="12"/>
        <v>0</v>
      </c>
      <c r="AB31" s="1097"/>
      <c r="AC31" s="1098"/>
      <c r="AD31" s="1098"/>
      <c r="AE31" s="1098"/>
      <c r="AF31" s="1098"/>
      <c r="AG31" s="1099">
        <f t="shared" si="13"/>
        <v>0</v>
      </c>
      <c r="AH31" s="1097"/>
      <c r="AI31" s="1098"/>
      <c r="AJ31" s="1098"/>
      <c r="AK31" s="1098"/>
      <c r="AL31" s="1098"/>
      <c r="AM31" s="1102">
        <f t="shared" si="14"/>
        <v>0</v>
      </c>
      <c r="AN31" s="1097"/>
      <c r="AO31" s="1098"/>
      <c r="AP31" s="1098"/>
      <c r="AQ31" s="1098"/>
      <c r="AR31" s="1098"/>
      <c r="AS31" s="1102">
        <f t="shared" si="15"/>
        <v>0</v>
      </c>
      <c r="AT31" s="1097"/>
      <c r="AU31" s="1098"/>
      <c r="AV31" s="1098"/>
      <c r="AW31" s="1098"/>
      <c r="AX31" s="1098"/>
      <c r="AY31" s="1102">
        <f t="shared" si="16"/>
        <v>0</v>
      </c>
    </row>
    <row r="32" spans="1:51" s="837" customFormat="1" x14ac:dyDescent="0.25">
      <c r="A32" s="1117" t="s">
        <v>72</v>
      </c>
      <c r="B32" s="1117" t="s">
        <v>73</v>
      </c>
      <c r="C32" s="1061" t="s">
        <v>266</v>
      </c>
      <c r="D32" s="1406">
        <f t="shared" si="4"/>
        <v>0</v>
      </c>
      <c r="E32" s="1406">
        <f t="shared" si="5"/>
        <v>33251.199999999997</v>
      </c>
      <c r="F32" s="1406">
        <f t="shared" si="6"/>
        <v>8312.7999999999993</v>
      </c>
      <c r="G32" s="1408">
        <f t="shared" si="7"/>
        <v>0</v>
      </c>
      <c r="H32" s="1411">
        <f t="shared" si="8"/>
        <v>8312.7999999999993</v>
      </c>
      <c r="I32" s="1412">
        <f t="shared" si="9"/>
        <v>41564</v>
      </c>
      <c r="J32" s="1118">
        <v>0</v>
      </c>
      <c r="K32" s="1118">
        <v>33251.199999999997</v>
      </c>
      <c r="L32" s="1118">
        <v>8312.7999999999993</v>
      </c>
      <c r="M32" s="1118">
        <v>0</v>
      </c>
      <c r="N32" s="1118">
        <v>0</v>
      </c>
      <c r="O32" s="1119">
        <f t="shared" si="10"/>
        <v>41564</v>
      </c>
      <c r="P32" s="1451"/>
      <c r="Q32" s="1444"/>
      <c r="R32" s="1444"/>
      <c r="S32" s="1444"/>
      <c r="T32" s="1444"/>
      <c r="U32" s="1450">
        <f t="shared" si="11"/>
        <v>0</v>
      </c>
      <c r="V32" s="1444"/>
      <c r="W32" s="1444"/>
      <c r="X32" s="1444"/>
      <c r="Y32" s="1444"/>
      <c r="Z32" s="1444"/>
      <c r="AA32" s="1444">
        <f t="shared" si="12"/>
        <v>0</v>
      </c>
      <c r="AB32" s="1097"/>
      <c r="AC32" s="1098"/>
      <c r="AD32" s="1098"/>
      <c r="AE32" s="1098"/>
      <c r="AF32" s="1098"/>
      <c r="AG32" s="1099">
        <f t="shared" si="13"/>
        <v>0</v>
      </c>
      <c r="AH32" s="1097"/>
      <c r="AI32" s="1098"/>
      <c r="AJ32" s="1098"/>
      <c r="AK32" s="1098"/>
      <c r="AL32" s="1098"/>
      <c r="AM32" s="1102">
        <f t="shared" si="14"/>
        <v>0</v>
      </c>
      <c r="AN32" s="1097"/>
      <c r="AO32" s="1098"/>
      <c r="AP32" s="1098"/>
      <c r="AQ32" s="1098"/>
      <c r="AR32" s="1098"/>
      <c r="AS32" s="1102">
        <f t="shared" si="15"/>
        <v>0</v>
      </c>
      <c r="AT32" s="1097"/>
      <c r="AU32" s="1098"/>
      <c r="AV32" s="1098"/>
      <c r="AW32" s="1098"/>
      <c r="AX32" s="1098"/>
      <c r="AY32" s="1102">
        <f t="shared" si="16"/>
        <v>0</v>
      </c>
    </row>
    <row r="33" spans="1:51" s="837" customFormat="1" x14ac:dyDescent="0.25">
      <c r="A33" s="1117" t="s">
        <v>74</v>
      </c>
      <c r="B33" s="1117" t="s">
        <v>664</v>
      </c>
      <c r="C33" s="1061" t="s">
        <v>267</v>
      </c>
      <c r="D33" s="1406">
        <f t="shared" si="4"/>
        <v>613638.98</v>
      </c>
      <c r="E33" s="1406">
        <f t="shared" si="5"/>
        <v>1069292.5699999998</v>
      </c>
      <c r="F33" s="1406">
        <f t="shared" si="6"/>
        <v>283404.11</v>
      </c>
      <c r="G33" s="1408">
        <f t="shared" si="7"/>
        <v>-0.02</v>
      </c>
      <c r="H33" s="1411">
        <f t="shared" si="8"/>
        <v>283404.08999999997</v>
      </c>
      <c r="I33" s="1412">
        <f t="shared" si="9"/>
        <v>1966335.6399999997</v>
      </c>
      <c r="J33" s="1118">
        <v>0</v>
      </c>
      <c r="K33" s="1118">
        <v>1052466.3999999999</v>
      </c>
      <c r="L33" s="1118">
        <v>263116.59999999998</v>
      </c>
      <c r="M33" s="1118">
        <v>0</v>
      </c>
      <c r="N33" s="1118">
        <v>0</v>
      </c>
      <c r="O33" s="1119">
        <f t="shared" si="10"/>
        <v>1315583</v>
      </c>
      <c r="P33" s="1451">
        <v>-16240.42</v>
      </c>
      <c r="Q33" s="1444">
        <v>-15603.54</v>
      </c>
      <c r="R33" s="1444">
        <v>0</v>
      </c>
      <c r="S33" s="1444">
        <v>0</v>
      </c>
      <c r="T33" s="1444">
        <v>0</v>
      </c>
      <c r="U33" s="1450">
        <f t="shared" si="11"/>
        <v>-31843.96</v>
      </c>
      <c r="V33" s="1444"/>
      <c r="W33" s="1444"/>
      <c r="X33" s="1444"/>
      <c r="Y33" s="1444"/>
      <c r="Z33" s="1444"/>
      <c r="AA33" s="1444">
        <f t="shared" si="12"/>
        <v>0</v>
      </c>
      <c r="AB33" s="1100">
        <v>0</v>
      </c>
      <c r="AC33" s="1101">
        <v>33812.51</v>
      </c>
      <c r="AD33" s="1101">
        <v>20287.509999999998</v>
      </c>
      <c r="AE33" s="1101">
        <v>-0.02</v>
      </c>
      <c r="AF33" s="1101">
        <v>0</v>
      </c>
      <c r="AG33" s="1099">
        <f t="shared" si="13"/>
        <v>54100.000000000007</v>
      </c>
      <c r="AH33" s="1100">
        <v>327596</v>
      </c>
      <c r="AI33" s="1101">
        <v>0</v>
      </c>
      <c r="AJ33" s="1101">
        <v>0</v>
      </c>
      <c r="AK33" s="1101">
        <v>0</v>
      </c>
      <c r="AL33" s="1101">
        <v>0</v>
      </c>
      <c r="AM33" s="1102">
        <f t="shared" si="14"/>
        <v>327596</v>
      </c>
      <c r="AN33" s="1100">
        <v>0</v>
      </c>
      <c r="AO33" s="1101">
        <v>-1382.8</v>
      </c>
      <c r="AP33" s="1101">
        <v>0</v>
      </c>
      <c r="AQ33" s="1101">
        <v>0</v>
      </c>
      <c r="AR33" s="1101">
        <v>0</v>
      </c>
      <c r="AS33" s="1102">
        <f t="shared" si="15"/>
        <v>-1382.8</v>
      </c>
      <c r="AT33" s="1100">
        <v>302283.40000000002</v>
      </c>
      <c r="AU33" s="1101">
        <v>0</v>
      </c>
      <c r="AV33" s="1101">
        <v>0</v>
      </c>
      <c r="AW33" s="1101">
        <v>0</v>
      </c>
      <c r="AX33" s="1101">
        <v>0</v>
      </c>
      <c r="AY33" s="1102">
        <f t="shared" si="16"/>
        <v>302283.40000000002</v>
      </c>
    </row>
    <row r="34" spans="1:51" s="837" customFormat="1" x14ac:dyDescent="0.25">
      <c r="A34" s="1117" t="s">
        <v>76</v>
      </c>
      <c r="B34" s="1117" t="s">
        <v>77</v>
      </c>
      <c r="C34" s="1061" t="s">
        <v>267</v>
      </c>
      <c r="D34" s="1406">
        <f t="shared" si="4"/>
        <v>1933.45</v>
      </c>
      <c r="E34" s="1406">
        <f t="shared" si="5"/>
        <v>70496.150000000009</v>
      </c>
      <c r="F34" s="1406">
        <f t="shared" si="6"/>
        <v>17705.400000000001</v>
      </c>
      <c r="G34" s="1408">
        <f t="shared" si="7"/>
        <v>22227.010000000002</v>
      </c>
      <c r="H34" s="1411">
        <f t="shared" si="8"/>
        <v>39932.410000000003</v>
      </c>
      <c r="I34" s="1412">
        <f t="shared" si="9"/>
        <v>112362.01000000001</v>
      </c>
      <c r="J34" s="1118">
        <v>0</v>
      </c>
      <c r="K34" s="1118">
        <v>70821.600000000006</v>
      </c>
      <c r="L34" s="1118">
        <v>17705.400000000001</v>
      </c>
      <c r="M34" s="1118">
        <v>0</v>
      </c>
      <c r="N34" s="1118">
        <v>0</v>
      </c>
      <c r="O34" s="1119">
        <f t="shared" si="10"/>
        <v>88527</v>
      </c>
      <c r="P34" s="1451">
        <v>-2.5499999999999998</v>
      </c>
      <c r="Q34" s="1444">
        <v>-2.4500000000000002</v>
      </c>
      <c r="R34" s="1444">
        <v>0</v>
      </c>
      <c r="S34" s="1444">
        <v>-30</v>
      </c>
      <c r="T34" s="1444">
        <v>0</v>
      </c>
      <c r="U34" s="1450">
        <f t="shared" si="11"/>
        <v>-35</v>
      </c>
      <c r="V34" s="1444"/>
      <c r="W34" s="1444"/>
      <c r="X34" s="1444"/>
      <c r="Y34" s="1444"/>
      <c r="Z34" s="1444"/>
      <c r="AA34" s="1444">
        <f t="shared" si="12"/>
        <v>0</v>
      </c>
      <c r="AB34" s="1100">
        <v>0</v>
      </c>
      <c r="AC34" s="1101">
        <v>0</v>
      </c>
      <c r="AD34" s="1101">
        <v>0</v>
      </c>
      <c r="AE34" s="1101">
        <v>8220</v>
      </c>
      <c r="AF34" s="1101">
        <v>14067.01</v>
      </c>
      <c r="AG34" s="1099">
        <f t="shared" si="13"/>
        <v>22287.010000000002</v>
      </c>
      <c r="AH34" s="1097">
        <v>1936</v>
      </c>
      <c r="AI34" s="1098">
        <v>0</v>
      </c>
      <c r="AJ34" s="1098">
        <v>0</v>
      </c>
      <c r="AK34" s="1098">
        <v>0</v>
      </c>
      <c r="AL34" s="1098">
        <v>0</v>
      </c>
      <c r="AM34" s="1102">
        <f t="shared" si="14"/>
        <v>1936</v>
      </c>
      <c r="AN34" s="1097">
        <v>0</v>
      </c>
      <c r="AO34" s="1098">
        <v>-323</v>
      </c>
      <c r="AP34" s="1098">
        <v>0</v>
      </c>
      <c r="AQ34" s="1098">
        <v>-30</v>
      </c>
      <c r="AR34" s="1098">
        <v>0</v>
      </c>
      <c r="AS34" s="1102">
        <f t="shared" si="15"/>
        <v>-353</v>
      </c>
      <c r="AT34" s="1097"/>
      <c r="AU34" s="1098"/>
      <c r="AV34" s="1098"/>
      <c r="AW34" s="1098"/>
      <c r="AX34" s="1098"/>
      <c r="AY34" s="1102">
        <f t="shared" si="16"/>
        <v>0</v>
      </c>
    </row>
    <row r="35" spans="1:51" s="837" customFormat="1" x14ac:dyDescent="0.25">
      <c r="A35" s="1117" t="s">
        <v>78</v>
      </c>
      <c r="B35" s="1117" t="s">
        <v>79</v>
      </c>
      <c r="C35" s="1061" t="s">
        <v>268</v>
      </c>
      <c r="D35" s="1406">
        <f t="shared" si="4"/>
        <v>-51</v>
      </c>
      <c r="E35" s="1406">
        <f t="shared" si="5"/>
        <v>56398.6</v>
      </c>
      <c r="F35" s="1406">
        <f t="shared" si="6"/>
        <v>14781.4</v>
      </c>
      <c r="G35" s="1408">
        <f t="shared" si="7"/>
        <v>0</v>
      </c>
      <c r="H35" s="1411">
        <f t="shared" si="8"/>
        <v>14781.4</v>
      </c>
      <c r="I35" s="1412">
        <f t="shared" si="9"/>
        <v>71129</v>
      </c>
      <c r="J35" s="1118">
        <v>0</v>
      </c>
      <c r="K35" s="1118">
        <v>59125.599999999999</v>
      </c>
      <c r="L35" s="1118">
        <v>14781.4</v>
      </c>
      <c r="M35" s="1118">
        <v>0</v>
      </c>
      <c r="N35" s="1118">
        <v>0</v>
      </c>
      <c r="O35" s="1119">
        <f t="shared" si="10"/>
        <v>73907</v>
      </c>
      <c r="P35" s="1451">
        <v>-51</v>
      </c>
      <c r="Q35" s="1444">
        <v>-49</v>
      </c>
      <c r="R35" s="1444">
        <v>0</v>
      </c>
      <c r="S35" s="1444">
        <v>0</v>
      </c>
      <c r="T35" s="1444">
        <v>0</v>
      </c>
      <c r="U35" s="1450">
        <f t="shared" si="11"/>
        <v>-100</v>
      </c>
      <c r="V35" s="1444"/>
      <c r="W35" s="1444"/>
      <c r="X35" s="1444"/>
      <c r="Y35" s="1444"/>
      <c r="Z35" s="1444"/>
      <c r="AA35" s="1444">
        <f t="shared" si="12"/>
        <v>0</v>
      </c>
      <c r="AB35" s="1097"/>
      <c r="AC35" s="1098"/>
      <c r="AD35" s="1098"/>
      <c r="AE35" s="1098"/>
      <c r="AF35" s="1098"/>
      <c r="AG35" s="1099">
        <f t="shared" si="13"/>
        <v>0</v>
      </c>
      <c r="AH35" s="1097"/>
      <c r="AI35" s="1098"/>
      <c r="AJ35" s="1098"/>
      <c r="AK35" s="1098"/>
      <c r="AL35" s="1098"/>
      <c r="AM35" s="1102">
        <f t="shared" si="14"/>
        <v>0</v>
      </c>
      <c r="AN35" s="1097">
        <v>0</v>
      </c>
      <c r="AO35" s="1098">
        <v>-2678</v>
      </c>
      <c r="AP35" s="1098">
        <v>0</v>
      </c>
      <c r="AQ35" s="1098">
        <v>0</v>
      </c>
      <c r="AR35" s="1098">
        <v>0</v>
      </c>
      <c r="AS35" s="1102">
        <f t="shared" si="15"/>
        <v>-2678</v>
      </c>
      <c r="AT35" s="1097"/>
      <c r="AU35" s="1098"/>
      <c r="AV35" s="1098"/>
      <c r="AW35" s="1098"/>
      <c r="AX35" s="1098"/>
      <c r="AY35" s="1102">
        <f t="shared" si="16"/>
        <v>0</v>
      </c>
    </row>
    <row r="36" spans="1:51" s="837" customFormat="1" x14ac:dyDescent="0.25">
      <c r="A36" s="1117" t="s">
        <v>80</v>
      </c>
      <c r="B36" s="1117" t="s">
        <v>81</v>
      </c>
      <c r="C36" s="1061" t="s">
        <v>266</v>
      </c>
      <c r="D36" s="1406">
        <f t="shared" si="4"/>
        <v>0</v>
      </c>
      <c r="E36" s="1406">
        <f t="shared" si="5"/>
        <v>23274</v>
      </c>
      <c r="F36" s="1406">
        <f t="shared" si="6"/>
        <v>6063.3600000000006</v>
      </c>
      <c r="G36" s="1408">
        <f t="shared" si="7"/>
        <v>0</v>
      </c>
      <c r="H36" s="1411">
        <f t="shared" si="8"/>
        <v>6063.3600000000006</v>
      </c>
      <c r="I36" s="1412">
        <f t="shared" si="9"/>
        <v>29337.360000000001</v>
      </c>
      <c r="J36" s="1118">
        <v>0</v>
      </c>
      <c r="K36" s="1118">
        <v>22574.400000000001</v>
      </c>
      <c r="L36" s="1118">
        <v>5643.6</v>
      </c>
      <c r="M36" s="1118">
        <v>0</v>
      </c>
      <c r="N36" s="1118">
        <v>0</v>
      </c>
      <c r="O36" s="1119">
        <f t="shared" si="10"/>
        <v>28218</v>
      </c>
      <c r="P36" s="1451"/>
      <c r="Q36" s="1444"/>
      <c r="R36" s="1444"/>
      <c r="S36" s="1444"/>
      <c r="T36" s="1444"/>
      <c r="U36" s="1450">
        <f t="shared" si="11"/>
        <v>0</v>
      </c>
      <c r="V36" s="1444"/>
      <c r="W36" s="1444"/>
      <c r="X36" s="1444"/>
      <c r="Y36" s="1444"/>
      <c r="Z36" s="1444"/>
      <c r="AA36" s="1444">
        <f t="shared" si="12"/>
        <v>0</v>
      </c>
      <c r="AB36" s="1100">
        <v>0</v>
      </c>
      <c r="AC36" s="1101">
        <v>699.6</v>
      </c>
      <c r="AD36" s="1101">
        <v>419.76</v>
      </c>
      <c r="AE36" s="1101">
        <v>0</v>
      </c>
      <c r="AF36" s="1101">
        <v>0</v>
      </c>
      <c r="AG36" s="1099">
        <f t="shared" si="13"/>
        <v>1119.3600000000001</v>
      </c>
      <c r="AH36" s="1097"/>
      <c r="AI36" s="1098"/>
      <c r="AJ36" s="1098"/>
      <c r="AK36" s="1098"/>
      <c r="AL36" s="1098"/>
      <c r="AM36" s="1102">
        <f t="shared" si="14"/>
        <v>0</v>
      </c>
      <c r="AN36" s="1097"/>
      <c r="AO36" s="1098"/>
      <c r="AP36" s="1098"/>
      <c r="AQ36" s="1098"/>
      <c r="AR36" s="1098"/>
      <c r="AS36" s="1102">
        <f t="shared" si="15"/>
        <v>0</v>
      </c>
      <c r="AT36" s="1097"/>
      <c r="AU36" s="1098"/>
      <c r="AV36" s="1098"/>
      <c r="AW36" s="1098"/>
      <c r="AX36" s="1098"/>
      <c r="AY36" s="1102">
        <f t="shared" si="16"/>
        <v>0</v>
      </c>
    </row>
    <row r="37" spans="1:51" s="837" customFormat="1" x14ac:dyDescent="0.25">
      <c r="A37" s="1117" t="s">
        <v>84</v>
      </c>
      <c r="B37" s="1117" t="s">
        <v>308</v>
      </c>
      <c r="C37" s="1061" t="s">
        <v>265</v>
      </c>
      <c r="D37" s="1406">
        <f t="shared" si="4"/>
        <v>-1010.82</v>
      </c>
      <c r="E37" s="1406">
        <f t="shared" si="5"/>
        <v>140328.04</v>
      </c>
      <c r="F37" s="1406">
        <f t="shared" si="6"/>
        <v>35324.800000000003</v>
      </c>
      <c r="G37" s="1408">
        <f t="shared" si="7"/>
        <v>0</v>
      </c>
      <c r="H37" s="1411">
        <f t="shared" si="8"/>
        <v>35324.800000000003</v>
      </c>
      <c r="I37" s="1412">
        <f t="shared" si="9"/>
        <v>174642.02000000002</v>
      </c>
      <c r="J37" s="1118">
        <v>0</v>
      </c>
      <c r="K37" s="1118">
        <v>141299.20000000001</v>
      </c>
      <c r="L37" s="1118">
        <v>35324.800000000003</v>
      </c>
      <c r="M37" s="1118">
        <v>0</v>
      </c>
      <c r="N37" s="1118">
        <v>0</v>
      </c>
      <c r="O37" s="1119">
        <f t="shared" si="10"/>
        <v>176624</v>
      </c>
      <c r="P37" s="1451">
        <v>-1010.82</v>
      </c>
      <c r="Q37" s="1444">
        <v>-971.16</v>
      </c>
      <c r="R37" s="1444">
        <v>0</v>
      </c>
      <c r="S37" s="1444">
        <v>0</v>
      </c>
      <c r="T37" s="1444">
        <v>0</v>
      </c>
      <c r="U37" s="1450">
        <f t="shared" si="11"/>
        <v>-1981.98</v>
      </c>
      <c r="V37" s="1444"/>
      <c r="W37" s="1444"/>
      <c r="X37" s="1444"/>
      <c r="Y37" s="1444"/>
      <c r="Z37" s="1444"/>
      <c r="AA37" s="1444">
        <f t="shared" si="12"/>
        <v>0</v>
      </c>
      <c r="AB37" s="1100"/>
      <c r="AC37" s="1101"/>
      <c r="AD37" s="1101"/>
      <c r="AE37" s="1101"/>
      <c r="AF37" s="1101"/>
      <c r="AG37" s="1099">
        <f t="shared" si="13"/>
        <v>0</v>
      </c>
      <c r="AH37" s="1097"/>
      <c r="AI37" s="1098"/>
      <c r="AJ37" s="1098"/>
      <c r="AK37" s="1098"/>
      <c r="AL37" s="1098"/>
      <c r="AM37" s="1102">
        <f t="shared" si="14"/>
        <v>0</v>
      </c>
      <c r="AN37" s="1097"/>
      <c r="AO37" s="1098"/>
      <c r="AP37" s="1098"/>
      <c r="AQ37" s="1098"/>
      <c r="AR37" s="1098"/>
      <c r="AS37" s="1102">
        <f t="shared" si="15"/>
        <v>0</v>
      </c>
      <c r="AT37" s="1097"/>
      <c r="AU37" s="1098"/>
      <c r="AV37" s="1098"/>
      <c r="AW37" s="1098"/>
      <c r="AX37" s="1098"/>
      <c r="AY37" s="1102">
        <f t="shared" si="16"/>
        <v>0</v>
      </c>
    </row>
    <row r="38" spans="1:51" s="837" customFormat="1" x14ac:dyDescent="0.25">
      <c r="A38" s="1117" t="s">
        <v>86</v>
      </c>
      <c r="B38" s="1117" t="s">
        <v>87</v>
      </c>
      <c r="C38" s="1061" t="s">
        <v>267</v>
      </c>
      <c r="D38" s="1406">
        <f t="shared" si="4"/>
        <v>0</v>
      </c>
      <c r="E38" s="1406">
        <f t="shared" si="5"/>
        <v>70573.600000000006</v>
      </c>
      <c r="F38" s="1406">
        <f t="shared" si="6"/>
        <v>17643.400000000001</v>
      </c>
      <c r="G38" s="1408">
        <f t="shared" si="7"/>
        <v>4071.74</v>
      </c>
      <c r="H38" s="1411">
        <f t="shared" si="8"/>
        <v>21715.14</v>
      </c>
      <c r="I38" s="1412">
        <f t="shared" si="9"/>
        <v>92288.74</v>
      </c>
      <c r="J38" s="1118">
        <v>0</v>
      </c>
      <c r="K38" s="1118">
        <v>70573.600000000006</v>
      </c>
      <c r="L38" s="1118">
        <v>17643.400000000001</v>
      </c>
      <c r="M38" s="1118">
        <v>0</v>
      </c>
      <c r="N38" s="1118">
        <v>0</v>
      </c>
      <c r="O38" s="1119">
        <f t="shared" si="10"/>
        <v>88217</v>
      </c>
      <c r="P38" s="1451"/>
      <c r="Q38" s="1444"/>
      <c r="R38" s="1444"/>
      <c r="S38" s="1444"/>
      <c r="T38" s="1444"/>
      <c r="U38" s="1450">
        <f t="shared" si="11"/>
        <v>0</v>
      </c>
      <c r="V38" s="1444"/>
      <c r="W38" s="1444"/>
      <c r="X38" s="1444"/>
      <c r="Y38" s="1444"/>
      <c r="Z38" s="1444"/>
      <c r="AA38" s="1444">
        <f t="shared" si="12"/>
        <v>0</v>
      </c>
      <c r="AB38" s="1100">
        <v>0</v>
      </c>
      <c r="AC38" s="1101">
        <v>0</v>
      </c>
      <c r="AD38" s="1101">
        <v>0</v>
      </c>
      <c r="AE38" s="1101">
        <v>4071.74</v>
      </c>
      <c r="AF38" s="1101">
        <v>0</v>
      </c>
      <c r="AG38" s="1099">
        <f t="shared" si="13"/>
        <v>4071.74</v>
      </c>
      <c r="AH38" s="1097"/>
      <c r="AI38" s="1098"/>
      <c r="AJ38" s="1098"/>
      <c r="AK38" s="1098"/>
      <c r="AL38" s="1098"/>
      <c r="AM38" s="1102">
        <f t="shared" si="14"/>
        <v>0</v>
      </c>
      <c r="AN38" s="1097"/>
      <c r="AO38" s="1098"/>
      <c r="AP38" s="1098"/>
      <c r="AQ38" s="1098"/>
      <c r="AR38" s="1098"/>
      <c r="AS38" s="1102">
        <f t="shared" si="15"/>
        <v>0</v>
      </c>
      <c r="AT38" s="1097"/>
      <c r="AU38" s="1098"/>
      <c r="AV38" s="1098"/>
      <c r="AW38" s="1098"/>
      <c r="AX38" s="1098"/>
      <c r="AY38" s="1102">
        <f t="shared" si="16"/>
        <v>0</v>
      </c>
    </row>
    <row r="39" spans="1:51" s="837" customFormat="1" x14ac:dyDescent="0.25">
      <c r="A39" s="1117" t="s">
        <v>92</v>
      </c>
      <c r="B39" s="1117" t="s">
        <v>93</v>
      </c>
      <c r="C39" s="1061" t="s">
        <v>268</v>
      </c>
      <c r="D39" s="1406">
        <f t="shared" si="4"/>
        <v>-25.5</v>
      </c>
      <c r="E39" s="1406">
        <f t="shared" si="5"/>
        <v>24329.9</v>
      </c>
      <c r="F39" s="1406">
        <f t="shared" si="6"/>
        <v>6088.6</v>
      </c>
      <c r="G39" s="1408">
        <f t="shared" si="7"/>
        <v>0</v>
      </c>
      <c r="H39" s="1411">
        <f t="shared" si="8"/>
        <v>6088.6</v>
      </c>
      <c r="I39" s="1412">
        <f t="shared" si="9"/>
        <v>30393</v>
      </c>
      <c r="J39" s="1118">
        <v>0</v>
      </c>
      <c r="K39" s="1118">
        <v>24354.400000000001</v>
      </c>
      <c r="L39" s="1118">
        <v>6088.6</v>
      </c>
      <c r="M39" s="1118">
        <v>0</v>
      </c>
      <c r="N39" s="1118">
        <v>0</v>
      </c>
      <c r="O39" s="1119">
        <f t="shared" si="10"/>
        <v>30443</v>
      </c>
      <c r="P39" s="1451">
        <v>-25.5</v>
      </c>
      <c r="Q39" s="1444">
        <v>-24.5</v>
      </c>
      <c r="R39" s="1444">
        <v>0</v>
      </c>
      <c r="S39" s="1444">
        <v>0</v>
      </c>
      <c r="T39" s="1444">
        <v>0</v>
      </c>
      <c r="U39" s="1450">
        <f t="shared" si="11"/>
        <v>-50</v>
      </c>
      <c r="V39" s="1444"/>
      <c r="W39" s="1444"/>
      <c r="X39" s="1444"/>
      <c r="Y39" s="1444"/>
      <c r="Z39" s="1444"/>
      <c r="AA39" s="1444">
        <f t="shared" si="12"/>
        <v>0</v>
      </c>
      <c r="AB39" s="1097"/>
      <c r="AC39" s="1098"/>
      <c r="AD39" s="1098"/>
      <c r="AE39" s="1098"/>
      <c r="AF39" s="1098"/>
      <c r="AG39" s="1099">
        <f t="shared" si="13"/>
        <v>0</v>
      </c>
      <c r="AH39" s="1097"/>
      <c r="AI39" s="1098"/>
      <c r="AJ39" s="1098"/>
      <c r="AK39" s="1098"/>
      <c r="AL39" s="1098"/>
      <c r="AM39" s="1102">
        <f t="shared" si="14"/>
        <v>0</v>
      </c>
      <c r="AN39" s="1097"/>
      <c r="AO39" s="1098"/>
      <c r="AP39" s="1098"/>
      <c r="AQ39" s="1098"/>
      <c r="AR39" s="1098"/>
      <c r="AS39" s="1102">
        <f t="shared" si="15"/>
        <v>0</v>
      </c>
      <c r="AT39" s="1097"/>
      <c r="AU39" s="1098"/>
      <c r="AV39" s="1098"/>
      <c r="AW39" s="1098"/>
      <c r="AX39" s="1098"/>
      <c r="AY39" s="1102">
        <f t="shared" si="16"/>
        <v>0</v>
      </c>
    </row>
    <row r="40" spans="1:51" s="837" customFormat="1" x14ac:dyDescent="0.25">
      <c r="A40" s="1117" t="s">
        <v>94</v>
      </c>
      <c r="B40" s="1117" t="s">
        <v>95</v>
      </c>
      <c r="C40" s="1061" t="s">
        <v>264</v>
      </c>
      <c r="D40" s="1406">
        <f t="shared" si="4"/>
        <v>-245.82</v>
      </c>
      <c r="E40" s="1406">
        <f t="shared" si="5"/>
        <v>123324.62000000001</v>
      </c>
      <c r="F40" s="1406">
        <f t="shared" si="6"/>
        <v>30890.2</v>
      </c>
      <c r="G40" s="1408">
        <f t="shared" si="7"/>
        <v>0</v>
      </c>
      <c r="H40" s="1411">
        <f t="shared" si="8"/>
        <v>30890.2</v>
      </c>
      <c r="I40" s="1412">
        <f t="shared" si="9"/>
        <v>153969</v>
      </c>
      <c r="J40" s="1118">
        <v>0</v>
      </c>
      <c r="K40" s="1118">
        <v>123560.8</v>
      </c>
      <c r="L40" s="1118">
        <v>30890.2</v>
      </c>
      <c r="M40" s="1118">
        <v>0</v>
      </c>
      <c r="N40" s="1118">
        <v>0</v>
      </c>
      <c r="O40" s="1119">
        <f t="shared" si="10"/>
        <v>154451</v>
      </c>
      <c r="P40" s="1451">
        <v>-245.82</v>
      </c>
      <c r="Q40" s="1444">
        <v>-236.18</v>
      </c>
      <c r="R40" s="1444">
        <v>0</v>
      </c>
      <c r="S40" s="1444">
        <v>0</v>
      </c>
      <c r="T40" s="1444">
        <v>0</v>
      </c>
      <c r="U40" s="1450">
        <f t="shared" si="11"/>
        <v>-482</v>
      </c>
      <c r="V40" s="1444"/>
      <c r="W40" s="1444"/>
      <c r="X40" s="1444"/>
      <c r="Y40" s="1444"/>
      <c r="Z40" s="1444"/>
      <c r="AA40" s="1444">
        <f t="shared" si="12"/>
        <v>0</v>
      </c>
      <c r="AB40" s="1097"/>
      <c r="AC40" s="1098"/>
      <c r="AD40" s="1098"/>
      <c r="AE40" s="1098"/>
      <c r="AF40" s="1098"/>
      <c r="AG40" s="1099">
        <f t="shared" si="13"/>
        <v>0</v>
      </c>
      <c r="AH40" s="1097"/>
      <c r="AI40" s="1098"/>
      <c r="AJ40" s="1098"/>
      <c r="AK40" s="1098"/>
      <c r="AL40" s="1098"/>
      <c r="AM40" s="1102">
        <f t="shared" si="14"/>
        <v>0</v>
      </c>
      <c r="AN40" s="1097"/>
      <c r="AO40" s="1098"/>
      <c r="AP40" s="1098"/>
      <c r="AQ40" s="1098"/>
      <c r="AR40" s="1098"/>
      <c r="AS40" s="1102">
        <f t="shared" si="15"/>
        <v>0</v>
      </c>
      <c r="AT40" s="1097"/>
      <c r="AU40" s="1098"/>
      <c r="AV40" s="1098"/>
      <c r="AW40" s="1098"/>
      <c r="AX40" s="1098"/>
      <c r="AY40" s="1102">
        <f t="shared" si="16"/>
        <v>0</v>
      </c>
    </row>
    <row r="41" spans="1:51" s="837" customFormat="1" x14ac:dyDescent="0.25">
      <c r="A41" s="1117" t="s">
        <v>96</v>
      </c>
      <c r="B41" s="1117" t="s">
        <v>97</v>
      </c>
      <c r="C41" s="1061" t="s">
        <v>266</v>
      </c>
      <c r="D41" s="1406">
        <f t="shared" si="4"/>
        <v>0</v>
      </c>
      <c r="E41" s="1406">
        <f t="shared" si="5"/>
        <v>25004.799999999999</v>
      </c>
      <c r="F41" s="1406">
        <f t="shared" si="6"/>
        <v>6251.2</v>
      </c>
      <c r="G41" s="1408">
        <f t="shared" si="7"/>
        <v>100449</v>
      </c>
      <c r="H41" s="1411">
        <f t="shared" si="8"/>
        <v>106700.2</v>
      </c>
      <c r="I41" s="1412">
        <f t="shared" si="9"/>
        <v>131705</v>
      </c>
      <c r="J41" s="1118">
        <v>0</v>
      </c>
      <c r="K41" s="1118">
        <v>25004.799999999999</v>
      </c>
      <c r="L41" s="1118">
        <v>6251.2</v>
      </c>
      <c r="M41" s="1118">
        <v>0</v>
      </c>
      <c r="N41" s="1118">
        <v>0</v>
      </c>
      <c r="O41" s="1119">
        <f t="shared" si="10"/>
        <v>31256</v>
      </c>
      <c r="P41" s="1451"/>
      <c r="Q41" s="1444"/>
      <c r="R41" s="1444"/>
      <c r="S41" s="1444"/>
      <c r="T41" s="1444"/>
      <c r="U41" s="1450">
        <f t="shared" si="11"/>
        <v>0</v>
      </c>
      <c r="V41" s="1444"/>
      <c r="W41" s="1444"/>
      <c r="X41" s="1444"/>
      <c r="Y41" s="1444"/>
      <c r="Z41" s="1444"/>
      <c r="AA41" s="1444">
        <f t="shared" si="12"/>
        <v>0</v>
      </c>
      <c r="AB41" s="1100">
        <v>0</v>
      </c>
      <c r="AC41" s="1101">
        <v>0</v>
      </c>
      <c r="AD41" s="1101">
        <v>0</v>
      </c>
      <c r="AE41" s="1101">
        <v>100449</v>
      </c>
      <c r="AF41" s="1101">
        <v>0</v>
      </c>
      <c r="AG41" s="1099">
        <f t="shared" si="13"/>
        <v>100449</v>
      </c>
      <c r="AH41" s="1097"/>
      <c r="AI41" s="1098"/>
      <c r="AJ41" s="1098"/>
      <c r="AK41" s="1098"/>
      <c r="AL41" s="1098"/>
      <c r="AM41" s="1102">
        <f t="shared" si="14"/>
        <v>0</v>
      </c>
      <c r="AN41" s="1097"/>
      <c r="AO41" s="1098"/>
      <c r="AP41" s="1098"/>
      <c r="AQ41" s="1098"/>
      <c r="AR41" s="1098"/>
      <c r="AS41" s="1102">
        <f t="shared" si="15"/>
        <v>0</v>
      </c>
      <c r="AT41" s="1097"/>
      <c r="AU41" s="1098"/>
      <c r="AV41" s="1098"/>
      <c r="AW41" s="1098"/>
      <c r="AX41" s="1098"/>
      <c r="AY41" s="1102">
        <f t="shared" si="16"/>
        <v>0</v>
      </c>
    </row>
    <row r="42" spans="1:51" s="837" customFormat="1" x14ac:dyDescent="0.25">
      <c r="A42" s="1117" t="s">
        <v>98</v>
      </c>
      <c r="B42" s="1117" t="s">
        <v>99</v>
      </c>
      <c r="C42" s="1061" t="s">
        <v>268</v>
      </c>
      <c r="D42" s="1406">
        <f t="shared" si="4"/>
        <v>-25.5</v>
      </c>
      <c r="E42" s="1406">
        <f t="shared" si="5"/>
        <v>149910.70000000001</v>
      </c>
      <c r="F42" s="1406">
        <f t="shared" si="6"/>
        <v>37483.800000000003</v>
      </c>
      <c r="G42" s="1408">
        <f t="shared" si="7"/>
        <v>0</v>
      </c>
      <c r="H42" s="1411">
        <f t="shared" si="8"/>
        <v>37483.800000000003</v>
      </c>
      <c r="I42" s="1412">
        <f t="shared" si="9"/>
        <v>187369</v>
      </c>
      <c r="J42" s="1118">
        <v>0</v>
      </c>
      <c r="K42" s="1118">
        <v>149935.20000000001</v>
      </c>
      <c r="L42" s="1118">
        <v>37483.800000000003</v>
      </c>
      <c r="M42" s="1118">
        <v>0</v>
      </c>
      <c r="N42" s="1118">
        <v>0</v>
      </c>
      <c r="O42" s="1119">
        <f t="shared" si="10"/>
        <v>187419</v>
      </c>
      <c r="P42" s="1451">
        <v>-25.5</v>
      </c>
      <c r="Q42" s="1444">
        <v>-24.5</v>
      </c>
      <c r="R42" s="1444">
        <v>0</v>
      </c>
      <c r="S42" s="1444">
        <v>0</v>
      </c>
      <c r="T42" s="1444">
        <v>0</v>
      </c>
      <c r="U42" s="1450">
        <f t="shared" si="11"/>
        <v>-50</v>
      </c>
      <c r="V42" s="1444"/>
      <c r="W42" s="1444"/>
      <c r="X42" s="1444"/>
      <c r="Y42" s="1444"/>
      <c r="Z42" s="1444"/>
      <c r="AA42" s="1444">
        <f t="shared" si="12"/>
        <v>0</v>
      </c>
      <c r="AB42" s="1097"/>
      <c r="AC42" s="1098"/>
      <c r="AD42" s="1098"/>
      <c r="AE42" s="1098"/>
      <c r="AF42" s="1098"/>
      <c r="AG42" s="1099">
        <f t="shared" si="13"/>
        <v>0</v>
      </c>
      <c r="AH42" s="1097"/>
      <c r="AI42" s="1098"/>
      <c r="AJ42" s="1098"/>
      <c r="AK42" s="1098"/>
      <c r="AL42" s="1098"/>
      <c r="AM42" s="1102">
        <f t="shared" si="14"/>
        <v>0</v>
      </c>
      <c r="AN42" s="1097"/>
      <c r="AO42" s="1098"/>
      <c r="AP42" s="1098"/>
      <c r="AQ42" s="1098"/>
      <c r="AR42" s="1098"/>
      <c r="AS42" s="1102">
        <f t="shared" si="15"/>
        <v>0</v>
      </c>
      <c r="AT42" s="1097"/>
      <c r="AU42" s="1098"/>
      <c r="AV42" s="1098"/>
      <c r="AW42" s="1098"/>
      <c r="AX42" s="1098"/>
      <c r="AY42" s="1102">
        <f t="shared" si="16"/>
        <v>0</v>
      </c>
    </row>
    <row r="43" spans="1:51" s="837" customFormat="1" x14ac:dyDescent="0.25">
      <c r="A43" s="1117" t="s">
        <v>100</v>
      </c>
      <c r="B43" s="1117" t="s">
        <v>101</v>
      </c>
      <c r="C43" s="1061" t="s">
        <v>267</v>
      </c>
      <c r="D43" s="1406">
        <f t="shared" si="4"/>
        <v>0</v>
      </c>
      <c r="E43" s="1406">
        <f t="shared" si="5"/>
        <v>20503.2</v>
      </c>
      <c r="F43" s="1406">
        <f t="shared" si="6"/>
        <v>5125.8</v>
      </c>
      <c r="G43" s="1408">
        <f t="shared" si="7"/>
        <v>0</v>
      </c>
      <c r="H43" s="1411">
        <f t="shared" si="8"/>
        <v>5125.8</v>
      </c>
      <c r="I43" s="1412">
        <f t="shared" si="9"/>
        <v>25629</v>
      </c>
      <c r="J43" s="1118">
        <v>0</v>
      </c>
      <c r="K43" s="1118">
        <v>20503.2</v>
      </c>
      <c r="L43" s="1118">
        <v>5125.8</v>
      </c>
      <c r="M43" s="1118">
        <v>0</v>
      </c>
      <c r="N43" s="1118">
        <v>0</v>
      </c>
      <c r="O43" s="1119">
        <f t="shared" si="10"/>
        <v>25629</v>
      </c>
      <c r="P43" s="1451"/>
      <c r="Q43" s="1444"/>
      <c r="R43" s="1444"/>
      <c r="S43" s="1444"/>
      <c r="T43" s="1444"/>
      <c r="U43" s="1450">
        <f t="shared" si="11"/>
        <v>0</v>
      </c>
      <c r="V43" s="1444"/>
      <c r="W43" s="1444"/>
      <c r="X43" s="1444"/>
      <c r="Y43" s="1444"/>
      <c r="Z43" s="1444"/>
      <c r="AA43" s="1444">
        <f t="shared" si="12"/>
        <v>0</v>
      </c>
      <c r="AB43" s="1097"/>
      <c r="AC43" s="1098"/>
      <c r="AD43" s="1098"/>
      <c r="AE43" s="1098"/>
      <c r="AF43" s="1098"/>
      <c r="AG43" s="1099">
        <f t="shared" si="13"/>
        <v>0</v>
      </c>
      <c r="AH43" s="1097"/>
      <c r="AI43" s="1098"/>
      <c r="AJ43" s="1098"/>
      <c r="AK43" s="1098"/>
      <c r="AL43" s="1098"/>
      <c r="AM43" s="1102">
        <f t="shared" si="14"/>
        <v>0</v>
      </c>
      <c r="AN43" s="1097"/>
      <c r="AO43" s="1098"/>
      <c r="AP43" s="1098"/>
      <c r="AQ43" s="1098"/>
      <c r="AR43" s="1098"/>
      <c r="AS43" s="1102">
        <f t="shared" si="15"/>
        <v>0</v>
      </c>
      <c r="AT43" s="1097"/>
      <c r="AU43" s="1098"/>
      <c r="AV43" s="1098"/>
      <c r="AW43" s="1098"/>
      <c r="AX43" s="1098"/>
      <c r="AY43" s="1102">
        <f t="shared" si="16"/>
        <v>0</v>
      </c>
    </row>
    <row r="44" spans="1:51" s="837" customFormat="1" x14ac:dyDescent="0.25">
      <c r="A44" s="1117" t="s">
        <v>102</v>
      </c>
      <c r="B44" s="1117" t="s">
        <v>103</v>
      </c>
      <c r="C44" s="1061" t="s">
        <v>264</v>
      </c>
      <c r="D44" s="1406">
        <f t="shared" si="4"/>
        <v>0</v>
      </c>
      <c r="E44" s="1406">
        <f t="shared" si="5"/>
        <v>45900.800000000003</v>
      </c>
      <c r="F44" s="1406">
        <f t="shared" si="6"/>
        <v>11475.2</v>
      </c>
      <c r="G44" s="1408">
        <f t="shared" si="7"/>
        <v>0</v>
      </c>
      <c r="H44" s="1411">
        <f t="shared" si="8"/>
        <v>11475.2</v>
      </c>
      <c r="I44" s="1412">
        <f t="shared" si="9"/>
        <v>57376</v>
      </c>
      <c r="J44" s="1118">
        <v>0</v>
      </c>
      <c r="K44" s="1118">
        <v>45900.800000000003</v>
      </c>
      <c r="L44" s="1118">
        <v>11475.2</v>
      </c>
      <c r="M44" s="1118">
        <v>0</v>
      </c>
      <c r="N44" s="1118">
        <v>0</v>
      </c>
      <c r="O44" s="1119">
        <f t="shared" si="10"/>
        <v>57376</v>
      </c>
      <c r="P44" s="1451"/>
      <c r="Q44" s="1444"/>
      <c r="R44" s="1444"/>
      <c r="S44" s="1444"/>
      <c r="T44" s="1444"/>
      <c r="U44" s="1450">
        <f t="shared" si="11"/>
        <v>0</v>
      </c>
      <c r="V44" s="1444"/>
      <c r="W44" s="1444"/>
      <c r="X44" s="1444"/>
      <c r="Y44" s="1444"/>
      <c r="Z44" s="1444"/>
      <c r="AA44" s="1444">
        <f t="shared" si="12"/>
        <v>0</v>
      </c>
      <c r="AB44" s="1097"/>
      <c r="AC44" s="1098"/>
      <c r="AD44" s="1098"/>
      <c r="AE44" s="1098"/>
      <c r="AF44" s="1098"/>
      <c r="AG44" s="1099">
        <f t="shared" si="13"/>
        <v>0</v>
      </c>
      <c r="AH44" s="1097"/>
      <c r="AI44" s="1098"/>
      <c r="AJ44" s="1098"/>
      <c r="AK44" s="1098"/>
      <c r="AL44" s="1098"/>
      <c r="AM44" s="1102">
        <f t="shared" si="14"/>
        <v>0</v>
      </c>
      <c r="AN44" s="1097"/>
      <c r="AO44" s="1098"/>
      <c r="AP44" s="1098"/>
      <c r="AQ44" s="1098"/>
      <c r="AR44" s="1098"/>
      <c r="AS44" s="1102">
        <f t="shared" si="15"/>
        <v>0</v>
      </c>
      <c r="AT44" s="1097"/>
      <c r="AU44" s="1098"/>
      <c r="AV44" s="1098"/>
      <c r="AW44" s="1098"/>
      <c r="AX44" s="1098"/>
      <c r="AY44" s="1102">
        <f t="shared" si="16"/>
        <v>0</v>
      </c>
    </row>
    <row r="45" spans="1:51" s="837" customFormat="1" x14ac:dyDescent="0.25">
      <c r="A45" s="1117" t="s">
        <v>104</v>
      </c>
      <c r="B45" s="1117" t="s">
        <v>309</v>
      </c>
      <c r="C45" s="1061" t="s">
        <v>265</v>
      </c>
      <c r="D45" s="1406">
        <f t="shared" si="4"/>
        <v>-76.5</v>
      </c>
      <c r="E45" s="1406">
        <f t="shared" si="5"/>
        <v>192832.9</v>
      </c>
      <c r="F45" s="1406">
        <f t="shared" si="6"/>
        <v>48226.6</v>
      </c>
      <c r="G45" s="1408">
        <f t="shared" si="7"/>
        <v>0</v>
      </c>
      <c r="H45" s="1411">
        <f t="shared" si="8"/>
        <v>48226.6</v>
      </c>
      <c r="I45" s="1412">
        <f t="shared" si="9"/>
        <v>240983</v>
      </c>
      <c r="J45" s="1118">
        <v>0</v>
      </c>
      <c r="K45" s="1118">
        <v>192906.4</v>
      </c>
      <c r="L45" s="1118">
        <v>48226.6</v>
      </c>
      <c r="M45" s="1118">
        <v>0</v>
      </c>
      <c r="N45" s="1118">
        <v>0</v>
      </c>
      <c r="O45" s="1119">
        <f t="shared" si="10"/>
        <v>241133</v>
      </c>
      <c r="P45" s="1451">
        <v>-76.5</v>
      </c>
      <c r="Q45" s="1444">
        <v>-73.5</v>
      </c>
      <c r="R45" s="1444">
        <v>0</v>
      </c>
      <c r="S45" s="1444">
        <v>0</v>
      </c>
      <c r="T45" s="1444">
        <v>0</v>
      </c>
      <c r="U45" s="1450">
        <f t="shared" si="11"/>
        <v>-150</v>
      </c>
      <c r="V45" s="1444"/>
      <c r="W45" s="1444"/>
      <c r="X45" s="1444"/>
      <c r="Y45" s="1444"/>
      <c r="Z45" s="1444"/>
      <c r="AA45" s="1444">
        <f t="shared" si="12"/>
        <v>0</v>
      </c>
      <c r="AB45" s="1097"/>
      <c r="AC45" s="1098"/>
      <c r="AD45" s="1098"/>
      <c r="AE45" s="1098"/>
      <c r="AF45" s="1098"/>
      <c r="AG45" s="1099">
        <f t="shared" si="13"/>
        <v>0</v>
      </c>
      <c r="AH45" s="1097"/>
      <c r="AI45" s="1098"/>
      <c r="AJ45" s="1098"/>
      <c r="AK45" s="1098"/>
      <c r="AL45" s="1098"/>
      <c r="AM45" s="1102">
        <f t="shared" si="14"/>
        <v>0</v>
      </c>
      <c r="AN45" s="1097"/>
      <c r="AO45" s="1098"/>
      <c r="AP45" s="1098"/>
      <c r="AQ45" s="1098"/>
      <c r="AR45" s="1098"/>
      <c r="AS45" s="1102">
        <f t="shared" si="15"/>
        <v>0</v>
      </c>
      <c r="AT45" s="1097"/>
      <c r="AU45" s="1098"/>
      <c r="AV45" s="1098"/>
      <c r="AW45" s="1098"/>
      <c r="AX45" s="1098"/>
      <c r="AY45" s="1102">
        <f t="shared" si="16"/>
        <v>0</v>
      </c>
    </row>
    <row r="46" spans="1:51" s="837" customFormat="1" x14ac:dyDescent="0.25">
      <c r="A46" s="1117" t="s">
        <v>108</v>
      </c>
      <c r="B46" s="1117" t="s">
        <v>109</v>
      </c>
      <c r="C46" s="1061" t="s">
        <v>266</v>
      </c>
      <c r="D46" s="1406">
        <f t="shared" si="4"/>
        <v>0</v>
      </c>
      <c r="E46" s="1406">
        <f t="shared" si="5"/>
        <v>98703.2</v>
      </c>
      <c r="F46" s="1406">
        <f t="shared" si="6"/>
        <v>24978.799999999999</v>
      </c>
      <c r="G46" s="1408">
        <f t="shared" si="7"/>
        <v>0</v>
      </c>
      <c r="H46" s="1411">
        <f t="shared" si="8"/>
        <v>24978.799999999999</v>
      </c>
      <c r="I46" s="1412">
        <f t="shared" si="9"/>
        <v>123682</v>
      </c>
      <c r="J46" s="1118">
        <v>0</v>
      </c>
      <c r="K46" s="1118">
        <v>99915.199999999997</v>
      </c>
      <c r="L46" s="1118">
        <v>24978.799999999999</v>
      </c>
      <c r="M46" s="1118">
        <v>0</v>
      </c>
      <c r="N46" s="1118">
        <v>0</v>
      </c>
      <c r="O46" s="1119">
        <f t="shared" si="10"/>
        <v>124894</v>
      </c>
      <c r="P46" s="1451"/>
      <c r="Q46" s="1444"/>
      <c r="R46" s="1444"/>
      <c r="S46" s="1444"/>
      <c r="T46" s="1444"/>
      <c r="U46" s="1450">
        <f t="shared" si="11"/>
        <v>0</v>
      </c>
      <c r="V46" s="1444"/>
      <c r="W46" s="1444"/>
      <c r="X46" s="1444"/>
      <c r="Y46" s="1444"/>
      <c r="Z46" s="1444"/>
      <c r="AA46" s="1444">
        <f t="shared" si="12"/>
        <v>0</v>
      </c>
      <c r="AB46" s="1097"/>
      <c r="AC46" s="1098"/>
      <c r="AD46" s="1098"/>
      <c r="AE46" s="1098"/>
      <c r="AF46" s="1098"/>
      <c r="AG46" s="1099">
        <f t="shared" si="13"/>
        <v>0</v>
      </c>
      <c r="AH46" s="1097"/>
      <c r="AI46" s="1098"/>
      <c r="AJ46" s="1098"/>
      <c r="AK46" s="1098"/>
      <c r="AL46" s="1098"/>
      <c r="AM46" s="1102">
        <f t="shared" si="14"/>
        <v>0</v>
      </c>
      <c r="AN46" s="1097">
        <v>0</v>
      </c>
      <c r="AO46" s="1098">
        <v>-1212</v>
      </c>
      <c r="AP46" s="1098">
        <v>0</v>
      </c>
      <c r="AQ46" s="1098">
        <v>0</v>
      </c>
      <c r="AR46" s="1098">
        <v>0</v>
      </c>
      <c r="AS46" s="1102">
        <f t="shared" si="15"/>
        <v>-1212</v>
      </c>
      <c r="AT46" s="1097"/>
      <c r="AU46" s="1098"/>
      <c r="AV46" s="1098"/>
      <c r="AW46" s="1098"/>
      <c r="AX46" s="1098"/>
      <c r="AY46" s="1102">
        <f t="shared" si="16"/>
        <v>0</v>
      </c>
    </row>
    <row r="47" spans="1:51" s="837" customFormat="1" x14ac:dyDescent="0.25">
      <c r="A47" s="1117" t="s">
        <v>110</v>
      </c>
      <c r="B47" s="1117" t="s">
        <v>111</v>
      </c>
      <c r="C47" s="1061" t="s">
        <v>266</v>
      </c>
      <c r="D47" s="1406">
        <f t="shared" si="4"/>
        <v>756517.27</v>
      </c>
      <c r="E47" s="1406">
        <f t="shared" si="5"/>
        <v>641678.69000000006</v>
      </c>
      <c r="F47" s="1406">
        <f t="shared" si="6"/>
        <v>186366.72</v>
      </c>
      <c r="G47" s="1408">
        <f t="shared" si="7"/>
        <v>-0.05</v>
      </c>
      <c r="H47" s="1411">
        <f t="shared" si="8"/>
        <v>186366.67</v>
      </c>
      <c r="I47" s="1412">
        <f t="shared" si="9"/>
        <v>1584562.63</v>
      </c>
      <c r="J47" s="1118">
        <v>0</v>
      </c>
      <c r="K47" s="1118">
        <v>572140.80000000005</v>
      </c>
      <c r="L47" s="1118">
        <v>143035.20000000001</v>
      </c>
      <c r="M47" s="1118">
        <v>0</v>
      </c>
      <c r="N47" s="1118">
        <v>0</v>
      </c>
      <c r="O47" s="1119">
        <f t="shared" si="10"/>
        <v>715176</v>
      </c>
      <c r="P47" s="1451">
        <v>-886.46</v>
      </c>
      <c r="Q47" s="1444">
        <v>-851.7</v>
      </c>
      <c r="R47" s="1444">
        <v>0</v>
      </c>
      <c r="S47" s="1444">
        <v>0</v>
      </c>
      <c r="T47" s="1444">
        <v>0</v>
      </c>
      <c r="U47" s="1450">
        <f t="shared" si="11"/>
        <v>-1738.16</v>
      </c>
      <c r="V47" s="1444"/>
      <c r="W47" s="1444"/>
      <c r="X47" s="1444"/>
      <c r="Y47" s="1444"/>
      <c r="Z47" s="1444"/>
      <c r="AA47" s="1444">
        <f t="shared" si="12"/>
        <v>0</v>
      </c>
      <c r="AB47" s="1100">
        <v>0</v>
      </c>
      <c r="AC47" s="1101">
        <v>72219.19</v>
      </c>
      <c r="AD47" s="1101">
        <v>43331.519999999997</v>
      </c>
      <c r="AE47" s="1101">
        <v>-0.05</v>
      </c>
      <c r="AF47" s="1101">
        <v>0</v>
      </c>
      <c r="AG47" s="1099">
        <f t="shared" si="13"/>
        <v>115550.65999999999</v>
      </c>
      <c r="AH47" s="1100">
        <v>66327</v>
      </c>
      <c r="AI47" s="1101">
        <v>0</v>
      </c>
      <c r="AJ47" s="1101">
        <v>0</v>
      </c>
      <c r="AK47" s="1101">
        <v>0</v>
      </c>
      <c r="AL47" s="1101">
        <v>0</v>
      </c>
      <c r="AM47" s="1102">
        <f t="shared" si="14"/>
        <v>66327</v>
      </c>
      <c r="AN47" s="1100">
        <v>0</v>
      </c>
      <c r="AO47" s="1101">
        <v>-1829.6</v>
      </c>
      <c r="AP47" s="1101">
        <v>0</v>
      </c>
      <c r="AQ47" s="1101">
        <v>0</v>
      </c>
      <c r="AR47" s="1101">
        <v>0</v>
      </c>
      <c r="AS47" s="1102">
        <f t="shared" si="15"/>
        <v>-1829.6</v>
      </c>
      <c r="AT47" s="1100">
        <v>691076.73</v>
      </c>
      <c r="AU47" s="1101">
        <v>0</v>
      </c>
      <c r="AV47" s="1101">
        <v>0</v>
      </c>
      <c r="AW47" s="1101">
        <v>0</v>
      </c>
      <c r="AX47" s="1101">
        <v>0</v>
      </c>
      <c r="AY47" s="1102">
        <f t="shared" si="16"/>
        <v>691076.73</v>
      </c>
    </row>
    <row r="48" spans="1:51" s="837" customFormat="1" x14ac:dyDescent="0.25">
      <c r="A48" s="1117" t="s">
        <v>112</v>
      </c>
      <c r="B48" s="1117" t="s">
        <v>300</v>
      </c>
      <c r="C48" s="1061" t="s">
        <v>265</v>
      </c>
      <c r="D48" s="1406">
        <f t="shared" si="4"/>
        <v>-1415.95</v>
      </c>
      <c r="E48" s="1406">
        <f t="shared" si="5"/>
        <v>259588.37999999998</v>
      </c>
      <c r="F48" s="1406">
        <f t="shared" si="6"/>
        <v>65237.2</v>
      </c>
      <c r="G48" s="1408">
        <f t="shared" si="7"/>
        <v>0</v>
      </c>
      <c r="H48" s="1411">
        <f t="shared" si="8"/>
        <v>65237.2</v>
      </c>
      <c r="I48" s="1412">
        <f t="shared" si="9"/>
        <v>323409.62999999995</v>
      </c>
      <c r="J48" s="1118">
        <v>0</v>
      </c>
      <c r="K48" s="1118">
        <v>260948.8</v>
      </c>
      <c r="L48" s="1118">
        <v>65237.2</v>
      </c>
      <c r="M48" s="1118">
        <v>0</v>
      </c>
      <c r="N48" s="1118">
        <v>0</v>
      </c>
      <c r="O48" s="1119">
        <f t="shared" si="10"/>
        <v>326186</v>
      </c>
      <c r="P48" s="1451">
        <v>-1415.95</v>
      </c>
      <c r="Q48" s="1444">
        <v>-1360.42</v>
      </c>
      <c r="R48" s="1444">
        <v>0</v>
      </c>
      <c r="S48" s="1444">
        <v>0</v>
      </c>
      <c r="T48" s="1444">
        <v>0</v>
      </c>
      <c r="U48" s="1450">
        <f t="shared" si="11"/>
        <v>-2776.37</v>
      </c>
      <c r="V48" s="1444"/>
      <c r="W48" s="1444"/>
      <c r="X48" s="1444"/>
      <c r="Y48" s="1444"/>
      <c r="Z48" s="1444"/>
      <c r="AA48" s="1444">
        <f t="shared" si="12"/>
        <v>0</v>
      </c>
      <c r="AB48" s="1097"/>
      <c r="AC48" s="1098"/>
      <c r="AD48" s="1098"/>
      <c r="AE48" s="1098"/>
      <c r="AF48" s="1098"/>
      <c r="AG48" s="1099">
        <f t="shared" si="13"/>
        <v>0</v>
      </c>
      <c r="AH48" s="1097"/>
      <c r="AI48" s="1098"/>
      <c r="AJ48" s="1098"/>
      <c r="AK48" s="1098"/>
      <c r="AL48" s="1098"/>
      <c r="AM48" s="1102">
        <f t="shared" si="14"/>
        <v>0</v>
      </c>
      <c r="AN48" s="1097"/>
      <c r="AO48" s="1098"/>
      <c r="AP48" s="1098"/>
      <c r="AQ48" s="1098"/>
      <c r="AR48" s="1098"/>
      <c r="AS48" s="1102">
        <f t="shared" si="15"/>
        <v>0</v>
      </c>
      <c r="AT48" s="1097"/>
      <c r="AU48" s="1098"/>
      <c r="AV48" s="1098"/>
      <c r="AW48" s="1098"/>
      <c r="AX48" s="1098"/>
      <c r="AY48" s="1102">
        <f t="shared" si="16"/>
        <v>0</v>
      </c>
    </row>
    <row r="49" spans="1:51" s="837" customFormat="1" x14ac:dyDescent="0.25">
      <c r="A49" s="1117" t="s">
        <v>114</v>
      </c>
      <c r="B49" s="1117" t="s">
        <v>115</v>
      </c>
      <c r="C49" s="1061" t="s">
        <v>265</v>
      </c>
      <c r="D49" s="1406">
        <f t="shared" si="4"/>
        <v>0</v>
      </c>
      <c r="E49" s="1406">
        <f t="shared" si="5"/>
        <v>10905.6</v>
      </c>
      <c r="F49" s="1406">
        <f t="shared" si="6"/>
        <v>2726.4</v>
      </c>
      <c r="G49" s="1408">
        <f t="shared" si="7"/>
        <v>0</v>
      </c>
      <c r="H49" s="1411">
        <f t="shared" si="8"/>
        <v>2726.4</v>
      </c>
      <c r="I49" s="1412">
        <f t="shared" si="9"/>
        <v>13632</v>
      </c>
      <c r="J49" s="1118">
        <v>0</v>
      </c>
      <c r="K49" s="1118">
        <v>10905.6</v>
      </c>
      <c r="L49" s="1118">
        <v>2726.4</v>
      </c>
      <c r="M49" s="1118">
        <v>0</v>
      </c>
      <c r="N49" s="1118">
        <v>0</v>
      </c>
      <c r="O49" s="1119">
        <f t="shared" si="10"/>
        <v>13632</v>
      </c>
      <c r="P49" s="1451"/>
      <c r="Q49" s="1444"/>
      <c r="R49" s="1444"/>
      <c r="S49" s="1444"/>
      <c r="T49" s="1444"/>
      <c r="U49" s="1450">
        <f t="shared" si="11"/>
        <v>0</v>
      </c>
      <c r="V49" s="1444"/>
      <c r="W49" s="1444"/>
      <c r="X49" s="1444"/>
      <c r="Y49" s="1444"/>
      <c r="Z49" s="1444"/>
      <c r="AA49" s="1444">
        <f t="shared" si="12"/>
        <v>0</v>
      </c>
      <c r="AB49" s="1097"/>
      <c r="AC49" s="1098"/>
      <c r="AD49" s="1098"/>
      <c r="AE49" s="1098"/>
      <c r="AF49" s="1098"/>
      <c r="AG49" s="1099">
        <f t="shared" si="13"/>
        <v>0</v>
      </c>
      <c r="AH49" s="1097"/>
      <c r="AI49" s="1098"/>
      <c r="AJ49" s="1098"/>
      <c r="AK49" s="1098"/>
      <c r="AL49" s="1098"/>
      <c r="AM49" s="1102">
        <f t="shared" si="14"/>
        <v>0</v>
      </c>
      <c r="AN49" s="1097"/>
      <c r="AO49" s="1098"/>
      <c r="AP49" s="1098"/>
      <c r="AQ49" s="1098"/>
      <c r="AR49" s="1098"/>
      <c r="AS49" s="1102">
        <f t="shared" si="15"/>
        <v>0</v>
      </c>
      <c r="AT49" s="1097"/>
      <c r="AU49" s="1098"/>
      <c r="AV49" s="1098"/>
      <c r="AW49" s="1098"/>
      <c r="AX49" s="1098"/>
      <c r="AY49" s="1102">
        <f t="shared" si="16"/>
        <v>0</v>
      </c>
    </row>
    <row r="50" spans="1:51" s="837" customFormat="1" x14ac:dyDescent="0.25">
      <c r="A50" s="1117" t="s">
        <v>118</v>
      </c>
      <c r="B50" s="1117" t="s">
        <v>119</v>
      </c>
      <c r="C50" s="1061" t="s">
        <v>264</v>
      </c>
      <c r="D50" s="1406">
        <f t="shared" si="4"/>
        <v>-413.2</v>
      </c>
      <c r="E50" s="1406">
        <f t="shared" si="5"/>
        <v>65065.91</v>
      </c>
      <c r="F50" s="1406">
        <f t="shared" si="6"/>
        <v>17945.099999999999</v>
      </c>
      <c r="G50" s="1408">
        <f t="shared" si="7"/>
        <v>275.41000000000003</v>
      </c>
      <c r="H50" s="1411">
        <f t="shared" si="8"/>
        <v>18220.509999999998</v>
      </c>
      <c r="I50" s="1412">
        <f t="shared" si="9"/>
        <v>82873.22</v>
      </c>
      <c r="J50" s="1118">
        <v>0</v>
      </c>
      <c r="K50" s="1118">
        <v>60950.400000000001</v>
      </c>
      <c r="L50" s="1118">
        <v>15237.6</v>
      </c>
      <c r="M50" s="1118">
        <v>0</v>
      </c>
      <c r="N50" s="1118">
        <v>0</v>
      </c>
      <c r="O50" s="1119">
        <f t="shared" si="10"/>
        <v>76188</v>
      </c>
      <c r="P50" s="1451">
        <v>-413.2</v>
      </c>
      <c r="Q50" s="1444">
        <v>-396.99</v>
      </c>
      <c r="R50" s="1444">
        <v>0</v>
      </c>
      <c r="S50" s="1444">
        <v>275.41000000000003</v>
      </c>
      <c r="T50" s="1444">
        <v>0</v>
      </c>
      <c r="U50" s="1450">
        <f t="shared" si="11"/>
        <v>-534.78</v>
      </c>
      <c r="V50" s="1444"/>
      <c r="W50" s="1444"/>
      <c r="X50" s="1444"/>
      <c r="Y50" s="1444"/>
      <c r="Z50" s="1444"/>
      <c r="AA50" s="1444">
        <f t="shared" si="12"/>
        <v>0</v>
      </c>
      <c r="AB50" s="1100">
        <v>0</v>
      </c>
      <c r="AC50" s="1101">
        <v>4512.5</v>
      </c>
      <c r="AD50" s="1101">
        <v>2707.5</v>
      </c>
      <c r="AE50" s="1101">
        <v>0</v>
      </c>
      <c r="AF50" s="1101">
        <v>0</v>
      </c>
      <c r="AG50" s="1099">
        <f t="shared" si="13"/>
        <v>7220</v>
      </c>
      <c r="AH50" s="1097"/>
      <c r="AI50" s="1098"/>
      <c r="AJ50" s="1098"/>
      <c r="AK50" s="1098"/>
      <c r="AL50" s="1098"/>
      <c r="AM50" s="1102">
        <f t="shared" si="14"/>
        <v>0</v>
      </c>
      <c r="AN50" s="1097"/>
      <c r="AO50" s="1098"/>
      <c r="AP50" s="1098"/>
      <c r="AQ50" s="1098"/>
      <c r="AR50" s="1098"/>
      <c r="AS50" s="1102">
        <f t="shared" si="15"/>
        <v>0</v>
      </c>
      <c r="AT50" s="1097"/>
      <c r="AU50" s="1098"/>
      <c r="AV50" s="1098"/>
      <c r="AW50" s="1098"/>
      <c r="AX50" s="1098"/>
      <c r="AY50" s="1102">
        <f t="shared" si="16"/>
        <v>0</v>
      </c>
    </row>
    <row r="51" spans="1:51" s="837" customFormat="1" x14ac:dyDescent="0.25">
      <c r="A51" s="1117" t="s">
        <v>120</v>
      </c>
      <c r="B51" s="1117" t="s">
        <v>121</v>
      </c>
      <c r="C51" s="1061" t="s">
        <v>264</v>
      </c>
      <c r="D51" s="1406">
        <f t="shared" si="4"/>
        <v>-86.6</v>
      </c>
      <c r="E51" s="1406">
        <f t="shared" si="5"/>
        <v>105128.91</v>
      </c>
      <c r="F51" s="1406">
        <f t="shared" si="6"/>
        <v>27925.96</v>
      </c>
      <c r="G51" s="1408">
        <f t="shared" si="7"/>
        <v>735.93</v>
      </c>
      <c r="H51" s="1411">
        <f t="shared" si="8"/>
        <v>28661.89</v>
      </c>
      <c r="I51" s="1412">
        <f t="shared" si="9"/>
        <v>133704.19999999998</v>
      </c>
      <c r="J51" s="1118">
        <v>0</v>
      </c>
      <c r="K51" s="1118">
        <v>100575.2</v>
      </c>
      <c r="L51" s="1118">
        <v>25143.8</v>
      </c>
      <c r="M51" s="1118">
        <v>0</v>
      </c>
      <c r="N51" s="1118">
        <v>0</v>
      </c>
      <c r="O51" s="1119">
        <f t="shared" si="10"/>
        <v>125719</v>
      </c>
      <c r="P51" s="1451">
        <v>-86.6</v>
      </c>
      <c r="Q51" s="1444">
        <v>-83.2</v>
      </c>
      <c r="R51" s="1444">
        <v>0</v>
      </c>
      <c r="S51" s="1444">
        <v>0</v>
      </c>
      <c r="T51" s="1444">
        <v>0</v>
      </c>
      <c r="U51" s="1450">
        <f t="shared" si="11"/>
        <v>-169.8</v>
      </c>
      <c r="V51" s="1444"/>
      <c r="W51" s="1444"/>
      <c r="X51" s="1444"/>
      <c r="Y51" s="1444"/>
      <c r="Z51" s="1444"/>
      <c r="AA51" s="1444">
        <f t="shared" si="12"/>
        <v>0</v>
      </c>
      <c r="AB51" s="1100">
        <v>0</v>
      </c>
      <c r="AC51" s="1101">
        <v>4636.91</v>
      </c>
      <c r="AD51" s="1101">
        <v>2782.16</v>
      </c>
      <c r="AE51" s="1101">
        <v>735.93</v>
      </c>
      <c r="AF51" s="1101">
        <v>0</v>
      </c>
      <c r="AG51" s="1099">
        <f t="shared" si="13"/>
        <v>8155</v>
      </c>
      <c r="AH51" s="1097"/>
      <c r="AI51" s="1098"/>
      <c r="AJ51" s="1098"/>
      <c r="AK51" s="1098"/>
      <c r="AL51" s="1098"/>
      <c r="AM51" s="1102">
        <f t="shared" si="14"/>
        <v>0</v>
      </c>
      <c r="AN51" s="1097"/>
      <c r="AO51" s="1098"/>
      <c r="AP51" s="1098"/>
      <c r="AQ51" s="1098"/>
      <c r="AR51" s="1098"/>
      <c r="AS51" s="1102">
        <f t="shared" si="15"/>
        <v>0</v>
      </c>
      <c r="AT51" s="1097"/>
      <c r="AU51" s="1098"/>
      <c r="AV51" s="1098"/>
      <c r="AW51" s="1098"/>
      <c r="AX51" s="1098"/>
      <c r="AY51" s="1102">
        <f t="shared" si="16"/>
        <v>0</v>
      </c>
    </row>
    <row r="52" spans="1:51" s="837" customFormat="1" x14ac:dyDescent="0.25">
      <c r="A52" s="1117" t="s">
        <v>122</v>
      </c>
      <c r="B52" s="1117" t="s">
        <v>271</v>
      </c>
      <c r="C52" s="1061" t="s">
        <v>266</v>
      </c>
      <c r="D52" s="1406">
        <f t="shared" si="4"/>
        <v>0</v>
      </c>
      <c r="E52" s="1406">
        <f t="shared" si="5"/>
        <v>10905.6</v>
      </c>
      <c r="F52" s="1406">
        <f t="shared" si="6"/>
        <v>2726.4</v>
      </c>
      <c r="G52" s="1408">
        <f t="shared" si="7"/>
        <v>0</v>
      </c>
      <c r="H52" s="1411">
        <f t="shared" si="8"/>
        <v>2726.4</v>
      </c>
      <c r="I52" s="1412">
        <f t="shared" si="9"/>
        <v>13632</v>
      </c>
      <c r="J52" s="1118">
        <v>0</v>
      </c>
      <c r="K52" s="1118">
        <v>10905.6</v>
      </c>
      <c r="L52" s="1118">
        <v>2726.4</v>
      </c>
      <c r="M52" s="1118">
        <v>0</v>
      </c>
      <c r="N52" s="1118">
        <v>0</v>
      </c>
      <c r="O52" s="1119">
        <f t="shared" si="10"/>
        <v>13632</v>
      </c>
      <c r="P52" s="1451"/>
      <c r="Q52" s="1444"/>
      <c r="R52" s="1444"/>
      <c r="S52" s="1444"/>
      <c r="T52" s="1444"/>
      <c r="U52" s="1450">
        <f t="shared" si="11"/>
        <v>0</v>
      </c>
      <c r="V52" s="1444"/>
      <c r="W52" s="1444"/>
      <c r="X52" s="1444"/>
      <c r="Y52" s="1444"/>
      <c r="Z52" s="1444"/>
      <c r="AA52" s="1444">
        <f t="shared" si="12"/>
        <v>0</v>
      </c>
      <c r="AB52" s="1100"/>
      <c r="AC52" s="1101"/>
      <c r="AD52" s="1101"/>
      <c r="AE52" s="1101"/>
      <c r="AF52" s="1101"/>
      <c r="AG52" s="1099">
        <f t="shared" si="13"/>
        <v>0</v>
      </c>
      <c r="AH52" s="1097"/>
      <c r="AI52" s="1098"/>
      <c r="AJ52" s="1098"/>
      <c r="AK52" s="1098"/>
      <c r="AL52" s="1098"/>
      <c r="AM52" s="1102">
        <f t="shared" si="14"/>
        <v>0</v>
      </c>
      <c r="AN52" s="1097"/>
      <c r="AO52" s="1098"/>
      <c r="AP52" s="1098"/>
      <c r="AQ52" s="1098"/>
      <c r="AR52" s="1098"/>
      <c r="AS52" s="1102">
        <f t="shared" si="15"/>
        <v>0</v>
      </c>
      <c r="AT52" s="1097"/>
      <c r="AU52" s="1098"/>
      <c r="AV52" s="1098"/>
      <c r="AW52" s="1098"/>
      <c r="AX52" s="1098"/>
      <c r="AY52" s="1102">
        <f t="shared" si="16"/>
        <v>0</v>
      </c>
    </row>
    <row r="53" spans="1:51" s="837" customFormat="1" x14ac:dyDescent="0.25">
      <c r="A53" s="1117" t="s">
        <v>124</v>
      </c>
      <c r="B53" s="1117" t="s">
        <v>125</v>
      </c>
      <c r="C53" s="1061" t="s">
        <v>267</v>
      </c>
      <c r="D53" s="1406">
        <f t="shared" si="4"/>
        <v>-10.199999999999999</v>
      </c>
      <c r="E53" s="1406">
        <f t="shared" si="5"/>
        <v>5287</v>
      </c>
      <c r="F53" s="1406">
        <f t="shared" si="6"/>
        <v>1324.2</v>
      </c>
      <c r="G53" s="1408">
        <f t="shared" si="7"/>
        <v>0</v>
      </c>
      <c r="H53" s="1411">
        <f t="shared" si="8"/>
        <v>1324.2</v>
      </c>
      <c r="I53" s="1412">
        <f t="shared" si="9"/>
        <v>6601</v>
      </c>
      <c r="J53" s="1118">
        <v>0</v>
      </c>
      <c r="K53" s="1118">
        <v>5296.8</v>
      </c>
      <c r="L53" s="1118">
        <v>1324.2</v>
      </c>
      <c r="M53" s="1118">
        <v>0</v>
      </c>
      <c r="N53" s="1118">
        <v>0</v>
      </c>
      <c r="O53" s="1119">
        <f t="shared" si="10"/>
        <v>6621</v>
      </c>
      <c r="P53" s="1451">
        <v>-10.199999999999999</v>
      </c>
      <c r="Q53" s="1444">
        <v>-9.8000000000000007</v>
      </c>
      <c r="R53" s="1444">
        <v>0</v>
      </c>
      <c r="S53" s="1444">
        <v>0</v>
      </c>
      <c r="T53" s="1444">
        <v>0</v>
      </c>
      <c r="U53" s="1450">
        <f t="shared" si="11"/>
        <v>-20</v>
      </c>
      <c r="V53" s="1444"/>
      <c r="W53" s="1444"/>
      <c r="X53" s="1444"/>
      <c r="Y53" s="1444"/>
      <c r="Z53" s="1444"/>
      <c r="AA53" s="1444">
        <f t="shared" si="12"/>
        <v>0</v>
      </c>
      <c r="AB53" s="1097"/>
      <c r="AC53" s="1098"/>
      <c r="AD53" s="1098"/>
      <c r="AE53" s="1098"/>
      <c r="AF53" s="1098"/>
      <c r="AG53" s="1099">
        <f t="shared" si="13"/>
        <v>0</v>
      </c>
      <c r="AH53" s="1097"/>
      <c r="AI53" s="1098"/>
      <c r="AJ53" s="1098"/>
      <c r="AK53" s="1098"/>
      <c r="AL53" s="1098"/>
      <c r="AM53" s="1102">
        <f t="shared" si="14"/>
        <v>0</v>
      </c>
      <c r="AN53" s="1097"/>
      <c r="AO53" s="1098"/>
      <c r="AP53" s="1098"/>
      <c r="AQ53" s="1098"/>
      <c r="AR53" s="1098"/>
      <c r="AS53" s="1102">
        <f t="shared" si="15"/>
        <v>0</v>
      </c>
      <c r="AT53" s="1097"/>
      <c r="AU53" s="1098"/>
      <c r="AV53" s="1098"/>
      <c r="AW53" s="1098"/>
      <c r="AX53" s="1098"/>
      <c r="AY53" s="1102">
        <f t="shared" si="16"/>
        <v>0</v>
      </c>
    </row>
    <row r="54" spans="1:51" s="837" customFormat="1" x14ac:dyDescent="0.25">
      <c r="A54" s="1117" t="s">
        <v>126</v>
      </c>
      <c r="B54" s="1117" t="s">
        <v>127</v>
      </c>
      <c r="C54" s="1061" t="s">
        <v>266</v>
      </c>
      <c r="D54" s="1406">
        <f t="shared" si="4"/>
        <v>0</v>
      </c>
      <c r="E54" s="1406">
        <f t="shared" si="5"/>
        <v>49774</v>
      </c>
      <c r="F54" s="1406">
        <f t="shared" si="6"/>
        <v>12790</v>
      </c>
      <c r="G54" s="1408">
        <f t="shared" si="7"/>
        <v>0</v>
      </c>
      <c r="H54" s="1411">
        <f t="shared" si="8"/>
        <v>12790</v>
      </c>
      <c r="I54" s="1412">
        <f t="shared" si="9"/>
        <v>62564</v>
      </c>
      <c r="J54" s="1118">
        <v>0</v>
      </c>
      <c r="K54" s="1118">
        <v>48784</v>
      </c>
      <c r="L54" s="1118">
        <v>12196</v>
      </c>
      <c r="M54" s="1118">
        <v>0</v>
      </c>
      <c r="N54" s="1118">
        <v>0</v>
      </c>
      <c r="O54" s="1119">
        <f t="shared" si="10"/>
        <v>60980</v>
      </c>
      <c r="P54" s="1451"/>
      <c r="Q54" s="1444"/>
      <c r="R54" s="1444"/>
      <c r="S54" s="1444"/>
      <c r="T54" s="1444"/>
      <c r="U54" s="1450">
        <f t="shared" si="11"/>
        <v>0</v>
      </c>
      <c r="V54" s="1444"/>
      <c r="W54" s="1444"/>
      <c r="X54" s="1444"/>
      <c r="Y54" s="1444"/>
      <c r="Z54" s="1444"/>
      <c r="AA54" s="1444">
        <f t="shared" si="12"/>
        <v>0</v>
      </c>
      <c r="AB54" s="1097">
        <v>0</v>
      </c>
      <c r="AC54" s="1098">
        <v>990</v>
      </c>
      <c r="AD54" s="1098">
        <v>594</v>
      </c>
      <c r="AE54" s="1098">
        <v>0</v>
      </c>
      <c r="AF54" s="1098">
        <v>0</v>
      </c>
      <c r="AG54" s="1099">
        <f t="shared" si="13"/>
        <v>1584</v>
      </c>
      <c r="AH54" s="1097"/>
      <c r="AI54" s="1098"/>
      <c r="AJ54" s="1098"/>
      <c r="AK54" s="1098"/>
      <c r="AL54" s="1098"/>
      <c r="AM54" s="1102">
        <f t="shared" si="14"/>
        <v>0</v>
      </c>
      <c r="AN54" s="1097"/>
      <c r="AO54" s="1098"/>
      <c r="AP54" s="1098"/>
      <c r="AQ54" s="1098"/>
      <c r="AR54" s="1098"/>
      <c r="AS54" s="1102">
        <f t="shared" si="15"/>
        <v>0</v>
      </c>
      <c r="AT54" s="1097"/>
      <c r="AU54" s="1098"/>
      <c r="AV54" s="1098"/>
      <c r="AW54" s="1098"/>
      <c r="AX54" s="1098"/>
      <c r="AY54" s="1102">
        <f t="shared" si="16"/>
        <v>0</v>
      </c>
    </row>
    <row r="55" spans="1:51" s="837" customFormat="1" x14ac:dyDescent="0.25">
      <c r="A55" s="1117" t="s">
        <v>128</v>
      </c>
      <c r="B55" s="1117" t="s">
        <v>129</v>
      </c>
      <c r="C55" s="1061" t="s">
        <v>266</v>
      </c>
      <c r="D55" s="1406">
        <f t="shared" si="4"/>
        <v>-380.72</v>
      </c>
      <c r="E55" s="1406">
        <f t="shared" si="5"/>
        <v>20663.009999999998</v>
      </c>
      <c r="F55" s="1406">
        <f t="shared" si="6"/>
        <v>5257.2</v>
      </c>
      <c r="G55" s="1408">
        <f t="shared" si="7"/>
        <v>0.01</v>
      </c>
      <c r="H55" s="1411">
        <f t="shared" si="8"/>
        <v>5257.21</v>
      </c>
      <c r="I55" s="1412">
        <f t="shared" si="9"/>
        <v>25539.499999999996</v>
      </c>
      <c r="J55" s="1118">
        <v>0</v>
      </c>
      <c r="K55" s="1118">
        <v>21028.799999999999</v>
      </c>
      <c r="L55" s="1118">
        <v>5257.2</v>
      </c>
      <c r="M55" s="1118">
        <v>0</v>
      </c>
      <c r="N55" s="1118">
        <v>0</v>
      </c>
      <c r="O55" s="1119">
        <f t="shared" si="10"/>
        <v>26286</v>
      </c>
      <c r="P55" s="1451">
        <v>-380.72</v>
      </c>
      <c r="Q55" s="1444">
        <v>-365.79</v>
      </c>
      <c r="R55" s="1444">
        <v>0</v>
      </c>
      <c r="S55" s="1444">
        <v>0.01</v>
      </c>
      <c r="T55" s="1444">
        <v>0</v>
      </c>
      <c r="U55" s="1450">
        <f t="shared" si="11"/>
        <v>-746.5</v>
      </c>
      <c r="V55" s="1444"/>
      <c r="W55" s="1444"/>
      <c r="X55" s="1444"/>
      <c r="Y55" s="1444"/>
      <c r="Z55" s="1444"/>
      <c r="AA55" s="1444">
        <f t="shared" si="12"/>
        <v>0</v>
      </c>
      <c r="AB55" s="1097"/>
      <c r="AC55" s="1098"/>
      <c r="AD55" s="1098"/>
      <c r="AE55" s="1098"/>
      <c r="AF55" s="1098"/>
      <c r="AG55" s="1099">
        <f t="shared" si="13"/>
        <v>0</v>
      </c>
      <c r="AH55" s="1097"/>
      <c r="AI55" s="1098"/>
      <c r="AJ55" s="1098"/>
      <c r="AK55" s="1098"/>
      <c r="AL55" s="1098"/>
      <c r="AM55" s="1102">
        <f t="shared" si="14"/>
        <v>0</v>
      </c>
      <c r="AN55" s="1097"/>
      <c r="AO55" s="1098"/>
      <c r="AP55" s="1098"/>
      <c r="AQ55" s="1098"/>
      <c r="AR55" s="1098"/>
      <c r="AS55" s="1102">
        <f t="shared" si="15"/>
        <v>0</v>
      </c>
      <c r="AT55" s="1097"/>
      <c r="AU55" s="1098"/>
      <c r="AV55" s="1098"/>
      <c r="AW55" s="1098"/>
      <c r="AX55" s="1098"/>
      <c r="AY55" s="1102">
        <f t="shared" si="16"/>
        <v>0</v>
      </c>
    </row>
    <row r="56" spans="1:51" s="837" customFormat="1" x14ac:dyDescent="0.25">
      <c r="A56" s="1117" t="s">
        <v>130</v>
      </c>
      <c r="B56" s="1117" t="s">
        <v>131</v>
      </c>
      <c r="C56" s="1061" t="s">
        <v>268</v>
      </c>
      <c r="D56" s="1406">
        <f t="shared" si="4"/>
        <v>-479.53</v>
      </c>
      <c r="E56" s="1406">
        <f t="shared" si="5"/>
        <v>423272.07</v>
      </c>
      <c r="F56" s="1406">
        <f t="shared" si="6"/>
        <v>105933.2</v>
      </c>
      <c r="G56" s="1408">
        <f t="shared" si="7"/>
        <v>144</v>
      </c>
      <c r="H56" s="1411">
        <f t="shared" si="8"/>
        <v>106077.2</v>
      </c>
      <c r="I56" s="1412">
        <f t="shared" si="9"/>
        <v>528869.74</v>
      </c>
      <c r="J56" s="1118">
        <v>0</v>
      </c>
      <c r="K56" s="1118">
        <v>423732.8</v>
      </c>
      <c r="L56" s="1118">
        <v>105933.2</v>
      </c>
      <c r="M56" s="1118">
        <v>0</v>
      </c>
      <c r="N56" s="1118">
        <v>0</v>
      </c>
      <c r="O56" s="1119">
        <f t="shared" si="10"/>
        <v>529666</v>
      </c>
      <c r="P56" s="1451">
        <v>-734.53</v>
      </c>
      <c r="Q56" s="1444">
        <v>-705.73</v>
      </c>
      <c r="R56" s="1444">
        <v>0</v>
      </c>
      <c r="S56" s="1444">
        <v>144</v>
      </c>
      <c r="T56" s="1444">
        <v>0</v>
      </c>
      <c r="U56" s="1450">
        <f t="shared" si="11"/>
        <v>-1296.26</v>
      </c>
      <c r="V56" s="1444">
        <v>255</v>
      </c>
      <c r="W56" s="1444">
        <v>245</v>
      </c>
      <c r="X56" s="1444">
        <v>0</v>
      </c>
      <c r="Y56" s="1444">
        <v>0</v>
      </c>
      <c r="Z56" s="1444">
        <v>0</v>
      </c>
      <c r="AA56" s="1444">
        <f t="shared" si="12"/>
        <v>500</v>
      </c>
      <c r="AB56" s="1097"/>
      <c r="AC56" s="1098"/>
      <c r="AD56" s="1098"/>
      <c r="AE56" s="1098"/>
      <c r="AF56" s="1098"/>
      <c r="AG56" s="1099">
        <f t="shared" si="13"/>
        <v>0</v>
      </c>
      <c r="AH56" s="1097"/>
      <c r="AI56" s="1098"/>
      <c r="AJ56" s="1098"/>
      <c r="AK56" s="1098"/>
      <c r="AL56" s="1098"/>
      <c r="AM56" s="1102">
        <f t="shared" si="14"/>
        <v>0</v>
      </c>
      <c r="AN56" s="1097"/>
      <c r="AO56" s="1098"/>
      <c r="AP56" s="1098"/>
      <c r="AQ56" s="1098"/>
      <c r="AR56" s="1098"/>
      <c r="AS56" s="1102">
        <f t="shared" si="15"/>
        <v>0</v>
      </c>
      <c r="AT56" s="1097"/>
      <c r="AU56" s="1098"/>
      <c r="AV56" s="1098"/>
      <c r="AW56" s="1098"/>
      <c r="AX56" s="1098"/>
      <c r="AY56" s="1102">
        <f t="shared" si="16"/>
        <v>0</v>
      </c>
    </row>
    <row r="57" spans="1:51" s="837" customFormat="1" x14ac:dyDescent="0.25">
      <c r="A57" s="1117" t="s">
        <v>132</v>
      </c>
      <c r="B57" s="1117" t="s">
        <v>133</v>
      </c>
      <c r="C57" s="1061" t="s">
        <v>267</v>
      </c>
      <c r="D57" s="1406">
        <f t="shared" si="4"/>
        <v>53564.39</v>
      </c>
      <c r="E57" s="1406">
        <f t="shared" si="5"/>
        <v>106416.61</v>
      </c>
      <c r="F57" s="1406">
        <f t="shared" si="6"/>
        <v>29930</v>
      </c>
      <c r="G57" s="1408">
        <f t="shared" si="7"/>
        <v>15748</v>
      </c>
      <c r="H57" s="1411">
        <f t="shared" si="8"/>
        <v>45678</v>
      </c>
      <c r="I57" s="1412">
        <f t="shared" si="9"/>
        <v>205659</v>
      </c>
      <c r="J57" s="1118">
        <v>0</v>
      </c>
      <c r="K57" s="1118">
        <v>119720</v>
      </c>
      <c r="L57" s="1118">
        <v>29930</v>
      </c>
      <c r="M57" s="1118">
        <v>0</v>
      </c>
      <c r="N57" s="1118">
        <v>0</v>
      </c>
      <c r="O57" s="1119">
        <f t="shared" si="10"/>
        <v>149650</v>
      </c>
      <c r="P57" s="1451">
        <v>-4442.6099999999997</v>
      </c>
      <c r="Q57" s="1444">
        <v>-4268.3900000000003</v>
      </c>
      <c r="R57" s="1444">
        <v>0</v>
      </c>
      <c r="S57" s="1444">
        <v>8711</v>
      </c>
      <c r="T57" s="1444">
        <v>0</v>
      </c>
      <c r="U57" s="1450">
        <f t="shared" si="11"/>
        <v>0</v>
      </c>
      <c r="V57" s="1444"/>
      <c r="W57" s="1444"/>
      <c r="X57" s="1444"/>
      <c r="Y57" s="1444"/>
      <c r="Z57" s="1444"/>
      <c r="AA57" s="1444">
        <f t="shared" si="12"/>
        <v>0</v>
      </c>
      <c r="AB57" s="1100"/>
      <c r="AC57" s="1101"/>
      <c r="AD57" s="1101"/>
      <c r="AE57" s="1101"/>
      <c r="AF57" s="1101"/>
      <c r="AG57" s="1099">
        <f t="shared" si="13"/>
        <v>0</v>
      </c>
      <c r="AH57" s="1100">
        <v>58007</v>
      </c>
      <c r="AI57" s="1101">
        <v>0</v>
      </c>
      <c r="AJ57" s="1101">
        <v>0</v>
      </c>
      <c r="AK57" s="1101">
        <v>0</v>
      </c>
      <c r="AL57" s="1101">
        <v>0</v>
      </c>
      <c r="AM57" s="1102">
        <f t="shared" si="14"/>
        <v>58007</v>
      </c>
      <c r="AN57" s="1100">
        <v>0</v>
      </c>
      <c r="AO57" s="1101">
        <v>-9035</v>
      </c>
      <c r="AP57" s="1101">
        <v>0</v>
      </c>
      <c r="AQ57" s="1101">
        <v>7037</v>
      </c>
      <c r="AR57" s="1101">
        <v>0</v>
      </c>
      <c r="AS57" s="1102">
        <f t="shared" si="15"/>
        <v>-1998</v>
      </c>
      <c r="AT57" s="1100"/>
      <c r="AU57" s="1101"/>
      <c r="AV57" s="1101"/>
      <c r="AW57" s="1101"/>
      <c r="AX57" s="1101"/>
      <c r="AY57" s="1102">
        <f t="shared" si="16"/>
        <v>0</v>
      </c>
    </row>
    <row r="58" spans="1:51" s="837" customFormat="1" x14ac:dyDescent="0.25">
      <c r="A58" s="1117" t="s">
        <v>134</v>
      </c>
      <c r="B58" s="1117" t="s">
        <v>135</v>
      </c>
      <c r="C58" s="1061" t="s">
        <v>267</v>
      </c>
      <c r="D58" s="1406">
        <f t="shared" si="4"/>
        <v>-927.85</v>
      </c>
      <c r="E58" s="1406">
        <f t="shared" si="5"/>
        <v>49066.15</v>
      </c>
      <c r="F58" s="1406">
        <f t="shared" si="6"/>
        <v>12489.4</v>
      </c>
      <c r="G58" s="1408">
        <f t="shared" si="7"/>
        <v>0</v>
      </c>
      <c r="H58" s="1411">
        <f t="shared" si="8"/>
        <v>12489.4</v>
      </c>
      <c r="I58" s="1412">
        <f t="shared" si="9"/>
        <v>60627.700000000004</v>
      </c>
      <c r="J58" s="1118">
        <v>0</v>
      </c>
      <c r="K58" s="1118">
        <v>49957.599999999999</v>
      </c>
      <c r="L58" s="1118">
        <v>12489.4</v>
      </c>
      <c r="M58" s="1118">
        <v>0</v>
      </c>
      <c r="N58" s="1118">
        <v>0</v>
      </c>
      <c r="O58" s="1119">
        <f t="shared" si="10"/>
        <v>62447</v>
      </c>
      <c r="P58" s="1451">
        <v>-927.85</v>
      </c>
      <c r="Q58" s="1444">
        <v>-891.45</v>
      </c>
      <c r="R58" s="1444">
        <v>0</v>
      </c>
      <c r="S58" s="1444">
        <v>0</v>
      </c>
      <c r="T58" s="1444">
        <v>0</v>
      </c>
      <c r="U58" s="1450">
        <f t="shared" si="11"/>
        <v>-1819.3000000000002</v>
      </c>
      <c r="V58" s="1444"/>
      <c r="W58" s="1444"/>
      <c r="X58" s="1444"/>
      <c r="Y58" s="1444"/>
      <c r="Z58" s="1444"/>
      <c r="AA58" s="1444">
        <f t="shared" si="12"/>
        <v>0</v>
      </c>
      <c r="AB58" s="1097"/>
      <c r="AC58" s="1098"/>
      <c r="AD58" s="1098"/>
      <c r="AE58" s="1098"/>
      <c r="AF58" s="1098"/>
      <c r="AG58" s="1099">
        <f t="shared" si="13"/>
        <v>0</v>
      </c>
      <c r="AH58" s="1097"/>
      <c r="AI58" s="1098"/>
      <c r="AJ58" s="1098"/>
      <c r="AK58" s="1098"/>
      <c r="AL58" s="1098"/>
      <c r="AM58" s="1102">
        <f t="shared" si="14"/>
        <v>0</v>
      </c>
      <c r="AN58" s="1097"/>
      <c r="AO58" s="1098"/>
      <c r="AP58" s="1098"/>
      <c r="AQ58" s="1098"/>
      <c r="AR58" s="1098"/>
      <c r="AS58" s="1102">
        <f t="shared" si="15"/>
        <v>0</v>
      </c>
      <c r="AT58" s="1097"/>
      <c r="AU58" s="1098"/>
      <c r="AV58" s="1098"/>
      <c r="AW58" s="1098"/>
      <c r="AX58" s="1098"/>
      <c r="AY58" s="1102">
        <f t="shared" si="16"/>
        <v>0</v>
      </c>
    </row>
    <row r="59" spans="1:51" s="837" customFormat="1" x14ac:dyDescent="0.25">
      <c r="A59" s="1117" t="s">
        <v>136</v>
      </c>
      <c r="B59" s="1117" t="s">
        <v>137</v>
      </c>
      <c r="C59" s="1061" t="s">
        <v>266</v>
      </c>
      <c r="D59" s="1406">
        <f t="shared" si="4"/>
        <v>0</v>
      </c>
      <c r="E59" s="1406">
        <f t="shared" si="5"/>
        <v>56725.599999999999</v>
      </c>
      <c r="F59" s="1406">
        <f t="shared" si="6"/>
        <v>14181.4</v>
      </c>
      <c r="G59" s="1408">
        <f t="shared" si="7"/>
        <v>0</v>
      </c>
      <c r="H59" s="1411">
        <f t="shared" si="8"/>
        <v>14181.4</v>
      </c>
      <c r="I59" s="1412">
        <f t="shared" si="9"/>
        <v>70907</v>
      </c>
      <c r="J59" s="1118">
        <v>0</v>
      </c>
      <c r="K59" s="1118">
        <v>56725.599999999999</v>
      </c>
      <c r="L59" s="1118">
        <v>14181.4</v>
      </c>
      <c r="M59" s="1118">
        <v>0</v>
      </c>
      <c r="N59" s="1118">
        <v>0</v>
      </c>
      <c r="O59" s="1119">
        <f t="shared" si="10"/>
        <v>70907</v>
      </c>
      <c r="P59" s="1451"/>
      <c r="Q59" s="1444"/>
      <c r="R59" s="1444"/>
      <c r="S59" s="1444"/>
      <c r="T59" s="1444"/>
      <c r="U59" s="1450">
        <f t="shared" si="11"/>
        <v>0</v>
      </c>
      <c r="V59" s="1444"/>
      <c r="W59" s="1444"/>
      <c r="X59" s="1444"/>
      <c r="Y59" s="1444"/>
      <c r="Z59" s="1444"/>
      <c r="AA59" s="1444">
        <f t="shared" si="12"/>
        <v>0</v>
      </c>
      <c r="AB59" s="1097"/>
      <c r="AC59" s="1098"/>
      <c r="AD59" s="1098"/>
      <c r="AE59" s="1098"/>
      <c r="AF59" s="1098"/>
      <c r="AG59" s="1099">
        <f t="shared" si="13"/>
        <v>0</v>
      </c>
      <c r="AH59" s="1097"/>
      <c r="AI59" s="1098"/>
      <c r="AJ59" s="1098"/>
      <c r="AK59" s="1098"/>
      <c r="AL59" s="1098"/>
      <c r="AM59" s="1102">
        <f t="shared" si="14"/>
        <v>0</v>
      </c>
      <c r="AN59" s="1097"/>
      <c r="AO59" s="1098"/>
      <c r="AP59" s="1098"/>
      <c r="AQ59" s="1098"/>
      <c r="AR59" s="1098"/>
      <c r="AS59" s="1102">
        <f t="shared" si="15"/>
        <v>0</v>
      </c>
      <c r="AT59" s="1097"/>
      <c r="AU59" s="1098"/>
      <c r="AV59" s="1098"/>
      <c r="AW59" s="1098"/>
      <c r="AX59" s="1098"/>
      <c r="AY59" s="1102">
        <f t="shared" si="16"/>
        <v>0</v>
      </c>
    </row>
    <row r="60" spans="1:51" s="837" customFormat="1" x14ac:dyDescent="0.25">
      <c r="A60" s="1117" t="s">
        <v>140</v>
      </c>
      <c r="B60" s="1117" t="s">
        <v>141</v>
      </c>
      <c r="C60" s="1061" t="s">
        <v>267</v>
      </c>
      <c r="D60" s="1406">
        <f t="shared" si="4"/>
        <v>-231.04</v>
      </c>
      <c r="E60" s="1406">
        <f t="shared" si="5"/>
        <v>20535.62</v>
      </c>
      <c r="F60" s="1406">
        <f t="shared" si="6"/>
        <v>5189.3999999999996</v>
      </c>
      <c r="G60" s="1408">
        <f t="shared" si="7"/>
        <v>1000</v>
      </c>
      <c r="H60" s="1411">
        <f t="shared" si="8"/>
        <v>6189.4</v>
      </c>
      <c r="I60" s="1412">
        <f t="shared" si="9"/>
        <v>26493.979999999996</v>
      </c>
      <c r="J60" s="1118">
        <v>0</v>
      </c>
      <c r="K60" s="1118">
        <v>20757.599999999999</v>
      </c>
      <c r="L60" s="1118">
        <v>5189.3999999999996</v>
      </c>
      <c r="M60" s="1118">
        <v>0</v>
      </c>
      <c r="N60" s="1118">
        <v>0</v>
      </c>
      <c r="O60" s="1119">
        <f t="shared" si="10"/>
        <v>25947</v>
      </c>
      <c r="P60" s="1451">
        <v>-231.04</v>
      </c>
      <c r="Q60" s="1444">
        <v>-221.98</v>
      </c>
      <c r="R60" s="1444">
        <v>0</v>
      </c>
      <c r="S60" s="1444">
        <v>0</v>
      </c>
      <c r="T60" s="1444">
        <v>0</v>
      </c>
      <c r="U60" s="1450">
        <f t="shared" si="11"/>
        <v>-453.02</v>
      </c>
      <c r="V60" s="1444"/>
      <c r="W60" s="1444"/>
      <c r="X60" s="1444"/>
      <c r="Y60" s="1444"/>
      <c r="Z60" s="1444"/>
      <c r="AA60" s="1444">
        <f t="shared" si="12"/>
        <v>0</v>
      </c>
      <c r="AB60" s="1097">
        <v>0</v>
      </c>
      <c r="AC60" s="1098">
        <v>0</v>
      </c>
      <c r="AD60" s="1098">
        <v>0</v>
      </c>
      <c r="AE60" s="1098">
        <v>1000</v>
      </c>
      <c r="AF60" s="1098">
        <v>0</v>
      </c>
      <c r="AG60" s="1099">
        <f t="shared" si="13"/>
        <v>1000</v>
      </c>
      <c r="AH60" s="1100"/>
      <c r="AI60" s="1101"/>
      <c r="AJ60" s="1101"/>
      <c r="AK60" s="1101"/>
      <c r="AL60" s="1101"/>
      <c r="AM60" s="1102">
        <f t="shared" si="14"/>
        <v>0</v>
      </c>
      <c r="AN60" s="1100"/>
      <c r="AO60" s="1101"/>
      <c r="AP60" s="1101"/>
      <c r="AQ60" s="1101"/>
      <c r="AR60" s="1101"/>
      <c r="AS60" s="1102">
        <f t="shared" si="15"/>
        <v>0</v>
      </c>
      <c r="AT60" s="1100"/>
      <c r="AU60" s="1101"/>
      <c r="AV60" s="1101"/>
      <c r="AW60" s="1101"/>
      <c r="AX60" s="1101"/>
      <c r="AY60" s="1102">
        <f t="shared" si="16"/>
        <v>0</v>
      </c>
    </row>
    <row r="61" spans="1:51" s="837" customFormat="1" x14ac:dyDescent="0.25">
      <c r="A61" s="1117" t="s">
        <v>146</v>
      </c>
      <c r="B61" s="1117" t="s">
        <v>147</v>
      </c>
      <c r="C61" s="1061" t="s">
        <v>264</v>
      </c>
      <c r="D61" s="1406">
        <f t="shared" si="4"/>
        <v>0</v>
      </c>
      <c r="E61" s="1406">
        <f t="shared" si="5"/>
        <v>10905.6</v>
      </c>
      <c r="F61" s="1406">
        <f t="shared" si="6"/>
        <v>2726.4</v>
      </c>
      <c r="G61" s="1408">
        <f t="shared" si="7"/>
        <v>0</v>
      </c>
      <c r="H61" s="1411">
        <f t="shared" si="8"/>
        <v>2726.4</v>
      </c>
      <c r="I61" s="1412">
        <f t="shared" si="9"/>
        <v>13632</v>
      </c>
      <c r="J61" s="1118">
        <v>0</v>
      </c>
      <c r="K61" s="1118">
        <v>10905.6</v>
      </c>
      <c r="L61" s="1118">
        <v>2726.4</v>
      </c>
      <c r="M61" s="1118">
        <v>0</v>
      </c>
      <c r="N61" s="1118">
        <v>0</v>
      </c>
      <c r="O61" s="1119">
        <f t="shared" si="10"/>
        <v>13632</v>
      </c>
      <c r="P61" s="1451"/>
      <c r="Q61" s="1444"/>
      <c r="R61" s="1444"/>
      <c r="S61" s="1444"/>
      <c r="T61" s="1444"/>
      <c r="U61" s="1450">
        <f t="shared" si="11"/>
        <v>0</v>
      </c>
      <c r="V61" s="1444"/>
      <c r="W61" s="1444"/>
      <c r="X61" s="1444"/>
      <c r="Y61" s="1444"/>
      <c r="Z61" s="1444"/>
      <c r="AA61" s="1444">
        <f t="shared" si="12"/>
        <v>0</v>
      </c>
      <c r="AB61" s="1097"/>
      <c r="AC61" s="1098"/>
      <c r="AD61" s="1098"/>
      <c r="AE61" s="1098"/>
      <c r="AF61" s="1098"/>
      <c r="AG61" s="1099">
        <f t="shared" si="13"/>
        <v>0</v>
      </c>
      <c r="AH61" s="1097"/>
      <c r="AI61" s="1098"/>
      <c r="AJ61" s="1098"/>
      <c r="AK61" s="1098"/>
      <c r="AL61" s="1098"/>
      <c r="AM61" s="1102">
        <f t="shared" si="14"/>
        <v>0</v>
      </c>
      <c r="AN61" s="1097"/>
      <c r="AO61" s="1098"/>
      <c r="AP61" s="1098"/>
      <c r="AQ61" s="1098"/>
      <c r="AR61" s="1098"/>
      <c r="AS61" s="1102">
        <f t="shared" si="15"/>
        <v>0</v>
      </c>
      <c r="AT61" s="1097"/>
      <c r="AU61" s="1098"/>
      <c r="AV61" s="1098"/>
      <c r="AW61" s="1098"/>
      <c r="AX61" s="1098"/>
      <c r="AY61" s="1102">
        <f t="shared" si="16"/>
        <v>0</v>
      </c>
    </row>
    <row r="62" spans="1:51" s="837" customFormat="1" x14ac:dyDescent="0.25">
      <c r="A62" s="1117" t="s">
        <v>148</v>
      </c>
      <c r="B62" s="1117" t="s">
        <v>149</v>
      </c>
      <c r="C62" s="1061" t="s">
        <v>265</v>
      </c>
      <c r="D62" s="1406">
        <f t="shared" si="4"/>
        <v>19624.64</v>
      </c>
      <c r="E62" s="1406">
        <f t="shared" si="5"/>
        <v>199515.36</v>
      </c>
      <c r="F62" s="1406">
        <f t="shared" si="6"/>
        <v>49969</v>
      </c>
      <c r="G62" s="1408">
        <f t="shared" si="7"/>
        <v>0</v>
      </c>
      <c r="H62" s="1411">
        <f t="shared" si="8"/>
        <v>49969</v>
      </c>
      <c r="I62" s="1412">
        <f t="shared" si="9"/>
        <v>269109</v>
      </c>
      <c r="J62" s="1118">
        <v>0</v>
      </c>
      <c r="K62" s="1118">
        <v>199876</v>
      </c>
      <c r="L62" s="1118">
        <v>49969</v>
      </c>
      <c r="M62" s="1118">
        <v>0</v>
      </c>
      <c r="N62" s="1118">
        <v>0</v>
      </c>
      <c r="O62" s="1119">
        <f t="shared" si="10"/>
        <v>249845</v>
      </c>
      <c r="P62" s="1451">
        <v>-375.36</v>
      </c>
      <c r="Q62" s="1444">
        <v>-360.64</v>
      </c>
      <c r="R62" s="1444">
        <v>0</v>
      </c>
      <c r="S62" s="1444">
        <v>0</v>
      </c>
      <c r="T62" s="1444">
        <v>0</v>
      </c>
      <c r="U62" s="1450">
        <f t="shared" si="11"/>
        <v>-736</v>
      </c>
      <c r="V62" s="1444"/>
      <c r="W62" s="1444"/>
      <c r="X62" s="1444"/>
      <c r="Y62" s="1444"/>
      <c r="Z62" s="1444"/>
      <c r="AA62" s="1444">
        <f t="shared" si="12"/>
        <v>0</v>
      </c>
      <c r="AB62" s="1097"/>
      <c r="AC62" s="1098"/>
      <c r="AD62" s="1098"/>
      <c r="AE62" s="1098"/>
      <c r="AF62" s="1098"/>
      <c r="AG62" s="1099">
        <f t="shared" si="13"/>
        <v>0</v>
      </c>
      <c r="AH62" s="1097"/>
      <c r="AI62" s="1098"/>
      <c r="AJ62" s="1098"/>
      <c r="AK62" s="1098"/>
      <c r="AL62" s="1098"/>
      <c r="AM62" s="1102">
        <f t="shared" si="14"/>
        <v>0</v>
      </c>
      <c r="AN62" s="1097"/>
      <c r="AO62" s="1098"/>
      <c r="AP62" s="1098"/>
      <c r="AQ62" s="1098"/>
      <c r="AR62" s="1098"/>
      <c r="AS62" s="1102">
        <f t="shared" si="15"/>
        <v>0</v>
      </c>
      <c r="AT62" s="1097">
        <v>20000</v>
      </c>
      <c r="AU62" s="1098">
        <v>0</v>
      </c>
      <c r="AV62" s="1098">
        <v>0</v>
      </c>
      <c r="AW62" s="1098">
        <v>0</v>
      </c>
      <c r="AX62" s="1098">
        <v>0</v>
      </c>
      <c r="AY62" s="1102">
        <f t="shared" si="16"/>
        <v>20000</v>
      </c>
    </row>
    <row r="63" spans="1:51" s="837" customFormat="1" x14ac:dyDescent="0.25">
      <c r="A63" s="1117" t="s">
        <v>150</v>
      </c>
      <c r="B63" s="1117" t="s">
        <v>151</v>
      </c>
      <c r="C63" s="1061" t="s">
        <v>266</v>
      </c>
      <c r="D63" s="1406">
        <f t="shared" si="4"/>
        <v>0</v>
      </c>
      <c r="E63" s="1406">
        <f t="shared" si="5"/>
        <v>20990.400000000001</v>
      </c>
      <c r="F63" s="1406">
        <f t="shared" si="6"/>
        <v>5247.6</v>
      </c>
      <c r="G63" s="1408">
        <f t="shared" si="7"/>
        <v>50</v>
      </c>
      <c r="H63" s="1411">
        <f t="shared" si="8"/>
        <v>5297.6</v>
      </c>
      <c r="I63" s="1412">
        <f t="shared" si="9"/>
        <v>26288</v>
      </c>
      <c r="J63" s="1118">
        <v>0</v>
      </c>
      <c r="K63" s="1118">
        <v>20990.400000000001</v>
      </c>
      <c r="L63" s="1118">
        <v>5247.6</v>
      </c>
      <c r="M63" s="1118">
        <v>0</v>
      </c>
      <c r="N63" s="1118">
        <v>0</v>
      </c>
      <c r="O63" s="1119">
        <f t="shared" si="10"/>
        <v>26238</v>
      </c>
      <c r="P63" s="1451">
        <v>0</v>
      </c>
      <c r="Q63" s="1444">
        <v>0</v>
      </c>
      <c r="R63" s="1444">
        <v>0</v>
      </c>
      <c r="S63" s="1444">
        <v>50</v>
      </c>
      <c r="T63" s="1444">
        <v>0</v>
      </c>
      <c r="U63" s="1450">
        <f t="shared" si="11"/>
        <v>50</v>
      </c>
      <c r="V63" s="1444"/>
      <c r="W63" s="1444"/>
      <c r="X63" s="1444"/>
      <c r="Y63" s="1444"/>
      <c r="Z63" s="1444"/>
      <c r="AA63" s="1444">
        <f t="shared" si="12"/>
        <v>0</v>
      </c>
      <c r="AB63" s="1097"/>
      <c r="AC63" s="1098"/>
      <c r="AD63" s="1098"/>
      <c r="AE63" s="1098"/>
      <c r="AF63" s="1098"/>
      <c r="AG63" s="1099">
        <f t="shared" si="13"/>
        <v>0</v>
      </c>
      <c r="AH63" s="1097"/>
      <c r="AI63" s="1098"/>
      <c r="AJ63" s="1098"/>
      <c r="AK63" s="1098"/>
      <c r="AL63" s="1098"/>
      <c r="AM63" s="1102">
        <f t="shared" si="14"/>
        <v>0</v>
      </c>
      <c r="AN63" s="1097"/>
      <c r="AO63" s="1098"/>
      <c r="AP63" s="1098"/>
      <c r="AQ63" s="1098"/>
      <c r="AR63" s="1098"/>
      <c r="AS63" s="1102">
        <f t="shared" si="15"/>
        <v>0</v>
      </c>
      <c r="AT63" s="1097"/>
      <c r="AU63" s="1098"/>
      <c r="AV63" s="1098"/>
      <c r="AW63" s="1098"/>
      <c r="AX63" s="1098"/>
      <c r="AY63" s="1102">
        <f t="shared" si="16"/>
        <v>0</v>
      </c>
    </row>
    <row r="64" spans="1:51" s="837" customFormat="1" x14ac:dyDescent="0.25">
      <c r="A64" s="1117" t="s">
        <v>152</v>
      </c>
      <c r="B64" s="1117" t="s">
        <v>153</v>
      </c>
      <c r="C64" s="1061" t="s">
        <v>268</v>
      </c>
      <c r="D64" s="1406">
        <f t="shared" si="4"/>
        <v>-5308.93</v>
      </c>
      <c r="E64" s="1406">
        <f t="shared" si="5"/>
        <v>135404.04999999999</v>
      </c>
      <c r="F64" s="1406">
        <f t="shared" si="6"/>
        <v>35126.199999999997</v>
      </c>
      <c r="G64" s="1408">
        <f t="shared" si="7"/>
        <v>0</v>
      </c>
      <c r="H64" s="1411">
        <f t="shared" si="8"/>
        <v>35126.199999999997</v>
      </c>
      <c r="I64" s="1412">
        <f t="shared" si="9"/>
        <v>165221.32</v>
      </c>
      <c r="J64" s="1118">
        <v>0</v>
      </c>
      <c r="K64" s="1118">
        <v>140504.79999999999</v>
      </c>
      <c r="L64" s="1118">
        <v>35126.199999999997</v>
      </c>
      <c r="M64" s="1118">
        <v>0</v>
      </c>
      <c r="N64" s="1118">
        <v>0</v>
      </c>
      <c r="O64" s="1119">
        <f t="shared" si="10"/>
        <v>175631</v>
      </c>
      <c r="P64" s="1451">
        <v>-5496.56</v>
      </c>
      <c r="Q64" s="1444">
        <v>-5281.02</v>
      </c>
      <c r="R64" s="1444">
        <v>0</v>
      </c>
      <c r="S64" s="1444">
        <v>0</v>
      </c>
      <c r="T64" s="1444">
        <v>0</v>
      </c>
      <c r="U64" s="1450">
        <f t="shared" si="11"/>
        <v>-10777.580000000002</v>
      </c>
      <c r="V64" s="1444">
        <v>187.63</v>
      </c>
      <c r="W64" s="1444">
        <v>180.27</v>
      </c>
      <c r="X64" s="1444">
        <v>0</v>
      </c>
      <c r="Y64" s="1444">
        <v>0</v>
      </c>
      <c r="Z64" s="1444">
        <v>0</v>
      </c>
      <c r="AA64" s="1444">
        <f t="shared" si="12"/>
        <v>367.9</v>
      </c>
      <c r="AB64" s="1097"/>
      <c r="AC64" s="1098"/>
      <c r="AD64" s="1098"/>
      <c r="AE64" s="1098"/>
      <c r="AF64" s="1098"/>
      <c r="AG64" s="1099">
        <f t="shared" si="13"/>
        <v>0</v>
      </c>
      <c r="AH64" s="1097"/>
      <c r="AI64" s="1098"/>
      <c r="AJ64" s="1098"/>
      <c r="AK64" s="1098"/>
      <c r="AL64" s="1098"/>
      <c r="AM64" s="1102">
        <f t="shared" si="14"/>
        <v>0</v>
      </c>
      <c r="AN64" s="1097"/>
      <c r="AO64" s="1098"/>
      <c r="AP64" s="1098"/>
      <c r="AQ64" s="1098"/>
      <c r="AR64" s="1098"/>
      <c r="AS64" s="1102">
        <f t="shared" si="15"/>
        <v>0</v>
      </c>
      <c r="AT64" s="1097"/>
      <c r="AU64" s="1098"/>
      <c r="AV64" s="1098"/>
      <c r="AW64" s="1098"/>
      <c r="AX64" s="1098"/>
      <c r="AY64" s="1102">
        <f t="shared" si="16"/>
        <v>0</v>
      </c>
    </row>
    <row r="65" spans="1:51" s="837" customFormat="1" x14ac:dyDescent="0.25">
      <c r="A65" s="1117" t="s">
        <v>154</v>
      </c>
      <c r="B65" s="1117" t="s">
        <v>155</v>
      </c>
      <c r="C65" s="1061" t="s">
        <v>265</v>
      </c>
      <c r="D65" s="1406">
        <f t="shared" si="4"/>
        <v>0</v>
      </c>
      <c r="E65" s="1406">
        <f t="shared" si="5"/>
        <v>81563.199999999997</v>
      </c>
      <c r="F65" s="1406">
        <f t="shared" si="6"/>
        <v>20390.8</v>
      </c>
      <c r="G65" s="1408">
        <f t="shared" si="7"/>
        <v>0</v>
      </c>
      <c r="H65" s="1411">
        <f t="shared" si="8"/>
        <v>20390.8</v>
      </c>
      <c r="I65" s="1412">
        <f t="shared" si="9"/>
        <v>101954</v>
      </c>
      <c r="J65" s="1118">
        <v>0</v>
      </c>
      <c r="K65" s="1118">
        <v>81563.199999999997</v>
      </c>
      <c r="L65" s="1118">
        <v>20390.8</v>
      </c>
      <c r="M65" s="1118">
        <v>0</v>
      </c>
      <c r="N65" s="1118">
        <v>0</v>
      </c>
      <c r="O65" s="1119">
        <f t="shared" si="10"/>
        <v>101954</v>
      </c>
      <c r="P65" s="1451"/>
      <c r="Q65" s="1444"/>
      <c r="R65" s="1444"/>
      <c r="S65" s="1444"/>
      <c r="T65" s="1444"/>
      <c r="U65" s="1450">
        <f t="shared" si="11"/>
        <v>0</v>
      </c>
      <c r="V65" s="1444"/>
      <c r="W65" s="1444"/>
      <c r="X65" s="1444"/>
      <c r="Y65" s="1444"/>
      <c r="Z65" s="1444"/>
      <c r="AA65" s="1444">
        <f t="shared" si="12"/>
        <v>0</v>
      </c>
      <c r="AB65" s="1097"/>
      <c r="AC65" s="1098"/>
      <c r="AD65" s="1098"/>
      <c r="AE65" s="1098"/>
      <c r="AF65" s="1098"/>
      <c r="AG65" s="1099">
        <f t="shared" si="13"/>
        <v>0</v>
      </c>
      <c r="AH65" s="1097"/>
      <c r="AI65" s="1098"/>
      <c r="AJ65" s="1098"/>
      <c r="AK65" s="1098"/>
      <c r="AL65" s="1098"/>
      <c r="AM65" s="1102">
        <f t="shared" si="14"/>
        <v>0</v>
      </c>
      <c r="AN65" s="1097"/>
      <c r="AO65" s="1098"/>
      <c r="AP65" s="1098"/>
      <c r="AQ65" s="1098"/>
      <c r="AR65" s="1098"/>
      <c r="AS65" s="1102">
        <f t="shared" si="15"/>
        <v>0</v>
      </c>
      <c r="AT65" s="1097"/>
      <c r="AU65" s="1098"/>
      <c r="AV65" s="1098"/>
      <c r="AW65" s="1098"/>
      <c r="AX65" s="1098"/>
      <c r="AY65" s="1102">
        <f t="shared" si="16"/>
        <v>0</v>
      </c>
    </row>
    <row r="66" spans="1:51" s="837" customFormat="1" x14ac:dyDescent="0.25">
      <c r="A66" s="1117" t="s">
        <v>156</v>
      </c>
      <c r="B66" s="1117" t="s">
        <v>157</v>
      </c>
      <c r="C66" s="1061" t="s">
        <v>266</v>
      </c>
      <c r="D66" s="1406">
        <f t="shared" si="4"/>
        <v>0</v>
      </c>
      <c r="E66" s="1406">
        <f t="shared" si="5"/>
        <v>19549.599999999999</v>
      </c>
      <c r="F66" s="1406">
        <f t="shared" si="6"/>
        <v>4887.3999999999996</v>
      </c>
      <c r="G66" s="1408">
        <f t="shared" si="7"/>
        <v>0</v>
      </c>
      <c r="H66" s="1411">
        <f t="shared" si="8"/>
        <v>4887.3999999999996</v>
      </c>
      <c r="I66" s="1412">
        <f t="shared" si="9"/>
        <v>24437</v>
      </c>
      <c r="J66" s="1118">
        <v>0</v>
      </c>
      <c r="K66" s="1118">
        <v>19549.599999999999</v>
      </c>
      <c r="L66" s="1118">
        <v>4887.3999999999996</v>
      </c>
      <c r="M66" s="1118">
        <v>0</v>
      </c>
      <c r="N66" s="1118">
        <v>0</v>
      </c>
      <c r="O66" s="1119">
        <f t="shared" si="10"/>
        <v>24437</v>
      </c>
      <c r="P66" s="1451"/>
      <c r="Q66" s="1444"/>
      <c r="R66" s="1444"/>
      <c r="S66" s="1444"/>
      <c r="T66" s="1444"/>
      <c r="U66" s="1450">
        <f t="shared" si="11"/>
        <v>0</v>
      </c>
      <c r="V66" s="1444"/>
      <c r="W66" s="1444"/>
      <c r="X66" s="1444"/>
      <c r="Y66" s="1444"/>
      <c r="Z66" s="1444"/>
      <c r="AA66" s="1444">
        <f t="shared" si="12"/>
        <v>0</v>
      </c>
      <c r="AB66" s="1097"/>
      <c r="AC66" s="1098"/>
      <c r="AD66" s="1098"/>
      <c r="AE66" s="1098"/>
      <c r="AF66" s="1098"/>
      <c r="AG66" s="1099">
        <f t="shared" si="13"/>
        <v>0</v>
      </c>
      <c r="AH66" s="1097"/>
      <c r="AI66" s="1098"/>
      <c r="AJ66" s="1098"/>
      <c r="AK66" s="1098"/>
      <c r="AL66" s="1098"/>
      <c r="AM66" s="1102">
        <f t="shared" si="14"/>
        <v>0</v>
      </c>
      <c r="AN66" s="1097"/>
      <c r="AO66" s="1098"/>
      <c r="AP66" s="1098"/>
      <c r="AQ66" s="1098"/>
      <c r="AR66" s="1098"/>
      <c r="AS66" s="1102">
        <f t="shared" si="15"/>
        <v>0</v>
      </c>
      <c r="AT66" s="1097"/>
      <c r="AU66" s="1098"/>
      <c r="AV66" s="1098"/>
      <c r="AW66" s="1098"/>
      <c r="AX66" s="1098"/>
      <c r="AY66" s="1102">
        <f t="shared" si="16"/>
        <v>0</v>
      </c>
    </row>
    <row r="67" spans="1:51" s="837" customFormat="1" x14ac:dyDescent="0.25">
      <c r="A67" s="1117" t="s">
        <v>162</v>
      </c>
      <c r="B67" s="1117" t="s">
        <v>163</v>
      </c>
      <c r="C67" s="1061" t="s">
        <v>264</v>
      </c>
      <c r="D67" s="1406">
        <f t="shared" si="4"/>
        <v>255</v>
      </c>
      <c r="E67" s="1406">
        <f t="shared" si="5"/>
        <v>61238.26</v>
      </c>
      <c r="F67" s="1406">
        <f t="shared" si="6"/>
        <v>15248.32</v>
      </c>
      <c r="G67" s="1408">
        <f t="shared" si="7"/>
        <v>0</v>
      </c>
      <c r="H67" s="1411">
        <f t="shared" si="8"/>
        <v>15248.32</v>
      </c>
      <c r="I67" s="1412">
        <f t="shared" si="9"/>
        <v>76741.58</v>
      </c>
      <c r="J67" s="1118">
        <v>0</v>
      </c>
      <c r="K67" s="1118">
        <v>60993.26</v>
      </c>
      <c r="L67" s="1118">
        <v>15248.32</v>
      </c>
      <c r="M67" s="1118">
        <v>0</v>
      </c>
      <c r="N67" s="1118">
        <v>0</v>
      </c>
      <c r="O67" s="1119">
        <f t="shared" si="10"/>
        <v>76241.58</v>
      </c>
      <c r="P67" s="1451"/>
      <c r="Q67" s="1444"/>
      <c r="R67" s="1444"/>
      <c r="S67" s="1444"/>
      <c r="T67" s="1444"/>
      <c r="U67" s="1450">
        <f t="shared" si="11"/>
        <v>0</v>
      </c>
      <c r="V67" s="1444">
        <v>255</v>
      </c>
      <c r="W67" s="1444">
        <v>245</v>
      </c>
      <c r="X67" s="1444">
        <v>0</v>
      </c>
      <c r="Y67" s="1444">
        <v>0</v>
      </c>
      <c r="Z67" s="1444">
        <v>0</v>
      </c>
      <c r="AA67" s="1444">
        <f t="shared" si="12"/>
        <v>500</v>
      </c>
      <c r="AB67" s="1097"/>
      <c r="AC67" s="1098"/>
      <c r="AD67" s="1098"/>
      <c r="AE67" s="1098"/>
      <c r="AF67" s="1098"/>
      <c r="AG67" s="1099">
        <f t="shared" si="13"/>
        <v>0</v>
      </c>
      <c r="AH67" s="1097"/>
      <c r="AI67" s="1098"/>
      <c r="AJ67" s="1098"/>
      <c r="AK67" s="1098"/>
      <c r="AL67" s="1098"/>
      <c r="AM67" s="1102">
        <f t="shared" si="14"/>
        <v>0</v>
      </c>
      <c r="AN67" s="1097"/>
      <c r="AO67" s="1098"/>
      <c r="AP67" s="1098"/>
      <c r="AQ67" s="1098"/>
      <c r="AR67" s="1098"/>
      <c r="AS67" s="1102">
        <f t="shared" si="15"/>
        <v>0</v>
      </c>
      <c r="AT67" s="1097"/>
      <c r="AU67" s="1098"/>
      <c r="AV67" s="1098"/>
      <c r="AW67" s="1098"/>
      <c r="AX67" s="1098"/>
      <c r="AY67" s="1102">
        <f t="shared" si="16"/>
        <v>0</v>
      </c>
    </row>
    <row r="68" spans="1:51" s="837" customFormat="1" x14ac:dyDescent="0.25">
      <c r="A68" s="1117" t="s">
        <v>164</v>
      </c>
      <c r="B68" s="1117" t="s">
        <v>165</v>
      </c>
      <c r="C68" s="1061" t="s">
        <v>266</v>
      </c>
      <c r="D68" s="1406">
        <f t="shared" si="4"/>
        <v>-455.3</v>
      </c>
      <c r="E68" s="1406">
        <f t="shared" si="5"/>
        <v>24726.55</v>
      </c>
      <c r="F68" s="1406">
        <f t="shared" si="6"/>
        <v>6291</v>
      </c>
      <c r="G68" s="1408">
        <f t="shared" si="7"/>
        <v>500</v>
      </c>
      <c r="H68" s="1411">
        <f t="shared" si="8"/>
        <v>6791</v>
      </c>
      <c r="I68" s="1412">
        <f t="shared" si="9"/>
        <v>31062.25</v>
      </c>
      <c r="J68" s="1118">
        <v>0</v>
      </c>
      <c r="K68" s="1118">
        <v>25164</v>
      </c>
      <c r="L68" s="1118">
        <v>6291</v>
      </c>
      <c r="M68" s="1118">
        <v>0</v>
      </c>
      <c r="N68" s="1118">
        <v>0</v>
      </c>
      <c r="O68" s="1119">
        <f t="shared" si="10"/>
        <v>31455</v>
      </c>
      <c r="P68" s="1451">
        <v>-455.3</v>
      </c>
      <c r="Q68" s="1444">
        <v>-437.45</v>
      </c>
      <c r="R68" s="1444">
        <v>0</v>
      </c>
      <c r="S68" s="1444">
        <v>0</v>
      </c>
      <c r="T68" s="1444">
        <v>0</v>
      </c>
      <c r="U68" s="1450">
        <f t="shared" si="11"/>
        <v>-892.75</v>
      </c>
      <c r="V68" s="1444"/>
      <c r="W68" s="1444"/>
      <c r="X68" s="1444"/>
      <c r="Y68" s="1444"/>
      <c r="Z68" s="1444"/>
      <c r="AA68" s="1444">
        <f t="shared" si="12"/>
        <v>0</v>
      </c>
      <c r="AB68" s="1100">
        <v>0</v>
      </c>
      <c r="AC68" s="1101">
        <v>0</v>
      </c>
      <c r="AD68" s="1101">
        <v>0</v>
      </c>
      <c r="AE68" s="1101">
        <v>500</v>
      </c>
      <c r="AF68" s="1101">
        <v>0</v>
      </c>
      <c r="AG68" s="1099">
        <f t="shared" si="13"/>
        <v>500</v>
      </c>
      <c r="AH68" s="1097"/>
      <c r="AI68" s="1098"/>
      <c r="AJ68" s="1098"/>
      <c r="AK68" s="1098"/>
      <c r="AL68" s="1098"/>
      <c r="AM68" s="1102">
        <f t="shared" si="14"/>
        <v>0</v>
      </c>
      <c r="AN68" s="1097"/>
      <c r="AO68" s="1098"/>
      <c r="AP68" s="1098"/>
      <c r="AQ68" s="1098"/>
      <c r="AR68" s="1098"/>
      <c r="AS68" s="1102">
        <f t="shared" si="15"/>
        <v>0</v>
      </c>
      <c r="AT68" s="1097"/>
      <c r="AU68" s="1098"/>
      <c r="AV68" s="1098"/>
      <c r="AW68" s="1098"/>
      <c r="AX68" s="1098"/>
      <c r="AY68" s="1102">
        <f t="shared" si="16"/>
        <v>0</v>
      </c>
    </row>
    <row r="69" spans="1:51" s="837" customFormat="1" x14ac:dyDescent="0.25">
      <c r="A69" s="1117" t="s">
        <v>168</v>
      </c>
      <c r="B69" s="1117" t="s">
        <v>169</v>
      </c>
      <c r="C69" s="1061" t="s">
        <v>266</v>
      </c>
      <c r="D69" s="1406">
        <f t="shared" si="4"/>
        <v>0</v>
      </c>
      <c r="E69" s="1406">
        <f t="shared" si="5"/>
        <v>74520.45</v>
      </c>
      <c r="F69" s="1406">
        <f t="shared" si="6"/>
        <v>18630.11</v>
      </c>
      <c r="G69" s="1408">
        <f t="shared" si="7"/>
        <v>0</v>
      </c>
      <c r="H69" s="1411">
        <f t="shared" si="8"/>
        <v>18630.11</v>
      </c>
      <c r="I69" s="1412">
        <f t="shared" si="9"/>
        <v>93150.56</v>
      </c>
      <c r="J69" s="1118">
        <v>0</v>
      </c>
      <c r="K69" s="1118">
        <v>74520.45</v>
      </c>
      <c r="L69" s="1118">
        <v>18630.11</v>
      </c>
      <c r="M69" s="1118">
        <v>0</v>
      </c>
      <c r="N69" s="1118">
        <v>0</v>
      </c>
      <c r="O69" s="1119">
        <f t="shared" si="10"/>
        <v>93150.56</v>
      </c>
      <c r="P69" s="1451"/>
      <c r="Q69" s="1444"/>
      <c r="R69" s="1444"/>
      <c r="S69" s="1444"/>
      <c r="T69" s="1444"/>
      <c r="U69" s="1450">
        <f t="shared" si="11"/>
        <v>0</v>
      </c>
      <c r="V69" s="1444"/>
      <c r="W69" s="1444"/>
      <c r="X69" s="1444"/>
      <c r="Y69" s="1444"/>
      <c r="Z69" s="1444"/>
      <c r="AA69" s="1444">
        <f t="shared" si="12"/>
        <v>0</v>
      </c>
      <c r="AB69" s="1097"/>
      <c r="AC69" s="1098"/>
      <c r="AD69" s="1098"/>
      <c r="AE69" s="1098"/>
      <c r="AF69" s="1098"/>
      <c r="AG69" s="1099">
        <f t="shared" si="13"/>
        <v>0</v>
      </c>
      <c r="AH69" s="1097"/>
      <c r="AI69" s="1098"/>
      <c r="AJ69" s="1098"/>
      <c r="AK69" s="1098"/>
      <c r="AL69" s="1098"/>
      <c r="AM69" s="1102">
        <f t="shared" si="14"/>
        <v>0</v>
      </c>
      <c r="AN69" s="1097"/>
      <c r="AO69" s="1098"/>
      <c r="AP69" s="1098"/>
      <c r="AQ69" s="1098"/>
      <c r="AR69" s="1098"/>
      <c r="AS69" s="1102">
        <f t="shared" si="15"/>
        <v>0</v>
      </c>
      <c r="AT69" s="1097"/>
      <c r="AU69" s="1098"/>
      <c r="AV69" s="1098"/>
      <c r="AW69" s="1098"/>
      <c r="AX69" s="1098"/>
      <c r="AY69" s="1102">
        <f t="shared" si="16"/>
        <v>0</v>
      </c>
    </row>
    <row r="70" spans="1:51" s="837" customFormat="1" x14ac:dyDescent="0.25">
      <c r="A70" s="1117" t="s">
        <v>170</v>
      </c>
      <c r="B70" s="1117" t="s">
        <v>171</v>
      </c>
      <c r="C70" s="1061" t="s">
        <v>267</v>
      </c>
      <c r="D70" s="1406">
        <f t="shared" ref="D70:D124" si="17">J70+P70+V70+AB70+AH70+AN70+AT70</f>
        <v>-912.39</v>
      </c>
      <c r="E70" s="1406">
        <f t="shared" ref="E70:E124" si="18">K70+Q70+W70+AC70+AI70+AO70+AU70</f>
        <v>50447.39</v>
      </c>
      <c r="F70" s="1406">
        <f t="shared" ref="F70:F124" si="19">L70+R70+X70+AD70+AJ70+AP70+AV70</f>
        <v>12831</v>
      </c>
      <c r="G70" s="1408">
        <f t="shared" ref="G70:G124" si="20">M70+N70+S70+T70+Y70+Z70+AE70+AF70+AK70+AL70+AQ70+AR70+AW70+AX70</f>
        <v>1599</v>
      </c>
      <c r="H70" s="1411">
        <f t="shared" ref="H70:H124" si="21">F70+G70</f>
        <v>14430</v>
      </c>
      <c r="I70" s="1412">
        <f t="shared" ref="I70:I124" si="22">SUM(D70:G70)</f>
        <v>63965</v>
      </c>
      <c r="J70" s="1118">
        <v>0</v>
      </c>
      <c r="K70" s="1118">
        <v>51324</v>
      </c>
      <c r="L70" s="1118">
        <v>12831</v>
      </c>
      <c r="M70" s="1118">
        <v>0</v>
      </c>
      <c r="N70" s="1118">
        <v>1599</v>
      </c>
      <c r="O70" s="1119">
        <f t="shared" ref="O70:O124" si="23">SUM(J70:N70)</f>
        <v>65754</v>
      </c>
      <c r="P70" s="1451">
        <v>-912.39</v>
      </c>
      <c r="Q70" s="1444">
        <v>-876.61</v>
      </c>
      <c r="R70" s="1444">
        <v>0</v>
      </c>
      <c r="S70" s="1444">
        <v>0</v>
      </c>
      <c r="T70" s="1444">
        <v>0</v>
      </c>
      <c r="U70" s="1450">
        <f t="shared" ref="U70:U124" si="24">SUM(P70:T70)</f>
        <v>-1789</v>
      </c>
      <c r="V70" s="1444"/>
      <c r="W70" s="1444"/>
      <c r="X70" s="1444"/>
      <c r="Y70" s="1444"/>
      <c r="Z70" s="1444"/>
      <c r="AA70" s="1444">
        <f t="shared" ref="AA70:AA124" si="25">SUM(V70:Z70)</f>
        <v>0</v>
      </c>
      <c r="AB70" s="1097"/>
      <c r="AC70" s="1098"/>
      <c r="AD70" s="1098"/>
      <c r="AE70" s="1098"/>
      <c r="AF70" s="1098"/>
      <c r="AG70" s="1099">
        <f t="shared" ref="AG70:AG124" si="26">SUM(AB70:AF70)</f>
        <v>0</v>
      </c>
      <c r="AH70" s="1097"/>
      <c r="AI70" s="1098"/>
      <c r="AJ70" s="1098"/>
      <c r="AK70" s="1098"/>
      <c r="AL70" s="1098"/>
      <c r="AM70" s="1102">
        <f t="shared" ref="AM70:AM124" si="27">SUM(AH70:AL70)</f>
        <v>0</v>
      </c>
      <c r="AN70" s="1097"/>
      <c r="AO70" s="1098"/>
      <c r="AP70" s="1098"/>
      <c r="AQ70" s="1098"/>
      <c r="AR70" s="1098"/>
      <c r="AS70" s="1102">
        <f t="shared" ref="AS70:AS124" si="28">SUM(AN70:AR70)</f>
        <v>0</v>
      </c>
      <c r="AT70" s="1097"/>
      <c r="AU70" s="1098"/>
      <c r="AV70" s="1098"/>
      <c r="AW70" s="1098"/>
      <c r="AX70" s="1098"/>
      <c r="AY70" s="1102">
        <f t="shared" ref="AY70:AY124" si="29">SUM(AT70:AX70)</f>
        <v>0</v>
      </c>
    </row>
    <row r="71" spans="1:51" s="837" customFormat="1" x14ac:dyDescent="0.25">
      <c r="A71" s="1117" t="s">
        <v>172</v>
      </c>
      <c r="B71" s="1117" t="s">
        <v>173</v>
      </c>
      <c r="C71" s="1061" t="s">
        <v>267</v>
      </c>
      <c r="D71" s="1406">
        <f t="shared" si="17"/>
        <v>0</v>
      </c>
      <c r="E71" s="1406">
        <f t="shared" si="18"/>
        <v>76271.199999999997</v>
      </c>
      <c r="F71" s="1406">
        <f t="shared" si="19"/>
        <v>19067.8</v>
      </c>
      <c r="G71" s="1408">
        <f t="shared" si="20"/>
        <v>0</v>
      </c>
      <c r="H71" s="1411">
        <f t="shared" si="21"/>
        <v>19067.8</v>
      </c>
      <c r="I71" s="1412">
        <f t="shared" si="22"/>
        <v>95339</v>
      </c>
      <c r="J71" s="1118">
        <v>0</v>
      </c>
      <c r="K71" s="1118">
        <v>76271.199999999997</v>
      </c>
      <c r="L71" s="1118">
        <v>19067.8</v>
      </c>
      <c r="M71" s="1118">
        <v>0</v>
      </c>
      <c r="N71" s="1118">
        <v>0</v>
      </c>
      <c r="O71" s="1119">
        <f t="shared" si="23"/>
        <v>95339</v>
      </c>
      <c r="P71" s="1451"/>
      <c r="Q71" s="1444"/>
      <c r="R71" s="1444"/>
      <c r="S71" s="1444"/>
      <c r="T71" s="1444"/>
      <c r="U71" s="1450">
        <f t="shared" si="24"/>
        <v>0</v>
      </c>
      <c r="V71" s="1444"/>
      <c r="W71" s="1444"/>
      <c r="X71" s="1444"/>
      <c r="Y71" s="1444"/>
      <c r="Z71" s="1444"/>
      <c r="AA71" s="1444">
        <f t="shared" si="25"/>
        <v>0</v>
      </c>
      <c r="AB71" s="1097"/>
      <c r="AC71" s="1098"/>
      <c r="AD71" s="1098"/>
      <c r="AE71" s="1098"/>
      <c r="AF71" s="1098"/>
      <c r="AG71" s="1099">
        <f t="shared" si="26"/>
        <v>0</v>
      </c>
      <c r="AH71" s="1097"/>
      <c r="AI71" s="1098"/>
      <c r="AJ71" s="1098"/>
      <c r="AK71" s="1098"/>
      <c r="AL71" s="1098"/>
      <c r="AM71" s="1102">
        <f t="shared" si="27"/>
        <v>0</v>
      </c>
      <c r="AN71" s="1097"/>
      <c r="AO71" s="1098"/>
      <c r="AP71" s="1098"/>
      <c r="AQ71" s="1098"/>
      <c r="AR71" s="1098"/>
      <c r="AS71" s="1102">
        <f t="shared" si="28"/>
        <v>0</v>
      </c>
      <c r="AT71" s="1097"/>
      <c r="AU71" s="1098"/>
      <c r="AV71" s="1098"/>
      <c r="AW71" s="1098"/>
      <c r="AX71" s="1098"/>
      <c r="AY71" s="1102">
        <f t="shared" si="29"/>
        <v>0</v>
      </c>
    </row>
    <row r="72" spans="1:51" s="837" customFormat="1" x14ac:dyDescent="0.25">
      <c r="A72" s="1117" t="s">
        <v>174</v>
      </c>
      <c r="B72" s="1117" t="s">
        <v>175</v>
      </c>
      <c r="C72" s="1061" t="s">
        <v>268</v>
      </c>
      <c r="D72" s="1406">
        <f t="shared" si="17"/>
        <v>-279.99</v>
      </c>
      <c r="E72" s="1406">
        <f t="shared" si="18"/>
        <v>70513.39</v>
      </c>
      <c r="F72" s="1406">
        <f t="shared" si="19"/>
        <v>17695.599999999999</v>
      </c>
      <c r="G72" s="1408">
        <f t="shared" si="20"/>
        <v>0</v>
      </c>
      <c r="H72" s="1411">
        <f t="shared" si="21"/>
        <v>17695.599999999999</v>
      </c>
      <c r="I72" s="1412">
        <f t="shared" si="22"/>
        <v>87929</v>
      </c>
      <c r="J72" s="1118">
        <v>0</v>
      </c>
      <c r="K72" s="1118">
        <v>70782.399999999994</v>
      </c>
      <c r="L72" s="1118">
        <v>17695.599999999999</v>
      </c>
      <c r="M72" s="1118">
        <v>0</v>
      </c>
      <c r="N72" s="1118">
        <v>0</v>
      </c>
      <c r="O72" s="1119">
        <f t="shared" si="23"/>
        <v>88478</v>
      </c>
      <c r="P72" s="1451">
        <v>-279.99</v>
      </c>
      <c r="Q72" s="1444">
        <v>-269.01</v>
      </c>
      <c r="R72" s="1444">
        <v>0</v>
      </c>
      <c r="S72" s="1444">
        <v>0</v>
      </c>
      <c r="T72" s="1444">
        <v>0</v>
      </c>
      <c r="U72" s="1450">
        <f t="shared" si="24"/>
        <v>-549</v>
      </c>
      <c r="V72" s="1444"/>
      <c r="W72" s="1444"/>
      <c r="X72" s="1444"/>
      <c r="Y72" s="1444"/>
      <c r="Z72" s="1444"/>
      <c r="AA72" s="1444">
        <f t="shared" si="25"/>
        <v>0</v>
      </c>
      <c r="AB72" s="1097"/>
      <c r="AC72" s="1098"/>
      <c r="AD72" s="1098"/>
      <c r="AE72" s="1098"/>
      <c r="AF72" s="1098"/>
      <c r="AG72" s="1099">
        <f t="shared" si="26"/>
        <v>0</v>
      </c>
      <c r="AH72" s="1097"/>
      <c r="AI72" s="1098"/>
      <c r="AJ72" s="1098"/>
      <c r="AK72" s="1098"/>
      <c r="AL72" s="1098"/>
      <c r="AM72" s="1102">
        <f t="shared" si="27"/>
        <v>0</v>
      </c>
      <c r="AN72" s="1097"/>
      <c r="AO72" s="1098"/>
      <c r="AP72" s="1098"/>
      <c r="AQ72" s="1098"/>
      <c r="AR72" s="1098"/>
      <c r="AS72" s="1102">
        <f t="shared" si="28"/>
        <v>0</v>
      </c>
      <c r="AT72" s="1097"/>
      <c r="AU72" s="1098"/>
      <c r="AV72" s="1098"/>
      <c r="AW72" s="1098"/>
      <c r="AX72" s="1098"/>
      <c r="AY72" s="1102">
        <f t="shared" si="29"/>
        <v>0</v>
      </c>
    </row>
    <row r="73" spans="1:51" s="837" customFormat="1" x14ac:dyDescent="0.25">
      <c r="A73" s="1117" t="s">
        <v>178</v>
      </c>
      <c r="B73" s="1117" t="s">
        <v>179</v>
      </c>
      <c r="C73" s="1061" t="s">
        <v>265</v>
      </c>
      <c r="D73" s="1406">
        <f t="shared" si="17"/>
        <v>-1624.48</v>
      </c>
      <c r="E73" s="1406">
        <f t="shared" si="18"/>
        <v>147138.41</v>
      </c>
      <c r="F73" s="1406">
        <f t="shared" si="19"/>
        <v>37174.800000000003</v>
      </c>
      <c r="G73" s="1408">
        <f t="shared" si="20"/>
        <v>2775</v>
      </c>
      <c r="H73" s="1411">
        <f t="shared" si="21"/>
        <v>39949.800000000003</v>
      </c>
      <c r="I73" s="1412">
        <f t="shared" si="22"/>
        <v>185463.72999999998</v>
      </c>
      <c r="J73" s="1118">
        <v>0</v>
      </c>
      <c r="K73" s="1118">
        <v>148699.20000000001</v>
      </c>
      <c r="L73" s="1118">
        <v>37174.800000000003</v>
      </c>
      <c r="M73" s="1118">
        <v>0</v>
      </c>
      <c r="N73" s="1118">
        <v>0</v>
      </c>
      <c r="O73" s="1119">
        <f t="shared" si="23"/>
        <v>185874</v>
      </c>
      <c r="P73" s="1451">
        <v>-1624.48</v>
      </c>
      <c r="Q73" s="1444">
        <v>-1560.79</v>
      </c>
      <c r="R73" s="1444">
        <v>0</v>
      </c>
      <c r="S73" s="1444">
        <v>0</v>
      </c>
      <c r="T73" s="1444">
        <v>0</v>
      </c>
      <c r="U73" s="1450">
        <f t="shared" si="24"/>
        <v>-3185.27</v>
      </c>
      <c r="V73" s="1444"/>
      <c r="W73" s="1444"/>
      <c r="X73" s="1444"/>
      <c r="Y73" s="1444"/>
      <c r="Z73" s="1444"/>
      <c r="AA73" s="1444">
        <f t="shared" si="25"/>
        <v>0</v>
      </c>
      <c r="AB73" s="1100">
        <v>0</v>
      </c>
      <c r="AC73" s="1101">
        <v>0</v>
      </c>
      <c r="AD73" s="1101">
        <v>0</v>
      </c>
      <c r="AE73" s="1101">
        <v>2775</v>
      </c>
      <c r="AF73" s="1101">
        <v>0</v>
      </c>
      <c r="AG73" s="1099">
        <f t="shared" si="26"/>
        <v>2775</v>
      </c>
      <c r="AH73" s="1097"/>
      <c r="AI73" s="1098"/>
      <c r="AJ73" s="1098"/>
      <c r="AK73" s="1098"/>
      <c r="AL73" s="1098"/>
      <c r="AM73" s="1102">
        <f t="shared" si="27"/>
        <v>0</v>
      </c>
      <c r="AN73" s="1097"/>
      <c r="AO73" s="1098"/>
      <c r="AP73" s="1098"/>
      <c r="AQ73" s="1098"/>
      <c r="AR73" s="1098"/>
      <c r="AS73" s="1102">
        <f t="shared" si="28"/>
        <v>0</v>
      </c>
      <c r="AT73" s="1097"/>
      <c r="AU73" s="1098"/>
      <c r="AV73" s="1098"/>
      <c r="AW73" s="1098"/>
      <c r="AX73" s="1098"/>
      <c r="AY73" s="1102">
        <f t="shared" si="29"/>
        <v>0</v>
      </c>
    </row>
    <row r="74" spans="1:51" s="837" customFormat="1" x14ac:dyDescent="0.25">
      <c r="A74" s="1117" t="s">
        <v>182</v>
      </c>
      <c r="B74" s="1117" t="s">
        <v>183</v>
      </c>
      <c r="C74" s="1061" t="s">
        <v>266</v>
      </c>
      <c r="D74" s="1406">
        <f t="shared" si="17"/>
        <v>0</v>
      </c>
      <c r="E74" s="1406">
        <f t="shared" si="18"/>
        <v>43406.400000000001</v>
      </c>
      <c r="F74" s="1406">
        <f t="shared" si="19"/>
        <v>10851.6</v>
      </c>
      <c r="G74" s="1408">
        <f t="shared" si="20"/>
        <v>0</v>
      </c>
      <c r="H74" s="1411">
        <f t="shared" si="21"/>
        <v>10851.6</v>
      </c>
      <c r="I74" s="1412">
        <f t="shared" si="22"/>
        <v>54258</v>
      </c>
      <c r="J74" s="1118">
        <v>0</v>
      </c>
      <c r="K74" s="1118">
        <v>43406.400000000001</v>
      </c>
      <c r="L74" s="1118">
        <v>10851.6</v>
      </c>
      <c r="M74" s="1118">
        <v>0</v>
      </c>
      <c r="N74" s="1118">
        <v>0</v>
      </c>
      <c r="O74" s="1119">
        <f t="shared" si="23"/>
        <v>54258</v>
      </c>
      <c r="P74" s="1451"/>
      <c r="Q74" s="1444"/>
      <c r="R74" s="1444"/>
      <c r="S74" s="1444"/>
      <c r="T74" s="1444"/>
      <c r="U74" s="1450">
        <f t="shared" si="24"/>
        <v>0</v>
      </c>
      <c r="V74" s="1444"/>
      <c r="W74" s="1444"/>
      <c r="X74" s="1444"/>
      <c r="Y74" s="1444"/>
      <c r="Z74" s="1444"/>
      <c r="AA74" s="1444">
        <f t="shared" si="25"/>
        <v>0</v>
      </c>
      <c r="AB74" s="1097"/>
      <c r="AC74" s="1098"/>
      <c r="AD74" s="1098"/>
      <c r="AE74" s="1098"/>
      <c r="AF74" s="1098"/>
      <c r="AG74" s="1099">
        <f t="shared" si="26"/>
        <v>0</v>
      </c>
      <c r="AH74" s="1097"/>
      <c r="AI74" s="1098"/>
      <c r="AJ74" s="1098"/>
      <c r="AK74" s="1098"/>
      <c r="AL74" s="1098"/>
      <c r="AM74" s="1102">
        <f t="shared" si="27"/>
        <v>0</v>
      </c>
      <c r="AN74" s="1097"/>
      <c r="AO74" s="1098"/>
      <c r="AP74" s="1098"/>
      <c r="AQ74" s="1098"/>
      <c r="AR74" s="1098"/>
      <c r="AS74" s="1102">
        <f t="shared" si="28"/>
        <v>0</v>
      </c>
      <c r="AT74" s="1097"/>
      <c r="AU74" s="1098"/>
      <c r="AV74" s="1098"/>
      <c r="AW74" s="1098"/>
      <c r="AX74" s="1098"/>
      <c r="AY74" s="1102">
        <f t="shared" si="29"/>
        <v>0</v>
      </c>
    </row>
    <row r="75" spans="1:51" s="837" customFormat="1" x14ac:dyDescent="0.25">
      <c r="A75" s="1117" t="s">
        <v>184</v>
      </c>
      <c r="B75" s="1117" t="s">
        <v>185</v>
      </c>
      <c r="C75" s="1061" t="s">
        <v>266</v>
      </c>
      <c r="D75" s="1406">
        <f t="shared" si="17"/>
        <v>-773.16</v>
      </c>
      <c r="E75" s="1406">
        <f t="shared" si="18"/>
        <v>103993.96</v>
      </c>
      <c r="F75" s="1406">
        <f t="shared" si="19"/>
        <v>26184.2</v>
      </c>
      <c r="G75" s="1408">
        <f t="shared" si="20"/>
        <v>0</v>
      </c>
      <c r="H75" s="1411">
        <f t="shared" si="21"/>
        <v>26184.2</v>
      </c>
      <c r="I75" s="1412">
        <f t="shared" si="22"/>
        <v>129405</v>
      </c>
      <c r="J75" s="1118">
        <v>0</v>
      </c>
      <c r="K75" s="1118">
        <v>104736.8</v>
      </c>
      <c r="L75" s="1118">
        <v>26184.2</v>
      </c>
      <c r="M75" s="1118">
        <v>0</v>
      </c>
      <c r="N75" s="1118">
        <v>0</v>
      </c>
      <c r="O75" s="1119">
        <f t="shared" si="23"/>
        <v>130921</v>
      </c>
      <c r="P75" s="1451">
        <v>-773.16</v>
      </c>
      <c r="Q75" s="1444">
        <v>-742.84</v>
      </c>
      <c r="R75" s="1444">
        <v>0</v>
      </c>
      <c r="S75" s="1444">
        <v>0</v>
      </c>
      <c r="T75" s="1444">
        <v>0</v>
      </c>
      <c r="U75" s="1450">
        <f t="shared" si="24"/>
        <v>-1516</v>
      </c>
      <c r="V75" s="1444"/>
      <c r="W75" s="1444"/>
      <c r="X75" s="1444"/>
      <c r="Y75" s="1444"/>
      <c r="Z75" s="1444"/>
      <c r="AA75" s="1444">
        <f t="shared" si="25"/>
        <v>0</v>
      </c>
      <c r="AB75" s="1097"/>
      <c r="AC75" s="1098"/>
      <c r="AD75" s="1098"/>
      <c r="AE75" s="1098"/>
      <c r="AF75" s="1098"/>
      <c r="AG75" s="1099">
        <f t="shared" si="26"/>
        <v>0</v>
      </c>
      <c r="AH75" s="1097"/>
      <c r="AI75" s="1098"/>
      <c r="AJ75" s="1098"/>
      <c r="AK75" s="1098"/>
      <c r="AL75" s="1098"/>
      <c r="AM75" s="1102">
        <f t="shared" si="27"/>
        <v>0</v>
      </c>
      <c r="AN75" s="1097"/>
      <c r="AO75" s="1098"/>
      <c r="AP75" s="1098"/>
      <c r="AQ75" s="1098"/>
      <c r="AR75" s="1098"/>
      <c r="AS75" s="1102">
        <f t="shared" si="28"/>
        <v>0</v>
      </c>
      <c r="AT75" s="1097"/>
      <c r="AU75" s="1098"/>
      <c r="AV75" s="1098"/>
      <c r="AW75" s="1098"/>
      <c r="AX75" s="1098"/>
      <c r="AY75" s="1102">
        <f t="shared" si="29"/>
        <v>0</v>
      </c>
    </row>
    <row r="76" spans="1:51" s="837" customFormat="1" x14ac:dyDescent="0.25">
      <c r="A76" s="1117" t="s">
        <v>186</v>
      </c>
      <c r="B76" s="1117" t="s">
        <v>187</v>
      </c>
      <c r="C76" s="1061" t="s">
        <v>264</v>
      </c>
      <c r="D76" s="1406">
        <f t="shared" si="17"/>
        <v>0</v>
      </c>
      <c r="E76" s="1406">
        <f t="shared" si="18"/>
        <v>19715.2</v>
      </c>
      <c r="F76" s="1406">
        <f t="shared" si="19"/>
        <v>4928.8</v>
      </c>
      <c r="G76" s="1408">
        <f t="shared" si="20"/>
        <v>0</v>
      </c>
      <c r="H76" s="1411">
        <f t="shared" si="21"/>
        <v>4928.8</v>
      </c>
      <c r="I76" s="1412">
        <f t="shared" si="22"/>
        <v>24644</v>
      </c>
      <c r="J76" s="1118">
        <v>0</v>
      </c>
      <c r="K76" s="1118">
        <v>19715.2</v>
      </c>
      <c r="L76" s="1118">
        <v>4928.8</v>
      </c>
      <c r="M76" s="1118">
        <v>0</v>
      </c>
      <c r="N76" s="1118">
        <v>0</v>
      </c>
      <c r="O76" s="1119">
        <f t="shared" si="23"/>
        <v>24644</v>
      </c>
      <c r="P76" s="1451"/>
      <c r="Q76" s="1444"/>
      <c r="R76" s="1444"/>
      <c r="S76" s="1444"/>
      <c r="T76" s="1444"/>
      <c r="U76" s="1450">
        <f t="shared" si="24"/>
        <v>0</v>
      </c>
      <c r="V76" s="1444"/>
      <c r="W76" s="1444"/>
      <c r="X76" s="1444"/>
      <c r="Y76" s="1444"/>
      <c r="Z76" s="1444"/>
      <c r="AA76" s="1444">
        <f t="shared" si="25"/>
        <v>0</v>
      </c>
      <c r="AB76" s="1097"/>
      <c r="AC76" s="1098"/>
      <c r="AD76" s="1098"/>
      <c r="AE76" s="1098"/>
      <c r="AF76" s="1098"/>
      <c r="AG76" s="1099">
        <f t="shared" si="26"/>
        <v>0</v>
      </c>
      <c r="AH76" s="1097"/>
      <c r="AI76" s="1098"/>
      <c r="AJ76" s="1098"/>
      <c r="AK76" s="1098"/>
      <c r="AL76" s="1098"/>
      <c r="AM76" s="1102">
        <f t="shared" si="27"/>
        <v>0</v>
      </c>
      <c r="AN76" s="1097"/>
      <c r="AO76" s="1098"/>
      <c r="AP76" s="1098"/>
      <c r="AQ76" s="1098"/>
      <c r="AR76" s="1098"/>
      <c r="AS76" s="1102">
        <f t="shared" si="28"/>
        <v>0</v>
      </c>
      <c r="AT76" s="1097"/>
      <c r="AU76" s="1098"/>
      <c r="AV76" s="1098"/>
      <c r="AW76" s="1098"/>
      <c r="AX76" s="1098"/>
      <c r="AY76" s="1102">
        <f t="shared" si="29"/>
        <v>0</v>
      </c>
    </row>
    <row r="77" spans="1:51" s="837" customFormat="1" x14ac:dyDescent="0.25">
      <c r="A77" s="1117" t="s">
        <v>188</v>
      </c>
      <c r="B77" s="1117" t="s">
        <v>189</v>
      </c>
      <c r="C77" s="1061" t="s">
        <v>267</v>
      </c>
      <c r="D77" s="1406">
        <f t="shared" si="17"/>
        <v>68482.92</v>
      </c>
      <c r="E77" s="1406">
        <f t="shared" si="18"/>
        <v>287839.98000000004</v>
      </c>
      <c r="F77" s="1406">
        <f t="shared" si="19"/>
        <v>73690.8</v>
      </c>
      <c r="G77" s="1408">
        <f t="shared" si="20"/>
        <v>91</v>
      </c>
      <c r="H77" s="1411">
        <f t="shared" si="21"/>
        <v>73781.8</v>
      </c>
      <c r="I77" s="1412">
        <f t="shared" si="22"/>
        <v>430104.7</v>
      </c>
      <c r="J77" s="1118">
        <v>0</v>
      </c>
      <c r="K77" s="1118">
        <v>294763.2</v>
      </c>
      <c r="L77" s="1118">
        <v>73690.8</v>
      </c>
      <c r="M77" s="1118">
        <v>0</v>
      </c>
      <c r="N77" s="1118">
        <v>0</v>
      </c>
      <c r="O77" s="1119">
        <f t="shared" si="23"/>
        <v>368454</v>
      </c>
      <c r="P77" s="1451">
        <v>-7111.08</v>
      </c>
      <c r="Q77" s="1444">
        <v>-6832.22</v>
      </c>
      <c r="R77" s="1444">
        <v>0</v>
      </c>
      <c r="S77" s="1444">
        <v>0</v>
      </c>
      <c r="T77" s="1444">
        <v>0</v>
      </c>
      <c r="U77" s="1450">
        <f t="shared" si="24"/>
        <v>-13943.3</v>
      </c>
      <c r="V77" s="1444"/>
      <c r="W77" s="1444"/>
      <c r="X77" s="1444"/>
      <c r="Y77" s="1444"/>
      <c r="Z77" s="1444"/>
      <c r="AA77" s="1444">
        <f t="shared" si="25"/>
        <v>0</v>
      </c>
      <c r="AB77" s="1097"/>
      <c r="AC77" s="1098"/>
      <c r="AD77" s="1098"/>
      <c r="AE77" s="1098"/>
      <c r="AF77" s="1098"/>
      <c r="AG77" s="1099">
        <f t="shared" si="26"/>
        <v>0</v>
      </c>
      <c r="AH77" s="1100">
        <v>75594</v>
      </c>
      <c r="AI77" s="1101">
        <v>0</v>
      </c>
      <c r="AJ77" s="1101">
        <v>0</v>
      </c>
      <c r="AK77" s="1101">
        <v>0</v>
      </c>
      <c r="AL77" s="1101">
        <v>0</v>
      </c>
      <c r="AM77" s="1102">
        <f t="shared" si="27"/>
        <v>75594</v>
      </c>
      <c r="AN77" s="1100">
        <v>0</v>
      </c>
      <c r="AO77" s="1101">
        <v>-91</v>
      </c>
      <c r="AP77" s="1101">
        <v>0</v>
      </c>
      <c r="AQ77" s="1101">
        <v>91</v>
      </c>
      <c r="AR77" s="1101">
        <v>0</v>
      </c>
      <c r="AS77" s="1102">
        <f t="shared" si="28"/>
        <v>0</v>
      </c>
      <c r="AT77" s="1100"/>
      <c r="AU77" s="1101"/>
      <c r="AV77" s="1101"/>
      <c r="AW77" s="1101"/>
      <c r="AX77" s="1101"/>
      <c r="AY77" s="1102">
        <f t="shared" si="29"/>
        <v>0</v>
      </c>
    </row>
    <row r="78" spans="1:51" s="837" customFormat="1" x14ac:dyDescent="0.25">
      <c r="A78" s="1117" t="s">
        <v>190</v>
      </c>
      <c r="B78" s="1117" t="s">
        <v>191</v>
      </c>
      <c r="C78" s="1061" t="s">
        <v>268</v>
      </c>
      <c r="D78" s="1406">
        <f t="shared" si="17"/>
        <v>-163.86</v>
      </c>
      <c r="E78" s="1406">
        <f t="shared" si="18"/>
        <v>153464.95999999999</v>
      </c>
      <c r="F78" s="1406">
        <f t="shared" si="19"/>
        <v>38405.599999999999</v>
      </c>
      <c r="G78" s="1408">
        <f t="shared" si="20"/>
        <v>3050</v>
      </c>
      <c r="H78" s="1411">
        <f t="shared" si="21"/>
        <v>41455.599999999999</v>
      </c>
      <c r="I78" s="1412">
        <f t="shared" si="22"/>
        <v>194756.7</v>
      </c>
      <c r="J78" s="1118">
        <v>0</v>
      </c>
      <c r="K78" s="1118">
        <v>153622.39999999999</v>
      </c>
      <c r="L78" s="1118">
        <v>38405.599999999999</v>
      </c>
      <c r="M78" s="1118">
        <v>0</v>
      </c>
      <c r="N78" s="1118">
        <v>0</v>
      </c>
      <c r="O78" s="1119">
        <f t="shared" si="23"/>
        <v>192028</v>
      </c>
      <c r="P78" s="1451">
        <v>-163.86</v>
      </c>
      <c r="Q78" s="1444">
        <v>-157.44</v>
      </c>
      <c r="R78" s="1444">
        <v>0</v>
      </c>
      <c r="S78" s="1444">
        <v>50</v>
      </c>
      <c r="T78" s="1444">
        <v>0</v>
      </c>
      <c r="U78" s="1450">
        <f t="shared" si="24"/>
        <v>-271.3</v>
      </c>
      <c r="V78" s="1444"/>
      <c r="W78" s="1444"/>
      <c r="X78" s="1444"/>
      <c r="Y78" s="1444"/>
      <c r="Z78" s="1444"/>
      <c r="AA78" s="1444">
        <f t="shared" si="25"/>
        <v>0</v>
      </c>
      <c r="AB78" s="1100">
        <v>0</v>
      </c>
      <c r="AC78" s="1101">
        <v>0</v>
      </c>
      <c r="AD78" s="1101">
        <v>0</v>
      </c>
      <c r="AE78" s="1101">
        <v>0</v>
      </c>
      <c r="AF78" s="1101">
        <v>3000</v>
      </c>
      <c r="AG78" s="1099">
        <f t="shared" si="26"/>
        <v>3000</v>
      </c>
      <c r="AH78" s="1097"/>
      <c r="AI78" s="1098"/>
      <c r="AJ78" s="1098"/>
      <c r="AK78" s="1098"/>
      <c r="AL78" s="1098"/>
      <c r="AM78" s="1102">
        <f t="shared" si="27"/>
        <v>0</v>
      </c>
      <c r="AN78" s="1097"/>
      <c r="AO78" s="1098"/>
      <c r="AP78" s="1098"/>
      <c r="AQ78" s="1098"/>
      <c r="AR78" s="1098"/>
      <c r="AS78" s="1102">
        <f t="shared" si="28"/>
        <v>0</v>
      </c>
      <c r="AT78" s="1097"/>
      <c r="AU78" s="1098"/>
      <c r="AV78" s="1098"/>
      <c r="AW78" s="1098"/>
      <c r="AX78" s="1098"/>
      <c r="AY78" s="1102">
        <f t="shared" si="29"/>
        <v>0</v>
      </c>
    </row>
    <row r="79" spans="1:51" s="837" customFormat="1" x14ac:dyDescent="0.25">
      <c r="A79" s="1117" t="s">
        <v>194</v>
      </c>
      <c r="B79" s="1117" t="s">
        <v>195</v>
      </c>
      <c r="C79" s="1061" t="s">
        <v>267</v>
      </c>
      <c r="D79" s="1406">
        <f t="shared" si="17"/>
        <v>0</v>
      </c>
      <c r="E79" s="1406">
        <f t="shared" si="18"/>
        <v>0</v>
      </c>
      <c r="F79" s="1406">
        <f t="shared" si="19"/>
        <v>0</v>
      </c>
      <c r="G79" s="1408">
        <f t="shared" si="20"/>
        <v>0</v>
      </c>
      <c r="H79" s="1411">
        <f t="shared" si="21"/>
        <v>0</v>
      </c>
      <c r="I79" s="1412">
        <f t="shared" si="22"/>
        <v>0</v>
      </c>
      <c r="J79" s="1118">
        <v>0</v>
      </c>
      <c r="K79" s="1118">
        <v>0</v>
      </c>
      <c r="L79" s="1118">
        <v>0</v>
      </c>
      <c r="M79" s="1118">
        <v>0</v>
      </c>
      <c r="N79" s="1118">
        <v>0</v>
      </c>
      <c r="O79" s="1119">
        <f t="shared" si="23"/>
        <v>0</v>
      </c>
      <c r="P79" s="1451"/>
      <c r="Q79" s="1444"/>
      <c r="R79" s="1444"/>
      <c r="S79" s="1444"/>
      <c r="T79" s="1444"/>
      <c r="U79" s="1450">
        <f t="shared" si="24"/>
        <v>0</v>
      </c>
      <c r="V79" s="1444"/>
      <c r="W79" s="1444"/>
      <c r="X79" s="1444"/>
      <c r="Y79" s="1444"/>
      <c r="Z79" s="1444"/>
      <c r="AA79" s="1444">
        <f t="shared" si="25"/>
        <v>0</v>
      </c>
      <c r="AB79" s="1097"/>
      <c r="AC79" s="1098"/>
      <c r="AD79" s="1098"/>
      <c r="AE79" s="1098"/>
      <c r="AF79" s="1098"/>
      <c r="AG79" s="1099">
        <f t="shared" si="26"/>
        <v>0</v>
      </c>
      <c r="AH79" s="1097"/>
      <c r="AI79" s="1098"/>
      <c r="AJ79" s="1098"/>
      <c r="AK79" s="1098"/>
      <c r="AL79" s="1098"/>
      <c r="AM79" s="1102">
        <f t="shared" si="27"/>
        <v>0</v>
      </c>
      <c r="AN79" s="1097"/>
      <c r="AO79" s="1098"/>
      <c r="AP79" s="1098"/>
      <c r="AQ79" s="1098"/>
      <c r="AR79" s="1098"/>
      <c r="AS79" s="1102">
        <f t="shared" si="28"/>
        <v>0</v>
      </c>
      <c r="AT79" s="1097"/>
      <c r="AU79" s="1098"/>
      <c r="AV79" s="1098"/>
      <c r="AW79" s="1098"/>
      <c r="AX79" s="1098"/>
      <c r="AY79" s="1102">
        <f t="shared" si="29"/>
        <v>0</v>
      </c>
    </row>
    <row r="80" spans="1:51" s="837" customFormat="1" x14ac:dyDescent="0.25">
      <c r="A80" s="1117" t="s">
        <v>198</v>
      </c>
      <c r="B80" s="1117" t="s">
        <v>199</v>
      </c>
      <c r="C80" s="1061" t="s">
        <v>266</v>
      </c>
      <c r="D80" s="1406">
        <f t="shared" si="17"/>
        <v>0</v>
      </c>
      <c r="E80" s="1406">
        <f t="shared" si="18"/>
        <v>12021.6</v>
      </c>
      <c r="F80" s="1406">
        <f t="shared" si="19"/>
        <v>3005.4</v>
      </c>
      <c r="G80" s="1408">
        <f t="shared" si="20"/>
        <v>0</v>
      </c>
      <c r="H80" s="1411">
        <f t="shared" si="21"/>
        <v>3005.4</v>
      </c>
      <c r="I80" s="1412">
        <f t="shared" si="22"/>
        <v>15027</v>
      </c>
      <c r="J80" s="1118">
        <v>0</v>
      </c>
      <c r="K80" s="1118">
        <v>12021.6</v>
      </c>
      <c r="L80" s="1118">
        <v>3005.4</v>
      </c>
      <c r="M80" s="1118">
        <v>0</v>
      </c>
      <c r="N80" s="1118">
        <v>0</v>
      </c>
      <c r="O80" s="1119">
        <f t="shared" si="23"/>
        <v>15027</v>
      </c>
      <c r="P80" s="1451"/>
      <c r="Q80" s="1444"/>
      <c r="R80" s="1444"/>
      <c r="S80" s="1444"/>
      <c r="T80" s="1444"/>
      <c r="U80" s="1450">
        <f t="shared" si="24"/>
        <v>0</v>
      </c>
      <c r="V80" s="1444"/>
      <c r="W80" s="1444"/>
      <c r="X80" s="1444"/>
      <c r="Y80" s="1444"/>
      <c r="Z80" s="1444"/>
      <c r="AA80" s="1444">
        <f t="shared" si="25"/>
        <v>0</v>
      </c>
      <c r="AB80" s="1097"/>
      <c r="AC80" s="1098"/>
      <c r="AD80" s="1098"/>
      <c r="AE80" s="1098"/>
      <c r="AF80" s="1098"/>
      <c r="AG80" s="1099">
        <f t="shared" si="26"/>
        <v>0</v>
      </c>
      <c r="AH80" s="1097"/>
      <c r="AI80" s="1098"/>
      <c r="AJ80" s="1098"/>
      <c r="AK80" s="1098"/>
      <c r="AL80" s="1098"/>
      <c r="AM80" s="1102">
        <f t="shared" si="27"/>
        <v>0</v>
      </c>
      <c r="AN80" s="1097"/>
      <c r="AO80" s="1098"/>
      <c r="AP80" s="1098"/>
      <c r="AQ80" s="1098"/>
      <c r="AR80" s="1098"/>
      <c r="AS80" s="1102">
        <f t="shared" si="28"/>
        <v>0</v>
      </c>
      <c r="AT80" s="1097"/>
      <c r="AU80" s="1098"/>
      <c r="AV80" s="1098"/>
      <c r="AW80" s="1098"/>
      <c r="AX80" s="1098"/>
      <c r="AY80" s="1102">
        <f t="shared" si="29"/>
        <v>0</v>
      </c>
    </row>
    <row r="81" spans="1:51" s="837" customFormat="1" x14ac:dyDescent="0.25">
      <c r="A81" s="1117" t="s">
        <v>202</v>
      </c>
      <c r="B81" s="1117" t="s">
        <v>203</v>
      </c>
      <c r="C81" s="1061" t="s">
        <v>265</v>
      </c>
      <c r="D81" s="1406">
        <f t="shared" si="17"/>
        <v>4248.83</v>
      </c>
      <c r="E81" s="1406">
        <f t="shared" si="18"/>
        <v>255167.23</v>
      </c>
      <c r="F81" s="1406">
        <f t="shared" si="19"/>
        <v>64302.14</v>
      </c>
      <c r="G81" s="1408">
        <f t="shared" si="20"/>
        <v>11395.41</v>
      </c>
      <c r="H81" s="1411">
        <f t="shared" si="21"/>
        <v>75697.55</v>
      </c>
      <c r="I81" s="1412">
        <f t="shared" si="22"/>
        <v>335113.61</v>
      </c>
      <c r="J81" s="1118">
        <v>0</v>
      </c>
      <c r="K81" s="1118">
        <v>255282.4</v>
      </c>
      <c r="L81" s="1118">
        <v>63820.6</v>
      </c>
      <c r="M81" s="1118">
        <v>0</v>
      </c>
      <c r="N81" s="1118">
        <v>0</v>
      </c>
      <c r="O81" s="1119">
        <f t="shared" si="23"/>
        <v>319103</v>
      </c>
      <c r="P81" s="1451">
        <v>-955.17</v>
      </c>
      <c r="Q81" s="1444">
        <v>-917.71</v>
      </c>
      <c r="R81" s="1444">
        <v>0</v>
      </c>
      <c r="S81" s="1444">
        <v>45</v>
      </c>
      <c r="T81" s="1444">
        <v>0</v>
      </c>
      <c r="U81" s="1450">
        <f t="shared" si="24"/>
        <v>-1827.88</v>
      </c>
      <c r="V81" s="1444"/>
      <c r="W81" s="1444"/>
      <c r="X81" s="1444"/>
      <c r="Y81" s="1444"/>
      <c r="Z81" s="1444"/>
      <c r="AA81" s="1444">
        <f t="shared" si="25"/>
        <v>0</v>
      </c>
      <c r="AB81" s="1100">
        <v>0</v>
      </c>
      <c r="AC81" s="1101">
        <v>802.54</v>
      </c>
      <c r="AD81" s="1101">
        <v>481.54</v>
      </c>
      <c r="AE81" s="1101">
        <v>11250.41</v>
      </c>
      <c r="AF81" s="1101">
        <v>100</v>
      </c>
      <c r="AG81" s="1099">
        <f t="shared" si="26"/>
        <v>12634.49</v>
      </c>
      <c r="AH81" s="1100">
        <v>5204</v>
      </c>
      <c r="AI81" s="1101">
        <v>0</v>
      </c>
      <c r="AJ81" s="1101">
        <v>0</v>
      </c>
      <c r="AK81" s="1101">
        <v>0</v>
      </c>
      <c r="AL81" s="1101">
        <v>0</v>
      </c>
      <c r="AM81" s="1102">
        <f t="shared" si="27"/>
        <v>5204</v>
      </c>
      <c r="AN81" s="1100"/>
      <c r="AO81" s="1101"/>
      <c r="AP81" s="1101"/>
      <c r="AQ81" s="1101"/>
      <c r="AR81" s="1101"/>
      <c r="AS81" s="1102">
        <f t="shared" si="28"/>
        <v>0</v>
      </c>
      <c r="AT81" s="1100"/>
      <c r="AU81" s="1101"/>
      <c r="AV81" s="1101"/>
      <c r="AW81" s="1101"/>
      <c r="AX81" s="1101"/>
      <c r="AY81" s="1102">
        <f t="shared" si="29"/>
        <v>0</v>
      </c>
    </row>
    <row r="82" spans="1:51" s="837" customFormat="1" x14ac:dyDescent="0.25">
      <c r="A82" s="1117" t="s">
        <v>204</v>
      </c>
      <c r="B82" s="1117" t="s">
        <v>205</v>
      </c>
      <c r="C82" s="1061" t="s">
        <v>265</v>
      </c>
      <c r="D82" s="1406">
        <f t="shared" si="17"/>
        <v>0</v>
      </c>
      <c r="E82" s="1406">
        <f t="shared" si="18"/>
        <v>88163.199999999997</v>
      </c>
      <c r="F82" s="1406">
        <f t="shared" si="19"/>
        <v>22040.799999999999</v>
      </c>
      <c r="G82" s="1408">
        <f t="shared" si="20"/>
        <v>0</v>
      </c>
      <c r="H82" s="1411">
        <f t="shared" si="21"/>
        <v>22040.799999999999</v>
      </c>
      <c r="I82" s="1412">
        <f t="shared" si="22"/>
        <v>110204</v>
      </c>
      <c r="J82" s="1118">
        <v>0</v>
      </c>
      <c r="K82" s="1118">
        <v>88163.199999999997</v>
      </c>
      <c r="L82" s="1118">
        <v>22040.799999999999</v>
      </c>
      <c r="M82" s="1118">
        <v>0</v>
      </c>
      <c r="N82" s="1118">
        <v>0</v>
      </c>
      <c r="O82" s="1119">
        <f t="shared" si="23"/>
        <v>110204</v>
      </c>
      <c r="P82" s="1451"/>
      <c r="Q82" s="1444"/>
      <c r="R82" s="1444"/>
      <c r="S82" s="1444"/>
      <c r="T82" s="1444"/>
      <c r="U82" s="1450">
        <f t="shared" si="24"/>
        <v>0</v>
      </c>
      <c r="V82" s="1444"/>
      <c r="W82" s="1444"/>
      <c r="X82" s="1444"/>
      <c r="Y82" s="1444"/>
      <c r="Z82" s="1444"/>
      <c r="AA82" s="1444">
        <f t="shared" si="25"/>
        <v>0</v>
      </c>
      <c r="AB82" s="1097"/>
      <c r="AC82" s="1098"/>
      <c r="AD82" s="1098"/>
      <c r="AE82" s="1098"/>
      <c r="AF82" s="1098"/>
      <c r="AG82" s="1099">
        <f t="shared" si="26"/>
        <v>0</v>
      </c>
      <c r="AH82" s="1097"/>
      <c r="AI82" s="1098"/>
      <c r="AJ82" s="1098"/>
      <c r="AK82" s="1098"/>
      <c r="AL82" s="1098"/>
      <c r="AM82" s="1102">
        <f t="shared" si="27"/>
        <v>0</v>
      </c>
      <c r="AN82" s="1097"/>
      <c r="AO82" s="1098"/>
      <c r="AP82" s="1098"/>
      <c r="AQ82" s="1098"/>
      <c r="AR82" s="1098"/>
      <c r="AS82" s="1102">
        <f t="shared" si="28"/>
        <v>0</v>
      </c>
      <c r="AT82" s="1097"/>
      <c r="AU82" s="1098"/>
      <c r="AV82" s="1098"/>
      <c r="AW82" s="1098"/>
      <c r="AX82" s="1098"/>
      <c r="AY82" s="1102">
        <f t="shared" si="29"/>
        <v>0</v>
      </c>
    </row>
    <row r="83" spans="1:51" s="837" customFormat="1" x14ac:dyDescent="0.25">
      <c r="A83" s="1117" t="s">
        <v>206</v>
      </c>
      <c r="B83" s="1117" t="s">
        <v>207</v>
      </c>
      <c r="C83" s="1061" t="s">
        <v>267</v>
      </c>
      <c r="D83" s="1406">
        <f t="shared" si="17"/>
        <v>55209.69</v>
      </c>
      <c r="E83" s="1406">
        <f t="shared" si="18"/>
        <v>221623.83</v>
      </c>
      <c r="F83" s="1406">
        <f t="shared" si="19"/>
        <v>56278.2</v>
      </c>
      <c r="G83" s="1408">
        <f t="shared" si="20"/>
        <v>0.01</v>
      </c>
      <c r="H83" s="1411">
        <f t="shared" si="21"/>
        <v>56278.21</v>
      </c>
      <c r="I83" s="1412">
        <f t="shared" si="22"/>
        <v>333111.73000000004</v>
      </c>
      <c r="J83" s="1118">
        <v>0</v>
      </c>
      <c r="K83" s="1118">
        <v>225112.8</v>
      </c>
      <c r="L83" s="1118">
        <v>56278.2</v>
      </c>
      <c r="M83" s="1118">
        <v>0</v>
      </c>
      <c r="N83" s="1118">
        <v>0</v>
      </c>
      <c r="O83" s="1119">
        <f t="shared" si="23"/>
        <v>281391</v>
      </c>
      <c r="P83" s="1451">
        <v>-3631.35</v>
      </c>
      <c r="Q83" s="1444">
        <v>-3488.9700000000003</v>
      </c>
      <c r="R83" s="1444">
        <v>0</v>
      </c>
      <c r="S83" s="1444">
        <v>0.01</v>
      </c>
      <c r="T83" s="1444">
        <v>0</v>
      </c>
      <c r="U83" s="1450">
        <f t="shared" si="24"/>
        <v>-7120.3099999999995</v>
      </c>
      <c r="V83" s="1444"/>
      <c r="W83" s="1444"/>
      <c r="X83" s="1444"/>
      <c r="Y83" s="1444"/>
      <c r="Z83" s="1444"/>
      <c r="AA83" s="1444">
        <f t="shared" si="25"/>
        <v>0</v>
      </c>
      <c r="AB83" s="1100"/>
      <c r="AC83" s="1101"/>
      <c r="AD83" s="1101"/>
      <c r="AE83" s="1101"/>
      <c r="AF83" s="1101"/>
      <c r="AG83" s="1099">
        <f t="shared" si="26"/>
        <v>0</v>
      </c>
      <c r="AH83" s="1100">
        <v>9776.4</v>
      </c>
      <c r="AI83" s="1101">
        <v>0</v>
      </c>
      <c r="AJ83" s="1101">
        <v>0</v>
      </c>
      <c r="AK83" s="1101">
        <v>0</v>
      </c>
      <c r="AL83" s="1101">
        <v>0</v>
      </c>
      <c r="AM83" s="1102">
        <f t="shared" si="27"/>
        <v>9776.4</v>
      </c>
      <c r="AN83" s="1100"/>
      <c r="AO83" s="1101"/>
      <c r="AP83" s="1101"/>
      <c r="AQ83" s="1101"/>
      <c r="AR83" s="1101"/>
      <c r="AS83" s="1102">
        <f t="shared" si="28"/>
        <v>0</v>
      </c>
      <c r="AT83" s="1100">
        <v>49064.639999999999</v>
      </c>
      <c r="AU83" s="1101">
        <v>0</v>
      </c>
      <c r="AV83" s="1101">
        <v>0</v>
      </c>
      <c r="AW83" s="1101">
        <v>0</v>
      </c>
      <c r="AX83" s="1101">
        <v>0</v>
      </c>
      <c r="AY83" s="1102">
        <f t="shared" si="29"/>
        <v>49064.639999999999</v>
      </c>
    </row>
    <row r="84" spans="1:51" s="837" customFormat="1" x14ac:dyDescent="0.25">
      <c r="A84" s="1117" t="s">
        <v>208</v>
      </c>
      <c r="B84" s="1117" t="s">
        <v>209</v>
      </c>
      <c r="C84" s="1061" t="s">
        <v>268</v>
      </c>
      <c r="D84" s="1406">
        <f t="shared" si="17"/>
        <v>65.02</v>
      </c>
      <c r="E84" s="1406">
        <f t="shared" si="18"/>
        <v>285667.27</v>
      </c>
      <c r="F84" s="1406">
        <f t="shared" si="19"/>
        <v>71401.2</v>
      </c>
      <c r="G84" s="1408">
        <f t="shared" si="20"/>
        <v>0.01</v>
      </c>
      <c r="H84" s="1411">
        <f t="shared" si="21"/>
        <v>71401.209999999992</v>
      </c>
      <c r="I84" s="1412">
        <f t="shared" si="22"/>
        <v>357133.50000000006</v>
      </c>
      <c r="J84" s="1118">
        <v>0</v>
      </c>
      <c r="K84" s="1118">
        <v>285604.8</v>
      </c>
      <c r="L84" s="1118">
        <v>71401.2</v>
      </c>
      <c r="M84" s="1118">
        <v>0</v>
      </c>
      <c r="N84" s="1118">
        <v>0</v>
      </c>
      <c r="O84" s="1119">
        <f t="shared" si="23"/>
        <v>357006</v>
      </c>
      <c r="P84" s="1451">
        <v>-29.33</v>
      </c>
      <c r="Q84" s="1444">
        <v>-28.18</v>
      </c>
      <c r="R84" s="1444">
        <v>0</v>
      </c>
      <c r="S84" s="1444">
        <v>0.01</v>
      </c>
      <c r="T84" s="1444">
        <v>0</v>
      </c>
      <c r="U84" s="1450">
        <f t="shared" si="24"/>
        <v>-57.5</v>
      </c>
      <c r="V84" s="1444">
        <v>94.35</v>
      </c>
      <c r="W84" s="1444">
        <v>90.65</v>
      </c>
      <c r="X84" s="1444">
        <v>0</v>
      </c>
      <c r="Y84" s="1444">
        <v>0</v>
      </c>
      <c r="Z84" s="1444">
        <v>0</v>
      </c>
      <c r="AA84" s="1444">
        <f t="shared" si="25"/>
        <v>185</v>
      </c>
      <c r="AB84" s="1097"/>
      <c r="AC84" s="1098"/>
      <c r="AD84" s="1098"/>
      <c r="AE84" s="1098"/>
      <c r="AF84" s="1098"/>
      <c r="AG84" s="1099">
        <f t="shared" si="26"/>
        <v>0</v>
      </c>
      <c r="AH84" s="1097"/>
      <c r="AI84" s="1098"/>
      <c r="AJ84" s="1098"/>
      <c r="AK84" s="1098"/>
      <c r="AL84" s="1098"/>
      <c r="AM84" s="1102">
        <f t="shared" si="27"/>
        <v>0</v>
      </c>
      <c r="AN84" s="1097"/>
      <c r="AO84" s="1098"/>
      <c r="AP84" s="1098"/>
      <c r="AQ84" s="1098"/>
      <c r="AR84" s="1098"/>
      <c r="AS84" s="1102">
        <f t="shared" si="28"/>
        <v>0</v>
      </c>
      <c r="AT84" s="1097"/>
      <c r="AU84" s="1098"/>
      <c r="AV84" s="1098"/>
      <c r="AW84" s="1098"/>
      <c r="AX84" s="1098"/>
      <c r="AY84" s="1102">
        <f t="shared" si="29"/>
        <v>0</v>
      </c>
    </row>
    <row r="85" spans="1:51" s="837" customFormat="1" x14ac:dyDescent="0.25">
      <c r="A85" s="1117" t="s">
        <v>210</v>
      </c>
      <c r="B85" s="1117" t="s">
        <v>211</v>
      </c>
      <c r="C85" s="1061" t="s">
        <v>268</v>
      </c>
      <c r="D85" s="1406">
        <f t="shared" si="17"/>
        <v>-1822.15</v>
      </c>
      <c r="E85" s="1406">
        <f t="shared" si="18"/>
        <v>176017.31</v>
      </c>
      <c r="F85" s="1406">
        <f t="shared" si="19"/>
        <v>44442</v>
      </c>
      <c r="G85" s="1408">
        <f t="shared" si="20"/>
        <v>0</v>
      </c>
      <c r="H85" s="1411">
        <f t="shared" si="21"/>
        <v>44442</v>
      </c>
      <c r="I85" s="1412">
        <f t="shared" si="22"/>
        <v>218637.16</v>
      </c>
      <c r="J85" s="1118">
        <v>0</v>
      </c>
      <c r="K85" s="1118">
        <v>177768</v>
      </c>
      <c r="L85" s="1118">
        <v>44442</v>
      </c>
      <c r="M85" s="1118">
        <v>0</v>
      </c>
      <c r="N85" s="1118">
        <v>0</v>
      </c>
      <c r="O85" s="1119">
        <f t="shared" si="23"/>
        <v>222210</v>
      </c>
      <c r="P85" s="1451">
        <v>-1822.15</v>
      </c>
      <c r="Q85" s="1444">
        <v>-1750.69</v>
      </c>
      <c r="R85" s="1444">
        <v>0</v>
      </c>
      <c r="S85" s="1444">
        <v>0</v>
      </c>
      <c r="T85" s="1444">
        <v>0</v>
      </c>
      <c r="U85" s="1450">
        <f t="shared" si="24"/>
        <v>-3572.84</v>
      </c>
      <c r="V85" s="1444"/>
      <c r="W85" s="1444"/>
      <c r="X85" s="1444"/>
      <c r="Y85" s="1444"/>
      <c r="Z85" s="1444"/>
      <c r="AA85" s="1444">
        <f t="shared" si="25"/>
        <v>0</v>
      </c>
      <c r="AB85" s="1097"/>
      <c r="AC85" s="1098"/>
      <c r="AD85" s="1098"/>
      <c r="AE85" s="1098"/>
      <c r="AF85" s="1098"/>
      <c r="AG85" s="1099">
        <f t="shared" si="26"/>
        <v>0</v>
      </c>
      <c r="AH85" s="1097"/>
      <c r="AI85" s="1098"/>
      <c r="AJ85" s="1098"/>
      <c r="AK85" s="1098"/>
      <c r="AL85" s="1098"/>
      <c r="AM85" s="1102">
        <f t="shared" si="27"/>
        <v>0</v>
      </c>
      <c r="AN85" s="1097"/>
      <c r="AO85" s="1098"/>
      <c r="AP85" s="1098"/>
      <c r="AQ85" s="1098"/>
      <c r="AR85" s="1098"/>
      <c r="AS85" s="1102">
        <f t="shared" si="28"/>
        <v>0</v>
      </c>
      <c r="AT85" s="1097"/>
      <c r="AU85" s="1098"/>
      <c r="AV85" s="1098"/>
      <c r="AW85" s="1098"/>
      <c r="AX85" s="1098"/>
      <c r="AY85" s="1102">
        <f t="shared" si="29"/>
        <v>0</v>
      </c>
    </row>
    <row r="86" spans="1:51" s="837" customFormat="1" x14ac:dyDescent="0.25">
      <c r="A86" s="1117" t="s">
        <v>212</v>
      </c>
      <c r="B86" s="1117" t="s">
        <v>213</v>
      </c>
      <c r="C86" s="1061" t="s">
        <v>267</v>
      </c>
      <c r="D86" s="1406">
        <f t="shared" si="17"/>
        <v>0</v>
      </c>
      <c r="E86" s="1406">
        <f t="shared" si="18"/>
        <v>229632.8</v>
      </c>
      <c r="F86" s="1406">
        <f t="shared" si="19"/>
        <v>57408.2</v>
      </c>
      <c r="G86" s="1408">
        <f t="shared" si="20"/>
        <v>0</v>
      </c>
      <c r="H86" s="1411">
        <f t="shared" si="21"/>
        <v>57408.2</v>
      </c>
      <c r="I86" s="1412">
        <f t="shared" si="22"/>
        <v>287041</v>
      </c>
      <c r="J86" s="1118">
        <v>0</v>
      </c>
      <c r="K86" s="1118">
        <v>229632.8</v>
      </c>
      <c r="L86" s="1118">
        <v>57408.2</v>
      </c>
      <c r="M86" s="1118">
        <v>0</v>
      </c>
      <c r="N86" s="1118">
        <v>0</v>
      </c>
      <c r="O86" s="1119">
        <f t="shared" si="23"/>
        <v>287041</v>
      </c>
      <c r="P86" s="1451"/>
      <c r="Q86" s="1444"/>
      <c r="R86" s="1444"/>
      <c r="S86" s="1444"/>
      <c r="T86" s="1444"/>
      <c r="U86" s="1450">
        <f t="shared" si="24"/>
        <v>0</v>
      </c>
      <c r="V86" s="1444"/>
      <c r="W86" s="1444"/>
      <c r="X86" s="1444"/>
      <c r="Y86" s="1444"/>
      <c r="Z86" s="1444"/>
      <c r="AA86" s="1444">
        <f t="shared" si="25"/>
        <v>0</v>
      </c>
      <c r="AB86" s="1097"/>
      <c r="AC86" s="1098"/>
      <c r="AD86" s="1098"/>
      <c r="AE86" s="1098"/>
      <c r="AF86" s="1098"/>
      <c r="AG86" s="1099">
        <f t="shared" si="26"/>
        <v>0</v>
      </c>
      <c r="AH86" s="1097"/>
      <c r="AI86" s="1098"/>
      <c r="AJ86" s="1098"/>
      <c r="AK86" s="1098"/>
      <c r="AL86" s="1098"/>
      <c r="AM86" s="1102">
        <f t="shared" si="27"/>
        <v>0</v>
      </c>
      <c r="AN86" s="1097"/>
      <c r="AO86" s="1098"/>
      <c r="AP86" s="1098"/>
      <c r="AQ86" s="1098"/>
      <c r="AR86" s="1098"/>
      <c r="AS86" s="1102">
        <f t="shared" si="28"/>
        <v>0</v>
      </c>
      <c r="AT86" s="1097"/>
      <c r="AU86" s="1098"/>
      <c r="AV86" s="1098"/>
      <c r="AW86" s="1098"/>
      <c r="AX86" s="1098"/>
      <c r="AY86" s="1102">
        <f t="shared" si="29"/>
        <v>0</v>
      </c>
    </row>
    <row r="87" spans="1:51" s="837" customFormat="1" x14ac:dyDescent="0.25">
      <c r="A87" s="1117" t="s">
        <v>214</v>
      </c>
      <c r="B87" s="1117" t="s">
        <v>215</v>
      </c>
      <c r="C87" s="1061" t="s">
        <v>268</v>
      </c>
      <c r="D87" s="1406">
        <f t="shared" si="17"/>
        <v>-779.68</v>
      </c>
      <c r="E87" s="1406">
        <f t="shared" si="18"/>
        <v>317280.56</v>
      </c>
      <c r="F87" s="1406">
        <f t="shared" si="19"/>
        <v>79540.92</v>
      </c>
      <c r="G87" s="1408">
        <f t="shared" si="20"/>
        <v>1500</v>
      </c>
      <c r="H87" s="1411">
        <f t="shared" si="21"/>
        <v>81040.92</v>
      </c>
      <c r="I87" s="1412">
        <f t="shared" si="22"/>
        <v>397541.8</v>
      </c>
      <c r="J87" s="1118">
        <v>0</v>
      </c>
      <c r="K87" s="1118">
        <v>318163.68</v>
      </c>
      <c r="L87" s="1118">
        <v>79540.92</v>
      </c>
      <c r="M87" s="1118">
        <v>0</v>
      </c>
      <c r="N87" s="1118">
        <v>0</v>
      </c>
      <c r="O87" s="1119">
        <f t="shared" si="23"/>
        <v>397704.6</v>
      </c>
      <c r="P87" s="1451">
        <v>-779.68</v>
      </c>
      <c r="Q87" s="1444">
        <v>-749.12</v>
      </c>
      <c r="R87" s="1444">
        <v>0</v>
      </c>
      <c r="S87" s="1444">
        <v>0</v>
      </c>
      <c r="T87" s="1444">
        <v>0</v>
      </c>
      <c r="U87" s="1450">
        <f t="shared" si="24"/>
        <v>-1528.8</v>
      </c>
      <c r="V87" s="1444"/>
      <c r="W87" s="1444"/>
      <c r="X87" s="1444"/>
      <c r="Y87" s="1444"/>
      <c r="Z87" s="1444"/>
      <c r="AA87" s="1444">
        <f t="shared" si="25"/>
        <v>0</v>
      </c>
      <c r="AB87" s="1097">
        <v>0</v>
      </c>
      <c r="AC87" s="1098">
        <v>0</v>
      </c>
      <c r="AD87" s="1098">
        <v>0</v>
      </c>
      <c r="AE87" s="1098">
        <v>1500</v>
      </c>
      <c r="AF87" s="1098">
        <v>0</v>
      </c>
      <c r="AG87" s="1099">
        <f t="shared" si="26"/>
        <v>1500</v>
      </c>
      <c r="AH87" s="1097"/>
      <c r="AI87" s="1098"/>
      <c r="AJ87" s="1098"/>
      <c r="AK87" s="1098"/>
      <c r="AL87" s="1098"/>
      <c r="AM87" s="1102">
        <f t="shared" si="27"/>
        <v>0</v>
      </c>
      <c r="AN87" s="1097">
        <v>0</v>
      </c>
      <c r="AO87" s="1098">
        <v>-134</v>
      </c>
      <c r="AP87" s="1098">
        <v>0</v>
      </c>
      <c r="AQ87" s="1098">
        <v>0</v>
      </c>
      <c r="AR87" s="1098">
        <v>0</v>
      </c>
      <c r="AS87" s="1102">
        <f t="shared" si="28"/>
        <v>-134</v>
      </c>
      <c r="AT87" s="1097"/>
      <c r="AU87" s="1098"/>
      <c r="AV87" s="1098"/>
      <c r="AW87" s="1098"/>
      <c r="AX87" s="1098"/>
      <c r="AY87" s="1102">
        <f t="shared" si="29"/>
        <v>0</v>
      </c>
    </row>
    <row r="88" spans="1:51" s="837" customFormat="1" x14ac:dyDescent="0.25">
      <c r="A88" s="1117" t="s">
        <v>216</v>
      </c>
      <c r="B88" s="1117" t="s">
        <v>217</v>
      </c>
      <c r="C88" s="1061" t="s">
        <v>264</v>
      </c>
      <c r="D88" s="1406">
        <f t="shared" si="17"/>
        <v>-40.799999999999997</v>
      </c>
      <c r="E88" s="1406">
        <f t="shared" si="18"/>
        <v>48640.800000000003</v>
      </c>
      <c r="F88" s="1406">
        <f t="shared" si="19"/>
        <v>12170</v>
      </c>
      <c r="G88" s="1408">
        <f t="shared" si="20"/>
        <v>0</v>
      </c>
      <c r="H88" s="1411">
        <f t="shared" si="21"/>
        <v>12170</v>
      </c>
      <c r="I88" s="1412">
        <f t="shared" si="22"/>
        <v>60770</v>
      </c>
      <c r="J88" s="1118">
        <v>0</v>
      </c>
      <c r="K88" s="1118">
        <v>48680</v>
      </c>
      <c r="L88" s="1118">
        <v>12170</v>
      </c>
      <c r="M88" s="1118">
        <v>0</v>
      </c>
      <c r="N88" s="1118">
        <v>0</v>
      </c>
      <c r="O88" s="1119">
        <f t="shared" si="23"/>
        <v>60850</v>
      </c>
      <c r="P88" s="1451">
        <v>-40.799999999999997</v>
      </c>
      <c r="Q88" s="1444">
        <v>-39.200000000000003</v>
      </c>
      <c r="R88" s="1444">
        <v>0</v>
      </c>
      <c r="S88" s="1444">
        <v>0</v>
      </c>
      <c r="T88" s="1444">
        <v>0</v>
      </c>
      <c r="U88" s="1450">
        <f t="shared" si="24"/>
        <v>-80</v>
      </c>
      <c r="V88" s="1444"/>
      <c r="W88" s="1444"/>
      <c r="X88" s="1444"/>
      <c r="Y88" s="1444"/>
      <c r="Z88" s="1444"/>
      <c r="AA88" s="1444">
        <f t="shared" si="25"/>
        <v>0</v>
      </c>
      <c r="AB88" s="1097"/>
      <c r="AC88" s="1098"/>
      <c r="AD88" s="1098"/>
      <c r="AE88" s="1098"/>
      <c r="AF88" s="1098"/>
      <c r="AG88" s="1099">
        <f t="shared" si="26"/>
        <v>0</v>
      </c>
      <c r="AH88" s="1097"/>
      <c r="AI88" s="1098"/>
      <c r="AJ88" s="1098"/>
      <c r="AK88" s="1098"/>
      <c r="AL88" s="1098"/>
      <c r="AM88" s="1102">
        <f t="shared" si="27"/>
        <v>0</v>
      </c>
      <c r="AN88" s="1097"/>
      <c r="AO88" s="1098"/>
      <c r="AP88" s="1098"/>
      <c r="AQ88" s="1098"/>
      <c r="AR88" s="1098"/>
      <c r="AS88" s="1102">
        <f t="shared" si="28"/>
        <v>0</v>
      </c>
      <c r="AT88" s="1097"/>
      <c r="AU88" s="1098"/>
      <c r="AV88" s="1098"/>
      <c r="AW88" s="1098"/>
      <c r="AX88" s="1098"/>
      <c r="AY88" s="1102">
        <f t="shared" si="29"/>
        <v>0</v>
      </c>
    </row>
    <row r="89" spans="1:51" s="837" customFormat="1" x14ac:dyDescent="0.25">
      <c r="A89" s="1117" t="s">
        <v>218</v>
      </c>
      <c r="B89" s="1117" t="s">
        <v>219</v>
      </c>
      <c r="C89" s="1061" t="s">
        <v>267</v>
      </c>
      <c r="D89" s="1406">
        <f t="shared" si="17"/>
        <v>201829.97</v>
      </c>
      <c r="E89" s="1406">
        <f t="shared" si="18"/>
        <v>127954.06</v>
      </c>
      <c r="F89" s="1406">
        <f t="shared" si="19"/>
        <v>32114.2</v>
      </c>
      <c r="G89" s="1408">
        <f t="shared" si="20"/>
        <v>0.02</v>
      </c>
      <c r="H89" s="1411">
        <f t="shared" si="21"/>
        <v>32114.22</v>
      </c>
      <c r="I89" s="1412">
        <f t="shared" si="22"/>
        <v>361898.25000000006</v>
      </c>
      <c r="J89" s="1118">
        <v>0</v>
      </c>
      <c r="K89" s="1118">
        <v>128456.8</v>
      </c>
      <c r="L89" s="1118">
        <v>32114.2</v>
      </c>
      <c r="M89" s="1118">
        <v>0</v>
      </c>
      <c r="N89" s="1118">
        <v>0</v>
      </c>
      <c r="O89" s="1119">
        <f t="shared" si="23"/>
        <v>160571</v>
      </c>
      <c r="P89" s="1451">
        <v>-523.26</v>
      </c>
      <c r="Q89" s="1444">
        <v>-502.74</v>
      </c>
      <c r="R89" s="1444">
        <v>0</v>
      </c>
      <c r="S89" s="1444">
        <v>0.02</v>
      </c>
      <c r="T89" s="1444">
        <v>0</v>
      </c>
      <c r="U89" s="1450">
        <f t="shared" si="24"/>
        <v>-1025.98</v>
      </c>
      <c r="V89" s="1444"/>
      <c r="W89" s="1444"/>
      <c r="X89" s="1444"/>
      <c r="Y89" s="1444"/>
      <c r="Z89" s="1444"/>
      <c r="AA89" s="1444">
        <f t="shared" si="25"/>
        <v>0</v>
      </c>
      <c r="AB89" s="1097"/>
      <c r="AC89" s="1098"/>
      <c r="AD89" s="1098"/>
      <c r="AE89" s="1098"/>
      <c r="AF89" s="1098"/>
      <c r="AG89" s="1099">
        <f t="shared" si="26"/>
        <v>0</v>
      </c>
      <c r="AH89" s="1100">
        <v>13237</v>
      </c>
      <c r="AI89" s="1101">
        <v>0</v>
      </c>
      <c r="AJ89" s="1101">
        <v>0</v>
      </c>
      <c r="AK89" s="1101">
        <v>0</v>
      </c>
      <c r="AL89" s="1101">
        <v>0</v>
      </c>
      <c r="AM89" s="1102">
        <f t="shared" si="27"/>
        <v>13237</v>
      </c>
      <c r="AN89" s="1100"/>
      <c r="AO89" s="1101"/>
      <c r="AP89" s="1101"/>
      <c r="AQ89" s="1101"/>
      <c r="AR89" s="1101"/>
      <c r="AS89" s="1102">
        <f t="shared" si="28"/>
        <v>0</v>
      </c>
      <c r="AT89" s="1100">
        <v>189116.23</v>
      </c>
      <c r="AU89" s="1101">
        <v>0</v>
      </c>
      <c r="AV89" s="1101">
        <v>0</v>
      </c>
      <c r="AW89" s="1101">
        <v>0</v>
      </c>
      <c r="AX89" s="1101">
        <v>0</v>
      </c>
      <c r="AY89" s="1102">
        <f t="shared" si="29"/>
        <v>189116.23</v>
      </c>
    </row>
    <row r="90" spans="1:51" s="837" customFormat="1" x14ac:dyDescent="0.25">
      <c r="A90" s="1117" t="s">
        <v>220</v>
      </c>
      <c r="B90" s="1117" t="s">
        <v>221</v>
      </c>
      <c r="C90" s="1061" t="s">
        <v>267</v>
      </c>
      <c r="D90" s="1406">
        <f t="shared" si="17"/>
        <v>9545.81</v>
      </c>
      <c r="E90" s="1406">
        <f t="shared" si="18"/>
        <v>57307.990000000005</v>
      </c>
      <c r="F90" s="1406">
        <f t="shared" si="19"/>
        <v>14372.2</v>
      </c>
      <c r="G90" s="1408">
        <f t="shared" si="20"/>
        <v>34.700000000000003</v>
      </c>
      <c r="H90" s="1411">
        <f t="shared" si="21"/>
        <v>14406.900000000001</v>
      </c>
      <c r="I90" s="1412">
        <f t="shared" si="22"/>
        <v>81260.7</v>
      </c>
      <c r="J90" s="1118">
        <v>0</v>
      </c>
      <c r="K90" s="1118">
        <v>57488.800000000003</v>
      </c>
      <c r="L90" s="1118">
        <v>14372.2</v>
      </c>
      <c r="M90" s="1118">
        <v>0</v>
      </c>
      <c r="N90" s="1118">
        <v>0</v>
      </c>
      <c r="O90" s="1119">
        <f t="shared" si="23"/>
        <v>71861</v>
      </c>
      <c r="P90" s="1451">
        <v>-188.19</v>
      </c>
      <c r="Q90" s="1444">
        <v>-180.81</v>
      </c>
      <c r="R90" s="1444">
        <v>0</v>
      </c>
      <c r="S90" s="1444">
        <v>0</v>
      </c>
      <c r="T90" s="1444">
        <v>0</v>
      </c>
      <c r="U90" s="1450">
        <f t="shared" si="24"/>
        <v>-369</v>
      </c>
      <c r="V90" s="1444"/>
      <c r="W90" s="1444"/>
      <c r="X90" s="1444"/>
      <c r="Y90" s="1444"/>
      <c r="Z90" s="1444"/>
      <c r="AA90" s="1444">
        <f t="shared" si="25"/>
        <v>0</v>
      </c>
      <c r="AB90" s="1100">
        <v>0</v>
      </c>
      <c r="AC90" s="1101">
        <v>0</v>
      </c>
      <c r="AD90" s="1101">
        <v>0</v>
      </c>
      <c r="AE90" s="1101">
        <v>34.700000000000003</v>
      </c>
      <c r="AF90" s="1101">
        <v>0</v>
      </c>
      <c r="AG90" s="1099">
        <f t="shared" si="26"/>
        <v>34.700000000000003</v>
      </c>
      <c r="AH90" s="1100">
        <v>9734</v>
      </c>
      <c r="AI90" s="1101">
        <v>0</v>
      </c>
      <c r="AJ90" s="1101">
        <v>0</v>
      </c>
      <c r="AK90" s="1101">
        <v>0</v>
      </c>
      <c r="AL90" s="1101">
        <v>0</v>
      </c>
      <c r="AM90" s="1102">
        <f t="shared" si="27"/>
        <v>9734</v>
      </c>
      <c r="AN90" s="1100"/>
      <c r="AO90" s="1101"/>
      <c r="AP90" s="1101"/>
      <c r="AQ90" s="1101"/>
      <c r="AR90" s="1101"/>
      <c r="AS90" s="1102">
        <f t="shared" si="28"/>
        <v>0</v>
      </c>
      <c r="AT90" s="1100"/>
      <c r="AU90" s="1101"/>
      <c r="AV90" s="1101"/>
      <c r="AW90" s="1101"/>
      <c r="AX90" s="1101"/>
      <c r="AY90" s="1102">
        <f t="shared" si="29"/>
        <v>0</v>
      </c>
    </row>
    <row r="91" spans="1:51" s="837" customFormat="1" x14ac:dyDescent="0.25">
      <c r="A91" s="1117" t="s">
        <v>224</v>
      </c>
      <c r="B91" s="1117" t="s">
        <v>225</v>
      </c>
      <c r="C91" s="1061" t="s">
        <v>264</v>
      </c>
      <c r="D91" s="1406">
        <f t="shared" si="17"/>
        <v>0</v>
      </c>
      <c r="E91" s="1406">
        <f t="shared" si="18"/>
        <v>31783.200000000001</v>
      </c>
      <c r="F91" s="1406">
        <f t="shared" si="19"/>
        <v>7945.8</v>
      </c>
      <c r="G91" s="1408">
        <f t="shared" si="20"/>
        <v>0</v>
      </c>
      <c r="H91" s="1411">
        <f t="shared" si="21"/>
        <v>7945.8</v>
      </c>
      <c r="I91" s="1412">
        <f t="shared" si="22"/>
        <v>39729</v>
      </c>
      <c r="J91" s="1118">
        <v>0</v>
      </c>
      <c r="K91" s="1118">
        <v>31783.200000000001</v>
      </c>
      <c r="L91" s="1118">
        <v>7945.8</v>
      </c>
      <c r="M91" s="1118">
        <v>0</v>
      </c>
      <c r="N91" s="1118">
        <v>0</v>
      </c>
      <c r="O91" s="1119">
        <f t="shared" si="23"/>
        <v>39729</v>
      </c>
      <c r="P91" s="1451"/>
      <c r="Q91" s="1444"/>
      <c r="R91" s="1444"/>
      <c r="S91" s="1444"/>
      <c r="T91" s="1444"/>
      <c r="U91" s="1450">
        <f t="shared" si="24"/>
        <v>0</v>
      </c>
      <c r="V91" s="1444"/>
      <c r="W91" s="1444"/>
      <c r="X91" s="1444"/>
      <c r="Y91" s="1444"/>
      <c r="Z91" s="1444"/>
      <c r="AA91" s="1444">
        <f t="shared" si="25"/>
        <v>0</v>
      </c>
      <c r="AB91" s="1097"/>
      <c r="AC91" s="1098"/>
      <c r="AD91" s="1098"/>
      <c r="AE91" s="1098"/>
      <c r="AF91" s="1098"/>
      <c r="AG91" s="1099">
        <f t="shared" si="26"/>
        <v>0</v>
      </c>
      <c r="AH91" s="1097"/>
      <c r="AI91" s="1098"/>
      <c r="AJ91" s="1098"/>
      <c r="AK91" s="1098"/>
      <c r="AL91" s="1098"/>
      <c r="AM91" s="1102">
        <f t="shared" si="27"/>
        <v>0</v>
      </c>
      <c r="AN91" s="1097"/>
      <c r="AO91" s="1098"/>
      <c r="AP91" s="1098"/>
      <c r="AQ91" s="1098"/>
      <c r="AR91" s="1098"/>
      <c r="AS91" s="1102">
        <f t="shared" si="28"/>
        <v>0</v>
      </c>
      <c r="AT91" s="1097"/>
      <c r="AU91" s="1098"/>
      <c r="AV91" s="1098"/>
      <c r="AW91" s="1098"/>
      <c r="AX91" s="1098"/>
      <c r="AY91" s="1102">
        <f t="shared" si="29"/>
        <v>0</v>
      </c>
    </row>
    <row r="92" spans="1:51" s="837" customFormat="1" x14ac:dyDescent="0.25">
      <c r="A92" s="1117" t="s">
        <v>226</v>
      </c>
      <c r="B92" s="1117" t="s">
        <v>227</v>
      </c>
      <c r="C92" s="1061" t="s">
        <v>264</v>
      </c>
      <c r="D92" s="1406">
        <f t="shared" si="17"/>
        <v>-761.53</v>
      </c>
      <c r="E92" s="1406">
        <f t="shared" si="18"/>
        <v>47926.73</v>
      </c>
      <c r="F92" s="1406">
        <f t="shared" si="19"/>
        <v>12164.6</v>
      </c>
      <c r="G92" s="1408">
        <f t="shared" si="20"/>
        <v>0</v>
      </c>
      <c r="H92" s="1411">
        <f t="shared" si="21"/>
        <v>12164.6</v>
      </c>
      <c r="I92" s="1412">
        <f t="shared" si="22"/>
        <v>59329.8</v>
      </c>
      <c r="J92" s="1118">
        <v>0</v>
      </c>
      <c r="K92" s="1118">
        <v>48658.400000000001</v>
      </c>
      <c r="L92" s="1118">
        <v>12164.6</v>
      </c>
      <c r="M92" s="1118">
        <v>0</v>
      </c>
      <c r="N92" s="1118">
        <v>0</v>
      </c>
      <c r="O92" s="1119">
        <f t="shared" si="23"/>
        <v>60823</v>
      </c>
      <c r="P92" s="1451">
        <v>-761.53</v>
      </c>
      <c r="Q92" s="1444">
        <v>-731.67</v>
      </c>
      <c r="R92" s="1444">
        <v>0</v>
      </c>
      <c r="S92" s="1444">
        <v>0</v>
      </c>
      <c r="T92" s="1444">
        <v>0</v>
      </c>
      <c r="U92" s="1450">
        <f t="shared" si="24"/>
        <v>-1493.1999999999998</v>
      </c>
      <c r="V92" s="1444"/>
      <c r="W92" s="1444"/>
      <c r="X92" s="1444"/>
      <c r="Y92" s="1444"/>
      <c r="Z92" s="1444"/>
      <c r="AA92" s="1444">
        <f t="shared" si="25"/>
        <v>0</v>
      </c>
      <c r="AB92" s="1100"/>
      <c r="AC92" s="1101"/>
      <c r="AD92" s="1101"/>
      <c r="AE92" s="1101"/>
      <c r="AF92" s="1101"/>
      <c r="AG92" s="1099">
        <f t="shared" si="26"/>
        <v>0</v>
      </c>
      <c r="AH92" s="1097"/>
      <c r="AI92" s="1098"/>
      <c r="AJ92" s="1098"/>
      <c r="AK92" s="1098"/>
      <c r="AL92" s="1098"/>
      <c r="AM92" s="1102">
        <f t="shared" si="27"/>
        <v>0</v>
      </c>
      <c r="AN92" s="1097"/>
      <c r="AO92" s="1098"/>
      <c r="AP92" s="1098"/>
      <c r="AQ92" s="1098"/>
      <c r="AR92" s="1098"/>
      <c r="AS92" s="1102">
        <f t="shared" si="28"/>
        <v>0</v>
      </c>
      <c r="AT92" s="1097"/>
      <c r="AU92" s="1098"/>
      <c r="AV92" s="1098"/>
      <c r="AW92" s="1098"/>
      <c r="AX92" s="1098"/>
      <c r="AY92" s="1102">
        <f t="shared" si="29"/>
        <v>0</v>
      </c>
    </row>
    <row r="93" spans="1:51" s="837" customFormat="1" x14ac:dyDescent="0.25">
      <c r="A93" s="1117" t="s">
        <v>228</v>
      </c>
      <c r="B93" s="1117" t="s">
        <v>229</v>
      </c>
      <c r="C93" s="1061" t="s">
        <v>268</v>
      </c>
      <c r="D93" s="1406">
        <f t="shared" si="17"/>
        <v>-724.86</v>
      </c>
      <c r="E93" s="1406">
        <f t="shared" si="18"/>
        <v>295946.76</v>
      </c>
      <c r="F93" s="1406">
        <f t="shared" si="19"/>
        <v>74160.800000000003</v>
      </c>
      <c r="G93" s="1408">
        <f t="shared" si="20"/>
        <v>35000.01</v>
      </c>
      <c r="H93" s="1411">
        <f t="shared" si="21"/>
        <v>109160.81</v>
      </c>
      <c r="I93" s="1412">
        <f t="shared" si="22"/>
        <v>404382.71</v>
      </c>
      <c r="J93" s="1118">
        <v>0</v>
      </c>
      <c r="K93" s="1118">
        <v>296643.20000000001</v>
      </c>
      <c r="L93" s="1118">
        <v>74160.800000000003</v>
      </c>
      <c r="M93" s="1118">
        <v>0</v>
      </c>
      <c r="N93" s="1118">
        <v>0</v>
      </c>
      <c r="O93" s="1119">
        <f t="shared" si="23"/>
        <v>370804</v>
      </c>
      <c r="P93" s="1451">
        <v>-724.86</v>
      </c>
      <c r="Q93" s="1444">
        <v>-696.44</v>
      </c>
      <c r="R93" s="1444">
        <v>0</v>
      </c>
      <c r="S93" s="1444">
        <v>0.01</v>
      </c>
      <c r="T93" s="1444">
        <v>0</v>
      </c>
      <c r="U93" s="1450">
        <f t="shared" si="24"/>
        <v>-1421.2900000000002</v>
      </c>
      <c r="V93" s="1444"/>
      <c r="W93" s="1444"/>
      <c r="X93" s="1444"/>
      <c r="Y93" s="1444"/>
      <c r="Z93" s="1444"/>
      <c r="AA93" s="1444">
        <f t="shared" si="25"/>
        <v>0</v>
      </c>
      <c r="AB93" s="1100">
        <v>0</v>
      </c>
      <c r="AC93" s="1101">
        <v>0</v>
      </c>
      <c r="AD93" s="1101">
        <v>0</v>
      </c>
      <c r="AE93" s="1101">
        <v>35000</v>
      </c>
      <c r="AF93" s="1101">
        <v>0</v>
      </c>
      <c r="AG93" s="1099">
        <f t="shared" si="26"/>
        <v>35000</v>
      </c>
      <c r="AH93" s="1097"/>
      <c r="AI93" s="1098"/>
      <c r="AJ93" s="1098"/>
      <c r="AK93" s="1098"/>
      <c r="AL93" s="1098"/>
      <c r="AM93" s="1102">
        <f t="shared" si="27"/>
        <v>0</v>
      </c>
      <c r="AN93" s="1097"/>
      <c r="AO93" s="1098"/>
      <c r="AP93" s="1098"/>
      <c r="AQ93" s="1098"/>
      <c r="AR93" s="1098"/>
      <c r="AS93" s="1102">
        <f t="shared" si="28"/>
        <v>0</v>
      </c>
      <c r="AT93" s="1097"/>
      <c r="AU93" s="1098"/>
      <c r="AV93" s="1098"/>
      <c r="AW93" s="1098"/>
      <c r="AX93" s="1098"/>
      <c r="AY93" s="1102">
        <f t="shared" si="29"/>
        <v>0</v>
      </c>
    </row>
    <row r="94" spans="1:51" s="837" customFormat="1" x14ac:dyDescent="0.25">
      <c r="A94" s="1117" t="s">
        <v>232</v>
      </c>
      <c r="B94" s="1117" t="s">
        <v>233</v>
      </c>
      <c r="C94" s="1061" t="s">
        <v>267</v>
      </c>
      <c r="D94" s="1406">
        <f t="shared" si="17"/>
        <v>-12.75</v>
      </c>
      <c r="E94" s="1406">
        <f t="shared" si="18"/>
        <v>75310.149999999994</v>
      </c>
      <c r="F94" s="1406">
        <f t="shared" si="19"/>
        <v>18830.599999999999</v>
      </c>
      <c r="G94" s="1408">
        <f t="shared" si="20"/>
        <v>0</v>
      </c>
      <c r="H94" s="1411">
        <f t="shared" si="21"/>
        <v>18830.599999999999</v>
      </c>
      <c r="I94" s="1412">
        <f t="shared" si="22"/>
        <v>94128</v>
      </c>
      <c r="J94" s="1118">
        <v>0</v>
      </c>
      <c r="K94" s="1118">
        <v>75322.399999999994</v>
      </c>
      <c r="L94" s="1118">
        <v>18830.599999999999</v>
      </c>
      <c r="M94" s="1118">
        <v>0</v>
      </c>
      <c r="N94" s="1118">
        <v>0</v>
      </c>
      <c r="O94" s="1119">
        <f t="shared" si="23"/>
        <v>94153</v>
      </c>
      <c r="P94" s="1451">
        <v>-12.75</v>
      </c>
      <c r="Q94" s="1444">
        <v>-12.25</v>
      </c>
      <c r="R94" s="1444">
        <v>0</v>
      </c>
      <c r="S94" s="1444">
        <v>0</v>
      </c>
      <c r="T94" s="1444">
        <v>0</v>
      </c>
      <c r="U94" s="1450">
        <f t="shared" si="24"/>
        <v>-25</v>
      </c>
      <c r="V94" s="1444"/>
      <c r="W94" s="1444"/>
      <c r="X94" s="1444"/>
      <c r="Y94" s="1444"/>
      <c r="Z94" s="1444"/>
      <c r="AA94" s="1444">
        <f t="shared" si="25"/>
        <v>0</v>
      </c>
      <c r="AB94" s="1097"/>
      <c r="AC94" s="1098"/>
      <c r="AD94" s="1098"/>
      <c r="AE94" s="1098"/>
      <c r="AF94" s="1098"/>
      <c r="AG94" s="1099">
        <f t="shared" si="26"/>
        <v>0</v>
      </c>
      <c r="AH94" s="1097"/>
      <c r="AI94" s="1098"/>
      <c r="AJ94" s="1098"/>
      <c r="AK94" s="1098"/>
      <c r="AL94" s="1098"/>
      <c r="AM94" s="1102">
        <f t="shared" si="27"/>
        <v>0</v>
      </c>
      <c r="AN94" s="1097"/>
      <c r="AO94" s="1098"/>
      <c r="AP94" s="1098"/>
      <c r="AQ94" s="1098"/>
      <c r="AR94" s="1098"/>
      <c r="AS94" s="1102">
        <f t="shared" si="28"/>
        <v>0</v>
      </c>
      <c r="AT94" s="1097"/>
      <c r="AU94" s="1098"/>
      <c r="AV94" s="1098"/>
      <c r="AW94" s="1098"/>
      <c r="AX94" s="1098"/>
      <c r="AY94" s="1102">
        <f t="shared" si="29"/>
        <v>0</v>
      </c>
    </row>
    <row r="95" spans="1:51" s="837" customFormat="1" x14ac:dyDescent="0.25">
      <c r="A95" s="1117" t="s">
        <v>234</v>
      </c>
      <c r="B95" s="1117" t="s">
        <v>235</v>
      </c>
      <c r="C95" s="1061" t="s">
        <v>268</v>
      </c>
      <c r="D95" s="1406">
        <f t="shared" si="17"/>
        <v>0</v>
      </c>
      <c r="E95" s="1406">
        <f t="shared" si="18"/>
        <v>805205.6</v>
      </c>
      <c r="F95" s="1406">
        <f t="shared" si="19"/>
        <v>201301.4</v>
      </c>
      <c r="G95" s="1408">
        <f t="shared" si="20"/>
        <v>9005.4</v>
      </c>
      <c r="H95" s="1411">
        <f t="shared" si="21"/>
        <v>210306.8</v>
      </c>
      <c r="I95" s="1412">
        <f t="shared" si="22"/>
        <v>1015512.4</v>
      </c>
      <c r="J95" s="1118">
        <v>0</v>
      </c>
      <c r="K95" s="1118">
        <v>805205.6</v>
      </c>
      <c r="L95" s="1118">
        <v>201301.4</v>
      </c>
      <c r="M95" s="1118">
        <v>0</v>
      </c>
      <c r="N95" s="1118">
        <v>0</v>
      </c>
      <c r="O95" s="1119">
        <f t="shared" si="23"/>
        <v>1006507</v>
      </c>
      <c r="P95" s="1451">
        <v>0</v>
      </c>
      <c r="Q95" s="1444">
        <v>0</v>
      </c>
      <c r="R95" s="1444">
        <v>0</v>
      </c>
      <c r="S95" s="1444">
        <v>-40</v>
      </c>
      <c r="T95" s="1444">
        <v>0</v>
      </c>
      <c r="U95" s="1450">
        <f t="shared" si="24"/>
        <v>-40</v>
      </c>
      <c r="V95" s="1444"/>
      <c r="W95" s="1444"/>
      <c r="X95" s="1444"/>
      <c r="Y95" s="1444"/>
      <c r="Z95" s="1444"/>
      <c r="AA95" s="1444">
        <f t="shared" si="25"/>
        <v>0</v>
      </c>
      <c r="AB95" s="1100">
        <v>0</v>
      </c>
      <c r="AC95" s="1101">
        <v>0</v>
      </c>
      <c r="AD95" s="1101">
        <v>0</v>
      </c>
      <c r="AE95" s="1101">
        <v>9045.4</v>
      </c>
      <c r="AF95" s="1101">
        <v>0</v>
      </c>
      <c r="AG95" s="1099">
        <f t="shared" si="26"/>
        <v>9045.4</v>
      </c>
      <c r="AH95" s="1097"/>
      <c r="AI95" s="1098"/>
      <c r="AJ95" s="1098"/>
      <c r="AK95" s="1098"/>
      <c r="AL95" s="1098"/>
      <c r="AM95" s="1102">
        <f t="shared" si="27"/>
        <v>0</v>
      </c>
      <c r="AN95" s="1097"/>
      <c r="AO95" s="1098"/>
      <c r="AP95" s="1098"/>
      <c r="AQ95" s="1098"/>
      <c r="AR95" s="1098"/>
      <c r="AS95" s="1102">
        <f t="shared" si="28"/>
        <v>0</v>
      </c>
      <c r="AT95" s="1097"/>
      <c r="AU95" s="1098"/>
      <c r="AV95" s="1098"/>
      <c r="AW95" s="1098"/>
      <c r="AX95" s="1098"/>
      <c r="AY95" s="1102">
        <f t="shared" si="29"/>
        <v>0</v>
      </c>
    </row>
    <row r="96" spans="1:51" s="837" customFormat="1" x14ac:dyDescent="0.25">
      <c r="A96" s="1117" t="s">
        <v>236</v>
      </c>
      <c r="B96" s="1117" t="s">
        <v>237</v>
      </c>
      <c r="C96" s="1061" t="s">
        <v>266</v>
      </c>
      <c r="D96" s="1406">
        <f t="shared" si="17"/>
        <v>-8.5</v>
      </c>
      <c r="E96" s="1406">
        <f t="shared" si="18"/>
        <v>41905.78</v>
      </c>
      <c r="F96" s="1406">
        <f t="shared" si="19"/>
        <v>10478.49</v>
      </c>
      <c r="G96" s="1408">
        <f t="shared" si="20"/>
        <v>1000</v>
      </c>
      <c r="H96" s="1411">
        <f t="shared" si="21"/>
        <v>11478.49</v>
      </c>
      <c r="I96" s="1412">
        <f t="shared" si="22"/>
        <v>53375.77</v>
      </c>
      <c r="J96" s="1118">
        <v>0</v>
      </c>
      <c r="K96" s="1118">
        <v>41913.949999999997</v>
      </c>
      <c r="L96" s="1118">
        <v>10478.49</v>
      </c>
      <c r="M96" s="1118">
        <v>0</v>
      </c>
      <c r="N96" s="1118">
        <v>0</v>
      </c>
      <c r="O96" s="1119">
        <f t="shared" si="23"/>
        <v>52392.439999999995</v>
      </c>
      <c r="P96" s="1451">
        <v>-8.5</v>
      </c>
      <c r="Q96" s="1444">
        <v>-8.17</v>
      </c>
      <c r="R96" s="1444">
        <v>0</v>
      </c>
      <c r="S96" s="1444">
        <v>0</v>
      </c>
      <c r="T96" s="1444">
        <v>0</v>
      </c>
      <c r="U96" s="1450">
        <f t="shared" si="24"/>
        <v>-16.670000000000002</v>
      </c>
      <c r="V96" s="1444"/>
      <c r="W96" s="1444"/>
      <c r="X96" s="1444"/>
      <c r="Y96" s="1444"/>
      <c r="Z96" s="1444"/>
      <c r="AA96" s="1444">
        <f t="shared" si="25"/>
        <v>0</v>
      </c>
      <c r="AB96" s="1097">
        <v>0</v>
      </c>
      <c r="AC96" s="1098">
        <v>0</v>
      </c>
      <c r="AD96" s="1098">
        <v>0</v>
      </c>
      <c r="AE96" s="1098">
        <v>1000</v>
      </c>
      <c r="AF96" s="1098">
        <v>0</v>
      </c>
      <c r="AG96" s="1099">
        <f t="shared" si="26"/>
        <v>1000</v>
      </c>
      <c r="AH96" s="1097"/>
      <c r="AI96" s="1098"/>
      <c r="AJ96" s="1098"/>
      <c r="AK96" s="1098"/>
      <c r="AL96" s="1098"/>
      <c r="AM96" s="1102">
        <f t="shared" si="27"/>
        <v>0</v>
      </c>
      <c r="AN96" s="1097"/>
      <c r="AO96" s="1098"/>
      <c r="AP96" s="1098"/>
      <c r="AQ96" s="1098"/>
      <c r="AR96" s="1098"/>
      <c r="AS96" s="1102">
        <f t="shared" si="28"/>
        <v>0</v>
      </c>
      <c r="AT96" s="1097"/>
      <c r="AU96" s="1098"/>
      <c r="AV96" s="1098"/>
      <c r="AW96" s="1098"/>
      <c r="AX96" s="1098"/>
      <c r="AY96" s="1102">
        <f t="shared" si="29"/>
        <v>0</v>
      </c>
    </row>
    <row r="97" spans="1:51" s="837" customFormat="1" x14ac:dyDescent="0.25">
      <c r="A97" s="1117" t="s">
        <v>242</v>
      </c>
      <c r="B97" s="1117" t="s">
        <v>243</v>
      </c>
      <c r="C97" s="1061" t="s">
        <v>268</v>
      </c>
      <c r="D97" s="1406">
        <f t="shared" si="17"/>
        <v>-918.1</v>
      </c>
      <c r="E97" s="1406">
        <f t="shared" si="18"/>
        <v>188757.9</v>
      </c>
      <c r="F97" s="1406">
        <f t="shared" si="19"/>
        <v>47410</v>
      </c>
      <c r="G97" s="1408">
        <f t="shared" si="20"/>
        <v>0</v>
      </c>
      <c r="H97" s="1411">
        <f t="shared" si="21"/>
        <v>47410</v>
      </c>
      <c r="I97" s="1412">
        <f t="shared" si="22"/>
        <v>235249.8</v>
      </c>
      <c r="J97" s="1118">
        <v>0</v>
      </c>
      <c r="K97" s="1118">
        <v>189640</v>
      </c>
      <c r="L97" s="1118">
        <v>47410</v>
      </c>
      <c r="M97" s="1118">
        <v>0</v>
      </c>
      <c r="N97" s="1118">
        <v>0</v>
      </c>
      <c r="O97" s="1119">
        <f t="shared" si="23"/>
        <v>237050</v>
      </c>
      <c r="P97" s="1451">
        <v>-918.1</v>
      </c>
      <c r="Q97" s="1444">
        <v>-882.1</v>
      </c>
      <c r="R97" s="1444">
        <v>0</v>
      </c>
      <c r="S97" s="1444">
        <v>0</v>
      </c>
      <c r="T97" s="1444">
        <v>0</v>
      </c>
      <c r="U97" s="1450">
        <f t="shared" si="24"/>
        <v>-1800.2</v>
      </c>
      <c r="V97" s="1444"/>
      <c r="W97" s="1444"/>
      <c r="X97" s="1444"/>
      <c r="Y97" s="1444"/>
      <c r="Z97" s="1444"/>
      <c r="AA97" s="1444">
        <f t="shared" si="25"/>
        <v>0</v>
      </c>
      <c r="AB97" s="1097"/>
      <c r="AC97" s="1098"/>
      <c r="AD97" s="1098"/>
      <c r="AE97" s="1098"/>
      <c r="AF97" s="1098"/>
      <c r="AG97" s="1099">
        <f t="shared" si="26"/>
        <v>0</v>
      </c>
      <c r="AH97" s="1097"/>
      <c r="AI97" s="1098"/>
      <c r="AJ97" s="1098"/>
      <c r="AK97" s="1098"/>
      <c r="AL97" s="1098"/>
      <c r="AM97" s="1102">
        <f t="shared" si="27"/>
        <v>0</v>
      </c>
      <c r="AN97" s="1097"/>
      <c r="AO97" s="1098"/>
      <c r="AP97" s="1098"/>
      <c r="AQ97" s="1098"/>
      <c r="AR97" s="1098"/>
      <c r="AS97" s="1102">
        <f t="shared" si="28"/>
        <v>0</v>
      </c>
      <c r="AT97" s="1097"/>
      <c r="AU97" s="1098"/>
      <c r="AV97" s="1098"/>
      <c r="AW97" s="1098"/>
      <c r="AX97" s="1098"/>
      <c r="AY97" s="1102">
        <f t="shared" si="29"/>
        <v>0</v>
      </c>
    </row>
    <row r="98" spans="1:51" s="837" customFormat="1" x14ac:dyDescent="0.25">
      <c r="A98" s="1117" t="s">
        <v>244</v>
      </c>
      <c r="B98" s="1117" t="s">
        <v>245</v>
      </c>
      <c r="C98" s="1061" t="s">
        <v>268</v>
      </c>
      <c r="D98" s="1406">
        <f t="shared" si="17"/>
        <v>-1446.62</v>
      </c>
      <c r="E98" s="1406">
        <f t="shared" si="18"/>
        <v>84218.91</v>
      </c>
      <c r="F98" s="1406">
        <f t="shared" si="19"/>
        <v>21402.2</v>
      </c>
      <c r="G98" s="1408">
        <f t="shared" si="20"/>
        <v>258.01</v>
      </c>
      <c r="H98" s="1411">
        <f t="shared" si="21"/>
        <v>21660.21</v>
      </c>
      <c r="I98" s="1412">
        <f t="shared" si="22"/>
        <v>104432.5</v>
      </c>
      <c r="J98" s="1118">
        <v>0</v>
      </c>
      <c r="K98" s="1118">
        <v>85608.8</v>
      </c>
      <c r="L98" s="1118">
        <v>21402.2</v>
      </c>
      <c r="M98" s="1118">
        <v>0</v>
      </c>
      <c r="N98" s="1118">
        <v>0</v>
      </c>
      <c r="O98" s="1119">
        <f t="shared" si="23"/>
        <v>107011</v>
      </c>
      <c r="P98" s="1451">
        <v>-1446.62</v>
      </c>
      <c r="Q98" s="1444">
        <v>-1389.89</v>
      </c>
      <c r="R98" s="1444">
        <v>0</v>
      </c>
      <c r="S98" s="1444">
        <v>258.01</v>
      </c>
      <c r="T98" s="1444">
        <v>0</v>
      </c>
      <c r="U98" s="1450">
        <f t="shared" si="24"/>
        <v>-2578.5</v>
      </c>
      <c r="V98" s="1444"/>
      <c r="W98" s="1444"/>
      <c r="X98" s="1444"/>
      <c r="Y98" s="1444"/>
      <c r="Z98" s="1444"/>
      <c r="AA98" s="1444">
        <f t="shared" si="25"/>
        <v>0</v>
      </c>
      <c r="AB98" s="1100"/>
      <c r="AC98" s="1101"/>
      <c r="AD98" s="1101"/>
      <c r="AE98" s="1101"/>
      <c r="AF98" s="1101"/>
      <c r="AG98" s="1099">
        <f t="shared" si="26"/>
        <v>0</v>
      </c>
      <c r="AH98" s="1097"/>
      <c r="AI98" s="1098"/>
      <c r="AJ98" s="1098"/>
      <c r="AK98" s="1098"/>
      <c r="AL98" s="1098"/>
      <c r="AM98" s="1102">
        <f t="shared" si="27"/>
        <v>0</v>
      </c>
      <c r="AN98" s="1097"/>
      <c r="AO98" s="1098"/>
      <c r="AP98" s="1098"/>
      <c r="AQ98" s="1098"/>
      <c r="AR98" s="1098"/>
      <c r="AS98" s="1102">
        <f t="shared" si="28"/>
        <v>0</v>
      </c>
      <c r="AT98" s="1097"/>
      <c r="AU98" s="1098"/>
      <c r="AV98" s="1098"/>
      <c r="AW98" s="1098"/>
      <c r="AX98" s="1098"/>
      <c r="AY98" s="1102">
        <f t="shared" si="29"/>
        <v>0</v>
      </c>
    </row>
    <row r="99" spans="1:51" s="837" customFormat="1" x14ac:dyDescent="0.25">
      <c r="A99" s="1117" t="s">
        <v>246</v>
      </c>
      <c r="B99" s="1117" t="s">
        <v>310</v>
      </c>
      <c r="C99" s="1061" t="s">
        <v>264</v>
      </c>
      <c r="D99" s="1406">
        <f t="shared" si="17"/>
        <v>-633.92999999999995</v>
      </c>
      <c r="E99" s="1406">
        <f t="shared" si="18"/>
        <v>104382.68</v>
      </c>
      <c r="F99" s="1406">
        <f t="shared" si="19"/>
        <v>27873.25</v>
      </c>
      <c r="G99" s="1408">
        <f t="shared" si="20"/>
        <v>0</v>
      </c>
      <c r="H99" s="1411">
        <f t="shared" si="21"/>
        <v>27873.25</v>
      </c>
      <c r="I99" s="1412">
        <f t="shared" si="22"/>
        <v>131622</v>
      </c>
      <c r="J99" s="1118">
        <v>0</v>
      </c>
      <c r="K99" s="1118">
        <v>100348</v>
      </c>
      <c r="L99" s="1118">
        <v>25087</v>
      </c>
      <c r="M99" s="1118">
        <v>0</v>
      </c>
      <c r="N99" s="1118">
        <v>0</v>
      </c>
      <c r="O99" s="1119">
        <f t="shared" si="23"/>
        <v>125435</v>
      </c>
      <c r="P99" s="1451">
        <v>-633.92999999999995</v>
      </c>
      <c r="Q99" s="1444">
        <v>-609.07000000000005</v>
      </c>
      <c r="R99" s="1444">
        <v>0</v>
      </c>
      <c r="S99" s="1444">
        <v>0</v>
      </c>
      <c r="T99" s="1444">
        <v>0</v>
      </c>
      <c r="U99" s="1450">
        <f t="shared" si="24"/>
        <v>-1243</v>
      </c>
      <c r="V99" s="1444"/>
      <c r="W99" s="1444"/>
      <c r="X99" s="1444"/>
      <c r="Y99" s="1444"/>
      <c r="Z99" s="1444"/>
      <c r="AA99" s="1444">
        <f t="shared" si="25"/>
        <v>0</v>
      </c>
      <c r="AB99" s="1100">
        <v>0</v>
      </c>
      <c r="AC99" s="1101">
        <v>4643.75</v>
      </c>
      <c r="AD99" s="1101">
        <v>2786.25</v>
      </c>
      <c r="AE99" s="1101">
        <v>0</v>
      </c>
      <c r="AF99" s="1101">
        <v>0</v>
      </c>
      <c r="AG99" s="1099">
        <f t="shared" si="26"/>
        <v>7430</v>
      </c>
      <c r="AH99" s="1097"/>
      <c r="AI99" s="1098"/>
      <c r="AJ99" s="1098"/>
      <c r="AK99" s="1098"/>
      <c r="AL99" s="1098"/>
      <c r="AM99" s="1102">
        <f t="shared" si="27"/>
        <v>0</v>
      </c>
      <c r="AN99" s="1097"/>
      <c r="AO99" s="1098"/>
      <c r="AP99" s="1098"/>
      <c r="AQ99" s="1098"/>
      <c r="AR99" s="1098"/>
      <c r="AS99" s="1102">
        <f t="shared" si="28"/>
        <v>0</v>
      </c>
      <c r="AT99" s="1097"/>
      <c r="AU99" s="1098"/>
      <c r="AV99" s="1098"/>
      <c r="AW99" s="1098"/>
      <c r="AX99" s="1098"/>
      <c r="AY99" s="1102">
        <f t="shared" si="29"/>
        <v>0</v>
      </c>
    </row>
    <row r="100" spans="1:51" s="837" customFormat="1" x14ac:dyDescent="0.25">
      <c r="A100" s="1117" t="s">
        <v>14</v>
      </c>
      <c r="B100" s="1117" t="s">
        <v>15</v>
      </c>
      <c r="C100" s="1061" t="s">
        <v>267</v>
      </c>
      <c r="D100" s="1406">
        <f t="shared" si="17"/>
        <v>134821.51</v>
      </c>
      <c r="E100" s="1406">
        <f t="shared" si="18"/>
        <v>212283.98</v>
      </c>
      <c r="F100" s="1406">
        <f t="shared" si="19"/>
        <v>59007.8</v>
      </c>
      <c r="G100" s="1408">
        <f t="shared" si="20"/>
        <v>0.01</v>
      </c>
      <c r="H100" s="1411">
        <f t="shared" si="21"/>
        <v>59007.810000000005</v>
      </c>
      <c r="I100" s="1412">
        <f t="shared" si="22"/>
        <v>406113.3</v>
      </c>
      <c r="J100" s="1118">
        <v>0</v>
      </c>
      <c r="K100" s="1118">
        <v>197727.2</v>
      </c>
      <c r="L100" s="1118">
        <v>49431.8</v>
      </c>
      <c r="M100" s="1118">
        <v>0</v>
      </c>
      <c r="N100" s="1118">
        <v>0</v>
      </c>
      <c r="O100" s="1119">
        <f t="shared" si="23"/>
        <v>247159</v>
      </c>
      <c r="P100" s="1451">
        <v>-1460.49</v>
      </c>
      <c r="Q100" s="1444">
        <v>-1403.22</v>
      </c>
      <c r="R100" s="1444">
        <v>0</v>
      </c>
      <c r="S100" s="1444">
        <v>0.01</v>
      </c>
      <c r="T100" s="1444">
        <v>0</v>
      </c>
      <c r="U100" s="1450">
        <f t="shared" si="24"/>
        <v>-2863.7</v>
      </c>
      <c r="V100" s="1444"/>
      <c r="W100" s="1444"/>
      <c r="X100" s="1444"/>
      <c r="Y100" s="1444"/>
      <c r="Z100" s="1444"/>
      <c r="AA100" s="1444">
        <f t="shared" si="25"/>
        <v>0</v>
      </c>
      <c r="AB100" s="1100">
        <v>0</v>
      </c>
      <c r="AC100" s="1101">
        <v>15960</v>
      </c>
      <c r="AD100" s="1101">
        <v>9576</v>
      </c>
      <c r="AE100" s="1101">
        <v>0</v>
      </c>
      <c r="AF100" s="1101">
        <v>0</v>
      </c>
      <c r="AG100" s="1099">
        <f t="shared" si="26"/>
        <v>25536</v>
      </c>
      <c r="AH100" s="1100">
        <v>136282</v>
      </c>
      <c r="AI100" s="1101">
        <v>0</v>
      </c>
      <c r="AJ100" s="1101">
        <v>0</v>
      </c>
      <c r="AK100" s="1101">
        <v>0</v>
      </c>
      <c r="AL100" s="1101">
        <v>0</v>
      </c>
      <c r="AM100" s="1102">
        <f t="shared" si="27"/>
        <v>136282</v>
      </c>
      <c r="AN100" s="1100"/>
      <c r="AO100" s="1101"/>
      <c r="AP100" s="1101"/>
      <c r="AQ100" s="1101"/>
      <c r="AR100" s="1101"/>
      <c r="AS100" s="1102">
        <f t="shared" si="28"/>
        <v>0</v>
      </c>
      <c r="AT100" s="1100"/>
      <c r="AU100" s="1101"/>
      <c r="AV100" s="1101"/>
      <c r="AW100" s="1101"/>
      <c r="AX100" s="1101"/>
      <c r="AY100" s="1102">
        <f t="shared" si="29"/>
        <v>0</v>
      </c>
    </row>
    <row r="101" spans="1:51" s="837" customFormat="1" x14ac:dyDescent="0.25">
      <c r="A101" s="1117" t="s">
        <v>34</v>
      </c>
      <c r="B101" s="1117" t="s">
        <v>35</v>
      </c>
      <c r="C101" s="1061" t="s">
        <v>268</v>
      </c>
      <c r="D101" s="1406">
        <f t="shared" si="17"/>
        <v>0</v>
      </c>
      <c r="E101" s="1406">
        <f t="shared" si="18"/>
        <v>213892.6</v>
      </c>
      <c r="F101" s="1406">
        <f t="shared" si="19"/>
        <v>53554.400000000001</v>
      </c>
      <c r="G101" s="1408">
        <f t="shared" si="20"/>
        <v>0</v>
      </c>
      <c r="H101" s="1411">
        <f t="shared" si="21"/>
        <v>53554.400000000001</v>
      </c>
      <c r="I101" s="1412">
        <f t="shared" si="22"/>
        <v>267447</v>
      </c>
      <c r="J101" s="1118">
        <v>0</v>
      </c>
      <c r="K101" s="1118">
        <v>214217.60000000001</v>
      </c>
      <c r="L101" s="1118">
        <v>53554.400000000001</v>
      </c>
      <c r="M101" s="1118">
        <v>0</v>
      </c>
      <c r="N101" s="1118">
        <v>0</v>
      </c>
      <c r="O101" s="1119">
        <f t="shared" si="23"/>
        <v>267772</v>
      </c>
      <c r="P101" s="1451"/>
      <c r="Q101" s="1444"/>
      <c r="R101" s="1444"/>
      <c r="S101" s="1444"/>
      <c r="T101" s="1444"/>
      <c r="U101" s="1450">
        <f t="shared" si="24"/>
        <v>0</v>
      </c>
      <c r="V101" s="1444"/>
      <c r="W101" s="1444"/>
      <c r="X101" s="1444"/>
      <c r="Y101" s="1444"/>
      <c r="Z101" s="1444"/>
      <c r="AA101" s="1444">
        <f t="shared" si="25"/>
        <v>0</v>
      </c>
      <c r="AB101" s="1097"/>
      <c r="AC101" s="1098"/>
      <c r="AD101" s="1098"/>
      <c r="AE101" s="1098"/>
      <c r="AF101" s="1098"/>
      <c r="AG101" s="1099">
        <f t="shared" si="26"/>
        <v>0</v>
      </c>
      <c r="AH101" s="1097"/>
      <c r="AI101" s="1098"/>
      <c r="AJ101" s="1098"/>
      <c r="AK101" s="1098"/>
      <c r="AL101" s="1098"/>
      <c r="AM101" s="1102">
        <f t="shared" si="27"/>
        <v>0</v>
      </c>
      <c r="AN101" s="1097">
        <v>0</v>
      </c>
      <c r="AO101" s="1098">
        <v>-325</v>
      </c>
      <c r="AP101" s="1098">
        <v>0</v>
      </c>
      <c r="AQ101" s="1098">
        <v>0</v>
      </c>
      <c r="AR101" s="1098">
        <v>0</v>
      </c>
      <c r="AS101" s="1102">
        <f t="shared" si="28"/>
        <v>-325</v>
      </c>
      <c r="AT101" s="1097"/>
      <c r="AU101" s="1098"/>
      <c r="AV101" s="1098"/>
      <c r="AW101" s="1098"/>
      <c r="AX101" s="1098"/>
      <c r="AY101" s="1102">
        <f t="shared" si="29"/>
        <v>0</v>
      </c>
    </row>
    <row r="102" spans="1:51" s="837" customFormat="1" x14ac:dyDescent="0.25">
      <c r="A102" s="1117" t="s">
        <v>52</v>
      </c>
      <c r="B102" s="1117" t="s">
        <v>53</v>
      </c>
      <c r="C102" s="1061" t="s">
        <v>265</v>
      </c>
      <c r="D102" s="1406">
        <f t="shared" si="17"/>
        <v>19461.8</v>
      </c>
      <c r="E102" s="1406">
        <f t="shared" si="18"/>
        <v>232230.61000000002</v>
      </c>
      <c r="F102" s="1406">
        <f t="shared" si="19"/>
        <v>60371.3</v>
      </c>
      <c r="G102" s="1408">
        <f t="shared" si="20"/>
        <v>-392.47</v>
      </c>
      <c r="H102" s="1411">
        <f t="shared" si="21"/>
        <v>59978.83</v>
      </c>
      <c r="I102" s="1412">
        <f t="shared" si="22"/>
        <v>311671.24000000005</v>
      </c>
      <c r="J102" s="1118">
        <v>0</v>
      </c>
      <c r="K102" s="1118">
        <v>225651.20000000001</v>
      </c>
      <c r="L102" s="1118">
        <v>56412.800000000003</v>
      </c>
      <c r="M102" s="1118">
        <v>0</v>
      </c>
      <c r="N102" s="1118">
        <v>0</v>
      </c>
      <c r="O102" s="1119">
        <f t="shared" si="23"/>
        <v>282064</v>
      </c>
      <c r="P102" s="1451">
        <v>-1518.2</v>
      </c>
      <c r="Q102" s="1444">
        <v>-1458.69</v>
      </c>
      <c r="R102" s="1444">
        <v>0</v>
      </c>
      <c r="S102" s="1444">
        <v>-692.47</v>
      </c>
      <c r="T102" s="1444">
        <v>0</v>
      </c>
      <c r="U102" s="1450">
        <f t="shared" si="24"/>
        <v>-3669.3600000000006</v>
      </c>
      <c r="V102" s="1444"/>
      <c r="W102" s="1444"/>
      <c r="X102" s="1444"/>
      <c r="Y102" s="1444"/>
      <c r="Z102" s="1444"/>
      <c r="AA102" s="1444">
        <f t="shared" si="25"/>
        <v>0</v>
      </c>
      <c r="AB102" s="1100">
        <v>0</v>
      </c>
      <c r="AC102" s="1101">
        <v>6597.5</v>
      </c>
      <c r="AD102" s="1101">
        <v>3958.5</v>
      </c>
      <c r="AE102" s="1101">
        <v>0</v>
      </c>
      <c r="AF102" s="1101">
        <v>0</v>
      </c>
      <c r="AG102" s="1099">
        <f t="shared" si="26"/>
        <v>10556</v>
      </c>
      <c r="AH102" s="1100">
        <v>20980</v>
      </c>
      <c r="AI102" s="1101">
        <v>0</v>
      </c>
      <c r="AJ102" s="1101">
        <v>0</v>
      </c>
      <c r="AK102" s="1101">
        <v>0</v>
      </c>
      <c r="AL102" s="1101">
        <v>0</v>
      </c>
      <c r="AM102" s="1102">
        <f t="shared" si="27"/>
        <v>20980</v>
      </c>
      <c r="AN102" s="1100">
        <v>0</v>
      </c>
      <c r="AO102" s="1101">
        <v>1440.6</v>
      </c>
      <c r="AP102" s="1101">
        <v>0</v>
      </c>
      <c r="AQ102" s="1101">
        <v>300</v>
      </c>
      <c r="AR102" s="1101">
        <v>0</v>
      </c>
      <c r="AS102" s="1102">
        <f t="shared" si="28"/>
        <v>1740.6</v>
      </c>
      <c r="AT102" s="1100"/>
      <c r="AU102" s="1101"/>
      <c r="AV102" s="1101"/>
      <c r="AW102" s="1101"/>
      <c r="AX102" s="1101"/>
      <c r="AY102" s="1102">
        <f t="shared" si="29"/>
        <v>0</v>
      </c>
    </row>
    <row r="103" spans="1:51" s="837" customFormat="1" x14ac:dyDescent="0.25">
      <c r="A103" s="1117" t="s">
        <v>54</v>
      </c>
      <c r="B103" s="1117" t="s">
        <v>55</v>
      </c>
      <c r="C103" s="1061" t="s">
        <v>264</v>
      </c>
      <c r="D103" s="1406">
        <f t="shared" si="17"/>
        <v>-393.57000000000016</v>
      </c>
      <c r="E103" s="1406">
        <f t="shared" si="18"/>
        <v>498247.92000000004</v>
      </c>
      <c r="F103" s="1406">
        <f t="shared" si="19"/>
        <v>125155.16</v>
      </c>
      <c r="G103" s="1408">
        <f t="shared" si="20"/>
        <v>-1879.44</v>
      </c>
      <c r="H103" s="1411">
        <f t="shared" si="21"/>
        <v>123275.72</v>
      </c>
      <c r="I103" s="1412">
        <f t="shared" si="22"/>
        <v>621130.07000000007</v>
      </c>
      <c r="J103" s="1118">
        <v>0</v>
      </c>
      <c r="K103" s="1118">
        <v>500620.64</v>
      </c>
      <c r="L103" s="1118">
        <v>125155.16</v>
      </c>
      <c r="M103" s="1118">
        <v>0</v>
      </c>
      <c r="N103" s="1118">
        <v>0</v>
      </c>
      <c r="O103" s="1119">
        <f t="shared" si="23"/>
        <v>625775.80000000005</v>
      </c>
      <c r="P103" s="1451">
        <v>-2469.5700000000002</v>
      </c>
      <c r="Q103" s="1444">
        <v>-2372.7199999999998</v>
      </c>
      <c r="R103" s="1444">
        <v>0</v>
      </c>
      <c r="S103" s="1444">
        <v>-1879.44</v>
      </c>
      <c r="T103" s="1444">
        <v>0</v>
      </c>
      <c r="U103" s="1450">
        <f t="shared" si="24"/>
        <v>-6721.73</v>
      </c>
      <c r="V103" s="1444"/>
      <c r="W103" s="1444"/>
      <c r="X103" s="1444"/>
      <c r="Y103" s="1444"/>
      <c r="Z103" s="1444"/>
      <c r="AA103" s="1444">
        <f t="shared" si="25"/>
        <v>0</v>
      </c>
      <c r="AB103" s="1100"/>
      <c r="AC103" s="1101"/>
      <c r="AD103" s="1101"/>
      <c r="AE103" s="1101"/>
      <c r="AF103" s="1101"/>
      <c r="AG103" s="1099">
        <f t="shared" si="26"/>
        <v>0</v>
      </c>
      <c r="AH103" s="1100">
        <v>2076</v>
      </c>
      <c r="AI103" s="1101">
        <v>0</v>
      </c>
      <c r="AJ103" s="1101">
        <v>0</v>
      </c>
      <c r="AK103" s="1101">
        <v>0</v>
      </c>
      <c r="AL103" s="1101">
        <v>0</v>
      </c>
      <c r="AM103" s="1102">
        <f t="shared" si="27"/>
        <v>2076</v>
      </c>
      <c r="AN103" s="1100"/>
      <c r="AO103" s="1101"/>
      <c r="AP103" s="1101"/>
      <c r="AQ103" s="1101"/>
      <c r="AR103" s="1101"/>
      <c r="AS103" s="1102">
        <f t="shared" si="28"/>
        <v>0</v>
      </c>
      <c r="AT103" s="1100"/>
      <c r="AU103" s="1101"/>
      <c r="AV103" s="1101"/>
      <c r="AW103" s="1101"/>
      <c r="AX103" s="1101"/>
      <c r="AY103" s="1102">
        <f t="shared" si="29"/>
        <v>0</v>
      </c>
    </row>
    <row r="104" spans="1:51" s="837" customFormat="1" x14ac:dyDescent="0.25">
      <c r="A104" s="1117" t="s">
        <v>66</v>
      </c>
      <c r="B104" s="1117" t="s">
        <v>67</v>
      </c>
      <c r="C104" s="1061" t="s">
        <v>265</v>
      </c>
      <c r="D104" s="1406">
        <f t="shared" si="17"/>
        <v>-1022.35</v>
      </c>
      <c r="E104" s="1406">
        <f t="shared" si="18"/>
        <v>285526.53999999998</v>
      </c>
      <c r="F104" s="1406">
        <f t="shared" si="19"/>
        <v>71670.2</v>
      </c>
      <c r="G104" s="1408">
        <f t="shared" si="20"/>
        <v>0</v>
      </c>
      <c r="H104" s="1411">
        <f t="shared" si="21"/>
        <v>71670.2</v>
      </c>
      <c r="I104" s="1412">
        <f t="shared" si="22"/>
        <v>356174.39</v>
      </c>
      <c r="J104" s="1118">
        <v>0</v>
      </c>
      <c r="K104" s="1118">
        <v>286680.8</v>
      </c>
      <c r="L104" s="1118">
        <v>71670.2</v>
      </c>
      <c r="M104" s="1118">
        <v>0</v>
      </c>
      <c r="N104" s="1118">
        <v>0</v>
      </c>
      <c r="O104" s="1119">
        <f t="shared" si="23"/>
        <v>358351</v>
      </c>
      <c r="P104" s="1451">
        <v>-1022.35</v>
      </c>
      <c r="Q104" s="1444">
        <v>-982.26</v>
      </c>
      <c r="R104" s="1444">
        <v>0</v>
      </c>
      <c r="S104" s="1444">
        <v>0</v>
      </c>
      <c r="T104" s="1444">
        <v>0</v>
      </c>
      <c r="U104" s="1450">
        <f t="shared" si="24"/>
        <v>-2004.6100000000001</v>
      </c>
      <c r="V104" s="1444"/>
      <c r="W104" s="1444"/>
      <c r="X104" s="1444"/>
      <c r="Y104" s="1444"/>
      <c r="Z104" s="1444"/>
      <c r="AA104" s="1444">
        <f t="shared" si="25"/>
        <v>0</v>
      </c>
      <c r="AB104" s="1097"/>
      <c r="AC104" s="1098"/>
      <c r="AD104" s="1098"/>
      <c r="AE104" s="1098"/>
      <c r="AF104" s="1098"/>
      <c r="AG104" s="1099">
        <f t="shared" si="26"/>
        <v>0</v>
      </c>
      <c r="AH104" s="1097"/>
      <c r="AI104" s="1098"/>
      <c r="AJ104" s="1098"/>
      <c r="AK104" s="1098"/>
      <c r="AL104" s="1098"/>
      <c r="AM104" s="1102">
        <f t="shared" si="27"/>
        <v>0</v>
      </c>
      <c r="AN104" s="1097">
        <v>0</v>
      </c>
      <c r="AO104" s="1098">
        <v>-172</v>
      </c>
      <c r="AP104" s="1098">
        <v>0</v>
      </c>
      <c r="AQ104" s="1098">
        <v>0</v>
      </c>
      <c r="AR104" s="1098">
        <v>0</v>
      </c>
      <c r="AS104" s="1102">
        <f t="shared" si="28"/>
        <v>-172</v>
      </c>
      <c r="AT104" s="1097"/>
      <c r="AU104" s="1098"/>
      <c r="AV104" s="1098"/>
      <c r="AW104" s="1098"/>
      <c r="AX104" s="1098"/>
      <c r="AY104" s="1102">
        <f t="shared" si="29"/>
        <v>0</v>
      </c>
    </row>
    <row r="105" spans="1:51" s="837" customFormat="1" x14ac:dyDescent="0.25">
      <c r="A105" s="1117" t="s">
        <v>82</v>
      </c>
      <c r="B105" s="1117" t="s">
        <v>311</v>
      </c>
      <c r="C105" s="1061" t="s">
        <v>264</v>
      </c>
      <c r="D105" s="1406">
        <f t="shared" si="17"/>
        <v>0</v>
      </c>
      <c r="E105" s="1406">
        <f t="shared" si="18"/>
        <v>36617.599999999999</v>
      </c>
      <c r="F105" s="1406">
        <f t="shared" si="19"/>
        <v>9154.4</v>
      </c>
      <c r="G105" s="1408">
        <f t="shared" si="20"/>
        <v>0</v>
      </c>
      <c r="H105" s="1411">
        <f t="shared" si="21"/>
        <v>9154.4</v>
      </c>
      <c r="I105" s="1412">
        <f t="shared" si="22"/>
        <v>45772</v>
      </c>
      <c r="J105" s="1118">
        <v>0</v>
      </c>
      <c r="K105" s="1118">
        <v>36617.599999999999</v>
      </c>
      <c r="L105" s="1118">
        <v>9154.4</v>
      </c>
      <c r="M105" s="1118">
        <v>0</v>
      </c>
      <c r="N105" s="1118">
        <v>0</v>
      </c>
      <c r="O105" s="1119">
        <f t="shared" si="23"/>
        <v>45772</v>
      </c>
      <c r="P105" s="1451"/>
      <c r="Q105" s="1444"/>
      <c r="R105" s="1444"/>
      <c r="S105" s="1444"/>
      <c r="T105" s="1444"/>
      <c r="U105" s="1450">
        <f t="shared" si="24"/>
        <v>0</v>
      </c>
      <c r="V105" s="1444"/>
      <c r="W105" s="1444"/>
      <c r="X105" s="1444"/>
      <c r="Y105" s="1444"/>
      <c r="Z105" s="1444"/>
      <c r="AA105" s="1444">
        <f t="shared" si="25"/>
        <v>0</v>
      </c>
      <c r="AB105" s="1097"/>
      <c r="AC105" s="1098"/>
      <c r="AD105" s="1098"/>
      <c r="AE105" s="1098"/>
      <c r="AF105" s="1098"/>
      <c r="AG105" s="1099">
        <f t="shared" si="26"/>
        <v>0</v>
      </c>
      <c r="AH105" s="1097"/>
      <c r="AI105" s="1098"/>
      <c r="AJ105" s="1098"/>
      <c r="AK105" s="1098"/>
      <c r="AL105" s="1098"/>
      <c r="AM105" s="1102">
        <f t="shared" si="27"/>
        <v>0</v>
      </c>
      <c r="AN105" s="1097"/>
      <c r="AO105" s="1098"/>
      <c r="AP105" s="1098"/>
      <c r="AQ105" s="1098"/>
      <c r="AR105" s="1098"/>
      <c r="AS105" s="1102">
        <f t="shared" si="28"/>
        <v>0</v>
      </c>
      <c r="AT105" s="1097"/>
      <c r="AU105" s="1098"/>
      <c r="AV105" s="1098"/>
      <c r="AW105" s="1098"/>
      <c r="AX105" s="1098"/>
      <c r="AY105" s="1102">
        <f t="shared" si="29"/>
        <v>0</v>
      </c>
    </row>
    <row r="106" spans="1:51" s="837" customFormat="1" x14ac:dyDescent="0.25">
      <c r="A106" s="1117" t="s">
        <v>88</v>
      </c>
      <c r="B106" s="1117" t="s">
        <v>89</v>
      </c>
      <c r="C106" s="1061" t="s">
        <v>267</v>
      </c>
      <c r="D106" s="1406">
        <f t="shared" si="17"/>
        <v>16051.06</v>
      </c>
      <c r="E106" s="1406">
        <f t="shared" si="18"/>
        <v>82243.61</v>
      </c>
      <c r="F106" s="1406">
        <f t="shared" si="19"/>
        <v>20697.8</v>
      </c>
      <c r="G106" s="1408">
        <f t="shared" si="20"/>
        <v>0</v>
      </c>
      <c r="H106" s="1411">
        <f t="shared" si="21"/>
        <v>20697.8</v>
      </c>
      <c r="I106" s="1412">
        <f t="shared" si="22"/>
        <v>118992.47</v>
      </c>
      <c r="J106" s="1118">
        <v>0</v>
      </c>
      <c r="K106" s="1118">
        <v>82791.199999999997</v>
      </c>
      <c r="L106" s="1118">
        <v>20697.8</v>
      </c>
      <c r="M106" s="1118">
        <v>0</v>
      </c>
      <c r="N106" s="1118">
        <v>0</v>
      </c>
      <c r="O106" s="1119">
        <f t="shared" si="23"/>
        <v>103489</v>
      </c>
      <c r="P106" s="1451">
        <v>-569.94000000000005</v>
      </c>
      <c r="Q106" s="1444">
        <v>-547.59</v>
      </c>
      <c r="R106" s="1444">
        <v>0</v>
      </c>
      <c r="S106" s="1444">
        <v>0</v>
      </c>
      <c r="T106" s="1444">
        <v>0</v>
      </c>
      <c r="U106" s="1450">
        <f t="shared" si="24"/>
        <v>-1117.5300000000002</v>
      </c>
      <c r="V106" s="1444"/>
      <c r="W106" s="1444"/>
      <c r="X106" s="1444"/>
      <c r="Y106" s="1444"/>
      <c r="Z106" s="1444"/>
      <c r="AA106" s="1444">
        <f t="shared" si="25"/>
        <v>0</v>
      </c>
      <c r="AB106" s="1097"/>
      <c r="AC106" s="1098"/>
      <c r="AD106" s="1098"/>
      <c r="AE106" s="1098"/>
      <c r="AF106" s="1098"/>
      <c r="AG106" s="1099">
        <f t="shared" si="26"/>
        <v>0</v>
      </c>
      <c r="AH106" s="1097">
        <v>16621</v>
      </c>
      <c r="AI106" s="1098">
        <v>0</v>
      </c>
      <c r="AJ106" s="1098">
        <v>0</v>
      </c>
      <c r="AK106" s="1098">
        <v>0</v>
      </c>
      <c r="AL106" s="1098">
        <v>0</v>
      </c>
      <c r="AM106" s="1102">
        <f t="shared" si="27"/>
        <v>16621</v>
      </c>
      <c r="AN106" s="1097"/>
      <c r="AO106" s="1098"/>
      <c r="AP106" s="1098"/>
      <c r="AQ106" s="1098"/>
      <c r="AR106" s="1098"/>
      <c r="AS106" s="1102">
        <f t="shared" si="28"/>
        <v>0</v>
      </c>
      <c r="AT106" s="1097"/>
      <c r="AU106" s="1098"/>
      <c r="AV106" s="1098"/>
      <c r="AW106" s="1098"/>
      <c r="AX106" s="1098"/>
      <c r="AY106" s="1102">
        <f t="shared" si="29"/>
        <v>0</v>
      </c>
    </row>
    <row r="107" spans="1:51" s="837" customFormat="1" x14ac:dyDescent="0.25">
      <c r="A107" s="1117" t="s">
        <v>90</v>
      </c>
      <c r="B107" s="1117" t="s">
        <v>91</v>
      </c>
      <c r="C107" s="1061" t="s">
        <v>268</v>
      </c>
      <c r="D107" s="1406">
        <f t="shared" si="17"/>
        <v>0</v>
      </c>
      <c r="E107" s="1406">
        <f t="shared" si="18"/>
        <v>56814.400000000001</v>
      </c>
      <c r="F107" s="1406">
        <f t="shared" si="19"/>
        <v>14203.6</v>
      </c>
      <c r="G107" s="1408">
        <f t="shared" si="20"/>
        <v>0</v>
      </c>
      <c r="H107" s="1411">
        <f t="shared" si="21"/>
        <v>14203.6</v>
      </c>
      <c r="I107" s="1412">
        <f t="shared" si="22"/>
        <v>71018</v>
      </c>
      <c r="J107" s="1118">
        <v>0</v>
      </c>
      <c r="K107" s="1118">
        <v>56814.400000000001</v>
      </c>
      <c r="L107" s="1118">
        <v>14203.6</v>
      </c>
      <c r="M107" s="1118">
        <v>0</v>
      </c>
      <c r="N107" s="1118">
        <v>0</v>
      </c>
      <c r="O107" s="1119">
        <f t="shared" si="23"/>
        <v>71018</v>
      </c>
      <c r="P107" s="1451"/>
      <c r="Q107" s="1444"/>
      <c r="R107" s="1444"/>
      <c r="S107" s="1444"/>
      <c r="T107" s="1444"/>
      <c r="U107" s="1450">
        <f t="shared" si="24"/>
        <v>0</v>
      </c>
      <c r="V107" s="1444"/>
      <c r="W107" s="1444"/>
      <c r="X107" s="1444"/>
      <c r="Y107" s="1444"/>
      <c r="Z107" s="1444"/>
      <c r="AA107" s="1444">
        <f t="shared" si="25"/>
        <v>0</v>
      </c>
      <c r="AB107" s="1097"/>
      <c r="AC107" s="1098"/>
      <c r="AD107" s="1098"/>
      <c r="AE107" s="1098"/>
      <c r="AF107" s="1098"/>
      <c r="AG107" s="1099">
        <f t="shared" si="26"/>
        <v>0</v>
      </c>
      <c r="AH107" s="1097"/>
      <c r="AI107" s="1098"/>
      <c r="AJ107" s="1098"/>
      <c r="AK107" s="1098"/>
      <c r="AL107" s="1098"/>
      <c r="AM107" s="1102">
        <f t="shared" si="27"/>
        <v>0</v>
      </c>
      <c r="AN107" s="1097"/>
      <c r="AO107" s="1098"/>
      <c r="AP107" s="1098"/>
      <c r="AQ107" s="1098"/>
      <c r="AR107" s="1098"/>
      <c r="AS107" s="1102">
        <f t="shared" si="28"/>
        <v>0</v>
      </c>
      <c r="AT107" s="1097"/>
      <c r="AU107" s="1098"/>
      <c r="AV107" s="1098"/>
      <c r="AW107" s="1098"/>
      <c r="AX107" s="1098"/>
      <c r="AY107" s="1102">
        <f t="shared" si="29"/>
        <v>0</v>
      </c>
    </row>
    <row r="108" spans="1:51" s="837" customFormat="1" x14ac:dyDescent="0.25">
      <c r="A108" s="1117" t="s">
        <v>106</v>
      </c>
      <c r="B108" s="1117" t="s">
        <v>107</v>
      </c>
      <c r="C108" s="1061" t="s">
        <v>264</v>
      </c>
      <c r="D108" s="1406">
        <f t="shared" si="17"/>
        <v>8600.39</v>
      </c>
      <c r="E108" s="1406">
        <f t="shared" si="18"/>
        <v>406233</v>
      </c>
      <c r="F108" s="1406">
        <f t="shared" si="19"/>
        <v>111010.05</v>
      </c>
      <c r="G108" s="1408">
        <f t="shared" si="20"/>
        <v>1428.83</v>
      </c>
      <c r="H108" s="1411">
        <f t="shared" si="21"/>
        <v>112438.88</v>
      </c>
      <c r="I108" s="1412">
        <f t="shared" si="22"/>
        <v>527272.27</v>
      </c>
      <c r="J108" s="1118">
        <v>0</v>
      </c>
      <c r="K108" s="1118">
        <v>386843.2</v>
      </c>
      <c r="L108" s="1118">
        <v>96710.8</v>
      </c>
      <c r="M108" s="1118">
        <v>0</v>
      </c>
      <c r="N108" s="1118">
        <v>0</v>
      </c>
      <c r="O108" s="1119">
        <f t="shared" si="23"/>
        <v>483554</v>
      </c>
      <c r="P108" s="1451">
        <v>-4623.6099999999997</v>
      </c>
      <c r="Q108" s="1444">
        <v>-4442.2700000000004</v>
      </c>
      <c r="R108" s="1444">
        <v>0</v>
      </c>
      <c r="S108" s="1444">
        <v>0</v>
      </c>
      <c r="T108" s="1444">
        <v>0</v>
      </c>
      <c r="U108" s="1450">
        <f t="shared" si="24"/>
        <v>-9065.880000000001</v>
      </c>
      <c r="V108" s="1444">
        <v>0</v>
      </c>
      <c r="W108" s="1444">
        <v>0</v>
      </c>
      <c r="X108" s="1444">
        <v>0</v>
      </c>
      <c r="Y108" s="1444">
        <v>1428.86</v>
      </c>
      <c r="Z108" s="1444">
        <v>0</v>
      </c>
      <c r="AA108" s="1444">
        <f t="shared" si="25"/>
        <v>1428.86</v>
      </c>
      <c r="AB108" s="1100">
        <v>0</v>
      </c>
      <c r="AC108" s="1101">
        <v>23832.07</v>
      </c>
      <c r="AD108" s="1101">
        <v>14299.25</v>
      </c>
      <c r="AE108" s="1101">
        <v>-0.03</v>
      </c>
      <c r="AF108" s="1101">
        <v>0</v>
      </c>
      <c r="AG108" s="1099">
        <f t="shared" si="26"/>
        <v>38131.29</v>
      </c>
      <c r="AH108" s="1100">
        <v>13224</v>
      </c>
      <c r="AI108" s="1101">
        <v>0</v>
      </c>
      <c r="AJ108" s="1101">
        <v>0</v>
      </c>
      <c r="AK108" s="1101">
        <v>0</v>
      </c>
      <c r="AL108" s="1101">
        <v>0</v>
      </c>
      <c r="AM108" s="1102">
        <f t="shared" si="27"/>
        <v>13224</v>
      </c>
      <c r="AN108" s="1100"/>
      <c r="AO108" s="1101"/>
      <c r="AP108" s="1101"/>
      <c r="AQ108" s="1101"/>
      <c r="AR108" s="1101"/>
      <c r="AS108" s="1102">
        <f t="shared" si="28"/>
        <v>0</v>
      </c>
      <c r="AT108" s="1100"/>
      <c r="AU108" s="1101"/>
      <c r="AV108" s="1101"/>
      <c r="AW108" s="1101"/>
      <c r="AX108" s="1101"/>
      <c r="AY108" s="1102">
        <f t="shared" si="29"/>
        <v>0</v>
      </c>
    </row>
    <row r="109" spans="1:51" s="837" customFormat="1" x14ac:dyDescent="0.25">
      <c r="A109" s="1117" t="s">
        <v>116</v>
      </c>
      <c r="B109" s="1117" t="s">
        <v>117</v>
      </c>
      <c r="C109" s="1061" t="s">
        <v>266</v>
      </c>
      <c r="D109" s="1406">
        <f t="shared" si="17"/>
        <v>0</v>
      </c>
      <c r="E109" s="1406">
        <f t="shared" si="18"/>
        <v>53941.599999999999</v>
      </c>
      <c r="F109" s="1406">
        <f t="shared" si="19"/>
        <v>13485.4</v>
      </c>
      <c r="G109" s="1408">
        <f t="shared" si="20"/>
        <v>0</v>
      </c>
      <c r="H109" s="1411">
        <f t="shared" si="21"/>
        <v>13485.4</v>
      </c>
      <c r="I109" s="1412">
        <f t="shared" si="22"/>
        <v>67427</v>
      </c>
      <c r="J109" s="1118">
        <v>0</v>
      </c>
      <c r="K109" s="1118">
        <v>53941.599999999999</v>
      </c>
      <c r="L109" s="1118">
        <v>13485.4</v>
      </c>
      <c r="M109" s="1118">
        <v>0</v>
      </c>
      <c r="N109" s="1118">
        <v>0</v>
      </c>
      <c r="O109" s="1119">
        <f t="shared" si="23"/>
        <v>67427</v>
      </c>
      <c r="P109" s="1451"/>
      <c r="Q109" s="1444"/>
      <c r="R109" s="1444"/>
      <c r="S109" s="1444"/>
      <c r="T109" s="1444"/>
      <c r="U109" s="1450">
        <f t="shared" si="24"/>
        <v>0</v>
      </c>
      <c r="V109" s="1444"/>
      <c r="W109" s="1444"/>
      <c r="X109" s="1444"/>
      <c r="Y109" s="1444"/>
      <c r="Z109" s="1444"/>
      <c r="AA109" s="1444">
        <f t="shared" si="25"/>
        <v>0</v>
      </c>
      <c r="AB109" s="1097"/>
      <c r="AC109" s="1098"/>
      <c r="AD109" s="1098"/>
      <c r="AE109" s="1098"/>
      <c r="AF109" s="1098"/>
      <c r="AG109" s="1099">
        <f t="shared" si="26"/>
        <v>0</v>
      </c>
      <c r="AH109" s="1097"/>
      <c r="AI109" s="1098"/>
      <c r="AJ109" s="1098"/>
      <c r="AK109" s="1098"/>
      <c r="AL109" s="1098"/>
      <c r="AM109" s="1102">
        <f t="shared" si="27"/>
        <v>0</v>
      </c>
      <c r="AN109" s="1097"/>
      <c r="AO109" s="1098"/>
      <c r="AP109" s="1098"/>
      <c r="AQ109" s="1098"/>
      <c r="AR109" s="1098"/>
      <c r="AS109" s="1102">
        <f t="shared" si="28"/>
        <v>0</v>
      </c>
      <c r="AT109" s="1097"/>
      <c r="AU109" s="1098"/>
      <c r="AV109" s="1098"/>
      <c r="AW109" s="1098"/>
      <c r="AX109" s="1098"/>
      <c r="AY109" s="1102">
        <f t="shared" si="29"/>
        <v>0</v>
      </c>
    </row>
    <row r="110" spans="1:51" s="837" customFormat="1" x14ac:dyDescent="0.25">
      <c r="A110" s="1117" t="s">
        <v>138</v>
      </c>
      <c r="B110" s="1117" t="s">
        <v>139</v>
      </c>
      <c r="C110" s="1061" t="s">
        <v>265</v>
      </c>
      <c r="D110" s="1406">
        <f t="shared" si="17"/>
        <v>455.87</v>
      </c>
      <c r="E110" s="1406">
        <f t="shared" si="18"/>
        <v>409972.71</v>
      </c>
      <c r="F110" s="1406">
        <f t="shared" si="19"/>
        <v>102383.67</v>
      </c>
      <c r="G110" s="1408">
        <f t="shared" si="20"/>
        <v>-893.88</v>
      </c>
      <c r="H110" s="1411">
        <f t="shared" si="21"/>
        <v>101489.79</v>
      </c>
      <c r="I110" s="1412">
        <f t="shared" si="22"/>
        <v>511918.37</v>
      </c>
      <c r="J110" s="1118">
        <v>0</v>
      </c>
      <c r="K110" s="1118">
        <v>409534.7</v>
      </c>
      <c r="L110" s="1118">
        <v>102383.67</v>
      </c>
      <c r="M110" s="1118">
        <v>0</v>
      </c>
      <c r="N110" s="1118">
        <v>0</v>
      </c>
      <c r="O110" s="1119">
        <f t="shared" si="23"/>
        <v>511918.37</v>
      </c>
      <c r="P110" s="1451">
        <v>455.87</v>
      </c>
      <c r="Q110" s="1444">
        <v>438.01</v>
      </c>
      <c r="R110" s="1444">
        <v>0</v>
      </c>
      <c r="S110" s="1444">
        <v>-893.88</v>
      </c>
      <c r="T110" s="1444">
        <v>0</v>
      </c>
      <c r="U110" s="1450">
        <f t="shared" si="24"/>
        <v>0</v>
      </c>
      <c r="V110" s="1444"/>
      <c r="W110" s="1444"/>
      <c r="X110" s="1444"/>
      <c r="Y110" s="1444"/>
      <c r="Z110" s="1444"/>
      <c r="AA110" s="1444">
        <f t="shared" si="25"/>
        <v>0</v>
      </c>
      <c r="AB110" s="1100"/>
      <c r="AC110" s="1101"/>
      <c r="AD110" s="1101"/>
      <c r="AE110" s="1101"/>
      <c r="AF110" s="1101"/>
      <c r="AG110" s="1099">
        <f t="shared" si="26"/>
        <v>0</v>
      </c>
      <c r="AH110" s="1100"/>
      <c r="AI110" s="1101"/>
      <c r="AJ110" s="1101"/>
      <c r="AK110" s="1101"/>
      <c r="AL110" s="1101"/>
      <c r="AM110" s="1102">
        <f t="shared" si="27"/>
        <v>0</v>
      </c>
      <c r="AN110" s="1100"/>
      <c r="AO110" s="1101"/>
      <c r="AP110" s="1101"/>
      <c r="AQ110" s="1101"/>
      <c r="AR110" s="1101"/>
      <c r="AS110" s="1102">
        <f t="shared" si="28"/>
        <v>0</v>
      </c>
      <c r="AT110" s="1100"/>
      <c r="AU110" s="1101"/>
      <c r="AV110" s="1101"/>
      <c r="AW110" s="1101"/>
      <c r="AX110" s="1101"/>
      <c r="AY110" s="1102">
        <f t="shared" si="29"/>
        <v>0</v>
      </c>
    </row>
    <row r="111" spans="1:51" s="837" customFormat="1" x14ac:dyDescent="0.25">
      <c r="A111" s="1117" t="s">
        <v>142</v>
      </c>
      <c r="B111" s="1117" t="s">
        <v>143</v>
      </c>
      <c r="C111" s="1061" t="s">
        <v>267</v>
      </c>
      <c r="D111" s="1406">
        <f t="shared" si="17"/>
        <v>13552</v>
      </c>
      <c r="E111" s="1406">
        <f t="shared" si="18"/>
        <v>10704.8</v>
      </c>
      <c r="F111" s="1406">
        <f t="shared" si="19"/>
        <v>2676.2</v>
      </c>
      <c r="G111" s="1408">
        <f t="shared" si="20"/>
        <v>-12</v>
      </c>
      <c r="H111" s="1411">
        <f t="shared" si="21"/>
        <v>2664.2</v>
      </c>
      <c r="I111" s="1412">
        <f t="shared" si="22"/>
        <v>26921</v>
      </c>
      <c r="J111" s="1118">
        <v>0</v>
      </c>
      <c r="K111" s="1118">
        <v>10704.8</v>
      </c>
      <c r="L111" s="1118">
        <v>2676.2</v>
      </c>
      <c r="M111" s="1118">
        <v>0</v>
      </c>
      <c r="N111" s="1118">
        <v>0</v>
      </c>
      <c r="O111" s="1119">
        <f t="shared" si="23"/>
        <v>13381</v>
      </c>
      <c r="P111" s="1451">
        <v>0</v>
      </c>
      <c r="Q111" s="1444">
        <v>0</v>
      </c>
      <c r="R111" s="1444">
        <v>0</v>
      </c>
      <c r="S111" s="1444">
        <v>-12</v>
      </c>
      <c r="T111" s="1444">
        <v>0</v>
      </c>
      <c r="U111" s="1450">
        <f t="shared" si="24"/>
        <v>-12</v>
      </c>
      <c r="V111" s="1444"/>
      <c r="W111" s="1444"/>
      <c r="X111" s="1444"/>
      <c r="Y111" s="1444"/>
      <c r="Z111" s="1444"/>
      <c r="AA111" s="1444">
        <f t="shared" si="25"/>
        <v>0</v>
      </c>
      <c r="AB111" s="1100"/>
      <c r="AC111" s="1101"/>
      <c r="AD111" s="1101"/>
      <c r="AE111" s="1101"/>
      <c r="AF111" s="1101"/>
      <c r="AG111" s="1099">
        <f t="shared" si="26"/>
        <v>0</v>
      </c>
      <c r="AH111" s="1100">
        <v>13552</v>
      </c>
      <c r="AI111" s="1101">
        <v>0</v>
      </c>
      <c r="AJ111" s="1101">
        <v>0</v>
      </c>
      <c r="AK111" s="1101">
        <v>0</v>
      </c>
      <c r="AL111" s="1101">
        <v>0</v>
      </c>
      <c r="AM111" s="1102">
        <f t="shared" si="27"/>
        <v>13552</v>
      </c>
      <c r="AN111" s="1100"/>
      <c r="AO111" s="1101"/>
      <c r="AP111" s="1101"/>
      <c r="AQ111" s="1101"/>
      <c r="AR111" s="1101"/>
      <c r="AS111" s="1102">
        <f t="shared" si="28"/>
        <v>0</v>
      </c>
      <c r="AT111" s="1100"/>
      <c r="AU111" s="1101"/>
      <c r="AV111" s="1101"/>
      <c r="AW111" s="1101"/>
      <c r="AX111" s="1101"/>
      <c r="AY111" s="1102">
        <f t="shared" si="29"/>
        <v>0</v>
      </c>
    </row>
    <row r="112" spans="1:51" s="837" customFormat="1" x14ac:dyDescent="0.25">
      <c r="A112" s="1117" t="s">
        <v>144</v>
      </c>
      <c r="B112" s="1117" t="s">
        <v>145</v>
      </c>
      <c r="C112" s="1061" t="s">
        <v>267</v>
      </c>
      <c r="D112" s="1406">
        <f t="shared" si="17"/>
        <v>3350.52</v>
      </c>
      <c r="E112" s="1406">
        <f t="shared" si="18"/>
        <v>6809.8799999999992</v>
      </c>
      <c r="F112" s="1406">
        <f t="shared" si="19"/>
        <v>1769.6</v>
      </c>
      <c r="G112" s="1408">
        <f t="shared" si="20"/>
        <v>0</v>
      </c>
      <c r="H112" s="1411">
        <f t="shared" si="21"/>
        <v>1769.6</v>
      </c>
      <c r="I112" s="1412">
        <f t="shared" si="22"/>
        <v>11930</v>
      </c>
      <c r="J112" s="1118">
        <v>0</v>
      </c>
      <c r="K112" s="1118">
        <v>7078.4</v>
      </c>
      <c r="L112" s="1118">
        <v>1769.6</v>
      </c>
      <c r="M112" s="1118">
        <v>0</v>
      </c>
      <c r="N112" s="1118">
        <v>0</v>
      </c>
      <c r="O112" s="1119">
        <f t="shared" si="23"/>
        <v>8848</v>
      </c>
      <c r="P112" s="1451">
        <v>-279.48</v>
      </c>
      <c r="Q112" s="1444">
        <v>-268.52</v>
      </c>
      <c r="R112" s="1444">
        <v>0</v>
      </c>
      <c r="S112" s="1444">
        <v>0</v>
      </c>
      <c r="T112" s="1444">
        <v>0</v>
      </c>
      <c r="U112" s="1450">
        <f t="shared" si="24"/>
        <v>-548</v>
      </c>
      <c r="V112" s="1444"/>
      <c r="W112" s="1444"/>
      <c r="X112" s="1444"/>
      <c r="Y112" s="1444"/>
      <c r="Z112" s="1444"/>
      <c r="AA112" s="1444">
        <f t="shared" si="25"/>
        <v>0</v>
      </c>
      <c r="AB112" s="1097"/>
      <c r="AC112" s="1098"/>
      <c r="AD112" s="1098"/>
      <c r="AE112" s="1098"/>
      <c r="AF112" s="1098"/>
      <c r="AG112" s="1099">
        <f t="shared" si="26"/>
        <v>0</v>
      </c>
      <c r="AH112" s="1097">
        <v>3630</v>
      </c>
      <c r="AI112" s="1098">
        <v>0</v>
      </c>
      <c r="AJ112" s="1098">
        <v>0</v>
      </c>
      <c r="AK112" s="1098">
        <v>0</v>
      </c>
      <c r="AL112" s="1098">
        <v>0</v>
      </c>
      <c r="AM112" s="1102">
        <f t="shared" si="27"/>
        <v>3630</v>
      </c>
      <c r="AN112" s="1097"/>
      <c r="AO112" s="1098"/>
      <c r="AP112" s="1098"/>
      <c r="AQ112" s="1098"/>
      <c r="AR112" s="1098"/>
      <c r="AS112" s="1102">
        <f t="shared" si="28"/>
        <v>0</v>
      </c>
      <c r="AT112" s="1097"/>
      <c r="AU112" s="1098"/>
      <c r="AV112" s="1098"/>
      <c r="AW112" s="1098"/>
      <c r="AX112" s="1098"/>
      <c r="AY112" s="1102">
        <f t="shared" si="29"/>
        <v>0</v>
      </c>
    </row>
    <row r="113" spans="1:51" s="837" customFormat="1" x14ac:dyDescent="0.25">
      <c r="A113" s="1117" t="s">
        <v>158</v>
      </c>
      <c r="B113" s="1117" t="s">
        <v>159</v>
      </c>
      <c r="C113" s="1061" t="s">
        <v>264</v>
      </c>
      <c r="D113" s="1406">
        <f t="shared" si="17"/>
        <v>67856.28</v>
      </c>
      <c r="E113" s="1406">
        <f t="shared" si="18"/>
        <v>445549.98999999993</v>
      </c>
      <c r="F113" s="1406">
        <f t="shared" si="19"/>
        <v>113932.66</v>
      </c>
      <c r="G113" s="1408">
        <f t="shared" si="20"/>
        <v>813.05</v>
      </c>
      <c r="H113" s="1411">
        <f t="shared" si="21"/>
        <v>114745.71</v>
      </c>
      <c r="I113" s="1412">
        <f t="shared" si="22"/>
        <v>628151.98</v>
      </c>
      <c r="J113" s="1118">
        <v>0</v>
      </c>
      <c r="K113" s="1118">
        <v>446264.23</v>
      </c>
      <c r="L113" s="1118">
        <v>111566.06</v>
      </c>
      <c r="M113" s="1118">
        <v>0</v>
      </c>
      <c r="N113" s="1118">
        <v>0</v>
      </c>
      <c r="O113" s="1119">
        <f t="shared" si="23"/>
        <v>557830.29</v>
      </c>
      <c r="P113" s="1451">
        <v>-5103.72</v>
      </c>
      <c r="Q113" s="1444">
        <v>-4903.59</v>
      </c>
      <c r="R113" s="1444">
        <v>0</v>
      </c>
      <c r="S113" s="1444">
        <v>0</v>
      </c>
      <c r="T113" s="1444">
        <v>0</v>
      </c>
      <c r="U113" s="1450">
        <f t="shared" si="24"/>
        <v>-10007.310000000001</v>
      </c>
      <c r="V113" s="1444">
        <v>255</v>
      </c>
      <c r="W113" s="1444">
        <v>245</v>
      </c>
      <c r="X113" s="1444">
        <v>0</v>
      </c>
      <c r="Y113" s="1444">
        <v>0</v>
      </c>
      <c r="Z113" s="1444">
        <v>0</v>
      </c>
      <c r="AA113" s="1444">
        <f t="shared" si="25"/>
        <v>500</v>
      </c>
      <c r="AB113" s="1100">
        <v>0</v>
      </c>
      <c r="AC113" s="1101">
        <v>3944.35</v>
      </c>
      <c r="AD113" s="1101">
        <v>2366.6</v>
      </c>
      <c r="AE113" s="1101">
        <v>0.05</v>
      </c>
      <c r="AF113" s="1101">
        <v>813</v>
      </c>
      <c r="AG113" s="1099">
        <f t="shared" si="26"/>
        <v>7124</v>
      </c>
      <c r="AH113" s="1100">
        <v>72705</v>
      </c>
      <c r="AI113" s="1101">
        <v>0</v>
      </c>
      <c r="AJ113" s="1101">
        <v>0</v>
      </c>
      <c r="AK113" s="1101">
        <v>0</v>
      </c>
      <c r="AL113" s="1101">
        <v>0</v>
      </c>
      <c r="AM113" s="1102">
        <f t="shared" si="27"/>
        <v>72705</v>
      </c>
      <c r="AN113" s="1100"/>
      <c r="AO113" s="1101"/>
      <c r="AP113" s="1101"/>
      <c r="AQ113" s="1101"/>
      <c r="AR113" s="1101"/>
      <c r="AS113" s="1102">
        <f t="shared" si="28"/>
        <v>0</v>
      </c>
      <c r="AT113" s="1100"/>
      <c r="AU113" s="1101"/>
      <c r="AV113" s="1101"/>
      <c r="AW113" s="1101"/>
      <c r="AX113" s="1101"/>
      <c r="AY113" s="1102">
        <f t="shared" si="29"/>
        <v>0</v>
      </c>
    </row>
    <row r="114" spans="1:51" s="837" customFormat="1" x14ac:dyDescent="0.25">
      <c r="A114" s="1117" t="s">
        <v>160</v>
      </c>
      <c r="B114" s="1117" t="s">
        <v>161</v>
      </c>
      <c r="C114" s="1061" t="s">
        <v>264</v>
      </c>
      <c r="D114" s="1406">
        <f t="shared" si="17"/>
        <v>259532</v>
      </c>
      <c r="E114" s="1406">
        <f t="shared" si="18"/>
        <v>832323.15999999992</v>
      </c>
      <c r="F114" s="1406">
        <f t="shared" si="19"/>
        <v>216427.63</v>
      </c>
      <c r="G114" s="1408">
        <f t="shared" si="20"/>
        <v>-1064.8699999999999</v>
      </c>
      <c r="H114" s="1411">
        <f t="shared" si="21"/>
        <v>215362.76</v>
      </c>
      <c r="I114" s="1412">
        <f t="shared" si="22"/>
        <v>1307217.9199999999</v>
      </c>
      <c r="J114" s="1118">
        <v>0</v>
      </c>
      <c r="K114" s="1118">
        <v>811287.01</v>
      </c>
      <c r="L114" s="1118">
        <v>202821.75</v>
      </c>
      <c r="M114" s="1118">
        <v>0</v>
      </c>
      <c r="N114" s="1118">
        <v>0</v>
      </c>
      <c r="O114" s="1119">
        <f t="shared" si="23"/>
        <v>1014108.76</v>
      </c>
      <c r="P114" s="1451">
        <v>-1707.26</v>
      </c>
      <c r="Q114" s="1444">
        <v>-1640.31</v>
      </c>
      <c r="R114" s="1444">
        <v>0</v>
      </c>
      <c r="S114" s="1444">
        <v>-1064.8699999999999</v>
      </c>
      <c r="T114" s="1444">
        <v>0</v>
      </c>
      <c r="U114" s="1450">
        <f t="shared" si="24"/>
        <v>-4412.4399999999996</v>
      </c>
      <c r="V114" s="1444"/>
      <c r="W114" s="1444"/>
      <c r="X114" s="1444"/>
      <c r="Y114" s="1444"/>
      <c r="Z114" s="1444"/>
      <c r="AA114" s="1444">
        <f t="shared" si="25"/>
        <v>0</v>
      </c>
      <c r="AB114" s="1100">
        <v>0</v>
      </c>
      <c r="AC114" s="1101">
        <v>22676.46</v>
      </c>
      <c r="AD114" s="1101">
        <v>13605.88</v>
      </c>
      <c r="AE114" s="1101">
        <v>0</v>
      </c>
      <c r="AF114" s="1101">
        <v>0</v>
      </c>
      <c r="AG114" s="1099">
        <f t="shared" si="26"/>
        <v>36282.339999999997</v>
      </c>
      <c r="AH114" s="1100">
        <v>3681</v>
      </c>
      <c r="AI114" s="1101">
        <v>0</v>
      </c>
      <c r="AJ114" s="1101">
        <v>0</v>
      </c>
      <c r="AK114" s="1101">
        <v>0</v>
      </c>
      <c r="AL114" s="1101">
        <v>0</v>
      </c>
      <c r="AM114" s="1102">
        <f t="shared" si="27"/>
        <v>3681</v>
      </c>
      <c r="AN114" s="1100"/>
      <c r="AO114" s="1101"/>
      <c r="AP114" s="1101"/>
      <c r="AQ114" s="1101"/>
      <c r="AR114" s="1101"/>
      <c r="AS114" s="1102">
        <f t="shared" si="28"/>
        <v>0</v>
      </c>
      <c r="AT114" s="1100">
        <v>257558.26</v>
      </c>
      <c r="AU114" s="1101">
        <v>0</v>
      </c>
      <c r="AV114" s="1101">
        <v>0</v>
      </c>
      <c r="AW114" s="1101">
        <v>0</v>
      </c>
      <c r="AX114" s="1101">
        <v>0</v>
      </c>
      <c r="AY114" s="1102">
        <f t="shared" si="29"/>
        <v>257558.26</v>
      </c>
    </row>
    <row r="115" spans="1:51" s="837" customFormat="1" x14ac:dyDescent="0.25">
      <c r="A115" s="1117" t="s">
        <v>166</v>
      </c>
      <c r="B115" s="1117" t="s">
        <v>167</v>
      </c>
      <c r="C115" s="1061" t="s">
        <v>268</v>
      </c>
      <c r="D115" s="1406">
        <f t="shared" si="17"/>
        <v>0</v>
      </c>
      <c r="E115" s="1406">
        <f t="shared" si="18"/>
        <v>31766.400000000001</v>
      </c>
      <c r="F115" s="1406">
        <f t="shared" si="19"/>
        <v>7941.6</v>
      </c>
      <c r="G115" s="1408">
        <f t="shared" si="20"/>
        <v>0</v>
      </c>
      <c r="H115" s="1411">
        <f t="shared" si="21"/>
        <v>7941.6</v>
      </c>
      <c r="I115" s="1412">
        <f t="shared" si="22"/>
        <v>39708</v>
      </c>
      <c r="J115" s="1118">
        <v>0</v>
      </c>
      <c r="K115" s="1118">
        <v>31766.400000000001</v>
      </c>
      <c r="L115" s="1118">
        <v>7941.6</v>
      </c>
      <c r="M115" s="1118">
        <v>0</v>
      </c>
      <c r="N115" s="1118">
        <v>0</v>
      </c>
      <c r="O115" s="1119">
        <f t="shared" si="23"/>
        <v>39708</v>
      </c>
      <c r="P115" s="1451"/>
      <c r="Q115" s="1444"/>
      <c r="R115" s="1444"/>
      <c r="S115" s="1444"/>
      <c r="T115" s="1444"/>
      <c r="U115" s="1450">
        <f t="shared" si="24"/>
        <v>0</v>
      </c>
      <c r="V115" s="1444"/>
      <c r="W115" s="1444"/>
      <c r="X115" s="1444"/>
      <c r="Y115" s="1444"/>
      <c r="Z115" s="1444"/>
      <c r="AA115" s="1444">
        <f t="shared" si="25"/>
        <v>0</v>
      </c>
      <c r="AB115" s="1097"/>
      <c r="AC115" s="1098"/>
      <c r="AD115" s="1098"/>
      <c r="AE115" s="1098"/>
      <c r="AF115" s="1098"/>
      <c r="AG115" s="1099">
        <f t="shared" si="26"/>
        <v>0</v>
      </c>
      <c r="AH115" s="1097"/>
      <c r="AI115" s="1098"/>
      <c r="AJ115" s="1098"/>
      <c r="AK115" s="1098"/>
      <c r="AL115" s="1098"/>
      <c r="AM115" s="1102">
        <f t="shared" si="27"/>
        <v>0</v>
      </c>
      <c r="AN115" s="1097"/>
      <c r="AO115" s="1098"/>
      <c r="AP115" s="1098"/>
      <c r="AQ115" s="1098"/>
      <c r="AR115" s="1098"/>
      <c r="AS115" s="1102">
        <f t="shared" si="28"/>
        <v>0</v>
      </c>
      <c r="AT115" s="1097"/>
      <c r="AU115" s="1098"/>
      <c r="AV115" s="1098"/>
      <c r="AW115" s="1098"/>
      <c r="AX115" s="1098"/>
      <c r="AY115" s="1102">
        <f t="shared" si="29"/>
        <v>0</v>
      </c>
    </row>
    <row r="116" spans="1:51" s="837" customFormat="1" x14ac:dyDescent="0.25">
      <c r="A116" s="1117" t="s">
        <v>176</v>
      </c>
      <c r="B116" s="1117" t="s">
        <v>177</v>
      </c>
      <c r="C116" s="1061" t="s">
        <v>266</v>
      </c>
      <c r="D116" s="1406">
        <f t="shared" si="17"/>
        <v>-2550.4699999999998</v>
      </c>
      <c r="E116" s="1406">
        <f t="shared" si="18"/>
        <v>429992.58</v>
      </c>
      <c r="F116" s="1406">
        <f t="shared" si="19"/>
        <v>108110.75</v>
      </c>
      <c r="G116" s="1408">
        <f t="shared" si="20"/>
        <v>-831.11</v>
      </c>
      <c r="H116" s="1411">
        <f t="shared" si="21"/>
        <v>107279.64</v>
      </c>
      <c r="I116" s="1412">
        <f t="shared" si="22"/>
        <v>534721.75000000012</v>
      </c>
      <c r="J116" s="1118">
        <v>0</v>
      </c>
      <c r="K116" s="1118">
        <v>432443.01</v>
      </c>
      <c r="L116" s="1118">
        <v>108110.75</v>
      </c>
      <c r="M116" s="1118">
        <v>0</v>
      </c>
      <c r="N116" s="1118">
        <v>0</v>
      </c>
      <c r="O116" s="1119">
        <f t="shared" si="23"/>
        <v>540553.76</v>
      </c>
      <c r="P116" s="1451">
        <v>-2550.4699999999998</v>
      </c>
      <c r="Q116" s="1444">
        <v>-2450.4299999999998</v>
      </c>
      <c r="R116" s="1444">
        <v>0</v>
      </c>
      <c r="S116" s="1444">
        <v>-831.11</v>
      </c>
      <c r="T116" s="1444">
        <v>0</v>
      </c>
      <c r="U116" s="1450">
        <f t="shared" si="24"/>
        <v>-5832.0099999999993</v>
      </c>
      <c r="V116" s="1444"/>
      <c r="W116" s="1444"/>
      <c r="X116" s="1444"/>
      <c r="Y116" s="1444"/>
      <c r="Z116" s="1444"/>
      <c r="AA116" s="1444">
        <f t="shared" si="25"/>
        <v>0</v>
      </c>
      <c r="AB116" s="1097"/>
      <c r="AC116" s="1098"/>
      <c r="AD116" s="1098"/>
      <c r="AE116" s="1098"/>
      <c r="AF116" s="1098"/>
      <c r="AG116" s="1099">
        <f t="shared" si="26"/>
        <v>0</v>
      </c>
      <c r="AH116" s="1097"/>
      <c r="AI116" s="1098"/>
      <c r="AJ116" s="1098"/>
      <c r="AK116" s="1098"/>
      <c r="AL116" s="1098"/>
      <c r="AM116" s="1102">
        <f t="shared" si="27"/>
        <v>0</v>
      </c>
      <c r="AN116" s="1097"/>
      <c r="AO116" s="1098"/>
      <c r="AP116" s="1098"/>
      <c r="AQ116" s="1098"/>
      <c r="AR116" s="1098"/>
      <c r="AS116" s="1102">
        <f t="shared" si="28"/>
        <v>0</v>
      </c>
      <c r="AT116" s="1097"/>
      <c r="AU116" s="1098"/>
      <c r="AV116" s="1098"/>
      <c r="AW116" s="1098"/>
      <c r="AX116" s="1098"/>
      <c r="AY116" s="1102">
        <f t="shared" si="29"/>
        <v>0</v>
      </c>
    </row>
    <row r="117" spans="1:51" s="837" customFormat="1" x14ac:dyDescent="0.25">
      <c r="A117" s="1117" t="s">
        <v>180</v>
      </c>
      <c r="B117" s="1117" t="s">
        <v>181</v>
      </c>
      <c r="C117" s="1061" t="s">
        <v>264</v>
      </c>
      <c r="D117" s="1406">
        <f t="shared" si="17"/>
        <v>40916.400000000001</v>
      </c>
      <c r="E117" s="1406">
        <f t="shared" si="18"/>
        <v>446726.67</v>
      </c>
      <c r="F117" s="1406">
        <f t="shared" si="19"/>
        <v>123278.45</v>
      </c>
      <c r="G117" s="1408">
        <f t="shared" si="20"/>
        <v>-1484.05</v>
      </c>
      <c r="H117" s="1411">
        <f t="shared" si="21"/>
        <v>121794.4</v>
      </c>
      <c r="I117" s="1412">
        <f t="shared" si="22"/>
        <v>609437.47</v>
      </c>
      <c r="J117" s="1118">
        <v>0</v>
      </c>
      <c r="K117" s="1118">
        <v>418461.82</v>
      </c>
      <c r="L117" s="1118">
        <v>104615.45</v>
      </c>
      <c r="M117" s="1118">
        <v>0</v>
      </c>
      <c r="N117" s="1118">
        <v>0</v>
      </c>
      <c r="O117" s="1119">
        <f t="shared" si="23"/>
        <v>523077.27</v>
      </c>
      <c r="P117" s="1451">
        <v>-2956.07</v>
      </c>
      <c r="Q117" s="1444">
        <v>-2840.15</v>
      </c>
      <c r="R117" s="1444">
        <v>0</v>
      </c>
      <c r="S117" s="1444">
        <v>-1484.05</v>
      </c>
      <c r="T117" s="1444">
        <v>0</v>
      </c>
      <c r="U117" s="1450">
        <f t="shared" si="24"/>
        <v>-7280.27</v>
      </c>
      <c r="V117" s="1444"/>
      <c r="W117" s="1444"/>
      <c r="X117" s="1444"/>
      <c r="Y117" s="1444"/>
      <c r="Z117" s="1444"/>
      <c r="AA117" s="1444">
        <f t="shared" si="25"/>
        <v>0</v>
      </c>
      <c r="AB117" s="1100">
        <v>0</v>
      </c>
      <c r="AC117" s="1101">
        <v>31105</v>
      </c>
      <c r="AD117" s="1101">
        <v>18663</v>
      </c>
      <c r="AE117" s="1101">
        <v>0</v>
      </c>
      <c r="AF117" s="1101">
        <v>0</v>
      </c>
      <c r="AG117" s="1099">
        <f t="shared" si="26"/>
        <v>49768</v>
      </c>
      <c r="AH117" s="1097"/>
      <c r="AI117" s="1098"/>
      <c r="AJ117" s="1098"/>
      <c r="AK117" s="1098"/>
      <c r="AL117" s="1098"/>
      <c r="AM117" s="1102">
        <f t="shared" si="27"/>
        <v>0</v>
      </c>
      <c r="AN117" s="1097"/>
      <c r="AO117" s="1098"/>
      <c r="AP117" s="1098"/>
      <c r="AQ117" s="1098"/>
      <c r="AR117" s="1098"/>
      <c r="AS117" s="1102">
        <f t="shared" si="28"/>
        <v>0</v>
      </c>
      <c r="AT117" s="1097">
        <v>43872.47</v>
      </c>
      <c r="AU117" s="1098">
        <v>0</v>
      </c>
      <c r="AV117" s="1098">
        <v>0</v>
      </c>
      <c r="AW117" s="1098">
        <v>0</v>
      </c>
      <c r="AX117" s="1098">
        <v>0</v>
      </c>
      <c r="AY117" s="1102">
        <f t="shared" si="29"/>
        <v>43872.47</v>
      </c>
    </row>
    <row r="118" spans="1:51" s="837" customFormat="1" x14ac:dyDescent="0.25">
      <c r="A118" s="1117" t="s">
        <v>192</v>
      </c>
      <c r="B118" s="1117" t="s">
        <v>193</v>
      </c>
      <c r="C118" s="1061" t="s">
        <v>268</v>
      </c>
      <c r="D118" s="1406">
        <f t="shared" si="17"/>
        <v>173</v>
      </c>
      <c r="E118" s="1406">
        <f t="shared" si="18"/>
        <v>101614.39999999999</v>
      </c>
      <c r="F118" s="1406">
        <f t="shared" si="19"/>
        <v>25403.599999999999</v>
      </c>
      <c r="G118" s="1408">
        <f t="shared" si="20"/>
        <v>1000</v>
      </c>
      <c r="H118" s="1411">
        <f t="shared" si="21"/>
        <v>26403.599999999999</v>
      </c>
      <c r="I118" s="1412">
        <f t="shared" si="22"/>
        <v>128191</v>
      </c>
      <c r="J118" s="1118">
        <v>0</v>
      </c>
      <c r="K118" s="1118">
        <v>101614.39999999999</v>
      </c>
      <c r="L118" s="1118">
        <v>25403.599999999999</v>
      </c>
      <c r="M118" s="1118">
        <v>0</v>
      </c>
      <c r="N118" s="1118">
        <v>0</v>
      </c>
      <c r="O118" s="1119">
        <f t="shared" si="23"/>
        <v>127018</v>
      </c>
      <c r="P118" s="1451"/>
      <c r="Q118" s="1444"/>
      <c r="R118" s="1444"/>
      <c r="S118" s="1444"/>
      <c r="T118" s="1444"/>
      <c r="U118" s="1450">
        <f t="shared" si="24"/>
        <v>0</v>
      </c>
      <c r="V118" s="1444"/>
      <c r="W118" s="1444"/>
      <c r="X118" s="1444"/>
      <c r="Y118" s="1444"/>
      <c r="Z118" s="1444"/>
      <c r="AA118" s="1444">
        <f t="shared" si="25"/>
        <v>0</v>
      </c>
      <c r="AB118" s="1097">
        <v>0</v>
      </c>
      <c r="AC118" s="1098">
        <v>0</v>
      </c>
      <c r="AD118" s="1098">
        <v>0</v>
      </c>
      <c r="AE118" s="1098">
        <v>1000</v>
      </c>
      <c r="AF118" s="1098">
        <v>0</v>
      </c>
      <c r="AG118" s="1099">
        <f t="shared" si="26"/>
        <v>1000</v>
      </c>
      <c r="AH118" s="1097">
        <v>173</v>
      </c>
      <c r="AI118" s="1098">
        <v>0</v>
      </c>
      <c r="AJ118" s="1098">
        <v>0</v>
      </c>
      <c r="AK118" s="1098">
        <v>0</v>
      </c>
      <c r="AL118" s="1098">
        <v>0</v>
      </c>
      <c r="AM118" s="1102">
        <f t="shared" si="27"/>
        <v>173</v>
      </c>
      <c r="AN118" s="1097"/>
      <c r="AO118" s="1098"/>
      <c r="AP118" s="1098"/>
      <c r="AQ118" s="1098"/>
      <c r="AR118" s="1098"/>
      <c r="AS118" s="1102">
        <f t="shared" si="28"/>
        <v>0</v>
      </c>
      <c r="AT118" s="1097"/>
      <c r="AU118" s="1098"/>
      <c r="AV118" s="1098"/>
      <c r="AW118" s="1098"/>
      <c r="AX118" s="1098"/>
      <c r="AY118" s="1102">
        <f t="shared" si="29"/>
        <v>0</v>
      </c>
    </row>
    <row r="119" spans="1:51" s="837" customFormat="1" x14ac:dyDescent="0.25">
      <c r="A119" s="1117" t="s">
        <v>196</v>
      </c>
      <c r="B119" s="1117" t="s">
        <v>312</v>
      </c>
      <c r="C119" s="1061" t="s">
        <v>266</v>
      </c>
      <c r="D119" s="1406">
        <f t="shared" si="17"/>
        <v>2302.38</v>
      </c>
      <c r="E119" s="1406">
        <f t="shared" si="18"/>
        <v>2360842.9899999998</v>
      </c>
      <c r="F119" s="1406">
        <f t="shared" si="19"/>
        <v>602080.1</v>
      </c>
      <c r="G119" s="1408">
        <f t="shared" si="20"/>
        <v>453212.80000000005</v>
      </c>
      <c r="H119" s="1411">
        <f t="shared" si="21"/>
        <v>1055292.8999999999</v>
      </c>
      <c r="I119" s="1412">
        <f t="shared" si="22"/>
        <v>3418438.2699999996</v>
      </c>
      <c r="J119" s="1118">
        <v>0</v>
      </c>
      <c r="K119" s="1118">
        <v>2328934.3999999999</v>
      </c>
      <c r="L119" s="1118">
        <v>582233.59999999998</v>
      </c>
      <c r="M119" s="1118">
        <v>0</v>
      </c>
      <c r="N119" s="1118">
        <v>0</v>
      </c>
      <c r="O119" s="1119">
        <f t="shared" si="23"/>
        <v>2911168</v>
      </c>
      <c r="P119" s="1451">
        <v>-1327.8</v>
      </c>
      <c r="Q119" s="1444">
        <v>-1275.73</v>
      </c>
      <c r="R119" s="1444">
        <v>0</v>
      </c>
      <c r="S119" s="1444">
        <v>0.03</v>
      </c>
      <c r="T119" s="1444">
        <v>0</v>
      </c>
      <c r="U119" s="1450">
        <f t="shared" si="24"/>
        <v>-2603.4999999999995</v>
      </c>
      <c r="V119" s="1444">
        <v>111.18</v>
      </c>
      <c r="W119" s="1444">
        <v>106.82</v>
      </c>
      <c r="X119" s="1444">
        <v>0</v>
      </c>
      <c r="Y119" s="1444">
        <v>0</v>
      </c>
      <c r="Z119" s="1444">
        <v>0</v>
      </c>
      <c r="AA119" s="1444">
        <f t="shared" si="25"/>
        <v>218</v>
      </c>
      <c r="AB119" s="1100">
        <v>0</v>
      </c>
      <c r="AC119" s="1101">
        <v>33077.5</v>
      </c>
      <c r="AD119" s="1101">
        <v>19846.5</v>
      </c>
      <c r="AE119" s="1101">
        <v>453212.77</v>
      </c>
      <c r="AF119" s="1101">
        <v>0</v>
      </c>
      <c r="AG119" s="1099">
        <f t="shared" si="26"/>
        <v>506136.77</v>
      </c>
      <c r="AH119" s="1100">
        <v>3519</v>
      </c>
      <c r="AI119" s="1101">
        <v>0</v>
      </c>
      <c r="AJ119" s="1101">
        <v>0</v>
      </c>
      <c r="AK119" s="1101">
        <v>0</v>
      </c>
      <c r="AL119" s="1101">
        <v>0</v>
      </c>
      <c r="AM119" s="1102">
        <f t="shared" si="27"/>
        <v>3519</v>
      </c>
      <c r="AN119" s="1100"/>
      <c r="AO119" s="1101"/>
      <c r="AP119" s="1101"/>
      <c r="AQ119" s="1101"/>
      <c r="AR119" s="1101"/>
      <c r="AS119" s="1102">
        <f t="shared" si="28"/>
        <v>0</v>
      </c>
      <c r="AT119" s="1100"/>
      <c r="AU119" s="1101"/>
      <c r="AV119" s="1101"/>
      <c r="AW119" s="1101"/>
      <c r="AX119" s="1101"/>
      <c r="AY119" s="1102">
        <f t="shared" si="29"/>
        <v>0</v>
      </c>
    </row>
    <row r="120" spans="1:51" s="837" customFormat="1" x14ac:dyDescent="0.25">
      <c r="A120" s="1117" t="s">
        <v>200</v>
      </c>
      <c r="B120" s="1117" t="s">
        <v>313</v>
      </c>
      <c r="C120" s="1061" t="s">
        <v>265</v>
      </c>
      <c r="D120" s="1406">
        <f t="shared" si="17"/>
        <v>310505.53000000003</v>
      </c>
      <c r="E120" s="1406">
        <f t="shared" si="18"/>
        <v>655167.80000000005</v>
      </c>
      <c r="F120" s="1406">
        <f t="shared" si="19"/>
        <v>166217.45000000001</v>
      </c>
      <c r="G120" s="1408">
        <f t="shared" si="20"/>
        <v>-438.53</v>
      </c>
      <c r="H120" s="1411">
        <f t="shared" si="21"/>
        <v>165778.92000000001</v>
      </c>
      <c r="I120" s="1412">
        <f t="shared" si="22"/>
        <v>1131452.25</v>
      </c>
      <c r="J120" s="1118">
        <v>0</v>
      </c>
      <c r="K120" s="1118">
        <v>658235.23</v>
      </c>
      <c r="L120" s="1118">
        <v>164558.81</v>
      </c>
      <c r="M120" s="1118">
        <v>0</v>
      </c>
      <c r="N120" s="1118">
        <v>0</v>
      </c>
      <c r="O120" s="1119">
        <f t="shared" si="23"/>
        <v>822794.04</v>
      </c>
      <c r="P120" s="1451">
        <v>-6069.85</v>
      </c>
      <c r="Q120" s="1444">
        <v>-5831.82</v>
      </c>
      <c r="R120" s="1444">
        <v>0</v>
      </c>
      <c r="S120" s="1444">
        <v>-438.5</v>
      </c>
      <c r="T120" s="1444">
        <v>0</v>
      </c>
      <c r="U120" s="1450">
        <f t="shared" si="24"/>
        <v>-12340.17</v>
      </c>
      <c r="V120" s="1444"/>
      <c r="W120" s="1444"/>
      <c r="X120" s="1444"/>
      <c r="Y120" s="1444"/>
      <c r="Z120" s="1444"/>
      <c r="AA120" s="1444">
        <f t="shared" si="25"/>
        <v>0</v>
      </c>
      <c r="AB120" s="1100">
        <v>0</v>
      </c>
      <c r="AC120" s="1101">
        <v>2764.39</v>
      </c>
      <c r="AD120" s="1101">
        <v>1658.64</v>
      </c>
      <c r="AE120" s="1101">
        <v>-0.03</v>
      </c>
      <c r="AF120" s="1101">
        <v>0</v>
      </c>
      <c r="AG120" s="1099">
        <f t="shared" si="26"/>
        <v>4423</v>
      </c>
      <c r="AH120" s="1100">
        <v>12883</v>
      </c>
      <c r="AI120" s="1101">
        <v>0</v>
      </c>
      <c r="AJ120" s="1101">
        <v>0</v>
      </c>
      <c r="AK120" s="1101">
        <v>0</v>
      </c>
      <c r="AL120" s="1101">
        <v>0</v>
      </c>
      <c r="AM120" s="1102">
        <f t="shared" si="27"/>
        <v>12883</v>
      </c>
      <c r="AN120" s="1100"/>
      <c r="AO120" s="1101"/>
      <c r="AP120" s="1101"/>
      <c r="AQ120" s="1101"/>
      <c r="AR120" s="1101"/>
      <c r="AS120" s="1102">
        <f t="shared" si="28"/>
        <v>0</v>
      </c>
      <c r="AT120" s="1100">
        <v>303692.38</v>
      </c>
      <c r="AU120" s="1101">
        <v>0</v>
      </c>
      <c r="AV120" s="1101">
        <v>0</v>
      </c>
      <c r="AW120" s="1101">
        <v>0</v>
      </c>
      <c r="AX120" s="1101">
        <v>0</v>
      </c>
      <c r="AY120" s="1102">
        <f t="shared" si="29"/>
        <v>303692.38</v>
      </c>
    </row>
    <row r="121" spans="1:51" s="837" customFormat="1" x14ac:dyDescent="0.25">
      <c r="A121" s="1117" t="s">
        <v>222</v>
      </c>
      <c r="B121" s="1117" t="s">
        <v>223</v>
      </c>
      <c r="C121" s="1061" t="s">
        <v>264</v>
      </c>
      <c r="D121" s="1406">
        <f t="shared" si="17"/>
        <v>78967.239999999991</v>
      </c>
      <c r="E121" s="1406">
        <f t="shared" si="18"/>
        <v>175977.28</v>
      </c>
      <c r="F121" s="1406">
        <f t="shared" si="19"/>
        <v>44513.8</v>
      </c>
      <c r="G121" s="1408">
        <f t="shared" si="20"/>
        <v>12500</v>
      </c>
      <c r="H121" s="1411">
        <f t="shared" si="21"/>
        <v>57013.8</v>
      </c>
      <c r="I121" s="1412">
        <f t="shared" si="22"/>
        <v>311958.32</v>
      </c>
      <c r="J121" s="1118">
        <v>0</v>
      </c>
      <c r="K121" s="1118">
        <v>178055.2</v>
      </c>
      <c r="L121" s="1118">
        <v>44513.8</v>
      </c>
      <c r="M121" s="1118">
        <v>0</v>
      </c>
      <c r="N121" s="1118">
        <v>0</v>
      </c>
      <c r="O121" s="1119">
        <f t="shared" si="23"/>
        <v>222569</v>
      </c>
      <c r="P121" s="1451">
        <v>-2975.35</v>
      </c>
      <c r="Q121" s="1444">
        <v>-2858.69</v>
      </c>
      <c r="R121" s="1444">
        <v>0</v>
      </c>
      <c r="S121" s="1444">
        <v>0</v>
      </c>
      <c r="T121" s="1444">
        <v>0</v>
      </c>
      <c r="U121" s="1450">
        <f t="shared" si="24"/>
        <v>-5834.04</v>
      </c>
      <c r="V121" s="1444">
        <v>812.64</v>
      </c>
      <c r="W121" s="1444">
        <v>780.77</v>
      </c>
      <c r="X121" s="1444">
        <v>0</v>
      </c>
      <c r="Y121" s="1444">
        <v>0</v>
      </c>
      <c r="Z121" s="1444">
        <v>0</v>
      </c>
      <c r="AA121" s="1444">
        <f t="shared" si="25"/>
        <v>1593.4099999999999</v>
      </c>
      <c r="AB121" s="1100">
        <v>0</v>
      </c>
      <c r="AC121" s="1101">
        <v>0</v>
      </c>
      <c r="AD121" s="1101">
        <v>0</v>
      </c>
      <c r="AE121" s="1101">
        <v>0</v>
      </c>
      <c r="AF121" s="1101">
        <v>12500</v>
      </c>
      <c r="AG121" s="1099">
        <f t="shared" si="26"/>
        <v>12500</v>
      </c>
      <c r="AH121" s="1097">
        <v>864</v>
      </c>
      <c r="AI121" s="1098">
        <v>0</v>
      </c>
      <c r="AJ121" s="1098">
        <v>0</v>
      </c>
      <c r="AK121" s="1098">
        <v>0</v>
      </c>
      <c r="AL121" s="1098">
        <v>0</v>
      </c>
      <c r="AM121" s="1102">
        <f t="shared" si="27"/>
        <v>864</v>
      </c>
      <c r="AN121" s="1097"/>
      <c r="AO121" s="1098"/>
      <c r="AP121" s="1098"/>
      <c r="AQ121" s="1098"/>
      <c r="AR121" s="1098"/>
      <c r="AS121" s="1102">
        <f t="shared" si="28"/>
        <v>0</v>
      </c>
      <c r="AT121" s="1097">
        <v>80265.95</v>
      </c>
      <c r="AU121" s="1098">
        <v>0</v>
      </c>
      <c r="AV121" s="1098">
        <v>0</v>
      </c>
      <c r="AW121" s="1098">
        <v>0</v>
      </c>
      <c r="AX121" s="1098">
        <v>0</v>
      </c>
      <c r="AY121" s="1102">
        <f t="shared" si="29"/>
        <v>80265.95</v>
      </c>
    </row>
    <row r="122" spans="1:51" s="837" customFormat="1" x14ac:dyDescent="0.25">
      <c r="A122" s="1117" t="s">
        <v>230</v>
      </c>
      <c r="B122" s="1117" t="s">
        <v>231</v>
      </c>
      <c r="C122" s="1061" t="s">
        <v>264</v>
      </c>
      <c r="D122" s="1406">
        <f t="shared" si="17"/>
        <v>231140.69</v>
      </c>
      <c r="E122" s="1406">
        <f t="shared" si="18"/>
        <v>746269.14</v>
      </c>
      <c r="F122" s="1406">
        <f t="shared" si="19"/>
        <v>205163.15</v>
      </c>
      <c r="G122" s="1408">
        <f t="shared" si="20"/>
        <v>61500</v>
      </c>
      <c r="H122" s="1411">
        <f t="shared" si="21"/>
        <v>266663.15000000002</v>
      </c>
      <c r="I122" s="1412">
        <f t="shared" si="22"/>
        <v>1244072.98</v>
      </c>
      <c r="J122" s="1118">
        <v>0</v>
      </c>
      <c r="K122" s="1118">
        <v>707591.6</v>
      </c>
      <c r="L122" s="1118">
        <v>176897.9</v>
      </c>
      <c r="M122" s="1118">
        <v>0</v>
      </c>
      <c r="N122" s="1118">
        <v>0</v>
      </c>
      <c r="O122" s="1119">
        <f t="shared" si="23"/>
        <v>884489.5</v>
      </c>
      <c r="P122" s="1451">
        <v>-8775.31</v>
      </c>
      <c r="Q122" s="1444">
        <v>-8431.2099999999991</v>
      </c>
      <c r="R122" s="1444">
        <v>0</v>
      </c>
      <c r="S122" s="1444">
        <v>0</v>
      </c>
      <c r="T122" s="1444">
        <v>0</v>
      </c>
      <c r="U122" s="1450">
        <f t="shared" si="24"/>
        <v>-17206.519999999997</v>
      </c>
      <c r="V122" s="1444"/>
      <c r="W122" s="1444"/>
      <c r="X122" s="1444"/>
      <c r="Y122" s="1444"/>
      <c r="Z122" s="1444"/>
      <c r="AA122" s="1444">
        <f t="shared" si="25"/>
        <v>0</v>
      </c>
      <c r="AB122" s="1100">
        <v>0</v>
      </c>
      <c r="AC122" s="1101">
        <v>47108.75</v>
      </c>
      <c r="AD122" s="1101">
        <v>28265.25</v>
      </c>
      <c r="AE122" s="1101">
        <v>61500</v>
      </c>
      <c r="AF122" s="1101">
        <v>0</v>
      </c>
      <c r="AG122" s="1099">
        <f t="shared" si="26"/>
        <v>136874</v>
      </c>
      <c r="AH122" s="1100">
        <v>4973</v>
      </c>
      <c r="AI122" s="1101">
        <v>0</v>
      </c>
      <c r="AJ122" s="1101">
        <v>0</v>
      </c>
      <c r="AK122" s="1101">
        <v>0</v>
      </c>
      <c r="AL122" s="1101">
        <v>0</v>
      </c>
      <c r="AM122" s="1102">
        <f t="shared" si="27"/>
        <v>4973</v>
      </c>
      <c r="AN122" s="1100"/>
      <c r="AO122" s="1101"/>
      <c r="AP122" s="1101"/>
      <c r="AQ122" s="1101"/>
      <c r="AR122" s="1101"/>
      <c r="AS122" s="1102">
        <f t="shared" si="28"/>
        <v>0</v>
      </c>
      <c r="AT122" s="1100">
        <v>234943</v>
      </c>
      <c r="AU122" s="1101">
        <v>0</v>
      </c>
      <c r="AV122" s="1101">
        <v>0</v>
      </c>
      <c r="AW122" s="1101">
        <v>0</v>
      </c>
      <c r="AX122" s="1101">
        <v>0</v>
      </c>
      <c r="AY122" s="1102">
        <f t="shared" si="29"/>
        <v>234943</v>
      </c>
    </row>
    <row r="123" spans="1:51" s="837" customFormat="1" x14ac:dyDescent="0.25">
      <c r="A123" s="1120" t="s">
        <v>238</v>
      </c>
      <c r="B123" s="1120" t="s">
        <v>239</v>
      </c>
      <c r="C123" s="1061" t="s">
        <v>264</v>
      </c>
      <c r="D123" s="1406">
        <f t="shared" si="17"/>
        <v>74231.23</v>
      </c>
      <c r="E123" s="1406">
        <f t="shared" si="18"/>
        <v>101785.60000000001</v>
      </c>
      <c r="F123" s="1406">
        <f t="shared" si="19"/>
        <v>25446.400000000001</v>
      </c>
      <c r="G123" s="1408">
        <f t="shared" si="20"/>
        <v>15409.359999999999</v>
      </c>
      <c r="H123" s="1411">
        <f t="shared" si="21"/>
        <v>40855.760000000002</v>
      </c>
      <c r="I123" s="1412">
        <f t="shared" si="22"/>
        <v>216872.59</v>
      </c>
      <c r="J123" s="1118">
        <v>0</v>
      </c>
      <c r="K123" s="1118">
        <v>101785.60000000001</v>
      </c>
      <c r="L123" s="1118">
        <v>25446.400000000001</v>
      </c>
      <c r="M123" s="1118">
        <v>0</v>
      </c>
      <c r="N123" s="1118">
        <v>0</v>
      </c>
      <c r="O123" s="1119">
        <f t="shared" si="23"/>
        <v>127232</v>
      </c>
      <c r="P123" s="1451"/>
      <c r="Q123" s="1444"/>
      <c r="R123" s="1444"/>
      <c r="S123" s="1444"/>
      <c r="T123" s="1444"/>
      <c r="U123" s="1450">
        <f t="shared" si="24"/>
        <v>0</v>
      </c>
      <c r="V123" s="1444"/>
      <c r="W123" s="1444"/>
      <c r="X123" s="1444"/>
      <c r="Y123" s="1444"/>
      <c r="Z123" s="1444"/>
      <c r="AA123" s="1444">
        <f t="shared" si="25"/>
        <v>0</v>
      </c>
      <c r="AB123" s="1100">
        <v>0</v>
      </c>
      <c r="AC123" s="1101">
        <v>0</v>
      </c>
      <c r="AD123" s="1101">
        <v>0</v>
      </c>
      <c r="AE123" s="1101">
        <v>0</v>
      </c>
      <c r="AF123" s="1101">
        <v>15075.39</v>
      </c>
      <c r="AG123" s="1099">
        <f t="shared" si="26"/>
        <v>15075.39</v>
      </c>
      <c r="AH123" s="1097"/>
      <c r="AI123" s="1098"/>
      <c r="AJ123" s="1098"/>
      <c r="AK123" s="1098"/>
      <c r="AL123" s="1098"/>
      <c r="AM123" s="1102">
        <f t="shared" si="27"/>
        <v>0</v>
      </c>
      <c r="AN123" s="1097"/>
      <c r="AO123" s="1098"/>
      <c r="AP123" s="1098"/>
      <c r="AQ123" s="1098"/>
      <c r="AR123" s="1098"/>
      <c r="AS123" s="1102">
        <f t="shared" si="28"/>
        <v>0</v>
      </c>
      <c r="AT123" s="1097">
        <v>74231.23</v>
      </c>
      <c r="AU123" s="1098">
        <v>0</v>
      </c>
      <c r="AV123" s="1098">
        <v>0</v>
      </c>
      <c r="AW123" s="1098">
        <v>333.97</v>
      </c>
      <c r="AX123" s="1098">
        <v>0</v>
      </c>
      <c r="AY123" s="1102">
        <f t="shared" si="29"/>
        <v>74565.2</v>
      </c>
    </row>
    <row r="124" spans="1:51" s="837" customFormat="1" x14ac:dyDescent="0.25">
      <c r="A124" s="1120" t="s">
        <v>240</v>
      </c>
      <c r="B124" s="1120" t="s">
        <v>241</v>
      </c>
      <c r="C124" s="1121" t="s">
        <v>267</v>
      </c>
      <c r="D124" s="1406">
        <f t="shared" si="17"/>
        <v>-45.22</v>
      </c>
      <c r="E124" s="1406">
        <f t="shared" si="18"/>
        <v>124975.81999999999</v>
      </c>
      <c r="F124" s="1406">
        <f t="shared" si="19"/>
        <v>31253.599999999999</v>
      </c>
      <c r="G124" s="1408">
        <f t="shared" si="20"/>
        <v>7793.8</v>
      </c>
      <c r="H124" s="1411">
        <f t="shared" si="21"/>
        <v>39047.4</v>
      </c>
      <c r="I124" s="1412">
        <f t="shared" si="22"/>
        <v>163977.99999999997</v>
      </c>
      <c r="J124" s="1118">
        <v>0</v>
      </c>
      <c r="K124" s="1118">
        <v>125014.39999999999</v>
      </c>
      <c r="L124" s="1118">
        <v>31253.599999999999</v>
      </c>
      <c r="M124" s="1118">
        <v>0</v>
      </c>
      <c r="N124" s="1118">
        <v>0</v>
      </c>
      <c r="O124" s="1119">
        <f t="shared" si="23"/>
        <v>156268</v>
      </c>
      <c r="P124" s="1452">
        <v>-45.22</v>
      </c>
      <c r="Q124" s="1453">
        <v>-43.48</v>
      </c>
      <c r="R124" s="1453">
        <v>0</v>
      </c>
      <c r="S124" s="1453">
        <v>-101.3</v>
      </c>
      <c r="T124" s="1453">
        <v>0</v>
      </c>
      <c r="U124" s="1454">
        <f t="shared" si="24"/>
        <v>-190</v>
      </c>
      <c r="V124" s="1444"/>
      <c r="W124" s="1444"/>
      <c r="X124" s="1444"/>
      <c r="Y124" s="1444"/>
      <c r="Z124" s="1444"/>
      <c r="AA124" s="1444">
        <f t="shared" si="25"/>
        <v>0</v>
      </c>
      <c r="AB124" s="1100">
        <v>0</v>
      </c>
      <c r="AC124" s="1101">
        <v>0</v>
      </c>
      <c r="AD124" s="1101">
        <v>0</v>
      </c>
      <c r="AE124" s="1101">
        <v>0</v>
      </c>
      <c r="AF124" s="1101">
        <v>7900</v>
      </c>
      <c r="AG124" s="1099">
        <f t="shared" si="26"/>
        <v>7900</v>
      </c>
      <c r="AH124" s="1100"/>
      <c r="AI124" s="1101"/>
      <c r="AJ124" s="1101"/>
      <c r="AK124" s="1101"/>
      <c r="AL124" s="1101"/>
      <c r="AM124" s="1102">
        <f t="shared" si="27"/>
        <v>0</v>
      </c>
      <c r="AN124" s="1100">
        <v>0</v>
      </c>
      <c r="AO124" s="1101">
        <v>4.9000000000000004</v>
      </c>
      <c r="AP124" s="1101">
        <v>0</v>
      </c>
      <c r="AQ124" s="1101">
        <v>-4.9000000000000004</v>
      </c>
      <c r="AR124" s="1101">
        <v>0</v>
      </c>
      <c r="AS124" s="1102">
        <f t="shared" si="28"/>
        <v>0</v>
      </c>
      <c r="AT124" s="1100"/>
      <c r="AU124" s="1101"/>
      <c r="AV124" s="1101"/>
      <c r="AW124" s="1101"/>
      <c r="AX124" s="1101"/>
      <c r="AY124" s="1102">
        <f t="shared" si="29"/>
        <v>0</v>
      </c>
    </row>
    <row r="125" spans="1:51" x14ac:dyDescent="0.25">
      <c r="J125" s="809"/>
      <c r="K125" s="809"/>
      <c r="L125" s="809"/>
      <c r="M125" s="809"/>
      <c r="N125" s="809"/>
      <c r="O125" s="809"/>
      <c r="P125" s="809"/>
      <c r="Q125" s="809"/>
      <c r="R125" s="809"/>
      <c r="S125" s="809"/>
      <c r="T125" s="809"/>
      <c r="U125" s="809"/>
      <c r="V125" s="809"/>
      <c r="W125" s="809"/>
      <c r="X125" s="809"/>
      <c r="Y125" s="809"/>
      <c r="Z125" s="809"/>
      <c r="AA125" s="809"/>
      <c r="AB125" s="809"/>
      <c r="AC125" s="809"/>
      <c r="AD125" s="809"/>
      <c r="AE125" s="809"/>
      <c r="AF125" s="809"/>
      <c r="AG125" s="809"/>
      <c r="AH125" s="809"/>
      <c r="AI125" s="809"/>
      <c r="AJ125" s="809"/>
      <c r="AK125" s="809"/>
      <c r="AL125" s="809"/>
      <c r="AM125" s="809"/>
      <c r="AN125" s="809"/>
      <c r="AO125" s="809"/>
      <c r="AP125" s="809"/>
      <c r="AQ125" s="809"/>
      <c r="AR125" s="809"/>
      <c r="AS125" s="809"/>
      <c r="AT125" s="809"/>
      <c r="AU125" s="809"/>
      <c r="AV125" s="809"/>
      <c r="AW125" s="809"/>
      <c r="AX125" s="809"/>
      <c r="AY125" s="809"/>
    </row>
    <row r="126" spans="1:51" x14ac:dyDescent="0.25">
      <c r="A126" s="270" t="s">
        <v>266</v>
      </c>
      <c r="D126" s="1874">
        <f>D8+D19+D21+D23+D25+D29+D32+D36+D41+D46+D47+D52+D54+D55+D59+D63+D66+D68+D69+D74+D75+D80+D96+D109+D116+D119</f>
        <v>751744.51</v>
      </c>
      <c r="E126" s="1874">
        <f t="shared" ref="E126:AY126" si="30">E8+E19+E21+E23+E25+E29+E32+E36+E41+E46+E47+E52+E54+E55+E59+E63+E66+E68+E69+E74+E75+E80+E96+E109+E116+E119</f>
        <v>5063115.53</v>
      </c>
      <c r="F126" s="1874">
        <f t="shared" si="30"/>
        <v>1319815.3900000001</v>
      </c>
      <c r="G126" s="1874">
        <f t="shared" si="30"/>
        <v>553793.23</v>
      </c>
      <c r="H126" s="1874">
        <f t="shared" si="30"/>
        <v>1873608.6199999999</v>
      </c>
      <c r="I126" s="1874">
        <f t="shared" si="30"/>
        <v>7688468.6599999992</v>
      </c>
      <c r="J126" s="1874">
        <f t="shared" si="30"/>
        <v>0</v>
      </c>
      <c r="K126" s="1874">
        <f t="shared" si="30"/>
        <v>4931906.2000000011</v>
      </c>
      <c r="L126" s="1874">
        <f t="shared" si="30"/>
        <v>1232976.55</v>
      </c>
      <c r="M126" s="1874">
        <f t="shared" si="30"/>
        <v>-12</v>
      </c>
      <c r="N126" s="1874">
        <f t="shared" si="30"/>
        <v>0</v>
      </c>
      <c r="O126" s="1874">
        <f t="shared" si="30"/>
        <v>6164870.75</v>
      </c>
      <c r="P126" s="1874">
        <f t="shared" si="30"/>
        <v>-11019.4</v>
      </c>
      <c r="Q126" s="1874">
        <f t="shared" si="30"/>
        <v>-10587.24</v>
      </c>
      <c r="R126" s="1874">
        <f t="shared" si="30"/>
        <v>0</v>
      </c>
      <c r="S126" s="1874">
        <f t="shared" si="30"/>
        <v>-1356.3700000000001</v>
      </c>
      <c r="T126" s="1874">
        <f t="shared" si="30"/>
        <v>0</v>
      </c>
      <c r="U126" s="1874">
        <f t="shared" si="30"/>
        <v>-22963.01</v>
      </c>
      <c r="V126" s="1874">
        <f t="shared" si="30"/>
        <v>111.18</v>
      </c>
      <c r="W126" s="1874">
        <f t="shared" si="30"/>
        <v>106.82</v>
      </c>
      <c r="X126" s="1874">
        <f t="shared" si="30"/>
        <v>0</v>
      </c>
      <c r="Y126" s="1874">
        <f t="shared" si="30"/>
        <v>0</v>
      </c>
      <c r="Z126" s="1874">
        <f t="shared" si="30"/>
        <v>0</v>
      </c>
      <c r="AA126" s="1874">
        <f t="shared" si="30"/>
        <v>218</v>
      </c>
      <c r="AB126" s="1874">
        <f t="shared" si="30"/>
        <v>0</v>
      </c>
      <c r="AC126" s="1874">
        <f t="shared" si="30"/>
        <v>144731.35</v>
      </c>
      <c r="AD126" s="1874">
        <f t="shared" si="30"/>
        <v>86838.84</v>
      </c>
      <c r="AE126" s="1874">
        <f t="shared" si="30"/>
        <v>555161.59999999998</v>
      </c>
      <c r="AF126" s="1874">
        <f t="shared" si="30"/>
        <v>0</v>
      </c>
      <c r="AG126" s="1874">
        <f t="shared" si="30"/>
        <v>786731.79</v>
      </c>
      <c r="AH126" s="1874">
        <f t="shared" si="30"/>
        <v>71576</v>
      </c>
      <c r="AI126" s="1874">
        <f t="shared" si="30"/>
        <v>0</v>
      </c>
      <c r="AJ126" s="1874">
        <f t="shared" si="30"/>
        <v>0</v>
      </c>
      <c r="AK126" s="1874">
        <f t="shared" si="30"/>
        <v>0</v>
      </c>
      <c r="AL126" s="1874">
        <f t="shared" si="30"/>
        <v>0</v>
      </c>
      <c r="AM126" s="1874">
        <f t="shared" si="30"/>
        <v>71576</v>
      </c>
      <c r="AN126" s="1874">
        <f t="shared" si="30"/>
        <v>0</v>
      </c>
      <c r="AO126" s="1874">
        <f t="shared" si="30"/>
        <v>-3041.6</v>
      </c>
      <c r="AP126" s="1874">
        <f t="shared" si="30"/>
        <v>0</v>
      </c>
      <c r="AQ126" s="1874">
        <f t="shared" si="30"/>
        <v>0</v>
      </c>
      <c r="AR126" s="1874">
        <f t="shared" si="30"/>
        <v>0</v>
      </c>
      <c r="AS126" s="1874">
        <f t="shared" si="30"/>
        <v>-3041.6</v>
      </c>
      <c r="AT126" s="1874">
        <f t="shared" si="30"/>
        <v>691076.73</v>
      </c>
      <c r="AU126" s="1874">
        <f t="shared" si="30"/>
        <v>0</v>
      </c>
      <c r="AV126" s="1874">
        <f t="shared" si="30"/>
        <v>0</v>
      </c>
      <c r="AW126" s="1874">
        <f t="shared" si="30"/>
        <v>0</v>
      </c>
      <c r="AX126" s="1874">
        <f t="shared" si="30"/>
        <v>0</v>
      </c>
      <c r="AY126" s="1874">
        <f t="shared" si="30"/>
        <v>691076.73</v>
      </c>
    </row>
    <row r="127" spans="1:51" x14ac:dyDescent="0.25">
      <c r="A127" s="270" t="s">
        <v>264</v>
      </c>
      <c r="D127" s="1874">
        <f>D5+D17+D31+D40+D44+D50+D51+D61+D67+D76+D88+D91+D92+D99+D103+D105+D108+D113+D114+D117+D121+D122+D123</f>
        <v>777192.16999999993</v>
      </c>
      <c r="E127" s="1874">
        <f t="shared" ref="E127:AY127" si="31">E5+E17+E31+E40+E44+E50+E51+E61+E67+E76+E88+E91+E92+E99+E103+E105+E108+E113+E114+E117+E121+E122+E123</f>
        <v>4816229.8099999996</v>
      </c>
      <c r="F127" s="1874">
        <f t="shared" si="31"/>
        <v>1261545.73</v>
      </c>
      <c r="G127" s="1874">
        <f t="shared" si="31"/>
        <v>88234.22</v>
      </c>
      <c r="H127" s="1874">
        <f t="shared" si="31"/>
        <v>1349779.95</v>
      </c>
      <c r="I127" s="1874">
        <f t="shared" si="31"/>
        <v>6943201.9299999997</v>
      </c>
      <c r="J127" s="1874">
        <f t="shared" si="31"/>
        <v>0</v>
      </c>
      <c r="K127" s="1874">
        <f t="shared" si="31"/>
        <v>4704279.3599999994</v>
      </c>
      <c r="L127" s="1874">
        <f t="shared" si="31"/>
        <v>1176069.8399999999</v>
      </c>
      <c r="M127" s="1874">
        <f t="shared" si="31"/>
        <v>0</v>
      </c>
      <c r="N127" s="1874">
        <f t="shared" si="31"/>
        <v>0</v>
      </c>
      <c r="O127" s="1874">
        <f t="shared" si="31"/>
        <v>5880349.1999999993</v>
      </c>
      <c r="P127" s="1874">
        <f t="shared" si="31"/>
        <v>-33077.189999999995</v>
      </c>
      <c r="Q127" s="1874">
        <f t="shared" si="31"/>
        <v>-31780.11</v>
      </c>
      <c r="R127" s="1874">
        <f t="shared" si="31"/>
        <v>0</v>
      </c>
      <c r="S127" s="1874">
        <f t="shared" si="31"/>
        <v>-4152.95</v>
      </c>
      <c r="T127" s="1874">
        <f t="shared" si="31"/>
        <v>0</v>
      </c>
      <c r="U127" s="1874">
        <f t="shared" si="31"/>
        <v>-69010.25</v>
      </c>
      <c r="V127" s="1874">
        <f t="shared" si="31"/>
        <v>1322.6399999999999</v>
      </c>
      <c r="W127" s="1874">
        <f t="shared" si="31"/>
        <v>1270.77</v>
      </c>
      <c r="X127" s="1874">
        <f t="shared" si="31"/>
        <v>0</v>
      </c>
      <c r="Y127" s="1874">
        <f t="shared" si="31"/>
        <v>1428.86</v>
      </c>
      <c r="Z127" s="1874">
        <f t="shared" si="31"/>
        <v>0</v>
      </c>
      <c r="AA127" s="1874">
        <f t="shared" si="31"/>
        <v>4022.2699999999995</v>
      </c>
      <c r="AB127" s="1874">
        <f t="shared" si="31"/>
        <v>0</v>
      </c>
      <c r="AC127" s="1874">
        <f t="shared" si="31"/>
        <v>142459.78999999998</v>
      </c>
      <c r="AD127" s="1874">
        <f t="shared" si="31"/>
        <v>85475.89</v>
      </c>
      <c r="AE127" s="1874">
        <f t="shared" si="31"/>
        <v>62235.95</v>
      </c>
      <c r="AF127" s="1874">
        <f t="shared" si="31"/>
        <v>28388.39</v>
      </c>
      <c r="AG127" s="1874">
        <f t="shared" si="31"/>
        <v>318560.02</v>
      </c>
      <c r="AH127" s="1874">
        <f t="shared" si="31"/>
        <v>97523</v>
      </c>
      <c r="AI127" s="1874">
        <f t="shared" si="31"/>
        <v>0</v>
      </c>
      <c r="AJ127" s="1874">
        <f t="shared" si="31"/>
        <v>0</v>
      </c>
      <c r="AK127" s="1874">
        <f t="shared" si="31"/>
        <v>0</v>
      </c>
      <c r="AL127" s="1874">
        <f t="shared" si="31"/>
        <v>0</v>
      </c>
      <c r="AM127" s="1874">
        <f t="shared" si="31"/>
        <v>97523</v>
      </c>
      <c r="AN127" s="1874">
        <f t="shared" si="31"/>
        <v>0</v>
      </c>
      <c r="AO127" s="1874">
        <f t="shared" si="31"/>
        <v>0</v>
      </c>
      <c r="AP127" s="1874">
        <f t="shared" si="31"/>
        <v>0</v>
      </c>
      <c r="AQ127" s="1874">
        <f t="shared" si="31"/>
        <v>0</v>
      </c>
      <c r="AR127" s="1874">
        <f t="shared" si="31"/>
        <v>0</v>
      </c>
      <c r="AS127" s="1874">
        <f t="shared" si="31"/>
        <v>0</v>
      </c>
      <c r="AT127" s="1874">
        <f t="shared" si="31"/>
        <v>711423.72</v>
      </c>
      <c r="AU127" s="1874">
        <f t="shared" si="31"/>
        <v>0</v>
      </c>
      <c r="AV127" s="1874">
        <f t="shared" si="31"/>
        <v>0</v>
      </c>
      <c r="AW127" s="1874">
        <f t="shared" si="31"/>
        <v>333.97</v>
      </c>
      <c r="AX127" s="1874">
        <f t="shared" si="31"/>
        <v>0</v>
      </c>
      <c r="AY127" s="1874">
        <f t="shared" si="31"/>
        <v>711757.69</v>
      </c>
    </row>
    <row r="128" spans="1:51" x14ac:dyDescent="0.25">
      <c r="A128" s="270" t="s">
        <v>267</v>
      </c>
      <c r="D128" s="1874">
        <f>D11+D26+D28+D33+D34+D38+D43+D53+D57+D58+D60+D70+D71+D77+D79+D83+D86+D89+D90+D94+D100+D106+D111+D112+D124</f>
        <v>1367787.02</v>
      </c>
      <c r="E128" s="1874">
        <f t="shared" ref="E128:AY128" si="32">E11+E26+E28+E33+E34+E38+E43+E53+E57+E58+E60+E70+E71+E77+E79+E83+E86+E89+E90+E94+E100+E106+E111+E112+E124</f>
        <v>3492575.1399999992</v>
      </c>
      <c r="F128" s="1874">
        <f t="shared" si="32"/>
        <v>902383.86</v>
      </c>
      <c r="G128" s="1874">
        <f t="shared" si="32"/>
        <v>618022.02</v>
      </c>
      <c r="H128" s="1874">
        <f t="shared" si="32"/>
        <v>1520405.88</v>
      </c>
      <c r="I128" s="1874">
        <f t="shared" si="32"/>
        <v>6380768.04</v>
      </c>
      <c r="J128" s="1874">
        <f t="shared" si="32"/>
        <v>0</v>
      </c>
      <c r="K128" s="1874">
        <f t="shared" si="32"/>
        <v>3490411.3699999996</v>
      </c>
      <c r="L128" s="1874">
        <f t="shared" si="32"/>
        <v>872602.83999999985</v>
      </c>
      <c r="M128" s="1874">
        <f t="shared" si="32"/>
        <v>0</v>
      </c>
      <c r="N128" s="1874">
        <f t="shared" si="32"/>
        <v>1599</v>
      </c>
      <c r="O128" s="1874">
        <f t="shared" si="32"/>
        <v>4364613.21</v>
      </c>
      <c r="P128" s="1874">
        <f t="shared" si="32"/>
        <v>-39416.100000000006</v>
      </c>
      <c r="Q128" s="1874">
        <f t="shared" si="32"/>
        <v>-37870.429999999993</v>
      </c>
      <c r="R128" s="1874">
        <f t="shared" si="32"/>
        <v>0</v>
      </c>
      <c r="S128" s="1874">
        <f t="shared" si="32"/>
        <v>8234.4800000000014</v>
      </c>
      <c r="T128" s="1874">
        <f t="shared" si="32"/>
        <v>0</v>
      </c>
      <c r="U128" s="1874">
        <f t="shared" si="32"/>
        <v>-69052.05</v>
      </c>
      <c r="V128" s="1874">
        <f t="shared" si="32"/>
        <v>0</v>
      </c>
      <c r="W128" s="1874">
        <f t="shared" si="32"/>
        <v>0</v>
      </c>
      <c r="X128" s="1874">
        <f t="shared" si="32"/>
        <v>0</v>
      </c>
      <c r="Y128" s="1874">
        <f t="shared" si="32"/>
        <v>0</v>
      </c>
      <c r="Z128" s="1874">
        <f t="shared" si="32"/>
        <v>0</v>
      </c>
      <c r="AA128" s="1874">
        <f t="shared" si="32"/>
        <v>0</v>
      </c>
      <c r="AB128" s="1874">
        <f t="shared" si="32"/>
        <v>0</v>
      </c>
      <c r="AC128" s="1874">
        <f t="shared" si="32"/>
        <v>49635.01</v>
      </c>
      <c r="AD128" s="1874">
        <f t="shared" si="32"/>
        <v>29781.019999999997</v>
      </c>
      <c r="AE128" s="1874">
        <f t="shared" si="32"/>
        <v>578372.43999999994</v>
      </c>
      <c r="AF128" s="1874">
        <f t="shared" si="32"/>
        <v>21967.010000000002</v>
      </c>
      <c r="AG128" s="1874">
        <f t="shared" si="32"/>
        <v>679755.48</v>
      </c>
      <c r="AH128" s="1874">
        <f t="shared" si="32"/>
        <v>715470.4</v>
      </c>
      <c r="AI128" s="1874">
        <f t="shared" si="32"/>
        <v>0</v>
      </c>
      <c r="AJ128" s="1874">
        <f t="shared" si="32"/>
        <v>0</v>
      </c>
      <c r="AK128" s="1874">
        <f t="shared" si="32"/>
        <v>0</v>
      </c>
      <c r="AL128" s="1874">
        <f t="shared" si="32"/>
        <v>0</v>
      </c>
      <c r="AM128" s="1874">
        <f t="shared" si="32"/>
        <v>715470.4</v>
      </c>
      <c r="AN128" s="1874">
        <f t="shared" si="32"/>
        <v>0</v>
      </c>
      <c r="AO128" s="1874">
        <f t="shared" si="32"/>
        <v>-9600.81</v>
      </c>
      <c r="AP128" s="1874">
        <f t="shared" si="32"/>
        <v>0</v>
      </c>
      <c r="AQ128" s="1874">
        <f t="shared" si="32"/>
        <v>7849.09</v>
      </c>
      <c r="AR128" s="1874">
        <f t="shared" si="32"/>
        <v>0</v>
      </c>
      <c r="AS128" s="1874">
        <f t="shared" si="32"/>
        <v>-1751.72</v>
      </c>
      <c r="AT128" s="1874">
        <f t="shared" si="32"/>
        <v>691732.72000000009</v>
      </c>
      <c r="AU128" s="1874">
        <f t="shared" si="32"/>
        <v>0</v>
      </c>
      <c r="AV128" s="1874">
        <f t="shared" si="32"/>
        <v>0</v>
      </c>
      <c r="AW128" s="1874">
        <f t="shared" si="32"/>
        <v>0</v>
      </c>
      <c r="AX128" s="1874">
        <f t="shared" si="32"/>
        <v>0</v>
      </c>
      <c r="AY128" s="1874">
        <f t="shared" si="32"/>
        <v>691732.72000000009</v>
      </c>
    </row>
    <row r="129" spans="1:51" x14ac:dyDescent="0.25">
      <c r="A129" s="270" t="s">
        <v>265</v>
      </c>
      <c r="D129" s="1874">
        <f>D6+D7+D9+D10+D12+D13+D14+D16+D20+D24+D27+D37+D45+D48+D49+D62+D65+D73+D81+D82+D102+D104+D110+D120</f>
        <v>863791.52</v>
      </c>
      <c r="E129" s="1874">
        <f t="shared" ref="E129:AY129" si="33">E6+E7+E9+E10+E12+E13+E14+E16+E20+E24+E27+E37+E45+E48+E49+E62+E65+E73+E81+E82+E102+E104+E110+E120</f>
        <v>4260004.24</v>
      </c>
      <c r="F129" s="1874">
        <f t="shared" si="33"/>
        <v>1081209.4900000002</v>
      </c>
      <c r="G129" s="1874">
        <f t="shared" si="33"/>
        <v>50312.470000000008</v>
      </c>
      <c r="H129" s="1874">
        <f t="shared" si="33"/>
        <v>1131521.9600000002</v>
      </c>
      <c r="I129" s="1874">
        <f t="shared" si="33"/>
        <v>6255317.7199999997</v>
      </c>
      <c r="J129" s="1874">
        <f t="shared" si="33"/>
        <v>0</v>
      </c>
      <c r="K129" s="1874">
        <f t="shared" si="33"/>
        <v>4241806.9500000011</v>
      </c>
      <c r="L129" s="1874">
        <f t="shared" si="33"/>
        <v>1060451.7300000002</v>
      </c>
      <c r="M129" s="1874">
        <f t="shared" si="33"/>
        <v>0</v>
      </c>
      <c r="N129" s="1874">
        <f t="shared" si="33"/>
        <v>0</v>
      </c>
      <c r="O129" s="1874">
        <f t="shared" si="33"/>
        <v>5302258.68</v>
      </c>
      <c r="P129" s="1874">
        <f t="shared" si="33"/>
        <v>-18774.16</v>
      </c>
      <c r="Q129" s="1874">
        <f t="shared" si="33"/>
        <v>-18037.89</v>
      </c>
      <c r="R129" s="1874">
        <f t="shared" si="33"/>
        <v>0</v>
      </c>
      <c r="S129" s="1874">
        <f t="shared" si="33"/>
        <v>-1476.5700000000002</v>
      </c>
      <c r="T129" s="1874">
        <f t="shared" si="33"/>
        <v>0</v>
      </c>
      <c r="U129" s="1874">
        <f t="shared" si="33"/>
        <v>-38288.620000000003</v>
      </c>
      <c r="V129" s="1874">
        <f t="shared" si="33"/>
        <v>139.85</v>
      </c>
      <c r="W129" s="1874">
        <f t="shared" si="33"/>
        <v>134.37</v>
      </c>
      <c r="X129" s="1874">
        <f t="shared" si="33"/>
        <v>0</v>
      </c>
      <c r="Y129" s="1874">
        <f t="shared" si="33"/>
        <v>0</v>
      </c>
      <c r="Z129" s="1874">
        <f t="shared" si="33"/>
        <v>0</v>
      </c>
      <c r="AA129" s="1874">
        <f t="shared" si="33"/>
        <v>274.22000000000003</v>
      </c>
      <c r="AB129" s="1874">
        <f t="shared" si="33"/>
        <v>0</v>
      </c>
      <c r="AC129" s="1874">
        <f t="shared" si="33"/>
        <v>34596.21</v>
      </c>
      <c r="AD129" s="1874">
        <f t="shared" si="33"/>
        <v>20757.760000000002</v>
      </c>
      <c r="AE129" s="1874">
        <f t="shared" si="33"/>
        <v>42406.15</v>
      </c>
      <c r="AF129" s="1874">
        <f t="shared" si="33"/>
        <v>9082.89</v>
      </c>
      <c r="AG129" s="1874">
        <f t="shared" si="33"/>
        <v>106843.01</v>
      </c>
      <c r="AH129" s="1874">
        <f t="shared" si="33"/>
        <v>59449</v>
      </c>
      <c r="AI129" s="1874">
        <f t="shared" si="33"/>
        <v>0</v>
      </c>
      <c r="AJ129" s="1874">
        <f t="shared" si="33"/>
        <v>0</v>
      </c>
      <c r="AK129" s="1874">
        <f t="shared" si="33"/>
        <v>0</v>
      </c>
      <c r="AL129" s="1874">
        <f t="shared" si="33"/>
        <v>0</v>
      </c>
      <c r="AM129" s="1874">
        <f t="shared" si="33"/>
        <v>59449</v>
      </c>
      <c r="AN129" s="1874">
        <f t="shared" si="33"/>
        <v>0</v>
      </c>
      <c r="AO129" s="1874">
        <f t="shared" si="33"/>
        <v>94.599999999999909</v>
      </c>
      <c r="AP129" s="1874">
        <f t="shared" si="33"/>
        <v>0</v>
      </c>
      <c r="AQ129" s="1874">
        <f t="shared" si="33"/>
        <v>300</v>
      </c>
      <c r="AR129" s="1874">
        <f t="shared" si="33"/>
        <v>0</v>
      </c>
      <c r="AS129" s="1874">
        <f t="shared" si="33"/>
        <v>394.59999999999991</v>
      </c>
      <c r="AT129" s="1874">
        <f t="shared" si="33"/>
        <v>822976.83000000007</v>
      </c>
      <c r="AU129" s="1874">
        <f t="shared" si="33"/>
        <v>1410</v>
      </c>
      <c r="AV129" s="1874">
        <f t="shared" si="33"/>
        <v>0</v>
      </c>
      <c r="AW129" s="1874">
        <f t="shared" si="33"/>
        <v>0</v>
      </c>
      <c r="AX129" s="1874">
        <f t="shared" si="33"/>
        <v>0</v>
      </c>
      <c r="AY129" s="1874">
        <f t="shared" si="33"/>
        <v>824386.83000000007</v>
      </c>
    </row>
    <row r="130" spans="1:51" x14ac:dyDescent="0.25">
      <c r="A130" s="270" t="s">
        <v>268</v>
      </c>
      <c r="D130" s="1874">
        <f>D15+D18+D22+D30+D35+D39+D42+D56+D64+D72+D78+D84+D85+D87+D93+D95+D97+D98+D101+D107+D115+D118</f>
        <v>-13745.55</v>
      </c>
      <c r="E130" s="1874">
        <f t="shared" ref="E130:AY130" si="34">E15+E18+E22+E30+E35+E39+E42+E56+E64+E72+E78+E84+E85+E87+E93+E95+E97+E98+E101+E107+E115+E118</f>
        <v>3866781.68</v>
      </c>
      <c r="F130" s="1874">
        <f t="shared" si="34"/>
        <v>970822.86</v>
      </c>
      <c r="G130" s="1874">
        <f t="shared" si="34"/>
        <v>49957.440000000002</v>
      </c>
      <c r="H130" s="1874">
        <f t="shared" si="34"/>
        <v>1020780.3</v>
      </c>
      <c r="I130" s="1874">
        <f t="shared" si="34"/>
        <v>4873816.43</v>
      </c>
      <c r="J130" s="1874">
        <f t="shared" si="34"/>
        <v>0</v>
      </c>
      <c r="K130" s="1874">
        <f t="shared" si="34"/>
        <v>3883291.46</v>
      </c>
      <c r="L130" s="1874">
        <f t="shared" si="34"/>
        <v>970822.86</v>
      </c>
      <c r="M130" s="1874">
        <f t="shared" si="34"/>
        <v>0</v>
      </c>
      <c r="N130" s="1874">
        <f t="shared" si="34"/>
        <v>0</v>
      </c>
      <c r="O130" s="1874">
        <f t="shared" si="34"/>
        <v>4854114.32</v>
      </c>
      <c r="P130" s="1874">
        <f t="shared" si="34"/>
        <v>-14455.530000000002</v>
      </c>
      <c r="Q130" s="1874">
        <f t="shared" si="34"/>
        <v>-13888.700000000003</v>
      </c>
      <c r="R130" s="1874">
        <f t="shared" si="34"/>
        <v>0</v>
      </c>
      <c r="S130" s="1874">
        <f t="shared" si="34"/>
        <v>412.03999999999996</v>
      </c>
      <c r="T130" s="1874">
        <f t="shared" si="34"/>
        <v>0</v>
      </c>
      <c r="U130" s="1874">
        <f t="shared" si="34"/>
        <v>-27932.190000000002</v>
      </c>
      <c r="V130" s="1874">
        <f t="shared" si="34"/>
        <v>536.98</v>
      </c>
      <c r="W130" s="1874">
        <f t="shared" si="34"/>
        <v>515.91999999999996</v>
      </c>
      <c r="X130" s="1874">
        <f t="shared" si="34"/>
        <v>0</v>
      </c>
      <c r="Y130" s="1874">
        <f t="shared" si="34"/>
        <v>0</v>
      </c>
      <c r="Z130" s="1874">
        <f t="shared" si="34"/>
        <v>0</v>
      </c>
      <c r="AA130" s="1874">
        <f t="shared" si="34"/>
        <v>1052.9000000000001</v>
      </c>
      <c r="AB130" s="1874">
        <f t="shared" si="34"/>
        <v>0</v>
      </c>
      <c r="AC130" s="1874">
        <f t="shared" si="34"/>
        <v>0</v>
      </c>
      <c r="AD130" s="1874">
        <f t="shared" si="34"/>
        <v>0</v>
      </c>
      <c r="AE130" s="1874">
        <f t="shared" si="34"/>
        <v>46545.4</v>
      </c>
      <c r="AF130" s="1874">
        <f t="shared" si="34"/>
        <v>3000</v>
      </c>
      <c r="AG130" s="1874">
        <f t="shared" si="34"/>
        <v>49545.4</v>
      </c>
      <c r="AH130" s="1874">
        <f t="shared" si="34"/>
        <v>173</v>
      </c>
      <c r="AI130" s="1874">
        <f t="shared" si="34"/>
        <v>0</v>
      </c>
      <c r="AJ130" s="1874">
        <f t="shared" si="34"/>
        <v>0</v>
      </c>
      <c r="AK130" s="1874">
        <f t="shared" si="34"/>
        <v>0</v>
      </c>
      <c r="AL130" s="1874">
        <f t="shared" si="34"/>
        <v>0</v>
      </c>
      <c r="AM130" s="1874">
        <f t="shared" si="34"/>
        <v>173</v>
      </c>
      <c r="AN130" s="1874">
        <f t="shared" si="34"/>
        <v>0</v>
      </c>
      <c r="AO130" s="1874">
        <f t="shared" si="34"/>
        <v>-3137</v>
      </c>
      <c r="AP130" s="1874">
        <f t="shared" si="34"/>
        <v>0</v>
      </c>
      <c r="AQ130" s="1874">
        <f t="shared" si="34"/>
        <v>0</v>
      </c>
      <c r="AR130" s="1874">
        <f t="shared" si="34"/>
        <v>0</v>
      </c>
      <c r="AS130" s="1874">
        <f t="shared" si="34"/>
        <v>-3137</v>
      </c>
      <c r="AT130" s="1874">
        <f t="shared" si="34"/>
        <v>0</v>
      </c>
      <c r="AU130" s="1874">
        <f t="shared" si="34"/>
        <v>0</v>
      </c>
      <c r="AV130" s="1874">
        <f t="shared" si="34"/>
        <v>0</v>
      </c>
      <c r="AW130" s="1874">
        <f t="shared" si="34"/>
        <v>0</v>
      </c>
      <c r="AX130" s="1874">
        <f t="shared" si="34"/>
        <v>0</v>
      </c>
      <c r="AY130" s="1874">
        <f t="shared" si="34"/>
        <v>0</v>
      </c>
    </row>
    <row r="131" spans="1:51" x14ac:dyDescent="0.25">
      <c r="A131" s="270" t="s">
        <v>9</v>
      </c>
      <c r="D131" s="1875">
        <f>SUM(D126:D130)</f>
        <v>3746769.6700000004</v>
      </c>
      <c r="E131" s="1875">
        <f t="shared" ref="E131:AY131" si="35">SUM(E126:E130)</f>
        <v>21498706.399999999</v>
      </c>
      <c r="F131" s="1875">
        <f t="shared" si="35"/>
        <v>5535777.330000001</v>
      </c>
      <c r="G131" s="1875">
        <f t="shared" si="35"/>
        <v>1360319.38</v>
      </c>
      <c r="H131" s="1875">
        <f t="shared" si="35"/>
        <v>6896096.709999999</v>
      </c>
      <c r="I131" s="1875">
        <f t="shared" si="35"/>
        <v>32141572.779999997</v>
      </c>
      <c r="J131" s="1875">
        <f t="shared" si="35"/>
        <v>0</v>
      </c>
      <c r="K131" s="1875">
        <f t="shared" si="35"/>
        <v>21251695.340000004</v>
      </c>
      <c r="L131" s="1875">
        <f t="shared" si="35"/>
        <v>5312923.82</v>
      </c>
      <c r="M131" s="1875">
        <f t="shared" si="35"/>
        <v>-12</v>
      </c>
      <c r="N131" s="1875">
        <f t="shared" si="35"/>
        <v>1599</v>
      </c>
      <c r="O131" s="1875">
        <f t="shared" si="35"/>
        <v>26566206.16</v>
      </c>
      <c r="P131" s="1875">
        <f t="shared" si="35"/>
        <v>-116742.38</v>
      </c>
      <c r="Q131" s="1875">
        <f t="shared" si="35"/>
        <v>-112164.37</v>
      </c>
      <c r="R131" s="1875">
        <f t="shared" si="35"/>
        <v>0</v>
      </c>
      <c r="S131" s="1875">
        <f t="shared" si="35"/>
        <v>1660.6300000000015</v>
      </c>
      <c r="T131" s="1875">
        <f t="shared" si="35"/>
        <v>0</v>
      </c>
      <c r="U131" s="1875">
        <f t="shared" si="35"/>
        <v>-227246.12</v>
      </c>
      <c r="V131" s="1875">
        <f t="shared" si="35"/>
        <v>2110.6499999999996</v>
      </c>
      <c r="W131" s="1875">
        <f t="shared" si="35"/>
        <v>2027.88</v>
      </c>
      <c r="X131" s="1875">
        <f t="shared" si="35"/>
        <v>0</v>
      </c>
      <c r="Y131" s="1875">
        <f t="shared" si="35"/>
        <v>1428.86</v>
      </c>
      <c r="Z131" s="1875">
        <f t="shared" si="35"/>
        <v>0</v>
      </c>
      <c r="AA131" s="1875">
        <f t="shared" si="35"/>
        <v>5567.3899999999994</v>
      </c>
      <c r="AB131" s="1875">
        <f t="shared" si="35"/>
        <v>0</v>
      </c>
      <c r="AC131" s="1875">
        <f t="shared" si="35"/>
        <v>371422.36000000004</v>
      </c>
      <c r="AD131" s="1875">
        <f t="shared" si="35"/>
        <v>222853.50999999998</v>
      </c>
      <c r="AE131" s="1875">
        <f t="shared" si="35"/>
        <v>1284721.5399999996</v>
      </c>
      <c r="AF131" s="1875">
        <f t="shared" si="35"/>
        <v>62438.29</v>
      </c>
      <c r="AG131" s="1875">
        <f t="shared" si="35"/>
        <v>1941435.7</v>
      </c>
      <c r="AH131" s="1875">
        <f t="shared" si="35"/>
        <v>944191.4</v>
      </c>
      <c r="AI131" s="1875">
        <f t="shared" si="35"/>
        <v>0</v>
      </c>
      <c r="AJ131" s="1875">
        <f t="shared" si="35"/>
        <v>0</v>
      </c>
      <c r="AK131" s="1875">
        <f t="shared" si="35"/>
        <v>0</v>
      </c>
      <c r="AL131" s="1875">
        <f t="shared" si="35"/>
        <v>0</v>
      </c>
      <c r="AM131" s="1875">
        <f t="shared" si="35"/>
        <v>944191.4</v>
      </c>
      <c r="AN131" s="1875">
        <f t="shared" si="35"/>
        <v>0</v>
      </c>
      <c r="AO131" s="1875">
        <f t="shared" si="35"/>
        <v>-15684.81</v>
      </c>
      <c r="AP131" s="1875">
        <f t="shared" si="35"/>
        <v>0</v>
      </c>
      <c r="AQ131" s="1875">
        <f t="shared" si="35"/>
        <v>8149.09</v>
      </c>
      <c r="AR131" s="1875">
        <f t="shared" si="35"/>
        <v>0</v>
      </c>
      <c r="AS131" s="1875">
        <f t="shared" si="35"/>
        <v>-7535.7199999999993</v>
      </c>
      <c r="AT131" s="1875">
        <f t="shared" si="35"/>
        <v>2917210</v>
      </c>
      <c r="AU131" s="1875">
        <f t="shared" si="35"/>
        <v>1410</v>
      </c>
      <c r="AV131" s="1875">
        <f t="shared" si="35"/>
        <v>0</v>
      </c>
      <c r="AW131" s="1875">
        <f t="shared" si="35"/>
        <v>333.97</v>
      </c>
      <c r="AX131" s="1875">
        <f t="shared" si="35"/>
        <v>0</v>
      </c>
      <c r="AY131" s="1875">
        <f t="shared" si="35"/>
        <v>2918953.97</v>
      </c>
    </row>
    <row r="132" spans="1:51" x14ac:dyDescent="0.25">
      <c r="J132" s="1539"/>
      <c r="K132" s="1539"/>
      <c r="L132" s="1539"/>
      <c r="M132" s="1539"/>
      <c r="N132" s="1539"/>
      <c r="O132" s="1539"/>
      <c r="P132" s="1539"/>
      <c r="Q132" s="1539"/>
      <c r="R132" s="1539"/>
      <c r="S132" s="1539"/>
      <c r="T132" s="1539"/>
      <c r="U132" s="1539"/>
      <c r="V132" s="1539"/>
      <c r="W132" s="1539"/>
      <c r="X132" s="1539"/>
      <c r="Y132" s="1539"/>
      <c r="Z132" s="1539"/>
      <c r="AA132" s="1539"/>
      <c r="AB132" s="1539"/>
      <c r="AC132" s="1539"/>
      <c r="AD132" s="1539"/>
      <c r="AE132" s="1539"/>
      <c r="AF132" s="1539"/>
      <c r="AG132" s="1539"/>
      <c r="AH132" s="1539"/>
      <c r="AI132" s="1539"/>
      <c r="AJ132" s="1539"/>
      <c r="AK132" s="1539"/>
      <c r="AL132" s="1539"/>
      <c r="AM132" s="1539"/>
      <c r="AN132" s="1539"/>
      <c r="AO132" s="1539"/>
      <c r="AP132" s="1539"/>
      <c r="AQ132" s="1539"/>
      <c r="AR132" s="1539"/>
      <c r="AS132" s="1539"/>
      <c r="AT132" s="1539"/>
      <c r="AU132" s="1539"/>
      <c r="AV132" s="1539"/>
      <c r="AW132" s="1539"/>
      <c r="AX132" s="1539"/>
      <c r="AY132" s="1539"/>
    </row>
    <row r="133" spans="1:51" s="394" customFormat="1" x14ac:dyDescent="0.25">
      <c r="A133" s="394" t="s">
        <v>1193</v>
      </c>
      <c r="B133" s="715"/>
      <c r="C133" s="715"/>
      <c r="D133" s="665"/>
    </row>
    <row r="134" spans="1:51" s="394" customFormat="1" x14ac:dyDescent="0.25"/>
    <row r="135" spans="1:51" s="414" customFormat="1" x14ac:dyDescent="0.25">
      <c r="A135" s="414" t="s">
        <v>248</v>
      </c>
      <c r="H135" s="1775">
        <f>I4-'FC &amp; Adoptions LASER'!I4</f>
        <v>-131489371.62</v>
      </c>
    </row>
    <row r="136" spans="1:51" x14ac:dyDescent="0.25">
      <c r="A136" s="415" t="s">
        <v>249</v>
      </c>
      <c r="B136" s="416" t="s">
        <v>250</v>
      </c>
      <c r="C136" s="416"/>
      <c r="L136" s="270"/>
      <c r="M136" s="270"/>
      <c r="N136" s="270"/>
      <c r="O136" s="270"/>
      <c r="P136" s="270"/>
      <c r="Q136" s="270"/>
      <c r="R136" s="270"/>
      <c r="S136" s="270"/>
      <c r="T136" s="270"/>
      <c r="U136" s="270"/>
      <c r="V136" s="270"/>
      <c r="W136" s="270"/>
      <c r="X136" s="270"/>
      <c r="Y136" s="270"/>
      <c r="Z136" s="270"/>
      <c r="AA136" s="270"/>
      <c r="AB136" s="270"/>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row>
  </sheetData>
  <autoFilter ref="A3:C3"/>
  <hyperlinks>
    <hyperlink ref="B136" r:id="rId1"/>
  </hyperlinks>
  <pageMargins left="0.7" right="0.7" top="0.75" bottom="0.75" header="0.3" footer="0.3"/>
  <pageSetup orientation="portrait"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0"/>
  <sheetViews>
    <sheetView workbookViewId="0">
      <selection activeCell="E6" sqref="E6"/>
    </sheetView>
  </sheetViews>
  <sheetFormatPr defaultRowHeight="15.75" x14ac:dyDescent="0.25"/>
  <cols>
    <col min="1" max="1" width="6.125" style="134" bestFit="1" customWidth="1"/>
    <col min="2" max="2" width="29.375" style="157" customWidth="1"/>
    <col min="3" max="3" width="9.25" style="157" customWidth="1"/>
    <col min="4" max="5" width="17.375" bestFit="1" customWidth="1"/>
    <col min="6" max="6" width="13.375" customWidth="1"/>
    <col min="7" max="7" width="11.875" customWidth="1"/>
    <col min="8" max="9" width="13.875" customWidth="1"/>
  </cols>
  <sheetData>
    <row r="1" spans="1:9" x14ac:dyDescent="0.25">
      <c r="A1" s="730" t="s">
        <v>1091</v>
      </c>
      <c r="B1" s="731"/>
      <c r="C1" s="731"/>
    </row>
    <row r="4" spans="1:9" x14ac:dyDescent="0.25">
      <c r="A4" s="732" t="s">
        <v>4</v>
      </c>
      <c r="B4" s="182" t="s">
        <v>5</v>
      </c>
      <c r="C4" s="182" t="s">
        <v>251</v>
      </c>
      <c r="D4" s="64" t="s">
        <v>314</v>
      </c>
      <c r="E4" s="64" t="s">
        <v>315</v>
      </c>
      <c r="F4" s="64" t="s">
        <v>316</v>
      </c>
      <c r="G4" s="64" t="s">
        <v>304</v>
      </c>
      <c r="H4" s="64" t="s">
        <v>281</v>
      </c>
      <c r="I4" s="64" t="s">
        <v>662</v>
      </c>
    </row>
    <row r="5" spans="1:9" x14ac:dyDescent="0.25">
      <c r="A5" s="780" t="s">
        <v>8</v>
      </c>
      <c r="B5" s="781" t="s">
        <v>9</v>
      </c>
      <c r="C5" s="781"/>
      <c r="D5" s="1440">
        <f>SUM(D6:D125)</f>
        <v>5366373754.7350998</v>
      </c>
      <c r="E5" s="1440">
        <f t="shared" ref="E5:I5" si="0">SUM(E6:E125)</f>
        <v>4146814034.7971163</v>
      </c>
      <c r="F5" s="1440">
        <f t="shared" si="0"/>
        <v>144514159.45285523</v>
      </c>
      <c r="G5" s="1440">
        <f t="shared" si="0"/>
        <v>2483474.1399999997</v>
      </c>
      <c r="H5" s="1440">
        <f t="shared" si="0"/>
        <v>9660185423.1250706</v>
      </c>
      <c r="I5" s="1440">
        <f t="shared" si="0"/>
        <v>146997633.59285522</v>
      </c>
    </row>
    <row r="6" spans="1:9" x14ac:dyDescent="0.25">
      <c r="A6" s="740" t="s">
        <v>10</v>
      </c>
      <c r="B6" s="592" t="s">
        <v>11</v>
      </c>
      <c r="C6" s="741" t="s">
        <v>264</v>
      </c>
      <c r="D6" s="1441">
        <f>'Medicaid &amp; FAMIS - LASER'!E5+'SNAP LASER'!E5+'TANF LASER'!D5+'Energy Assistance LASER'!E5+'FC &amp; Adoptions LASER'!D5+'CSA LASER'!D5+'ChildCare LASER'!I5+'Other Benefits LASER'!D5</f>
        <v>35359065.794043504</v>
      </c>
      <c r="E6" s="1441">
        <f>'Medicaid &amp; FAMIS - LASER'!F5+'TANF LASER'!F5+'Energy Assistance LASER'!G5+'CSA LASER'!E5+'ChildCare LASER'!J5+'FC &amp; Adoptions LASER'!E5+'Other Benefits LASER'!E5</f>
        <v>25822052.318043504</v>
      </c>
      <c r="F6" s="1441">
        <f>'Medicaid &amp; FAMIS - LASER'!G5+'TANF LASER'!G5+'Energy Assistance LASER'!H5+'FC &amp; Adoptions LASER'!F5+'CSA LASER'!F5+'Other Benefits LASER'!F5</f>
        <v>321893.34294399997</v>
      </c>
      <c r="G6" s="1441">
        <f>'TANF LASER'!H5+'Energy Assistance LASER'!J5+'FC &amp; Adoptions LASER'!G5+'CSA LASER'!G5+'Other Benefits LASER'!G5</f>
        <v>-7.0000000000000007E-2</v>
      </c>
      <c r="H6" s="1441">
        <f>SUM(D6:G6)</f>
        <v>61503011.385031015</v>
      </c>
      <c r="I6" s="1441">
        <f t="shared" ref="I6:I69" si="1">F6+G6</f>
        <v>321893.27294399997</v>
      </c>
    </row>
    <row r="7" spans="1:9" x14ac:dyDescent="0.25">
      <c r="A7" s="740" t="s">
        <v>12</v>
      </c>
      <c r="B7" s="592" t="s">
        <v>13</v>
      </c>
      <c r="C7" s="741" t="s">
        <v>265</v>
      </c>
      <c r="D7" s="1441">
        <f>'Medicaid &amp; FAMIS - LASER'!E6+'SNAP LASER'!E6+'TANF LASER'!D6+'Energy Assistance LASER'!E6+'FC &amp; Adoptions LASER'!D6+'CSA LASER'!D6+'ChildCare LASER'!I6+'Other Benefits LASER'!D6</f>
        <v>41208594.029437423</v>
      </c>
      <c r="E7" s="1441">
        <f>'Medicaid &amp; FAMIS - LASER'!F6+'TANF LASER'!F6+'Energy Assistance LASER'!G6+'CSA LASER'!E6+'ChildCare LASER'!J6+'FC &amp; Adoptions LASER'!E6+'Other Benefits LASER'!E6</f>
        <v>36202298.546548165</v>
      </c>
      <c r="F7" s="1441">
        <f>'Medicaid &amp; FAMIS - LASER'!G6+'TANF LASER'!G6+'Energy Assistance LASER'!H6+'FC &amp; Adoptions LASER'!F6+'CSA LASER'!F6+'Other Benefits LASER'!F6</f>
        <v>4440847.74721325</v>
      </c>
      <c r="G7" s="1441">
        <f>'TANF LASER'!H6+'Energy Assistance LASER'!J6+'FC &amp; Adoptions LASER'!G6+'CSA LASER'!G6+'Other Benefits LASER'!G6</f>
        <v>-0.45</v>
      </c>
      <c r="H7" s="1441">
        <f t="shared" ref="H7:H70" si="2">SUM(D7:G7)</f>
        <v>81851739.873198822</v>
      </c>
      <c r="I7" s="1441">
        <f t="shared" si="1"/>
        <v>4440847.2972132498</v>
      </c>
    </row>
    <row r="8" spans="1:9" x14ac:dyDescent="0.25">
      <c r="A8" s="740" t="s">
        <v>16</v>
      </c>
      <c r="B8" s="592" t="s">
        <v>297</v>
      </c>
      <c r="C8" s="741" t="s">
        <v>265</v>
      </c>
      <c r="D8" s="1441">
        <f>'Medicaid &amp; FAMIS - LASER'!E7+'SNAP LASER'!E7+'TANF LASER'!D7+'Energy Assistance LASER'!E7+'FC &amp; Adoptions LASER'!D7+'CSA LASER'!D7+'ChildCare LASER'!I7+'Other Benefits LASER'!D7</f>
        <v>20969000.659602642</v>
      </c>
      <c r="E8" s="1441">
        <f>'Medicaid &amp; FAMIS - LASER'!F7+'TANF LASER'!F7+'Energy Assistance LASER'!G7+'CSA LASER'!E7+'ChildCare LASER'!J7+'FC &amp; Adoptions LASER'!E7+'Other Benefits LASER'!E7</f>
        <v>17742892.142042145</v>
      </c>
      <c r="F8" s="1441">
        <f>'Medicaid &amp; FAMIS - LASER'!G7+'TANF LASER'!G7+'Energy Assistance LASER'!H7+'FC &amp; Adoptions LASER'!F7+'CSA LASER'!F7+'Other Benefits LASER'!F7</f>
        <v>651103.53737250005</v>
      </c>
      <c r="G8" s="1441">
        <f>'TANF LASER'!H7+'Energy Assistance LASER'!J7+'FC &amp; Adoptions LASER'!G7+'CSA LASER'!G7+'Other Benefits LASER'!G7</f>
        <v>503.28</v>
      </c>
      <c r="H8" s="1441">
        <f t="shared" si="2"/>
        <v>39363499.619017288</v>
      </c>
      <c r="I8" s="1441">
        <f t="shared" si="1"/>
        <v>651606.81737250008</v>
      </c>
    </row>
    <row r="9" spans="1:9" x14ac:dyDescent="0.25">
      <c r="A9" s="740" t="s">
        <v>18</v>
      </c>
      <c r="B9" s="592" t="s">
        <v>19</v>
      </c>
      <c r="C9" s="741" t="s">
        <v>266</v>
      </c>
      <c r="D9" s="1441">
        <f>'Medicaid &amp; FAMIS - LASER'!E8+'SNAP LASER'!E8+'TANF LASER'!D8+'Energy Assistance LASER'!E8+'FC &amp; Adoptions LASER'!D8+'CSA LASER'!D8+'ChildCare LASER'!I8+'Other Benefits LASER'!D8</f>
        <v>10952133.407242432</v>
      </c>
      <c r="E9" s="1441">
        <f>'Medicaid &amp; FAMIS - LASER'!F8+'TANF LASER'!F8+'Energy Assistance LASER'!G8+'CSA LASER'!E8+'ChildCare LASER'!J8+'FC &amp; Adoptions LASER'!E8+'Other Benefits LASER'!E8</f>
        <v>8507774.9204399306</v>
      </c>
      <c r="F9" s="1441">
        <f>'Medicaid &amp; FAMIS - LASER'!G8+'TANF LASER'!G8+'Energy Assistance LASER'!H8+'FC &amp; Adoptions LASER'!F8+'CSA LASER'!F8+'Other Benefits LASER'!F8</f>
        <v>189326.2013625</v>
      </c>
      <c r="G9" s="1441">
        <f>'TANF LASER'!H8+'Energy Assistance LASER'!J8+'FC &amp; Adoptions LASER'!G8+'CSA LASER'!G8+'Other Benefits LASER'!G8</f>
        <v>-0.01</v>
      </c>
      <c r="H9" s="1441">
        <f t="shared" si="2"/>
        <v>19649234.519044861</v>
      </c>
      <c r="I9" s="1441">
        <f t="shared" si="1"/>
        <v>189326.19136249999</v>
      </c>
    </row>
    <row r="10" spans="1:9" x14ac:dyDescent="0.25">
      <c r="A10" s="740" t="s">
        <v>20</v>
      </c>
      <c r="B10" s="592" t="s">
        <v>21</v>
      </c>
      <c r="C10" s="741" t="s">
        <v>265</v>
      </c>
      <c r="D10" s="1441">
        <f>'Medicaid &amp; FAMIS - LASER'!E9+'SNAP LASER'!E9+'TANF LASER'!D9+'Energy Assistance LASER'!E9+'FC &amp; Adoptions LASER'!D9+'CSA LASER'!D9+'ChildCare LASER'!I9+'Other Benefits LASER'!D9</f>
        <v>26687074.354889918</v>
      </c>
      <c r="E10" s="1441">
        <f>'Medicaid &amp; FAMIS - LASER'!F9+'TANF LASER'!F9+'Energy Assistance LASER'!G9+'CSA LASER'!E9+'ChildCare LASER'!J9+'FC &amp; Adoptions LASER'!E9+'Other Benefits LASER'!E9</f>
        <v>21835267.882454921</v>
      </c>
      <c r="F10" s="1441">
        <f>'Medicaid &amp; FAMIS - LASER'!G9+'TANF LASER'!G9+'Energy Assistance LASER'!H9+'FC &amp; Adoptions LASER'!F9+'CSA LASER'!F9+'Other Benefits LASER'!F9</f>
        <v>431643.10611500003</v>
      </c>
      <c r="G10" s="1441">
        <f>'TANF LASER'!H9+'Energy Assistance LASER'!J9+'FC &amp; Adoptions LASER'!G9+'CSA LASER'!G9+'Other Benefits LASER'!G9</f>
        <v>-0.04</v>
      </c>
      <c r="H10" s="1441">
        <f t="shared" si="2"/>
        <v>48953985.303459838</v>
      </c>
      <c r="I10" s="1441">
        <f t="shared" si="1"/>
        <v>431643.06611500005</v>
      </c>
    </row>
    <row r="11" spans="1:9" x14ac:dyDescent="0.25">
      <c r="A11" s="740" t="s">
        <v>22</v>
      </c>
      <c r="B11" s="592" t="s">
        <v>23</v>
      </c>
      <c r="C11" s="741" t="s">
        <v>265</v>
      </c>
      <c r="D11" s="1441">
        <f>'Medicaid &amp; FAMIS - LASER'!E10+'SNAP LASER'!E10+'TANF LASER'!D10+'Energy Assistance LASER'!E10+'FC &amp; Adoptions LASER'!D10+'CSA LASER'!D10+'ChildCare LASER'!I10+'Other Benefits LASER'!D10</f>
        <v>15235161.991039263</v>
      </c>
      <c r="E11" s="1441">
        <f>'Medicaid &amp; FAMIS - LASER'!F10+'TANF LASER'!F10+'Energy Assistance LASER'!G10+'CSA LASER'!E10+'ChildCare LASER'!J10+'FC &amp; Adoptions LASER'!E10+'Other Benefits LASER'!E10</f>
        <v>12353620.266679263</v>
      </c>
      <c r="F11" s="1441">
        <f>'Medicaid &amp; FAMIS - LASER'!G10+'TANF LASER'!G10+'Energy Assistance LASER'!H10+'FC &amp; Adoptions LASER'!F10+'CSA LASER'!F10+'Other Benefits LASER'!F10</f>
        <v>553212.82968000008</v>
      </c>
      <c r="G11" s="1441">
        <f>'TANF LASER'!H10+'Energy Assistance LASER'!J10+'FC &amp; Adoptions LASER'!G10+'CSA LASER'!G10+'Other Benefits LASER'!G10</f>
        <v>-0.1</v>
      </c>
      <c r="H11" s="1441">
        <f t="shared" si="2"/>
        <v>28141994.987398524</v>
      </c>
      <c r="I11" s="1441">
        <f t="shared" si="1"/>
        <v>553212.72968000011</v>
      </c>
    </row>
    <row r="12" spans="1:9" x14ac:dyDescent="0.25">
      <c r="A12" s="740" t="s">
        <v>24</v>
      </c>
      <c r="B12" s="592" t="s">
        <v>25</v>
      </c>
      <c r="C12" s="741" t="s">
        <v>267</v>
      </c>
      <c r="D12" s="1441">
        <f>'Medicaid &amp; FAMIS - LASER'!E11+'SNAP LASER'!E11+'TANF LASER'!D11+'Energy Assistance LASER'!E11+'FC &amp; Adoptions LASER'!D11+'CSA LASER'!D11+'ChildCare LASER'!I11+'Other Benefits LASER'!D11</f>
        <v>66636218.678178109</v>
      </c>
      <c r="E12" s="1441">
        <f>'Medicaid &amp; FAMIS - LASER'!F11+'TANF LASER'!F11+'Energy Assistance LASER'!G11+'CSA LASER'!E11+'ChildCare LASER'!J11+'FC &amp; Adoptions LASER'!E11+'Other Benefits LASER'!E11</f>
        <v>55223204.012204863</v>
      </c>
      <c r="F12" s="1441">
        <f>'Medicaid &amp; FAMIS - LASER'!G11+'TANF LASER'!G11+'Energy Assistance LASER'!H11+'FC &amp; Adoptions LASER'!F11+'CSA LASER'!F11+'Other Benefits LASER'!F11</f>
        <v>3569041.5502652498</v>
      </c>
      <c r="G12" s="1441">
        <f>'TANF LASER'!H11+'Energy Assistance LASER'!J11+'FC &amp; Adoptions LASER'!G11+'CSA LASER'!G11+'Other Benefits LASER'!G11</f>
        <v>565439.49</v>
      </c>
      <c r="H12" s="1441">
        <f t="shared" si="2"/>
        <v>125993903.73064822</v>
      </c>
      <c r="I12" s="1441">
        <f t="shared" si="1"/>
        <v>4134481.04026525</v>
      </c>
    </row>
    <row r="13" spans="1:9" x14ac:dyDescent="0.25">
      <c r="A13" s="740" t="s">
        <v>26</v>
      </c>
      <c r="B13" s="592" t="s">
        <v>298</v>
      </c>
      <c r="C13" s="741" t="s">
        <v>265</v>
      </c>
      <c r="D13" s="1441">
        <f>'Medicaid &amp; FAMIS - LASER'!E12+'SNAP LASER'!E12+'TANF LASER'!D12+'Energy Assistance LASER'!E12+'FC &amp; Adoptions LASER'!D12+'CSA LASER'!D12+'ChildCare LASER'!I12+'Other Benefits LASER'!D12</f>
        <v>82643344.980618507</v>
      </c>
      <c r="E13" s="1441">
        <f>'Medicaid &amp; FAMIS - LASER'!F12+'TANF LASER'!F12+'Energy Assistance LASER'!G12+'CSA LASER'!E12+'ChildCare LASER'!J12+'FC &amp; Adoptions LASER'!E12+'Other Benefits LASER'!E12</f>
        <v>68075819.484780014</v>
      </c>
      <c r="F13" s="1441">
        <f>'Medicaid &amp; FAMIS - LASER'!G12+'TANF LASER'!G12+'Energy Assistance LASER'!H12+'FC &amp; Adoptions LASER'!F12+'CSA LASER'!F12+'Other Benefits LASER'!F12</f>
        <v>3345140.4663705002</v>
      </c>
      <c r="G13" s="1441">
        <f>'TANF LASER'!H12+'Energy Assistance LASER'!J12+'FC &amp; Adoptions LASER'!G12+'CSA LASER'!G12+'Other Benefits LASER'!G12</f>
        <v>28380.3</v>
      </c>
      <c r="H13" s="1441">
        <f t="shared" si="2"/>
        <v>154092685.23176903</v>
      </c>
      <c r="I13" s="1441">
        <f t="shared" si="1"/>
        <v>3373520.7663705</v>
      </c>
    </row>
    <row r="14" spans="1:9" x14ac:dyDescent="0.25">
      <c r="A14" s="740" t="s">
        <v>27</v>
      </c>
      <c r="B14" s="592" t="s">
        <v>28</v>
      </c>
      <c r="C14" s="741" t="s">
        <v>265</v>
      </c>
      <c r="D14" s="1441">
        <f>'Medicaid &amp; FAMIS - LASER'!E13+'SNAP LASER'!E13+'TANF LASER'!D13+'Energy Assistance LASER'!E13+'FC &amp; Adoptions LASER'!D13+'CSA LASER'!D13+'ChildCare LASER'!I13+'Other Benefits LASER'!D13</f>
        <v>2855367.564630542</v>
      </c>
      <c r="E14" s="1441">
        <f>'Medicaid &amp; FAMIS - LASER'!F13+'TANF LASER'!F13+'Energy Assistance LASER'!G13+'CSA LASER'!E13+'ChildCare LASER'!J13+'FC &amp; Adoptions LASER'!E13+'Other Benefits LASER'!E13</f>
        <v>2381747.5970685421</v>
      </c>
      <c r="F14" s="1441">
        <f>'Medicaid &amp; FAMIS - LASER'!G13+'TANF LASER'!G13+'Energy Assistance LASER'!H13+'FC &amp; Adoptions LASER'!F13+'CSA LASER'!F13+'Other Benefits LASER'!F13</f>
        <v>90173.699162000004</v>
      </c>
      <c r="G14" s="1441">
        <f>'TANF LASER'!H13+'Energy Assistance LASER'!J13+'FC &amp; Adoptions LASER'!G13+'CSA LASER'!G13+'Other Benefits LASER'!G13</f>
        <v>-0.04</v>
      </c>
      <c r="H14" s="1441">
        <f t="shared" si="2"/>
        <v>5327288.8208610844</v>
      </c>
      <c r="I14" s="1441">
        <f t="shared" si="1"/>
        <v>90173.659162000011</v>
      </c>
    </row>
    <row r="15" spans="1:9" x14ac:dyDescent="0.25">
      <c r="A15" s="740" t="s">
        <v>29</v>
      </c>
      <c r="B15" s="592" t="s">
        <v>941</v>
      </c>
      <c r="C15" s="741" t="s">
        <v>265</v>
      </c>
      <c r="D15" s="1441">
        <f>'Medicaid &amp; FAMIS - LASER'!E14+'SNAP LASER'!E14+'TANF LASER'!D14+'Energy Assistance LASER'!E14+'FC &amp; Adoptions LASER'!D14+'CSA LASER'!D14+'ChildCare LASER'!I14+'Other Benefits LASER'!D14</f>
        <v>43012625.358686239</v>
      </c>
      <c r="E15" s="1441">
        <f>'Medicaid &amp; FAMIS - LASER'!F14+'TANF LASER'!F14+'Energy Assistance LASER'!G14+'CSA LASER'!E14+'ChildCare LASER'!J14+'FC &amp; Adoptions LASER'!E14+'Other Benefits LASER'!E14</f>
        <v>34705233.78770224</v>
      </c>
      <c r="F15" s="1441">
        <f>'Medicaid &amp; FAMIS - LASER'!G14+'TANF LASER'!G14+'Energy Assistance LASER'!H14+'FC &amp; Adoptions LASER'!F14+'CSA LASER'!F14+'Other Benefits LASER'!F14</f>
        <v>654467.54592799989</v>
      </c>
      <c r="G15" s="1441">
        <f>'TANF LASER'!H14+'Energy Assistance LASER'!J14+'FC &amp; Adoptions LASER'!G14+'CSA LASER'!G14+'Other Benefits LASER'!G14</f>
        <v>-0.23</v>
      </c>
      <c r="H15" s="1441">
        <f t="shared" si="2"/>
        <v>78372326.462316468</v>
      </c>
      <c r="I15" s="1441">
        <f t="shared" si="1"/>
        <v>654467.31592799991</v>
      </c>
    </row>
    <row r="16" spans="1:9" x14ac:dyDescent="0.25">
      <c r="A16" s="740" t="s">
        <v>30</v>
      </c>
      <c r="B16" s="592" t="s">
        <v>31</v>
      </c>
      <c r="C16" s="741" t="s">
        <v>268</v>
      </c>
      <c r="D16" s="1441">
        <f>'Medicaid &amp; FAMIS - LASER'!E15+'SNAP LASER'!E15+'TANF LASER'!D15+'Energy Assistance LASER'!E15+'FC &amp; Adoptions LASER'!D15+'CSA LASER'!D15+'ChildCare LASER'!I15+'Other Benefits LASER'!D15</f>
        <v>3736921.0588873662</v>
      </c>
      <c r="E16" s="1441">
        <f>'Medicaid &amp; FAMIS - LASER'!F15+'TANF LASER'!F15+'Energy Assistance LASER'!G15+'CSA LASER'!E15+'ChildCare LASER'!J15+'FC &amp; Adoptions LASER'!E15+'Other Benefits LASER'!E15</f>
        <v>3188175.0726936162</v>
      </c>
      <c r="F16" s="1441">
        <f>'Medicaid &amp; FAMIS - LASER'!G15+'TANF LASER'!G15+'Energy Assistance LASER'!H15+'FC &amp; Adoptions LASER'!F15+'CSA LASER'!F15+'Other Benefits LASER'!F15</f>
        <v>94485.733393750008</v>
      </c>
      <c r="G16" s="1441">
        <f>'TANF LASER'!H15+'Energy Assistance LASER'!J15+'FC &amp; Adoptions LASER'!G15+'CSA LASER'!G15+'Other Benefits LASER'!G15</f>
        <v>0</v>
      </c>
      <c r="H16" s="1441">
        <f t="shared" si="2"/>
        <v>7019581.8649747325</v>
      </c>
      <c r="I16" s="1441">
        <f t="shared" si="1"/>
        <v>94485.733393750008</v>
      </c>
    </row>
    <row r="17" spans="1:9" x14ac:dyDescent="0.25">
      <c r="A17" s="740" t="s">
        <v>32</v>
      </c>
      <c r="B17" s="592" t="s">
        <v>33</v>
      </c>
      <c r="C17" s="741" t="s">
        <v>265</v>
      </c>
      <c r="D17" s="1441">
        <f>'Medicaid &amp; FAMIS - LASER'!E16+'SNAP LASER'!E16+'TANF LASER'!D16+'Energy Assistance LASER'!E16+'FC &amp; Adoptions LASER'!D16+'CSA LASER'!D16+'ChildCare LASER'!I16+'Other Benefits LASER'!D16</f>
        <v>15273567.060375903</v>
      </c>
      <c r="E17" s="1441">
        <f>'Medicaid &amp; FAMIS - LASER'!F16+'TANF LASER'!F16+'Energy Assistance LASER'!G16+'CSA LASER'!E16+'ChildCare LASER'!J16+'FC &amp; Adoptions LASER'!E16+'Other Benefits LASER'!E16</f>
        <v>13115972.692753404</v>
      </c>
      <c r="F17" s="1441">
        <f>'Medicaid &amp; FAMIS - LASER'!G16+'TANF LASER'!G16+'Energy Assistance LASER'!H16+'FC &amp; Adoptions LASER'!F16+'CSA LASER'!F16+'Other Benefits LASER'!F16</f>
        <v>455405.49542250001</v>
      </c>
      <c r="G17" s="1441">
        <f>'TANF LASER'!H16+'Energy Assistance LASER'!J16+'FC &amp; Adoptions LASER'!G16+'CSA LASER'!G16+'Other Benefits LASER'!G16</f>
        <v>0</v>
      </c>
      <c r="H17" s="1441">
        <f t="shared" si="2"/>
        <v>28844945.248551808</v>
      </c>
      <c r="I17" s="1441">
        <f t="shared" si="1"/>
        <v>455405.49542250001</v>
      </c>
    </row>
    <row r="18" spans="1:9" x14ac:dyDescent="0.25">
      <c r="A18" s="740" t="s">
        <v>36</v>
      </c>
      <c r="B18" s="592" t="s">
        <v>37</v>
      </c>
      <c r="C18" s="741" t="s">
        <v>264</v>
      </c>
      <c r="D18" s="1441">
        <f>'Medicaid &amp; FAMIS - LASER'!E17+'SNAP LASER'!E17+'TANF LASER'!D17+'Energy Assistance LASER'!E17+'FC &amp; Adoptions LASER'!D17+'CSA LASER'!D17+'ChildCare LASER'!I17+'Other Benefits LASER'!D17</f>
        <v>22646615.524207294</v>
      </c>
      <c r="E18" s="1441">
        <f>'Medicaid &amp; FAMIS - LASER'!F17+'TANF LASER'!F17+'Energy Assistance LASER'!G17+'CSA LASER'!E17+'ChildCare LASER'!J17+'FC &amp; Adoptions LASER'!E17+'Other Benefits LASER'!E17</f>
        <v>17413746.388002545</v>
      </c>
      <c r="F18" s="1441">
        <f>'Medicaid &amp; FAMIS - LASER'!G17+'TANF LASER'!G17+'Energy Assistance LASER'!H17+'FC &amp; Adoptions LASER'!F17+'CSA LASER'!F17+'Other Benefits LASER'!F17</f>
        <v>221771.01674875</v>
      </c>
      <c r="G18" s="1441">
        <f>'TANF LASER'!H17+'Energy Assistance LASER'!J17+'FC &amp; Adoptions LASER'!G17+'CSA LASER'!G17+'Other Benefits LASER'!G17</f>
        <v>0</v>
      </c>
      <c r="H18" s="1441">
        <f t="shared" si="2"/>
        <v>40282132.928958587</v>
      </c>
      <c r="I18" s="1441">
        <f t="shared" si="1"/>
        <v>221771.01674875</v>
      </c>
    </row>
    <row r="19" spans="1:9" x14ac:dyDescent="0.25">
      <c r="A19" s="740" t="s">
        <v>38</v>
      </c>
      <c r="B19" s="592" t="s">
        <v>39</v>
      </c>
      <c r="C19" s="741" t="s">
        <v>268</v>
      </c>
      <c r="D19" s="1441">
        <f>'Medicaid &amp; FAMIS - LASER'!E18+'SNAP LASER'!E18+'TANF LASER'!D18+'Energy Assistance LASER'!E18+'FC &amp; Adoptions LASER'!D18+'CSA LASER'!D18+'ChildCare LASER'!I18+'Other Benefits LASER'!D18</f>
        <v>26494670.026222378</v>
      </c>
      <c r="E19" s="1441">
        <f>'Medicaid &amp; FAMIS - LASER'!F18+'TANF LASER'!F18+'Energy Assistance LASER'!G18+'CSA LASER'!E18+'ChildCare LASER'!J18+'FC &amp; Adoptions LASER'!E18+'Other Benefits LASER'!E18</f>
        <v>20073491.048102379</v>
      </c>
      <c r="F19" s="1441">
        <f>'Medicaid &amp; FAMIS - LASER'!G18+'TANF LASER'!G18+'Energy Assistance LASER'!H18+'FC &amp; Adoptions LASER'!F18+'CSA LASER'!F18+'Other Benefits LASER'!F18</f>
        <v>584051.13300000003</v>
      </c>
      <c r="G19" s="1441">
        <f>'TANF LASER'!H18+'Energy Assistance LASER'!J18+'FC &amp; Adoptions LASER'!G18+'CSA LASER'!G18+'Other Benefits LASER'!G18</f>
        <v>-0.2</v>
      </c>
      <c r="H19" s="1441">
        <f t="shared" si="2"/>
        <v>47152212.007324755</v>
      </c>
      <c r="I19" s="1441">
        <f t="shared" si="1"/>
        <v>584050.93300000008</v>
      </c>
    </row>
    <row r="20" spans="1:9" x14ac:dyDescent="0.25">
      <c r="A20" s="740" t="s">
        <v>40</v>
      </c>
      <c r="B20" s="592" t="s">
        <v>41</v>
      </c>
      <c r="C20" s="741" t="s">
        <v>266</v>
      </c>
      <c r="D20" s="1441">
        <f>'Medicaid &amp; FAMIS - LASER'!E19+'SNAP LASER'!E19+'TANF LASER'!D19+'Energy Assistance LASER'!E19+'FC &amp; Adoptions LASER'!D19+'CSA LASER'!D19+'ChildCare LASER'!I19+'Other Benefits LASER'!D19</f>
        <v>16467268.282903424</v>
      </c>
      <c r="E20" s="1441">
        <f>'Medicaid &amp; FAMIS - LASER'!F19+'TANF LASER'!F19+'Energy Assistance LASER'!G19+'CSA LASER'!E19+'ChildCare LASER'!J19+'FC &amp; Adoptions LASER'!E19+'Other Benefits LASER'!E19</f>
        <v>13101277.546710048</v>
      </c>
      <c r="F20" s="1441">
        <f>'Medicaid &amp; FAMIS - LASER'!G19+'TANF LASER'!G19+'Energy Assistance LASER'!H19+'FC &amp; Adoptions LASER'!F19+'CSA LASER'!F19+'Other Benefits LASER'!F19</f>
        <v>430665.96312937501</v>
      </c>
      <c r="G20" s="1441">
        <f>'TANF LASER'!H19+'Energy Assistance LASER'!J19+'FC &amp; Adoptions LASER'!G19+'CSA LASER'!G19+'Other Benefits LASER'!G19</f>
        <v>-0.04</v>
      </c>
      <c r="H20" s="1441">
        <f t="shared" si="2"/>
        <v>29999211.752742846</v>
      </c>
      <c r="I20" s="1441">
        <f t="shared" si="1"/>
        <v>430665.92312937503</v>
      </c>
    </row>
    <row r="21" spans="1:9" x14ac:dyDescent="0.25">
      <c r="A21" s="740" t="s">
        <v>42</v>
      </c>
      <c r="B21" s="592" t="s">
        <v>43</v>
      </c>
      <c r="C21" s="741" t="s">
        <v>265</v>
      </c>
      <c r="D21" s="1441">
        <f>'Medicaid &amp; FAMIS - LASER'!E20+'SNAP LASER'!E20+'TANF LASER'!D20+'Energy Assistance LASER'!E20+'FC &amp; Adoptions LASER'!D20+'CSA LASER'!D20+'ChildCare LASER'!I20+'Other Benefits LASER'!D20</f>
        <v>45339372.806178123</v>
      </c>
      <c r="E21" s="1441">
        <f>'Medicaid &amp; FAMIS - LASER'!F20+'TANF LASER'!F20+'Energy Assistance LASER'!G20+'CSA LASER'!E20+'ChildCare LASER'!J20+'FC &amp; Adoptions LASER'!E20+'Other Benefits LASER'!E20</f>
        <v>35578564.879992872</v>
      </c>
      <c r="F21" s="1441">
        <f>'Medicaid &amp; FAMIS - LASER'!G20+'TANF LASER'!G20+'Energy Assistance LASER'!H20+'FC &amp; Adoptions LASER'!F20+'CSA LASER'!F20+'Other Benefits LASER'!F20</f>
        <v>848284.38740125007</v>
      </c>
      <c r="G21" s="1441">
        <f>'TANF LASER'!H20+'Energy Assistance LASER'!J20+'FC &amp; Adoptions LASER'!G20+'CSA LASER'!G20+'Other Benefits LASER'!G20</f>
        <v>8982.64</v>
      </c>
      <c r="H21" s="1441">
        <f t="shared" si="2"/>
        <v>81775204.713572249</v>
      </c>
      <c r="I21" s="1441">
        <f t="shared" si="1"/>
        <v>857267.02740125009</v>
      </c>
    </row>
    <row r="22" spans="1:9" x14ac:dyDescent="0.25">
      <c r="A22" s="740" t="s">
        <v>44</v>
      </c>
      <c r="B22" s="592" t="s">
        <v>45</v>
      </c>
      <c r="C22" s="741" t="s">
        <v>266</v>
      </c>
      <c r="D22" s="1441">
        <f>'Medicaid &amp; FAMIS - LASER'!E21+'SNAP LASER'!E21+'TANF LASER'!D21+'Energy Assistance LASER'!E21+'FC &amp; Adoptions LASER'!D21+'CSA LASER'!D21+'ChildCare LASER'!I21+'Other Benefits LASER'!D21</f>
        <v>23505348.527520839</v>
      </c>
      <c r="E22" s="1441">
        <f>'Medicaid &amp; FAMIS - LASER'!F21+'TANF LASER'!F21+'Energy Assistance LASER'!G21+'CSA LASER'!E21+'ChildCare LASER'!J21+'FC &amp; Adoptions LASER'!E21+'Other Benefits LASER'!E21</f>
        <v>17158332.779540844</v>
      </c>
      <c r="F22" s="1441">
        <f>'Medicaid &amp; FAMIS - LASER'!G21+'TANF LASER'!G21+'Energy Assistance LASER'!H21+'FC &amp; Adoptions LASER'!F21+'CSA LASER'!F21+'Other Benefits LASER'!F21</f>
        <v>768866.13172000006</v>
      </c>
      <c r="G22" s="1441">
        <f>'TANF LASER'!H21+'Energy Assistance LASER'!J21+'FC &amp; Adoptions LASER'!G21+'CSA LASER'!G21+'Other Benefits LASER'!G21</f>
        <v>-0.12</v>
      </c>
      <c r="H22" s="1441">
        <f t="shared" si="2"/>
        <v>41432547.318781689</v>
      </c>
      <c r="I22" s="1441">
        <f t="shared" si="1"/>
        <v>768866.01172000007</v>
      </c>
    </row>
    <row r="23" spans="1:9" x14ac:dyDescent="0.25">
      <c r="A23" s="740" t="s">
        <v>46</v>
      </c>
      <c r="B23" s="592" t="s">
        <v>47</v>
      </c>
      <c r="C23" s="741" t="s">
        <v>268</v>
      </c>
      <c r="D23" s="1441">
        <f>'Medicaid &amp; FAMIS - LASER'!E22+'SNAP LASER'!E22+'TANF LASER'!D22+'Energy Assistance LASER'!E22+'FC &amp; Adoptions LASER'!D22+'CSA LASER'!D22+'ChildCare LASER'!I22+'Other Benefits LASER'!D22</f>
        <v>30437639.371004123</v>
      </c>
      <c r="E23" s="1441">
        <f>'Medicaid &amp; FAMIS - LASER'!F22+'TANF LASER'!F22+'Energy Assistance LASER'!G22+'CSA LASER'!E22+'ChildCare LASER'!J22+'FC &amp; Adoptions LASER'!E22+'Other Benefits LASER'!E22</f>
        <v>23882102.453821626</v>
      </c>
      <c r="F23" s="1441">
        <f>'Medicaid &amp; FAMIS - LASER'!G22+'TANF LASER'!G22+'Energy Assistance LASER'!H22+'FC &amp; Adoptions LASER'!F22+'CSA LASER'!F22+'Other Benefits LASER'!F22</f>
        <v>538562.36998249998</v>
      </c>
      <c r="G23" s="1441">
        <f>'TANF LASER'!H22+'Energy Assistance LASER'!J22+'FC &amp; Adoptions LASER'!G22+'CSA LASER'!G22+'Other Benefits LASER'!G22</f>
        <v>-0.11</v>
      </c>
      <c r="H23" s="1441">
        <f t="shared" si="2"/>
        <v>54858304.084808253</v>
      </c>
      <c r="I23" s="1441">
        <f t="shared" si="1"/>
        <v>538562.25998249999</v>
      </c>
    </row>
    <row r="24" spans="1:9" x14ac:dyDescent="0.25">
      <c r="A24" s="740" t="s">
        <v>48</v>
      </c>
      <c r="B24" s="592" t="s">
        <v>269</v>
      </c>
      <c r="C24" s="741" t="s">
        <v>266</v>
      </c>
      <c r="D24" s="1441">
        <f>'Medicaid &amp; FAMIS - LASER'!E23+'SNAP LASER'!E23+'TANF LASER'!D23+'Energy Assistance LASER'!E23+'FC &amp; Adoptions LASER'!D23+'CSA LASER'!D23+'ChildCare LASER'!I23+'Other Benefits LASER'!D23</f>
        <v>5685200.8228120124</v>
      </c>
      <c r="E24" s="1441">
        <f>'Medicaid &amp; FAMIS - LASER'!F23+'TANF LASER'!F23+'Energy Assistance LASER'!G23+'CSA LASER'!E23+'ChildCare LASER'!J23+'FC &amp; Adoptions LASER'!E23+'Other Benefits LASER'!E23</f>
        <v>4202449.0706120124</v>
      </c>
      <c r="F24" s="1441">
        <f>'Medicaid &amp; FAMIS - LASER'!G23+'TANF LASER'!G23+'Energy Assistance LASER'!H23+'FC &amp; Adoptions LASER'!F23+'CSA LASER'!F23+'Other Benefits LASER'!F23</f>
        <v>69907.17</v>
      </c>
      <c r="G24" s="1441">
        <f>'TANF LASER'!H23+'Energy Assistance LASER'!J23+'FC &amp; Adoptions LASER'!G23+'CSA LASER'!G23+'Other Benefits LASER'!G23</f>
        <v>89</v>
      </c>
      <c r="H24" s="1441">
        <f t="shared" si="2"/>
        <v>9957646.0634240247</v>
      </c>
      <c r="I24" s="1441">
        <f t="shared" si="1"/>
        <v>69996.17</v>
      </c>
    </row>
    <row r="25" spans="1:9" x14ac:dyDescent="0.25">
      <c r="A25" s="740" t="s">
        <v>50</v>
      </c>
      <c r="B25" s="592" t="s">
        <v>51</v>
      </c>
      <c r="C25" s="741" t="s">
        <v>265</v>
      </c>
      <c r="D25" s="1441">
        <f>'Medicaid &amp; FAMIS - LASER'!E24+'SNAP LASER'!E24+'TANF LASER'!D24+'Energy Assistance LASER'!E24+'FC &amp; Adoptions LASER'!D24+'CSA LASER'!D24+'ChildCare LASER'!I24+'Other Benefits LASER'!D24</f>
        <v>12767834.403416431</v>
      </c>
      <c r="E25" s="1441">
        <f>'Medicaid &amp; FAMIS - LASER'!F24+'TANF LASER'!F24+'Energy Assistance LASER'!G24+'CSA LASER'!E24+'ChildCare LASER'!J24+'FC &amp; Adoptions LASER'!E24+'Other Benefits LASER'!E24</f>
        <v>10216931.591606433</v>
      </c>
      <c r="F25" s="1441">
        <f>'Medicaid &amp; FAMIS - LASER'!G24+'TANF LASER'!G24+'Energy Assistance LASER'!H24+'FC &amp; Adoptions LASER'!F24+'CSA LASER'!F24+'Other Benefits LASER'!F24</f>
        <v>326457.74621000001</v>
      </c>
      <c r="G25" s="1441">
        <f>'TANF LASER'!H24+'Energy Assistance LASER'!J24+'FC &amp; Adoptions LASER'!G24+'CSA LASER'!G24+'Other Benefits LASER'!G24</f>
        <v>-9.9999999999999992E-2</v>
      </c>
      <c r="H25" s="1441">
        <f t="shared" si="2"/>
        <v>23311223.641232863</v>
      </c>
      <c r="I25" s="1441">
        <f t="shared" si="1"/>
        <v>326457.64621000004</v>
      </c>
    </row>
    <row r="26" spans="1:9" x14ac:dyDescent="0.25">
      <c r="A26" s="740" t="s">
        <v>56</v>
      </c>
      <c r="B26" s="592" t="s">
        <v>295</v>
      </c>
      <c r="C26" s="741" t="s">
        <v>266</v>
      </c>
      <c r="D26" s="1441">
        <f>'Medicaid &amp; FAMIS - LASER'!E25+'SNAP LASER'!E25+'TANF LASER'!D25+'Energy Assistance LASER'!E25+'FC &amp; Adoptions LASER'!D25+'CSA LASER'!D25+'ChildCare LASER'!I25+'Other Benefits LASER'!D25</f>
        <v>198027785.08038157</v>
      </c>
      <c r="E26" s="1441">
        <f>'Medicaid &amp; FAMIS - LASER'!F25+'TANF LASER'!F25+'Energy Assistance LASER'!G25+'CSA LASER'!E25+'ChildCare LASER'!J25+'FC &amp; Adoptions LASER'!E25+'Other Benefits LASER'!E25</f>
        <v>151613711.4914982</v>
      </c>
      <c r="F26" s="1441">
        <f>'Medicaid &amp; FAMIS - LASER'!G25+'TANF LASER'!G25+'Energy Assistance LASER'!H25+'FC &amp; Adoptions LASER'!F25+'CSA LASER'!F25+'Other Benefits LASER'!F25</f>
        <v>4302223.6444193749</v>
      </c>
      <c r="G26" s="1441">
        <f>'TANF LASER'!H25+'Energy Assistance LASER'!J25+'FC &amp; Adoptions LASER'!G25+'CSA LASER'!G25+'Other Benefits LASER'!G25</f>
        <v>-147027.04</v>
      </c>
      <c r="H26" s="1441">
        <f t="shared" si="2"/>
        <v>353796693.1762991</v>
      </c>
      <c r="I26" s="1441">
        <f t="shared" si="1"/>
        <v>4155196.6044193748</v>
      </c>
    </row>
    <row r="27" spans="1:9" x14ac:dyDescent="0.25">
      <c r="A27" s="740" t="s">
        <v>58</v>
      </c>
      <c r="B27" s="592" t="s">
        <v>59</v>
      </c>
      <c r="C27" s="741" t="s">
        <v>267</v>
      </c>
      <c r="D27" s="1441">
        <f>'Medicaid &amp; FAMIS - LASER'!E26+'SNAP LASER'!E26+'TANF LASER'!D26+'Energy Assistance LASER'!E26+'FC &amp; Adoptions LASER'!D26+'CSA LASER'!D26+'ChildCare LASER'!I26+'Other Benefits LASER'!D26</f>
        <v>5583414.7813119153</v>
      </c>
      <c r="E27" s="1441">
        <f>'Medicaid &amp; FAMIS - LASER'!F26+'TANF LASER'!F26+'Energy Assistance LASER'!G26+'CSA LASER'!E26+'ChildCare LASER'!J26+'FC &amp; Adoptions LASER'!E26+'Other Benefits LASER'!E26</f>
        <v>4896553.9396904157</v>
      </c>
      <c r="F27" s="1441">
        <f>'Medicaid &amp; FAMIS - LASER'!G26+'TANF LASER'!G26+'Energy Assistance LASER'!H26+'FC &amp; Adoptions LASER'!F26+'CSA LASER'!F26+'Other Benefits LASER'!F26</f>
        <v>335717.04146150005</v>
      </c>
      <c r="G27" s="1441">
        <f>'TANF LASER'!H26+'Energy Assistance LASER'!J26+'FC &amp; Adoptions LASER'!G26+'CSA LASER'!G26+'Other Benefits LASER'!G26</f>
        <v>-71.099999999999994</v>
      </c>
      <c r="H27" s="1441">
        <f t="shared" si="2"/>
        <v>10815614.662463831</v>
      </c>
      <c r="I27" s="1441">
        <f t="shared" si="1"/>
        <v>335645.94146150007</v>
      </c>
    </row>
    <row r="28" spans="1:9" x14ac:dyDescent="0.25">
      <c r="A28" s="740" t="s">
        <v>60</v>
      </c>
      <c r="B28" s="592" t="s">
        <v>61</v>
      </c>
      <c r="C28" s="741" t="s">
        <v>265</v>
      </c>
      <c r="D28" s="1441">
        <f>'Medicaid &amp; FAMIS - LASER'!E27+'SNAP LASER'!E27+'TANF LASER'!D27+'Energy Assistance LASER'!E27+'FC &amp; Adoptions LASER'!D27+'CSA LASER'!D27+'ChildCare LASER'!I27+'Other Benefits LASER'!D27</f>
        <v>3454519.1927893278</v>
      </c>
      <c r="E28" s="1441">
        <f>'Medicaid &amp; FAMIS - LASER'!F27+'TANF LASER'!F27+'Energy Assistance LASER'!G27+'CSA LASER'!E27+'ChildCare LASER'!J27+'FC &amp; Adoptions LASER'!E27+'Other Benefits LASER'!E27</f>
        <v>2884576.0696780775</v>
      </c>
      <c r="F28" s="1441">
        <f>'Medicaid &amp; FAMIS - LASER'!G27+'TANF LASER'!G27+'Energy Assistance LASER'!H27+'FC &amp; Adoptions LASER'!F27+'CSA LASER'!F27+'Other Benefits LASER'!F27</f>
        <v>155890.43351125001</v>
      </c>
      <c r="G28" s="1441">
        <f>'TANF LASER'!H27+'Energy Assistance LASER'!J27+'FC &amp; Adoptions LASER'!G27+'CSA LASER'!G27+'Other Benefits LASER'!G27</f>
        <v>-7.0000000000000007E-2</v>
      </c>
      <c r="H28" s="1441">
        <f t="shared" si="2"/>
        <v>6494985.6259786543</v>
      </c>
      <c r="I28" s="1441">
        <f t="shared" si="1"/>
        <v>155890.36351125001</v>
      </c>
    </row>
    <row r="29" spans="1:9" x14ac:dyDescent="0.25">
      <c r="A29" s="740" t="s">
        <v>62</v>
      </c>
      <c r="B29" s="592" t="s">
        <v>63</v>
      </c>
      <c r="C29" s="741" t="s">
        <v>267</v>
      </c>
      <c r="D29" s="1441">
        <f>'Medicaid &amp; FAMIS - LASER'!E28+'SNAP LASER'!E28+'TANF LASER'!D28+'Energy Assistance LASER'!E28+'FC &amp; Adoptions LASER'!D28+'CSA LASER'!D28+'ChildCare LASER'!I28+'Other Benefits LASER'!D28</f>
        <v>35204567.812750138</v>
      </c>
      <c r="E29" s="1441">
        <f>'Medicaid &amp; FAMIS - LASER'!F28+'TANF LASER'!F28+'Energy Assistance LASER'!G28+'CSA LASER'!E28+'ChildCare LASER'!J28+'FC &amp; Adoptions LASER'!E28+'Other Benefits LASER'!E28</f>
        <v>28099183.315021887</v>
      </c>
      <c r="F29" s="1441">
        <f>'Medicaid &amp; FAMIS - LASER'!G28+'TANF LASER'!G28+'Energy Assistance LASER'!H28+'FC &amp; Adoptions LASER'!F28+'CSA LASER'!F28+'Other Benefits LASER'!F28</f>
        <v>1933042.87911625</v>
      </c>
      <c r="G29" s="1441">
        <f>'TANF LASER'!H28+'Energy Assistance LASER'!J28+'FC &amp; Adoptions LASER'!G28+'CSA LASER'!G28+'Other Benefits LASER'!G28</f>
        <v>563.70000000000005</v>
      </c>
      <c r="H29" s="1441">
        <f t="shared" si="2"/>
        <v>65237357.706888281</v>
      </c>
      <c r="I29" s="1441">
        <f t="shared" si="1"/>
        <v>1933606.5791162499</v>
      </c>
    </row>
    <row r="30" spans="1:9" x14ac:dyDescent="0.25">
      <c r="A30" s="740" t="s">
        <v>64</v>
      </c>
      <c r="B30" s="592" t="s">
        <v>65</v>
      </c>
      <c r="C30" s="741" t="s">
        <v>266</v>
      </c>
      <c r="D30" s="1441">
        <f>'Medicaid &amp; FAMIS - LASER'!E29+'SNAP LASER'!E29+'TANF LASER'!D29+'Energy Assistance LASER'!E29+'FC &amp; Adoptions LASER'!D29+'CSA LASER'!D29+'ChildCare LASER'!I29+'Other Benefits LASER'!D29</f>
        <v>11737810.207707524</v>
      </c>
      <c r="E30" s="1441">
        <f>'Medicaid &amp; FAMIS - LASER'!F29+'TANF LASER'!F29+'Energy Assistance LASER'!G29+'CSA LASER'!E29+'ChildCare LASER'!J29+'FC &amp; Adoptions LASER'!E29+'Other Benefits LASER'!E29</f>
        <v>9014136.849551525</v>
      </c>
      <c r="F30" s="1441">
        <f>'Medicaid &amp; FAMIS - LASER'!G29+'TANF LASER'!G29+'Energy Assistance LASER'!H29+'FC &amp; Adoptions LASER'!F29+'CSA LASER'!F29+'Other Benefits LASER'!F29</f>
        <v>209836.69409999999</v>
      </c>
      <c r="G30" s="1441">
        <f>'TANF LASER'!H29+'Energy Assistance LASER'!J29+'FC &amp; Adoptions LASER'!G29+'CSA LASER'!G29+'Other Benefits LASER'!G29</f>
        <v>-4.9999999999999996E-2</v>
      </c>
      <c r="H30" s="1441">
        <f t="shared" si="2"/>
        <v>20961783.701359048</v>
      </c>
      <c r="I30" s="1441">
        <f t="shared" si="1"/>
        <v>209836.6441</v>
      </c>
    </row>
    <row r="31" spans="1:9" x14ac:dyDescent="0.25">
      <c r="A31" s="740" t="s">
        <v>68</v>
      </c>
      <c r="B31" s="592" t="s">
        <v>69</v>
      </c>
      <c r="C31" s="741" t="s">
        <v>268</v>
      </c>
      <c r="D31" s="1441">
        <f>'Medicaid &amp; FAMIS - LASER'!E30+'SNAP LASER'!E30+'TANF LASER'!D30+'Energy Assistance LASER'!E30+'FC &amp; Adoptions LASER'!D30+'CSA LASER'!D30+'ChildCare LASER'!I30+'Other Benefits LASER'!D30</f>
        <v>18303579.935668673</v>
      </c>
      <c r="E31" s="1441">
        <f>'Medicaid &amp; FAMIS - LASER'!F30+'TANF LASER'!F30+'Energy Assistance LASER'!G30+'CSA LASER'!E30+'ChildCare LASER'!J30+'FC &amp; Adoptions LASER'!E30+'Other Benefits LASER'!E30</f>
        <v>14518544.30350117</v>
      </c>
      <c r="F31" s="1441">
        <f>'Medicaid &amp; FAMIS - LASER'!G30+'TANF LASER'!G30+'Energy Assistance LASER'!H30+'FC &amp; Adoptions LASER'!F30+'CSA LASER'!F30+'Other Benefits LASER'!F30</f>
        <v>461620.30320749996</v>
      </c>
      <c r="G31" s="1441">
        <f>'TANF LASER'!H30+'Energy Assistance LASER'!J30+'FC &amp; Adoptions LASER'!G30+'CSA LASER'!G30+'Other Benefits LASER'!G30</f>
        <v>-0.26</v>
      </c>
      <c r="H31" s="1441">
        <f t="shared" si="2"/>
        <v>33283744.282377344</v>
      </c>
      <c r="I31" s="1441">
        <f t="shared" si="1"/>
        <v>461620.04320749996</v>
      </c>
    </row>
    <row r="32" spans="1:9" x14ac:dyDescent="0.25">
      <c r="A32" s="740" t="s">
        <v>70</v>
      </c>
      <c r="B32" s="592" t="s">
        <v>71</v>
      </c>
      <c r="C32" s="741" t="s">
        <v>264</v>
      </c>
      <c r="D32" s="1441">
        <f>'Medicaid &amp; FAMIS - LASER'!E31+'SNAP LASER'!E31+'TANF LASER'!D31+'Energy Assistance LASER'!E31+'FC &amp; Adoptions LASER'!D31+'CSA LASER'!D31+'ChildCare LASER'!I31+'Other Benefits LASER'!D31</f>
        <v>25386028.719688699</v>
      </c>
      <c r="E32" s="1441">
        <f>'Medicaid &amp; FAMIS - LASER'!F31+'TANF LASER'!F31+'Energy Assistance LASER'!G31+'CSA LASER'!E31+'ChildCare LASER'!J31+'FC &amp; Adoptions LASER'!E31+'Other Benefits LASER'!E31</f>
        <v>19045808.443288699</v>
      </c>
      <c r="F32" s="1441">
        <f>'Medicaid &amp; FAMIS - LASER'!G31+'TANF LASER'!G31+'Energy Assistance LASER'!H31+'FC &amp; Adoptions LASER'!F31+'CSA LASER'!F31+'Other Benefits LASER'!F31</f>
        <v>710796.81319999998</v>
      </c>
      <c r="G32" s="1441">
        <f>'TANF LASER'!H31+'Energy Assistance LASER'!J31+'FC &amp; Adoptions LASER'!G31+'CSA LASER'!G31+'Other Benefits LASER'!G31</f>
        <v>5721.1500000000005</v>
      </c>
      <c r="H32" s="1441">
        <f t="shared" si="2"/>
        <v>45148355.126177393</v>
      </c>
      <c r="I32" s="1441">
        <f t="shared" si="1"/>
        <v>716517.9632</v>
      </c>
    </row>
    <row r="33" spans="1:9" x14ac:dyDescent="0.25">
      <c r="A33" s="740" t="s">
        <v>72</v>
      </c>
      <c r="B33" s="592" t="s">
        <v>73</v>
      </c>
      <c r="C33" s="741" t="s">
        <v>266</v>
      </c>
      <c r="D33" s="1441">
        <f>'Medicaid &amp; FAMIS - LASER'!E32+'SNAP LASER'!E32+'TANF LASER'!D32+'Energy Assistance LASER'!E32+'FC &amp; Adoptions LASER'!D32+'CSA LASER'!D32+'ChildCare LASER'!I32+'Other Benefits LASER'!D32</f>
        <v>12161791.41998475</v>
      </c>
      <c r="E33" s="1441">
        <f>'Medicaid &amp; FAMIS - LASER'!F32+'TANF LASER'!F32+'Energy Assistance LASER'!G32+'CSA LASER'!E32+'ChildCare LASER'!J32+'FC &amp; Adoptions LASER'!E32+'Other Benefits LASER'!E32</f>
        <v>8472335.6028009988</v>
      </c>
      <c r="F33" s="1441">
        <f>'Medicaid &amp; FAMIS - LASER'!G32+'TANF LASER'!G32+'Energy Assistance LASER'!H32+'FC &amp; Adoptions LASER'!F32+'CSA LASER'!F32+'Other Benefits LASER'!F32</f>
        <v>230177.51414374998</v>
      </c>
      <c r="G33" s="1441">
        <f>'TANF LASER'!H32+'Energy Assistance LASER'!J32+'FC &amp; Adoptions LASER'!G32+'CSA LASER'!G32+'Other Benefits LASER'!G32</f>
        <v>-0.01</v>
      </c>
      <c r="H33" s="1441">
        <f t="shared" si="2"/>
        <v>20864304.526929498</v>
      </c>
      <c r="I33" s="1441">
        <f t="shared" si="1"/>
        <v>230177.50414374997</v>
      </c>
    </row>
    <row r="34" spans="1:9" x14ac:dyDescent="0.25">
      <c r="A34" s="740" t="s">
        <v>74</v>
      </c>
      <c r="B34" s="592" t="s">
        <v>609</v>
      </c>
      <c r="C34" s="741" t="s">
        <v>267</v>
      </c>
      <c r="D34" s="1441">
        <f>'Medicaid &amp; FAMIS - LASER'!E33+'SNAP LASER'!E33+'TANF LASER'!D33+'Energy Assistance LASER'!E33+'FC &amp; Adoptions LASER'!D33+'CSA LASER'!D33+'ChildCare LASER'!I33+'Other Benefits LASER'!D33</f>
        <v>381074406.28780735</v>
      </c>
      <c r="E34" s="1441">
        <f>'Medicaid &amp; FAMIS - LASER'!F33+'TANF LASER'!F33+'Energy Assistance LASER'!G33+'CSA LASER'!E33+'ChildCare LASER'!J33+'FC &amp; Adoptions LASER'!E33+'Other Benefits LASER'!E33</f>
        <v>304933423.99403977</v>
      </c>
      <c r="F34" s="1441">
        <f>'Medicaid &amp; FAMIS - LASER'!G33+'TANF LASER'!G33+'Energy Assistance LASER'!H33+'FC &amp; Adoptions LASER'!F33+'CSA LASER'!F33+'Other Benefits LASER'!F33</f>
        <v>19229014.49426556</v>
      </c>
      <c r="G34" s="1441">
        <f>'TANF LASER'!H33+'Energy Assistance LASER'!J33+'FC &amp; Adoptions LASER'!G33+'CSA LASER'!G33+'Other Benefits LASER'!G33</f>
        <v>-0.58000000000000007</v>
      </c>
      <c r="H34" s="1441">
        <f t="shared" si="2"/>
        <v>705236844.19611263</v>
      </c>
      <c r="I34" s="1441">
        <f t="shared" si="1"/>
        <v>19229013.914265562</v>
      </c>
    </row>
    <row r="35" spans="1:9" x14ac:dyDescent="0.25">
      <c r="A35" s="740" t="s">
        <v>76</v>
      </c>
      <c r="B35" s="592" t="s">
        <v>77</v>
      </c>
      <c r="C35" s="741" t="s">
        <v>267</v>
      </c>
      <c r="D35" s="1441">
        <f>'Medicaid &amp; FAMIS - LASER'!E34+'SNAP LASER'!E34+'TANF LASER'!D34+'Energy Assistance LASER'!E34+'FC &amp; Adoptions LASER'!D34+'CSA LASER'!D34+'ChildCare LASER'!I34+'Other Benefits LASER'!D34</f>
        <v>30207170.439619094</v>
      </c>
      <c r="E35" s="1441">
        <f>'Medicaid &amp; FAMIS - LASER'!F34+'TANF LASER'!F34+'Energy Assistance LASER'!G34+'CSA LASER'!E34+'ChildCare LASER'!J34+'FC &amp; Adoptions LASER'!E34+'Other Benefits LASER'!E34</f>
        <v>26401785.755702589</v>
      </c>
      <c r="F35" s="1441">
        <f>'Medicaid &amp; FAMIS - LASER'!G34+'TANF LASER'!G34+'Energy Assistance LASER'!H34+'FC &amp; Adoptions LASER'!F34+'CSA LASER'!F34+'Other Benefits LASER'!F34</f>
        <v>2710760.2869165</v>
      </c>
      <c r="G35" s="1441">
        <f>'TANF LASER'!H34+'Energy Assistance LASER'!J34+'FC &amp; Adoptions LASER'!G34+'CSA LASER'!G34+'Other Benefits LASER'!G34</f>
        <v>22226.640000000003</v>
      </c>
      <c r="H35" s="1441">
        <f t="shared" si="2"/>
        <v>59341943.122238182</v>
      </c>
      <c r="I35" s="1441">
        <f t="shared" si="1"/>
        <v>2732986.9269165001</v>
      </c>
    </row>
    <row r="36" spans="1:9" x14ac:dyDescent="0.25">
      <c r="A36" s="740" t="s">
        <v>78</v>
      </c>
      <c r="B36" s="592" t="s">
        <v>79</v>
      </c>
      <c r="C36" s="741" t="s">
        <v>268</v>
      </c>
      <c r="D36" s="1441">
        <f>'Medicaid &amp; FAMIS - LASER'!E35+'SNAP LASER'!E35+'TANF LASER'!D35+'Energy Assistance LASER'!E35+'FC &amp; Adoptions LASER'!D35+'CSA LASER'!D35+'ChildCare LASER'!I35+'Other Benefits LASER'!D35</f>
        <v>12163991.31904285</v>
      </c>
      <c r="E36" s="1441">
        <f>'Medicaid &amp; FAMIS - LASER'!F35+'TANF LASER'!F35+'Energy Assistance LASER'!G35+'CSA LASER'!E35+'ChildCare LASER'!J35+'FC &amp; Adoptions LASER'!E35+'Other Benefits LASER'!E35</f>
        <v>9717915.2442603502</v>
      </c>
      <c r="F36" s="1441">
        <f>'Medicaid &amp; FAMIS - LASER'!G35+'TANF LASER'!G35+'Energy Assistance LASER'!H35+'FC &amp; Adoptions LASER'!F35+'CSA LASER'!F35+'Other Benefits LASER'!F35</f>
        <v>138776.8261025</v>
      </c>
      <c r="G36" s="1441">
        <f>'TANF LASER'!H35+'Energy Assistance LASER'!J35+'FC &amp; Adoptions LASER'!G35+'CSA LASER'!G35+'Other Benefits LASER'!G35</f>
        <v>-0.05</v>
      </c>
      <c r="H36" s="1441">
        <f t="shared" si="2"/>
        <v>22020683.339405701</v>
      </c>
      <c r="I36" s="1441">
        <f t="shared" si="1"/>
        <v>138776.77610250001</v>
      </c>
    </row>
    <row r="37" spans="1:9" x14ac:dyDescent="0.25">
      <c r="A37" s="740" t="s">
        <v>80</v>
      </c>
      <c r="B37" s="592" t="s">
        <v>81</v>
      </c>
      <c r="C37" s="741" t="s">
        <v>266</v>
      </c>
      <c r="D37" s="1441">
        <f>'Medicaid &amp; FAMIS - LASER'!E36+'SNAP LASER'!E36+'TANF LASER'!D36+'Energy Assistance LASER'!E36+'FC &amp; Adoptions LASER'!D36+'CSA LASER'!D36+'ChildCare LASER'!I36+'Other Benefits LASER'!D36</f>
        <v>12009120.048786562</v>
      </c>
      <c r="E37" s="1441">
        <f>'Medicaid &amp; FAMIS - LASER'!F36+'TANF LASER'!F36+'Energy Assistance LASER'!G36+'CSA LASER'!E36+'ChildCare LASER'!J36+'FC &amp; Adoptions LASER'!E36+'Other Benefits LASER'!E36</f>
        <v>10405220.368844688</v>
      </c>
      <c r="F37" s="1441">
        <f>'Medicaid &amp; FAMIS - LASER'!G36+'TANF LASER'!G36+'Energy Assistance LASER'!H36+'FC &amp; Adoptions LASER'!F36+'CSA LASER'!F36+'Other Benefits LASER'!F36</f>
        <v>767685.25054187502</v>
      </c>
      <c r="G37" s="1441">
        <f>'TANF LASER'!H36+'Energy Assistance LASER'!J36+'FC &amp; Adoptions LASER'!G36+'CSA LASER'!G36+'Other Benefits LASER'!G36</f>
        <v>-0.01</v>
      </c>
      <c r="H37" s="1441">
        <f t="shared" si="2"/>
        <v>23182025.658173122</v>
      </c>
      <c r="I37" s="1441">
        <f t="shared" si="1"/>
        <v>767685.24054187501</v>
      </c>
    </row>
    <row r="38" spans="1:9" x14ac:dyDescent="0.25">
      <c r="A38" s="740" t="s">
        <v>84</v>
      </c>
      <c r="B38" s="592" t="s">
        <v>308</v>
      </c>
      <c r="C38" s="741" t="s">
        <v>265</v>
      </c>
      <c r="D38" s="1441">
        <f>'Medicaid &amp; FAMIS - LASER'!E37+'SNAP LASER'!E37+'TANF LASER'!D37+'Energy Assistance LASER'!E37+'FC &amp; Adoptions LASER'!D37+'CSA LASER'!D37+'ChildCare LASER'!I37+'Other Benefits LASER'!D37</f>
        <v>42984367.566907957</v>
      </c>
      <c r="E38" s="1441">
        <f>'Medicaid &amp; FAMIS - LASER'!F37+'TANF LASER'!F37+'Energy Assistance LASER'!G37+'CSA LASER'!E37+'ChildCare LASER'!J37+'FC &amp; Adoptions LASER'!E37+'Other Benefits LASER'!E37</f>
        <v>34322407.91791746</v>
      </c>
      <c r="F38" s="1441">
        <f>'Medicaid &amp; FAMIS - LASER'!G37+'TANF LASER'!G37+'Energy Assistance LASER'!H37+'FC &amp; Adoptions LASER'!F37+'CSA LASER'!F37+'Other Benefits LASER'!F37</f>
        <v>1505015.9989825001</v>
      </c>
      <c r="G38" s="1441">
        <f>'TANF LASER'!H37+'Energy Assistance LASER'!J37+'FC &amp; Adoptions LASER'!G37+'CSA LASER'!G37+'Other Benefits LASER'!G37</f>
        <v>-0.16</v>
      </c>
      <c r="H38" s="1441">
        <f t="shared" si="2"/>
        <v>78811791.323807925</v>
      </c>
      <c r="I38" s="1441">
        <f t="shared" si="1"/>
        <v>1505015.8389825001</v>
      </c>
    </row>
    <row r="39" spans="1:9" x14ac:dyDescent="0.25">
      <c r="A39" s="740" t="s">
        <v>86</v>
      </c>
      <c r="B39" s="592" t="s">
        <v>87</v>
      </c>
      <c r="C39" s="741" t="s">
        <v>267</v>
      </c>
      <c r="D39" s="1441">
        <f>'Medicaid &amp; FAMIS - LASER'!E38+'SNAP LASER'!E38+'TANF LASER'!D38+'Energy Assistance LASER'!E38+'FC &amp; Adoptions LASER'!D38+'CSA LASER'!D38+'ChildCare LASER'!I38+'Other Benefits LASER'!D38</f>
        <v>38409167.647011004</v>
      </c>
      <c r="E39" s="1441">
        <f>'Medicaid &amp; FAMIS - LASER'!F38+'TANF LASER'!F38+'Energy Assistance LASER'!G38+'CSA LASER'!E38+'ChildCare LASER'!J38+'FC &amp; Adoptions LASER'!E38+'Other Benefits LASER'!E38</f>
        <v>29415323.148553014</v>
      </c>
      <c r="F39" s="1441">
        <f>'Medicaid &amp; FAMIS - LASER'!G38+'TANF LASER'!G38+'Energy Assistance LASER'!H38+'FC &amp; Adoptions LASER'!F38+'CSA LASER'!F38+'Other Benefits LASER'!F38</f>
        <v>978527.63170999999</v>
      </c>
      <c r="G39" s="1441">
        <f>'TANF LASER'!H38+'Energy Assistance LASER'!J38+'FC &amp; Adoptions LASER'!G38+'CSA LASER'!G38+'Other Benefits LASER'!G38</f>
        <v>4071.5</v>
      </c>
      <c r="H39" s="1441">
        <f t="shared" si="2"/>
        <v>68807089.927274019</v>
      </c>
      <c r="I39" s="1441">
        <f t="shared" si="1"/>
        <v>982599.13170999999</v>
      </c>
    </row>
    <row r="40" spans="1:9" x14ac:dyDescent="0.25">
      <c r="A40" s="740" t="s">
        <v>92</v>
      </c>
      <c r="B40" s="592" t="s">
        <v>93</v>
      </c>
      <c r="C40" s="741" t="s">
        <v>268</v>
      </c>
      <c r="D40" s="1441">
        <f>'Medicaid &amp; FAMIS - LASER'!E39+'SNAP LASER'!E39+'TANF LASER'!D39+'Energy Assistance LASER'!E39+'FC &amp; Adoptions LASER'!D39+'CSA LASER'!D39+'ChildCare LASER'!I39+'Other Benefits LASER'!D39</f>
        <v>15485240.390728487</v>
      </c>
      <c r="E40" s="1441">
        <f>'Medicaid &amp; FAMIS - LASER'!F39+'TANF LASER'!F39+'Energy Assistance LASER'!G39+'CSA LASER'!E39+'ChildCare LASER'!J39+'FC &amp; Adoptions LASER'!E39+'Other Benefits LASER'!E39</f>
        <v>12971144.152817238</v>
      </c>
      <c r="F40" s="1441">
        <f>'Medicaid &amp; FAMIS - LASER'!G39+'TANF LASER'!G39+'Energy Assistance LASER'!H39+'FC &amp; Adoptions LASER'!F39+'CSA LASER'!F39+'Other Benefits LASER'!F39</f>
        <v>378649.31811124994</v>
      </c>
      <c r="G40" s="1441">
        <f>'TANF LASER'!H39+'Energy Assistance LASER'!J39+'FC &amp; Adoptions LASER'!G39+'CSA LASER'!G39+'Other Benefits LASER'!G39</f>
        <v>-0.15</v>
      </c>
      <c r="H40" s="1441">
        <f t="shared" si="2"/>
        <v>28835033.711656973</v>
      </c>
      <c r="I40" s="1441">
        <f t="shared" si="1"/>
        <v>378649.16811124992</v>
      </c>
    </row>
    <row r="41" spans="1:9" x14ac:dyDescent="0.25">
      <c r="A41" s="740" t="s">
        <v>94</v>
      </c>
      <c r="B41" s="592" t="s">
        <v>95</v>
      </c>
      <c r="C41" s="741" t="s">
        <v>264</v>
      </c>
      <c r="D41" s="1441">
        <f>'Medicaid &amp; FAMIS - LASER'!E40+'SNAP LASER'!E40+'TANF LASER'!D40+'Energy Assistance LASER'!E40+'FC &amp; Adoptions LASER'!D40+'CSA LASER'!D40+'ChildCare LASER'!I40+'Other Benefits LASER'!D40</f>
        <v>23704049.075477108</v>
      </c>
      <c r="E41" s="1441">
        <f>'Medicaid &amp; FAMIS - LASER'!F40+'TANF LASER'!F40+'Energy Assistance LASER'!G40+'CSA LASER'!E40+'ChildCare LASER'!J40+'FC &amp; Adoptions LASER'!E40+'Other Benefits LASER'!E40</f>
        <v>18437737.394686114</v>
      </c>
      <c r="F41" s="1441">
        <f>'Medicaid &amp; FAMIS - LASER'!G40+'TANF LASER'!G40+'Energy Assistance LASER'!H40+'FC &amp; Adoptions LASER'!F40+'CSA LASER'!F40+'Other Benefits LASER'!F40</f>
        <v>587051.90679499996</v>
      </c>
      <c r="G41" s="1441">
        <f>'TANF LASER'!H40+'Energy Assistance LASER'!J40+'FC &amp; Adoptions LASER'!G40+'CSA LASER'!G40+'Other Benefits LASER'!G40</f>
        <v>-0.15</v>
      </c>
      <c r="H41" s="1441">
        <f t="shared" si="2"/>
        <v>42728838.22695823</v>
      </c>
      <c r="I41" s="1441">
        <f t="shared" si="1"/>
        <v>587051.75679499994</v>
      </c>
    </row>
    <row r="42" spans="1:9" x14ac:dyDescent="0.25">
      <c r="A42" s="740" t="s">
        <v>96</v>
      </c>
      <c r="B42" s="592" t="s">
        <v>97</v>
      </c>
      <c r="C42" s="741" t="s">
        <v>266</v>
      </c>
      <c r="D42" s="1441">
        <f>'Medicaid &amp; FAMIS - LASER'!E41+'SNAP LASER'!E41+'TANF LASER'!D41+'Energy Assistance LASER'!E41+'FC &amp; Adoptions LASER'!D41+'CSA LASER'!D41+'ChildCare LASER'!I41+'Other Benefits LASER'!D41</f>
        <v>8688514.9882960171</v>
      </c>
      <c r="E42" s="1441">
        <f>'Medicaid &amp; FAMIS - LASER'!F41+'TANF LASER'!F41+'Energy Assistance LASER'!G41+'CSA LASER'!E41+'ChildCare LASER'!J41+'FC &amp; Adoptions LASER'!E41+'Other Benefits LASER'!E41</f>
        <v>7050304.3235372677</v>
      </c>
      <c r="F42" s="1441">
        <f>'Medicaid &amp; FAMIS - LASER'!G41+'TANF LASER'!G41+'Energy Assistance LASER'!H41+'FC &amp; Adoptions LASER'!F41+'CSA LASER'!F41+'Other Benefits LASER'!F41</f>
        <v>631800.32415874989</v>
      </c>
      <c r="G42" s="1441">
        <f>'TANF LASER'!H41+'Energy Assistance LASER'!J41+'FC &amp; Adoptions LASER'!G41+'CSA LASER'!G41+'Other Benefits LASER'!G41</f>
        <v>100448.94</v>
      </c>
      <c r="H42" s="1441">
        <f t="shared" si="2"/>
        <v>16471068.575992035</v>
      </c>
      <c r="I42" s="1441">
        <f t="shared" si="1"/>
        <v>732249.26415874995</v>
      </c>
    </row>
    <row r="43" spans="1:9" x14ac:dyDescent="0.25">
      <c r="A43" s="740" t="s">
        <v>98</v>
      </c>
      <c r="B43" s="592" t="s">
        <v>99</v>
      </c>
      <c r="C43" s="741" t="s">
        <v>268</v>
      </c>
      <c r="D43" s="1441">
        <f>'Medicaid &amp; FAMIS - LASER'!E42+'SNAP LASER'!E42+'TANF LASER'!D42+'Energy Assistance LASER'!E42+'FC &amp; Adoptions LASER'!D42+'CSA LASER'!D42+'ChildCare LASER'!I42+'Other Benefits LASER'!D42</f>
        <v>15709778.814759357</v>
      </c>
      <c r="E43" s="1441">
        <f>'Medicaid &amp; FAMIS - LASER'!F42+'TANF LASER'!F42+'Energy Assistance LASER'!G42+'CSA LASER'!E42+'ChildCare LASER'!J42+'FC &amp; Adoptions LASER'!E42+'Other Benefits LASER'!E42</f>
        <v>12084840.497881856</v>
      </c>
      <c r="F43" s="1441">
        <f>'Medicaid &amp; FAMIS - LASER'!G42+'TANF LASER'!G42+'Energy Assistance LASER'!H42+'FC &amp; Adoptions LASER'!F42+'CSA LASER'!F42+'Other Benefits LASER'!F42</f>
        <v>216598.82975749997</v>
      </c>
      <c r="G43" s="1441">
        <f>'TANF LASER'!H42+'Energy Assistance LASER'!J42+'FC &amp; Adoptions LASER'!G42+'CSA LASER'!G42+'Other Benefits LASER'!G42</f>
        <v>-0.03</v>
      </c>
      <c r="H43" s="1441">
        <f t="shared" si="2"/>
        <v>28011218.11239871</v>
      </c>
      <c r="I43" s="1441">
        <f t="shared" si="1"/>
        <v>216598.79975749998</v>
      </c>
    </row>
    <row r="44" spans="1:9" x14ac:dyDescent="0.25">
      <c r="A44" s="740" t="s">
        <v>100</v>
      </c>
      <c r="B44" s="592" t="s">
        <v>101</v>
      </c>
      <c r="C44" s="741" t="s">
        <v>267</v>
      </c>
      <c r="D44" s="1441">
        <f>'Medicaid &amp; FAMIS - LASER'!E43+'SNAP LASER'!E43+'TANF LASER'!D43+'Energy Assistance LASER'!E43+'FC &amp; Adoptions LASER'!D43+'CSA LASER'!D43+'ChildCare LASER'!I43+'Other Benefits LASER'!D43</f>
        <v>12715179.579294471</v>
      </c>
      <c r="E44" s="1441">
        <f>'Medicaid &amp; FAMIS - LASER'!F43+'TANF LASER'!F43+'Energy Assistance LASER'!G43+'CSA LASER'!E43+'ChildCare LASER'!J43+'FC &amp; Adoptions LASER'!E43+'Other Benefits LASER'!E43</f>
        <v>10327276.137978969</v>
      </c>
      <c r="F44" s="1441">
        <f>'Medicaid &amp; FAMIS - LASER'!G43+'TANF LASER'!G43+'Energy Assistance LASER'!H43+'FC &amp; Adoptions LASER'!F43+'CSA LASER'!F43+'Other Benefits LASER'!F43</f>
        <v>604879.57936750003</v>
      </c>
      <c r="G44" s="1441">
        <f>'TANF LASER'!H43+'Energy Assistance LASER'!J43+'FC &amp; Adoptions LASER'!G43+'CSA LASER'!G43+'Other Benefits LASER'!G43</f>
        <v>-0.03</v>
      </c>
      <c r="H44" s="1441">
        <f t="shared" si="2"/>
        <v>23647335.266640939</v>
      </c>
      <c r="I44" s="1441">
        <f t="shared" si="1"/>
        <v>604879.5493675</v>
      </c>
    </row>
    <row r="45" spans="1:9" x14ac:dyDescent="0.25">
      <c r="A45" s="740" t="s">
        <v>102</v>
      </c>
      <c r="B45" s="592" t="s">
        <v>282</v>
      </c>
      <c r="C45" s="741" t="s">
        <v>264</v>
      </c>
      <c r="D45" s="1441">
        <f>'Medicaid &amp; FAMIS - LASER'!E44+'SNAP LASER'!E44+'TANF LASER'!D44+'Energy Assistance LASER'!E44+'FC &amp; Adoptions LASER'!D44+'CSA LASER'!D44+'ChildCare LASER'!I44+'Other Benefits LASER'!D44</f>
        <v>25006065.118098885</v>
      </c>
      <c r="E45" s="1441">
        <f>'Medicaid &amp; FAMIS - LASER'!F44+'TANF LASER'!F44+'Energy Assistance LASER'!G44+'CSA LASER'!E44+'ChildCare LASER'!J44+'FC &amp; Adoptions LASER'!E44+'Other Benefits LASER'!E44</f>
        <v>18909374.851996388</v>
      </c>
      <c r="F45" s="1441">
        <f>'Medicaid &amp; FAMIS - LASER'!G44+'TANF LASER'!G44+'Energy Assistance LASER'!H44+'FC &amp; Adoptions LASER'!F44+'CSA LASER'!F44+'Other Benefits LASER'!F44</f>
        <v>286411.41694249999</v>
      </c>
      <c r="G45" s="1441">
        <f>'TANF LASER'!H44+'Energy Assistance LASER'!J44+'FC &amp; Adoptions LASER'!G44+'CSA LASER'!G44+'Other Benefits LASER'!G44</f>
        <v>-0.02</v>
      </c>
      <c r="H45" s="1441">
        <f t="shared" si="2"/>
        <v>44201851.367037773</v>
      </c>
      <c r="I45" s="1441">
        <f t="shared" si="1"/>
        <v>286411.39694249997</v>
      </c>
    </row>
    <row r="46" spans="1:9" x14ac:dyDescent="0.25">
      <c r="A46" s="740" t="s">
        <v>104</v>
      </c>
      <c r="B46" s="592" t="s">
        <v>602</v>
      </c>
      <c r="C46" s="741" t="s">
        <v>265</v>
      </c>
      <c r="D46" s="1441">
        <f>'Medicaid &amp; FAMIS - LASER'!E45+'SNAP LASER'!E45+'TANF LASER'!D45+'Energy Assistance LASER'!E45+'FC &amp; Adoptions LASER'!D45+'CSA LASER'!D45+'ChildCare LASER'!I45+'Other Benefits LASER'!D45</f>
        <v>43126850.05449076</v>
      </c>
      <c r="E46" s="1441">
        <f>'Medicaid &amp; FAMIS - LASER'!F45+'TANF LASER'!F45+'Energy Assistance LASER'!G45+'CSA LASER'!E45+'ChildCare LASER'!J45+'FC &amp; Adoptions LASER'!E45+'Other Benefits LASER'!E45</f>
        <v>34481748.405045263</v>
      </c>
      <c r="F46" s="1441">
        <f>'Medicaid &amp; FAMIS - LASER'!G45+'TANF LASER'!G45+'Energy Assistance LASER'!H45+'FC &amp; Adoptions LASER'!F45+'CSA LASER'!F45+'Other Benefits LASER'!F45</f>
        <v>756509.59513749997</v>
      </c>
      <c r="G46" s="1441">
        <f>'TANF LASER'!H45+'Energy Assistance LASER'!J45+'FC &amp; Adoptions LASER'!G45+'CSA LASER'!G45+'Other Benefits LASER'!G45</f>
        <v>-0.06</v>
      </c>
      <c r="H46" s="1441">
        <f t="shared" si="2"/>
        <v>78365107.99467352</v>
      </c>
      <c r="I46" s="1441">
        <f t="shared" si="1"/>
        <v>756509.53513749992</v>
      </c>
    </row>
    <row r="47" spans="1:9" x14ac:dyDescent="0.25">
      <c r="A47" s="740" t="s">
        <v>108</v>
      </c>
      <c r="B47" s="592" t="s">
        <v>109</v>
      </c>
      <c r="C47" s="741" t="s">
        <v>266</v>
      </c>
      <c r="D47" s="1441">
        <f>'Medicaid &amp; FAMIS - LASER'!E46+'SNAP LASER'!E46+'TANF LASER'!D46+'Energy Assistance LASER'!E46+'FC &amp; Adoptions LASER'!D46+'CSA LASER'!D46+'ChildCare LASER'!I46+'Other Benefits LASER'!D46</f>
        <v>38834124.034531608</v>
      </c>
      <c r="E47" s="1441">
        <f>'Medicaid &amp; FAMIS - LASER'!F46+'TANF LASER'!F46+'Energy Assistance LASER'!G46+'CSA LASER'!E46+'ChildCare LASER'!J46+'FC &amp; Adoptions LASER'!E46+'Other Benefits LASER'!E46</f>
        <v>31675848.850239109</v>
      </c>
      <c r="F47" s="1441">
        <f>'Medicaid &amp; FAMIS - LASER'!G46+'TANF LASER'!G46+'Energy Assistance LASER'!H46+'FC &amp; Adoptions LASER'!F46+'CSA LASER'!F46+'Other Benefits LASER'!F46</f>
        <v>1814235.8512925</v>
      </c>
      <c r="G47" s="1441">
        <f>'TANF LASER'!H46+'Energy Assistance LASER'!J46+'FC &amp; Adoptions LASER'!G46+'CSA LASER'!G46+'Other Benefits LASER'!G46</f>
        <v>-0.21999999999999997</v>
      </c>
      <c r="H47" s="1441">
        <f t="shared" si="2"/>
        <v>72324208.516063228</v>
      </c>
      <c r="I47" s="1441">
        <f t="shared" si="1"/>
        <v>1814235.6312925001</v>
      </c>
    </row>
    <row r="48" spans="1:9" x14ac:dyDescent="0.25">
      <c r="A48" s="740" t="s">
        <v>110</v>
      </c>
      <c r="B48" s="592" t="s">
        <v>111</v>
      </c>
      <c r="C48" s="741" t="s">
        <v>266</v>
      </c>
      <c r="D48" s="1441">
        <f>'Medicaid &amp; FAMIS - LASER'!E47+'SNAP LASER'!E47+'TANF LASER'!D47+'Energy Assistance LASER'!E47+'FC &amp; Adoptions LASER'!D47+'CSA LASER'!D47+'ChildCare LASER'!I47+'Other Benefits LASER'!D47</f>
        <v>202297349.53211406</v>
      </c>
      <c r="E48" s="1441">
        <f>'Medicaid &amp; FAMIS - LASER'!F47+'TANF LASER'!F47+'Energy Assistance LASER'!G47+'CSA LASER'!E47+'ChildCare LASER'!J47+'FC &amp; Adoptions LASER'!E47+'Other Benefits LASER'!E47</f>
        <v>151064800.3864691</v>
      </c>
      <c r="F48" s="1441">
        <f>'Medicaid &amp; FAMIS - LASER'!G47+'TANF LASER'!G47+'Energy Assistance LASER'!H47+'FC &amp; Adoptions LASER'!F47+'CSA LASER'!F47+'Other Benefits LASER'!F47</f>
        <v>4463820.0862468751</v>
      </c>
      <c r="G48" s="1441">
        <f>'TANF LASER'!H47+'Energy Assistance LASER'!J47+'FC &amp; Adoptions LASER'!G47+'CSA LASER'!G47+'Other Benefits LASER'!G47</f>
        <v>-0.47000000000000003</v>
      </c>
      <c r="H48" s="1441">
        <f t="shared" si="2"/>
        <v>357825969.53482997</v>
      </c>
      <c r="I48" s="1441">
        <f t="shared" si="1"/>
        <v>4463819.6162468754</v>
      </c>
    </row>
    <row r="49" spans="1:9" x14ac:dyDescent="0.25">
      <c r="A49" s="740" t="s">
        <v>112</v>
      </c>
      <c r="B49" s="592" t="s">
        <v>300</v>
      </c>
      <c r="C49" s="741" t="s">
        <v>265</v>
      </c>
      <c r="D49" s="1441">
        <f>'Medicaid &amp; FAMIS - LASER'!E48+'SNAP LASER'!E48+'TANF LASER'!D48+'Energy Assistance LASER'!E48+'FC &amp; Adoptions LASER'!D48+'CSA LASER'!D48+'ChildCare LASER'!I48+'Other Benefits LASER'!D48</f>
        <v>88747270.183764771</v>
      </c>
      <c r="E49" s="1441">
        <f>'Medicaid &amp; FAMIS - LASER'!F48+'TANF LASER'!F48+'Energy Assistance LASER'!G48+'CSA LASER'!E48+'ChildCare LASER'!J48+'FC &amp; Adoptions LASER'!E48+'Other Benefits LASER'!E48</f>
        <v>64560272.652480662</v>
      </c>
      <c r="F49" s="1441">
        <f>'Medicaid &amp; FAMIS - LASER'!G48+'TANF LASER'!G48+'Energy Assistance LASER'!H48+'FC &amp; Adoptions LASER'!F48+'CSA LASER'!F48+'Other Benefits LASER'!F48</f>
        <v>396635.720848125</v>
      </c>
      <c r="G49" s="1441">
        <f>'TANF LASER'!H48+'Energy Assistance LASER'!J48+'FC &amp; Adoptions LASER'!G48+'CSA LASER'!G48+'Other Benefits LASER'!G48</f>
        <v>-6.0000000000000005E-2</v>
      </c>
      <c r="H49" s="1441">
        <f t="shared" si="2"/>
        <v>153704178.49709353</v>
      </c>
      <c r="I49" s="1441">
        <f t="shared" si="1"/>
        <v>396635.660848125</v>
      </c>
    </row>
    <row r="50" spans="1:9" x14ac:dyDescent="0.25">
      <c r="A50" s="740" t="s">
        <v>114</v>
      </c>
      <c r="B50" s="592" t="s">
        <v>115</v>
      </c>
      <c r="C50" s="741" t="s">
        <v>265</v>
      </c>
      <c r="D50" s="1441">
        <f>'Medicaid &amp; FAMIS - LASER'!E49+'SNAP LASER'!E49+'TANF LASER'!D49+'Energy Assistance LASER'!E49+'FC &amp; Adoptions LASER'!D49+'CSA LASER'!D49+'ChildCare LASER'!I49+'Other Benefits LASER'!D49</f>
        <v>1275533.2460862421</v>
      </c>
      <c r="E50" s="1441">
        <f>'Medicaid &amp; FAMIS - LASER'!F49+'TANF LASER'!F49+'Energy Assistance LASER'!G49+'CSA LASER'!E49+'ChildCare LASER'!J49+'FC &amp; Adoptions LASER'!E49+'Other Benefits LASER'!E49</f>
        <v>1048610.6621412423</v>
      </c>
      <c r="F50" s="1441">
        <f>'Medicaid &amp; FAMIS - LASER'!G49+'TANF LASER'!G49+'Energy Assistance LASER'!H49+'FC &amp; Adoptions LASER'!F49+'CSA LASER'!F49+'Other Benefits LASER'!F49</f>
        <v>8525.0247450000006</v>
      </c>
      <c r="G50" s="1441">
        <f>'TANF LASER'!H49+'Energy Assistance LASER'!J49+'FC &amp; Adoptions LASER'!G49+'CSA LASER'!G49+'Other Benefits LASER'!G49</f>
        <v>0</v>
      </c>
      <c r="H50" s="1441">
        <f t="shared" si="2"/>
        <v>2332668.9329724847</v>
      </c>
      <c r="I50" s="1441">
        <f t="shared" si="1"/>
        <v>8525.0247450000006</v>
      </c>
    </row>
    <row r="51" spans="1:9" x14ac:dyDescent="0.25">
      <c r="A51" s="740" t="s">
        <v>118</v>
      </c>
      <c r="B51" s="592" t="s">
        <v>119</v>
      </c>
      <c r="C51" s="741" t="s">
        <v>264</v>
      </c>
      <c r="D51" s="1441">
        <f>'Medicaid &amp; FAMIS - LASER'!E50+'SNAP LASER'!E50+'TANF LASER'!D50+'Energy Assistance LASER'!E50+'FC &amp; Adoptions LASER'!D50+'CSA LASER'!D50+'ChildCare LASER'!I50+'Other Benefits LASER'!D50</f>
        <v>22524207.2915584</v>
      </c>
      <c r="E51" s="1441">
        <f>'Medicaid &amp; FAMIS - LASER'!F50+'TANF LASER'!F50+'Energy Assistance LASER'!G50+'CSA LASER'!E50+'ChildCare LASER'!J50+'FC &amp; Adoptions LASER'!E50+'Other Benefits LASER'!E50</f>
        <v>16707706.760737337</v>
      </c>
      <c r="F51" s="1441">
        <f>'Medicaid &amp; FAMIS - LASER'!G50+'TANF LASER'!G50+'Energy Assistance LASER'!H50+'FC &amp; Adoptions LASER'!F50+'CSA LASER'!F50+'Other Benefits LASER'!F50</f>
        <v>88275.200925062498</v>
      </c>
      <c r="G51" s="1441">
        <f>'TANF LASER'!H50+'Energy Assistance LASER'!J50+'FC &amp; Adoptions LASER'!G50+'CSA LASER'!G50+'Other Benefits LASER'!G50</f>
        <v>275.37</v>
      </c>
      <c r="H51" s="1441">
        <f t="shared" si="2"/>
        <v>39320464.623220794</v>
      </c>
      <c r="I51" s="1441">
        <f t="shared" si="1"/>
        <v>88550.570925062493</v>
      </c>
    </row>
    <row r="52" spans="1:9" x14ac:dyDescent="0.25">
      <c r="A52" s="740" t="s">
        <v>120</v>
      </c>
      <c r="B52" s="592" t="s">
        <v>121</v>
      </c>
      <c r="C52" s="741" t="s">
        <v>264</v>
      </c>
      <c r="D52" s="1441">
        <f>'Medicaid &amp; FAMIS - LASER'!E51+'SNAP LASER'!E51+'TANF LASER'!D51+'Energy Assistance LASER'!E51+'FC &amp; Adoptions LASER'!D51+'CSA LASER'!D51+'ChildCare LASER'!I51+'Other Benefits LASER'!D51</f>
        <v>23685131.859003574</v>
      </c>
      <c r="E52" s="1441">
        <f>'Medicaid &amp; FAMIS - LASER'!F51+'TANF LASER'!F51+'Energy Assistance LASER'!G51+'CSA LASER'!E51+'ChildCare LASER'!J51+'FC &amp; Adoptions LASER'!E51+'Other Benefits LASER'!E51</f>
        <v>16408925.57162633</v>
      </c>
      <c r="F52" s="1441">
        <f>'Medicaid &amp; FAMIS - LASER'!G51+'TANF LASER'!G51+'Energy Assistance LASER'!H51+'FC &amp; Adoptions LASER'!F51+'CSA LASER'!F51+'Other Benefits LASER'!F51</f>
        <v>375084.83778124995</v>
      </c>
      <c r="G52" s="1441">
        <f>'TANF LASER'!H51+'Energy Assistance LASER'!J51+'FC &amp; Adoptions LASER'!G51+'CSA LASER'!G51+'Other Benefits LASER'!G51</f>
        <v>1159.08</v>
      </c>
      <c r="H52" s="1441">
        <f t="shared" si="2"/>
        <v>40470301.34841115</v>
      </c>
      <c r="I52" s="1441">
        <f t="shared" si="1"/>
        <v>376243.91778124997</v>
      </c>
    </row>
    <row r="53" spans="1:9" x14ac:dyDescent="0.25">
      <c r="A53" s="740" t="s">
        <v>122</v>
      </c>
      <c r="B53" s="592" t="s">
        <v>271</v>
      </c>
      <c r="C53" s="741" t="s">
        <v>266</v>
      </c>
      <c r="D53" s="1441">
        <f>'Medicaid &amp; FAMIS - LASER'!E52+'SNAP LASER'!E52+'TANF LASER'!D52+'Energy Assistance LASER'!E52+'FC &amp; Adoptions LASER'!D52+'CSA LASER'!D52+'ChildCare LASER'!I52+'Other Benefits LASER'!D52</f>
        <v>6325668.8913479615</v>
      </c>
      <c r="E53" s="1441">
        <f>'Medicaid &amp; FAMIS - LASER'!F52+'TANF LASER'!F52+'Energy Assistance LASER'!G52+'CSA LASER'!E52+'ChildCare LASER'!J52+'FC &amp; Adoptions LASER'!E52+'Other Benefits LASER'!E52</f>
        <v>4875839.0643679602</v>
      </c>
      <c r="F53" s="1441">
        <f>'Medicaid &amp; FAMIS - LASER'!G52+'TANF LASER'!G52+'Energy Assistance LASER'!H52+'FC &amp; Adoptions LASER'!F52+'CSA LASER'!F52+'Other Benefits LASER'!F52</f>
        <v>218851.6213</v>
      </c>
      <c r="G53" s="1441">
        <f>'TANF LASER'!H52+'Energy Assistance LASER'!J52+'FC &amp; Adoptions LASER'!G52+'CSA LASER'!G52+'Other Benefits LASER'!G52</f>
        <v>0.02</v>
      </c>
      <c r="H53" s="1441">
        <f t="shared" si="2"/>
        <v>11420359.597015921</v>
      </c>
      <c r="I53" s="1441">
        <f t="shared" si="1"/>
        <v>218851.64129999999</v>
      </c>
    </row>
    <row r="54" spans="1:9" x14ac:dyDescent="0.25">
      <c r="A54" s="740" t="s">
        <v>124</v>
      </c>
      <c r="B54" s="592" t="s">
        <v>125</v>
      </c>
      <c r="C54" s="741" t="s">
        <v>267</v>
      </c>
      <c r="D54" s="1441">
        <f>'Medicaid &amp; FAMIS - LASER'!E53+'SNAP LASER'!E53+'TANF LASER'!D53+'Energy Assistance LASER'!E53+'FC &amp; Adoptions LASER'!D53+'CSA LASER'!D53+'ChildCare LASER'!I53+'Other Benefits LASER'!D53</f>
        <v>13600313.377871983</v>
      </c>
      <c r="E54" s="1441">
        <f>'Medicaid &amp; FAMIS - LASER'!F53+'TANF LASER'!F53+'Energy Assistance LASER'!G53+'CSA LASER'!E53+'ChildCare LASER'!J53+'FC &amp; Adoptions LASER'!E53+'Other Benefits LASER'!E53</f>
        <v>9745284.7950082328</v>
      </c>
      <c r="F54" s="1441">
        <f>'Medicaid &amp; FAMIS - LASER'!G53+'TANF LASER'!G53+'Energy Assistance LASER'!H53+'FC &amp; Adoptions LASER'!F53+'CSA LASER'!F53+'Other Benefits LASER'!F53</f>
        <v>661647.66686374997</v>
      </c>
      <c r="G54" s="1441">
        <f>'TANF LASER'!H53+'Energy Assistance LASER'!J53+'FC &amp; Adoptions LASER'!G53+'CSA LASER'!G53+'Other Benefits LASER'!G53</f>
        <v>-0.04</v>
      </c>
      <c r="H54" s="1441">
        <f t="shared" si="2"/>
        <v>24007245.799743969</v>
      </c>
      <c r="I54" s="1441">
        <f t="shared" si="1"/>
        <v>661647.62686374993</v>
      </c>
    </row>
    <row r="55" spans="1:9" x14ac:dyDescent="0.25">
      <c r="A55" s="740" t="s">
        <v>126</v>
      </c>
      <c r="B55" s="592" t="s">
        <v>127</v>
      </c>
      <c r="C55" s="741" t="s">
        <v>266</v>
      </c>
      <c r="D55" s="1441">
        <f>'Medicaid &amp; FAMIS - LASER'!E54+'SNAP LASER'!E54+'TANF LASER'!D54+'Energy Assistance LASER'!E54+'FC &amp; Adoptions LASER'!D54+'CSA LASER'!D54+'ChildCare LASER'!I54+'Other Benefits LASER'!D54</f>
        <v>9878132.7869250178</v>
      </c>
      <c r="E55" s="1441">
        <f>'Medicaid &amp; FAMIS - LASER'!F54+'TANF LASER'!F54+'Energy Assistance LASER'!G54+'CSA LASER'!E54+'ChildCare LASER'!J54+'FC &amp; Adoptions LASER'!E54+'Other Benefits LASER'!E54</f>
        <v>7351055.0908142691</v>
      </c>
      <c r="F55" s="1441">
        <f>'Medicaid &amp; FAMIS - LASER'!G54+'TANF LASER'!G54+'Energy Assistance LASER'!H54+'FC &amp; Adoptions LASER'!F54+'CSA LASER'!F54+'Other Benefits LASER'!F54</f>
        <v>312151.92649874999</v>
      </c>
      <c r="G55" s="1441">
        <f>'TANF LASER'!H54+'Energy Assistance LASER'!J54+'FC &amp; Adoptions LASER'!G54+'CSA LASER'!G54+'Other Benefits LASER'!G54</f>
        <v>0</v>
      </c>
      <c r="H55" s="1441">
        <f t="shared" si="2"/>
        <v>17541339.804238036</v>
      </c>
      <c r="I55" s="1441">
        <f t="shared" si="1"/>
        <v>312151.92649874999</v>
      </c>
    </row>
    <row r="56" spans="1:9" x14ac:dyDescent="0.25">
      <c r="A56" s="740" t="s">
        <v>128</v>
      </c>
      <c r="B56" s="592" t="s">
        <v>129</v>
      </c>
      <c r="C56" s="741" t="s">
        <v>266</v>
      </c>
      <c r="D56" s="1441">
        <f>'Medicaid &amp; FAMIS - LASER'!E55+'SNAP LASER'!E55+'TANF LASER'!D55+'Energy Assistance LASER'!E55+'FC &amp; Adoptions LASER'!D55+'CSA LASER'!D55+'ChildCare LASER'!I55+'Other Benefits LASER'!D55</f>
        <v>9199461.6693761516</v>
      </c>
      <c r="E56" s="1441">
        <f>'Medicaid &amp; FAMIS - LASER'!F55+'TANF LASER'!F55+'Energy Assistance LASER'!G55+'CSA LASER'!E55+'ChildCare LASER'!J55+'FC &amp; Adoptions LASER'!E55+'Other Benefits LASER'!E55</f>
        <v>7046331.8486811519</v>
      </c>
      <c r="F56" s="1441">
        <f>'Medicaid &amp; FAMIS - LASER'!G55+'TANF LASER'!G55+'Energy Assistance LASER'!H55+'FC &amp; Adoptions LASER'!F55+'CSA LASER'!F55+'Other Benefits LASER'!F55</f>
        <v>470633.48881500005</v>
      </c>
      <c r="G56" s="1441">
        <f>'TANF LASER'!H55+'Energy Assistance LASER'!J55+'FC &amp; Adoptions LASER'!G55+'CSA LASER'!G55+'Other Benefits LASER'!G55</f>
        <v>5000.01</v>
      </c>
      <c r="H56" s="1441">
        <f t="shared" si="2"/>
        <v>16721427.016872304</v>
      </c>
      <c r="I56" s="1441">
        <f t="shared" si="1"/>
        <v>475633.49881500006</v>
      </c>
    </row>
    <row r="57" spans="1:9" x14ac:dyDescent="0.25">
      <c r="A57" s="740" t="s">
        <v>130</v>
      </c>
      <c r="B57" s="592" t="s">
        <v>131</v>
      </c>
      <c r="C57" s="741" t="s">
        <v>268</v>
      </c>
      <c r="D57" s="1441">
        <f>'Medicaid &amp; FAMIS - LASER'!E56+'SNAP LASER'!E56+'TANF LASER'!D56+'Energy Assistance LASER'!E56+'FC &amp; Adoptions LASER'!D56+'CSA LASER'!D56+'ChildCare LASER'!I56+'Other Benefits LASER'!D56</f>
        <v>34777270.949599683</v>
      </c>
      <c r="E57" s="1441">
        <f>'Medicaid &amp; FAMIS - LASER'!F56+'TANF LASER'!F56+'Energy Assistance LASER'!G56+'CSA LASER'!E56+'ChildCare LASER'!J56+'FC &amp; Adoptions LASER'!E56+'Other Benefits LASER'!E56</f>
        <v>27350871.314297184</v>
      </c>
      <c r="F57" s="1441">
        <f>'Medicaid &amp; FAMIS - LASER'!G56+'TANF LASER'!G56+'Energy Assistance LASER'!H56+'FC &amp; Adoptions LASER'!F56+'CSA LASER'!F56+'Other Benefits LASER'!F56</f>
        <v>463022.25586249999</v>
      </c>
      <c r="G57" s="1441">
        <f>'TANF LASER'!H56+'Energy Assistance LASER'!J56+'FC &amp; Adoptions LASER'!G56+'CSA LASER'!G56+'Other Benefits LASER'!G56</f>
        <v>201.35</v>
      </c>
      <c r="H57" s="1441">
        <f t="shared" si="2"/>
        <v>62591365.869759366</v>
      </c>
      <c r="I57" s="1441">
        <f t="shared" si="1"/>
        <v>463223.60586249997</v>
      </c>
    </row>
    <row r="58" spans="1:9" x14ac:dyDescent="0.25">
      <c r="A58" s="740" t="s">
        <v>132</v>
      </c>
      <c r="B58" s="592" t="s">
        <v>133</v>
      </c>
      <c r="C58" s="741" t="s">
        <v>267</v>
      </c>
      <c r="D58" s="1441">
        <f>'Medicaid &amp; FAMIS - LASER'!E57+'SNAP LASER'!E57+'TANF LASER'!D57+'Energy Assistance LASER'!E57+'FC &amp; Adoptions LASER'!D57+'CSA LASER'!D57+'ChildCare LASER'!I57+'Other Benefits LASER'!D57</f>
        <v>77670264.440912038</v>
      </c>
      <c r="E58" s="1441">
        <f>'Medicaid &amp; FAMIS - LASER'!F57+'TANF LASER'!F57+'Energy Assistance LASER'!G57+'CSA LASER'!E57+'ChildCare LASER'!J57+'FC &amp; Adoptions LASER'!E57+'Other Benefits LASER'!E57</f>
        <v>62761277.25848455</v>
      </c>
      <c r="F58" s="1441">
        <f>'Medicaid &amp; FAMIS - LASER'!G57+'TANF LASER'!G57+'Energy Assistance LASER'!H57+'FC &amp; Adoptions LASER'!F57+'CSA LASER'!F57+'Other Benefits LASER'!F57</f>
        <v>2907123.4369675</v>
      </c>
      <c r="G58" s="1441">
        <f>'TANF LASER'!H57+'Energy Assistance LASER'!J57+'FC &amp; Adoptions LASER'!G57+'CSA LASER'!G57+'Other Benefits LASER'!G57</f>
        <v>15747.8</v>
      </c>
      <c r="H58" s="1441">
        <f t="shared" si="2"/>
        <v>143354412.93636408</v>
      </c>
      <c r="I58" s="1441">
        <f t="shared" si="1"/>
        <v>2922871.2369674998</v>
      </c>
    </row>
    <row r="59" spans="1:9" x14ac:dyDescent="0.25">
      <c r="A59" s="740" t="s">
        <v>134</v>
      </c>
      <c r="B59" s="592" t="s">
        <v>135</v>
      </c>
      <c r="C59" s="741" t="s">
        <v>267</v>
      </c>
      <c r="D59" s="1441">
        <f>'Medicaid &amp; FAMIS - LASER'!E58+'SNAP LASER'!E58+'TANF LASER'!D58+'Energy Assistance LASER'!E58+'FC &amp; Adoptions LASER'!D58+'CSA LASER'!D58+'ChildCare LASER'!I58+'Other Benefits LASER'!D58</f>
        <v>25479456.889944434</v>
      </c>
      <c r="E59" s="1441">
        <f>'Medicaid &amp; FAMIS - LASER'!F58+'TANF LASER'!F58+'Energy Assistance LASER'!G58+'CSA LASER'!E58+'ChildCare LASER'!J58+'FC &amp; Adoptions LASER'!E58+'Other Benefits LASER'!E58</f>
        <v>20287478.26694981</v>
      </c>
      <c r="F59" s="1441">
        <f>'Medicaid &amp; FAMIS - LASER'!G58+'TANF LASER'!G58+'Energy Assistance LASER'!H58+'FC &amp; Adoptions LASER'!F58+'CSA LASER'!F58+'Other Benefits LASER'!F58</f>
        <v>1123601.563394625</v>
      </c>
      <c r="G59" s="1441">
        <f>'TANF LASER'!H58+'Energy Assistance LASER'!J58+'FC &amp; Adoptions LASER'!G58+'CSA LASER'!G58+'Other Benefits LASER'!G58</f>
        <v>-0.18</v>
      </c>
      <c r="H59" s="1441">
        <f t="shared" si="2"/>
        <v>46890536.540288873</v>
      </c>
      <c r="I59" s="1441">
        <f t="shared" si="1"/>
        <v>1123601.383394625</v>
      </c>
    </row>
    <row r="60" spans="1:9" x14ac:dyDescent="0.25">
      <c r="A60" s="740" t="s">
        <v>136</v>
      </c>
      <c r="B60" s="592" t="s">
        <v>137</v>
      </c>
      <c r="C60" s="741" t="s">
        <v>266</v>
      </c>
      <c r="D60" s="1441">
        <f>'Medicaid &amp; FAMIS - LASER'!E59+'SNAP LASER'!E59+'TANF LASER'!D59+'Energy Assistance LASER'!E59+'FC &amp; Adoptions LASER'!D59+'CSA LASER'!D59+'ChildCare LASER'!I59+'Other Benefits LASER'!D59</f>
        <v>12544378.967373328</v>
      </c>
      <c r="E60" s="1441">
        <f>'Medicaid &amp; FAMIS - LASER'!F59+'TANF LASER'!F59+'Energy Assistance LASER'!G59+'CSA LASER'!E59+'ChildCare LASER'!J59+'FC &amp; Adoptions LASER'!E59+'Other Benefits LASER'!E59</f>
        <v>9616749.4194933269</v>
      </c>
      <c r="F60" s="1441">
        <f>'Medicaid &amp; FAMIS - LASER'!G59+'TANF LASER'!G59+'Energy Assistance LASER'!H59+'FC &amp; Adoptions LASER'!F59+'CSA LASER'!F59+'Other Benefits LASER'!F59</f>
        <v>180964.71227999998</v>
      </c>
      <c r="G60" s="1441">
        <f>'TANF LASER'!H59+'Energy Assistance LASER'!J59+'FC &amp; Adoptions LASER'!G59+'CSA LASER'!G59+'Other Benefits LASER'!G59</f>
        <v>-6.0000000000000005E-2</v>
      </c>
      <c r="H60" s="1441">
        <f t="shared" si="2"/>
        <v>22342093.039146658</v>
      </c>
      <c r="I60" s="1441">
        <f t="shared" si="1"/>
        <v>180964.65227999998</v>
      </c>
    </row>
    <row r="61" spans="1:9" x14ac:dyDescent="0.25">
      <c r="A61" s="740" t="s">
        <v>140</v>
      </c>
      <c r="B61" s="592" t="s">
        <v>141</v>
      </c>
      <c r="C61" s="741" t="s">
        <v>267</v>
      </c>
      <c r="D61" s="1441">
        <f>'Medicaid &amp; FAMIS - LASER'!E60+'SNAP LASER'!E60+'TANF LASER'!D60+'Energy Assistance LASER'!E60+'FC &amp; Adoptions LASER'!D60+'CSA LASER'!D60+'ChildCare LASER'!I60+'Other Benefits LASER'!D60</f>
        <v>8744191.5779313091</v>
      </c>
      <c r="E61" s="1441">
        <f>'Medicaid &amp; FAMIS - LASER'!F60+'TANF LASER'!F60+'Energy Assistance LASER'!G60+'CSA LASER'!E60+'ChildCare LASER'!J60+'FC &amp; Adoptions LASER'!E60+'Other Benefits LASER'!E60</f>
        <v>8389170.5364835579</v>
      </c>
      <c r="F61" s="1441">
        <f>'Medicaid &amp; FAMIS - LASER'!G60+'TANF LASER'!G60+'Energy Assistance LASER'!H60+'FC &amp; Adoptions LASER'!F60+'CSA LASER'!F60+'Other Benefits LASER'!F60</f>
        <v>1052498.3870037498</v>
      </c>
      <c r="G61" s="1441">
        <f>'TANF LASER'!H60+'Energy Assistance LASER'!J60+'FC &amp; Adoptions LASER'!G60+'CSA LASER'!G60+'Other Benefits LASER'!G60</f>
        <v>999.89</v>
      </c>
      <c r="H61" s="1441">
        <f t="shared" si="2"/>
        <v>18186860.391418617</v>
      </c>
      <c r="I61" s="1441">
        <f t="shared" si="1"/>
        <v>1053498.2770037497</v>
      </c>
    </row>
    <row r="62" spans="1:9" x14ac:dyDescent="0.25">
      <c r="A62" s="740" t="s">
        <v>146</v>
      </c>
      <c r="B62" s="592" t="s">
        <v>147</v>
      </c>
      <c r="C62" s="741" t="s">
        <v>264</v>
      </c>
      <c r="D62" s="1441">
        <f>'Medicaid &amp; FAMIS - LASER'!E61+'SNAP LASER'!E61+'TANF LASER'!D61+'Energy Assistance LASER'!E61+'FC &amp; Adoptions LASER'!D61+'CSA LASER'!D61+'ChildCare LASER'!I61+'Other Benefits LASER'!D61</f>
        <v>7202951.5372627052</v>
      </c>
      <c r="E62" s="1441">
        <f>'Medicaid &amp; FAMIS - LASER'!F61+'TANF LASER'!F61+'Energy Assistance LASER'!G61+'CSA LASER'!E61+'ChildCare LASER'!J61+'FC &amp; Adoptions LASER'!E61+'Other Benefits LASER'!E61</f>
        <v>5936783.4788789554</v>
      </c>
      <c r="F62" s="1441">
        <f>'Medicaid &amp; FAMIS - LASER'!G61+'TANF LASER'!G61+'Energy Assistance LASER'!H61+'FC &amp; Adoptions LASER'!F61+'CSA LASER'!F61+'Other Benefits LASER'!F61</f>
        <v>161517.06818375</v>
      </c>
      <c r="G62" s="1441">
        <f>'TANF LASER'!H61+'Energy Assistance LASER'!J61+'FC &amp; Adoptions LASER'!G61+'CSA LASER'!G61+'Other Benefits LASER'!G61</f>
        <v>-6.9999999999999993E-2</v>
      </c>
      <c r="H62" s="1441">
        <f t="shared" si="2"/>
        <v>13301252.01432541</v>
      </c>
      <c r="I62" s="1441">
        <f t="shared" si="1"/>
        <v>161516.99818374999</v>
      </c>
    </row>
    <row r="63" spans="1:9" x14ac:dyDescent="0.25">
      <c r="A63" s="740" t="s">
        <v>148</v>
      </c>
      <c r="B63" s="592" t="s">
        <v>149</v>
      </c>
      <c r="C63" s="741" t="s">
        <v>265</v>
      </c>
      <c r="D63" s="1441">
        <f>'Medicaid &amp; FAMIS - LASER'!E62+'SNAP LASER'!E62+'TANF LASER'!D62+'Energy Assistance LASER'!E62+'FC &amp; Adoptions LASER'!D62+'CSA LASER'!D62+'ChildCare LASER'!I62+'Other Benefits LASER'!D62</f>
        <v>33655325.878654301</v>
      </c>
      <c r="E63" s="1441">
        <f>'Medicaid &amp; FAMIS - LASER'!F62+'TANF LASER'!F62+'Energy Assistance LASER'!G62+'CSA LASER'!E62+'ChildCare LASER'!J62+'FC &amp; Adoptions LASER'!E62+'Other Benefits LASER'!E62</f>
        <v>27114197.088117301</v>
      </c>
      <c r="F63" s="1441">
        <f>'Medicaid &amp; FAMIS - LASER'!G62+'TANF LASER'!G62+'Energy Assistance LASER'!H62+'FC &amp; Adoptions LASER'!F62+'CSA LASER'!F62+'Other Benefits LASER'!F62</f>
        <v>602010.89314499998</v>
      </c>
      <c r="G63" s="1441">
        <f>'TANF LASER'!H62+'Energy Assistance LASER'!J62+'FC &amp; Adoptions LASER'!G62+'CSA LASER'!G62+'Other Benefits LASER'!G62</f>
        <v>-0.04</v>
      </c>
      <c r="H63" s="1441">
        <f t="shared" si="2"/>
        <v>61371533.819916606</v>
      </c>
      <c r="I63" s="1441">
        <f t="shared" si="1"/>
        <v>602010.85314499994</v>
      </c>
    </row>
    <row r="64" spans="1:9" x14ac:dyDescent="0.25">
      <c r="A64" s="740" t="s">
        <v>150</v>
      </c>
      <c r="B64" s="592" t="s">
        <v>151</v>
      </c>
      <c r="C64" s="741" t="s">
        <v>266</v>
      </c>
      <c r="D64" s="1441">
        <f>'Medicaid &amp; FAMIS - LASER'!E63+'SNAP LASER'!E63+'TANF LASER'!D63+'Energy Assistance LASER'!E63+'FC &amp; Adoptions LASER'!D63+'CSA LASER'!D63+'ChildCare LASER'!I63+'Other Benefits LASER'!D63</f>
        <v>9372220.5545441415</v>
      </c>
      <c r="E64" s="1441">
        <f>'Medicaid &amp; FAMIS - LASER'!F63+'TANF LASER'!F63+'Energy Assistance LASER'!G63+'CSA LASER'!E63+'ChildCare LASER'!J63+'FC &amp; Adoptions LASER'!E63+'Other Benefits LASER'!E63</f>
        <v>7165448.6400281433</v>
      </c>
      <c r="F64" s="1441">
        <f>'Medicaid &amp; FAMIS - LASER'!G63+'TANF LASER'!G63+'Energy Assistance LASER'!H63+'FC &amp; Adoptions LASER'!F63+'CSA LASER'!F63+'Other Benefits LASER'!F63</f>
        <v>236091.07151600003</v>
      </c>
      <c r="G64" s="1441">
        <f>'TANF LASER'!H63+'Energy Assistance LASER'!J63+'FC &amp; Adoptions LASER'!G63+'CSA LASER'!G63+'Other Benefits LASER'!G63</f>
        <v>49.79</v>
      </c>
      <c r="H64" s="1441">
        <f t="shared" si="2"/>
        <v>16773810.056088284</v>
      </c>
      <c r="I64" s="1441">
        <f t="shared" si="1"/>
        <v>236140.86151600003</v>
      </c>
    </row>
    <row r="65" spans="1:9" x14ac:dyDescent="0.25">
      <c r="A65" s="740" t="s">
        <v>152</v>
      </c>
      <c r="B65" s="592" t="s">
        <v>153</v>
      </c>
      <c r="C65" s="741" t="s">
        <v>268</v>
      </c>
      <c r="D65" s="1441">
        <f>'Medicaid &amp; FAMIS - LASER'!E64+'SNAP LASER'!E64+'TANF LASER'!D64+'Energy Assistance LASER'!E64+'FC &amp; Adoptions LASER'!D64+'CSA LASER'!D64+'ChildCare LASER'!I64+'Other Benefits LASER'!D64</f>
        <v>42628586.912850395</v>
      </c>
      <c r="E65" s="1441">
        <f>'Medicaid &amp; FAMIS - LASER'!F64+'TANF LASER'!F64+'Energy Assistance LASER'!G64+'CSA LASER'!E64+'ChildCare LASER'!J64+'FC &amp; Adoptions LASER'!E64+'Other Benefits LASER'!E64</f>
        <v>31940120.050466392</v>
      </c>
      <c r="F65" s="1441">
        <f>'Medicaid &amp; FAMIS - LASER'!G64+'TANF LASER'!G64+'Energy Assistance LASER'!H64+'FC &amp; Adoptions LASER'!F64+'CSA LASER'!F64+'Other Benefits LASER'!F64</f>
        <v>311181.72587999998</v>
      </c>
      <c r="G65" s="1441">
        <f>'TANF LASER'!H64+'Energy Assistance LASER'!J64+'FC &amp; Adoptions LASER'!G64+'CSA LASER'!G64+'Other Benefits LASER'!G64</f>
        <v>-0.13</v>
      </c>
      <c r="H65" s="1441">
        <f t="shared" si="2"/>
        <v>74879888.559196785</v>
      </c>
      <c r="I65" s="1441">
        <f t="shared" si="1"/>
        <v>311181.59587999998</v>
      </c>
    </row>
    <row r="66" spans="1:9" x14ac:dyDescent="0.25">
      <c r="A66" s="740" t="s">
        <v>154</v>
      </c>
      <c r="B66" s="592" t="s">
        <v>155</v>
      </c>
      <c r="C66" s="741" t="s">
        <v>265</v>
      </c>
      <c r="D66" s="1441">
        <f>'Medicaid &amp; FAMIS - LASER'!E65+'SNAP LASER'!E65+'TANF LASER'!D65+'Energy Assistance LASER'!E65+'FC &amp; Adoptions LASER'!D65+'CSA LASER'!D65+'ChildCare LASER'!I65+'Other Benefits LASER'!D65</f>
        <v>13150565.106403021</v>
      </c>
      <c r="E66" s="1441">
        <f>'Medicaid &amp; FAMIS - LASER'!F65+'TANF LASER'!F65+'Energy Assistance LASER'!G65+'CSA LASER'!E65+'ChildCare LASER'!J65+'FC &amp; Adoptions LASER'!E65+'Other Benefits LASER'!E65</f>
        <v>10260628.273967771</v>
      </c>
      <c r="F66" s="1441">
        <f>'Medicaid &amp; FAMIS - LASER'!G65+'TANF LASER'!G65+'Energy Assistance LASER'!H65+'FC &amp; Adoptions LASER'!F65+'CSA LASER'!F65+'Other Benefits LASER'!F65</f>
        <v>274102.69338725001</v>
      </c>
      <c r="G66" s="1441">
        <f>'TANF LASER'!H65+'Energy Assistance LASER'!J65+'FC &amp; Adoptions LASER'!G65+'CSA LASER'!G65+'Other Benefits LASER'!G65</f>
        <v>-0.02</v>
      </c>
      <c r="H66" s="1441">
        <f t="shared" si="2"/>
        <v>23685296.053758044</v>
      </c>
      <c r="I66" s="1441">
        <f t="shared" si="1"/>
        <v>274102.67338724999</v>
      </c>
    </row>
    <row r="67" spans="1:9" x14ac:dyDescent="0.25">
      <c r="A67" s="740" t="s">
        <v>156</v>
      </c>
      <c r="B67" s="592" t="s">
        <v>157</v>
      </c>
      <c r="C67" s="741" t="s">
        <v>266</v>
      </c>
      <c r="D67" s="1441">
        <f>'Medicaid &amp; FAMIS - LASER'!E66+'SNAP LASER'!E66+'TANF LASER'!D66+'Energy Assistance LASER'!E66+'FC &amp; Adoptions LASER'!D66+'CSA LASER'!D66+'ChildCare LASER'!I66+'Other Benefits LASER'!D66</f>
        <v>7735014.8696656479</v>
      </c>
      <c r="E67" s="1441">
        <f>'Medicaid &amp; FAMIS - LASER'!F66+'TANF LASER'!F66+'Energy Assistance LASER'!G66+'CSA LASER'!E66+'ChildCare LASER'!J66+'FC &amp; Adoptions LASER'!E66+'Other Benefits LASER'!E66</f>
        <v>6103836.8122411454</v>
      </c>
      <c r="F67" s="1441">
        <f>'Medicaid &amp; FAMIS - LASER'!G66+'TANF LASER'!G66+'Energy Assistance LASER'!H66+'FC &amp; Adoptions LASER'!F66+'CSA LASER'!F66+'Other Benefits LASER'!F66</f>
        <v>450162.85907250002</v>
      </c>
      <c r="G67" s="1441">
        <f>'TANF LASER'!H66+'Energy Assistance LASER'!J66+'FC &amp; Adoptions LASER'!G66+'CSA LASER'!G66+'Other Benefits LASER'!G66</f>
        <v>-0.08</v>
      </c>
      <c r="H67" s="1441">
        <f t="shared" si="2"/>
        <v>14289014.460979294</v>
      </c>
      <c r="I67" s="1441">
        <f t="shared" si="1"/>
        <v>450162.77907250001</v>
      </c>
    </row>
    <row r="68" spans="1:9" x14ac:dyDescent="0.25">
      <c r="A68" s="740" t="s">
        <v>162</v>
      </c>
      <c r="B68" s="592" t="s">
        <v>163</v>
      </c>
      <c r="C68" s="741" t="s">
        <v>264</v>
      </c>
      <c r="D68" s="1441">
        <f>'Medicaid &amp; FAMIS - LASER'!E67+'SNAP LASER'!E67+'TANF LASER'!D67+'Energy Assistance LASER'!E67+'FC &amp; Adoptions LASER'!D67+'CSA LASER'!D67+'ChildCare LASER'!I67+'Other Benefits LASER'!D67</f>
        <v>17725986.546333633</v>
      </c>
      <c r="E68" s="1441">
        <f>'Medicaid &amp; FAMIS - LASER'!F67+'TANF LASER'!F67+'Energy Assistance LASER'!G67+'CSA LASER'!E67+'ChildCare LASER'!J67+'FC &amp; Adoptions LASER'!E67+'Other Benefits LASER'!E67</f>
        <v>13599526.778156137</v>
      </c>
      <c r="F68" s="1441">
        <f>'Medicaid &amp; FAMIS - LASER'!G67+'TANF LASER'!G67+'Energy Assistance LASER'!H67+'FC &amp; Adoptions LASER'!F67+'CSA LASER'!F67+'Other Benefits LASER'!F67</f>
        <v>164101.17333750002</v>
      </c>
      <c r="G68" s="1441">
        <f>'TANF LASER'!H67+'Energy Assistance LASER'!J67+'FC &amp; Adoptions LASER'!G67+'CSA LASER'!G67+'Other Benefits LASER'!G67</f>
        <v>-0.01</v>
      </c>
      <c r="H68" s="1441">
        <f t="shared" si="2"/>
        <v>31489614.487827271</v>
      </c>
      <c r="I68" s="1441">
        <f t="shared" si="1"/>
        <v>164101.16333750001</v>
      </c>
    </row>
    <row r="69" spans="1:9" x14ac:dyDescent="0.25">
      <c r="A69" s="740" t="s">
        <v>164</v>
      </c>
      <c r="B69" s="592" t="s">
        <v>165</v>
      </c>
      <c r="C69" s="741" t="s">
        <v>266</v>
      </c>
      <c r="D69" s="1441">
        <f>'Medicaid &amp; FAMIS - LASER'!E68+'SNAP LASER'!E68+'TANF LASER'!D68+'Energy Assistance LASER'!E68+'FC &amp; Adoptions LASER'!D68+'CSA LASER'!D68+'ChildCare LASER'!I68+'Other Benefits LASER'!D68</f>
        <v>9086619.8047616407</v>
      </c>
      <c r="E69" s="1441">
        <f>'Medicaid &amp; FAMIS - LASER'!F68+'TANF LASER'!F68+'Energy Assistance LASER'!G68+'CSA LASER'!E68+'ChildCare LASER'!J68+'FC &amp; Adoptions LASER'!E68+'Other Benefits LASER'!E68</f>
        <v>6545245.0461616423</v>
      </c>
      <c r="F69" s="1441">
        <f>'Medicaid &amp; FAMIS - LASER'!G68+'TANF LASER'!G68+'Energy Assistance LASER'!H68+'FC &amp; Adoptions LASER'!F68+'CSA LASER'!F68+'Other Benefits LASER'!F68</f>
        <v>78832.448299999989</v>
      </c>
      <c r="G69" s="1441">
        <f>'TANF LASER'!H68+'Energy Assistance LASER'!J68+'FC &amp; Adoptions LASER'!G68+'CSA LASER'!G68+'Other Benefits LASER'!G68</f>
        <v>499.96</v>
      </c>
      <c r="H69" s="1441">
        <f t="shared" si="2"/>
        <v>15711197.259223284</v>
      </c>
      <c r="I69" s="1441">
        <f t="shared" si="1"/>
        <v>79332.408299999996</v>
      </c>
    </row>
    <row r="70" spans="1:9" x14ac:dyDescent="0.25">
      <c r="A70" s="740" t="s">
        <v>168</v>
      </c>
      <c r="B70" s="592" t="s">
        <v>169</v>
      </c>
      <c r="C70" s="741" t="s">
        <v>266</v>
      </c>
      <c r="D70" s="1441">
        <f>'Medicaid &amp; FAMIS - LASER'!E69+'SNAP LASER'!E69+'TANF LASER'!D69+'Energy Assistance LASER'!E69+'FC &amp; Adoptions LASER'!D69+'CSA LASER'!D69+'ChildCare LASER'!I69+'Other Benefits LASER'!D69</f>
        <v>18362987.045992978</v>
      </c>
      <c r="E70" s="1441">
        <f>'Medicaid &amp; FAMIS - LASER'!F69+'TANF LASER'!F69+'Energy Assistance LASER'!G69+'CSA LASER'!E69+'ChildCare LASER'!J69+'FC &amp; Adoptions LASER'!E69+'Other Benefits LASER'!E69</f>
        <v>13296467.011789229</v>
      </c>
      <c r="F70" s="1441">
        <f>'Medicaid &amp; FAMIS - LASER'!G69+'TANF LASER'!G69+'Energy Assistance LASER'!H69+'FC &amp; Adoptions LASER'!F69+'CSA LASER'!F69+'Other Benefits LASER'!F69</f>
        <v>292558.87544374994</v>
      </c>
      <c r="G70" s="1441">
        <f>'TANF LASER'!H69+'Energy Assistance LASER'!J69+'FC &amp; Adoptions LASER'!G69+'CSA LASER'!G69+'Other Benefits LASER'!G69</f>
        <v>0</v>
      </c>
      <c r="H70" s="1441">
        <f t="shared" si="2"/>
        <v>31952012.933225956</v>
      </c>
      <c r="I70" s="1441">
        <f t="shared" ref="I70:I125" si="3">F70+G70</f>
        <v>292558.87544374994</v>
      </c>
    </row>
    <row r="71" spans="1:9" x14ac:dyDescent="0.25">
      <c r="A71" s="740" t="s">
        <v>170</v>
      </c>
      <c r="B71" s="592" t="s">
        <v>171</v>
      </c>
      <c r="C71" s="741" t="s">
        <v>267</v>
      </c>
      <c r="D71" s="1441">
        <f>'Medicaid &amp; FAMIS - LASER'!E70+'SNAP LASER'!E70+'TANF LASER'!D70+'Energy Assistance LASER'!E70+'FC &amp; Adoptions LASER'!D70+'CSA LASER'!D70+'ChildCare LASER'!I70+'Other Benefits LASER'!D70</f>
        <v>21898099.727531277</v>
      </c>
      <c r="E71" s="1441">
        <f>'Medicaid &amp; FAMIS - LASER'!F70+'TANF LASER'!F70+'Energy Assistance LASER'!G70+'CSA LASER'!E70+'ChildCare LASER'!J70+'FC &amp; Adoptions LASER'!E70+'Other Benefits LASER'!E70</f>
        <v>17644482.533707526</v>
      </c>
      <c r="F71" s="1441">
        <f>'Medicaid &amp; FAMIS - LASER'!G70+'TANF LASER'!G70+'Energy Assistance LASER'!H70+'FC &amp; Adoptions LASER'!F70+'CSA LASER'!F70+'Other Benefits LASER'!F70</f>
        <v>874970.32782375009</v>
      </c>
      <c r="G71" s="1441">
        <f>'TANF LASER'!H70+'Energy Assistance LASER'!J70+'FC &amp; Adoptions LASER'!G70+'CSA LASER'!G70+'Other Benefits LASER'!G70</f>
        <v>1598.92</v>
      </c>
      <c r="H71" s="1441">
        <f t="shared" ref="H71:H125" si="4">SUM(D71:G71)</f>
        <v>40419151.509062551</v>
      </c>
      <c r="I71" s="1441">
        <f t="shared" si="3"/>
        <v>876569.24782375013</v>
      </c>
    </row>
    <row r="72" spans="1:9" x14ac:dyDescent="0.25">
      <c r="A72" s="740" t="s">
        <v>172</v>
      </c>
      <c r="B72" s="592" t="s">
        <v>173</v>
      </c>
      <c r="C72" s="741" t="s">
        <v>267</v>
      </c>
      <c r="D72" s="1441">
        <f>'Medicaid &amp; FAMIS - LASER'!E71+'SNAP LASER'!E71+'TANF LASER'!D71+'Energy Assistance LASER'!E71+'FC &amp; Adoptions LASER'!D71+'CSA LASER'!D71+'ChildCare LASER'!I71+'Other Benefits LASER'!D71</f>
        <v>18886483.674847286</v>
      </c>
      <c r="E72" s="1441">
        <f>'Medicaid &amp; FAMIS - LASER'!F71+'TANF LASER'!F71+'Energy Assistance LASER'!G71+'CSA LASER'!E71+'ChildCare LASER'!J71+'FC &amp; Adoptions LASER'!E71+'Other Benefits LASER'!E71</f>
        <v>13827862.88721416</v>
      </c>
      <c r="F72" s="1441">
        <f>'Medicaid &amp; FAMIS - LASER'!G71+'TANF LASER'!G71+'Energy Assistance LASER'!H71+'FC &amp; Adoptions LASER'!F71+'CSA LASER'!F71+'Other Benefits LASER'!F71</f>
        <v>364849.82283312501</v>
      </c>
      <c r="G72" s="1441">
        <f>'TANF LASER'!H71+'Energy Assistance LASER'!J71+'FC &amp; Adoptions LASER'!G71+'CSA LASER'!G71+'Other Benefits LASER'!G71</f>
        <v>-0.03</v>
      </c>
      <c r="H72" s="1441">
        <f t="shared" si="4"/>
        <v>33079196.354894567</v>
      </c>
      <c r="I72" s="1441">
        <f t="shared" si="3"/>
        <v>364849.79283312499</v>
      </c>
    </row>
    <row r="73" spans="1:9" x14ac:dyDescent="0.25">
      <c r="A73" s="740" t="s">
        <v>174</v>
      </c>
      <c r="B73" s="592" t="s">
        <v>175</v>
      </c>
      <c r="C73" s="741" t="s">
        <v>268</v>
      </c>
      <c r="D73" s="1441">
        <f>'Medicaid &amp; FAMIS - LASER'!E72+'SNAP LASER'!E72+'TANF LASER'!D72+'Energy Assistance LASER'!E72+'FC &amp; Adoptions LASER'!D72+'CSA LASER'!D72+'ChildCare LASER'!I72+'Other Benefits LASER'!D72</f>
        <v>16867136.039308202</v>
      </c>
      <c r="E73" s="1441">
        <f>'Medicaid &amp; FAMIS - LASER'!F72+'TANF LASER'!F72+'Energy Assistance LASER'!G72+'CSA LASER'!E72+'ChildCare LASER'!J72+'FC &amp; Adoptions LASER'!E72+'Other Benefits LASER'!E72</f>
        <v>12407389.66526895</v>
      </c>
      <c r="F73" s="1441">
        <f>'Medicaid &amp; FAMIS - LASER'!G72+'TANF LASER'!G72+'Energy Assistance LASER'!H72+'FC &amp; Adoptions LASER'!F72+'CSA LASER'!F72+'Other Benefits LASER'!F72</f>
        <v>56761.977351249996</v>
      </c>
      <c r="G73" s="1441">
        <f>'TANF LASER'!H72+'Energy Assistance LASER'!J72+'FC &amp; Adoptions LASER'!G72+'CSA LASER'!G72+'Other Benefits LASER'!G72</f>
        <v>445.18</v>
      </c>
      <c r="H73" s="1441">
        <f t="shared" si="4"/>
        <v>29331732.8619284</v>
      </c>
      <c r="I73" s="1441">
        <f t="shared" si="3"/>
        <v>57207.157351249996</v>
      </c>
    </row>
    <row r="74" spans="1:9" x14ac:dyDescent="0.25">
      <c r="A74" s="740" t="s">
        <v>178</v>
      </c>
      <c r="B74" s="592" t="s">
        <v>179</v>
      </c>
      <c r="C74" s="741" t="s">
        <v>265</v>
      </c>
      <c r="D74" s="1441">
        <f>'Medicaid &amp; FAMIS - LASER'!E73+'SNAP LASER'!E73+'TANF LASER'!D73+'Energy Assistance LASER'!E73+'FC &amp; Adoptions LASER'!D73+'CSA LASER'!D73+'ChildCare LASER'!I73+'Other Benefits LASER'!D73</f>
        <v>57372704.544677518</v>
      </c>
      <c r="E74" s="1441">
        <f>'Medicaid &amp; FAMIS - LASER'!F73+'TANF LASER'!F73+'Energy Assistance LASER'!G73+'CSA LASER'!E73+'ChildCare LASER'!J73+'FC &amp; Adoptions LASER'!E73+'Other Benefits LASER'!E73</f>
        <v>45336534.546777137</v>
      </c>
      <c r="F74" s="1441">
        <f>'Medicaid &amp; FAMIS - LASER'!G73+'TANF LASER'!G73+'Energy Assistance LASER'!H73+'FC &amp; Adoptions LASER'!F73+'CSA LASER'!F73+'Other Benefits LASER'!F73</f>
        <v>1100287.4957243751</v>
      </c>
      <c r="G74" s="1441">
        <f>'TANF LASER'!H73+'Energy Assistance LASER'!J73+'FC &amp; Adoptions LASER'!G73+'CSA LASER'!G73+'Other Benefits LASER'!G73</f>
        <v>2774.98</v>
      </c>
      <c r="H74" s="1441">
        <f t="shared" si="4"/>
        <v>103812301.56717904</v>
      </c>
      <c r="I74" s="1441">
        <f t="shared" si="3"/>
        <v>1103062.4757243751</v>
      </c>
    </row>
    <row r="75" spans="1:9" x14ac:dyDescent="0.25">
      <c r="A75" s="740" t="s">
        <v>182</v>
      </c>
      <c r="B75" s="592" t="s">
        <v>183</v>
      </c>
      <c r="C75" s="741" t="s">
        <v>266</v>
      </c>
      <c r="D75" s="1441">
        <f>'Medicaid &amp; FAMIS - LASER'!E74+'SNAP LASER'!E74+'TANF LASER'!D74+'Energy Assistance LASER'!E74+'FC &amp; Adoptions LASER'!D74+'CSA LASER'!D74+'ChildCare LASER'!I74+'Other Benefits LASER'!D74</f>
        <v>9095278.8354715947</v>
      </c>
      <c r="E75" s="1441">
        <f>'Medicaid &amp; FAMIS - LASER'!F74+'TANF LASER'!F74+'Energy Assistance LASER'!G74+'CSA LASER'!E74+'ChildCare LASER'!J74+'FC &amp; Adoptions LASER'!E74+'Other Benefits LASER'!E74</f>
        <v>7979985.8735753428</v>
      </c>
      <c r="F75" s="1441">
        <f>'Medicaid &amp; FAMIS - LASER'!G74+'TANF LASER'!G74+'Energy Assistance LASER'!H74+'FC &amp; Adoptions LASER'!F74+'CSA LASER'!F74+'Other Benefits LASER'!F74</f>
        <v>884584.25869624992</v>
      </c>
      <c r="G75" s="1441">
        <f>'TANF LASER'!H74+'Energy Assistance LASER'!J74+'FC &amp; Adoptions LASER'!G74+'CSA LASER'!G74+'Other Benefits LASER'!G74</f>
        <v>-772.34999999999991</v>
      </c>
      <c r="H75" s="1441">
        <f t="shared" si="4"/>
        <v>17959076.617743187</v>
      </c>
      <c r="I75" s="1441">
        <f t="shared" si="3"/>
        <v>883811.90869624994</v>
      </c>
    </row>
    <row r="76" spans="1:9" x14ac:dyDescent="0.25">
      <c r="A76" s="740" t="s">
        <v>184</v>
      </c>
      <c r="B76" s="592" t="s">
        <v>185</v>
      </c>
      <c r="C76" s="741" t="s">
        <v>266</v>
      </c>
      <c r="D76" s="1441">
        <f>'Medicaid &amp; FAMIS - LASER'!E75+'SNAP LASER'!E75+'TANF LASER'!D75+'Energy Assistance LASER'!E75+'FC &amp; Adoptions LASER'!D75+'CSA LASER'!D75+'ChildCare LASER'!I75+'Other Benefits LASER'!D75</f>
        <v>20646662.427658647</v>
      </c>
      <c r="E76" s="1441">
        <f>'Medicaid &amp; FAMIS - LASER'!F75+'TANF LASER'!F75+'Energy Assistance LASER'!G75+'CSA LASER'!E75+'ChildCare LASER'!J75+'FC &amp; Adoptions LASER'!E75+'Other Benefits LASER'!E75</f>
        <v>16236361.323513646</v>
      </c>
      <c r="F76" s="1441">
        <f>'Medicaid &amp; FAMIS - LASER'!G75+'TANF LASER'!G75+'Energy Assistance LASER'!H75+'FC &amp; Adoptions LASER'!F75+'CSA LASER'!F75+'Other Benefits LASER'!F75</f>
        <v>244760.52914500001</v>
      </c>
      <c r="G76" s="1441">
        <f>'TANF LASER'!H75+'Energy Assistance LASER'!J75+'FC &amp; Adoptions LASER'!G75+'CSA LASER'!G75+'Other Benefits LASER'!G75</f>
        <v>-9.9999999999999992E-2</v>
      </c>
      <c r="H76" s="1441">
        <f t="shared" si="4"/>
        <v>37127784.18031729</v>
      </c>
      <c r="I76" s="1441">
        <f t="shared" si="3"/>
        <v>244760.429145</v>
      </c>
    </row>
    <row r="77" spans="1:9" x14ac:dyDescent="0.25">
      <c r="A77" s="740" t="s">
        <v>186</v>
      </c>
      <c r="B77" s="592" t="s">
        <v>187</v>
      </c>
      <c r="C77" s="741" t="s">
        <v>264</v>
      </c>
      <c r="D77" s="1441">
        <f>'Medicaid &amp; FAMIS - LASER'!E76+'SNAP LASER'!E76+'TANF LASER'!D76+'Energy Assistance LASER'!E76+'FC &amp; Adoptions LASER'!D76+'CSA LASER'!D76+'ChildCare LASER'!I76+'Other Benefits LASER'!D76</f>
        <v>16403079.671786388</v>
      </c>
      <c r="E77" s="1441">
        <f>'Medicaid &amp; FAMIS - LASER'!F76+'TANF LASER'!F76+'Energy Assistance LASER'!G76+'CSA LASER'!E76+'ChildCare LASER'!J76+'FC &amp; Adoptions LASER'!E76+'Other Benefits LASER'!E76</f>
        <v>12388646.863630386</v>
      </c>
      <c r="F77" s="1441">
        <f>'Medicaid &amp; FAMIS - LASER'!G76+'TANF LASER'!G76+'Energy Assistance LASER'!H76+'FC &amp; Adoptions LASER'!F76+'CSA LASER'!F76+'Other Benefits LASER'!F76</f>
        <v>507998.65635599999</v>
      </c>
      <c r="G77" s="1441">
        <f>'TANF LASER'!H76+'Energy Assistance LASER'!J76+'FC &amp; Adoptions LASER'!G76+'CSA LASER'!G76+'Other Benefits LASER'!G76</f>
        <v>-0.01</v>
      </c>
      <c r="H77" s="1441">
        <f t="shared" si="4"/>
        <v>29299725.181772772</v>
      </c>
      <c r="I77" s="1441">
        <f t="shared" si="3"/>
        <v>507998.64635599998</v>
      </c>
    </row>
    <row r="78" spans="1:9" x14ac:dyDescent="0.25">
      <c r="A78" s="740" t="s">
        <v>188</v>
      </c>
      <c r="B78" s="592" t="s">
        <v>189</v>
      </c>
      <c r="C78" s="741" t="s">
        <v>267</v>
      </c>
      <c r="D78" s="1441">
        <f>'Medicaid &amp; FAMIS - LASER'!E77+'SNAP LASER'!E77+'TANF LASER'!D77+'Energy Assistance LASER'!E77+'FC &amp; Adoptions LASER'!D77+'CSA LASER'!D77+'ChildCare LASER'!I77+'Other Benefits LASER'!D77</f>
        <v>189306505.39010188</v>
      </c>
      <c r="E78" s="1441">
        <f>'Medicaid &amp; FAMIS - LASER'!F77+'TANF LASER'!F77+'Energy Assistance LASER'!G77+'CSA LASER'!E77+'ChildCare LASER'!J77+'FC &amp; Adoptions LASER'!E77+'Other Benefits LASER'!E77</f>
        <v>141922750.17989141</v>
      </c>
      <c r="F78" s="1441">
        <f>'Medicaid &amp; FAMIS - LASER'!G77+'TANF LASER'!G77+'Energy Assistance LASER'!H77+'FC &amp; Adoptions LASER'!F77+'CSA LASER'!F77+'Other Benefits LASER'!F77</f>
        <v>3402368.3200924997</v>
      </c>
      <c r="G78" s="1441">
        <f>'TANF LASER'!H77+'Energy Assistance LASER'!J77+'FC &amp; Adoptions LASER'!G77+'CSA LASER'!G77+'Other Benefits LASER'!G77</f>
        <v>90.81</v>
      </c>
      <c r="H78" s="1441">
        <f t="shared" si="4"/>
        <v>334631714.70008576</v>
      </c>
      <c r="I78" s="1441">
        <f t="shared" si="3"/>
        <v>3402459.1300924998</v>
      </c>
    </row>
    <row r="79" spans="1:9" x14ac:dyDescent="0.25">
      <c r="A79" s="740" t="s">
        <v>190</v>
      </c>
      <c r="B79" s="592" t="s">
        <v>191</v>
      </c>
      <c r="C79" s="741" t="s">
        <v>268</v>
      </c>
      <c r="D79" s="1441">
        <f>'Medicaid &amp; FAMIS - LASER'!E78+'SNAP LASER'!E78+'TANF LASER'!D78+'Energy Assistance LASER'!E78+'FC &amp; Adoptions LASER'!D78+'CSA LASER'!D78+'ChildCare LASER'!I78+'Other Benefits LASER'!D78</f>
        <v>32847238.389119748</v>
      </c>
      <c r="E79" s="1441">
        <f>'Medicaid &amp; FAMIS - LASER'!F78+'TANF LASER'!F78+'Energy Assistance LASER'!G78+'CSA LASER'!E78+'ChildCare LASER'!J78+'FC &amp; Adoptions LASER'!E78+'Other Benefits LASER'!E78</f>
        <v>26619752.752905998</v>
      </c>
      <c r="F79" s="1441">
        <f>'Medicaid &amp; FAMIS - LASER'!G78+'TANF LASER'!G78+'Energy Assistance LASER'!H78+'FC &amp; Adoptions LASER'!F78+'CSA LASER'!F78+'Other Benefits LASER'!F78</f>
        <v>1127055.3085937502</v>
      </c>
      <c r="G79" s="1441">
        <f>'TANF LASER'!H78+'Energy Assistance LASER'!J78+'FC &amp; Adoptions LASER'!G78+'CSA LASER'!G78+'Other Benefits LASER'!G78</f>
        <v>3751.33</v>
      </c>
      <c r="H79" s="1441">
        <f t="shared" si="4"/>
        <v>60597797.780619495</v>
      </c>
      <c r="I79" s="1441">
        <f t="shared" si="3"/>
        <v>1130806.6385937503</v>
      </c>
    </row>
    <row r="80" spans="1:9" x14ac:dyDescent="0.25">
      <c r="A80" s="740" t="s">
        <v>194</v>
      </c>
      <c r="B80" s="592" t="s">
        <v>195</v>
      </c>
      <c r="C80" s="741" t="s">
        <v>267</v>
      </c>
      <c r="D80" s="1441">
        <f>'Medicaid &amp; FAMIS - LASER'!E79+'SNAP LASER'!E79+'TANF LASER'!D79+'Energy Assistance LASER'!E79+'FC &amp; Adoptions LASER'!D79+'CSA LASER'!D79+'ChildCare LASER'!I79+'Other Benefits LASER'!D79</f>
        <v>3127610.4237404321</v>
      </c>
      <c r="E80" s="1441">
        <f>'Medicaid &amp; FAMIS - LASER'!F79+'TANF LASER'!F79+'Energy Assistance LASER'!G79+'CSA LASER'!E79+'ChildCare LASER'!J79+'FC &amp; Adoptions LASER'!E79+'Other Benefits LASER'!E79</f>
        <v>2969377.032696058</v>
      </c>
      <c r="F80" s="1441">
        <f>'Medicaid &amp; FAMIS - LASER'!G79+'TANF LASER'!G79+'Energy Assistance LASER'!H79+'FC &amp; Adoptions LASER'!F79+'CSA LASER'!F79+'Other Benefits LASER'!F79</f>
        <v>706639.996044375</v>
      </c>
      <c r="G80" s="1441">
        <f>'TANF LASER'!H79+'Energy Assistance LASER'!J79+'FC &amp; Adoptions LASER'!G79+'CSA LASER'!G79+'Other Benefits LASER'!G79</f>
        <v>9030.84</v>
      </c>
      <c r="H80" s="1441">
        <f t="shared" si="4"/>
        <v>6812658.2924808655</v>
      </c>
      <c r="I80" s="1441">
        <f t="shared" si="3"/>
        <v>715670.83604437497</v>
      </c>
    </row>
    <row r="81" spans="1:9" x14ac:dyDescent="0.25">
      <c r="A81" s="740" t="s">
        <v>198</v>
      </c>
      <c r="B81" s="592" t="s">
        <v>199</v>
      </c>
      <c r="C81" s="741" t="s">
        <v>266</v>
      </c>
      <c r="D81" s="1441">
        <f>'Medicaid &amp; FAMIS - LASER'!E80+'SNAP LASER'!E80+'TANF LASER'!D80+'Energy Assistance LASER'!E80+'FC &amp; Adoptions LASER'!D80+'CSA LASER'!D80+'ChildCare LASER'!I80+'Other Benefits LASER'!D80</f>
        <v>7984050.3881547628</v>
      </c>
      <c r="E81" s="1441">
        <f>'Medicaid &amp; FAMIS - LASER'!F80+'TANF LASER'!F80+'Energy Assistance LASER'!G80+'CSA LASER'!E80+'ChildCare LASER'!J80+'FC &amp; Adoptions LASER'!E80+'Other Benefits LASER'!E80</f>
        <v>5663441.8321988881</v>
      </c>
      <c r="F81" s="1441">
        <f>'Medicaid &amp; FAMIS - LASER'!G80+'TANF LASER'!G80+'Energy Assistance LASER'!H80+'FC &amp; Adoptions LASER'!F80+'CSA LASER'!F80+'Other Benefits LASER'!F80</f>
        <v>164888.67995587501</v>
      </c>
      <c r="G81" s="1441">
        <f>'TANF LASER'!H80+'Energy Assistance LASER'!J80+'FC &amp; Adoptions LASER'!G80+'CSA LASER'!G80+'Other Benefits LASER'!G80</f>
        <v>-7.0000000000000007E-2</v>
      </c>
      <c r="H81" s="1441">
        <f t="shared" si="4"/>
        <v>13812380.830309527</v>
      </c>
      <c r="I81" s="1441">
        <f t="shared" si="3"/>
        <v>164888.609955875</v>
      </c>
    </row>
    <row r="82" spans="1:9" x14ac:dyDescent="0.25">
      <c r="A82" s="740" t="s">
        <v>202</v>
      </c>
      <c r="B82" s="592" t="s">
        <v>611</v>
      </c>
      <c r="C82" s="741" t="s">
        <v>265</v>
      </c>
      <c r="D82" s="1441">
        <f>'Medicaid &amp; FAMIS - LASER'!E81+'SNAP LASER'!E81+'TANF LASER'!D81+'Energy Assistance LASER'!E81+'FC &amp; Adoptions LASER'!D81+'CSA LASER'!D81+'ChildCare LASER'!I81+'Other Benefits LASER'!D81</f>
        <v>58470555.163553618</v>
      </c>
      <c r="E82" s="1441">
        <f>'Medicaid &amp; FAMIS - LASER'!F81+'TANF LASER'!F81+'Energy Assistance LASER'!G81+'CSA LASER'!E81+'ChildCare LASER'!J81+'FC &amp; Adoptions LASER'!E81+'Other Benefits LASER'!E81</f>
        <v>50599190.090762362</v>
      </c>
      <c r="F82" s="1441">
        <f>'Medicaid &amp; FAMIS - LASER'!G81+'TANF LASER'!G81+'Energy Assistance LASER'!H81+'FC &amp; Adoptions LASER'!F81+'CSA LASER'!F81+'Other Benefits LASER'!F81</f>
        <v>3508965.0827312502</v>
      </c>
      <c r="G82" s="1441">
        <f>'TANF LASER'!H81+'Energy Assistance LASER'!J81+'FC &amp; Adoptions LASER'!G81+'CSA LASER'!G81+'Other Benefits LASER'!G81</f>
        <v>30745.579999999998</v>
      </c>
      <c r="H82" s="1441">
        <f t="shared" si="4"/>
        <v>112609455.91704722</v>
      </c>
      <c r="I82" s="1441">
        <f t="shared" si="3"/>
        <v>3539710.6627312503</v>
      </c>
    </row>
    <row r="83" spans="1:9" x14ac:dyDescent="0.25">
      <c r="A83" s="740" t="s">
        <v>204</v>
      </c>
      <c r="B83" s="592" t="s">
        <v>293</v>
      </c>
      <c r="C83" s="741" t="s">
        <v>265</v>
      </c>
      <c r="D83" s="1441">
        <f>'Medicaid &amp; FAMIS - LASER'!E82+'SNAP LASER'!E82+'TANF LASER'!D82+'Energy Assistance LASER'!E82+'FC &amp; Adoptions LASER'!D82+'CSA LASER'!D82+'ChildCare LASER'!I82+'Other Benefits LASER'!D82</f>
        <v>24161268.911849711</v>
      </c>
      <c r="E83" s="1441">
        <f>'Medicaid &amp; FAMIS - LASER'!F82+'TANF LASER'!F82+'Energy Assistance LASER'!G82+'CSA LASER'!E82+'ChildCare LASER'!J82+'FC &amp; Adoptions LASER'!E82+'Other Benefits LASER'!E82</f>
        <v>20620664.315290332</v>
      </c>
      <c r="F83" s="1441">
        <f>'Medicaid &amp; FAMIS - LASER'!G82+'TANF LASER'!G82+'Energy Assistance LASER'!H82+'FC &amp; Adoptions LASER'!F82+'CSA LASER'!F82+'Other Benefits LASER'!F82</f>
        <v>941577.03363937512</v>
      </c>
      <c r="G83" s="1441">
        <f>'TANF LASER'!H82+'Energy Assistance LASER'!J82+'FC &amp; Adoptions LASER'!G82+'CSA LASER'!G82+'Other Benefits LASER'!G82</f>
        <v>-0.1</v>
      </c>
      <c r="H83" s="1441">
        <f t="shared" si="4"/>
        <v>45723510.160779409</v>
      </c>
      <c r="I83" s="1441">
        <f t="shared" si="3"/>
        <v>941576.93363937514</v>
      </c>
    </row>
    <row r="84" spans="1:9" x14ac:dyDescent="0.25">
      <c r="A84" s="740" t="s">
        <v>206</v>
      </c>
      <c r="B84" s="592" t="s">
        <v>294</v>
      </c>
      <c r="C84" s="741" t="s">
        <v>267</v>
      </c>
      <c r="D84" s="1441">
        <f>'Medicaid &amp; FAMIS - LASER'!E83+'SNAP LASER'!E83+'TANF LASER'!D83+'Energy Assistance LASER'!E83+'FC &amp; Adoptions LASER'!D83+'CSA LASER'!D83+'ChildCare LASER'!I83+'Other Benefits LASER'!D83</f>
        <v>67652636.115353346</v>
      </c>
      <c r="E84" s="1441">
        <f>'Medicaid &amp; FAMIS - LASER'!F83+'TANF LASER'!F83+'Energy Assistance LASER'!G83+'CSA LASER'!E83+'ChildCare LASER'!J83+'FC &amp; Adoptions LASER'!E83+'Other Benefits LASER'!E83</f>
        <v>57307342.018795207</v>
      </c>
      <c r="F84" s="1441">
        <f>'Medicaid &amp; FAMIS - LASER'!G83+'TANF LASER'!G83+'Energy Assistance LASER'!H83+'FC &amp; Adoptions LASER'!F83+'CSA LASER'!F83+'Other Benefits LASER'!F83</f>
        <v>3590405.6441261251</v>
      </c>
      <c r="G84" s="1441">
        <f>'TANF LASER'!H83+'Energy Assistance LASER'!J83+'FC &amp; Adoptions LASER'!G83+'CSA LASER'!G83+'Other Benefits LASER'!G83</f>
        <v>-0.33</v>
      </c>
      <c r="H84" s="1441">
        <f t="shared" si="4"/>
        <v>128550383.44827469</v>
      </c>
      <c r="I84" s="1441">
        <f t="shared" si="3"/>
        <v>3590405.3141261251</v>
      </c>
    </row>
    <row r="85" spans="1:9" x14ac:dyDescent="0.25">
      <c r="A85" s="740" t="s">
        <v>208</v>
      </c>
      <c r="B85" s="592" t="s">
        <v>209</v>
      </c>
      <c r="C85" s="741" t="s">
        <v>268</v>
      </c>
      <c r="D85" s="1441">
        <f>'Medicaid &amp; FAMIS - LASER'!E84+'SNAP LASER'!E84+'TANF LASER'!D84+'Energy Assistance LASER'!E84+'FC &amp; Adoptions LASER'!D84+'CSA LASER'!D84+'ChildCare LASER'!I84+'Other Benefits LASER'!D84</f>
        <v>30945799.778463762</v>
      </c>
      <c r="E85" s="1441">
        <f>'Medicaid &amp; FAMIS - LASER'!F84+'TANF LASER'!F84+'Energy Assistance LASER'!G84+'CSA LASER'!E84+'ChildCare LASER'!J84+'FC &amp; Adoptions LASER'!E84+'Other Benefits LASER'!E84</f>
        <v>22882896.983080018</v>
      </c>
      <c r="F85" s="1441">
        <f>'Medicaid &amp; FAMIS - LASER'!G84+'TANF LASER'!G84+'Energy Assistance LASER'!H84+'FC &amp; Adoptions LASER'!F84+'CSA LASER'!F84+'Other Benefits LASER'!F84</f>
        <v>360783.84826375003</v>
      </c>
      <c r="G85" s="1441">
        <f>'TANF LASER'!H84+'Energy Assistance LASER'!J84+'FC &amp; Adoptions LASER'!G84+'CSA LASER'!G84+'Other Benefits LASER'!G84</f>
        <v>-0.28999999999999998</v>
      </c>
      <c r="H85" s="1441">
        <f t="shared" si="4"/>
        <v>54189480.319807529</v>
      </c>
      <c r="I85" s="1441">
        <f t="shared" si="3"/>
        <v>360783.55826375005</v>
      </c>
    </row>
    <row r="86" spans="1:9" x14ac:dyDescent="0.25">
      <c r="A86" s="740" t="s">
        <v>210</v>
      </c>
      <c r="B86" s="592" t="s">
        <v>211</v>
      </c>
      <c r="C86" s="741" t="s">
        <v>268</v>
      </c>
      <c r="D86" s="1441">
        <f>'Medicaid &amp; FAMIS - LASER'!E85+'SNAP LASER'!E85+'TANF LASER'!D85+'Energy Assistance LASER'!E85+'FC &amp; Adoptions LASER'!D85+'CSA LASER'!D85+'ChildCare LASER'!I85+'Other Benefits LASER'!D85</f>
        <v>23191645.767142702</v>
      </c>
      <c r="E86" s="1441">
        <f>'Medicaid &amp; FAMIS - LASER'!F85+'TANF LASER'!F85+'Energy Assistance LASER'!G85+'CSA LASER'!E85+'ChildCare LASER'!J85+'FC &amp; Adoptions LASER'!E85+'Other Benefits LASER'!E85</f>
        <v>18310876.127011701</v>
      </c>
      <c r="F86" s="1441">
        <f>'Medicaid &amp; FAMIS - LASER'!G85+'TANF LASER'!G85+'Energy Assistance LASER'!H85+'FC &amp; Adoptions LASER'!F85+'CSA LASER'!F85+'Other Benefits LASER'!F85</f>
        <v>269611.03567499999</v>
      </c>
      <c r="G86" s="1441">
        <f>'TANF LASER'!H85+'Energy Assistance LASER'!J85+'FC &amp; Adoptions LASER'!G85+'CSA LASER'!G85+'Other Benefits LASER'!G85</f>
        <v>-0.09</v>
      </c>
      <c r="H86" s="1441">
        <f t="shared" si="4"/>
        <v>41772132.839829393</v>
      </c>
      <c r="I86" s="1441">
        <f t="shared" si="3"/>
        <v>269610.94567499997</v>
      </c>
    </row>
    <row r="87" spans="1:9" x14ac:dyDescent="0.25">
      <c r="A87" s="740" t="s">
        <v>212</v>
      </c>
      <c r="B87" s="592" t="s">
        <v>213</v>
      </c>
      <c r="C87" s="741" t="s">
        <v>267</v>
      </c>
      <c r="D87" s="1441">
        <f>'Medicaid &amp; FAMIS - LASER'!E86+'SNAP LASER'!E86+'TANF LASER'!D86+'Energy Assistance LASER'!E86+'FC &amp; Adoptions LASER'!D86+'CSA LASER'!D86+'ChildCare LASER'!I86+'Other Benefits LASER'!D86</f>
        <v>29616910.149012804</v>
      </c>
      <c r="E87" s="1441">
        <f>'Medicaid &amp; FAMIS - LASER'!F86+'TANF LASER'!F86+'Energy Assistance LASER'!G86+'CSA LASER'!E86+'ChildCare LASER'!J86+'FC &amp; Adoptions LASER'!E86+'Other Benefits LASER'!E86</f>
        <v>23203032.58646518</v>
      </c>
      <c r="F87" s="1441">
        <f>'Medicaid &amp; FAMIS - LASER'!G86+'TANF LASER'!G86+'Energy Assistance LASER'!H86+'FC &amp; Adoptions LASER'!F86+'CSA LASER'!F86+'Other Benefits LASER'!F86</f>
        <v>871194.67432362493</v>
      </c>
      <c r="G87" s="1441">
        <f>'TANF LASER'!H86+'Energy Assistance LASER'!J86+'FC &amp; Adoptions LASER'!G86+'CSA LASER'!G86+'Other Benefits LASER'!G86</f>
        <v>8232.2999999999993</v>
      </c>
      <c r="H87" s="1441">
        <f t="shared" si="4"/>
        <v>53699369.709801607</v>
      </c>
      <c r="I87" s="1441">
        <f t="shared" si="3"/>
        <v>879426.97432362498</v>
      </c>
    </row>
    <row r="88" spans="1:9" x14ac:dyDescent="0.25">
      <c r="A88" s="740" t="s">
        <v>214</v>
      </c>
      <c r="B88" s="592" t="s">
        <v>215</v>
      </c>
      <c r="C88" s="741" t="s">
        <v>268</v>
      </c>
      <c r="D88" s="1441">
        <f>'Medicaid &amp; FAMIS - LASER'!E87+'SNAP LASER'!E87+'TANF LASER'!D87+'Energy Assistance LASER'!E87+'FC &amp; Adoptions LASER'!D87+'CSA LASER'!D87+'ChildCare LASER'!I87+'Other Benefits LASER'!D87</f>
        <v>33034380.242208436</v>
      </c>
      <c r="E88" s="1441">
        <f>'Medicaid &amp; FAMIS - LASER'!F87+'TANF LASER'!F87+'Energy Assistance LASER'!G87+'CSA LASER'!E87+'ChildCare LASER'!J87+'FC &amp; Adoptions LASER'!E87+'Other Benefits LASER'!E87</f>
        <v>23858206.24938618</v>
      </c>
      <c r="F88" s="1441">
        <f>'Medicaid &amp; FAMIS - LASER'!G87+'TANF LASER'!G87+'Energy Assistance LASER'!H87+'FC &amp; Adoptions LASER'!F87+'CSA LASER'!F87+'Other Benefits LASER'!F87</f>
        <v>280478.27816624998</v>
      </c>
      <c r="G88" s="1441">
        <f>'TANF LASER'!H87+'Energy Assistance LASER'!J87+'FC &amp; Adoptions LASER'!G87+'CSA LASER'!G87+'Other Benefits LASER'!G87</f>
        <v>1499.9</v>
      </c>
      <c r="H88" s="1441">
        <f t="shared" si="4"/>
        <v>57174564.669760861</v>
      </c>
      <c r="I88" s="1441">
        <f t="shared" si="3"/>
        <v>281978.17816625</v>
      </c>
    </row>
    <row r="89" spans="1:9" x14ac:dyDescent="0.25">
      <c r="A89" s="740" t="s">
        <v>216</v>
      </c>
      <c r="B89" s="592" t="s">
        <v>217</v>
      </c>
      <c r="C89" s="741" t="s">
        <v>264</v>
      </c>
      <c r="D89" s="1441">
        <f>'Medicaid &amp; FAMIS - LASER'!E88+'SNAP LASER'!E88+'TANF LASER'!D88+'Energy Assistance LASER'!E88+'FC &amp; Adoptions LASER'!D88+'CSA LASER'!D88+'ChildCare LASER'!I88+'Other Benefits LASER'!D88</f>
        <v>16425130.013073709</v>
      </c>
      <c r="E89" s="1441">
        <f>'Medicaid &amp; FAMIS - LASER'!F88+'TANF LASER'!F88+'Energy Assistance LASER'!G88+'CSA LASER'!E88+'ChildCare LASER'!J88+'FC &amp; Adoptions LASER'!E88+'Other Benefits LASER'!E88</f>
        <v>12386307.28647621</v>
      </c>
      <c r="F89" s="1441">
        <f>'Medicaid &amp; FAMIS - LASER'!G88+'TANF LASER'!G88+'Energy Assistance LASER'!H88+'FC &amp; Adoptions LASER'!F88+'CSA LASER'!F88+'Other Benefits LASER'!F88</f>
        <v>208929.2096375</v>
      </c>
      <c r="G89" s="1441">
        <f>'TANF LASER'!H88+'Energy Assistance LASER'!J88+'FC &amp; Adoptions LASER'!G88+'CSA LASER'!G88+'Other Benefits LASER'!G88</f>
        <v>-0.03</v>
      </c>
      <c r="H89" s="1441">
        <f t="shared" si="4"/>
        <v>29020366.479187418</v>
      </c>
      <c r="I89" s="1441">
        <f t="shared" si="3"/>
        <v>208929.1796375</v>
      </c>
    </row>
    <row r="90" spans="1:9" x14ac:dyDescent="0.25">
      <c r="A90" s="740" t="s">
        <v>218</v>
      </c>
      <c r="B90" s="592" t="s">
        <v>219</v>
      </c>
      <c r="C90" s="741" t="s">
        <v>267</v>
      </c>
      <c r="D90" s="1441">
        <f>'Medicaid &amp; FAMIS - LASER'!E89+'SNAP LASER'!E89+'TANF LASER'!D89+'Energy Assistance LASER'!E89+'FC &amp; Adoptions LASER'!D89+'CSA LASER'!D89+'ChildCare LASER'!I89+'Other Benefits LASER'!D89</f>
        <v>72406931.767080739</v>
      </c>
      <c r="E90" s="1441">
        <f>'Medicaid &amp; FAMIS - LASER'!F89+'TANF LASER'!F89+'Energy Assistance LASER'!G89+'CSA LASER'!E89+'ChildCare LASER'!J89+'FC &amp; Adoptions LASER'!E89+'Other Benefits LASER'!E89</f>
        <v>57560344.891316257</v>
      </c>
      <c r="F90" s="1441">
        <f>'Medicaid &amp; FAMIS - LASER'!G89+'TANF LASER'!G89+'Energy Assistance LASER'!H89+'FC &amp; Adoptions LASER'!F89+'CSA LASER'!F89+'Other Benefits LASER'!F89</f>
        <v>4077309.8171325</v>
      </c>
      <c r="G90" s="1441">
        <f>'TANF LASER'!H89+'Energy Assistance LASER'!J89+'FC &amp; Adoptions LASER'!G89+'CSA LASER'!G89+'Other Benefits LASER'!G89</f>
        <v>-0.21</v>
      </c>
      <c r="H90" s="1441">
        <f t="shared" si="4"/>
        <v>134044586.2655295</v>
      </c>
      <c r="I90" s="1441">
        <f t="shared" si="3"/>
        <v>4077309.6071325</v>
      </c>
    </row>
    <row r="91" spans="1:9" x14ac:dyDescent="0.25">
      <c r="A91" s="740" t="s">
        <v>220</v>
      </c>
      <c r="B91" s="592" t="s">
        <v>221</v>
      </c>
      <c r="C91" s="741" t="s">
        <v>267</v>
      </c>
      <c r="D91" s="1441">
        <f>'Medicaid &amp; FAMIS - LASER'!E90+'SNAP LASER'!E90+'TANF LASER'!D90+'Energy Assistance LASER'!E90+'FC &amp; Adoptions LASER'!D90+'CSA LASER'!D90+'ChildCare LASER'!I90+'Other Benefits LASER'!D90</f>
        <v>58901662.766041696</v>
      </c>
      <c r="E91" s="1441">
        <f>'Medicaid &amp; FAMIS - LASER'!F90+'TANF LASER'!F90+'Energy Assistance LASER'!G90+'CSA LASER'!E90+'ChildCare LASER'!J90+'FC &amp; Adoptions LASER'!E90+'Other Benefits LASER'!E90</f>
        <v>45157237.797757939</v>
      </c>
      <c r="F91" s="1441">
        <f>'Medicaid &amp; FAMIS - LASER'!G90+'TANF LASER'!G90+'Energy Assistance LASER'!H90+'FC &amp; Adoptions LASER'!F90+'CSA LASER'!F90+'Other Benefits LASER'!F90</f>
        <v>1978416.2662837501</v>
      </c>
      <c r="G91" s="1441">
        <f>'TANF LASER'!H90+'Energy Assistance LASER'!J90+'FC &amp; Adoptions LASER'!G90+'CSA LASER'!G90+'Other Benefits LASER'!G90</f>
        <v>34.56</v>
      </c>
      <c r="H91" s="1441">
        <f t="shared" si="4"/>
        <v>106037351.39008339</v>
      </c>
      <c r="I91" s="1441">
        <f t="shared" si="3"/>
        <v>1978450.8262837501</v>
      </c>
    </row>
    <row r="92" spans="1:9" x14ac:dyDescent="0.25">
      <c r="A92" s="740" t="s">
        <v>224</v>
      </c>
      <c r="B92" s="592" t="s">
        <v>225</v>
      </c>
      <c r="C92" s="741" t="s">
        <v>264</v>
      </c>
      <c r="D92" s="1441">
        <f>'Medicaid &amp; FAMIS - LASER'!E91+'SNAP LASER'!E91+'TANF LASER'!D91+'Energy Assistance LASER'!E91+'FC &amp; Adoptions LASER'!D91+'CSA LASER'!D91+'ChildCare LASER'!I91+'Other Benefits LASER'!D91</f>
        <v>5997502.1593271876</v>
      </c>
      <c r="E92" s="1441">
        <f>'Medicaid &amp; FAMIS - LASER'!F91+'TANF LASER'!F91+'Energy Assistance LASER'!G91+'CSA LASER'!E91+'ChildCare LASER'!J91+'FC &amp; Adoptions LASER'!E91+'Other Benefits LASER'!E91</f>
        <v>4367780.6697046878</v>
      </c>
      <c r="F92" s="1441">
        <f>'Medicaid &amp; FAMIS - LASER'!G91+'TANF LASER'!G91+'Energy Assistance LASER'!H91+'FC &amp; Adoptions LASER'!F91+'CSA LASER'!F91+'Other Benefits LASER'!F91</f>
        <v>110493.6463425</v>
      </c>
      <c r="G92" s="1441">
        <f>'TANF LASER'!H91+'Energy Assistance LASER'!J91+'FC &amp; Adoptions LASER'!G91+'CSA LASER'!G91+'Other Benefits LASER'!G91</f>
        <v>0</v>
      </c>
      <c r="H92" s="1441">
        <f t="shared" si="4"/>
        <v>10475776.475374375</v>
      </c>
      <c r="I92" s="1441">
        <f t="shared" si="3"/>
        <v>110493.6463425</v>
      </c>
    </row>
    <row r="93" spans="1:9" x14ac:dyDescent="0.25">
      <c r="A93" s="740" t="s">
        <v>226</v>
      </c>
      <c r="B93" s="592" t="s">
        <v>227</v>
      </c>
      <c r="C93" s="741" t="s">
        <v>264</v>
      </c>
      <c r="D93" s="1441">
        <f>'Medicaid &amp; FAMIS - LASER'!E92+'SNAP LASER'!E92+'TANF LASER'!D92+'Energy Assistance LASER'!E92+'FC &amp; Adoptions LASER'!D92+'CSA LASER'!D92+'ChildCare LASER'!I92+'Other Benefits LASER'!D92</f>
        <v>12500136.288577698</v>
      </c>
      <c r="E93" s="1441">
        <f>'Medicaid &amp; FAMIS - LASER'!F92+'TANF LASER'!F92+'Energy Assistance LASER'!G92+'CSA LASER'!E92+'ChildCare LASER'!J92+'FC &amp; Adoptions LASER'!E92+'Other Benefits LASER'!E92</f>
        <v>9904442.4657664485</v>
      </c>
      <c r="F93" s="1441">
        <f>'Medicaid &amp; FAMIS - LASER'!G92+'TANF LASER'!G92+'Energy Assistance LASER'!H92+'FC &amp; Adoptions LASER'!F92+'CSA LASER'!F92+'Other Benefits LASER'!F92</f>
        <v>230568.44781125002</v>
      </c>
      <c r="G93" s="1441">
        <f>'TANF LASER'!H92+'Energy Assistance LASER'!J92+'FC &amp; Adoptions LASER'!G92+'CSA LASER'!G92+'Other Benefits LASER'!G92</f>
        <v>0</v>
      </c>
      <c r="H93" s="1441">
        <f t="shared" si="4"/>
        <v>22635147.202155396</v>
      </c>
      <c r="I93" s="1441">
        <f t="shared" si="3"/>
        <v>230568.44781125002</v>
      </c>
    </row>
    <row r="94" spans="1:9" x14ac:dyDescent="0.25">
      <c r="A94" s="740" t="s">
        <v>228</v>
      </c>
      <c r="B94" s="592" t="s">
        <v>229</v>
      </c>
      <c r="C94" s="741" t="s">
        <v>268</v>
      </c>
      <c r="D94" s="1441">
        <f>'Medicaid &amp; FAMIS - LASER'!E93+'SNAP LASER'!E93+'TANF LASER'!D93+'Energy Assistance LASER'!E93+'FC &amp; Adoptions LASER'!D93+'CSA LASER'!D93+'ChildCare LASER'!I93+'Other Benefits LASER'!D93</f>
        <v>42206537.131238401</v>
      </c>
      <c r="E94" s="1441">
        <f>'Medicaid &amp; FAMIS - LASER'!F93+'TANF LASER'!F93+'Energy Assistance LASER'!G93+'CSA LASER'!E93+'ChildCare LASER'!J93+'FC &amp; Adoptions LASER'!E93+'Other Benefits LASER'!E93</f>
        <v>31109617.228525653</v>
      </c>
      <c r="F94" s="1441">
        <f>'Medicaid &amp; FAMIS - LASER'!G93+'TANF LASER'!G93+'Energy Assistance LASER'!H93+'FC &amp; Adoptions LASER'!F93+'CSA LASER'!F93+'Other Benefits LASER'!F93</f>
        <v>696226.10746875009</v>
      </c>
      <c r="G94" s="1441">
        <f>'TANF LASER'!H93+'Energy Assistance LASER'!J93+'FC &amp; Adoptions LASER'!G93+'CSA LASER'!G93+'Other Benefits LASER'!G93</f>
        <v>34999.910000000003</v>
      </c>
      <c r="H94" s="1441">
        <f t="shared" si="4"/>
        <v>74047380.377232805</v>
      </c>
      <c r="I94" s="1441">
        <f t="shared" si="3"/>
        <v>731226.01746875013</v>
      </c>
    </row>
    <row r="95" spans="1:9" x14ac:dyDescent="0.25">
      <c r="A95" s="740" t="s">
        <v>232</v>
      </c>
      <c r="B95" s="592" t="s">
        <v>233</v>
      </c>
      <c r="C95" s="741" t="s">
        <v>267</v>
      </c>
      <c r="D95" s="1441">
        <f>'Medicaid &amp; FAMIS - LASER'!E94+'SNAP LASER'!E94+'TANF LASER'!D94+'Energy Assistance LASER'!E94+'FC &amp; Adoptions LASER'!D94+'CSA LASER'!D94+'ChildCare LASER'!I94+'Other Benefits LASER'!D94</f>
        <v>28319416.449031267</v>
      </c>
      <c r="E95" s="1441">
        <f>'Medicaid &amp; FAMIS - LASER'!F94+'TANF LASER'!F94+'Energy Assistance LASER'!G94+'CSA LASER'!E94+'ChildCare LASER'!J94+'FC &amp; Adoptions LASER'!E94+'Other Benefits LASER'!E94</f>
        <v>21491062.690981012</v>
      </c>
      <c r="F95" s="1441">
        <f>'Medicaid &amp; FAMIS - LASER'!G94+'TANF LASER'!G94+'Energy Assistance LASER'!H94+'FC &amp; Adoptions LASER'!F94+'CSA LASER'!F94+'Other Benefits LASER'!F94</f>
        <v>772549.71982224996</v>
      </c>
      <c r="G95" s="1441">
        <f>'TANF LASER'!H94+'Energy Assistance LASER'!J94+'FC &amp; Adoptions LASER'!G94+'CSA LASER'!G94+'Other Benefits LASER'!G94</f>
        <v>-0.1</v>
      </c>
      <c r="H95" s="1441">
        <f t="shared" si="4"/>
        <v>50583028.759834528</v>
      </c>
      <c r="I95" s="1441">
        <f t="shared" si="3"/>
        <v>772549.61982224998</v>
      </c>
    </row>
    <row r="96" spans="1:9" x14ac:dyDescent="0.25">
      <c r="A96" s="740" t="s">
        <v>234</v>
      </c>
      <c r="B96" s="592" t="s">
        <v>235</v>
      </c>
      <c r="C96" s="741" t="s">
        <v>268</v>
      </c>
      <c r="D96" s="1441">
        <f>'Medicaid &amp; FAMIS - LASER'!E95+'SNAP LASER'!E95+'TANF LASER'!D95+'Energy Assistance LASER'!E95+'FC &amp; Adoptions LASER'!D95+'CSA LASER'!D95+'ChildCare LASER'!I95+'Other Benefits LASER'!D95</f>
        <v>40675708.658926591</v>
      </c>
      <c r="E96" s="1441">
        <f>'Medicaid &amp; FAMIS - LASER'!F95+'TANF LASER'!F95+'Energy Assistance LASER'!G95+'CSA LASER'!E95+'ChildCare LASER'!J95+'FC &amp; Adoptions LASER'!E95+'Other Benefits LASER'!E95</f>
        <v>30463371.965376597</v>
      </c>
      <c r="F96" s="1441">
        <f>'Medicaid &amp; FAMIS - LASER'!G95+'TANF LASER'!G95+'Energy Assistance LASER'!H95+'FC &amp; Adoptions LASER'!F95+'CSA LASER'!F95+'Other Benefits LASER'!F95</f>
        <v>632098.83295000007</v>
      </c>
      <c r="G96" s="1441">
        <f>'TANF LASER'!H95+'Energy Assistance LASER'!J95+'FC &amp; Adoptions LASER'!G95+'CSA LASER'!G95+'Other Benefits LASER'!G95</f>
        <v>9005.2099999999991</v>
      </c>
      <c r="H96" s="1441">
        <f t="shared" si="4"/>
        <v>71780184.667253181</v>
      </c>
      <c r="I96" s="1441">
        <f t="shared" si="3"/>
        <v>641104.04295000003</v>
      </c>
    </row>
    <row r="97" spans="1:9" x14ac:dyDescent="0.25">
      <c r="A97" s="740" t="s">
        <v>236</v>
      </c>
      <c r="B97" s="592" t="s">
        <v>237</v>
      </c>
      <c r="C97" s="741" t="s">
        <v>266</v>
      </c>
      <c r="D97" s="1441">
        <f>'Medicaid &amp; FAMIS - LASER'!E96+'SNAP LASER'!E96+'TANF LASER'!D96+'Energy Assistance LASER'!E96+'FC &amp; Adoptions LASER'!D96+'CSA LASER'!D96+'ChildCare LASER'!I96+'Other Benefits LASER'!D96</f>
        <v>15928152.598370802</v>
      </c>
      <c r="E97" s="1441">
        <f>'Medicaid &amp; FAMIS - LASER'!F96+'TANF LASER'!F96+'Energy Assistance LASER'!G96+'CSA LASER'!E96+'ChildCare LASER'!J96+'FC &amp; Adoptions LASER'!E96+'Other Benefits LASER'!E96</f>
        <v>11578473.448388804</v>
      </c>
      <c r="F97" s="1441">
        <f>'Medicaid &amp; FAMIS - LASER'!G96+'TANF LASER'!G96+'Energy Assistance LASER'!H96+'FC &amp; Adoptions LASER'!F96+'CSA LASER'!F96+'Other Benefits LASER'!F96</f>
        <v>484537.33324999997</v>
      </c>
      <c r="G97" s="1441">
        <f>'TANF LASER'!H96+'Energy Assistance LASER'!J96+'FC &amp; Adoptions LASER'!G96+'CSA LASER'!G96+'Other Benefits LASER'!G96</f>
        <v>999.93</v>
      </c>
      <c r="H97" s="1441">
        <f t="shared" si="4"/>
        <v>27992163.310009606</v>
      </c>
      <c r="I97" s="1441">
        <f t="shared" si="3"/>
        <v>485537.26324999996</v>
      </c>
    </row>
    <row r="98" spans="1:9" x14ac:dyDescent="0.25">
      <c r="A98" s="740" t="s">
        <v>242</v>
      </c>
      <c r="B98" s="592" t="s">
        <v>243</v>
      </c>
      <c r="C98" s="741" t="s">
        <v>268</v>
      </c>
      <c r="D98" s="1441">
        <f>'Medicaid &amp; FAMIS - LASER'!E97+'SNAP LASER'!E97+'TANF LASER'!D97+'Energy Assistance LASER'!E97+'FC &amp; Adoptions LASER'!D97+'CSA LASER'!D97+'ChildCare LASER'!I97+'Other Benefits LASER'!D97</f>
        <v>46306796.555567071</v>
      </c>
      <c r="E98" s="1441">
        <f>'Medicaid &amp; FAMIS - LASER'!F97+'TANF LASER'!F97+'Energy Assistance LASER'!G97+'CSA LASER'!E97+'ChildCare LASER'!J97+'FC &amp; Adoptions LASER'!E97+'Other Benefits LASER'!E97</f>
        <v>35539589.043316066</v>
      </c>
      <c r="F98" s="1441">
        <f>'Medicaid &amp; FAMIS - LASER'!G97+'TANF LASER'!G97+'Energy Assistance LASER'!H97+'FC &amp; Adoptions LASER'!F97+'CSA LASER'!F97+'Other Benefits LASER'!F97</f>
        <v>713097.56077500002</v>
      </c>
      <c r="G98" s="1441">
        <f>'TANF LASER'!H97+'Energy Assistance LASER'!J97+'FC &amp; Adoptions LASER'!G97+'CSA LASER'!G97+'Other Benefits LASER'!G97</f>
        <v>-0.2</v>
      </c>
      <c r="H98" s="1441">
        <f t="shared" si="4"/>
        <v>82559482.959658131</v>
      </c>
      <c r="I98" s="1441">
        <f t="shared" si="3"/>
        <v>713097.36077500007</v>
      </c>
    </row>
    <row r="99" spans="1:9" x14ac:dyDescent="0.25">
      <c r="A99" s="740" t="s">
        <v>244</v>
      </c>
      <c r="B99" s="592" t="s">
        <v>245</v>
      </c>
      <c r="C99" s="741" t="s">
        <v>268</v>
      </c>
      <c r="D99" s="1441">
        <f>'Medicaid &amp; FAMIS - LASER'!E98+'SNAP LASER'!E98+'TANF LASER'!D98+'Energy Assistance LASER'!E98+'FC &amp; Adoptions LASER'!D98+'CSA LASER'!D98+'ChildCare LASER'!I98+'Other Benefits LASER'!D98</f>
        <v>24596175.377187461</v>
      </c>
      <c r="E99" s="1441">
        <f>'Medicaid &amp; FAMIS - LASER'!F98+'TANF LASER'!F98+'Energy Assistance LASER'!G98+'CSA LASER'!E98+'ChildCare LASER'!J98+'FC &amp; Adoptions LASER'!E98+'Other Benefits LASER'!E98</f>
        <v>19817361.793607462</v>
      </c>
      <c r="F99" s="1441">
        <f>'Medicaid &amp; FAMIS - LASER'!G98+'TANF LASER'!G98+'Energy Assistance LASER'!H98+'FC &amp; Adoptions LASER'!F98+'CSA LASER'!F98+'Other Benefits LASER'!F98</f>
        <v>574037.20629999996</v>
      </c>
      <c r="G99" s="1441">
        <f>'TANF LASER'!H98+'Energy Assistance LASER'!J98+'FC &amp; Adoptions LASER'!G98+'CSA LASER'!G98+'Other Benefits LASER'!G98</f>
        <v>257.81</v>
      </c>
      <c r="H99" s="1441">
        <f t="shared" si="4"/>
        <v>44987832.187094919</v>
      </c>
      <c r="I99" s="1441">
        <f t="shared" si="3"/>
        <v>574295.01630000002</v>
      </c>
    </row>
    <row r="100" spans="1:9" x14ac:dyDescent="0.25">
      <c r="A100" s="740" t="s">
        <v>246</v>
      </c>
      <c r="B100" s="592" t="s">
        <v>247</v>
      </c>
      <c r="C100" s="741" t="s">
        <v>264</v>
      </c>
      <c r="D100" s="1441">
        <f>'Medicaid &amp; FAMIS - LASER'!E99+'SNAP LASER'!E99+'TANF LASER'!D99+'Energy Assistance LASER'!E99+'FC &amp; Adoptions LASER'!D99+'CSA LASER'!D99+'ChildCare LASER'!I99+'Other Benefits LASER'!D99</f>
        <v>21230571.374546897</v>
      </c>
      <c r="E100" s="1441">
        <f>'Medicaid &amp; FAMIS - LASER'!F99+'TANF LASER'!F99+'Energy Assistance LASER'!G99+'CSA LASER'!E99+'ChildCare LASER'!J99+'FC &amp; Adoptions LASER'!E99+'Other Benefits LASER'!E99</f>
        <v>16682893.051209897</v>
      </c>
      <c r="F100" s="1441">
        <f>'Medicaid &amp; FAMIS - LASER'!G99+'TANF LASER'!G99+'Energy Assistance LASER'!H99+'FC &amp; Adoptions LASER'!F99+'CSA LASER'!F99+'Other Benefits LASER'!F99</f>
        <v>511986.67906500003</v>
      </c>
      <c r="G100" s="1441">
        <f>'TANF LASER'!H99+'Energy Assistance LASER'!J99+'FC &amp; Adoptions LASER'!G99+'CSA LASER'!G99+'Other Benefits LASER'!G99</f>
        <v>-0.05</v>
      </c>
      <c r="H100" s="1441">
        <f t="shared" si="4"/>
        <v>38425451.054821797</v>
      </c>
      <c r="I100" s="1441">
        <f t="shared" si="3"/>
        <v>511986.62906500004</v>
      </c>
    </row>
    <row r="101" spans="1:9" x14ac:dyDescent="0.25">
      <c r="A101" s="740" t="s">
        <v>14</v>
      </c>
      <c r="B101" s="592" t="s">
        <v>15</v>
      </c>
      <c r="C101" s="741" t="s">
        <v>267</v>
      </c>
      <c r="D101" s="1441">
        <f>'Medicaid &amp; FAMIS - LASER'!E100+'SNAP LASER'!E100+'TANF LASER'!D100+'Energy Assistance LASER'!E100+'FC &amp; Adoptions LASER'!D100+'CSA LASER'!D100+'ChildCare LASER'!I100+'Other Benefits LASER'!D100</f>
        <v>66913297.911295496</v>
      </c>
      <c r="E101" s="1441">
        <f>'Medicaid &amp; FAMIS - LASER'!F100+'TANF LASER'!F100+'Energy Assistance LASER'!G100+'CSA LASER'!E100+'ChildCare LASER'!J100+'FC &amp; Adoptions LASER'!E100+'Other Benefits LASER'!E100</f>
        <v>54325334.621485241</v>
      </c>
      <c r="F101" s="1441">
        <f>'Medicaid &amp; FAMIS - LASER'!G100+'TANF LASER'!G100+'Energy Assistance LASER'!H100+'FC &amp; Adoptions LASER'!F100+'CSA LASER'!F100+'Other Benefits LASER'!F100</f>
        <v>4156617.0185102494</v>
      </c>
      <c r="G101" s="1441">
        <f>'TANF LASER'!H100+'Energy Assistance LASER'!J100+'FC &amp; Adoptions LASER'!G100+'CSA LASER'!G100+'Other Benefits LASER'!G100</f>
        <v>210133.96</v>
      </c>
      <c r="H101" s="1441">
        <f t="shared" si="4"/>
        <v>125605383.51129098</v>
      </c>
      <c r="I101" s="1441">
        <f t="shared" si="3"/>
        <v>4366750.9785102494</v>
      </c>
    </row>
    <row r="102" spans="1:9" x14ac:dyDescent="0.25">
      <c r="A102" s="740" t="s">
        <v>34</v>
      </c>
      <c r="B102" s="592" t="s">
        <v>35</v>
      </c>
      <c r="C102" s="741" t="s">
        <v>268</v>
      </c>
      <c r="D102" s="1441">
        <f>'Medicaid &amp; FAMIS - LASER'!E101+'SNAP LASER'!E101+'TANF LASER'!D101+'Energy Assistance LASER'!E101+'FC &amp; Adoptions LASER'!D101+'CSA LASER'!D101+'ChildCare LASER'!I101+'Other Benefits LASER'!D101</f>
        <v>22273799.080022801</v>
      </c>
      <c r="E102" s="1441">
        <f>'Medicaid &amp; FAMIS - LASER'!F101+'TANF LASER'!F101+'Energy Assistance LASER'!G101+'CSA LASER'!E101+'ChildCare LASER'!J101+'FC &amp; Adoptions LASER'!E101+'Other Benefits LASER'!E101</f>
        <v>16606918.079667553</v>
      </c>
      <c r="F102" s="1441">
        <f>'Medicaid &amp; FAMIS - LASER'!G101+'TANF LASER'!G101+'Energy Assistance LASER'!H101+'FC &amp; Adoptions LASER'!F101+'CSA LASER'!F101+'Other Benefits LASER'!F101</f>
        <v>616958.91269124998</v>
      </c>
      <c r="G102" s="1441">
        <f>'TANF LASER'!H101+'Energy Assistance LASER'!J101+'FC &amp; Adoptions LASER'!G101+'CSA LASER'!G101+'Other Benefits LASER'!G101</f>
        <v>-0.19</v>
      </c>
      <c r="H102" s="1441">
        <f t="shared" si="4"/>
        <v>39497675.882381603</v>
      </c>
      <c r="I102" s="1441">
        <f t="shared" si="3"/>
        <v>616958.72269125003</v>
      </c>
    </row>
    <row r="103" spans="1:9" x14ac:dyDescent="0.25">
      <c r="A103" s="740" t="s">
        <v>52</v>
      </c>
      <c r="B103" s="592" t="s">
        <v>53</v>
      </c>
      <c r="C103" s="741" t="s">
        <v>265</v>
      </c>
      <c r="D103" s="1441">
        <f>'Medicaid &amp; FAMIS - LASER'!E102+'SNAP LASER'!E102+'TANF LASER'!D102+'Energy Assistance LASER'!E102+'FC &amp; Adoptions LASER'!D102+'CSA LASER'!D102+'ChildCare LASER'!I102+'Other Benefits LASER'!D102</f>
        <v>35823710.153768897</v>
      </c>
      <c r="E103" s="1441">
        <f>'Medicaid &amp; FAMIS - LASER'!F102+'TANF LASER'!F102+'Energy Assistance LASER'!G102+'CSA LASER'!E102+'ChildCare LASER'!J102+'FC &amp; Adoptions LASER'!E102+'Other Benefits LASER'!E102</f>
        <v>33490193.9441019</v>
      </c>
      <c r="F103" s="1441">
        <f>'Medicaid &amp; FAMIS - LASER'!G102+'TANF LASER'!G102+'Energy Assistance LASER'!H102+'FC &amp; Adoptions LASER'!F102+'CSA LASER'!F102+'Other Benefits LASER'!F102</f>
        <v>2470389.0708109997</v>
      </c>
      <c r="G103" s="1441">
        <f>'TANF LASER'!H102+'Energy Assistance LASER'!J102+'FC &amp; Adoptions LASER'!G102+'CSA LASER'!G102+'Other Benefits LASER'!G102</f>
        <v>1467.41</v>
      </c>
      <c r="H103" s="1441">
        <f t="shared" si="4"/>
        <v>71785760.578681797</v>
      </c>
      <c r="I103" s="1441">
        <f t="shared" si="3"/>
        <v>2471856.4808109999</v>
      </c>
    </row>
    <row r="104" spans="1:9" x14ac:dyDescent="0.25">
      <c r="A104" s="740" t="s">
        <v>54</v>
      </c>
      <c r="B104" s="592" t="s">
        <v>55</v>
      </c>
      <c r="C104" s="741" t="s">
        <v>264</v>
      </c>
      <c r="D104" s="1441">
        <f>'Medicaid &amp; FAMIS - LASER'!E103+'SNAP LASER'!E103+'TANF LASER'!D103+'Energy Assistance LASER'!E103+'FC &amp; Adoptions LASER'!D103+'CSA LASER'!D103+'ChildCare LASER'!I103+'Other Benefits LASER'!D103</f>
        <v>133866935.63354106</v>
      </c>
      <c r="E104" s="1441">
        <f>'Medicaid &amp; FAMIS - LASER'!F103+'TANF LASER'!F103+'Energy Assistance LASER'!G103+'CSA LASER'!E103+'ChildCare LASER'!J103+'FC &amp; Adoptions LASER'!E103+'Other Benefits LASER'!E103</f>
        <v>97587339.13389492</v>
      </c>
      <c r="F104" s="1441">
        <f>'Medicaid &amp; FAMIS - LASER'!G103+'TANF LASER'!G103+'Energy Assistance LASER'!H103+'FC &amp; Adoptions LASER'!F103+'CSA LASER'!F103+'Other Benefits LASER'!F103</f>
        <v>1395232.6557781249</v>
      </c>
      <c r="G104" s="1441">
        <f>'TANF LASER'!H103+'Energy Assistance LASER'!J103+'FC &amp; Adoptions LASER'!G103+'CSA LASER'!G103+'Other Benefits LASER'!G103</f>
        <v>-204.55000000000018</v>
      </c>
      <c r="H104" s="1441">
        <f t="shared" si="4"/>
        <v>232849302.87321407</v>
      </c>
      <c r="I104" s="1441">
        <f t="shared" si="3"/>
        <v>1395028.1057781249</v>
      </c>
    </row>
    <row r="105" spans="1:9" x14ac:dyDescent="0.25">
      <c r="A105" s="740" t="s">
        <v>66</v>
      </c>
      <c r="B105" s="592" t="s">
        <v>67</v>
      </c>
      <c r="C105" s="741" t="s">
        <v>265</v>
      </c>
      <c r="D105" s="1441">
        <f>'Medicaid &amp; FAMIS - LASER'!E104+'SNAP LASER'!E104+'TANF LASER'!D104+'Energy Assistance LASER'!E104+'FC &amp; Adoptions LASER'!D104+'CSA LASER'!D104+'ChildCare LASER'!I104+'Other Benefits LASER'!D104</f>
        <v>77462581.077479735</v>
      </c>
      <c r="E105" s="1441">
        <f>'Medicaid &amp; FAMIS - LASER'!F104+'TANF LASER'!F104+'Energy Assistance LASER'!G104+'CSA LASER'!E104+'ChildCare LASER'!J104+'FC &amp; Adoptions LASER'!E104+'Other Benefits LASER'!E104</f>
        <v>59914181.978727862</v>
      </c>
      <c r="F105" s="1441">
        <f>'Medicaid &amp; FAMIS - LASER'!G104+'TANF LASER'!G104+'Energy Assistance LASER'!H104+'FC &amp; Adoptions LASER'!F104+'CSA LASER'!F104+'Other Benefits LASER'!F104</f>
        <v>1060301.930811875</v>
      </c>
      <c r="G105" s="1441">
        <f>'TANF LASER'!H104+'Energy Assistance LASER'!J104+'FC &amp; Adoptions LASER'!G104+'CSA LASER'!G104+'Other Benefits LASER'!G104</f>
        <v>-0.22999999999999998</v>
      </c>
      <c r="H105" s="1441">
        <f t="shared" si="4"/>
        <v>138437064.75701949</v>
      </c>
      <c r="I105" s="1441">
        <f t="shared" si="3"/>
        <v>1060301.7008118751</v>
      </c>
    </row>
    <row r="106" spans="1:9" x14ac:dyDescent="0.25">
      <c r="A106" s="740" t="s">
        <v>82</v>
      </c>
      <c r="B106" s="592" t="s">
        <v>311</v>
      </c>
      <c r="C106" s="741" t="s">
        <v>264</v>
      </c>
      <c r="D106" s="1441">
        <f>'Medicaid &amp; FAMIS - LASER'!E105+'SNAP LASER'!E105+'TANF LASER'!D105+'Energy Assistance LASER'!E105+'FC &amp; Adoptions LASER'!D105+'CSA LASER'!D105+'ChildCare LASER'!I105+'Other Benefits LASER'!D105</f>
        <v>15749240.081583029</v>
      </c>
      <c r="E106" s="1441">
        <f>'Medicaid &amp; FAMIS - LASER'!F105+'TANF LASER'!F105+'Energy Assistance LASER'!G105+'CSA LASER'!E105+'ChildCare LASER'!J105+'FC &amp; Adoptions LASER'!E105+'Other Benefits LASER'!E105</f>
        <v>11559144.032618528</v>
      </c>
      <c r="F106" s="1441">
        <f>'Medicaid &amp; FAMIS - LASER'!G105+'TANF LASER'!G105+'Energy Assistance LASER'!H105+'FC &amp; Adoptions LASER'!F105+'CSA LASER'!F105+'Other Benefits LASER'!F105</f>
        <v>112955.1481125</v>
      </c>
      <c r="G106" s="1441">
        <f>'TANF LASER'!H105+'Energy Assistance LASER'!J105+'FC &amp; Adoptions LASER'!G105+'CSA LASER'!G105+'Other Benefits LASER'!G105</f>
        <v>-0.03</v>
      </c>
      <c r="H106" s="1441">
        <f t="shared" si="4"/>
        <v>27421339.232314054</v>
      </c>
      <c r="I106" s="1441">
        <f t="shared" si="3"/>
        <v>112955.1181125</v>
      </c>
    </row>
    <row r="107" spans="1:9" x14ac:dyDescent="0.25">
      <c r="A107" s="740" t="s">
        <v>88</v>
      </c>
      <c r="B107" s="592" t="s">
        <v>89</v>
      </c>
      <c r="C107" s="741" t="s">
        <v>267</v>
      </c>
      <c r="D107" s="1441">
        <f>'Medicaid &amp; FAMIS - LASER'!E106+'SNAP LASER'!E106+'TANF LASER'!D106+'Energy Assistance LASER'!E106+'FC &amp; Adoptions LASER'!D106+'CSA LASER'!D106+'ChildCare LASER'!I106+'Other Benefits LASER'!D106</f>
        <v>25449858.312966876</v>
      </c>
      <c r="E107" s="1441">
        <f>'Medicaid &amp; FAMIS - LASER'!F106+'TANF LASER'!F106+'Energy Assistance LASER'!G106+'CSA LASER'!E106+'ChildCare LASER'!J106+'FC &amp; Adoptions LASER'!E106+'Other Benefits LASER'!E106</f>
        <v>20053431.876800999</v>
      </c>
      <c r="F107" s="1441">
        <f>'Medicaid &amp; FAMIS - LASER'!G106+'TANF LASER'!G106+'Energy Assistance LASER'!H106+'FC &amp; Adoptions LASER'!F106+'CSA LASER'!F106+'Other Benefits LASER'!F106</f>
        <v>834708.48739387514</v>
      </c>
      <c r="G107" s="1441">
        <f>'TANF LASER'!H106+'Energy Assistance LASER'!J106+'FC &amp; Adoptions LASER'!G106+'CSA LASER'!G106+'Other Benefits LASER'!G106</f>
        <v>-0.24000000000000002</v>
      </c>
      <c r="H107" s="1441">
        <f t="shared" si="4"/>
        <v>46337998.437161751</v>
      </c>
      <c r="I107" s="1441">
        <f t="shared" si="3"/>
        <v>834708.24739387515</v>
      </c>
    </row>
    <row r="108" spans="1:9" x14ac:dyDescent="0.25">
      <c r="A108" s="740" t="s">
        <v>90</v>
      </c>
      <c r="B108" s="592" t="s">
        <v>91</v>
      </c>
      <c r="C108" s="741" t="s">
        <v>268</v>
      </c>
      <c r="D108" s="1441">
        <f>'Medicaid &amp; FAMIS - LASER'!E107+'SNAP LASER'!E107+'TANF LASER'!D107+'Energy Assistance LASER'!E107+'FC &amp; Adoptions LASER'!D107+'CSA LASER'!D107+'ChildCare LASER'!I107+'Other Benefits LASER'!D107</f>
        <v>10620600.755760066</v>
      </c>
      <c r="E108" s="1441">
        <f>'Medicaid &amp; FAMIS - LASER'!F107+'TANF LASER'!F107+'Energy Assistance LASER'!G107+'CSA LASER'!E107+'ChildCare LASER'!J107+'FC &amp; Adoptions LASER'!E107+'Other Benefits LASER'!E107</f>
        <v>7775227.3737775683</v>
      </c>
      <c r="F108" s="1441">
        <f>'Medicaid &amp; FAMIS - LASER'!G107+'TANF LASER'!G107+'Energy Assistance LASER'!H107+'FC &amp; Adoptions LASER'!F107+'CSA LASER'!F107+'Other Benefits LASER'!F107</f>
        <v>72100.217902500008</v>
      </c>
      <c r="G108" s="1441">
        <f>'TANF LASER'!H107+'Energy Assistance LASER'!J107+'FC &amp; Adoptions LASER'!G107+'CSA LASER'!G107+'Other Benefits LASER'!G107</f>
        <v>-0.01</v>
      </c>
      <c r="H108" s="1441">
        <f t="shared" si="4"/>
        <v>18467928.337440133</v>
      </c>
      <c r="I108" s="1441">
        <f t="shared" si="3"/>
        <v>72100.207902500013</v>
      </c>
    </row>
    <row r="109" spans="1:9" x14ac:dyDescent="0.25">
      <c r="A109" s="740" t="s">
        <v>106</v>
      </c>
      <c r="B109" s="592" t="s">
        <v>107</v>
      </c>
      <c r="C109" s="741" t="s">
        <v>264</v>
      </c>
      <c r="D109" s="1441">
        <f>'Medicaid &amp; FAMIS - LASER'!E108+'SNAP LASER'!E108+'TANF LASER'!D108+'Energy Assistance LASER'!E108+'FC &amp; Adoptions LASER'!D108+'CSA LASER'!D108+'ChildCare LASER'!I108+'Other Benefits LASER'!D108</f>
        <v>122592115.03516187</v>
      </c>
      <c r="E109" s="1441">
        <f>'Medicaid &amp; FAMIS - LASER'!F108+'TANF LASER'!F108+'Energy Assistance LASER'!G108+'CSA LASER'!E108+'ChildCare LASER'!J108+'FC &amp; Adoptions LASER'!E108+'Other Benefits LASER'!E108</f>
        <v>95189462.828499362</v>
      </c>
      <c r="F109" s="1441">
        <f>'Medicaid &amp; FAMIS - LASER'!G108+'TANF LASER'!G108+'Energy Assistance LASER'!H108+'FC &amp; Adoptions LASER'!F108+'CSA LASER'!F108+'Other Benefits LASER'!F108</f>
        <v>1732038.9381425001</v>
      </c>
      <c r="G109" s="1441">
        <f>'TANF LASER'!H108+'Energy Assistance LASER'!J108+'FC &amp; Adoptions LASER'!G108+'CSA LASER'!G108+'Other Benefits LASER'!G108</f>
        <v>1428.78</v>
      </c>
      <c r="H109" s="1441">
        <f t="shared" si="4"/>
        <v>219515045.58180374</v>
      </c>
      <c r="I109" s="1441">
        <f t="shared" si="3"/>
        <v>1733467.7181425001</v>
      </c>
    </row>
    <row r="110" spans="1:9" x14ac:dyDescent="0.25">
      <c r="A110" s="740" t="s">
        <v>116</v>
      </c>
      <c r="B110" s="592" t="s">
        <v>117</v>
      </c>
      <c r="C110" s="741" t="s">
        <v>266</v>
      </c>
      <c r="D110" s="1441">
        <f>'Medicaid &amp; FAMIS - LASER'!E109+'SNAP LASER'!E109+'TANF LASER'!D109+'Energy Assistance LASER'!E109+'FC &amp; Adoptions LASER'!D109+'CSA LASER'!D109+'ChildCare LASER'!I109+'Other Benefits LASER'!D109</f>
        <v>34347555.818660364</v>
      </c>
      <c r="E110" s="1441">
        <f>'Medicaid &amp; FAMIS - LASER'!F109+'TANF LASER'!F109+'Energy Assistance LASER'!G109+'CSA LASER'!E109+'ChildCare LASER'!J109+'FC &amp; Adoptions LASER'!E109+'Other Benefits LASER'!E109</f>
        <v>26589775.161257237</v>
      </c>
      <c r="F110" s="1441">
        <f>'Medicaid &amp; FAMIS - LASER'!G109+'TANF LASER'!G109+'Energy Assistance LASER'!H109+'FC &amp; Adoptions LASER'!F109+'CSA LASER'!F109+'Other Benefits LASER'!F109</f>
        <v>1179387.4853951249</v>
      </c>
      <c r="G110" s="1441">
        <f>'TANF LASER'!H109+'Energy Assistance LASER'!J109+'FC &amp; Adoptions LASER'!G109+'CSA LASER'!G109+'Other Benefits LASER'!G109</f>
        <v>-0.13</v>
      </c>
      <c r="H110" s="1441">
        <f t="shared" si="4"/>
        <v>62116718.335312724</v>
      </c>
      <c r="I110" s="1441">
        <f t="shared" si="3"/>
        <v>1179387.355395125</v>
      </c>
    </row>
    <row r="111" spans="1:9" x14ac:dyDescent="0.25">
      <c r="A111" s="740" t="s">
        <v>138</v>
      </c>
      <c r="B111" s="592" t="s">
        <v>139</v>
      </c>
      <c r="C111" s="741" t="s">
        <v>265</v>
      </c>
      <c r="D111" s="1441">
        <f>'Medicaid &amp; FAMIS - LASER'!E110+'SNAP LASER'!E110+'TANF LASER'!D110+'Energy Assistance LASER'!E110+'FC &amp; Adoptions LASER'!D110+'CSA LASER'!D110+'ChildCare LASER'!I110+'Other Benefits LASER'!D110</f>
        <v>82592969.115818411</v>
      </c>
      <c r="E111" s="1441">
        <f>'Medicaid &amp; FAMIS - LASER'!F110+'TANF LASER'!F110+'Energy Assistance LASER'!G110+'CSA LASER'!E110+'ChildCare LASER'!J110+'FC &amp; Adoptions LASER'!E110+'Other Benefits LASER'!E110</f>
        <v>66067725.794488415</v>
      </c>
      <c r="F111" s="1441">
        <f>'Medicaid &amp; FAMIS - LASER'!G110+'TANF LASER'!G110+'Energy Assistance LASER'!H110+'FC &amp; Adoptions LASER'!F110+'CSA LASER'!F110+'Other Benefits LASER'!F110</f>
        <v>1945231.0281380001</v>
      </c>
      <c r="G111" s="1441">
        <f>'TANF LASER'!H110+'Energy Assistance LASER'!J110+'FC &amp; Adoptions LASER'!G110+'CSA LASER'!G110+'Other Benefits LASER'!G110</f>
        <v>-894.34</v>
      </c>
      <c r="H111" s="1441">
        <f t="shared" si="4"/>
        <v>150605031.59844482</v>
      </c>
      <c r="I111" s="1441">
        <f t="shared" si="3"/>
        <v>1944336.688138</v>
      </c>
    </row>
    <row r="112" spans="1:9" x14ac:dyDescent="0.25">
      <c r="A112" s="740" t="s">
        <v>142</v>
      </c>
      <c r="B112" s="592" t="s">
        <v>143</v>
      </c>
      <c r="C112" s="741" t="s">
        <v>267</v>
      </c>
      <c r="D112" s="1441">
        <f>'Medicaid &amp; FAMIS - LASER'!E111+'SNAP LASER'!E111+'TANF LASER'!D111+'Energy Assistance LASER'!E111+'FC &amp; Adoptions LASER'!D111+'CSA LASER'!D111+'ChildCare LASER'!I111+'Other Benefits LASER'!D111</f>
        <v>25142328.600322027</v>
      </c>
      <c r="E112" s="1441">
        <f>'Medicaid &amp; FAMIS - LASER'!F111+'TANF LASER'!F111+'Energy Assistance LASER'!G111+'CSA LASER'!E111+'ChildCare LASER'!J111+'FC &amp; Adoptions LASER'!E111+'Other Benefits LASER'!E111</f>
        <v>17683997.273282029</v>
      </c>
      <c r="F112" s="1441">
        <f>'Medicaid &amp; FAMIS - LASER'!G111+'TANF LASER'!G111+'Energy Assistance LASER'!H111+'FC &amp; Adoptions LASER'!F111+'CSA LASER'!F111+'Other Benefits LASER'!F111</f>
        <v>786080.91895999992</v>
      </c>
      <c r="G112" s="1441">
        <f>'TANF LASER'!H111+'Energy Assistance LASER'!J111+'FC &amp; Adoptions LASER'!G111+'CSA LASER'!G111+'Other Benefits LASER'!G111</f>
        <v>435.81</v>
      </c>
      <c r="H112" s="1441">
        <f t="shared" si="4"/>
        <v>43612842.602564059</v>
      </c>
      <c r="I112" s="1441">
        <f t="shared" si="3"/>
        <v>786516.72895999998</v>
      </c>
    </row>
    <row r="113" spans="1:9" x14ac:dyDescent="0.25">
      <c r="A113" s="740" t="s">
        <v>144</v>
      </c>
      <c r="B113" s="592" t="s">
        <v>145</v>
      </c>
      <c r="C113" s="741" t="s">
        <v>267</v>
      </c>
      <c r="D113" s="1441">
        <f>'Medicaid &amp; FAMIS - LASER'!E112+'SNAP LASER'!E112+'TANF LASER'!D112+'Energy Assistance LASER'!E112+'FC &amp; Adoptions LASER'!D112+'CSA LASER'!D112+'ChildCare LASER'!I112+'Other Benefits LASER'!D112</f>
        <v>7677106.7827759404</v>
      </c>
      <c r="E113" s="1441">
        <f>'Medicaid &amp; FAMIS - LASER'!F112+'TANF LASER'!F112+'Energy Assistance LASER'!G112+'CSA LASER'!E112+'ChildCare LASER'!J112+'FC &amp; Adoptions LASER'!E112+'Other Benefits LASER'!E112</f>
        <v>5609279.0310871899</v>
      </c>
      <c r="F113" s="1441">
        <f>'Medicaid &amp; FAMIS - LASER'!G112+'TANF LASER'!G112+'Energy Assistance LASER'!H112+'FC &amp; Adoptions LASER'!F112+'CSA LASER'!F112+'Other Benefits LASER'!F112</f>
        <v>242035.35992875003</v>
      </c>
      <c r="G113" s="1441">
        <f>'TANF LASER'!H112+'Energy Assistance LASER'!J112+'FC &amp; Adoptions LASER'!G112+'CSA LASER'!G112+'Other Benefits LASER'!G112</f>
        <v>-0.03</v>
      </c>
      <c r="H113" s="1441">
        <f t="shared" si="4"/>
        <v>13528421.14379188</v>
      </c>
      <c r="I113" s="1441">
        <f t="shared" si="3"/>
        <v>242035.32992875003</v>
      </c>
    </row>
    <row r="114" spans="1:9" x14ac:dyDescent="0.25">
      <c r="A114" s="740" t="s">
        <v>158</v>
      </c>
      <c r="B114" s="592" t="s">
        <v>159</v>
      </c>
      <c r="C114" s="741" t="s">
        <v>264</v>
      </c>
      <c r="D114" s="1441">
        <f>'Medicaid &amp; FAMIS - LASER'!E113+'SNAP LASER'!E113+'TANF LASER'!D113+'Energy Assistance LASER'!E113+'FC &amp; Adoptions LASER'!D113+'CSA LASER'!D113+'ChildCare LASER'!I113+'Other Benefits LASER'!D113</f>
        <v>173023816.30465648</v>
      </c>
      <c r="E114" s="1441">
        <f>'Medicaid &amp; FAMIS - LASER'!F113+'TANF LASER'!F113+'Energy Assistance LASER'!G113+'CSA LASER'!E113+'ChildCare LASER'!J113+'FC &amp; Adoptions LASER'!E113+'Other Benefits LASER'!E113</f>
        <v>119848240.016637</v>
      </c>
      <c r="F114" s="1441">
        <f>'Medicaid &amp; FAMIS - LASER'!G113+'TANF LASER'!G113+'Energy Assistance LASER'!H113+'FC &amp; Adoptions LASER'!F113+'CSA LASER'!F113+'Other Benefits LASER'!F113</f>
        <v>1815388.0036914998</v>
      </c>
      <c r="G114" s="1441">
        <f>'TANF LASER'!H113+'Energy Assistance LASER'!J113+'FC &amp; Adoptions LASER'!G113+'CSA LASER'!G113+'Other Benefits LASER'!G113</f>
        <v>812.7299999999999</v>
      </c>
      <c r="H114" s="1441">
        <f t="shared" si="4"/>
        <v>294688257.05498499</v>
      </c>
      <c r="I114" s="1441">
        <f t="shared" si="3"/>
        <v>1816200.7336914998</v>
      </c>
    </row>
    <row r="115" spans="1:9" x14ac:dyDescent="0.25">
      <c r="A115" s="740" t="s">
        <v>160</v>
      </c>
      <c r="B115" s="592" t="s">
        <v>161</v>
      </c>
      <c r="C115" s="741" t="s">
        <v>264</v>
      </c>
      <c r="D115" s="1441">
        <f>'Medicaid &amp; FAMIS - LASER'!E114+'SNAP LASER'!E114+'TANF LASER'!D114+'Energy Assistance LASER'!E114+'FC &amp; Adoptions LASER'!D114+'CSA LASER'!D114+'ChildCare LASER'!I114+'Other Benefits LASER'!D114</f>
        <v>249686041.20757046</v>
      </c>
      <c r="E115" s="1441">
        <f>'Medicaid &amp; FAMIS - LASER'!F114+'TANF LASER'!F114+'Energy Assistance LASER'!G114+'CSA LASER'!E114+'ChildCare LASER'!J114+'FC &amp; Adoptions LASER'!E114+'Other Benefits LASER'!E114</f>
        <v>178280853.66368839</v>
      </c>
      <c r="F115" s="1441">
        <f>'Medicaid &amp; FAMIS - LASER'!G114+'TANF LASER'!G114+'Energy Assistance LASER'!H114+'FC &amp; Adoptions LASER'!F114+'CSA LASER'!F114+'Other Benefits LASER'!F114</f>
        <v>2711864.3260581251</v>
      </c>
      <c r="G115" s="1441">
        <f>'TANF LASER'!H114+'Energy Assistance LASER'!J114+'FC &amp; Adoptions LASER'!G114+'CSA LASER'!G114+'Other Benefits LASER'!G114</f>
        <v>-1065.3399999999999</v>
      </c>
      <c r="H115" s="1441">
        <f t="shared" si="4"/>
        <v>430677693.85731703</v>
      </c>
      <c r="I115" s="1441">
        <f t="shared" si="3"/>
        <v>2710798.9860581253</v>
      </c>
    </row>
    <row r="116" spans="1:9" x14ac:dyDescent="0.25">
      <c r="A116" s="740" t="s">
        <v>166</v>
      </c>
      <c r="B116" s="592" t="s">
        <v>167</v>
      </c>
      <c r="C116" s="741" t="s">
        <v>268</v>
      </c>
      <c r="D116" s="1441">
        <f>'Medicaid &amp; FAMIS - LASER'!E115+'SNAP LASER'!E115+'TANF LASER'!D115+'Energy Assistance LASER'!E115+'FC &amp; Adoptions LASER'!D115+'CSA LASER'!D115+'ChildCare LASER'!I115+'Other Benefits LASER'!D115</f>
        <v>4850389.5200198079</v>
      </c>
      <c r="E116" s="1441">
        <f>'Medicaid &amp; FAMIS - LASER'!F115+'TANF LASER'!F115+'Energy Assistance LASER'!G115+'CSA LASER'!E115+'ChildCare LASER'!J115+'FC &amp; Adoptions LASER'!E115+'Other Benefits LASER'!E115</f>
        <v>3479556.0311878067</v>
      </c>
      <c r="F116" s="1441">
        <f>'Medicaid &amp; FAMIS - LASER'!G115+'TANF LASER'!G115+'Energy Assistance LASER'!H115+'FC &amp; Adoptions LASER'!F115+'CSA LASER'!F115+'Other Benefits LASER'!F115</f>
        <v>50372.078759999997</v>
      </c>
      <c r="G116" s="1441">
        <f>'TANF LASER'!H115+'Energy Assistance LASER'!J115+'FC &amp; Adoptions LASER'!G115+'CSA LASER'!G115+'Other Benefits LASER'!G115</f>
        <v>-0.01</v>
      </c>
      <c r="H116" s="1441">
        <f t="shared" si="4"/>
        <v>8380317.6199676152</v>
      </c>
      <c r="I116" s="1441">
        <f t="shared" si="3"/>
        <v>50372.068759999995</v>
      </c>
    </row>
    <row r="117" spans="1:9" x14ac:dyDescent="0.25">
      <c r="A117" s="740" t="s">
        <v>176</v>
      </c>
      <c r="B117" s="592" t="s">
        <v>177</v>
      </c>
      <c r="C117" s="741" t="s">
        <v>266</v>
      </c>
      <c r="D117" s="1441">
        <f>'Medicaid &amp; FAMIS - LASER'!E116+'SNAP LASER'!E116+'TANF LASER'!D116+'Energy Assistance LASER'!E116+'FC &amp; Adoptions LASER'!D116+'CSA LASER'!D116+'ChildCare LASER'!I116+'Other Benefits LASER'!D116</f>
        <v>65510253.779675908</v>
      </c>
      <c r="E117" s="1441">
        <f>'Medicaid &amp; FAMIS - LASER'!F116+'TANF LASER'!F116+'Energy Assistance LASER'!G116+'CSA LASER'!E116+'ChildCare LASER'!J116+'FC &amp; Adoptions LASER'!E116+'Other Benefits LASER'!E116</f>
        <v>50888083.862168908</v>
      </c>
      <c r="F117" s="1441">
        <f>'Medicaid &amp; FAMIS - LASER'!G116+'TANF LASER'!G116+'Energy Assistance LASER'!H116+'FC &amp; Adoptions LASER'!F116+'CSA LASER'!F116+'Other Benefits LASER'!F116</f>
        <v>1931280.9443549998</v>
      </c>
      <c r="G117" s="1441">
        <f>'TANF LASER'!H116+'Energy Assistance LASER'!J116+'FC &amp; Adoptions LASER'!G116+'CSA LASER'!G116+'Other Benefits LASER'!G116</f>
        <v>-831.29</v>
      </c>
      <c r="H117" s="1441">
        <f t="shared" si="4"/>
        <v>118328787.2961998</v>
      </c>
      <c r="I117" s="1441">
        <f t="shared" si="3"/>
        <v>1930449.6543549998</v>
      </c>
    </row>
    <row r="118" spans="1:9" x14ac:dyDescent="0.25">
      <c r="A118" s="740" t="s">
        <v>180</v>
      </c>
      <c r="B118" s="592" t="s">
        <v>181</v>
      </c>
      <c r="C118" s="741" t="s">
        <v>264</v>
      </c>
      <c r="D118" s="1441">
        <f>'Medicaid &amp; FAMIS - LASER'!E117+'SNAP LASER'!E117+'TANF LASER'!D117+'Energy Assistance LASER'!E117+'FC &amp; Adoptions LASER'!D117+'CSA LASER'!D117+'ChildCare LASER'!I117+'Other Benefits LASER'!D117</f>
        <v>127378017.68287809</v>
      </c>
      <c r="E118" s="1441">
        <f>'Medicaid &amp; FAMIS - LASER'!F117+'TANF LASER'!F117+'Energy Assistance LASER'!G117+'CSA LASER'!E117+'ChildCare LASER'!J117+'FC &amp; Adoptions LASER'!E117+'Other Benefits LASER'!E117</f>
        <v>93419843.286480069</v>
      </c>
      <c r="F118" s="1441">
        <f>'Medicaid &amp; FAMIS - LASER'!G117+'TANF LASER'!G117+'Energy Assistance LASER'!H117+'FC &amp; Adoptions LASER'!F117+'CSA LASER'!F117+'Other Benefits LASER'!F117</f>
        <v>1144008.7140899999</v>
      </c>
      <c r="G118" s="1441">
        <f>'TANF LASER'!H117+'Energy Assistance LASER'!J117+'FC &amp; Adoptions LASER'!G117+'CSA LASER'!G117+'Other Benefits LASER'!G117</f>
        <v>-1484.43</v>
      </c>
      <c r="H118" s="1441">
        <f t="shared" si="4"/>
        <v>221940385.25344813</v>
      </c>
      <c r="I118" s="1441">
        <f t="shared" si="3"/>
        <v>1142524.28409</v>
      </c>
    </row>
    <row r="119" spans="1:9" x14ac:dyDescent="0.25">
      <c r="A119" s="740" t="s">
        <v>192</v>
      </c>
      <c r="B119" s="592" t="s">
        <v>193</v>
      </c>
      <c r="C119" s="741" t="s">
        <v>268</v>
      </c>
      <c r="D119" s="1441">
        <f>'Medicaid &amp; FAMIS - LASER'!E118+'SNAP LASER'!E118+'TANF LASER'!D118+'Energy Assistance LASER'!E118+'FC &amp; Adoptions LASER'!D118+'CSA LASER'!D118+'ChildCare LASER'!I118+'Other Benefits LASER'!D118</f>
        <v>9473630.8032039925</v>
      </c>
      <c r="E119" s="1441">
        <f>'Medicaid &amp; FAMIS - LASER'!F118+'TANF LASER'!F118+'Energy Assistance LASER'!G118+'CSA LASER'!E118+'ChildCare LASER'!J118+'FC &amp; Adoptions LASER'!E118+'Other Benefits LASER'!E118</f>
        <v>7758676.8072727444</v>
      </c>
      <c r="F119" s="1441">
        <f>'Medicaid &amp; FAMIS - LASER'!G118+'TANF LASER'!G118+'Energy Assistance LASER'!H118+'FC &amp; Adoptions LASER'!F118+'CSA LASER'!F118+'Other Benefits LASER'!F118</f>
        <v>256926.38673125001</v>
      </c>
      <c r="G119" s="1441">
        <f>'TANF LASER'!H118+'Energy Assistance LASER'!J118+'FC &amp; Adoptions LASER'!G118+'CSA LASER'!G118+'Other Benefits LASER'!G118</f>
        <v>999.94</v>
      </c>
      <c r="H119" s="1441">
        <f t="shared" si="4"/>
        <v>17490233.937207986</v>
      </c>
      <c r="I119" s="1441">
        <f t="shared" si="3"/>
        <v>257926.32673125001</v>
      </c>
    </row>
    <row r="120" spans="1:9" x14ac:dyDescent="0.25">
      <c r="A120" s="740" t="s">
        <v>196</v>
      </c>
      <c r="B120" s="592" t="s">
        <v>312</v>
      </c>
      <c r="C120" s="741" t="s">
        <v>266</v>
      </c>
      <c r="D120" s="1441">
        <f>'Medicaid &amp; FAMIS - LASER'!E119+'SNAP LASER'!E119+'TANF LASER'!D119+'Energy Assistance LASER'!E119+'FC &amp; Adoptions LASER'!D119+'CSA LASER'!D119+'ChildCare LASER'!I119+'Other Benefits LASER'!D119</f>
        <v>310831290.46596682</v>
      </c>
      <c r="E120" s="1441">
        <f>'Medicaid &amp; FAMIS - LASER'!F119+'TANF LASER'!F119+'Energy Assistance LASER'!G119+'CSA LASER'!E119+'ChildCare LASER'!J119+'FC &amp; Adoptions LASER'!E119+'Other Benefits LASER'!E119</f>
        <v>240655912.43365204</v>
      </c>
      <c r="F120" s="1441">
        <f>'Medicaid &amp; FAMIS - LASER'!G119+'TANF LASER'!G119+'Energy Assistance LASER'!H119+'FC &amp; Adoptions LASER'!F119+'CSA LASER'!F119+'Other Benefits LASER'!F119</f>
        <v>7324392.974898749</v>
      </c>
      <c r="G120" s="1441">
        <f>'TANF LASER'!H119+'Energy Assistance LASER'!J119+'FC &amp; Adoptions LASER'!G119+'CSA LASER'!G119+'Other Benefits LASER'!G119</f>
        <v>1452401.52</v>
      </c>
      <c r="H120" s="1441">
        <f t="shared" si="4"/>
        <v>560263997.39451754</v>
      </c>
      <c r="I120" s="1441">
        <f t="shared" si="3"/>
        <v>8776794.4948987495</v>
      </c>
    </row>
    <row r="121" spans="1:9" x14ac:dyDescent="0.25">
      <c r="A121" s="740" t="s">
        <v>200</v>
      </c>
      <c r="B121" s="592" t="s">
        <v>313</v>
      </c>
      <c r="C121" s="741" t="s">
        <v>265</v>
      </c>
      <c r="D121" s="1441">
        <f>'Medicaid &amp; FAMIS - LASER'!E120+'SNAP LASER'!E120+'TANF LASER'!D120+'Energy Assistance LASER'!E120+'FC &amp; Adoptions LASER'!D120+'CSA LASER'!D120+'ChildCare LASER'!I120+'Other Benefits LASER'!D120</f>
        <v>135447493.5737516</v>
      </c>
      <c r="E121" s="1441">
        <f>'Medicaid &amp; FAMIS - LASER'!F120+'TANF LASER'!F120+'Energy Assistance LASER'!G120+'CSA LASER'!E120+'ChildCare LASER'!J120+'FC &amp; Adoptions LASER'!E120+'Other Benefits LASER'!E120</f>
        <v>105243588.00992361</v>
      </c>
      <c r="F121" s="1441">
        <f>'Medicaid &amp; FAMIS - LASER'!G120+'TANF LASER'!G120+'Energy Assistance LASER'!H120+'FC &amp; Adoptions LASER'!F120+'CSA LASER'!F120+'Other Benefits LASER'!F120</f>
        <v>3565628.9826560002</v>
      </c>
      <c r="G121" s="1441">
        <f>'TANF LASER'!H120+'Energy Assistance LASER'!J120+'FC &amp; Adoptions LASER'!G120+'CSA LASER'!G120+'Other Benefits LASER'!G120</f>
        <v>-119.18999999999994</v>
      </c>
      <c r="H121" s="1441">
        <f t="shared" si="4"/>
        <v>244256591.37633121</v>
      </c>
      <c r="I121" s="1441">
        <f t="shared" si="3"/>
        <v>3565509.7926560002</v>
      </c>
    </row>
    <row r="122" spans="1:9" x14ac:dyDescent="0.25">
      <c r="A122" s="740" t="s">
        <v>222</v>
      </c>
      <c r="B122" s="592" t="s">
        <v>223</v>
      </c>
      <c r="C122" s="741" t="s">
        <v>264</v>
      </c>
      <c r="D122" s="1441">
        <f>'Medicaid &amp; FAMIS - LASER'!E121+'SNAP LASER'!E121+'TANF LASER'!D121+'Energy Assistance LASER'!E121+'FC &amp; Adoptions LASER'!D121+'CSA LASER'!D121+'ChildCare LASER'!I121+'Other Benefits LASER'!D121</f>
        <v>78428504.519602075</v>
      </c>
      <c r="E122" s="1441">
        <f>'Medicaid &amp; FAMIS - LASER'!F121+'TANF LASER'!F121+'Energy Assistance LASER'!G121+'CSA LASER'!E121+'ChildCare LASER'!J121+'FC &amp; Adoptions LASER'!E121+'Other Benefits LASER'!E121</f>
        <v>59484139.215410091</v>
      </c>
      <c r="F122" s="1441">
        <f>'Medicaid &amp; FAMIS - LASER'!G121+'TANF LASER'!G121+'Energy Assistance LASER'!H121+'FC &amp; Adoptions LASER'!F121+'CSA LASER'!F121+'Other Benefits LASER'!F121</f>
        <v>483689.73447999998</v>
      </c>
      <c r="G122" s="1441">
        <f>'TANF LASER'!H121+'Energy Assistance LASER'!J121+'FC &amp; Adoptions LASER'!G121+'CSA LASER'!G121+'Other Benefits LASER'!G121</f>
        <v>19741</v>
      </c>
      <c r="H122" s="1441">
        <f t="shared" si="4"/>
        <v>138416074.46949217</v>
      </c>
      <c r="I122" s="1441">
        <f t="shared" si="3"/>
        <v>503430.73447999998</v>
      </c>
    </row>
    <row r="123" spans="1:9" x14ac:dyDescent="0.25">
      <c r="A123" s="740" t="s">
        <v>230</v>
      </c>
      <c r="B123" s="592" t="s">
        <v>231</v>
      </c>
      <c r="C123" s="741" t="s">
        <v>264</v>
      </c>
      <c r="D123" s="1441">
        <f>'Medicaid &amp; FAMIS - LASER'!E122+'SNAP LASER'!E122+'TANF LASER'!D122+'Energy Assistance LASER'!E122+'FC &amp; Adoptions LASER'!D122+'CSA LASER'!D122+'ChildCare LASER'!I122+'Other Benefits LASER'!D122</f>
        <v>218394347.92959681</v>
      </c>
      <c r="E123" s="1441">
        <f>'Medicaid &amp; FAMIS - LASER'!F122+'TANF LASER'!F122+'Energy Assistance LASER'!G122+'CSA LASER'!E122+'ChildCare LASER'!J122+'FC &amp; Adoptions LASER'!E122+'Other Benefits LASER'!E122</f>
        <v>165233194.54215389</v>
      </c>
      <c r="F123" s="1441">
        <f>'Medicaid &amp; FAMIS - LASER'!G122+'TANF LASER'!G122+'Energy Assistance LASER'!H122+'FC &amp; Adoptions LASER'!F122+'CSA LASER'!F122+'Other Benefits LASER'!F122</f>
        <v>4538545.8373928759</v>
      </c>
      <c r="G123" s="1441">
        <f>'TANF LASER'!H122+'Energy Assistance LASER'!J122+'FC &amp; Adoptions LASER'!G122+'CSA LASER'!G122+'Other Benefits LASER'!G122</f>
        <v>61499.61</v>
      </c>
      <c r="H123" s="1441">
        <f t="shared" si="4"/>
        <v>388227587.91914362</v>
      </c>
      <c r="I123" s="1441">
        <f t="shared" si="3"/>
        <v>4600045.4473928763</v>
      </c>
    </row>
    <row r="124" spans="1:9" x14ac:dyDescent="0.25">
      <c r="A124" s="740" t="s">
        <v>238</v>
      </c>
      <c r="B124" s="592" t="s">
        <v>239</v>
      </c>
      <c r="C124" s="741" t="s">
        <v>264</v>
      </c>
      <c r="D124" s="1441">
        <f>'Medicaid &amp; FAMIS - LASER'!E123+'SNAP LASER'!E123+'TANF LASER'!D123+'Energy Assistance LASER'!E123+'FC &amp; Adoptions LASER'!D123+'CSA LASER'!D123+'ChildCare LASER'!I123+'Other Benefits LASER'!D123</f>
        <v>6674387.1200637845</v>
      </c>
      <c r="E124" s="1441">
        <f>'Medicaid &amp; FAMIS - LASER'!F123+'TANF LASER'!F123+'Energy Assistance LASER'!G123+'CSA LASER'!E123+'ChildCare LASER'!J123+'FC &amp; Adoptions LASER'!E123+'Other Benefits LASER'!E123</f>
        <v>4671045.6778405337</v>
      </c>
      <c r="F124" s="1441">
        <f>'Medicaid &amp; FAMIS - LASER'!G123+'TANF LASER'!G123+'Energy Assistance LASER'!H123+'FC &amp; Adoptions LASER'!F123+'CSA LASER'!F123+'Other Benefits LASER'!F123</f>
        <v>132241.59493125</v>
      </c>
      <c r="G124" s="1441">
        <f>'TANF LASER'!H123+'Energy Assistance LASER'!J123+'FC &amp; Adoptions LASER'!G123+'CSA LASER'!G123+'Other Benefits LASER'!G123</f>
        <v>15409.269999999999</v>
      </c>
      <c r="H124" s="1441">
        <f t="shared" si="4"/>
        <v>11493083.662835568</v>
      </c>
      <c r="I124" s="1441">
        <f t="shared" si="3"/>
        <v>147650.86493124999</v>
      </c>
    </row>
    <row r="125" spans="1:9" x14ac:dyDescent="0.25">
      <c r="A125" s="742" t="s">
        <v>240</v>
      </c>
      <c r="B125" s="743" t="s">
        <v>241</v>
      </c>
      <c r="C125" s="744" t="s">
        <v>267</v>
      </c>
      <c r="D125" s="1441">
        <f>'Medicaid &amp; FAMIS - LASER'!E124+'SNAP LASER'!E124+'TANF LASER'!D124+'Energy Assistance LASER'!E124+'FC &amp; Adoptions LASER'!D124+'CSA LASER'!D124+'ChildCare LASER'!I124+'Other Benefits LASER'!D124</f>
        <v>25601279.552696973</v>
      </c>
      <c r="E125" s="1441">
        <f>'Medicaid &amp; FAMIS - LASER'!F124+'TANF LASER'!F124+'Energy Assistance LASER'!G124+'CSA LASER'!E124+'ChildCare LASER'!J124+'FC &amp; Adoptions LASER'!E124+'Other Benefits LASER'!E124</f>
        <v>19924831.578242473</v>
      </c>
      <c r="F125" s="1441">
        <f>'Medicaid &amp; FAMIS - LASER'!G124+'TANF LASER'!G124+'Energy Assistance LASER'!H124+'FC &amp; Adoptions LASER'!F124+'CSA LASER'!F124+'Other Benefits LASER'!F124</f>
        <v>883426.36139450001</v>
      </c>
      <c r="G125" s="1441">
        <f>'TANF LASER'!H124+'Energy Assistance LASER'!J124+'FC &amp; Adoptions LASER'!G124+'CSA LASER'!G124+'Other Benefits LASER'!G124</f>
        <v>7793.5700000000006</v>
      </c>
      <c r="H125" s="1441">
        <f t="shared" si="4"/>
        <v>46417331.062333949</v>
      </c>
      <c r="I125" s="1441">
        <f t="shared" si="3"/>
        <v>891219.93139449996</v>
      </c>
    </row>
    <row r="126" spans="1:9" x14ac:dyDescent="0.25">
      <c r="A126" s="745"/>
      <c r="B126" s="745"/>
      <c r="C126" s="745"/>
    </row>
    <row r="127" spans="1:9" x14ac:dyDescent="0.25">
      <c r="A127" s="394" t="s">
        <v>802</v>
      </c>
      <c r="B127" s="745"/>
      <c r="C127" s="745"/>
    </row>
    <row r="128" spans="1:9" x14ac:dyDescent="0.25">
      <c r="A128" s="731"/>
      <c r="B128" s="731"/>
      <c r="C128" s="731"/>
    </row>
    <row r="129" spans="1:3" x14ac:dyDescent="0.25">
      <c r="A129" s="134" t="s">
        <v>248</v>
      </c>
      <c r="B129" s="746"/>
      <c r="C129" s="746"/>
    </row>
    <row r="130" spans="1:3" x14ac:dyDescent="0.25">
      <c r="A130" s="134" t="s">
        <v>249</v>
      </c>
      <c r="B130" s="416" t="s">
        <v>250</v>
      </c>
      <c r="C130" s="747"/>
    </row>
  </sheetData>
  <hyperlinks>
    <hyperlink ref="B130"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F130"/>
  <sheetViews>
    <sheetView workbookViewId="0">
      <pane xSplit="3" ySplit="5" topLeftCell="D107" activePane="bottomRight" state="frozen"/>
      <selection pane="topRight" activeCell="D1" sqref="D1"/>
      <selection pane="bottomLeft" activeCell="A6" sqref="A6"/>
      <selection pane="bottomRight" activeCell="AD128" sqref="AD128"/>
    </sheetView>
  </sheetViews>
  <sheetFormatPr defaultRowHeight="15.75" x14ac:dyDescent="0.25"/>
  <cols>
    <col min="1" max="1" width="6.125" style="134" bestFit="1" customWidth="1"/>
    <col min="2" max="2" width="29.375" style="157" customWidth="1"/>
    <col min="3" max="3" width="9.25" style="157" customWidth="1"/>
    <col min="4" max="7" width="15.25" style="777" customWidth="1"/>
    <col min="8" max="8" width="13.625" style="777" bestFit="1" customWidth="1"/>
    <col min="9" max="10" width="12.625" style="777" bestFit="1" customWidth="1"/>
    <col min="11" max="11" width="13.625" style="777" bestFit="1" customWidth="1"/>
    <col min="12" max="12" width="14.875" style="777" bestFit="1" customWidth="1"/>
    <col min="13" max="19" width="16" style="777" customWidth="1"/>
    <col min="20" max="20" width="3.25" style="777" customWidth="1"/>
    <col min="21" max="21" width="9" style="272" customWidth="1"/>
    <col min="22" max="23" width="9" style="272"/>
    <col min="24" max="24" width="11" style="272" customWidth="1"/>
    <col min="25" max="25" width="3.875" style="731" customWidth="1"/>
    <col min="26" max="28" width="12.5" style="270" customWidth="1"/>
    <col min="29" max="29" width="9" style="731"/>
    <col min="30" max="32" width="12.5" style="270" customWidth="1"/>
    <col min="33" max="16384" width="9" style="731"/>
  </cols>
  <sheetData>
    <row r="1" spans="1:32" x14ac:dyDescent="0.25">
      <c r="A1" s="730" t="s">
        <v>1090</v>
      </c>
      <c r="B1" s="731"/>
      <c r="C1" s="731"/>
    </row>
    <row r="3" spans="1:32" x14ac:dyDescent="0.25">
      <c r="D3" s="2140" t="s">
        <v>700</v>
      </c>
      <c r="E3" s="2141"/>
      <c r="F3" s="2141"/>
      <c r="G3" s="2142"/>
      <c r="H3" s="2143" t="s">
        <v>701</v>
      </c>
      <c r="I3" s="2144"/>
      <c r="J3" s="2144"/>
      <c r="K3" s="2145"/>
      <c r="L3" s="2140" t="s">
        <v>695</v>
      </c>
      <c r="M3" s="2141"/>
      <c r="N3" s="2141"/>
      <c r="O3" s="2142"/>
      <c r="P3" s="2146" t="s">
        <v>1098</v>
      </c>
      <c r="Q3" s="2147"/>
      <c r="R3" s="2147"/>
      <c r="S3" s="2148"/>
      <c r="T3" s="778"/>
      <c r="U3" s="2137" t="s">
        <v>696</v>
      </c>
      <c r="V3" s="2138"/>
      <c r="W3" s="2138"/>
      <c r="X3" s="2139"/>
      <c r="Z3" s="2137" t="s">
        <v>1099</v>
      </c>
      <c r="AA3" s="2138"/>
      <c r="AB3" s="2139"/>
      <c r="AD3" s="2137" t="s">
        <v>1100</v>
      </c>
      <c r="AE3" s="2138"/>
      <c r="AF3" s="2139"/>
    </row>
    <row r="4" spans="1:32" ht="31.5" x14ac:dyDescent="0.25">
      <c r="A4" s="732" t="s">
        <v>4</v>
      </c>
      <c r="B4" s="182" t="s">
        <v>5</v>
      </c>
      <c r="C4" s="182" t="s">
        <v>251</v>
      </c>
      <c r="D4" s="784" t="s">
        <v>314</v>
      </c>
      <c r="E4" s="785" t="s">
        <v>315</v>
      </c>
      <c r="F4" s="786" t="s">
        <v>662</v>
      </c>
      <c r="G4" s="787" t="s">
        <v>281</v>
      </c>
      <c r="H4" s="784" t="s">
        <v>314</v>
      </c>
      <c r="I4" s="785" t="s">
        <v>315</v>
      </c>
      <c r="J4" s="786" t="s">
        <v>662</v>
      </c>
      <c r="K4" s="787" t="s">
        <v>281</v>
      </c>
      <c r="L4" s="784" t="s">
        <v>314</v>
      </c>
      <c r="M4" s="785" t="s">
        <v>315</v>
      </c>
      <c r="N4" s="786" t="s">
        <v>662</v>
      </c>
      <c r="O4" s="787" t="s">
        <v>281</v>
      </c>
      <c r="P4" s="1463" t="s">
        <v>314</v>
      </c>
      <c r="Q4" s="1464" t="s">
        <v>315</v>
      </c>
      <c r="R4" s="1465" t="s">
        <v>662</v>
      </c>
      <c r="S4" s="1466" t="s">
        <v>281</v>
      </c>
      <c r="T4" s="779"/>
      <c r="U4" s="1475" t="s">
        <v>697</v>
      </c>
      <c r="V4" s="805" t="s">
        <v>698</v>
      </c>
      <c r="W4" s="805" t="s">
        <v>699</v>
      </c>
      <c r="X4" s="798" t="s">
        <v>707</v>
      </c>
      <c r="Z4" s="797" t="s">
        <v>704</v>
      </c>
      <c r="AA4" s="805" t="s">
        <v>705</v>
      </c>
      <c r="AB4" s="806" t="s">
        <v>706</v>
      </c>
      <c r="AD4" s="797" t="s">
        <v>704</v>
      </c>
      <c r="AE4" s="805" t="s">
        <v>705</v>
      </c>
      <c r="AF4" s="806" t="s">
        <v>706</v>
      </c>
    </row>
    <row r="5" spans="1:32" x14ac:dyDescent="0.25">
      <c r="A5" s="780" t="s">
        <v>8</v>
      </c>
      <c r="B5" s="781" t="s">
        <v>9</v>
      </c>
      <c r="C5" s="781"/>
      <c r="D5" s="788">
        <f>'Administration LASER'!D4+'Other Oper Exp. LASER'!D4</f>
        <v>286800565.14999998</v>
      </c>
      <c r="E5" s="789">
        <f>'Administration LASER'!E4+'Other Oper Exp. LASER'!E4</f>
        <v>111848470.43000001</v>
      </c>
      <c r="F5" s="789">
        <f>'Administration LASER'!K4+'Other Oper Exp. LASER'!K4</f>
        <v>245029946.56999993</v>
      </c>
      <c r="G5" s="790">
        <f>'Administration LASER'!I4+'Other Oper Exp. LASER'!I4</f>
        <v>643678982.15000021</v>
      </c>
      <c r="H5" s="788">
        <f>'Client Services LASER'!D4</f>
        <v>12775908.935972039</v>
      </c>
      <c r="I5" s="789">
        <f>'Client Services LASER'!E4</f>
        <v>8958762.1469999999</v>
      </c>
      <c r="J5" s="789">
        <f>'Client Services LASER'!K4</f>
        <v>8561135.3399999999</v>
      </c>
      <c r="K5" s="790">
        <f>'Client Services LASER'!I4</f>
        <v>30295806.422972035</v>
      </c>
      <c r="L5" s="788">
        <f>SUM(L6:L125)</f>
        <v>5366373754.7350998</v>
      </c>
      <c r="M5" s="789">
        <f>SUM(M6:M125)</f>
        <v>4146814034.7971163</v>
      </c>
      <c r="N5" s="789">
        <f>SUM(N6:N125)</f>
        <v>146997633.59285522</v>
      </c>
      <c r="O5" s="790">
        <f t="shared" ref="O5:O36" si="0">SUM(L5:N5)</f>
        <v>9660185423.1250706</v>
      </c>
      <c r="P5" s="1460">
        <f t="shared" ref="P5:S5" si="1">SUM(P6:P125)</f>
        <v>5665950228.8210735</v>
      </c>
      <c r="Q5" s="1440">
        <f t="shared" si="1"/>
        <v>4267621267.3741159</v>
      </c>
      <c r="R5" s="1440">
        <f t="shared" si="1"/>
        <v>400588715.5028553</v>
      </c>
      <c r="S5" s="1461">
        <f t="shared" si="1"/>
        <v>10334160211.698042</v>
      </c>
      <c r="T5" s="782"/>
      <c r="U5" s="799">
        <f t="shared" ref="U5:U36" si="2">D5/G5</f>
        <v>0.44556459524596564</v>
      </c>
      <c r="V5" s="800">
        <f t="shared" ref="V5:V36" si="3">E5/G5</f>
        <v>0.17376436629390413</v>
      </c>
      <c r="W5" s="800">
        <f t="shared" ref="W5:W36" si="4">F5/G5</f>
        <v>0.38067103846012978</v>
      </c>
      <c r="X5" s="801">
        <f>(D5+E5)/G5</f>
        <v>0.61932896153986972</v>
      </c>
      <c r="Z5" s="1467">
        <f>G5/S5</f>
        <v>6.2286530203138304E-2</v>
      </c>
      <c r="AA5" s="1468">
        <f>K5/S5</f>
        <v>2.9316176450097848E-3</v>
      </c>
      <c r="AB5" s="1469">
        <f>O5/S5</f>
        <v>0.93478185215185194</v>
      </c>
      <c r="AD5" s="1467">
        <f>F5/R5</f>
        <v>0.611674610610077</v>
      </c>
      <c r="AE5" s="1468">
        <f>J5/R5</f>
        <v>2.1371384187029049E-2</v>
      </c>
      <c r="AF5" s="1469">
        <f>N5/R5</f>
        <v>0.36695400520289356</v>
      </c>
    </row>
    <row r="6" spans="1:32" x14ac:dyDescent="0.25">
      <c r="A6" s="740" t="s">
        <v>10</v>
      </c>
      <c r="B6" s="592" t="s">
        <v>11</v>
      </c>
      <c r="C6" s="741" t="s">
        <v>264</v>
      </c>
      <c r="D6" s="791">
        <f>'Administration LASER'!D5+'Other Oper Exp. LASER'!D5</f>
        <v>1767984</v>
      </c>
      <c r="E6" s="792">
        <f>'Administration LASER'!E5+'Other Oper Exp. LASER'!E5</f>
        <v>919029.97</v>
      </c>
      <c r="F6" s="792">
        <f>'Administration LASER'!K5+'Other Oper Exp. LASER'!K5</f>
        <v>688186.7300000001</v>
      </c>
      <c r="G6" s="793">
        <f>'Administration LASER'!I5+'Other Oper Exp. LASER'!I5</f>
        <v>3375200.6999999997</v>
      </c>
      <c r="H6" s="791">
        <f>'Client Services LASER'!D5</f>
        <v>68953.465972034144</v>
      </c>
      <c r="I6" s="792">
        <f>'Client Services LASER'!E5</f>
        <v>12695.98</v>
      </c>
      <c r="J6" s="792">
        <f>'Client Services LASER'!K5</f>
        <v>23814.089999999997</v>
      </c>
      <c r="K6" s="793">
        <f>'Client Services LASER'!I5</f>
        <v>105463.53597203414</v>
      </c>
      <c r="L6" s="791">
        <f>'Benefits Spending LASER'!D6</f>
        <v>35359065.794043504</v>
      </c>
      <c r="M6" s="792">
        <f>'Benefits Spending LASER'!E6</f>
        <v>25822052.318043504</v>
      </c>
      <c r="N6" s="792">
        <f>'Benefits Spending LASER'!I6</f>
        <v>321893.27294399997</v>
      </c>
      <c r="O6" s="793">
        <f t="shared" si="0"/>
        <v>61503011.385031015</v>
      </c>
      <c r="P6" s="1462">
        <f>D6+H6+L6</f>
        <v>37196003.26001554</v>
      </c>
      <c r="Q6" s="792">
        <f>E6+I6+M6</f>
        <v>26753778.268043503</v>
      </c>
      <c r="R6" s="792">
        <f>F6+J6+N6</f>
        <v>1033894.092944</v>
      </c>
      <c r="S6" s="793">
        <f>G6+K6+O6</f>
        <v>64983675.621003047</v>
      </c>
      <c r="U6" s="627">
        <f t="shared" si="2"/>
        <v>0.52381596152193266</v>
      </c>
      <c r="V6" s="628">
        <f t="shared" si="3"/>
        <v>0.27228898417803721</v>
      </c>
      <c r="W6" s="628">
        <f t="shared" si="4"/>
        <v>0.20389505430003027</v>
      </c>
      <c r="X6" s="629">
        <f t="shared" ref="X6:X69" si="5">(D6+E6)/G6</f>
        <v>0.79610494569996981</v>
      </c>
      <c r="Z6" s="1471">
        <f t="shared" ref="Z6:Z69" si="6">G6/S6</f>
        <v>5.1939208851232141E-2</v>
      </c>
      <c r="AA6" s="1381">
        <f t="shared" ref="AA6:AA69" si="7">K6/S6</f>
        <v>1.622923526011628E-3</v>
      </c>
      <c r="AB6" s="1473">
        <f t="shared" ref="AB6:AB69" si="8">O6/S6</f>
        <v>0.94643786762275628</v>
      </c>
      <c r="AD6" s="1471">
        <f t="shared" ref="AD6:AD69" si="9">F6/R6</f>
        <v>0.66562594244096829</v>
      </c>
      <c r="AE6" s="1381">
        <f t="shared" ref="AE6:AE69" si="10">J6/R6</f>
        <v>2.3033394002851572E-2</v>
      </c>
      <c r="AF6" s="1473">
        <f t="shared" ref="AF6:AF69" si="11">N6/R6</f>
        <v>0.31134066355618017</v>
      </c>
    </row>
    <row r="7" spans="1:32" x14ac:dyDescent="0.25">
      <c r="A7" s="740" t="s">
        <v>12</v>
      </c>
      <c r="B7" s="592" t="s">
        <v>13</v>
      </c>
      <c r="C7" s="741" t="s">
        <v>265</v>
      </c>
      <c r="D7" s="791">
        <f>'Administration LASER'!D6+'Other Oper Exp. LASER'!D6</f>
        <v>3964608.15</v>
      </c>
      <c r="E7" s="792">
        <f>'Administration LASER'!E6+'Other Oper Exp. LASER'!E6</f>
        <v>822147.52999999991</v>
      </c>
      <c r="F7" s="792">
        <f>'Administration LASER'!K6+'Other Oper Exp. LASER'!K6</f>
        <v>6304540.8199999994</v>
      </c>
      <c r="G7" s="793">
        <f>'Administration LASER'!I6+'Other Oper Exp. LASER'!I6</f>
        <v>11091296.5</v>
      </c>
      <c r="H7" s="791">
        <f>'Client Services LASER'!D6</f>
        <v>132012.38</v>
      </c>
      <c r="I7" s="792">
        <f>'Client Services LASER'!E6</f>
        <v>60116.959999999999</v>
      </c>
      <c r="J7" s="792">
        <f>'Client Services LASER'!K6</f>
        <v>31077.32</v>
      </c>
      <c r="K7" s="793">
        <f>'Client Services LASER'!I6</f>
        <v>223206.65999999997</v>
      </c>
      <c r="L7" s="791">
        <f>'Benefits Spending LASER'!D7</f>
        <v>41208594.029437423</v>
      </c>
      <c r="M7" s="792">
        <f>'Benefits Spending LASER'!E7</f>
        <v>36202298.546548165</v>
      </c>
      <c r="N7" s="792">
        <f>'Benefits Spending LASER'!I7</f>
        <v>4440847.2972132498</v>
      </c>
      <c r="O7" s="793">
        <f t="shared" si="0"/>
        <v>81851739.873198837</v>
      </c>
      <c r="P7" s="1462">
        <f t="shared" ref="P7:P70" si="12">D7+H7+L7</f>
        <v>45305214.559437424</v>
      </c>
      <c r="Q7" s="792">
        <f t="shared" ref="Q7:Q70" si="13">E7+I7+M7</f>
        <v>37084563.036548167</v>
      </c>
      <c r="R7" s="792">
        <f t="shared" ref="R7:R70" si="14">F7+J7+N7</f>
        <v>10776465.43721325</v>
      </c>
      <c r="S7" s="793">
        <f t="shared" ref="S7:S70" si="15">G7+K7+O7</f>
        <v>93166243.033198833</v>
      </c>
      <c r="U7" s="627">
        <f t="shared" si="2"/>
        <v>0.35745218334033357</v>
      </c>
      <c r="V7" s="628">
        <f t="shared" si="3"/>
        <v>7.4125466756749303E-2</v>
      </c>
      <c r="W7" s="628">
        <f t="shared" si="4"/>
        <v>0.56842234990291707</v>
      </c>
      <c r="X7" s="629">
        <f t="shared" si="5"/>
        <v>0.43157765009708288</v>
      </c>
      <c r="Z7" s="1471">
        <f t="shared" si="6"/>
        <v>0.11904844650704366</v>
      </c>
      <c r="AA7" s="1381">
        <f t="shared" si="7"/>
        <v>2.3957889975284564E-3</v>
      </c>
      <c r="AB7" s="1473">
        <f t="shared" si="8"/>
        <v>0.87855576449542794</v>
      </c>
      <c r="AD7" s="1471">
        <f t="shared" si="9"/>
        <v>0.58502863083745282</v>
      </c>
      <c r="AE7" s="1381">
        <f t="shared" si="10"/>
        <v>2.8838138238428267E-3</v>
      </c>
      <c r="AF7" s="1473">
        <f t="shared" si="11"/>
        <v>0.41208755533870434</v>
      </c>
    </row>
    <row r="8" spans="1:32" x14ac:dyDescent="0.25">
      <c r="A8" s="740" t="s">
        <v>16</v>
      </c>
      <c r="B8" s="592" t="s">
        <v>297</v>
      </c>
      <c r="C8" s="741" t="s">
        <v>265</v>
      </c>
      <c r="D8" s="791">
        <f>'Administration LASER'!D7+'Other Oper Exp. LASER'!D7</f>
        <v>1037435.12</v>
      </c>
      <c r="E8" s="792">
        <f>'Administration LASER'!E7+'Other Oper Exp. LASER'!E7</f>
        <v>484591.9</v>
      </c>
      <c r="F8" s="792">
        <f>'Administration LASER'!K7+'Other Oper Exp. LASER'!K7</f>
        <v>566932.15</v>
      </c>
      <c r="G8" s="793">
        <f>'Administration LASER'!I7+'Other Oper Exp. LASER'!I7</f>
        <v>2088959.17</v>
      </c>
      <c r="H8" s="791">
        <f>'Client Services LASER'!D7</f>
        <v>113679.26999999999</v>
      </c>
      <c r="I8" s="792">
        <f>'Client Services LASER'!E7</f>
        <v>37647.1</v>
      </c>
      <c r="J8" s="792">
        <f>'Client Services LASER'!K7</f>
        <v>31750.349999999995</v>
      </c>
      <c r="K8" s="793">
        <f>'Client Services LASER'!I7</f>
        <v>183076.72</v>
      </c>
      <c r="L8" s="791">
        <f>'Benefits Spending LASER'!D8</f>
        <v>20969000.659602642</v>
      </c>
      <c r="M8" s="792">
        <f>'Benefits Spending LASER'!E8</f>
        <v>17742892.142042145</v>
      </c>
      <c r="N8" s="792">
        <f>'Benefits Spending LASER'!I8</f>
        <v>651606.81737250008</v>
      </c>
      <c r="O8" s="793">
        <f t="shared" si="0"/>
        <v>39363499.619017288</v>
      </c>
      <c r="P8" s="1462">
        <f t="shared" si="12"/>
        <v>22120115.049602643</v>
      </c>
      <c r="Q8" s="792">
        <f t="shared" si="13"/>
        <v>18265131.142042145</v>
      </c>
      <c r="R8" s="792">
        <f t="shared" si="14"/>
        <v>1250289.3173725</v>
      </c>
      <c r="S8" s="793">
        <f t="shared" si="15"/>
        <v>41635535.509017289</v>
      </c>
      <c r="U8" s="627">
        <f t="shared" si="2"/>
        <v>0.49662776319366742</v>
      </c>
      <c r="V8" s="628">
        <f t="shared" si="3"/>
        <v>0.23197767910418279</v>
      </c>
      <c r="W8" s="628">
        <f t="shared" si="4"/>
        <v>0.27139455770214982</v>
      </c>
      <c r="X8" s="629">
        <f t="shared" si="5"/>
        <v>0.72860544229785018</v>
      </c>
      <c r="Z8" s="1471">
        <f t="shared" si="6"/>
        <v>5.0172506356921477E-2</v>
      </c>
      <c r="AA8" s="1381">
        <f t="shared" si="7"/>
        <v>4.397126583380916E-3</v>
      </c>
      <c r="AB8" s="1473">
        <f t="shared" si="8"/>
        <v>0.94543036705969763</v>
      </c>
      <c r="AD8" s="1471">
        <f t="shared" si="9"/>
        <v>0.45344076936641803</v>
      </c>
      <c r="AE8" s="1381">
        <f t="shared" si="10"/>
        <v>2.539440236658487E-2</v>
      </c>
      <c r="AF8" s="1473">
        <f t="shared" si="11"/>
        <v>0.52116482826699717</v>
      </c>
    </row>
    <row r="9" spans="1:32" x14ac:dyDescent="0.25">
      <c r="A9" s="740" t="s">
        <v>18</v>
      </c>
      <c r="B9" s="592" t="s">
        <v>19</v>
      </c>
      <c r="C9" s="741" t="s">
        <v>266</v>
      </c>
      <c r="D9" s="791">
        <f>'Administration LASER'!D8+'Other Oper Exp. LASER'!D8</f>
        <v>562176.54</v>
      </c>
      <c r="E9" s="792">
        <f>'Administration LASER'!E8+'Other Oper Exp. LASER'!E8</f>
        <v>231212.81</v>
      </c>
      <c r="F9" s="792">
        <f>'Administration LASER'!K8+'Other Oper Exp. LASER'!K8</f>
        <v>399468.05</v>
      </c>
      <c r="G9" s="793">
        <f>'Administration LASER'!I8+'Other Oper Exp. LASER'!I8</f>
        <v>1192857.3999999999</v>
      </c>
      <c r="H9" s="791">
        <f>'Client Services LASER'!D8</f>
        <v>29880.690000000002</v>
      </c>
      <c r="I9" s="792">
        <f>'Client Services LASER'!E8</f>
        <v>35352.400000000001</v>
      </c>
      <c r="J9" s="792">
        <f>'Client Services LASER'!K8</f>
        <v>11255.2</v>
      </c>
      <c r="K9" s="793">
        <f>'Client Services LASER'!I8</f>
        <v>76488.290000000008</v>
      </c>
      <c r="L9" s="791">
        <f>'Benefits Spending LASER'!D9</f>
        <v>10952133.407242432</v>
      </c>
      <c r="M9" s="792">
        <f>'Benefits Spending LASER'!E9</f>
        <v>8507774.9204399306</v>
      </c>
      <c r="N9" s="792">
        <f>'Benefits Spending LASER'!I9</f>
        <v>189326.19136249999</v>
      </c>
      <c r="O9" s="793">
        <f t="shared" si="0"/>
        <v>19649234.519044861</v>
      </c>
      <c r="P9" s="1462">
        <f t="shared" si="12"/>
        <v>11544190.637242433</v>
      </c>
      <c r="Q9" s="792">
        <f t="shared" si="13"/>
        <v>8774340.1304399315</v>
      </c>
      <c r="R9" s="792">
        <f t="shared" si="14"/>
        <v>600049.44136249996</v>
      </c>
      <c r="S9" s="793">
        <f t="shared" si="15"/>
        <v>20918580.209044863</v>
      </c>
      <c r="U9" s="627">
        <f t="shared" si="2"/>
        <v>0.47128562056118367</v>
      </c>
      <c r="V9" s="628">
        <f t="shared" si="3"/>
        <v>0.19383105641965251</v>
      </c>
      <c r="W9" s="628">
        <f t="shared" si="4"/>
        <v>0.3348833230191639</v>
      </c>
      <c r="X9" s="629">
        <f t="shared" si="5"/>
        <v>0.66511667698083621</v>
      </c>
      <c r="Z9" s="1471">
        <f t="shared" si="6"/>
        <v>5.7023822270893282E-2</v>
      </c>
      <c r="AA9" s="1381">
        <f t="shared" si="7"/>
        <v>3.65647616786763E-3</v>
      </c>
      <c r="AB9" s="1473">
        <f t="shared" si="8"/>
        <v>0.93931970156123901</v>
      </c>
      <c r="AD9" s="1471">
        <f t="shared" si="9"/>
        <v>0.6657252260629547</v>
      </c>
      <c r="AE9" s="1381">
        <f t="shared" si="10"/>
        <v>1.8757121037298902E-2</v>
      </c>
      <c r="AF9" s="1473">
        <f t="shared" si="11"/>
        <v>0.31551765289974637</v>
      </c>
    </row>
    <row r="10" spans="1:32" x14ac:dyDescent="0.25">
      <c r="A10" s="740" t="s">
        <v>20</v>
      </c>
      <c r="B10" s="592" t="s">
        <v>21</v>
      </c>
      <c r="C10" s="741" t="s">
        <v>265</v>
      </c>
      <c r="D10" s="791">
        <f>'Administration LASER'!D9+'Other Oper Exp. LASER'!D9</f>
        <v>911269.09000000008</v>
      </c>
      <c r="E10" s="792">
        <f>'Administration LASER'!E9+'Other Oper Exp. LASER'!E9</f>
        <v>429616.89</v>
      </c>
      <c r="F10" s="792">
        <f>'Administration LASER'!K9+'Other Oper Exp. LASER'!K9</f>
        <v>524207.61</v>
      </c>
      <c r="G10" s="793">
        <f>'Administration LASER'!I9+'Other Oper Exp. LASER'!I9</f>
        <v>1865093.59</v>
      </c>
      <c r="H10" s="791">
        <f>'Client Services LASER'!D9</f>
        <v>50172.750000000007</v>
      </c>
      <c r="I10" s="792">
        <f>'Client Services LASER'!E9</f>
        <v>19851.2</v>
      </c>
      <c r="J10" s="792">
        <f>'Client Services LASER'!K9</f>
        <v>14475.679999999998</v>
      </c>
      <c r="K10" s="793">
        <f>'Client Services LASER'!I9</f>
        <v>84499.630000000019</v>
      </c>
      <c r="L10" s="791">
        <f>'Benefits Spending LASER'!D10</f>
        <v>26687074.354889918</v>
      </c>
      <c r="M10" s="792">
        <f>'Benefits Spending LASER'!E10</f>
        <v>21835267.882454921</v>
      </c>
      <c r="N10" s="792">
        <f>'Benefits Spending LASER'!I10</f>
        <v>431643.06611500005</v>
      </c>
      <c r="O10" s="793">
        <f t="shared" si="0"/>
        <v>48953985.303459838</v>
      </c>
      <c r="P10" s="1462">
        <f t="shared" si="12"/>
        <v>27648516.194889918</v>
      </c>
      <c r="Q10" s="792">
        <f t="shared" si="13"/>
        <v>22284735.97245492</v>
      </c>
      <c r="R10" s="792">
        <f t="shared" si="14"/>
        <v>970326.35611500009</v>
      </c>
      <c r="S10" s="793">
        <f t="shared" si="15"/>
        <v>50903578.523459837</v>
      </c>
      <c r="U10" s="627">
        <f t="shared" si="2"/>
        <v>0.48859161539448542</v>
      </c>
      <c r="V10" s="628">
        <f t="shared" si="3"/>
        <v>0.23034602247493649</v>
      </c>
      <c r="W10" s="628">
        <f t="shared" si="4"/>
        <v>0.28106236213057811</v>
      </c>
      <c r="X10" s="629">
        <f t="shared" si="5"/>
        <v>0.71893763786942189</v>
      </c>
      <c r="Z10" s="1471">
        <f t="shared" si="6"/>
        <v>3.6639734260341596E-2</v>
      </c>
      <c r="AA10" s="1381">
        <f t="shared" si="7"/>
        <v>1.6599939031998866E-3</v>
      </c>
      <c r="AB10" s="1473">
        <f t="shared" si="8"/>
        <v>0.96170027183645856</v>
      </c>
      <c r="AD10" s="1471">
        <f t="shared" si="9"/>
        <v>0.54023845348159594</v>
      </c>
      <c r="AE10" s="1381">
        <f t="shared" si="10"/>
        <v>1.4918362166269331E-2</v>
      </c>
      <c r="AF10" s="1473">
        <f t="shared" si="11"/>
        <v>0.44484318435213466</v>
      </c>
    </row>
    <row r="11" spans="1:32" x14ac:dyDescent="0.25">
      <c r="A11" s="740" t="s">
        <v>22</v>
      </c>
      <c r="B11" s="592" t="s">
        <v>23</v>
      </c>
      <c r="C11" s="741" t="s">
        <v>265</v>
      </c>
      <c r="D11" s="791">
        <f>'Administration LASER'!D10+'Other Oper Exp. LASER'!D10</f>
        <v>627168.5199999999</v>
      </c>
      <c r="E11" s="792">
        <f>'Administration LASER'!E10+'Other Oper Exp. LASER'!E10</f>
        <v>296723.15999999997</v>
      </c>
      <c r="F11" s="792">
        <f>'Administration LASER'!K10+'Other Oper Exp. LASER'!K10</f>
        <v>336673.18</v>
      </c>
      <c r="G11" s="793">
        <f>'Administration LASER'!I10+'Other Oper Exp. LASER'!I10</f>
        <v>1260564.8600000001</v>
      </c>
      <c r="H11" s="791">
        <f>'Client Services LASER'!D10</f>
        <v>37473.240000000005</v>
      </c>
      <c r="I11" s="792">
        <f>'Client Services LASER'!E10</f>
        <v>41751.78</v>
      </c>
      <c r="J11" s="792">
        <f>'Client Services LASER'!K10</f>
        <v>13594.03</v>
      </c>
      <c r="K11" s="793">
        <f>'Client Services LASER'!I10</f>
        <v>92819.05</v>
      </c>
      <c r="L11" s="791">
        <f>'Benefits Spending LASER'!D11</f>
        <v>15235161.991039263</v>
      </c>
      <c r="M11" s="792">
        <f>'Benefits Spending LASER'!E11</f>
        <v>12353620.266679263</v>
      </c>
      <c r="N11" s="792">
        <f>'Benefits Spending LASER'!I11</f>
        <v>553212.72968000011</v>
      </c>
      <c r="O11" s="793">
        <f t="shared" si="0"/>
        <v>28141994.987398528</v>
      </c>
      <c r="P11" s="1462">
        <f t="shared" si="12"/>
        <v>15899803.751039263</v>
      </c>
      <c r="Q11" s="792">
        <f t="shared" si="13"/>
        <v>12692095.206679262</v>
      </c>
      <c r="R11" s="792">
        <f t="shared" si="14"/>
        <v>903479.93968000007</v>
      </c>
      <c r="S11" s="793">
        <f t="shared" si="15"/>
        <v>29495378.897398528</v>
      </c>
      <c r="U11" s="627">
        <f t="shared" si="2"/>
        <v>0.49752975027401591</v>
      </c>
      <c r="V11" s="628">
        <f t="shared" si="3"/>
        <v>0.23538904614555092</v>
      </c>
      <c r="W11" s="628">
        <f t="shared" si="4"/>
        <v>0.26708120358043297</v>
      </c>
      <c r="X11" s="629">
        <f t="shared" si="5"/>
        <v>0.73291879641956692</v>
      </c>
      <c r="Z11" s="1471">
        <f t="shared" si="6"/>
        <v>4.2737706960298827E-2</v>
      </c>
      <c r="AA11" s="1381">
        <f t="shared" si="7"/>
        <v>3.1469014289620323E-3</v>
      </c>
      <c r="AB11" s="1473">
        <f t="shared" si="8"/>
        <v>0.95411539161073911</v>
      </c>
      <c r="AD11" s="1471">
        <f t="shared" si="9"/>
        <v>0.37264045964235232</v>
      </c>
      <c r="AE11" s="1381">
        <f t="shared" si="10"/>
        <v>1.5046299760473725E-2</v>
      </c>
      <c r="AF11" s="1473">
        <f t="shared" si="11"/>
        <v>0.61231324059717396</v>
      </c>
    </row>
    <row r="12" spans="1:32" x14ac:dyDescent="0.25">
      <c r="A12" s="740" t="s">
        <v>24</v>
      </c>
      <c r="B12" s="592" t="s">
        <v>25</v>
      </c>
      <c r="C12" s="741" t="s">
        <v>267</v>
      </c>
      <c r="D12" s="791">
        <f>'Administration LASER'!D11+'Other Oper Exp. LASER'!D11</f>
        <v>7386030.29</v>
      </c>
      <c r="E12" s="792">
        <f>'Administration LASER'!E11+'Other Oper Exp. LASER'!E11</f>
        <v>2231300.2000000002</v>
      </c>
      <c r="F12" s="792">
        <f>'Administration LASER'!K11+'Other Oper Exp. LASER'!K11</f>
        <v>9467431.5</v>
      </c>
      <c r="G12" s="793">
        <f>'Administration LASER'!I11+'Other Oper Exp. LASER'!I11</f>
        <v>19084761.990000002</v>
      </c>
      <c r="H12" s="791">
        <f>'Client Services LASER'!D11</f>
        <v>244794.2</v>
      </c>
      <c r="I12" s="792">
        <f>'Client Services LASER'!E11</f>
        <v>52383.520000000004</v>
      </c>
      <c r="J12" s="792">
        <f>'Client Services LASER'!K11</f>
        <v>1120682.5899999999</v>
      </c>
      <c r="K12" s="793">
        <f>'Client Services LASER'!I11</f>
        <v>1417860.31</v>
      </c>
      <c r="L12" s="791">
        <f>'Benefits Spending LASER'!D12</f>
        <v>66636218.678178109</v>
      </c>
      <c r="M12" s="792">
        <f>'Benefits Spending LASER'!E12</f>
        <v>55223204.012204863</v>
      </c>
      <c r="N12" s="792">
        <f>'Benefits Spending LASER'!I12</f>
        <v>4134481.04026525</v>
      </c>
      <c r="O12" s="793">
        <f t="shared" si="0"/>
        <v>125993903.73064822</v>
      </c>
      <c r="P12" s="1462">
        <f t="shared" si="12"/>
        <v>74267043.168178111</v>
      </c>
      <c r="Q12" s="792">
        <f t="shared" si="13"/>
        <v>57506887.732204862</v>
      </c>
      <c r="R12" s="792">
        <f t="shared" si="14"/>
        <v>14722595.130265251</v>
      </c>
      <c r="S12" s="793">
        <f t="shared" si="15"/>
        <v>146496526.03064823</v>
      </c>
      <c r="U12" s="627">
        <f t="shared" si="2"/>
        <v>0.38701191525836781</v>
      </c>
      <c r="V12" s="628">
        <f t="shared" si="3"/>
        <v>0.11691527519018328</v>
      </c>
      <c r="W12" s="628">
        <f t="shared" si="4"/>
        <v>0.49607280955144878</v>
      </c>
      <c r="X12" s="629">
        <f t="shared" si="5"/>
        <v>0.50392719044855105</v>
      </c>
      <c r="Z12" s="1471">
        <f t="shared" si="6"/>
        <v>0.13027450211349939</v>
      </c>
      <c r="AA12" s="1381">
        <f t="shared" si="7"/>
        <v>9.6784568782427808E-3</v>
      </c>
      <c r="AB12" s="1473">
        <f t="shared" si="8"/>
        <v>0.8600470410082578</v>
      </c>
      <c r="AD12" s="1471">
        <f t="shared" si="9"/>
        <v>0.64305453055200801</v>
      </c>
      <c r="AE12" s="1381">
        <f t="shared" si="10"/>
        <v>7.611990821483719E-2</v>
      </c>
      <c r="AF12" s="1473">
        <f t="shared" si="11"/>
        <v>0.28082556123315472</v>
      </c>
    </row>
    <row r="13" spans="1:32" x14ac:dyDescent="0.25">
      <c r="A13" s="740" t="s">
        <v>26</v>
      </c>
      <c r="B13" s="592" t="s">
        <v>298</v>
      </c>
      <c r="C13" s="741" t="s">
        <v>265</v>
      </c>
      <c r="D13" s="791">
        <f>'Administration LASER'!D12+'Other Oper Exp. LASER'!D12</f>
        <v>4057582.12</v>
      </c>
      <c r="E13" s="792">
        <f>'Administration LASER'!E12+'Other Oper Exp. LASER'!E12</f>
        <v>1676942.96</v>
      </c>
      <c r="F13" s="792">
        <f>'Administration LASER'!K12+'Other Oper Exp. LASER'!K12</f>
        <v>2820702.55</v>
      </c>
      <c r="G13" s="793">
        <f>'Administration LASER'!I12+'Other Oper Exp. LASER'!I12</f>
        <v>8555227.629999999</v>
      </c>
      <c r="H13" s="791">
        <f>'Client Services LASER'!D12</f>
        <v>185709.85</v>
      </c>
      <c r="I13" s="792">
        <f>'Client Services LASER'!E12</f>
        <v>269750.62</v>
      </c>
      <c r="J13" s="792">
        <f>'Client Services LASER'!K12</f>
        <v>82560.149999999994</v>
      </c>
      <c r="K13" s="793">
        <f>'Client Services LASER'!I12</f>
        <v>538020.62</v>
      </c>
      <c r="L13" s="791">
        <f>'Benefits Spending LASER'!D13</f>
        <v>82643344.980618507</v>
      </c>
      <c r="M13" s="792">
        <f>'Benefits Spending LASER'!E13</f>
        <v>68075819.484780014</v>
      </c>
      <c r="N13" s="792">
        <f>'Benefits Spending LASER'!I13</f>
        <v>3373520.7663705</v>
      </c>
      <c r="O13" s="793">
        <f t="shared" si="0"/>
        <v>154092685.23176903</v>
      </c>
      <c r="P13" s="1462">
        <f t="shared" si="12"/>
        <v>86886636.950618505</v>
      </c>
      <c r="Q13" s="792">
        <f t="shared" si="13"/>
        <v>70022513.064780012</v>
      </c>
      <c r="R13" s="792">
        <f t="shared" si="14"/>
        <v>6276783.4663704997</v>
      </c>
      <c r="S13" s="793">
        <f t="shared" si="15"/>
        <v>163185933.48176903</v>
      </c>
      <c r="U13" s="627">
        <f t="shared" si="2"/>
        <v>0.47428102389369159</v>
      </c>
      <c r="V13" s="628">
        <f t="shared" si="3"/>
        <v>0.19601383300656844</v>
      </c>
      <c r="W13" s="628">
        <f t="shared" si="4"/>
        <v>0.32970514309974008</v>
      </c>
      <c r="X13" s="629">
        <f t="shared" si="5"/>
        <v>0.67029485690026003</v>
      </c>
      <c r="Z13" s="1471">
        <f t="shared" si="6"/>
        <v>5.2426256647640411E-2</v>
      </c>
      <c r="AA13" s="1381">
        <f t="shared" si="7"/>
        <v>3.2969791483903063E-3</v>
      </c>
      <c r="AB13" s="1473">
        <f t="shared" si="8"/>
        <v>0.94427676420396933</v>
      </c>
      <c r="AD13" s="1471">
        <f t="shared" si="9"/>
        <v>0.44938662694238979</v>
      </c>
      <c r="AE13" s="1381">
        <f t="shared" si="10"/>
        <v>1.3153257626670965E-2</v>
      </c>
      <c r="AF13" s="1473">
        <f t="shared" si="11"/>
        <v>0.5374601154309393</v>
      </c>
    </row>
    <row r="14" spans="1:32" x14ac:dyDescent="0.25">
      <c r="A14" s="740" t="s">
        <v>27</v>
      </c>
      <c r="B14" s="592" t="s">
        <v>28</v>
      </c>
      <c r="C14" s="741" t="s">
        <v>265</v>
      </c>
      <c r="D14" s="791">
        <f>'Administration LASER'!D13+'Other Oper Exp. LASER'!D13</f>
        <v>245281.28</v>
      </c>
      <c r="E14" s="792">
        <f>'Administration LASER'!E13+'Other Oper Exp. LASER'!E13</f>
        <v>105168.29</v>
      </c>
      <c r="F14" s="792">
        <f>'Administration LASER'!K13+'Other Oper Exp. LASER'!K13</f>
        <v>169314.97999999998</v>
      </c>
      <c r="G14" s="793">
        <f>'Administration LASER'!I13+'Other Oper Exp. LASER'!I13</f>
        <v>519764.54999999993</v>
      </c>
      <c r="H14" s="791">
        <f>'Client Services LASER'!D13</f>
        <v>5764.71</v>
      </c>
      <c r="I14" s="792">
        <f>'Client Services LASER'!E13</f>
        <v>570.72</v>
      </c>
      <c r="J14" s="792">
        <f>'Client Services LASER'!K13</f>
        <v>1247.0700000000002</v>
      </c>
      <c r="K14" s="793">
        <f>'Client Services LASER'!I13</f>
        <v>7582.5000000000009</v>
      </c>
      <c r="L14" s="791">
        <f>'Benefits Spending LASER'!D14</f>
        <v>2855367.564630542</v>
      </c>
      <c r="M14" s="792">
        <f>'Benefits Spending LASER'!E14</f>
        <v>2381747.5970685421</v>
      </c>
      <c r="N14" s="792">
        <f>'Benefits Spending LASER'!I14</f>
        <v>90173.659162000011</v>
      </c>
      <c r="O14" s="793">
        <f t="shared" si="0"/>
        <v>5327288.8208610844</v>
      </c>
      <c r="P14" s="1462">
        <f t="shared" si="12"/>
        <v>3106413.5546305422</v>
      </c>
      <c r="Q14" s="792">
        <f t="shared" si="13"/>
        <v>2487486.6070685419</v>
      </c>
      <c r="R14" s="792">
        <f t="shared" si="14"/>
        <v>260735.70916199998</v>
      </c>
      <c r="S14" s="793">
        <f t="shared" si="15"/>
        <v>5854635.8708610842</v>
      </c>
      <c r="U14" s="627">
        <f t="shared" si="2"/>
        <v>0.47190844392908293</v>
      </c>
      <c r="V14" s="628">
        <f t="shared" si="3"/>
        <v>0.20233832799870635</v>
      </c>
      <c r="W14" s="628">
        <f t="shared" si="4"/>
        <v>0.3257532280722108</v>
      </c>
      <c r="X14" s="629">
        <f t="shared" si="5"/>
        <v>0.67424677192778937</v>
      </c>
      <c r="Z14" s="1471">
        <f t="shared" si="6"/>
        <v>8.8778288089085611E-2</v>
      </c>
      <c r="AA14" s="1381">
        <f t="shared" si="7"/>
        <v>1.2951275138627515E-3</v>
      </c>
      <c r="AB14" s="1473">
        <f t="shared" si="8"/>
        <v>0.90992658439705165</v>
      </c>
      <c r="AD14" s="1471">
        <f t="shared" si="9"/>
        <v>0.64937396010763304</v>
      </c>
      <c r="AE14" s="1381">
        <f t="shared" si="10"/>
        <v>4.7828891715985559E-3</v>
      </c>
      <c r="AF14" s="1473">
        <f t="shared" si="11"/>
        <v>0.34584315072076849</v>
      </c>
    </row>
    <row r="15" spans="1:32" x14ac:dyDescent="0.25">
      <c r="A15" s="740" t="s">
        <v>29</v>
      </c>
      <c r="B15" s="592" t="s">
        <v>941</v>
      </c>
      <c r="C15" s="741" t="s">
        <v>265</v>
      </c>
      <c r="D15" s="791">
        <f>'Administration LASER'!D14+'Other Oper Exp. LASER'!D14</f>
        <v>2044206.14</v>
      </c>
      <c r="E15" s="792">
        <f>'Administration LASER'!E14+'Other Oper Exp. LASER'!E14</f>
        <v>627838.59</v>
      </c>
      <c r="F15" s="792">
        <f>'Administration LASER'!K14+'Other Oper Exp. LASER'!K14</f>
        <v>2246948.7999999998</v>
      </c>
      <c r="G15" s="793">
        <f>'Administration LASER'!I14+'Other Oper Exp. LASER'!I14</f>
        <v>4918993.5299999993</v>
      </c>
      <c r="H15" s="791">
        <f>'Client Services LASER'!D14</f>
        <v>117533.14000000001</v>
      </c>
      <c r="I15" s="792">
        <f>'Client Services LASER'!E14</f>
        <v>90592.27</v>
      </c>
      <c r="J15" s="792">
        <f>'Client Services LASER'!K14</f>
        <v>39196.630000000005</v>
      </c>
      <c r="K15" s="793">
        <f>'Client Services LASER'!I14</f>
        <v>247322.04000000004</v>
      </c>
      <c r="L15" s="791">
        <f>'Benefits Spending LASER'!D15</f>
        <v>43012625.358686239</v>
      </c>
      <c r="M15" s="792">
        <f>'Benefits Spending LASER'!E15</f>
        <v>34705233.78770224</v>
      </c>
      <c r="N15" s="792">
        <f>'Benefits Spending LASER'!I15</f>
        <v>654467.31592799991</v>
      </c>
      <c r="O15" s="793">
        <f t="shared" si="0"/>
        <v>78372326.462316468</v>
      </c>
      <c r="P15" s="1462">
        <f t="shared" si="12"/>
        <v>45174364.63868624</v>
      </c>
      <c r="Q15" s="792">
        <f t="shared" si="13"/>
        <v>35423664.647702239</v>
      </c>
      <c r="R15" s="792">
        <f t="shared" si="14"/>
        <v>2940612.7459279997</v>
      </c>
      <c r="S15" s="793">
        <f t="shared" si="15"/>
        <v>83538642.032316461</v>
      </c>
      <c r="U15" s="627">
        <f t="shared" si="2"/>
        <v>0.41557406561581717</v>
      </c>
      <c r="V15" s="628">
        <f t="shared" si="3"/>
        <v>0.12763557954913596</v>
      </c>
      <c r="W15" s="628">
        <f t="shared" si="4"/>
        <v>0.45679035483504693</v>
      </c>
      <c r="X15" s="629">
        <f t="shared" si="5"/>
        <v>0.54320964516495318</v>
      </c>
      <c r="Z15" s="1471">
        <f t="shared" si="6"/>
        <v>5.8882852418131404E-2</v>
      </c>
      <c r="AA15" s="1381">
        <f t="shared" si="7"/>
        <v>2.9605705094454958E-3</v>
      </c>
      <c r="AB15" s="1473">
        <f t="shared" si="8"/>
        <v>0.93815657707242317</v>
      </c>
      <c r="AD15" s="1471">
        <f t="shared" si="9"/>
        <v>0.76410904601819873</v>
      </c>
      <c r="AE15" s="1381">
        <f t="shared" si="10"/>
        <v>1.3329408999630216E-2</v>
      </c>
      <c r="AF15" s="1473">
        <f t="shared" si="11"/>
        <v>0.22256154498217101</v>
      </c>
    </row>
    <row r="16" spans="1:32" x14ac:dyDescent="0.25">
      <c r="A16" s="740" t="s">
        <v>30</v>
      </c>
      <c r="B16" s="592" t="s">
        <v>31</v>
      </c>
      <c r="C16" s="741" t="s">
        <v>268</v>
      </c>
      <c r="D16" s="791">
        <f>'Administration LASER'!D15+'Other Oper Exp. LASER'!D15</f>
        <v>361632.97</v>
      </c>
      <c r="E16" s="792">
        <f>'Administration LASER'!E15+'Other Oper Exp. LASER'!E15</f>
        <v>150022.71</v>
      </c>
      <c r="F16" s="792">
        <f>'Administration LASER'!K15+'Other Oper Exp. LASER'!K15</f>
        <v>268352.33999999997</v>
      </c>
      <c r="G16" s="793">
        <f>'Administration LASER'!I15+'Other Oper Exp. LASER'!I15</f>
        <v>780008.0199999999</v>
      </c>
      <c r="H16" s="791">
        <f>'Client Services LASER'!D15</f>
        <v>34828.270000000004</v>
      </c>
      <c r="I16" s="792">
        <f>'Client Services LASER'!E15</f>
        <v>7326.4400000000005</v>
      </c>
      <c r="J16" s="792">
        <f>'Client Services LASER'!K15</f>
        <v>9092.8799999999992</v>
      </c>
      <c r="K16" s="793">
        <f>'Client Services LASER'!I15</f>
        <v>51247.590000000011</v>
      </c>
      <c r="L16" s="791">
        <f>'Benefits Spending LASER'!D16</f>
        <v>3736921.0588873662</v>
      </c>
      <c r="M16" s="792">
        <f>'Benefits Spending LASER'!E16</f>
        <v>3188175.0726936162</v>
      </c>
      <c r="N16" s="792">
        <f>'Benefits Spending LASER'!I16</f>
        <v>94485.733393750008</v>
      </c>
      <c r="O16" s="793">
        <f t="shared" si="0"/>
        <v>7019581.8649747325</v>
      </c>
      <c r="P16" s="1462">
        <f t="shared" si="12"/>
        <v>4133382.2988873664</v>
      </c>
      <c r="Q16" s="792">
        <f t="shared" si="13"/>
        <v>3345524.2226936161</v>
      </c>
      <c r="R16" s="792">
        <f t="shared" si="14"/>
        <v>371930.95339375001</v>
      </c>
      <c r="S16" s="793">
        <f t="shared" si="15"/>
        <v>7850837.4749747328</v>
      </c>
      <c r="U16" s="627">
        <f t="shared" si="2"/>
        <v>0.46362724578139597</v>
      </c>
      <c r="V16" s="628">
        <f t="shared" si="3"/>
        <v>0.19233483009572133</v>
      </c>
      <c r="W16" s="628">
        <f t="shared" si="4"/>
        <v>0.34403792412288275</v>
      </c>
      <c r="X16" s="629">
        <f t="shared" si="5"/>
        <v>0.6559620758771173</v>
      </c>
      <c r="Z16" s="1471">
        <f t="shared" si="6"/>
        <v>9.9353479483729898E-2</v>
      </c>
      <c r="AA16" s="1381">
        <f t="shared" si="7"/>
        <v>6.5276590126029767E-3</v>
      </c>
      <c r="AB16" s="1473">
        <f t="shared" si="8"/>
        <v>0.89411886150366704</v>
      </c>
      <c r="AD16" s="1471">
        <f t="shared" si="9"/>
        <v>0.72151117714557345</v>
      </c>
      <c r="AE16" s="1381">
        <f t="shared" si="10"/>
        <v>2.4447763535221798E-2</v>
      </c>
      <c r="AF16" s="1473">
        <f t="shared" si="11"/>
        <v>0.25404105931920473</v>
      </c>
    </row>
    <row r="17" spans="1:32" x14ac:dyDescent="0.25">
      <c r="A17" s="740" t="s">
        <v>32</v>
      </c>
      <c r="B17" s="592" t="s">
        <v>33</v>
      </c>
      <c r="C17" s="741" t="s">
        <v>265</v>
      </c>
      <c r="D17" s="791">
        <f>'Administration LASER'!D16+'Other Oper Exp. LASER'!D16</f>
        <v>551010.64999999991</v>
      </c>
      <c r="E17" s="792">
        <f>'Administration LASER'!E16+'Other Oper Exp. LASER'!E16</f>
        <v>254407.95</v>
      </c>
      <c r="F17" s="792">
        <f>'Administration LASER'!K16+'Other Oper Exp. LASER'!K16</f>
        <v>285536.77</v>
      </c>
      <c r="G17" s="793">
        <f>'Administration LASER'!I16+'Other Oper Exp. LASER'!I16</f>
        <v>1090955.3700000001</v>
      </c>
      <c r="H17" s="791">
        <f>'Client Services LASER'!D16</f>
        <v>49864.819999999992</v>
      </c>
      <c r="I17" s="792">
        <f>'Client Services LASER'!E16</f>
        <v>19456.97</v>
      </c>
      <c r="J17" s="792">
        <f>'Client Services LASER'!K16</f>
        <v>11572.590000000002</v>
      </c>
      <c r="K17" s="793">
        <f>'Client Services LASER'!I16</f>
        <v>80894.37999999999</v>
      </c>
      <c r="L17" s="791">
        <f>'Benefits Spending LASER'!D17</f>
        <v>15273567.060375903</v>
      </c>
      <c r="M17" s="792">
        <f>'Benefits Spending LASER'!E17</f>
        <v>13115972.692753404</v>
      </c>
      <c r="N17" s="792">
        <f>'Benefits Spending LASER'!I17</f>
        <v>455405.49542250001</v>
      </c>
      <c r="O17" s="793">
        <f t="shared" si="0"/>
        <v>28844945.248551808</v>
      </c>
      <c r="P17" s="1462">
        <f t="shared" si="12"/>
        <v>15874442.530375903</v>
      </c>
      <c r="Q17" s="792">
        <f t="shared" si="13"/>
        <v>13389837.612753404</v>
      </c>
      <c r="R17" s="792">
        <f t="shared" si="14"/>
        <v>752514.85542250006</v>
      </c>
      <c r="S17" s="793">
        <f t="shared" si="15"/>
        <v>30016794.998551808</v>
      </c>
      <c r="U17" s="627">
        <f t="shared" si="2"/>
        <v>0.5050716694304368</v>
      </c>
      <c r="V17" s="628">
        <f t="shared" si="3"/>
        <v>0.23319739468352402</v>
      </c>
      <c r="W17" s="628">
        <f t="shared" si="4"/>
        <v>0.26173093588603902</v>
      </c>
      <c r="X17" s="629">
        <f t="shared" si="5"/>
        <v>0.73826906411396076</v>
      </c>
      <c r="Z17" s="1471">
        <f t="shared" si="6"/>
        <v>3.6344831953332608E-2</v>
      </c>
      <c r="AA17" s="1381">
        <f t="shared" si="7"/>
        <v>2.6949705990897037E-3</v>
      </c>
      <c r="AB17" s="1473">
        <f t="shared" si="8"/>
        <v>0.96096019744757766</v>
      </c>
      <c r="AD17" s="1471">
        <f t="shared" si="9"/>
        <v>0.37944336639000326</v>
      </c>
      <c r="AE17" s="1381">
        <f t="shared" si="10"/>
        <v>1.537855354829183E-2</v>
      </c>
      <c r="AF17" s="1473">
        <f t="shared" si="11"/>
        <v>0.60517808006170493</v>
      </c>
    </row>
    <row r="18" spans="1:32" x14ac:dyDescent="0.25">
      <c r="A18" s="740" t="s">
        <v>36</v>
      </c>
      <c r="B18" s="592" t="s">
        <v>37</v>
      </c>
      <c r="C18" s="741" t="s">
        <v>264</v>
      </c>
      <c r="D18" s="791">
        <f>'Administration LASER'!D17+'Other Oper Exp. LASER'!D17</f>
        <v>866648.74</v>
      </c>
      <c r="E18" s="792">
        <f>'Administration LASER'!E17+'Other Oper Exp. LASER'!E17</f>
        <v>431700.53</v>
      </c>
      <c r="F18" s="792">
        <f>'Administration LASER'!K17+'Other Oper Exp. LASER'!K17</f>
        <v>377356.73</v>
      </c>
      <c r="G18" s="793">
        <f>'Administration LASER'!I17+'Other Oper Exp. LASER'!I17</f>
        <v>1675705.9999999998</v>
      </c>
      <c r="H18" s="791">
        <f>'Client Services LASER'!D17</f>
        <v>49905.649999999994</v>
      </c>
      <c r="I18" s="792">
        <f>'Client Services LASER'!E17</f>
        <v>24938.01</v>
      </c>
      <c r="J18" s="792">
        <f>'Client Services LASER'!K17</f>
        <v>14857.06</v>
      </c>
      <c r="K18" s="793">
        <f>'Client Services LASER'!I17</f>
        <v>89700.719999999987</v>
      </c>
      <c r="L18" s="791">
        <f>'Benefits Spending LASER'!D18</f>
        <v>22646615.524207294</v>
      </c>
      <c r="M18" s="792">
        <f>'Benefits Spending LASER'!E18</f>
        <v>17413746.388002545</v>
      </c>
      <c r="N18" s="792">
        <f>'Benefits Spending LASER'!I18</f>
        <v>221771.01674875</v>
      </c>
      <c r="O18" s="793">
        <f t="shared" si="0"/>
        <v>40282132.928958587</v>
      </c>
      <c r="P18" s="1462">
        <f t="shared" si="12"/>
        <v>23563169.914207295</v>
      </c>
      <c r="Q18" s="792">
        <f t="shared" si="13"/>
        <v>17870384.928002544</v>
      </c>
      <c r="R18" s="792">
        <f t="shared" si="14"/>
        <v>613984.80674874992</v>
      </c>
      <c r="S18" s="793">
        <f t="shared" si="15"/>
        <v>42047539.648958586</v>
      </c>
      <c r="U18" s="627">
        <f t="shared" si="2"/>
        <v>0.51718424353675407</v>
      </c>
      <c r="V18" s="628">
        <f t="shared" si="3"/>
        <v>0.25762307349857322</v>
      </c>
      <c r="W18" s="628">
        <f t="shared" si="4"/>
        <v>0.22519268296467282</v>
      </c>
      <c r="X18" s="629">
        <f t="shared" si="5"/>
        <v>0.77480731703532735</v>
      </c>
      <c r="Z18" s="1471">
        <f t="shared" si="6"/>
        <v>3.9852652830342304E-2</v>
      </c>
      <c r="AA18" s="1381">
        <f t="shared" si="7"/>
        <v>2.1333167350309321E-3</v>
      </c>
      <c r="AB18" s="1473">
        <f t="shared" si="8"/>
        <v>0.95801403043462674</v>
      </c>
      <c r="AD18" s="1471">
        <f t="shared" si="9"/>
        <v>0.61460271630861207</v>
      </c>
      <c r="AE18" s="1381">
        <f t="shared" si="10"/>
        <v>2.4197764890426174E-2</v>
      </c>
      <c r="AF18" s="1473">
        <f t="shared" si="11"/>
        <v>0.36119951880096179</v>
      </c>
    </row>
    <row r="19" spans="1:32" x14ac:dyDescent="0.25">
      <c r="A19" s="740" t="s">
        <v>38</v>
      </c>
      <c r="B19" s="592" t="s">
        <v>39</v>
      </c>
      <c r="C19" s="741" t="s">
        <v>268</v>
      </c>
      <c r="D19" s="791">
        <f>'Administration LASER'!D18+'Other Oper Exp. LASER'!D18</f>
        <v>1960738.52</v>
      </c>
      <c r="E19" s="792">
        <f>'Administration LASER'!E18+'Other Oper Exp. LASER'!E18</f>
        <v>885887.22</v>
      </c>
      <c r="F19" s="792">
        <f>'Administration LASER'!K18+'Other Oper Exp. LASER'!K18</f>
        <v>1190228.1299999999</v>
      </c>
      <c r="G19" s="793">
        <f>'Administration LASER'!I18+'Other Oper Exp. LASER'!I18</f>
        <v>4036853.87</v>
      </c>
      <c r="H19" s="791">
        <f>'Client Services LASER'!D18</f>
        <v>139139.51999999999</v>
      </c>
      <c r="I19" s="792">
        <f>'Client Services LASER'!E18</f>
        <v>20274.150000000001</v>
      </c>
      <c r="J19" s="792">
        <f>'Client Services LASER'!K18</f>
        <v>35578.639999999999</v>
      </c>
      <c r="K19" s="793">
        <f>'Client Services LASER'!I18</f>
        <v>194992.31</v>
      </c>
      <c r="L19" s="791">
        <f>'Benefits Spending LASER'!D19</f>
        <v>26494670.026222378</v>
      </c>
      <c r="M19" s="792">
        <f>'Benefits Spending LASER'!E19</f>
        <v>20073491.048102379</v>
      </c>
      <c r="N19" s="792">
        <f>'Benefits Spending LASER'!I19</f>
        <v>584050.93300000008</v>
      </c>
      <c r="O19" s="793">
        <f t="shared" si="0"/>
        <v>47152212.007324755</v>
      </c>
      <c r="P19" s="1462">
        <f t="shared" si="12"/>
        <v>28594548.066222377</v>
      </c>
      <c r="Q19" s="792">
        <f t="shared" si="13"/>
        <v>20979652.41810238</v>
      </c>
      <c r="R19" s="792">
        <f t="shared" si="14"/>
        <v>1809857.7029999997</v>
      </c>
      <c r="S19" s="793">
        <f t="shared" si="15"/>
        <v>51384058.187324755</v>
      </c>
      <c r="U19" s="627">
        <f t="shared" si="2"/>
        <v>0.48570956074761257</v>
      </c>
      <c r="V19" s="628">
        <f t="shared" si="3"/>
        <v>0.21944991038281006</v>
      </c>
      <c r="W19" s="628">
        <f t="shared" si="4"/>
        <v>0.29484052886957729</v>
      </c>
      <c r="X19" s="629">
        <f t="shared" si="5"/>
        <v>0.70515947113042265</v>
      </c>
      <c r="Z19" s="1471">
        <f t="shared" si="6"/>
        <v>7.8562379313897743E-2</v>
      </c>
      <c r="AA19" s="1381">
        <f t="shared" si="7"/>
        <v>3.7948016734906322E-3</v>
      </c>
      <c r="AB19" s="1473">
        <f t="shared" si="8"/>
        <v>0.91764281901261169</v>
      </c>
      <c r="AD19" s="1471">
        <f t="shared" si="9"/>
        <v>0.65763630368679882</v>
      </c>
      <c r="AE19" s="1381">
        <f t="shared" si="10"/>
        <v>1.9658252657667644E-2</v>
      </c>
      <c r="AF19" s="1473">
        <f t="shared" si="11"/>
        <v>0.32270544365553372</v>
      </c>
    </row>
    <row r="20" spans="1:32" x14ac:dyDescent="0.25">
      <c r="A20" s="740" t="s">
        <v>40</v>
      </c>
      <c r="B20" s="592" t="s">
        <v>41</v>
      </c>
      <c r="C20" s="741" t="s">
        <v>266</v>
      </c>
      <c r="D20" s="791">
        <f>'Administration LASER'!D19+'Other Oper Exp. LASER'!D19</f>
        <v>672348.94</v>
      </c>
      <c r="E20" s="792">
        <f>'Administration LASER'!E19+'Other Oper Exp. LASER'!E19</f>
        <v>306615.69999999995</v>
      </c>
      <c r="F20" s="792">
        <f>'Administration LASER'!K19+'Other Oper Exp. LASER'!K19</f>
        <v>418713.68</v>
      </c>
      <c r="G20" s="793">
        <f>'Administration LASER'!I19+'Other Oper Exp. LASER'!I19</f>
        <v>1397678.3199999998</v>
      </c>
      <c r="H20" s="791">
        <f>'Client Services LASER'!D19</f>
        <v>32662.54</v>
      </c>
      <c r="I20" s="792">
        <f>'Client Services LASER'!E19</f>
        <v>21498.5</v>
      </c>
      <c r="J20" s="792">
        <f>'Client Services LASER'!K19</f>
        <v>10901.96</v>
      </c>
      <c r="K20" s="793">
        <f>'Client Services LASER'!I19</f>
        <v>65063</v>
      </c>
      <c r="L20" s="791">
        <f>'Benefits Spending LASER'!D20</f>
        <v>16467268.282903424</v>
      </c>
      <c r="M20" s="792">
        <f>'Benefits Spending LASER'!E20</f>
        <v>13101277.546710048</v>
      </c>
      <c r="N20" s="792">
        <f>'Benefits Spending LASER'!I20</f>
        <v>430665.92312937503</v>
      </c>
      <c r="O20" s="793">
        <f t="shared" si="0"/>
        <v>29999211.752742846</v>
      </c>
      <c r="P20" s="1462">
        <f t="shared" si="12"/>
        <v>17172279.762903422</v>
      </c>
      <c r="Q20" s="792">
        <f t="shared" si="13"/>
        <v>13429391.746710047</v>
      </c>
      <c r="R20" s="792">
        <f t="shared" si="14"/>
        <v>860281.56312937499</v>
      </c>
      <c r="S20" s="793">
        <f t="shared" si="15"/>
        <v>31461953.072742846</v>
      </c>
      <c r="U20" s="627">
        <f t="shared" si="2"/>
        <v>0.48104698368648946</v>
      </c>
      <c r="V20" s="628">
        <f t="shared" si="3"/>
        <v>0.21937501327200953</v>
      </c>
      <c r="W20" s="628">
        <f t="shared" si="4"/>
        <v>0.29957800304150101</v>
      </c>
      <c r="X20" s="629">
        <f t="shared" si="5"/>
        <v>0.70042199695849905</v>
      </c>
      <c r="Z20" s="1471">
        <f t="shared" si="6"/>
        <v>4.4424397835965322E-2</v>
      </c>
      <c r="AA20" s="1381">
        <f t="shared" si="7"/>
        <v>2.0679898622176611E-3</v>
      </c>
      <c r="AB20" s="1473">
        <f t="shared" si="8"/>
        <v>0.95350761230181702</v>
      </c>
      <c r="AD20" s="1471">
        <f t="shared" si="9"/>
        <v>0.48671702143293633</v>
      </c>
      <c r="AE20" s="1381">
        <f t="shared" si="10"/>
        <v>1.2672548694805039E-2</v>
      </c>
      <c r="AF20" s="1473">
        <f t="shared" si="11"/>
        <v>0.50061042987225868</v>
      </c>
    </row>
    <row r="21" spans="1:32" x14ac:dyDescent="0.25">
      <c r="A21" s="740" t="s">
        <v>42</v>
      </c>
      <c r="B21" s="592" t="s">
        <v>43</v>
      </c>
      <c r="C21" s="741" t="s">
        <v>265</v>
      </c>
      <c r="D21" s="791">
        <f>'Administration LASER'!D20+'Other Oper Exp. LASER'!D20</f>
        <v>2145880.4500000002</v>
      </c>
      <c r="E21" s="792">
        <f>'Administration LASER'!E20+'Other Oper Exp. LASER'!E20</f>
        <v>970314.89</v>
      </c>
      <c r="F21" s="792">
        <f>'Administration LASER'!K20+'Other Oper Exp. LASER'!K20</f>
        <v>1417632.5299999998</v>
      </c>
      <c r="G21" s="793">
        <f>'Administration LASER'!I20+'Other Oper Exp. LASER'!I20</f>
        <v>4533827.87</v>
      </c>
      <c r="H21" s="791">
        <f>'Client Services LASER'!D20</f>
        <v>169139.07</v>
      </c>
      <c r="I21" s="792">
        <f>'Client Services LASER'!E20</f>
        <v>163771.12</v>
      </c>
      <c r="J21" s="792">
        <f>'Client Services LASER'!K20</f>
        <v>118203.18999999999</v>
      </c>
      <c r="K21" s="793">
        <f>'Client Services LASER'!I20</f>
        <v>451113.38</v>
      </c>
      <c r="L21" s="791">
        <f>'Benefits Spending LASER'!D21</f>
        <v>45339372.806178123</v>
      </c>
      <c r="M21" s="792">
        <f>'Benefits Spending LASER'!E21</f>
        <v>35578564.879992872</v>
      </c>
      <c r="N21" s="792">
        <f>'Benefits Spending LASER'!I21</f>
        <v>857267.02740125009</v>
      </c>
      <c r="O21" s="793">
        <f t="shared" si="0"/>
        <v>81775204.713572249</v>
      </c>
      <c r="P21" s="1462">
        <f t="shared" si="12"/>
        <v>47654392.326178126</v>
      </c>
      <c r="Q21" s="792">
        <f t="shared" si="13"/>
        <v>36712650.88999287</v>
      </c>
      <c r="R21" s="792">
        <f t="shared" si="14"/>
        <v>2393102.7474012496</v>
      </c>
      <c r="S21" s="793">
        <f t="shared" si="15"/>
        <v>86760145.963572249</v>
      </c>
      <c r="U21" s="627">
        <f t="shared" si="2"/>
        <v>0.47330434933340337</v>
      </c>
      <c r="V21" s="628">
        <f t="shared" si="3"/>
        <v>0.21401670240295206</v>
      </c>
      <c r="W21" s="628">
        <f t="shared" si="4"/>
        <v>0.31267894826364456</v>
      </c>
      <c r="X21" s="629">
        <f t="shared" si="5"/>
        <v>0.68732105173635549</v>
      </c>
      <c r="Z21" s="1471">
        <f t="shared" si="6"/>
        <v>5.2257033683456529E-2</v>
      </c>
      <c r="AA21" s="1381">
        <f t="shared" si="7"/>
        <v>5.1995461163632413E-3</v>
      </c>
      <c r="AB21" s="1473">
        <f t="shared" si="8"/>
        <v>0.94254342020018023</v>
      </c>
      <c r="AD21" s="1471">
        <f t="shared" si="9"/>
        <v>0.59238264280104747</v>
      </c>
      <c r="AE21" s="1381">
        <f t="shared" si="10"/>
        <v>4.9393278298794648E-2</v>
      </c>
      <c r="AF21" s="1473">
        <f t="shared" si="11"/>
        <v>0.35822407890015801</v>
      </c>
    </row>
    <row r="22" spans="1:32" x14ac:dyDescent="0.25">
      <c r="A22" s="740" t="s">
        <v>44</v>
      </c>
      <c r="B22" s="592" t="s">
        <v>45</v>
      </c>
      <c r="C22" s="741" t="s">
        <v>266</v>
      </c>
      <c r="D22" s="791">
        <f>'Administration LASER'!D21+'Other Oper Exp. LASER'!D21</f>
        <v>1016651.22</v>
      </c>
      <c r="E22" s="792">
        <f>'Administration LASER'!E21+'Other Oper Exp. LASER'!E21</f>
        <v>410156.56</v>
      </c>
      <c r="F22" s="792">
        <f>'Administration LASER'!K21+'Other Oper Exp. LASER'!K21</f>
        <v>757839.95</v>
      </c>
      <c r="G22" s="793">
        <f>'Administration LASER'!I21+'Other Oper Exp. LASER'!I21</f>
        <v>2184647.73</v>
      </c>
      <c r="H22" s="791">
        <f>'Client Services LASER'!D21</f>
        <v>56568.65</v>
      </c>
      <c r="I22" s="792">
        <f>'Client Services LASER'!E21</f>
        <v>67455.55</v>
      </c>
      <c r="J22" s="792">
        <f>'Client Services LASER'!K21</f>
        <v>22079.960000000003</v>
      </c>
      <c r="K22" s="793">
        <f>'Client Services LASER'!I21</f>
        <v>146104.16</v>
      </c>
      <c r="L22" s="791">
        <f>'Benefits Spending LASER'!D22</f>
        <v>23505348.527520839</v>
      </c>
      <c r="M22" s="792">
        <f>'Benefits Spending LASER'!E22</f>
        <v>17158332.779540844</v>
      </c>
      <c r="N22" s="792">
        <f>'Benefits Spending LASER'!I22</f>
        <v>768866.01172000007</v>
      </c>
      <c r="O22" s="793">
        <f t="shared" si="0"/>
        <v>41432547.318781689</v>
      </c>
      <c r="P22" s="1462">
        <f t="shared" si="12"/>
        <v>24578568.39752084</v>
      </c>
      <c r="Q22" s="792">
        <f t="shared" si="13"/>
        <v>17635944.889540844</v>
      </c>
      <c r="R22" s="792">
        <f t="shared" si="14"/>
        <v>1548785.92172</v>
      </c>
      <c r="S22" s="793">
        <f t="shared" si="15"/>
        <v>43763299.208781689</v>
      </c>
      <c r="U22" s="627">
        <f t="shared" si="2"/>
        <v>0.46536162605950204</v>
      </c>
      <c r="V22" s="628">
        <f t="shared" si="3"/>
        <v>0.18774494137780282</v>
      </c>
      <c r="W22" s="628">
        <f t="shared" si="4"/>
        <v>0.34689343256269511</v>
      </c>
      <c r="X22" s="629">
        <f t="shared" si="5"/>
        <v>0.65310656743730489</v>
      </c>
      <c r="Z22" s="1471">
        <f t="shared" si="6"/>
        <v>4.9919630592238834E-2</v>
      </c>
      <c r="AA22" s="1381">
        <f t="shared" si="7"/>
        <v>3.3385088108412596E-3</v>
      </c>
      <c r="AB22" s="1473">
        <f t="shared" si="8"/>
        <v>0.94674186059691989</v>
      </c>
      <c r="AD22" s="1471">
        <f t="shared" si="9"/>
        <v>0.48931226670654576</v>
      </c>
      <c r="AE22" s="1381">
        <f t="shared" si="10"/>
        <v>1.4256302107575438E-2</v>
      </c>
      <c r="AF22" s="1473">
        <f t="shared" si="11"/>
        <v>0.49643143118587879</v>
      </c>
    </row>
    <row r="23" spans="1:32" x14ac:dyDescent="0.25">
      <c r="A23" s="740" t="s">
        <v>46</v>
      </c>
      <c r="B23" s="592" t="s">
        <v>47</v>
      </c>
      <c r="C23" s="741" t="s">
        <v>268</v>
      </c>
      <c r="D23" s="791">
        <f>'Administration LASER'!D22+'Other Oper Exp. LASER'!D22</f>
        <v>1063084.6399999999</v>
      </c>
      <c r="E23" s="792">
        <f>'Administration LASER'!E22+'Other Oper Exp. LASER'!E22</f>
        <v>496129.41</v>
      </c>
      <c r="F23" s="792">
        <f>'Administration LASER'!K22+'Other Oper Exp. LASER'!K22</f>
        <v>688323.51</v>
      </c>
      <c r="G23" s="793">
        <f>'Administration LASER'!I22+'Other Oper Exp. LASER'!I22</f>
        <v>2247537.56</v>
      </c>
      <c r="H23" s="791">
        <f>'Client Services LASER'!D22</f>
        <v>78454.080000000002</v>
      </c>
      <c r="I23" s="792">
        <f>'Client Services LASER'!E22</f>
        <v>61259.529999999992</v>
      </c>
      <c r="J23" s="792">
        <f>'Client Services LASER'!K22</f>
        <v>26552.120000000003</v>
      </c>
      <c r="K23" s="793">
        <f>'Client Services LASER'!I22</f>
        <v>166265.72999999998</v>
      </c>
      <c r="L23" s="791">
        <f>'Benefits Spending LASER'!D23</f>
        <v>30437639.371004123</v>
      </c>
      <c r="M23" s="792">
        <f>'Benefits Spending LASER'!E23</f>
        <v>23882102.453821626</v>
      </c>
      <c r="N23" s="792">
        <f>'Benefits Spending LASER'!I23</f>
        <v>538562.25998249999</v>
      </c>
      <c r="O23" s="793">
        <f t="shared" si="0"/>
        <v>54858304.084808245</v>
      </c>
      <c r="P23" s="1462">
        <f t="shared" si="12"/>
        <v>31579178.091004122</v>
      </c>
      <c r="Q23" s="792">
        <f t="shared" si="13"/>
        <v>24439491.393821627</v>
      </c>
      <c r="R23" s="792">
        <f t="shared" si="14"/>
        <v>1253437.8899825001</v>
      </c>
      <c r="S23" s="793">
        <f t="shared" si="15"/>
        <v>57272107.374808244</v>
      </c>
      <c r="U23" s="627">
        <f t="shared" si="2"/>
        <v>0.47299972152634451</v>
      </c>
      <c r="V23" s="628">
        <f t="shared" si="3"/>
        <v>0.22074354566070076</v>
      </c>
      <c r="W23" s="628">
        <f t="shared" si="4"/>
        <v>0.30625673281295462</v>
      </c>
      <c r="X23" s="629">
        <f t="shared" si="5"/>
        <v>0.69374326718704526</v>
      </c>
      <c r="Z23" s="1471">
        <f t="shared" si="6"/>
        <v>3.924314405424871E-2</v>
      </c>
      <c r="AA23" s="1381">
        <f t="shared" si="7"/>
        <v>2.9030838504317683E-3</v>
      </c>
      <c r="AB23" s="1473">
        <f t="shared" si="8"/>
        <v>0.95785377209531952</v>
      </c>
      <c r="AD23" s="1471">
        <f t="shared" si="9"/>
        <v>0.54914847835787861</v>
      </c>
      <c r="AE23" s="1381">
        <f t="shared" si="10"/>
        <v>2.1183434944966207E-2</v>
      </c>
      <c r="AF23" s="1473">
        <f t="shared" si="11"/>
        <v>0.42966808669715506</v>
      </c>
    </row>
    <row r="24" spans="1:32" x14ac:dyDescent="0.25">
      <c r="A24" s="740" t="s">
        <v>48</v>
      </c>
      <c r="B24" s="592" t="s">
        <v>269</v>
      </c>
      <c r="C24" s="741" t="s">
        <v>266</v>
      </c>
      <c r="D24" s="791">
        <f>'Administration LASER'!D23+'Other Oper Exp. LASER'!D23</f>
        <v>426641.57</v>
      </c>
      <c r="E24" s="792">
        <f>'Administration LASER'!E23+'Other Oper Exp. LASER'!E23</f>
        <v>199110.65</v>
      </c>
      <c r="F24" s="792">
        <f>'Administration LASER'!K23+'Other Oper Exp. LASER'!K23</f>
        <v>241775.77999999997</v>
      </c>
      <c r="G24" s="793">
        <f>'Administration LASER'!I23+'Other Oper Exp. LASER'!I23</f>
        <v>867528</v>
      </c>
      <c r="H24" s="791">
        <f>'Client Services LASER'!D23</f>
        <v>22700.98</v>
      </c>
      <c r="I24" s="792">
        <f>'Client Services LASER'!E23</f>
        <v>3067.3100000000004</v>
      </c>
      <c r="J24" s="792">
        <f>'Client Services LASER'!K23</f>
        <v>5648.06</v>
      </c>
      <c r="K24" s="793">
        <f>'Client Services LASER'!I23</f>
        <v>31416.350000000002</v>
      </c>
      <c r="L24" s="791">
        <f>'Benefits Spending LASER'!D24</f>
        <v>5685200.8228120124</v>
      </c>
      <c r="M24" s="792">
        <f>'Benefits Spending LASER'!E24</f>
        <v>4202449.0706120124</v>
      </c>
      <c r="N24" s="792">
        <f>'Benefits Spending LASER'!I24</f>
        <v>69996.17</v>
      </c>
      <c r="O24" s="793">
        <f t="shared" si="0"/>
        <v>9957646.0634240247</v>
      </c>
      <c r="P24" s="1462">
        <f t="shared" si="12"/>
        <v>6134543.3728120122</v>
      </c>
      <c r="Q24" s="792">
        <f t="shared" si="13"/>
        <v>4404627.0306120124</v>
      </c>
      <c r="R24" s="792">
        <f t="shared" si="14"/>
        <v>317420.00999999995</v>
      </c>
      <c r="S24" s="793">
        <f t="shared" si="15"/>
        <v>10856590.413424024</v>
      </c>
      <c r="U24" s="627">
        <f t="shared" si="2"/>
        <v>0.49178997104416228</v>
      </c>
      <c r="V24" s="628">
        <f t="shared" si="3"/>
        <v>0.22951495513689471</v>
      </c>
      <c r="W24" s="628">
        <f t="shared" si="4"/>
        <v>0.27869507381894298</v>
      </c>
      <c r="X24" s="629">
        <f t="shared" si="5"/>
        <v>0.7213049261810569</v>
      </c>
      <c r="Z24" s="1471">
        <f t="shared" si="6"/>
        <v>7.9907960691536592E-2</v>
      </c>
      <c r="AA24" s="1381">
        <f t="shared" si="7"/>
        <v>2.8937584272456405E-3</v>
      </c>
      <c r="AB24" s="1473">
        <f t="shared" si="8"/>
        <v>0.9171982808812178</v>
      </c>
      <c r="AD24" s="1471">
        <f t="shared" si="9"/>
        <v>0.7616904176897985</v>
      </c>
      <c r="AE24" s="1381">
        <f t="shared" si="10"/>
        <v>1.7793648232825653E-2</v>
      </c>
      <c r="AF24" s="1473">
        <f t="shared" si="11"/>
        <v>0.22051593407737594</v>
      </c>
    </row>
    <row r="25" spans="1:32" x14ac:dyDescent="0.25">
      <c r="A25" s="740" t="s">
        <v>50</v>
      </c>
      <c r="B25" s="592" t="s">
        <v>51</v>
      </c>
      <c r="C25" s="741" t="s">
        <v>265</v>
      </c>
      <c r="D25" s="791">
        <f>'Administration LASER'!D24+'Other Oper Exp. LASER'!D24</f>
        <v>709159.05</v>
      </c>
      <c r="E25" s="792">
        <f>'Administration LASER'!E24+'Other Oper Exp. LASER'!E24</f>
        <v>312709.03999999998</v>
      </c>
      <c r="F25" s="792">
        <f>'Administration LASER'!K24+'Other Oper Exp. LASER'!K24</f>
        <v>739184.51</v>
      </c>
      <c r="G25" s="793">
        <f>'Administration LASER'!I24+'Other Oper Exp. LASER'!I24</f>
        <v>1761052.6</v>
      </c>
      <c r="H25" s="791">
        <f>'Client Services LASER'!D24</f>
        <v>63814.01</v>
      </c>
      <c r="I25" s="792">
        <f>'Client Services LASER'!E24</f>
        <v>14707.970000000001</v>
      </c>
      <c r="J25" s="792">
        <f>'Client Services LASER'!K24</f>
        <v>16889.810000000001</v>
      </c>
      <c r="K25" s="793">
        <f>'Client Services LASER'!I24</f>
        <v>95411.790000000023</v>
      </c>
      <c r="L25" s="791">
        <f>'Benefits Spending LASER'!D25</f>
        <v>12767834.403416431</v>
      </c>
      <c r="M25" s="792">
        <f>'Benefits Spending LASER'!E25</f>
        <v>10216931.591606433</v>
      </c>
      <c r="N25" s="792">
        <f>'Benefits Spending LASER'!I25</f>
        <v>326457.64621000004</v>
      </c>
      <c r="O25" s="793">
        <f t="shared" si="0"/>
        <v>23311223.641232863</v>
      </c>
      <c r="P25" s="1462">
        <f t="shared" si="12"/>
        <v>13540807.463416431</v>
      </c>
      <c r="Q25" s="792">
        <f t="shared" si="13"/>
        <v>10544348.601606432</v>
      </c>
      <c r="R25" s="792">
        <f t="shared" si="14"/>
        <v>1082531.9662100002</v>
      </c>
      <c r="S25" s="793">
        <f t="shared" si="15"/>
        <v>25167688.031232864</v>
      </c>
      <c r="U25" s="627">
        <f t="shared" si="2"/>
        <v>0.40269044206856741</v>
      </c>
      <c r="V25" s="628">
        <f t="shared" si="3"/>
        <v>0.17756939230548818</v>
      </c>
      <c r="W25" s="628">
        <f t="shared" si="4"/>
        <v>0.41974016562594435</v>
      </c>
      <c r="X25" s="629">
        <f t="shared" si="5"/>
        <v>0.58025983437405559</v>
      </c>
      <c r="Z25" s="1471">
        <f t="shared" si="6"/>
        <v>6.9972760223924832E-2</v>
      </c>
      <c r="AA25" s="1381">
        <f t="shared" si="7"/>
        <v>3.7910430978640107E-3</v>
      </c>
      <c r="AB25" s="1473">
        <f t="shared" si="8"/>
        <v>0.92623619667821111</v>
      </c>
      <c r="AD25" s="1471">
        <f t="shared" si="9"/>
        <v>0.68282926793184939</v>
      </c>
      <c r="AE25" s="1381">
        <f t="shared" si="10"/>
        <v>1.5602135112122453E-2</v>
      </c>
      <c r="AF25" s="1473">
        <f t="shared" si="11"/>
        <v>0.30156859695602795</v>
      </c>
    </row>
    <row r="26" spans="1:32" x14ac:dyDescent="0.25">
      <c r="A26" s="740" t="s">
        <v>56</v>
      </c>
      <c r="B26" s="592" t="s">
        <v>295</v>
      </c>
      <c r="C26" s="741" t="s">
        <v>266</v>
      </c>
      <c r="D26" s="791">
        <f>'Administration LASER'!D25+'Other Oper Exp. LASER'!D25</f>
        <v>5684673.0699999994</v>
      </c>
      <c r="E26" s="792">
        <f>'Administration LASER'!E25+'Other Oper Exp. LASER'!E25</f>
        <v>2020582.46</v>
      </c>
      <c r="F26" s="792">
        <f>'Administration LASER'!K25+'Other Oper Exp. LASER'!K25</f>
        <v>5615139.3599999994</v>
      </c>
      <c r="G26" s="793">
        <f>'Administration LASER'!I25+'Other Oper Exp. LASER'!I25</f>
        <v>13320394.890000001</v>
      </c>
      <c r="H26" s="791">
        <f>'Client Services LASER'!D25</f>
        <v>264583.52</v>
      </c>
      <c r="I26" s="792">
        <f>'Client Services LASER'!E25</f>
        <v>267443.27999999997</v>
      </c>
      <c r="J26" s="792">
        <f>'Client Services LASER'!K25</f>
        <v>121910.37</v>
      </c>
      <c r="K26" s="793">
        <f>'Client Services LASER'!I25</f>
        <v>653937.16999999993</v>
      </c>
      <c r="L26" s="791">
        <f>'Benefits Spending LASER'!D26</f>
        <v>198027785.08038157</v>
      </c>
      <c r="M26" s="792">
        <f>'Benefits Spending LASER'!E26</f>
        <v>151613711.4914982</v>
      </c>
      <c r="N26" s="792">
        <f>'Benefits Spending LASER'!I26</f>
        <v>4155196.6044193748</v>
      </c>
      <c r="O26" s="793">
        <f t="shared" si="0"/>
        <v>353796693.1762991</v>
      </c>
      <c r="P26" s="1462">
        <f t="shared" si="12"/>
        <v>203977041.67038158</v>
      </c>
      <c r="Q26" s="792">
        <f t="shared" si="13"/>
        <v>153901737.23149821</v>
      </c>
      <c r="R26" s="792">
        <f t="shared" si="14"/>
        <v>9892246.3344193734</v>
      </c>
      <c r="S26" s="793">
        <f t="shared" si="15"/>
        <v>367771025.2362991</v>
      </c>
      <c r="U26" s="627">
        <f t="shared" si="2"/>
        <v>0.42676460547484557</v>
      </c>
      <c r="V26" s="628">
        <f t="shared" si="3"/>
        <v>0.1516908827918389</v>
      </c>
      <c r="W26" s="628">
        <f t="shared" si="4"/>
        <v>0.42154451173331536</v>
      </c>
      <c r="X26" s="629">
        <f t="shared" si="5"/>
        <v>0.57845548826668447</v>
      </c>
      <c r="Z26" s="1471">
        <f t="shared" si="6"/>
        <v>3.6219261377215407E-2</v>
      </c>
      <c r="AA26" s="1381">
        <f t="shared" si="7"/>
        <v>1.778109544056208E-3</v>
      </c>
      <c r="AB26" s="1473">
        <f t="shared" si="8"/>
        <v>0.96200262907872836</v>
      </c>
      <c r="AD26" s="1471">
        <f t="shared" si="9"/>
        <v>0.56763036121153976</v>
      </c>
      <c r="AE26" s="1381">
        <f t="shared" si="10"/>
        <v>1.2323830794207121E-2</v>
      </c>
      <c r="AF26" s="1473">
        <f t="shared" si="11"/>
        <v>0.42004580799425317</v>
      </c>
    </row>
    <row r="27" spans="1:32" x14ac:dyDescent="0.25">
      <c r="A27" s="740" t="s">
        <v>58</v>
      </c>
      <c r="B27" s="592" t="s">
        <v>59</v>
      </c>
      <c r="C27" s="741" t="s">
        <v>267</v>
      </c>
      <c r="D27" s="791">
        <f>'Administration LASER'!D26+'Other Oper Exp. LASER'!D26</f>
        <v>477128.80999999994</v>
      </c>
      <c r="E27" s="792">
        <f>'Administration LASER'!E26+'Other Oper Exp. LASER'!E26</f>
        <v>139553.62</v>
      </c>
      <c r="F27" s="792">
        <f>'Administration LASER'!K26+'Other Oper Exp. LASER'!K26</f>
        <v>595131.9</v>
      </c>
      <c r="G27" s="793">
        <f>'Administration LASER'!I26+'Other Oper Exp. LASER'!I26</f>
        <v>1211814.3299999998</v>
      </c>
      <c r="H27" s="791">
        <f>'Client Services LASER'!D26</f>
        <v>37628.67</v>
      </c>
      <c r="I27" s="792">
        <f>'Client Services LASER'!E26</f>
        <v>9573.39</v>
      </c>
      <c r="J27" s="792">
        <f>'Client Services LASER'!K26</f>
        <v>17607.77</v>
      </c>
      <c r="K27" s="793">
        <f>'Client Services LASER'!I26</f>
        <v>64809.83</v>
      </c>
      <c r="L27" s="791">
        <f>'Benefits Spending LASER'!D27</f>
        <v>5583414.7813119153</v>
      </c>
      <c r="M27" s="792">
        <f>'Benefits Spending LASER'!E27</f>
        <v>4896553.9396904157</v>
      </c>
      <c r="N27" s="792">
        <f>'Benefits Spending LASER'!I27</f>
        <v>335645.94146150007</v>
      </c>
      <c r="O27" s="793">
        <f t="shared" si="0"/>
        <v>10815614.662463831</v>
      </c>
      <c r="P27" s="1462">
        <f t="shared" si="12"/>
        <v>6098172.2613119148</v>
      </c>
      <c r="Q27" s="792">
        <f t="shared" si="13"/>
        <v>5045680.9496904155</v>
      </c>
      <c r="R27" s="792">
        <f t="shared" si="14"/>
        <v>948385.61146150017</v>
      </c>
      <c r="S27" s="793">
        <f t="shared" si="15"/>
        <v>12092238.822463831</v>
      </c>
      <c r="U27" s="627">
        <f t="shared" si="2"/>
        <v>0.39373095216657489</v>
      </c>
      <c r="V27" s="628">
        <f t="shared" si="3"/>
        <v>0.11516089267569564</v>
      </c>
      <c r="W27" s="628">
        <f t="shared" si="4"/>
        <v>0.49110815515772954</v>
      </c>
      <c r="X27" s="629">
        <f t="shared" si="5"/>
        <v>0.50889184484227057</v>
      </c>
      <c r="Z27" s="1471">
        <f t="shared" si="6"/>
        <v>0.10021422399868621</v>
      </c>
      <c r="AA27" s="1381">
        <f t="shared" si="7"/>
        <v>5.3596220643279359E-3</v>
      </c>
      <c r="AB27" s="1473">
        <f t="shared" si="8"/>
        <v>0.89442615393698588</v>
      </c>
      <c r="AD27" s="1471">
        <f t="shared" si="9"/>
        <v>0.62752101340179334</v>
      </c>
      <c r="AE27" s="1381">
        <f t="shared" si="10"/>
        <v>1.856604506353246E-2</v>
      </c>
      <c r="AF27" s="1473">
        <f t="shared" si="11"/>
        <v>0.35391294153467412</v>
      </c>
    </row>
    <row r="28" spans="1:32" x14ac:dyDescent="0.25">
      <c r="A28" s="740" t="s">
        <v>60</v>
      </c>
      <c r="B28" s="592" t="s">
        <v>61</v>
      </c>
      <c r="C28" s="741" t="s">
        <v>265</v>
      </c>
      <c r="D28" s="791">
        <f>'Administration LASER'!D27+'Other Oper Exp. LASER'!D27</f>
        <v>236829.85</v>
      </c>
      <c r="E28" s="792">
        <f>'Administration LASER'!E27+'Other Oper Exp. LASER'!E27</f>
        <v>92278.26</v>
      </c>
      <c r="F28" s="792">
        <f>'Administration LASER'!K27+'Other Oper Exp. LASER'!K27</f>
        <v>212375.41999999998</v>
      </c>
      <c r="G28" s="793">
        <f>'Administration LASER'!I27+'Other Oper Exp. LASER'!I27</f>
        <v>541483.53</v>
      </c>
      <c r="H28" s="791">
        <f>'Client Services LASER'!D27</f>
        <v>12124.71</v>
      </c>
      <c r="I28" s="792">
        <f>'Client Services LASER'!E27</f>
        <v>6029.51</v>
      </c>
      <c r="J28" s="792">
        <f>'Client Services LASER'!K27</f>
        <v>3314.4300000000003</v>
      </c>
      <c r="K28" s="793">
        <f>'Client Services LASER'!I27</f>
        <v>21468.65</v>
      </c>
      <c r="L28" s="791">
        <f>'Benefits Spending LASER'!D28</f>
        <v>3454519.1927893278</v>
      </c>
      <c r="M28" s="792">
        <f>'Benefits Spending LASER'!E28</f>
        <v>2884576.0696780775</v>
      </c>
      <c r="N28" s="792">
        <f>'Benefits Spending LASER'!I28</f>
        <v>155890.36351125001</v>
      </c>
      <c r="O28" s="793">
        <f t="shared" si="0"/>
        <v>6494985.6259786552</v>
      </c>
      <c r="P28" s="1462">
        <f t="shared" si="12"/>
        <v>3703473.7527893279</v>
      </c>
      <c r="Q28" s="792">
        <f t="shared" si="13"/>
        <v>2982883.8396780775</v>
      </c>
      <c r="R28" s="792">
        <f t="shared" si="14"/>
        <v>371580.21351124998</v>
      </c>
      <c r="S28" s="793">
        <f t="shared" si="15"/>
        <v>7057937.8059786549</v>
      </c>
      <c r="U28" s="627">
        <f t="shared" si="2"/>
        <v>0.43737221333398635</v>
      </c>
      <c r="V28" s="628">
        <f t="shared" si="3"/>
        <v>0.17041748250403846</v>
      </c>
      <c r="W28" s="628">
        <f t="shared" si="4"/>
        <v>0.39221030416197511</v>
      </c>
      <c r="X28" s="629">
        <f t="shared" si="5"/>
        <v>0.60778969583802478</v>
      </c>
      <c r="Z28" s="1471">
        <f t="shared" si="6"/>
        <v>7.6719793356824259E-2</v>
      </c>
      <c r="AA28" s="1381">
        <f t="shared" si="7"/>
        <v>3.0417737574584868E-3</v>
      </c>
      <c r="AB28" s="1473">
        <f t="shared" si="8"/>
        <v>0.92023843288571727</v>
      </c>
      <c r="AD28" s="1471">
        <f t="shared" si="9"/>
        <v>0.57154663321051702</v>
      </c>
      <c r="AE28" s="1381">
        <f t="shared" si="10"/>
        <v>8.9198237136479085E-3</v>
      </c>
      <c r="AF28" s="1473">
        <f t="shared" si="11"/>
        <v>0.41953354307583512</v>
      </c>
    </row>
    <row r="29" spans="1:32" x14ac:dyDescent="0.25">
      <c r="A29" s="740" t="s">
        <v>62</v>
      </c>
      <c r="B29" s="592" t="s">
        <v>63</v>
      </c>
      <c r="C29" s="741" t="s">
        <v>267</v>
      </c>
      <c r="D29" s="791">
        <f>'Administration LASER'!D28+'Other Oper Exp. LASER'!D28</f>
        <v>1624903.5299999998</v>
      </c>
      <c r="E29" s="792">
        <f>'Administration LASER'!E28+'Other Oper Exp. LASER'!E28</f>
        <v>579906.28999999992</v>
      </c>
      <c r="F29" s="792">
        <f>'Administration LASER'!K28+'Other Oper Exp. LASER'!K28</f>
        <v>1601856.2000000002</v>
      </c>
      <c r="G29" s="793">
        <f>'Administration LASER'!I28+'Other Oper Exp. LASER'!I28</f>
        <v>3806666.02</v>
      </c>
      <c r="H29" s="791">
        <f>'Client Services LASER'!D28</f>
        <v>61900.160000000003</v>
      </c>
      <c r="I29" s="792">
        <f>'Client Services LASER'!E28</f>
        <v>86714.950000000012</v>
      </c>
      <c r="J29" s="792">
        <f>'Client Services LASER'!K28</f>
        <v>30983.47</v>
      </c>
      <c r="K29" s="793">
        <f>'Client Services LASER'!I28</f>
        <v>179598.58000000002</v>
      </c>
      <c r="L29" s="791">
        <f>'Benefits Spending LASER'!D29</f>
        <v>35204567.812750138</v>
      </c>
      <c r="M29" s="792">
        <f>'Benefits Spending LASER'!E29</f>
        <v>28099183.315021887</v>
      </c>
      <c r="N29" s="792">
        <f>'Benefits Spending LASER'!I29</f>
        <v>1933606.5791162499</v>
      </c>
      <c r="O29" s="793">
        <f t="shared" si="0"/>
        <v>65237357.706888273</v>
      </c>
      <c r="P29" s="1462">
        <f t="shared" si="12"/>
        <v>36891371.502750136</v>
      </c>
      <c r="Q29" s="792">
        <f t="shared" si="13"/>
        <v>28765804.555021886</v>
      </c>
      <c r="R29" s="792">
        <f t="shared" si="14"/>
        <v>3566446.2491162503</v>
      </c>
      <c r="S29" s="793">
        <f t="shared" si="15"/>
        <v>69223622.306888267</v>
      </c>
      <c r="U29" s="627">
        <f t="shared" si="2"/>
        <v>0.42685739212813834</v>
      </c>
      <c r="V29" s="628">
        <f t="shared" si="3"/>
        <v>0.15233968174597043</v>
      </c>
      <c r="W29" s="628">
        <f t="shared" si="4"/>
        <v>0.42080292612589115</v>
      </c>
      <c r="X29" s="629">
        <f t="shared" si="5"/>
        <v>0.57919707387410879</v>
      </c>
      <c r="Z29" s="1471">
        <f t="shared" si="6"/>
        <v>5.4990852734113686E-2</v>
      </c>
      <c r="AA29" s="1381">
        <f t="shared" si="7"/>
        <v>2.5944695468807996E-3</v>
      </c>
      <c r="AB29" s="1473">
        <f t="shared" si="8"/>
        <v>0.94241467771900556</v>
      </c>
      <c r="AD29" s="1471">
        <f t="shared" si="9"/>
        <v>0.449146317681623</v>
      </c>
      <c r="AE29" s="1381">
        <f t="shared" si="10"/>
        <v>8.687491086590067E-3</v>
      </c>
      <c r="AF29" s="1473">
        <f t="shared" si="11"/>
        <v>0.54216619123178689</v>
      </c>
    </row>
    <row r="30" spans="1:32" x14ac:dyDescent="0.25">
      <c r="A30" s="740" t="s">
        <v>64</v>
      </c>
      <c r="B30" s="592" t="s">
        <v>65</v>
      </c>
      <c r="C30" s="741" t="s">
        <v>266</v>
      </c>
      <c r="D30" s="791">
        <f>'Administration LASER'!D29+'Other Oper Exp. LASER'!D29</f>
        <v>475378.83</v>
      </c>
      <c r="E30" s="792">
        <f>'Administration LASER'!E29+'Other Oper Exp. LASER'!E29</f>
        <v>211922.3</v>
      </c>
      <c r="F30" s="792">
        <f>'Administration LASER'!K29+'Other Oper Exp. LASER'!K29</f>
        <v>329050.36</v>
      </c>
      <c r="G30" s="793">
        <f>'Administration LASER'!I29+'Other Oper Exp. LASER'!I29</f>
        <v>1016351.49</v>
      </c>
      <c r="H30" s="791">
        <f>'Client Services LASER'!D29</f>
        <v>22354.5</v>
      </c>
      <c r="I30" s="792">
        <f>'Client Services LASER'!E29</f>
        <v>48744.07</v>
      </c>
      <c r="J30" s="792">
        <f>'Client Services LASER'!K29</f>
        <v>13225.449999999999</v>
      </c>
      <c r="K30" s="793">
        <f>'Client Services LASER'!I29</f>
        <v>84324.02</v>
      </c>
      <c r="L30" s="791">
        <f>'Benefits Spending LASER'!D30</f>
        <v>11737810.207707524</v>
      </c>
      <c r="M30" s="792">
        <f>'Benefits Spending LASER'!E30</f>
        <v>9014136.849551525</v>
      </c>
      <c r="N30" s="792">
        <f>'Benefits Spending LASER'!I30</f>
        <v>209836.6441</v>
      </c>
      <c r="O30" s="793">
        <f t="shared" si="0"/>
        <v>20961783.701359048</v>
      </c>
      <c r="P30" s="1462">
        <f t="shared" si="12"/>
        <v>12235543.537707524</v>
      </c>
      <c r="Q30" s="792">
        <f t="shared" si="13"/>
        <v>9274803.2195515241</v>
      </c>
      <c r="R30" s="792">
        <f t="shared" si="14"/>
        <v>552112.45409999997</v>
      </c>
      <c r="S30" s="793">
        <f t="shared" si="15"/>
        <v>22062459.21135905</v>
      </c>
      <c r="U30" s="627">
        <f t="shared" si="2"/>
        <v>0.4677307355548817</v>
      </c>
      <c r="V30" s="628">
        <f t="shared" si="3"/>
        <v>0.20851280495490787</v>
      </c>
      <c r="W30" s="628">
        <f t="shared" si="4"/>
        <v>0.32375645949021042</v>
      </c>
      <c r="X30" s="629">
        <f t="shared" si="5"/>
        <v>0.67624354050978963</v>
      </c>
      <c r="Z30" s="1471">
        <f t="shared" si="6"/>
        <v>4.6067008227111989E-2</v>
      </c>
      <c r="AA30" s="1381">
        <f t="shared" si="7"/>
        <v>3.8220589641514233E-3</v>
      </c>
      <c r="AB30" s="1473">
        <f t="shared" si="8"/>
        <v>0.95011093280873649</v>
      </c>
      <c r="AD30" s="1471">
        <f t="shared" si="9"/>
        <v>0.59598431000145768</v>
      </c>
      <c r="AE30" s="1381">
        <f t="shared" si="10"/>
        <v>2.3954268558492926E-2</v>
      </c>
      <c r="AF30" s="1473">
        <f t="shared" si="11"/>
        <v>0.3800614214400494</v>
      </c>
    </row>
    <row r="31" spans="1:32" x14ac:dyDescent="0.25">
      <c r="A31" s="740" t="s">
        <v>68</v>
      </c>
      <c r="B31" s="592" t="s">
        <v>69</v>
      </c>
      <c r="C31" s="741" t="s">
        <v>268</v>
      </c>
      <c r="D31" s="791">
        <f>'Administration LASER'!D30+'Other Oper Exp. LASER'!D30</f>
        <v>1375448.96</v>
      </c>
      <c r="E31" s="792">
        <f>'Administration LASER'!E30+'Other Oper Exp. LASER'!E30</f>
        <v>592974.63</v>
      </c>
      <c r="F31" s="792">
        <f>'Administration LASER'!K30+'Other Oper Exp. LASER'!K30</f>
        <v>938116.64</v>
      </c>
      <c r="G31" s="793">
        <f>'Administration LASER'!I30+'Other Oper Exp. LASER'!I30</f>
        <v>2906540.23</v>
      </c>
      <c r="H31" s="791">
        <f>'Client Services LASER'!D30</f>
        <v>71270.569999999992</v>
      </c>
      <c r="I31" s="792">
        <f>'Client Services LASER'!E30</f>
        <v>16846.32</v>
      </c>
      <c r="J31" s="792">
        <f>'Client Services LASER'!K30</f>
        <v>21209.670000000002</v>
      </c>
      <c r="K31" s="793">
        <f>'Client Services LASER'!I30</f>
        <v>109326.55999999998</v>
      </c>
      <c r="L31" s="791">
        <f>'Benefits Spending LASER'!D31</f>
        <v>18303579.935668673</v>
      </c>
      <c r="M31" s="792">
        <f>'Benefits Spending LASER'!E31</f>
        <v>14518544.30350117</v>
      </c>
      <c r="N31" s="792">
        <f>'Benefits Spending LASER'!I31</f>
        <v>461620.04320749996</v>
      </c>
      <c r="O31" s="793">
        <f t="shared" si="0"/>
        <v>33283744.282377344</v>
      </c>
      <c r="P31" s="1462">
        <f t="shared" si="12"/>
        <v>19750299.465668675</v>
      </c>
      <c r="Q31" s="792">
        <f t="shared" si="13"/>
        <v>15128365.253501169</v>
      </c>
      <c r="R31" s="792">
        <f t="shared" si="14"/>
        <v>1420946.3532075</v>
      </c>
      <c r="S31" s="793">
        <f t="shared" si="15"/>
        <v>36299611.072377346</v>
      </c>
      <c r="U31" s="627">
        <f t="shared" si="2"/>
        <v>0.47322550219784848</v>
      </c>
      <c r="V31" s="628">
        <f t="shared" si="3"/>
        <v>0.20401390762790164</v>
      </c>
      <c r="W31" s="628">
        <f t="shared" si="4"/>
        <v>0.32276059017424991</v>
      </c>
      <c r="X31" s="629">
        <f t="shared" si="5"/>
        <v>0.67723940982575004</v>
      </c>
      <c r="Z31" s="1471">
        <f t="shared" si="6"/>
        <v>8.007083668760763E-2</v>
      </c>
      <c r="AA31" s="1381">
        <f t="shared" si="7"/>
        <v>3.0117832332146786E-3</v>
      </c>
      <c r="AB31" s="1473">
        <f t="shared" si="8"/>
        <v>0.91691738007917767</v>
      </c>
      <c r="AD31" s="1471">
        <f t="shared" si="9"/>
        <v>0.66020552984452285</v>
      </c>
      <c r="AE31" s="1381">
        <f t="shared" si="10"/>
        <v>1.4926439659121153E-2</v>
      </c>
      <c r="AF31" s="1473">
        <f t="shared" si="11"/>
        <v>0.32486803049635599</v>
      </c>
    </row>
    <row r="32" spans="1:32" x14ac:dyDescent="0.25">
      <c r="A32" s="740" t="s">
        <v>70</v>
      </c>
      <c r="B32" s="592" t="s">
        <v>71</v>
      </c>
      <c r="C32" s="741" t="s">
        <v>264</v>
      </c>
      <c r="D32" s="791">
        <f>'Administration LASER'!D31+'Other Oper Exp. LASER'!D31</f>
        <v>965238.57</v>
      </c>
      <c r="E32" s="792">
        <f>'Administration LASER'!E31+'Other Oper Exp. LASER'!E31</f>
        <v>464240.09</v>
      </c>
      <c r="F32" s="792">
        <f>'Administration LASER'!K31+'Other Oper Exp. LASER'!K31</f>
        <v>491073.08999999997</v>
      </c>
      <c r="G32" s="793">
        <f>'Administration LASER'!I31+'Other Oper Exp. LASER'!I31</f>
        <v>1920551.75</v>
      </c>
      <c r="H32" s="791">
        <f>'Client Services LASER'!D31</f>
        <v>69747.03</v>
      </c>
      <c r="I32" s="792">
        <f>'Client Services LASER'!E31</f>
        <v>20273.66</v>
      </c>
      <c r="J32" s="792">
        <f>'Client Services LASER'!K31</f>
        <v>113177.89</v>
      </c>
      <c r="K32" s="793">
        <f>'Client Services LASER'!I31</f>
        <v>203198.58000000002</v>
      </c>
      <c r="L32" s="791">
        <f>'Benefits Spending LASER'!D32</f>
        <v>25386028.719688699</v>
      </c>
      <c r="M32" s="792">
        <f>'Benefits Spending LASER'!E32</f>
        <v>19045808.443288699</v>
      </c>
      <c r="N32" s="792">
        <f>'Benefits Spending LASER'!I32</f>
        <v>716517.9632</v>
      </c>
      <c r="O32" s="793">
        <f t="shared" si="0"/>
        <v>45148355.1261774</v>
      </c>
      <c r="P32" s="1462">
        <f t="shared" si="12"/>
        <v>26421014.3196887</v>
      </c>
      <c r="Q32" s="792">
        <f t="shared" si="13"/>
        <v>19530322.193288699</v>
      </c>
      <c r="R32" s="792">
        <f t="shared" si="14"/>
        <v>1320768.9432000001</v>
      </c>
      <c r="S32" s="793">
        <f t="shared" si="15"/>
        <v>47272105.456177399</v>
      </c>
      <c r="U32" s="627">
        <f t="shared" si="2"/>
        <v>0.50258399441722934</v>
      </c>
      <c r="V32" s="628">
        <f t="shared" si="3"/>
        <v>0.24172224986908061</v>
      </c>
      <c r="W32" s="628">
        <f t="shared" si="4"/>
        <v>0.25569375571369007</v>
      </c>
      <c r="X32" s="629">
        <f t="shared" si="5"/>
        <v>0.74430624428630987</v>
      </c>
      <c r="Z32" s="1471">
        <f t="shared" si="6"/>
        <v>4.0627590657674573E-2</v>
      </c>
      <c r="AA32" s="1381">
        <f t="shared" si="7"/>
        <v>4.2984880415020002E-3</v>
      </c>
      <c r="AB32" s="1473">
        <f t="shared" si="8"/>
        <v>0.95507392130082347</v>
      </c>
      <c r="AD32" s="1471">
        <f t="shared" si="9"/>
        <v>0.37180847757535301</v>
      </c>
      <c r="AE32" s="1381">
        <f t="shared" si="10"/>
        <v>8.5690907999236482E-2</v>
      </c>
      <c r="AF32" s="1473">
        <f t="shared" si="11"/>
        <v>0.54250061442541042</v>
      </c>
    </row>
    <row r="33" spans="1:32" x14ac:dyDescent="0.25">
      <c r="A33" s="740" t="s">
        <v>72</v>
      </c>
      <c r="B33" s="592" t="s">
        <v>73</v>
      </c>
      <c r="C33" s="741" t="s">
        <v>266</v>
      </c>
      <c r="D33" s="791">
        <f>'Administration LASER'!D32+'Other Oper Exp. LASER'!D32</f>
        <v>545557.69999999995</v>
      </c>
      <c r="E33" s="792">
        <f>'Administration LASER'!E32+'Other Oper Exp. LASER'!E32</f>
        <v>203156.04</v>
      </c>
      <c r="F33" s="792">
        <f>'Administration LASER'!K32+'Other Oper Exp. LASER'!K32</f>
        <v>490273.11</v>
      </c>
      <c r="G33" s="793">
        <f>'Administration LASER'!I32+'Other Oper Exp. LASER'!I32</f>
        <v>1238986.8500000001</v>
      </c>
      <c r="H33" s="791">
        <f>'Client Services LASER'!D32</f>
        <v>27505.08</v>
      </c>
      <c r="I33" s="792">
        <f>'Client Services LASER'!E32</f>
        <v>13942.69</v>
      </c>
      <c r="J33" s="792">
        <f>'Client Services LASER'!K32</f>
        <v>7898.0099999999993</v>
      </c>
      <c r="K33" s="793">
        <f>'Client Services LASER'!I32</f>
        <v>49345.780000000006</v>
      </c>
      <c r="L33" s="791">
        <f>'Benefits Spending LASER'!D33</f>
        <v>12161791.41998475</v>
      </c>
      <c r="M33" s="792">
        <f>'Benefits Spending LASER'!E33</f>
        <v>8472335.6028009988</v>
      </c>
      <c r="N33" s="792">
        <f>'Benefits Spending LASER'!I33</f>
        <v>230177.50414374997</v>
      </c>
      <c r="O33" s="793">
        <f t="shared" si="0"/>
        <v>20864304.526929498</v>
      </c>
      <c r="P33" s="1462">
        <f t="shared" si="12"/>
        <v>12734854.19998475</v>
      </c>
      <c r="Q33" s="792">
        <f t="shared" si="13"/>
        <v>8689434.3328009993</v>
      </c>
      <c r="R33" s="792">
        <f t="shared" si="14"/>
        <v>728348.62414374994</v>
      </c>
      <c r="S33" s="793">
        <f t="shared" si="15"/>
        <v>22152637.156929497</v>
      </c>
      <c r="U33" s="627">
        <f t="shared" si="2"/>
        <v>0.44032565801646717</v>
      </c>
      <c r="V33" s="628">
        <f t="shared" si="3"/>
        <v>0.16396948845744408</v>
      </c>
      <c r="W33" s="628">
        <f t="shared" si="4"/>
        <v>0.39570485352608864</v>
      </c>
      <c r="X33" s="629">
        <f t="shared" si="5"/>
        <v>0.60429514647391125</v>
      </c>
      <c r="Z33" s="1471">
        <f t="shared" si="6"/>
        <v>5.5929541987394332E-2</v>
      </c>
      <c r="AA33" s="1381">
        <f t="shared" si="7"/>
        <v>2.2275352433407374E-3</v>
      </c>
      <c r="AB33" s="1473">
        <f t="shared" si="8"/>
        <v>0.94184292276926496</v>
      </c>
      <c r="AD33" s="1471">
        <f t="shared" si="9"/>
        <v>0.67312972627135437</v>
      </c>
      <c r="AE33" s="1381">
        <f t="shared" si="10"/>
        <v>1.0843722000964767E-2</v>
      </c>
      <c r="AF33" s="1473">
        <f t="shared" si="11"/>
        <v>0.31602655172768085</v>
      </c>
    </row>
    <row r="34" spans="1:32" x14ac:dyDescent="0.25">
      <c r="A34" s="740" t="s">
        <v>74</v>
      </c>
      <c r="B34" s="592" t="s">
        <v>609</v>
      </c>
      <c r="C34" s="741" t="s">
        <v>267</v>
      </c>
      <c r="D34" s="791">
        <f>'Administration LASER'!D33+'Other Oper Exp. LASER'!D33</f>
        <v>28022620.109999999</v>
      </c>
      <c r="E34" s="792">
        <f>'Administration LASER'!E33+'Other Oper Exp. LASER'!E33</f>
        <v>6469367.79</v>
      </c>
      <c r="F34" s="792">
        <f>'Administration LASER'!K33+'Other Oper Exp. LASER'!K33</f>
        <v>38003374</v>
      </c>
      <c r="G34" s="793">
        <f>'Administration LASER'!I33+'Other Oper Exp. LASER'!I33</f>
        <v>72495361.900000006</v>
      </c>
      <c r="H34" s="791">
        <f>'Client Services LASER'!D33</f>
        <v>1066635.3799999999</v>
      </c>
      <c r="I34" s="792">
        <f>'Client Services LASER'!E33</f>
        <v>717456.07999999984</v>
      </c>
      <c r="J34" s="792">
        <f>'Client Services LASER'!K33</f>
        <v>1742102.8399999999</v>
      </c>
      <c r="K34" s="793">
        <f>'Client Services LASER'!I33</f>
        <v>3526194.2999999989</v>
      </c>
      <c r="L34" s="791">
        <f>'Benefits Spending LASER'!D34</f>
        <v>381074406.28780735</v>
      </c>
      <c r="M34" s="792">
        <f>'Benefits Spending LASER'!E34</f>
        <v>304933423.99403977</v>
      </c>
      <c r="N34" s="792">
        <f>'Benefits Spending LASER'!I34</f>
        <v>19229013.914265562</v>
      </c>
      <c r="O34" s="793">
        <f t="shared" si="0"/>
        <v>705236844.19611263</v>
      </c>
      <c r="P34" s="1462">
        <f t="shared" si="12"/>
        <v>410163661.77780735</v>
      </c>
      <c r="Q34" s="792">
        <f t="shared" si="13"/>
        <v>312120247.86403978</v>
      </c>
      <c r="R34" s="792">
        <f t="shared" si="14"/>
        <v>58974490.754265562</v>
      </c>
      <c r="S34" s="793">
        <f t="shared" si="15"/>
        <v>781258400.39611268</v>
      </c>
      <c r="U34" s="627">
        <f t="shared" si="2"/>
        <v>0.38654362673096743</v>
      </c>
      <c r="V34" s="628">
        <f t="shared" si="3"/>
        <v>8.9238368089310821E-2</v>
      </c>
      <c r="W34" s="628">
        <f t="shared" si="4"/>
        <v>0.52421800517972161</v>
      </c>
      <c r="X34" s="629">
        <f t="shared" si="5"/>
        <v>0.47578199482027822</v>
      </c>
      <c r="Z34" s="1471">
        <f t="shared" si="6"/>
        <v>9.2793065473911696E-2</v>
      </c>
      <c r="AA34" s="1381">
        <f t="shared" si="7"/>
        <v>4.5134801727727374E-3</v>
      </c>
      <c r="AB34" s="1473">
        <f t="shared" si="8"/>
        <v>0.90269345435331549</v>
      </c>
      <c r="AD34" s="1471">
        <f t="shared" si="9"/>
        <v>0.64440359745287423</v>
      </c>
      <c r="AE34" s="1381">
        <f t="shared" si="10"/>
        <v>2.9539938670415655E-2</v>
      </c>
      <c r="AF34" s="1473">
        <f t="shared" si="11"/>
        <v>0.32605646387671006</v>
      </c>
    </row>
    <row r="35" spans="1:32" x14ac:dyDescent="0.25">
      <c r="A35" s="740" t="s">
        <v>76</v>
      </c>
      <c r="B35" s="592" t="s">
        <v>77</v>
      </c>
      <c r="C35" s="741" t="s">
        <v>267</v>
      </c>
      <c r="D35" s="791">
        <f>'Administration LASER'!D34+'Other Oper Exp. LASER'!D34</f>
        <v>1560374.05</v>
      </c>
      <c r="E35" s="792">
        <f>'Administration LASER'!E34+'Other Oper Exp. LASER'!E34</f>
        <v>503747.08999999997</v>
      </c>
      <c r="F35" s="792">
        <f>'Administration LASER'!K34+'Other Oper Exp. LASER'!K34</f>
        <v>2403066.7000000002</v>
      </c>
      <c r="G35" s="793">
        <f>'Administration LASER'!I34+'Other Oper Exp. LASER'!I34</f>
        <v>4467187.84</v>
      </c>
      <c r="H35" s="791">
        <f>'Client Services LASER'!D34</f>
        <v>66130.5</v>
      </c>
      <c r="I35" s="792">
        <f>'Client Services LASER'!E34</f>
        <v>25416.98</v>
      </c>
      <c r="J35" s="792">
        <f>'Client Services LASER'!K34</f>
        <v>43463.990000000005</v>
      </c>
      <c r="K35" s="793">
        <f>'Client Services LASER'!I34</f>
        <v>135011.46999999997</v>
      </c>
      <c r="L35" s="791">
        <f>'Benefits Spending LASER'!D35</f>
        <v>30207170.439619094</v>
      </c>
      <c r="M35" s="792">
        <f>'Benefits Spending LASER'!E35</f>
        <v>26401785.755702589</v>
      </c>
      <c r="N35" s="792">
        <f>'Benefits Spending LASER'!I35</f>
        <v>2732986.9269165001</v>
      </c>
      <c r="O35" s="793">
        <f t="shared" si="0"/>
        <v>59341943.122238182</v>
      </c>
      <c r="P35" s="1462">
        <f t="shared" si="12"/>
        <v>31833674.989619095</v>
      </c>
      <c r="Q35" s="792">
        <f t="shared" si="13"/>
        <v>26930949.825702589</v>
      </c>
      <c r="R35" s="792">
        <f t="shared" si="14"/>
        <v>5179517.6169165</v>
      </c>
      <c r="S35" s="793">
        <f t="shared" si="15"/>
        <v>63944142.432238184</v>
      </c>
      <c r="U35" s="627">
        <f t="shared" si="2"/>
        <v>0.34929671773103682</v>
      </c>
      <c r="V35" s="628">
        <f t="shared" si="3"/>
        <v>0.11276604164466923</v>
      </c>
      <c r="W35" s="628">
        <f t="shared" si="4"/>
        <v>0.53793724062429404</v>
      </c>
      <c r="X35" s="629">
        <f t="shared" si="5"/>
        <v>0.46206275937570607</v>
      </c>
      <c r="Z35" s="1471">
        <f t="shared" si="6"/>
        <v>6.9860782709438837E-2</v>
      </c>
      <c r="AA35" s="1381">
        <f t="shared" si="7"/>
        <v>2.1113969921963075E-3</v>
      </c>
      <c r="AB35" s="1473">
        <f t="shared" si="8"/>
        <v>0.92802782029836484</v>
      </c>
      <c r="AD35" s="1471">
        <f t="shared" si="9"/>
        <v>0.4639556958260927</v>
      </c>
      <c r="AE35" s="1381">
        <f t="shared" si="10"/>
        <v>8.3915131127356296E-3</v>
      </c>
      <c r="AF35" s="1473">
        <f t="shared" si="11"/>
        <v>0.52765279106117169</v>
      </c>
    </row>
    <row r="36" spans="1:32" x14ac:dyDescent="0.25">
      <c r="A36" s="740" t="s">
        <v>78</v>
      </c>
      <c r="B36" s="592" t="s">
        <v>79</v>
      </c>
      <c r="C36" s="741" t="s">
        <v>268</v>
      </c>
      <c r="D36" s="791">
        <f>'Administration LASER'!D35+'Other Oper Exp. LASER'!D35</f>
        <v>447531.48999999993</v>
      </c>
      <c r="E36" s="792">
        <f>'Administration LASER'!E35+'Other Oper Exp. LASER'!E35</f>
        <v>189757.48</v>
      </c>
      <c r="F36" s="792">
        <f>'Administration LASER'!K35+'Other Oper Exp. LASER'!K35</f>
        <v>310437.77</v>
      </c>
      <c r="G36" s="793">
        <f>'Administration LASER'!I35+'Other Oper Exp. LASER'!I35</f>
        <v>947726.74</v>
      </c>
      <c r="H36" s="791">
        <f>'Client Services LASER'!D35</f>
        <v>28537.279999999999</v>
      </c>
      <c r="I36" s="792">
        <f>'Client Services LASER'!E35</f>
        <v>12709.869999999999</v>
      </c>
      <c r="J36" s="792">
        <f>'Client Services LASER'!K35</f>
        <v>7570.8600000000006</v>
      </c>
      <c r="K36" s="793">
        <f>'Client Services LASER'!I35</f>
        <v>48818.009999999995</v>
      </c>
      <c r="L36" s="791">
        <f>'Benefits Spending LASER'!D36</f>
        <v>12163991.31904285</v>
      </c>
      <c r="M36" s="792">
        <f>'Benefits Spending LASER'!E36</f>
        <v>9717915.2442603502</v>
      </c>
      <c r="N36" s="792">
        <f>'Benefits Spending LASER'!I36</f>
        <v>138776.77610250001</v>
      </c>
      <c r="O36" s="793">
        <f t="shared" si="0"/>
        <v>22020683.339405701</v>
      </c>
      <c r="P36" s="1462">
        <f t="shared" si="12"/>
        <v>12640060.08904285</v>
      </c>
      <c r="Q36" s="792">
        <f t="shared" si="13"/>
        <v>9920382.5942603499</v>
      </c>
      <c r="R36" s="792">
        <f t="shared" si="14"/>
        <v>456785.40610250004</v>
      </c>
      <c r="S36" s="793">
        <f t="shared" si="15"/>
        <v>23017228.089405701</v>
      </c>
      <c r="U36" s="627">
        <f t="shared" si="2"/>
        <v>0.47221574649249626</v>
      </c>
      <c r="V36" s="628">
        <f t="shared" si="3"/>
        <v>0.20022383245195763</v>
      </c>
      <c r="W36" s="628">
        <f t="shared" si="4"/>
        <v>0.32756042105554606</v>
      </c>
      <c r="X36" s="629">
        <f t="shared" si="5"/>
        <v>0.67243957894445394</v>
      </c>
      <c r="Z36" s="1471">
        <f t="shared" si="6"/>
        <v>4.1174668657700655E-2</v>
      </c>
      <c r="AA36" s="1381">
        <f t="shared" si="7"/>
        <v>2.1209334942668356E-3</v>
      </c>
      <c r="AB36" s="1473">
        <f t="shared" si="8"/>
        <v>0.95670439784803252</v>
      </c>
      <c r="AD36" s="1471">
        <f t="shared" si="9"/>
        <v>0.67961402849709163</v>
      </c>
      <c r="AE36" s="1381">
        <f t="shared" si="10"/>
        <v>1.6574216029793962E-2</v>
      </c>
      <c r="AF36" s="1473">
        <f t="shared" si="11"/>
        <v>0.3038117554731144</v>
      </c>
    </row>
    <row r="37" spans="1:32" x14ac:dyDescent="0.25">
      <c r="A37" s="740" t="s">
        <v>80</v>
      </c>
      <c r="B37" s="592" t="s">
        <v>81</v>
      </c>
      <c r="C37" s="741" t="s">
        <v>266</v>
      </c>
      <c r="D37" s="791">
        <f>'Administration LASER'!D36+'Other Oper Exp. LASER'!D36</f>
        <v>735273.70000000007</v>
      </c>
      <c r="E37" s="792">
        <f>'Administration LASER'!E36+'Other Oper Exp. LASER'!E36</f>
        <v>253808.67</v>
      </c>
      <c r="F37" s="792">
        <f>'Administration LASER'!K36+'Other Oper Exp. LASER'!K36</f>
        <v>1030251.76</v>
      </c>
      <c r="G37" s="793">
        <f>'Administration LASER'!I36+'Other Oper Exp. LASER'!I36</f>
        <v>2019334.13</v>
      </c>
      <c r="H37" s="791">
        <f>'Client Services LASER'!D36</f>
        <v>39082.389999999992</v>
      </c>
      <c r="I37" s="792">
        <f>'Client Services LASER'!E36</f>
        <v>15928.95</v>
      </c>
      <c r="J37" s="792">
        <f>'Client Services LASER'!K36</f>
        <v>9427.6</v>
      </c>
      <c r="K37" s="793">
        <f>'Client Services LASER'!I36</f>
        <v>64438.94</v>
      </c>
      <c r="L37" s="791">
        <f>'Benefits Spending LASER'!D37</f>
        <v>12009120.048786562</v>
      </c>
      <c r="M37" s="792">
        <f>'Benefits Spending LASER'!E37</f>
        <v>10405220.368844688</v>
      </c>
      <c r="N37" s="792">
        <f>'Benefits Spending LASER'!I37</f>
        <v>767685.24054187501</v>
      </c>
      <c r="O37" s="793">
        <f t="shared" ref="O37:O68" si="16">SUM(L37:N37)</f>
        <v>23182025.658173125</v>
      </c>
      <c r="P37" s="1462">
        <f t="shared" si="12"/>
        <v>12783476.138786562</v>
      </c>
      <c r="Q37" s="792">
        <f t="shared" si="13"/>
        <v>10674957.988844687</v>
      </c>
      <c r="R37" s="792">
        <f t="shared" si="14"/>
        <v>1807364.600541875</v>
      </c>
      <c r="S37" s="793">
        <f t="shared" si="15"/>
        <v>25265798.728173126</v>
      </c>
      <c r="U37" s="627">
        <f t="shared" ref="U37:U68" si="17">D37/G37</f>
        <v>0.36411690818101516</v>
      </c>
      <c r="V37" s="628">
        <f t="shared" ref="V37:V68" si="18">E37/G37</f>
        <v>0.12568928847847485</v>
      </c>
      <c r="W37" s="628">
        <f t="shared" ref="W37:W68" si="19">F37/G37</f>
        <v>0.51019380334051012</v>
      </c>
      <c r="X37" s="629">
        <f t="shared" si="5"/>
        <v>0.48980619665948999</v>
      </c>
      <c r="Z37" s="1471">
        <f t="shared" si="6"/>
        <v>7.9923621324043154E-2</v>
      </c>
      <c r="AA37" s="1381">
        <f t="shared" si="7"/>
        <v>2.5504414363970254E-3</v>
      </c>
      <c r="AB37" s="1473">
        <f t="shared" si="8"/>
        <v>0.91752593723955977</v>
      </c>
      <c r="AD37" s="1471">
        <f t="shared" si="9"/>
        <v>0.57002984328182316</v>
      </c>
      <c r="AE37" s="1381">
        <f t="shared" si="10"/>
        <v>5.2162137053992676E-3</v>
      </c>
      <c r="AF37" s="1473">
        <f t="shared" si="11"/>
        <v>0.42475394301277752</v>
      </c>
    </row>
    <row r="38" spans="1:32" x14ac:dyDescent="0.25">
      <c r="A38" s="740" t="s">
        <v>84</v>
      </c>
      <c r="B38" s="592" t="s">
        <v>308</v>
      </c>
      <c r="C38" s="741" t="s">
        <v>265</v>
      </c>
      <c r="D38" s="791">
        <f>'Administration LASER'!D37+'Other Oper Exp. LASER'!D37</f>
        <v>1651082.19</v>
      </c>
      <c r="E38" s="792">
        <f>'Administration LASER'!E37+'Other Oper Exp. LASER'!E37</f>
        <v>613095.92000000004</v>
      </c>
      <c r="F38" s="792">
        <f>'Administration LASER'!K37+'Other Oper Exp. LASER'!K37</f>
        <v>1436378.9600000002</v>
      </c>
      <c r="G38" s="793">
        <f>'Administration LASER'!I37+'Other Oper Exp. LASER'!I37</f>
        <v>3700557.0699999994</v>
      </c>
      <c r="H38" s="791">
        <f>'Client Services LASER'!D37</f>
        <v>138909.6</v>
      </c>
      <c r="I38" s="792">
        <f>'Client Services LASER'!E37</f>
        <v>133418.11000000002</v>
      </c>
      <c r="J38" s="792">
        <f>'Client Services LASER'!K37</f>
        <v>49803.039999999994</v>
      </c>
      <c r="K38" s="793">
        <f>'Client Services LASER'!I37</f>
        <v>322130.75</v>
      </c>
      <c r="L38" s="791">
        <f>'Benefits Spending LASER'!D38</f>
        <v>42984367.566907957</v>
      </c>
      <c r="M38" s="792">
        <f>'Benefits Spending LASER'!E38</f>
        <v>34322407.91791746</v>
      </c>
      <c r="N38" s="792">
        <f>'Benefits Spending LASER'!I38</f>
        <v>1505015.8389825001</v>
      </c>
      <c r="O38" s="793">
        <f t="shared" si="16"/>
        <v>78811791.323807925</v>
      </c>
      <c r="P38" s="1462">
        <f t="shared" si="12"/>
        <v>44774359.356907956</v>
      </c>
      <c r="Q38" s="792">
        <f t="shared" si="13"/>
        <v>35068921.947917461</v>
      </c>
      <c r="R38" s="792">
        <f t="shared" si="14"/>
        <v>2991197.8389825001</v>
      </c>
      <c r="S38" s="793">
        <f t="shared" si="15"/>
        <v>82834479.143807918</v>
      </c>
      <c r="U38" s="627">
        <f t="shared" si="17"/>
        <v>0.44617125442683692</v>
      </c>
      <c r="V38" s="628">
        <f t="shared" si="18"/>
        <v>0.16567665581225591</v>
      </c>
      <c r="W38" s="628">
        <f t="shared" si="19"/>
        <v>0.38815208976090737</v>
      </c>
      <c r="X38" s="629">
        <f t="shared" si="5"/>
        <v>0.6118479102390928</v>
      </c>
      <c r="Z38" s="1471">
        <f t="shared" si="6"/>
        <v>4.4674115274818203E-2</v>
      </c>
      <c r="AA38" s="1381">
        <f t="shared" si="7"/>
        <v>3.8888486211249395E-3</v>
      </c>
      <c r="AB38" s="1473">
        <f t="shared" si="8"/>
        <v>0.95143703610405694</v>
      </c>
      <c r="AD38" s="1471">
        <f t="shared" si="9"/>
        <v>0.48020192488792568</v>
      </c>
      <c r="AE38" s="1381">
        <f t="shared" si="10"/>
        <v>1.6649864930679822E-2</v>
      </c>
      <c r="AF38" s="1473">
        <f t="shared" si="11"/>
        <v>0.50314821018139455</v>
      </c>
    </row>
    <row r="39" spans="1:32" x14ac:dyDescent="0.25">
      <c r="A39" s="740" t="s">
        <v>86</v>
      </c>
      <c r="B39" s="592" t="s">
        <v>87</v>
      </c>
      <c r="C39" s="741" t="s">
        <v>267</v>
      </c>
      <c r="D39" s="791">
        <f>'Administration LASER'!D38+'Other Oper Exp. LASER'!D38</f>
        <v>1914825.95</v>
      </c>
      <c r="E39" s="792">
        <f>'Administration LASER'!E38+'Other Oper Exp. LASER'!E38</f>
        <v>536022.05999999994</v>
      </c>
      <c r="F39" s="792">
        <f>'Administration LASER'!K38+'Other Oper Exp. LASER'!K38</f>
        <v>2306372.48</v>
      </c>
      <c r="G39" s="793">
        <f>'Administration LASER'!I38+'Other Oper Exp. LASER'!I38</f>
        <v>4757220.49</v>
      </c>
      <c r="H39" s="791">
        <f>'Client Services LASER'!D38</f>
        <v>122914.65999999999</v>
      </c>
      <c r="I39" s="792">
        <f>'Client Services LASER'!E38</f>
        <v>84283.83</v>
      </c>
      <c r="J39" s="792">
        <f>'Client Services LASER'!K38</f>
        <v>61823.7</v>
      </c>
      <c r="K39" s="793">
        <f>'Client Services LASER'!I38</f>
        <v>269022.19</v>
      </c>
      <c r="L39" s="791">
        <f>'Benefits Spending LASER'!D39</f>
        <v>38409167.647011004</v>
      </c>
      <c r="M39" s="792">
        <f>'Benefits Spending LASER'!E39</f>
        <v>29415323.148553014</v>
      </c>
      <c r="N39" s="792">
        <f>'Benefits Spending LASER'!I39</f>
        <v>982599.13170999999</v>
      </c>
      <c r="O39" s="793">
        <f t="shared" si="16"/>
        <v>68807089.927274019</v>
      </c>
      <c r="P39" s="1462">
        <f t="shared" si="12"/>
        <v>40446908.257011004</v>
      </c>
      <c r="Q39" s="792">
        <f t="shared" si="13"/>
        <v>30035629.038553014</v>
      </c>
      <c r="R39" s="792">
        <f t="shared" si="14"/>
        <v>3350795.31171</v>
      </c>
      <c r="S39" s="793">
        <f t="shared" si="15"/>
        <v>73833332.607274026</v>
      </c>
      <c r="U39" s="627">
        <f t="shared" si="17"/>
        <v>0.40250939682638082</v>
      </c>
      <c r="V39" s="628">
        <f t="shared" si="18"/>
        <v>0.11267547113419582</v>
      </c>
      <c r="W39" s="628">
        <f t="shared" si="19"/>
        <v>0.48481513203942328</v>
      </c>
      <c r="X39" s="629">
        <f t="shared" si="5"/>
        <v>0.51518486796057661</v>
      </c>
      <c r="Z39" s="1471">
        <f t="shared" si="6"/>
        <v>6.4431880859341317E-2</v>
      </c>
      <c r="AA39" s="1381">
        <f t="shared" si="7"/>
        <v>3.6436414353792296E-3</v>
      </c>
      <c r="AB39" s="1473">
        <f t="shared" si="8"/>
        <v>0.93192447770527931</v>
      </c>
      <c r="AD39" s="1471">
        <f t="shared" si="9"/>
        <v>0.68830598871257131</v>
      </c>
      <c r="AE39" s="1381">
        <f t="shared" si="10"/>
        <v>1.8450455563174855E-2</v>
      </c>
      <c r="AF39" s="1473">
        <f t="shared" si="11"/>
        <v>0.29324355572425387</v>
      </c>
    </row>
    <row r="40" spans="1:32" x14ac:dyDescent="0.25">
      <c r="A40" s="740" t="s">
        <v>92</v>
      </c>
      <c r="B40" s="592" t="s">
        <v>93</v>
      </c>
      <c r="C40" s="741" t="s">
        <v>268</v>
      </c>
      <c r="D40" s="791">
        <f>'Administration LASER'!D39+'Other Oper Exp. LASER'!D39</f>
        <v>704185.01</v>
      </c>
      <c r="E40" s="792">
        <f>'Administration LASER'!E39+'Other Oper Exp. LASER'!E39</f>
        <v>347581.93</v>
      </c>
      <c r="F40" s="792">
        <f>'Administration LASER'!K39+'Other Oper Exp. LASER'!K39</f>
        <v>387270.37</v>
      </c>
      <c r="G40" s="793">
        <f>'Administration LASER'!I39+'Other Oper Exp. LASER'!I39</f>
        <v>1439037.3099999998</v>
      </c>
      <c r="H40" s="791">
        <f>'Client Services LASER'!D39</f>
        <v>40080.879999999997</v>
      </c>
      <c r="I40" s="792">
        <f>'Client Services LASER'!E39</f>
        <v>9137.75</v>
      </c>
      <c r="J40" s="792">
        <f>'Client Services LASER'!K39</f>
        <v>9909.1799999999985</v>
      </c>
      <c r="K40" s="793">
        <f>'Client Services LASER'!I39</f>
        <v>59127.81</v>
      </c>
      <c r="L40" s="791">
        <f>'Benefits Spending LASER'!D40</f>
        <v>15485240.390728487</v>
      </c>
      <c r="M40" s="792">
        <f>'Benefits Spending LASER'!E40</f>
        <v>12971144.152817238</v>
      </c>
      <c r="N40" s="792">
        <f>'Benefits Spending LASER'!I40</f>
        <v>378649.16811124992</v>
      </c>
      <c r="O40" s="793">
        <f t="shared" si="16"/>
        <v>28835033.711656973</v>
      </c>
      <c r="P40" s="1462">
        <f t="shared" si="12"/>
        <v>16229506.280728487</v>
      </c>
      <c r="Q40" s="792">
        <f t="shared" si="13"/>
        <v>13327863.832817238</v>
      </c>
      <c r="R40" s="792">
        <f t="shared" si="14"/>
        <v>775828.71811124985</v>
      </c>
      <c r="S40" s="793">
        <f t="shared" si="15"/>
        <v>30333198.831656974</v>
      </c>
      <c r="U40" s="627">
        <f t="shared" si="17"/>
        <v>0.48934451185285815</v>
      </c>
      <c r="V40" s="628">
        <f t="shared" si="18"/>
        <v>0.24153781669496813</v>
      </c>
      <c r="W40" s="628">
        <f t="shared" si="19"/>
        <v>0.26911767145217386</v>
      </c>
      <c r="X40" s="629">
        <f t="shared" si="5"/>
        <v>0.7308823285478262</v>
      </c>
      <c r="Z40" s="1471">
        <f t="shared" si="6"/>
        <v>4.7441000798707764E-2</v>
      </c>
      <c r="AA40" s="1381">
        <f t="shared" si="7"/>
        <v>1.9492771048693943E-3</v>
      </c>
      <c r="AB40" s="1473">
        <f t="shared" si="8"/>
        <v>0.9506097220964228</v>
      </c>
      <c r="AD40" s="1471">
        <f t="shared" si="9"/>
        <v>0.49916993398079834</v>
      </c>
      <c r="AE40" s="1381">
        <f t="shared" si="10"/>
        <v>1.2772381027765813E-2</v>
      </c>
      <c r="AF40" s="1473">
        <f t="shared" si="11"/>
        <v>0.48805768499143592</v>
      </c>
    </row>
    <row r="41" spans="1:32" x14ac:dyDescent="0.25">
      <c r="A41" s="740" t="s">
        <v>94</v>
      </c>
      <c r="B41" s="592" t="s">
        <v>95</v>
      </c>
      <c r="C41" s="741" t="s">
        <v>264</v>
      </c>
      <c r="D41" s="791">
        <f>'Administration LASER'!D40+'Other Oper Exp. LASER'!D40</f>
        <v>1140421.31</v>
      </c>
      <c r="E41" s="792">
        <f>'Administration LASER'!E40+'Other Oper Exp. LASER'!E40</f>
        <v>427101.32</v>
      </c>
      <c r="F41" s="792">
        <f>'Administration LASER'!K40+'Other Oper Exp. LASER'!K40</f>
        <v>1018505.04</v>
      </c>
      <c r="G41" s="793">
        <f>'Administration LASER'!I40+'Other Oper Exp. LASER'!I40</f>
        <v>2586027.67</v>
      </c>
      <c r="H41" s="791">
        <f>'Client Services LASER'!D40</f>
        <v>49189.600000000006</v>
      </c>
      <c r="I41" s="792">
        <f>'Client Services LASER'!E40</f>
        <v>24813.84</v>
      </c>
      <c r="J41" s="792">
        <f>'Client Services LASER'!K40</f>
        <v>14052.960000000001</v>
      </c>
      <c r="K41" s="793">
        <f>'Client Services LASER'!I40</f>
        <v>88056.400000000009</v>
      </c>
      <c r="L41" s="791">
        <f>'Benefits Spending LASER'!D41</f>
        <v>23704049.075477108</v>
      </c>
      <c r="M41" s="792">
        <f>'Benefits Spending LASER'!E41</f>
        <v>18437737.394686114</v>
      </c>
      <c r="N41" s="792">
        <f>'Benefits Spending LASER'!I41</f>
        <v>587051.75679499994</v>
      </c>
      <c r="O41" s="793">
        <f t="shared" si="16"/>
        <v>42728838.226958223</v>
      </c>
      <c r="P41" s="1462">
        <f t="shared" si="12"/>
        <v>24893659.985477109</v>
      </c>
      <c r="Q41" s="792">
        <f t="shared" si="13"/>
        <v>18889652.554686114</v>
      </c>
      <c r="R41" s="792">
        <f t="shared" si="14"/>
        <v>1619609.7567949998</v>
      </c>
      <c r="S41" s="793">
        <f t="shared" si="15"/>
        <v>45402922.296958223</v>
      </c>
      <c r="U41" s="627">
        <f t="shared" si="17"/>
        <v>0.4409934677922453</v>
      </c>
      <c r="V41" s="628">
        <f t="shared" si="18"/>
        <v>0.16515728928762777</v>
      </c>
      <c r="W41" s="628">
        <f t="shared" si="19"/>
        <v>0.39384924292012702</v>
      </c>
      <c r="X41" s="629">
        <f t="shared" si="5"/>
        <v>0.60615075707987309</v>
      </c>
      <c r="Z41" s="1471">
        <f t="shared" si="6"/>
        <v>5.6957295679913783E-2</v>
      </c>
      <c r="AA41" s="1381">
        <f t="shared" si="7"/>
        <v>1.9394434442802234E-3</v>
      </c>
      <c r="AB41" s="1473">
        <f t="shared" si="8"/>
        <v>0.94110326087580598</v>
      </c>
      <c r="AD41" s="1471">
        <f t="shared" si="9"/>
        <v>0.62885830103635032</v>
      </c>
      <c r="AE41" s="1381">
        <f t="shared" si="10"/>
        <v>8.6767568181418016E-3</v>
      </c>
      <c r="AF41" s="1473">
        <f t="shared" si="11"/>
        <v>0.36246494214550801</v>
      </c>
    </row>
    <row r="42" spans="1:32" x14ac:dyDescent="0.25">
      <c r="A42" s="740" t="s">
        <v>96</v>
      </c>
      <c r="B42" s="592" t="s">
        <v>97</v>
      </c>
      <c r="C42" s="741" t="s">
        <v>266</v>
      </c>
      <c r="D42" s="791">
        <f>'Administration LASER'!D41+'Other Oper Exp. LASER'!D41</f>
        <v>695772.2699999999</v>
      </c>
      <c r="E42" s="792">
        <f>'Administration LASER'!E41+'Other Oper Exp. LASER'!E41</f>
        <v>246640.63</v>
      </c>
      <c r="F42" s="792">
        <f>'Administration LASER'!K41+'Other Oper Exp. LASER'!K41</f>
        <v>709802.81</v>
      </c>
      <c r="G42" s="793">
        <f>'Administration LASER'!I41+'Other Oper Exp. LASER'!I41</f>
        <v>1652215.71</v>
      </c>
      <c r="H42" s="791">
        <f>'Client Services LASER'!D41</f>
        <v>35568.020000000004</v>
      </c>
      <c r="I42" s="792">
        <f>'Client Services LASER'!E41</f>
        <v>8819.51</v>
      </c>
      <c r="J42" s="792">
        <f>'Client Services LASER'!K41</f>
        <v>97009.930000000008</v>
      </c>
      <c r="K42" s="793">
        <f>'Client Services LASER'!I41</f>
        <v>141397.46000000002</v>
      </c>
      <c r="L42" s="791">
        <f>'Benefits Spending LASER'!D42</f>
        <v>8688514.9882960171</v>
      </c>
      <c r="M42" s="792">
        <f>'Benefits Spending LASER'!E42</f>
        <v>7050304.3235372677</v>
      </c>
      <c r="N42" s="792">
        <f>'Benefits Spending LASER'!I42</f>
        <v>732249.26415874995</v>
      </c>
      <c r="O42" s="793">
        <f t="shared" si="16"/>
        <v>16471068.575992035</v>
      </c>
      <c r="P42" s="1462">
        <f t="shared" si="12"/>
        <v>9419855.2782960162</v>
      </c>
      <c r="Q42" s="792">
        <f t="shared" si="13"/>
        <v>7305764.4635372674</v>
      </c>
      <c r="R42" s="792">
        <f t="shared" si="14"/>
        <v>1539062.0041587502</v>
      </c>
      <c r="S42" s="793">
        <f t="shared" si="15"/>
        <v>18264681.745992035</v>
      </c>
      <c r="U42" s="627">
        <f t="shared" si="17"/>
        <v>0.42111466789042934</v>
      </c>
      <c r="V42" s="628">
        <f t="shared" si="18"/>
        <v>0.14927871010256888</v>
      </c>
      <c r="W42" s="628">
        <f t="shared" si="19"/>
        <v>0.42960662200700178</v>
      </c>
      <c r="X42" s="629">
        <f t="shared" si="5"/>
        <v>0.57039337799299827</v>
      </c>
      <c r="Z42" s="1471">
        <f t="shared" si="6"/>
        <v>9.0459594805836624E-2</v>
      </c>
      <c r="AA42" s="1381">
        <f t="shared" si="7"/>
        <v>7.741578088598669E-3</v>
      </c>
      <c r="AB42" s="1473">
        <f t="shared" si="8"/>
        <v>0.90179882710556469</v>
      </c>
      <c r="AD42" s="1471">
        <f t="shared" si="9"/>
        <v>0.46119182208515219</v>
      </c>
      <c r="AE42" s="1381">
        <f t="shared" si="10"/>
        <v>6.3031852997388199E-2</v>
      </c>
      <c r="AF42" s="1473">
        <f t="shared" si="11"/>
        <v>0.47577632491745953</v>
      </c>
    </row>
    <row r="43" spans="1:32" x14ac:dyDescent="0.25">
      <c r="A43" s="740" t="s">
        <v>98</v>
      </c>
      <c r="B43" s="592" t="s">
        <v>99</v>
      </c>
      <c r="C43" s="741" t="s">
        <v>268</v>
      </c>
      <c r="D43" s="791">
        <f>'Administration LASER'!D42+'Other Oper Exp. LASER'!D42</f>
        <v>679257.33000000007</v>
      </c>
      <c r="E43" s="792">
        <f>'Administration LASER'!E42+'Other Oper Exp. LASER'!E42</f>
        <v>326536.2</v>
      </c>
      <c r="F43" s="792">
        <f>'Administration LASER'!K42+'Other Oper Exp. LASER'!K42</f>
        <v>359780.4</v>
      </c>
      <c r="G43" s="793">
        <f>'Administration LASER'!I42+'Other Oper Exp. LASER'!I42</f>
        <v>1365573.93</v>
      </c>
      <c r="H43" s="791">
        <f>'Client Services LASER'!D42</f>
        <v>28453.09</v>
      </c>
      <c r="I43" s="792">
        <f>'Client Services LASER'!E42</f>
        <v>9590.7900000000009</v>
      </c>
      <c r="J43" s="792">
        <f>'Client Services LASER'!K42</f>
        <v>7318.99</v>
      </c>
      <c r="K43" s="793">
        <f>'Client Services LASER'!I42</f>
        <v>45362.87000000001</v>
      </c>
      <c r="L43" s="791">
        <f>'Benefits Spending LASER'!D43</f>
        <v>15709778.814759357</v>
      </c>
      <c r="M43" s="792">
        <f>'Benefits Spending LASER'!E43</f>
        <v>12084840.497881856</v>
      </c>
      <c r="N43" s="792">
        <f>'Benefits Spending LASER'!I43</f>
        <v>216598.79975749998</v>
      </c>
      <c r="O43" s="793">
        <f t="shared" si="16"/>
        <v>28011218.11239871</v>
      </c>
      <c r="P43" s="1462">
        <f t="shared" si="12"/>
        <v>16417489.234759357</v>
      </c>
      <c r="Q43" s="792">
        <f t="shared" si="13"/>
        <v>12420967.487881856</v>
      </c>
      <c r="R43" s="792">
        <f t="shared" si="14"/>
        <v>583698.18975749996</v>
      </c>
      <c r="S43" s="793">
        <f t="shared" si="15"/>
        <v>29422154.912398711</v>
      </c>
      <c r="U43" s="627">
        <f t="shared" si="17"/>
        <v>0.49741527359122922</v>
      </c>
      <c r="V43" s="628">
        <f t="shared" si="18"/>
        <v>0.23912011852774609</v>
      </c>
      <c r="W43" s="628">
        <f t="shared" si="19"/>
        <v>0.26346460788102483</v>
      </c>
      <c r="X43" s="629">
        <f t="shared" si="5"/>
        <v>0.73653539211897523</v>
      </c>
      <c r="Z43" s="1471">
        <f t="shared" si="6"/>
        <v>4.6413117396256288E-2</v>
      </c>
      <c r="AA43" s="1381">
        <f t="shared" si="7"/>
        <v>1.5417929154089175E-3</v>
      </c>
      <c r="AB43" s="1473">
        <f t="shared" si="8"/>
        <v>0.95204508968833479</v>
      </c>
      <c r="AD43" s="1471">
        <f t="shared" si="9"/>
        <v>0.61638087339190206</v>
      </c>
      <c r="AE43" s="1381">
        <f t="shared" si="10"/>
        <v>1.2538997256511464E-2</v>
      </c>
      <c r="AF43" s="1473">
        <f t="shared" si="11"/>
        <v>0.37108012935158652</v>
      </c>
    </row>
    <row r="44" spans="1:32" x14ac:dyDescent="0.25">
      <c r="A44" s="740" t="s">
        <v>100</v>
      </c>
      <c r="B44" s="592" t="s">
        <v>101</v>
      </c>
      <c r="C44" s="741" t="s">
        <v>267</v>
      </c>
      <c r="D44" s="791">
        <f>'Administration LASER'!D43+'Other Oper Exp. LASER'!D43</f>
        <v>552316.15</v>
      </c>
      <c r="E44" s="792">
        <f>'Administration LASER'!E43+'Other Oper Exp. LASER'!E43</f>
        <v>195970.08</v>
      </c>
      <c r="F44" s="792">
        <f>'Administration LASER'!K43+'Other Oper Exp. LASER'!K43</f>
        <v>526792.42000000004</v>
      </c>
      <c r="G44" s="793">
        <f>'Administration LASER'!I43+'Other Oper Exp. LASER'!I43</f>
        <v>1275078.6499999999</v>
      </c>
      <c r="H44" s="791">
        <f>'Client Services LASER'!D43</f>
        <v>19769.809999999998</v>
      </c>
      <c r="I44" s="792">
        <f>'Client Services LASER'!E43</f>
        <v>22456.960000000003</v>
      </c>
      <c r="J44" s="792">
        <f>'Client Services LASER'!K43</f>
        <v>7544.37</v>
      </c>
      <c r="K44" s="793">
        <f>'Client Services LASER'!I43</f>
        <v>49771.140000000007</v>
      </c>
      <c r="L44" s="791">
        <f>'Benefits Spending LASER'!D44</f>
        <v>12715179.579294471</v>
      </c>
      <c r="M44" s="792">
        <f>'Benefits Spending LASER'!E44</f>
        <v>10327276.137978969</v>
      </c>
      <c r="N44" s="792">
        <f>'Benefits Spending LASER'!I44</f>
        <v>604879.5493675</v>
      </c>
      <c r="O44" s="793">
        <f t="shared" si="16"/>
        <v>23647335.266640939</v>
      </c>
      <c r="P44" s="1462">
        <f t="shared" si="12"/>
        <v>13287265.53929447</v>
      </c>
      <c r="Q44" s="792">
        <f t="shared" si="13"/>
        <v>10545703.177978968</v>
      </c>
      <c r="R44" s="792">
        <f t="shared" si="14"/>
        <v>1139216.3393675</v>
      </c>
      <c r="S44" s="793">
        <f t="shared" si="15"/>
        <v>24972185.056640938</v>
      </c>
      <c r="U44" s="627">
        <f t="shared" si="17"/>
        <v>0.43316241707913472</v>
      </c>
      <c r="V44" s="628">
        <f t="shared" si="18"/>
        <v>0.15369254280902594</v>
      </c>
      <c r="W44" s="628">
        <f t="shared" si="19"/>
        <v>0.41314504011183945</v>
      </c>
      <c r="X44" s="629">
        <f t="shared" si="5"/>
        <v>0.58685495988816061</v>
      </c>
      <c r="Z44" s="1471">
        <f t="shared" si="6"/>
        <v>5.1059955190461553E-2</v>
      </c>
      <c r="AA44" s="1381">
        <f t="shared" si="7"/>
        <v>1.9930630774644287E-3</v>
      </c>
      <c r="AB44" s="1473">
        <f t="shared" si="8"/>
        <v>0.94694698173207403</v>
      </c>
      <c r="AD44" s="1471">
        <f t="shared" si="9"/>
        <v>0.46241648912135375</v>
      </c>
      <c r="AE44" s="1381">
        <f t="shared" si="10"/>
        <v>6.6224208162153648E-3</v>
      </c>
      <c r="AF44" s="1473">
        <f t="shared" si="11"/>
        <v>0.53096109006243086</v>
      </c>
    </row>
    <row r="45" spans="1:32" x14ac:dyDescent="0.25">
      <c r="A45" s="740" t="s">
        <v>102</v>
      </c>
      <c r="B45" s="592" t="s">
        <v>282</v>
      </c>
      <c r="C45" s="741" t="s">
        <v>264</v>
      </c>
      <c r="D45" s="791">
        <f>'Administration LASER'!D44+'Other Oper Exp. LASER'!D44</f>
        <v>1041773.3999999999</v>
      </c>
      <c r="E45" s="792">
        <f>'Administration LASER'!E44+'Other Oper Exp. LASER'!E44</f>
        <v>526107.44000000006</v>
      </c>
      <c r="F45" s="792">
        <f>'Administration LASER'!K44+'Other Oper Exp. LASER'!K44</f>
        <v>736313.08</v>
      </c>
      <c r="G45" s="793">
        <f>'Administration LASER'!I44+'Other Oper Exp. LASER'!I44</f>
        <v>2304193.92</v>
      </c>
      <c r="H45" s="791">
        <f>'Client Services LASER'!D44</f>
        <v>78887.62000000001</v>
      </c>
      <c r="I45" s="792">
        <f>'Client Services LASER'!E44</f>
        <v>65882.67</v>
      </c>
      <c r="J45" s="792">
        <f>'Client Services LASER'!K44</f>
        <v>28181.5</v>
      </c>
      <c r="K45" s="793">
        <f>'Client Services LASER'!I44</f>
        <v>172951.79</v>
      </c>
      <c r="L45" s="791">
        <f>'Benefits Spending LASER'!D45</f>
        <v>25006065.118098885</v>
      </c>
      <c r="M45" s="792">
        <f>'Benefits Spending LASER'!E45</f>
        <v>18909374.851996388</v>
      </c>
      <c r="N45" s="792">
        <f>'Benefits Spending LASER'!I45</f>
        <v>286411.39694249997</v>
      </c>
      <c r="O45" s="793">
        <f t="shared" si="16"/>
        <v>44201851.367037773</v>
      </c>
      <c r="P45" s="1462">
        <f t="shared" si="12"/>
        <v>26126726.138098884</v>
      </c>
      <c r="Q45" s="792">
        <f t="shared" si="13"/>
        <v>19501364.961996388</v>
      </c>
      <c r="R45" s="792">
        <f t="shared" si="14"/>
        <v>1050905.9769424999</v>
      </c>
      <c r="S45" s="793">
        <f t="shared" si="15"/>
        <v>46678997.077037774</v>
      </c>
      <c r="U45" s="627">
        <f t="shared" si="17"/>
        <v>0.4521205402711938</v>
      </c>
      <c r="V45" s="628">
        <f t="shared" si="18"/>
        <v>0.22832602561506632</v>
      </c>
      <c r="W45" s="628">
        <f t="shared" si="19"/>
        <v>0.31955343411373988</v>
      </c>
      <c r="X45" s="629">
        <f t="shared" si="5"/>
        <v>0.68044656588626007</v>
      </c>
      <c r="Z45" s="1471">
        <f t="shared" si="6"/>
        <v>4.9362541277337635E-2</v>
      </c>
      <c r="AA45" s="1381">
        <f t="shared" si="7"/>
        <v>3.705130804643574E-3</v>
      </c>
      <c r="AB45" s="1473">
        <f t="shared" si="8"/>
        <v>0.94693232791801873</v>
      </c>
      <c r="AD45" s="1471">
        <f t="shared" si="9"/>
        <v>0.70064601035215845</v>
      </c>
      <c r="AE45" s="1381">
        <f t="shared" si="10"/>
        <v>2.6816385688461973E-2</v>
      </c>
      <c r="AF45" s="1473">
        <f t="shared" si="11"/>
        <v>0.27253760395937965</v>
      </c>
    </row>
    <row r="46" spans="1:32" x14ac:dyDescent="0.25">
      <c r="A46" s="740" t="s">
        <v>104</v>
      </c>
      <c r="B46" s="592" t="s">
        <v>602</v>
      </c>
      <c r="C46" s="741" t="s">
        <v>265</v>
      </c>
      <c r="D46" s="791">
        <f>'Administration LASER'!D45+'Other Oper Exp. LASER'!D45</f>
        <v>1761458.71</v>
      </c>
      <c r="E46" s="792">
        <f>'Administration LASER'!E45+'Other Oper Exp. LASER'!E45</f>
        <v>808998.86</v>
      </c>
      <c r="F46" s="792">
        <f>'Administration LASER'!K45+'Other Oper Exp. LASER'!K45</f>
        <v>1084896.0699999998</v>
      </c>
      <c r="G46" s="793">
        <f>'Administration LASER'!I45+'Other Oper Exp. LASER'!I45</f>
        <v>3655353.6399999997</v>
      </c>
      <c r="H46" s="791">
        <f>'Client Services LASER'!D45</f>
        <v>52847.850000000006</v>
      </c>
      <c r="I46" s="792">
        <f>'Client Services LASER'!E45</f>
        <v>35373.61</v>
      </c>
      <c r="J46" s="792">
        <f>'Client Services LASER'!K45</f>
        <v>17533.759999999998</v>
      </c>
      <c r="K46" s="793">
        <f>'Client Services LASER'!I45</f>
        <v>105755.22</v>
      </c>
      <c r="L46" s="791">
        <f>'Benefits Spending LASER'!D46</f>
        <v>43126850.05449076</v>
      </c>
      <c r="M46" s="792">
        <f>'Benefits Spending LASER'!E46</f>
        <v>34481748.405045263</v>
      </c>
      <c r="N46" s="792">
        <f>'Benefits Spending LASER'!I46</f>
        <v>756509.53513749992</v>
      </c>
      <c r="O46" s="793">
        <f t="shared" si="16"/>
        <v>78365107.99467352</v>
      </c>
      <c r="P46" s="1462">
        <f t="shared" si="12"/>
        <v>44941156.614490762</v>
      </c>
      <c r="Q46" s="792">
        <f t="shared" si="13"/>
        <v>35326120.875045262</v>
      </c>
      <c r="R46" s="792">
        <f t="shared" si="14"/>
        <v>1858939.3651374998</v>
      </c>
      <c r="S46" s="793">
        <f t="shared" si="15"/>
        <v>82126216.85467352</v>
      </c>
      <c r="U46" s="627">
        <f t="shared" si="17"/>
        <v>0.48188462279671529</v>
      </c>
      <c r="V46" s="628">
        <f t="shared" si="18"/>
        <v>0.22131890363417753</v>
      </c>
      <c r="W46" s="628">
        <f t="shared" si="19"/>
        <v>0.29679647356910721</v>
      </c>
      <c r="X46" s="629">
        <f t="shared" si="5"/>
        <v>0.70320352643089279</v>
      </c>
      <c r="Z46" s="1471">
        <f t="shared" si="6"/>
        <v>4.4508973869675894E-2</v>
      </c>
      <c r="AA46" s="1381">
        <f t="shared" si="7"/>
        <v>1.2877157143027689E-3</v>
      </c>
      <c r="AB46" s="1473">
        <f t="shared" si="8"/>
        <v>0.95420331041602136</v>
      </c>
      <c r="AD46" s="1471">
        <f t="shared" si="9"/>
        <v>0.58361025127882726</v>
      </c>
      <c r="AE46" s="1381">
        <f t="shared" si="10"/>
        <v>9.432131208165084E-3</v>
      </c>
      <c r="AF46" s="1473">
        <f t="shared" si="11"/>
        <v>0.40695761751300769</v>
      </c>
    </row>
    <row r="47" spans="1:32" x14ac:dyDescent="0.25">
      <c r="A47" s="740" t="s">
        <v>108</v>
      </c>
      <c r="B47" s="592" t="s">
        <v>109</v>
      </c>
      <c r="C47" s="741" t="s">
        <v>266</v>
      </c>
      <c r="D47" s="791">
        <f>'Administration LASER'!D46+'Other Oper Exp. LASER'!D46</f>
        <v>1748801.8199999998</v>
      </c>
      <c r="E47" s="792">
        <f>'Administration LASER'!E46+'Other Oper Exp. LASER'!E46</f>
        <v>561287.48</v>
      </c>
      <c r="F47" s="792">
        <f>'Administration LASER'!K46+'Other Oper Exp. LASER'!K46</f>
        <v>1849346.4700000002</v>
      </c>
      <c r="G47" s="793">
        <f>'Administration LASER'!I46+'Other Oper Exp. LASER'!I46</f>
        <v>4159435.77</v>
      </c>
      <c r="H47" s="791">
        <f>'Client Services LASER'!D46</f>
        <v>50509.96</v>
      </c>
      <c r="I47" s="792">
        <f>'Client Services LASER'!E46</f>
        <v>68185.87000000001</v>
      </c>
      <c r="J47" s="792">
        <f>'Client Services LASER'!K46</f>
        <v>20403.319999999996</v>
      </c>
      <c r="K47" s="793">
        <f>'Client Services LASER'!I46</f>
        <v>139099.15000000002</v>
      </c>
      <c r="L47" s="791">
        <f>'Benefits Spending LASER'!D47</f>
        <v>38834124.034531608</v>
      </c>
      <c r="M47" s="792">
        <f>'Benefits Spending LASER'!E47</f>
        <v>31675848.850239109</v>
      </c>
      <c r="N47" s="792">
        <f>'Benefits Spending LASER'!I47</f>
        <v>1814235.6312925001</v>
      </c>
      <c r="O47" s="793">
        <f t="shared" si="16"/>
        <v>72324208.516063228</v>
      </c>
      <c r="P47" s="1462">
        <f t="shared" si="12"/>
        <v>40633435.814531609</v>
      </c>
      <c r="Q47" s="792">
        <f t="shared" si="13"/>
        <v>32305322.200239111</v>
      </c>
      <c r="R47" s="792">
        <f t="shared" si="14"/>
        <v>3683985.4212925006</v>
      </c>
      <c r="S47" s="793">
        <f t="shared" si="15"/>
        <v>76622743.43606323</v>
      </c>
      <c r="U47" s="627">
        <f t="shared" si="17"/>
        <v>0.42044207837352898</v>
      </c>
      <c r="V47" s="628">
        <f t="shared" si="18"/>
        <v>0.13494317764161556</v>
      </c>
      <c r="W47" s="628">
        <f t="shared" si="19"/>
        <v>0.44461474398485545</v>
      </c>
      <c r="X47" s="629">
        <f t="shared" si="5"/>
        <v>0.55538525601514455</v>
      </c>
      <c r="Z47" s="1471">
        <f t="shared" si="6"/>
        <v>5.428461033205869E-2</v>
      </c>
      <c r="AA47" s="1381">
        <f t="shared" si="7"/>
        <v>1.8153767897395811E-3</v>
      </c>
      <c r="AB47" s="1473">
        <f t="shared" si="8"/>
        <v>0.94390001287820169</v>
      </c>
      <c r="AD47" s="1471">
        <f t="shared" si="9"/>
        <v>0.50199614236018608</v>
      </c>
      <c r="AE47" s="1381">
        <f t="shared" si="10"/>
        <v>5.5383823948037319E-3</v>
      </c>
      <c r="AF47" s="1473">
        <f t="shared" si="11"/>
        <v>0.49246547524501011</v>
      </c>
    </row>
    <row r="48" spans="1:32" x14ac:dyDescent="0.25">
      <c r="A48" s="740" t="s">
        <v>110</v>
      </c>
      <c r="B48" s="592" t="s">
        <v>111</v>
      </c>
      <c r="C48" s="741" t="s">
        <v>266</v>
      </c>
      <c r="D48" s="791">
        <f>'Administration LASER'!D47+'Other Oper Exp. LASER'!D47</f>
        <v>6139074.2300000004</v>
      </c>
      <c r="E48" s="792">
        <f>'Administration LASER'!E47+'Other Oper Exp. LASER'!E47</f>
        <v>2319731.4</v>
      </c>
      <c r="F48" s="792">
        <f>'Administration LASER'!K47+'Other Oper Exp. LASER'!K47</f>
        <v>5175821.45</v>
      </c>
      <c r="G48" s="793">
        <f>'Administration LASER'!I47+'Other Oper Exp. LASER'!I47</f>
        <v>13634627.08</v>
      </c>
      <c r="H48" s="791">
        <f>'Client Services LASER'!D47</f>
        <v>556885.31000000006</v>
      </c>
      <c r="I48" s="792">
        <f>'Client Services LASER'!E47</f>
        <v>920960.48</v>
      </c>
      <c r="J48" s="792">
        <f>'Client Services LASER'!K47</f>
        <v>298468.19000000006</v>
      </c>
      <c r="K48" s="793">
        <f>'Client Services LASER'!I47</f>
        <v>1776313.9800000002</v>
      </c>
      <c r="L48" s="791">
        <f>'Benefits Spending LASER'!D48</f>
        <v>202297349.53211406</v>
      </c>
      <c r="M48" s="792">
        <f>'Benefits Spending LASER'!E48</f>
        <v>151064800.3864691</v>
      </c>
      <c r="N48" s="792">
        <f>'Benefits Spending LASER'!I48</f>
        <v>4463819.6162468754</v>
      </c>
      <c r="O48" s="793">
        <f t="shared" si="16"/>
        <v>357825969.53483003</v>
      </c>
      <c r="P48" s="1462">
        <f t="shared" si="12"/>
        <v>208993309.07211405</v>
      </c>
      <c r="Q48" s="792">
        <f t="shared" si="13"/>
        <v>154305492.26646909</v>
      </c>
      <c r="R48" s="792">
        <f t="shared" si="14"/>
        <v>9938109.256246876</v>
      </c>
      <c r="S48" s="793">
        <f t="shared" si="15"/>
        <v>373236910.59483004</v>
      </c>
      <c r="U48" s="627">
        <f t="shared" si="17"/>
        <v>0.45025611584237041</v>
      </c>
      <c r="V48" s="628">
        <f t="shared" si="18"/>
        <v>0.17013530229973844</v>
      </c>
      <c r="W48" s="628">
        <f t="shared" si="19"/>
        <v>0.3796085818578912</v>
      </c>
      <c r="X48" s="629">
        <f t="shared" si="5"/>
        <v>0.62039141814210885</v>
      </c>
      <c r="Z48" s="1471">
        <f t="shared" si="6"/>
        <v>3.6530757524143066E-2</v>
      </c>
      <c r="AA48" s="1381">
        <f t="shared" si="7"/>
        <v>4.7592130616692686E-3</v>
      </c>
      <c r="AB48" s="1473">
        <f t="shared" si="8"/>
        <v>0.9587100294141877</v>
      </c>
      <c r="AD48" s="1471">
        <f t="shared" si="9"/>
        <v>0.52080544865680489</v>
      </c>
      <c r="AE48" s="1381">
        <f t="shared" si="10"/>
        <v>3.0032693574221832E-2</v>
      </c>
      <c r="AF48" s="1473">
        <f t="shared" si="11"/>
        <v>0.44916185776897322</v>
      </c>
    </row>
    <row r="49" spans="1:32" x14ac:dyDescent="0.25">
      <c r="A49" s="740" t="s">
        <v>112</v>
      </c>
      <c r="B49" s="592" t="s">
        <v>300</v>
      </c>
      <c r="C49" s="741" t="s">
        <v>265</v>
      </c>
      <c r="D49" s="791">
        <f>'Administration LASER'!D48+'Other Oper Exp. LASER'!D48</f>
        <v>2527419.9699999997</v>
      </c>
      <c r="E49" s="792">
        <f>'Administration LASER'!E48+'Other Oper Exp. LASER'!E48</f>
        <v>1294197.6399999999</v>
      </c>
      <c r="F49" s="792">
        <f>'Administration LASER'!K48+'Other Oper Exp. LASER'!K48</f>
        <v>827003.25</v>
      </c>
      <c r="G49" s="793">
        <f>'Administration LASER'!I48+'Other Oper Exp. LASER'!I48</f>
        <v>4648620.8599999994</v>
      </c>
      <c r="H49" s="791">
        <f>'Client Services LASER'!D48</f>
        <v>134827.63</v>
      </c>
      <c r="I49" s="792">
        <f>'Client Services LASER'!E48</f>
        <v>139703.19999999998</v>
      </c>
      <c r="J49" s="792">
        <f>'Client Services LASER'!K48</f>
        <v>53394.559999999998</v>
      </c>
      <c r="K49" s="793">
        <f>'Client Services LASER'!I48</f>
        <v>327925.38999999996</v>
      </c>
      <c r="L49" s="791">
        <f>'Benefits Spending LASER'!D49</f>
        <v>88747270.183764771</v>
      </c>
      <c r="M49" s="792">
        <f>'Benefits Spending LASER'!E49</f>
        <v>64560272.652480662</v>
      </c>
      <c r="N49" s="792">
        <f>'Benefits Spending LASER'!I49</f>
        <v>396635.660848125</v>
      </c>
      <c r="O49" s="793">
        <f t="shared" si="16"/>
        <v>153704178.49709353</v>
      </c>
      <c r="P49" s="1462">
        <f t="shared" si="12"/>
        <v>91409517.783764765</v>
      </c>
      <c r="Q49" s="792">
        <f t="shared" si="13"/>
        <v>65994173.492480665</v>
      </c>
      <c r="R49" s="792">
        <f t="shared" si="14"/>
        <v>1277033.4708481249</v>
      </c>
      <c r="S49" s="793">
        <f t="shared" si="15"/>
        <v>158680724.74709353</v>
      </c>
      <c r="U49" s="627">
        <f t="shared" si="17"/>
        <v>0.54369242967257181</v>
      </c>
      <c r="V49" s="628">
        <f t="shared" si="18"/>
        <v>0.27840464494237116</v>
      </c>
      <c r="W49" s="628">
        <f t="shared" si="19"/>
        <v>0.17790292538505714</v>
      </c>
      <c r="X49" s="629">
        <f t="shared" si="5"/>
        <v>0.82209707461494286</v>
      </c>
      <c r="Z49" s="1471">
        <f t="shared" si="6"/>
        <v>2.9295435015242111E-2</v>
      </c>
      <c r="AA49" s="1381">
        <f t="shared" si="7"/>
        <v>2.0665735584624394E-3</v>
      </c>
      <c r="AB49" s="1473">
        <f t="shared" si="8"/>
        <v>0.96863799142629547</v>
      </c>
      <c r="AD49" s="1471">
        <f t="shared" si="9"/>
        <v>0.64759716082520269</v>
      </c>
      <c r="AE49" s="1381">
        <f t="shared" si="10"/>
        <v>4.1811402143233339E-2</v>
      </c>
      <c r="AF49" s="1473">
        <f t="shared" si="11"/>
        <v>0.310591437031564</v>
      </c>
    </row>
    <row r="50" spans="1:32" x14ac:dyDescent="0.25">
      <c r="A50" s="740" t="s">
        <v>114</v>
      </c>
      <c r="B50" s="592" t="s">
        <v>115</v>
      </c>
      <c r="C50" s="741" t="s">
        <v>265</v>
      </c>
      <c r="D50" s="791">
        <f>'Administration LASER'!D49+'Other Oper Exp. LASER'!D49</f>
        <v>145204.03</v>
      </c>
      <c r="E50" s="792">
        <f>'Administration LASER'!E49+'Other Oper Exp. LASER'!E49</f>
        <v>55952.25</v>
      </c>
      <c r="F50" s="792">
        <f>'Administration LASER'!K49+'Other Oper Exp. LASER'!K49</f>
        <v>113893.72</v>
      </c>
      <c r="G50" s="793">
        <f>'Administration LASER'!I49+'Other Oper Exp. LASER'!I49</f>
        <v>315050</v>
      </c>
      <c r="H50" s="791">
        <f>'Client Services LASER'!D49</f>
        <v>17119.060000000001</v>
      </c>
      <c r="I50" s="792">
        <f>'Client Services LASER'!E49</f>
        <v>1571.4</v>
      </c>
      <c r="J50" s="792">
        <f>'Client Services LASER'!K49</f>
        <v>3630.68</v>
      </c>
      <c r="K50" s="793">
        <f>'Client Services LASER'!I49</f>
        <v>22321.140000000003</v>
      </c>
      <c r="L50" s="791">
        <f>'Benefits Spending LASER'!D50</f>
        <v>1275533.2460862421</v>
      </c>
      <c r="M50" s="792">
        <f>'Benefits Spending LASER'!E50</f>
        <v>1048610.6621412423</v>
      </c>
      <c r="N50" s="792">
        <f>'Benefits Spending LASER'!I50</f>
        <v>8525.0247450000006</v>
      </c>
      <c r="O50" s="793">
        <f t="shared" si="16"/>
        <v>2332668.9329724847</v>
      </c>
      <c r="P50" s="1462">
        <f t="shared" si="12"/>
        <v>1437856.3360862422</v>
      </c>
      <c r="Q50" s="792">
        <f t="shared" si="13"/>
        <v>1106134.3121412422</v>
      </c>
      <c r="R50" s="792">
        <f t="shared" si="14"/>
        <v>126049.424745</v>
      </c>
      <c r="S50" s="793">
        <f t="shared" si="15"/>
        <v>2670040.0729724849</v>
      </c>
      <c r="U50" s="627">
        <f t="shared" si="17"/>
        <v>0.4608920171401365</v>
      </c>
      <c r="V50" s="628">
        <f t="shared" si="18"/>
        <v>0.17759800031740994</v>
      </c>
      <c r="W50" s="628">
        <f t="shared" si="19"/>
        <v>0.36150998254245359</v>
      </c>
      <c r="X50" s="629">
        <f t="shared" si="5"/>
        <v>0.63849001745754641</v>
      </c>
      <c r="Z50" s="1471">
        <f t="shared" si="6"/>
        <v>0.11799448374917579</v>
      </c>
      <c r="AA50" s="1381">
        <f t="shared" si="7"/>
        <v>8.3598520583814569E-3</v>
      </c>
      <c r="AB50" s="1473">
        <f t="shared" si="8"/>
        <v>0.87364566419244272</v>
      </c>
      <c r="AD50" s="1471">
        <f t="shared" si="9"/>
        <v>0.90356398079887168</v>
      </c>
      <c r="AE50" s="1381">
        <f t="shared" si="10"/>
        <v>2.8803622129533107E-2</v>
      </c>
      <c r="AF50" s="1473">
        <f t="shared" si="11"/>
        <v>6.7632397071595227E-2</v>
      </c>
    </row>
    <row r="51" spans="1:32" x14ac:dyDescent="0.25">
      <c r="A51" s="740" t="s">
        <v>118</v>
      </c>
      <c r="B51" s="592" t="s">
        <v>119</v>
      </c>
      <c r="C51" s="741" t="s">
        <v>264</v>
      </c>
      <c r="D51" s="791">
        <f>'Administration LASER'!D50+'Other Oper Exp. LASER'!D50</f>
        <v>1220787.8900000001</v>
      </c>
      <c r="E51" s="792">
        <f>'Administration LASER'!E50+'Other Oper Exp. LASER'!E50</f>
        <v>519887.46</v>
      </c>
      <c r="F51" s="792">
        <f>'Administration LASER'!K50+'Other Oper Exp. LASER'!K50</f>
        <v>873945.42</v>
      </c>
      <c r="G51" s="793">
        <f>'Administration LASER'!I50+'Other Oper Exp. LASER'!I50</f>
        <v>2614620.7700000005</v>
      </c>
      <c r="H51" s="791">
        <f>'Client Services LASER'!D50</f>
        <v>39825.429999999993</v>
      </c>
      <c r="I51" s="792">
        <f>'Client Services LASER'!E50</f>
        <v>14506.52</v>
      </c>
      <c r="J51" s="792">
        <f>'Client Services LASER'!K50</f>
        <v>12783.589999999998</v>
      </c>
      <c r="K51" s="793">
        <f>'Client Services LASER'!I50</f>
        <v>67115.539999999994</v>
      </c>
      <c r="L51" s="791">
        <f>'Benefits Spending LASER'!D51</f>
        <v>22524207.2915584</v>
      </c>
      <c r="M51" s="792">
        <f>'Benefits Spending LASER'!E51</f>
        <v>16707706.760737337</v>
      </c>
      <c r="N51" s="792">
        <f>'Benefits Spending LASER'!I51</f>
        <v>88550.570925062493</v>
      </c>
      <c r="O51" s="793">
        <f t="shared" si="16"/>
        <v>39320464.623220801</v>
      </c>
      <c r="P51" s="1462">
        <f t="shared" si="12"/>
        <v>23784820.6115584</v>
      </c>
      <c r="Q51" s="792">
        <f t="shared" si="13"/>
        <v>17242100.740737338</v>
      </c>
      <c r="R51" s="792">
        <f t="shared" si="14"/>
        <v>975279.58092506253</v>
      </c>
      <c r="S51" s="793">
        <f t="shared" si="15"/>
        <v>42002200.933220804</v>
      </c>
      <c r="U51" s="627">
        <f t="shared" si="17"/>
        <v>0.466908204817787</v>
      </c>
      <c r="V51" s="628">
        <f t="shared" si="18"/>
        <v>0.19883857191266782</v>
      </c>
      <c r="W51" s="628">
        <f t="shared" si="19"/>
        <v>0.3342532232695451</v>
      </c>
      <c r="X51" s="629">
        <f t="shared" si="5"/>
        <v>0.66574677673045479</v>
      </c>
      <c r="Z51" s="1471">
        <f t="shared" si="6"/>
        <v>6.2249613398997344E-2</v>
      </c>
      <c r="AA51" s="1381">
        <f t="shared" si="7"/>
        <v>1.5979053123122483E-3</v>
      </c>
      <c r="AB51" s="1473">
        <f t="shared" si="8"/>
        <v>0.93615248128869033</v>
      </c>
      <c r="AD51" s="1471">
        <f t="shared" si="9"/>
        <v>0.89609732131483155</v>
      </c>
      <c r="AE51" s="1381">
        <f t="shared" si="10"/>
        <v>1.3107615754525112E-2</v>
      </c>
      <c r="AF51" s="1473">
        <f t="shared" si="11"/>
        <v>9.0795062930643322E-2</v>
      </c>
    </row>
    <row r="52" spans="1:32" x14ac:dyDescent="0.25">
      <c r="A52" s="740" t="s">
        <v>120</v>
      </c>
      <c r="B52" s="592" t="s">
        <v>121</v>
      </c>
      <c r="C52" s="741" t="s">
        <v>264</v>
      </c>
      <c r="D52" s="791">
        <f>'Administration LASER'!D51+'Other Oper Exp. LASER'!D51</f>
        <v>1655520.94</v>
      </c>
      <c r="E52" s="792">
        <f>'Administration LASER'!E51+'Other Oper Exp. LASER'!E51</f>
        <v>595726.82999999996</v>
      </c>
      <c r="F52" s="792">
        <f>'Administration LASER'!K51+'Other Oper Exp. LASER'!K51</f>
        <v>1976576.33</v>
      </c>
      <c r="G52" s="793">
        <f>'Administration LASER'!I51+'Other Oper Exp. LASER'!I51</f>
        <v>4227824.1000000006</v>
      </c>
      <c r="H52" s="791">
        <f>'Client Services LASER'!D51</f>
        <v>46882.97</v>
      </c>
      <c r="I52" s="792">
        <f>'Client Services LASER'!E51</f>
        <v>50999.57</v>
      </c>
      <c r="J52" s="792">
        <f>'Client Services LASER'!K51</f>
        <v>18148.14</v>
      </c>
      <c r="K52" s="793">
        <f>'Client Services LASER'!I51</f>
        <v>116030.68000000001</v>
      </c>
      <c r="L52" s="791">
        <f>'Benefits Spending LASER'!D52</f>
        <v>23685131.859003574</v>
      </c>
      <c r="M52" s="792">
        <f>'Benefits Spending LASER'!E52</f>
        <v>16408925.57162633</v>
      </c>
      <c r="N52" s="792">
        <f>'Benefits Spending LASER'!I52</f>
        <v>376243.91778124997</v>
      </c>
      <c r="O52" s="793">
        <f t="shared" si="16"/>
        <v>40470301.34841115</v>
      </c>
      <c r="P52" s="1462">
        <f t="shared" si="12"/>
        <v>25387535.769003574</v>
      </c>
      <c r="Q52" s="792">
        <f t="shared" si="13"/>
        <v>17055651.97162633</v>
      </c>
      <c r="R52" s="792">
        <f t="shared" si="14"/>
        <v>2370968.3877812498</v>
      </c>
      <c r="S52" s="793">
        <f t="shared" si="15"/>
        <v>44814156.128411151</v>
      </c>
      <c r="U52" s="627">
        <f t="shared" si="17"/>
        <v>0.39157753512025245</v>
      </c>
      <c r="V52" s="628">
        <f t="shared" si="18"/>
        <v>0.14090624773154586</v>
      </c>
      <c r="W52" s="628">
        <f t="shared" si="19"/>
        <v>0.46751621714820157</v>
      </c>
      <c r="X52" s="629">
        <f t="shared" si="5"/>
        <v>0.53248378285179832</v>
      </c>
      <c r="Z52" s="1471">
        <f t="shared" si="6"/>
        <v>9.4341263235784928E-2</v>
      </c>
      <c r="AA52" s="1381">
        <f t="shared" si="7"/>
        <v>2.5891524023686613E-3</v>
      </c>
      <c r="AB52" s="1473">
        <f t="shared" si="8"/>
        <v>0.90306958436184637</v>
      </c>
      <c r="AD52" s="1471">
        <f t="shared" si="9"/>
        <v>0.83365781685924478</v>
      </c>
      <c r="AE52" s="1381">
        <f t="shared" si="10"/>
        <v>7.6543154660037513E-3</v>
      </c>
      <c r="AF52" s="1473">
        <f t="shared" si="11"/>
        <v>0.15868786767475154</v>
      </c>
    </row>
    <row r="53" spans="1:32" x14ac:dyDescent="0.25">
      <c r="A53" s="740" t="s">
        <v>122</v>
      </c>
      <c r="B53" s="592" t="s">
        <v>271</v>
      </c>
      <c r="C53" s="741" t="s">
        <v>266</v>
      </c>
      <c r="D53" s="791">
        <f>'Administration LASER'!D52+'Other Oper Exp. LASER'!D52</f>
        <v>452021.36</v>
      </c>
      <c r="E53" s="792">
        <f>'Administration LASER'!E52+'Other Oper Exp. LASER'!E52</f>
        <v>186885.13</v>
      </c>
      <c r="F53" s="792">
        <f>'Administration LASER'!K52+'Other Oper Exp. LASER'!K52</f>
        <v>333137.39</v>
      </c>
      <c r="G53" s="793">
        <f>'Administration LASER'!I52+'Other Oper Exp. LASER'!I52</f>
        <v>972043.88</v>
      </c>
      <c r="H53" s="791">
        <f>'Client Services LASER'!D52</f>
        <v>16021.98</v>
      </c>
      <c r="I53" s="792">
        <f>'Client Services LASER'!E52</f>
        <v>6735.42</v>
      </c>
      <c r="J53" s="792">
        <f>'Client Services LASER'!K52</f>
        <v>4174.34</v>
      </c>
      <c r="K53" s="793">
        <f>'Client Services LASER'!I52</f>
        <v>26931.74</v>
      </c>
      <c r="L53" s="791">
        <f>'Benefits Spending LASER'!D53</f>
        <v>6325668.8913479615</v>
      </c>
      <c r="M53" s="792">
        <f>'Benefits Spending LASER'!E53</f>
        <v>4875839.0643679602</v>
      </c>
      <c r="N53" s="792">
        <f>'Benefits Spending LASER'!I53</f>
        <v>218851.64129999999</v>
      </c>
      <c r="O53" s="793">
        <f t="shared" si="16"/>
        <v>11420359.597015921</v>
      </c>
      <c r="P53" s="1462">
        <f t="shared" si="12"/>
        <v>6793712.2313479614</v>
      </c>
      <c r="Q53" s="792">
        <f t="shared" si="13"/>
        <v>5069459.61436796</v>
      </c>
      <c r="R53" s="792">
        <f t="shared" si="14"/>
        <v>556163.3713</v>
      </c>
      <c r="S53" s="793">
        <f t="shared" si="15"/>
        <v>12419335.21701592</v>
      </c>
      <c r="U53" s="627">
        <f t="shared" si="17"/>
        <v>0.46502155849178328</v>
      </c>
      <c r="V53" s="628">
        <f t="shared" si="18"/>
        <v>0.19225997287282956</v>
      </c>
      <c r="W53" s="628">
        <f t="shared" si="19"/>
        <v>0.34271846863538713</v>
      </c>
      <c r="X53" s="629">
        <f t="shared" si="5"/>
        <v>0.65728153136461287</v>
      </c>
      <c r="Z53" s="1471">
        <f t="shared" si="6"/>
        <v>7.8268591918526198E-2</v>
      </c>
      <c r="AA53" s="1381">
        <f t="shared" si="7"/>
        <v>2.1685331404132173E-3</v>
      </c>
      <c r="AB53" s="1473">
        <f t="shared" si="8"/>
        <v>0.9195628749410607</v>
      </c>
      <c r="AD53" s="1471">
        <f t="shared" si="9"/>
        <v>0.59899196385643028</v>
      </c>
      <c r="AE53" s="1381">
        <f t="shared" si="10"/>
        <v>7.5056003602731328E-3</v>
      </c>
      <c r="AF53" s="1473">
        <f t="shared" si="11"/>
        <v>0.39350243578329658</v>
      </c>
    </row>
    <row r="54" spans="1:32" x14ac:dyDescent="0.25">
      <c r="A54" s="740" t="s">
        <v>124</v>
      </c>
      <c r="B54" s="592" t="s">
        <v>125</v>
      </c>
      <c r="C54" s="741" t="s">
        <v>267</v>
      </c>
      <c r="D54" s="791">
        <f>'Administration LASER'!D53+'Other Oper Exp. LASER'!D53</f>
        <v>690982.38</v>
      </c>
      <c r="E54" s="792">
        <f>'Administration LASER'!E53+'Other Oper Exp. LASER'!E53</f>
        <v>237416.03</v>
      </c>
      <c r="F54" s="792">
        <f>'Administration LASER'!K53+'Other Oper Exp. LASER'!K53</f>
        <v>762444.35</v>
      </c>
      <c r="G54" s="793">
        <f>'Administration LASER'!I53+'Other Oper Exp. LASER'!I53</f>
        <v>1690842.7599999998</v>
      </c>
      <c r="H54" s="791">
        <f>'Client Services LASER'!D53</f>
        <v>31976.55</v>
      </c>
      <c r="I54" s="792">
        <f>'Client Services LASER'!E53</f>
        <v>16534.060000000001</v>
      </c>
      <c r="J54" s="792">
        <f>'Client Services LASER'!K53</f>
        <v>8736.66</v>
      </c>
      <c r="K54" s="793">
        <f>'Client Services LASER'!I53</f>
        <v>57247.27</v>
      </c>
      <c r="L54" s="791">
        <f>'Benefits Spending LASER'!D54</f>
        <v>13600313.377871983</v>
      </c>
      <c r="M54" s="792">
        <f>'Benefits Spending LASER'!E54</f>
        <v>9745284.7950082328</v>
      </c>
      <c r="N54" s="792">
        <f>'Benefits Spending LASER'!I54</f>
        <v>661647.62686374993</v>
      </c>
      <c r="O54" s="793">
        <f t="shared" si="16"/>
        <v>24007245.799743969</v>
      </c>
      <c r="P54" s="1462">
        <f t="shared" si="12"/>
        <v>14323272.307871982</v>
      </c>
      <c r="Q54" s="792">
        <f t="shared" si="13"/>
        <v>9999234.8850082327</v>
      </c>
      <c r="R54" s="792">
        <f t="shared" si="14"/>
        <v>1432828.6368637499</v>
      </c>
      <c r="S54" s="793">
        <f t="shared" si="15"/>
        <v>25755335.82974397</v>
      </c>
      <c r="U54" s="627">
        <f t="shared" si="17"/>
        <v>0.40866152450509358</v>
      </c>
      <c r="V54" s="628">
        <f t="shared" si="18"/>
        <v>0.14041283767864968</v>
      </c>
      <c r="W54" s="628">
        <f t="shared" si="19"/>
        <v>0.45092563781625683</v>
      </c>
      <c r="X54" s="629">
        <f t="shared" si="5"/>
        <v>0.54907436218374328</v>
      </c>
      <c r="Z54" s="1471">
        <f t="shared" si="6"/>
        <v>6.5650192689287415E-2</v>
      </c>
      <c r="AA54" s="1381">
        <f t="shared" si="7"/>
        <v>2.2227343638007257E-3</v>
      </c>
      <c r="AB54" s="1473">
        <f t="shared" si="8"/>
        <v>0.93212707294691177</v>
      </c>
      <c r="AD54" s="1471">
        <f t="shared" si="9"/>
        <v>0.53212528727013575</v>
      </c>
      <c r="AE54" s="1381">
        <f t="shared" si="10"/>
        <v>6.0974911969398221E-3</v>
      </c>
      <c r="AF54" s="1473">
        <f t="shared" si="11"/>
        <v>0.46177722153292439</v>
      </c>
    </row>
    <row r="55" spans="1:32" x14ac:dyDescent="0.25">
      <c r="A55" s="740" t="s">
        <v>126</v>
      </c>
      <c r="B55" s="592" t="s">
        <v>127</v>
      </c>
      <c r="C55" s="741" t="s">
        <v>266</v>
      </c>
      <c r="D55" s="791">
        <f>'Administration LASER'!D54+'Other Oper Exp. LASER'!D54</f>
        <v>421612.24000000005</v>
      </c>
      <c r="E55" s="792">
        <f>'Administration LASER'!E54+'Other Oper Exp. LASER'!E54</f>
        <v>170588.17</v>
      </c>
      <c r="F55" s="792">
        <f>'Administration LASER'!K54+'Other Oper Exp. LASER'!K54</f>
        <v>329592.26</v>
      </c>
      <c r="G55" s="793">
        <f>'Administration LASER'!I54+'Other Oper Exp. LASER'!I54</f>
        <v>921792.67</v>
      </c>
      <c r="H55" s="791">
        <f>'Client Services LASER'!D54</f>
        <v>26747.249999999996</v>
      </c>
      <c r="I55" s="792">
        <f>'Client Services LASER'!E54</f>
        <v>14170.880000000001</v>
      </c>
      <c r="J55" s="792">
        <f>'Client Services LASER'!K54</f>
        <v>7545.3799999999992</v>
      </c>
      <c r="K55" s="793">
        <f>'Client Services LASER'!I54</f>
        <v>48463.509999999995</v>
      </c>
      <c r="L55" s="791">
        <f>'Benefits Spending LASER'!D55</f>
        <v>9878132.7869250178</v>
      </c>
      <c r="M55" s="792">
        <f>'Benefits Spending LASER'!E55</f>
        <v>7351055.0908142691</v>
      </c>
      <c r="N55" s="792">
        <f>'Benefits Spending LASER'!I55</f>
        <v>312151.92649874999</v>
      </c>
      <c r="O55" s="793">
        <f t="shared" si="16"/>
        <v>17541339.804238036</v>
      </c>
      <c r="P55" s="1462">
        <f t="shared" si="12"/>
        <v>10326492.276925018</v>
      </c>
      <c r="Q55" s="792">
        <f t="shared" si="13"/>
        <v>7535814.140814269</v>
      </c>
      <c r="R55" s="792">
        <f t="shared" si="14"/>
        <v>649289.56649875001</v>
      </c>
      <c r="S55" s="793">
        <f t="shared" si="15"/>
        <v>18511595.984238036</v>
      </c>
      <c r="U55" s="627">
        <f t="shared" si="17"/>
        <v>0.4573829383998031</v>
      </c>
      <c r="V55" s="628">
        <f t="shared" si="18"/>
        <v>0.18506132186969984</v>
      </c>
      <c r="W55" s="628">
        <f t="shared" si="19"/>
        <v>0.35755573973049709</v>
      </c>
      <c r="X55" s="629">
        <f t="shared" si="5"/>
        <v>0.64244426026950285</v>
      </c>
      <c r="Z55" s="1471">
        <f t="shared" si="6"/>
        <v>4.9795418546562581E-2</v>
      </c>
      <c r="AA55" s="1381">
        <f t="shared" si="7"/>
        <v>2.6180081955799461E-3</v>
      </c>
      <c r="AB55" s="1473">
        <f t="shared" si="8"/>
        <v>0.94758657325785745</v>
      </c>
      <c r="AD55" s="1471">
        <f t="shared" si="9"/>
        <v>0.50761983097511321</v>
      </c>
      <c r="AE55" s="1381">
        <f t="shared" si="10"/>
        <v>1.1620978357449897E-2</v>
      </c>
      <c r="AF55" s="1473">
        <f t="shared" si="11"/>
        <v>0.48075919066743689</v>
      </c>
    </row>
    <row r="56" spans="1:32" x14ac:dyDescent="0.25">
      <c r="A56" s="740" t="s">
        <v>128</v>
      </c>
      <c r="B56" s="592" t="s">
        <v>129</v>
      </c>
      <c r="C56" s="741" t="s">
        <v>266</v>
      </c>
      <c r="D56" s="791">
        <f>'Administration LASER'!D55+'Other Oper Exp. LASER'!D55</f>
        <v>631831.42999999993</v>
      </c>
      <c r="E56" s="792">
        <f>'Administration LASER'!E55+'Other Oper Exp. LASER'!E55</f>
        <v>292189.18</v>
      </c>
      <c r="F56" s="792">
        <f>'Administration LASER'!K55+'Other Oper Exp. LASER'!K55</f>
        <v>364148.28</v>
      </c>
      <c r="G56" s="793">
        <f>'Administration LASER'!I55+'Other Oper Exp. LASER'!I55</f>
        <v>1288168.8899999999</v>
      </c>
      <c r="H56" s="791">
        <f>'Client Services LASER'!D55</f>
        <v>10337.14</v>
      </c>
      <c r="I56" s="792">
        <f>'Client Services LASER'!E55</f>
        <v>2610.96</v>
      </c>
      <c r="J56" s="792">
        <f>'Client Services LASER'!K55</f>
        <v>4438.76</v>
      </c>
      <c r="K56" s="793">
        <f>'Client Services LASER'!I55</f>
        <v>17386.859999999997</v>
      </c>
      <c r="L56" s="791">
        <f>'Benefits Spending LASER'!D56</f>
        <v>9199461.6693761516</v>
      </c>
      <c r="M56" s="792">
        <f>'Benefits Spending LASER'!E56</f>
        <v>7046331.8486811519</v>
      </c>
      <c r="N56" s="792">
        <f>'Benefits Spending LASER'!I56</f>
        <v>475633.49881500006</v>
      </c>
      <c r="O56" s="793">
        <f t="shared" si="16"/>
        <v>16721427.016872304</v>
      </c>
      <c r="P56" s="1462">
        <f t="shared" si="12"/>
        <v>9841630.2393761519</v>
      </c>
      <c r="Q56" s="792">
        <f t="shared" si="13"/>
        <v>7341131.9886811515</v>
      </c>
      <c r="R56" s="792">
        <f t="shared" si="14"/>
        <v>844220.53881500009</v>
      </c>
      <c r="S56" s="793">
        <f t="shared" si="15"/>
        <v>18026982.766872302</v>
      </c>
      <c r="U56" s="627">
        <f t="shared" si="17"/>
        <v>0.49048803685982512</v>
      </c>
      <c r="V56" s="628">
        <f t="shared" si="18"/>
        <v>0.22682521078427847</v>
      </c>
      <c r="W56" s="628">
        <f t="shared" si="19"/>
        <v>0.28268675235589646</v>
      </c>
      <c r="X56" s="629">
        <f t="shared" si="5"/>
        <v>0.71731324764410354</v>
      </c>
      <c r="Z56" s="1471">
        <f t="shared" si="6"/>
        <v>7.1457820016738074E-2</v>
      </c>
      <c r="AA56" s="1381">
        <f t="shared" si="7"/>
        <v>9.6449085378565733E-4</v>
      </c>
      <c r="AB56" s="1473">
        <f t="shared" si="8"/>
        <v>0.92757768912947636</v>
      </c>
      <c r="AD56" s="1471">
        <f t="shared" si="9"/>
        <v>0.43134259741079145</v>
      </c>
      <c r="AE56" s="1381">
        <f t="shared" si="10"/>
        <v>5.2578204342558603E-3</v>
      </c>
      <c r="AF56" s="1473">
        <f t="shared" si="11"/>
        <v>0.56339958215495267</v>
      </c>
    </row>
    <row r="57" spans="1:32" x14ac:dyDescent="0.25">
      <c r="A57" s="740" t="s">
        <v>130</v>
      </c>
      <c r="B57" s="592" t="s">
        <v>131</v>
      </c>
      <c r="C57" s="741" t="s">
        <v>268</v>
      </c>
      <c r="D57" s="791">
        <f>'Administration LASER'!D56+'Other Oper Exp. LASER'!D56</f>
        <v>1683483.2400000002</v>
      </c>
      <c r="E57" s="792">
        <f>'Administration LASER'!E56+'Other Oper Exp. LASER'!E56</f>
        <v>860837.92</v>
      </c>
      <c r="F57" s="792">
        <f>'Administration LASER'!K56+'Other Oper Exp. LASER'!K56</f>
        <v>663772.24</v>
      </c>
      <c r="G57" s="793">
        <f>'Administration LASER'!I56+'Other Oper Exp. LASER'!I56</f>
        <v>3208093.4</v>
      </c>
      <c r="H57" s="791">
        <f>'Client Services LASER'!D56</f>
        <v>158147.94</v>
      </c>
      <c r="I57" s="792">
        <f>'Client Services LASER'!E56</f>
        <v>128141.23000000001</v>
      </c>
      <c r="J57" s="792">
        <f>'Client Services LASER'!K56</f>
        <v>58468.750000000007</v>
      </c>
      <c r="K57" s="793">
        <f>'Client Services LASER'!I56</f>
        <v>344757.92000000004</v>
      </c>
      <c r="L57" s="791">
        <f>'Benefits Spending LASER'!D57</f>
        <v>34777270.949599683</v>
      </c>
      <c r="M57" s="792">
        <f>'Benefits Spending LASER'!E57</f>
        <v>27350871.314297184</v>
      </c>
      <c r="N57" s="792">
        <f>'Benefits Spending LASER'!I57</f>
        <v>463223.60586249997</v>
      </c>
      <c r="O57" s="793">
        <f t="shared" si="16"/>
        <v>62591365.869759366</v>
      </c>
      <c r="P57" s="1462">
        <f t="shared" si="12"/>
        <v>36618902.129599683</v>
      </c>
      <c r="Q57" s="792">
        <f t="shared" si="13"/>
        <v>28339850.464297183</v>
      </c>
      <c r="R57" s="792">
        <f t="shared" si="14"/>
        <v>1185464.5958624999</v>
      </c>
      <c r="S57" s="793">
        <f t="shared" si="15"/>
        <v>66144217.189759366</v>
      </c>
      <c r="U57" s="627">
        <f t="shared" si="17"/>
        <v>0.52476129279777217</v>
      </c>
      <c r="V57" s="628">
        <f t="shared" si="18"/>
        <v>0.26833318506250475</v>
      </c>
      <c r="W57" s="628">
        <f t="shared" si="19"/>
        <v>0.20690552213972324</v>
      </c>
      <c r="X57" s="629">
        <f t="shared" si="5"/>
        <v>0.79309447786027687</v>
      </c>
      <c r="Z57" s="1471">
        <f t="shared" si="6"/>
        <v>4.8501494708091973E-2</v>
      </c>
      <c r="AA57" s="1381">
        <f t="shared" si="7"/>
        <v>5.2122155896249149E-3</v>
      </c>
      <c r="AB57" s="1473">
        <f t="shared" si="8"/>
        <v>0.94628628970228312</v>
      </c>
      <c r="AD57" s="1471">
        <f t="shared" si="9"/>
        <v>0.55992582344229691</v>
      </c>
      <c r="AE57" s="1381">
        <f t="shared" si="10"/>
        <v>4.9321380161050123E-2</v>
      </c>
      <c r="AF57" s="1473">
        <f t="shared" si="11"/>
        <v>0.390752796396653</v>
      </c>
    </row>
    <row r="58" spans="1:32" x14ac:dyDescent="0.25">
      <c r="A58" s="740" t="s">
        <v>132</v>
      </c>
      <c r="B58" s="592" t="s">
        <v>133</v>
      </c>
      <c r="C58" s="741" t="s">
        <v>267</v>
      </c>
      <c r="D58" s="791">
        <f>'Administration LASER'!D57+'Other Oper Exp. LASER'!D57</f>
        <v>4292311.8499999996</v>
      </c>
      <c r="E58" s="792">
        <f>'Administration LASER'!E57+'Other Oper Exp. LASER'!E57</f>
        <v>934005.1</v>
      </c>
      <c r="F58" s="792">
        <f>'Administration LASER'!K57+'Other Oper Exp. LASER'!K57</f>
        <v>6859377.1699999999</v>
      </c>
      <c r="G58" s="793">
        <f>'Administration LASER'!I57+'Other Oper Exp. LASER'!I57</f>
        <v>12085694.119999999</v>
      </c>
      <c r="H58" s="791">
        <f>'Client Services LASER'!D57</f>
        <v>246793.61</v>
      </c>
      <c r="I58" s="792">
        <f>'Client Services LASER'!E57</f>
        <v>252747.34</v>
      </c>
      <c r="J58" s="792">
        <f>'Client Services LASER'!K57</f>
        <v>1026503.6799999999</v>
      </c>
      <c r="K58" s="793">
        <f>'Client Services LASER'!I57</f>
        <v>1526044.63</v>
      </c>
      <c r="L58" s="791">
        <f>'Benefits Spending LASER'!D58</f>
        <v>77670264.440912038</v>
      </c>
      <c r="M58" s="792">
        <f>'Benefits Spending LASER'!E58</f>
        <v>62761277.25848455</v>
      </c>
      <c r="N58" s="792">
        <f>'Benefits Spending LASER'!I58</f>
        <v>2922871.2369674998</v>
      </c>
      <c r="O58" s="793">
        <f t="shared" si="16"/>
        <v>143354412.93636408</v>
      </c>
      <c r="P58" s="1462">
        <f t="shared" si="12"/>
        <v>82209369.900912032</v>
      </c>
      <c r="Q58" s="792">
        <f t="shared" si="13"/>
        <v>63948029.698484547</v>
      </c>
      <c r="R58" s="792">
        <f t="shared" si="14"/>
        <v>10808752.0869675</v>
      </c>
      <c r="S58" s="793">
        <f t="shared" si="15"/>
        <v>156966151.68636408</v>
      </c>
      <c r="U58" s="627">
        <f t="shared" si="17"/>
        <v>0.35515641943120763</v>
      </c>
      <c r="V58" s="628">
        <f t="shared" si="18"/>
        <v>7.728187481216843E-2</v>
      </c>
      <c r="W58" s="628">
        <f t="shared" si="19"/>
        <v>0.56756170575662401</v>
      </c>
      <c r="X58" s="629">
        <f t="shared" si="5"/>
        <v>0.43243829424337604</v>
      </c>
      <c r="Z58" s="1471">
        <f t="shared" si="6"/>
        <v>7.6995543243925393E-2</v>
      </c>
      <c r="AA58" s="1381">
        <f t="shared" si="7"/>
        <v>9.7221255258216916E-3</v>
      </c>
      <c r="AB58" s="1473">
        <f t="shared" si="8"/>
        <v>0.91328233123025293</v>
      </c>
      <c r="AD58" s="1471">
        <f t="shared" si="9"/>
        <v>0.63461323886506726</v>
      </c>
      <c r="AE58" s="1381">
        <f t="shared" si="10"/>
        <v>9.4969675661049927E-2</v>
      </c>
      <c r="AF58" s="1473">
        <f t="shared" si="11"/>
        <v>0.27041708547388282</v>
      </c>
    </row>
    <row r="59" spans="1:32" x14ac:dyDescent="0.25">
      <c r="A59" s="740" t="s">
        <v>134</v>
      </c>
      <c r="B59" s="592" t="s">
        <v>135</v>
      </c>
      <c r="C59" s="741" t="s">
        <v>267</v>
      </c>
      <c r="D59" s="791">
        <f>'Administration LASER'!D58+'Other Oper Exp. LASER'!D58</f>
        <v>1142985.69</v>
      </c>
      <c r="E59" s="792">
        <f>'Administration LASER'!E58+'Other Oper Exp. LASER'!E58</f>
        <v>427919.39</v>
      </c>
      <c r="F59" s="792">
        <f>'Administration LASER'!K58+'Other Oper Exp. LASER'!K58</f>
        <v>973401.42999999993</v>
      </c>
      <c r="G59" s="793">
        <f>'Administration LASER'!I58+'Other Oper Exp. LASER'!I58</f>
        <v>2544306.5099999998</v>
      </c>
      <c r="H59" s="791">
        <f>'Client Services LASER'!D58</f>
        <v>38727.85</v>
      </c>
      <c r="I59" s="792">
        <f>'Client Services LASER'!E58</f>
        <v>32256.9</v>
      </c>
      <c r="J59" s="792">
        <f>'Client Services LASER'!K58</f>
        <v>12699.84</v>
      </c>
      <c r="K59" s="793">
        <f>'Client Services LASER'!I58</f>
        <v>83684.59</v>
      </c>
      <c r="L59" s="791">
        <f>'Benefits Spending LASER'!D59</f>
        <v>25479456.889944434</v>
      </c>
      <c r="M59" s="792">
        <f>'Benefits Spending LASER'!E59</f>
        <v>20287478.26694981</v>
      </c>
      <c r="N59" s="792">
        <f>'Benefits Spending LASER'!I59</f>
        <v>1123601.383394625</v>
      </c>
      <c r="O59" s="793">
        <f t="shared" si="16"/>
        <v>46890536.540288866</v>
      </c>
      <c r="P59" s="1462">
        <f t="shared" si="12"/>
        <v>26661170.429944433</v>
      </c>
      <c r="Q59" s="792">
        <f t="shared" si="13"/>
        <v>20747654.556949809</v>
      </c>
      <c r="R59" s="792">
        <f t="shared" si="14"/>
        <v>2109702.6533946251</v>
      </c>
      <c r="S59" s="793">
        <f t="shared" si="15"/>
        <v>49518527.640288867</v>
      </c>
      <c r="U59" s="627">
        <f t="shared" si="17"/>
        <v>0.44923270270609023</v>
      </c>
      <c r="V59" s="628">
        <f t="shared" si="18"/>
        <v>0.16818704362785286</v>
      </c>
      <c r="W59" s="628">
        <f t="shared" si="19"/>
        <v>0.38258025366605691</v>
      </c>
      <c r="X59" s="629">
        <f t="shared" si="5"/>
        <v>0.61741974633394314</v>
      </c>
      <c r="Z59" s="1471">
        <f t="shared" si="6"/>
        <v>5.1380899862012892E-2</v>
      </c>
      <c r="AA59" s="1381">
        <f t="shared" si="7"/>
        <v>1.6899652309515199E-3</v>
      </c>
      <c r="AB59" s="1473">
        <f t="shared" si="8"/>
        <v>0.94692913490703556</v>
      </c>
      <c r="AD59" s="1471">
        <f t="shared" si="9"/>
        <v>0.46139271258617637</v>
      </c>
      <c r="AE59" s="1381">
        <f t="shared" si="10"/>
        <v>6.0197298323369291E-3</v>
      </c>
      <c r="AF59" s="1473">
        <f t="shared" si="11"/>
        <v>0.53258755758148668</v>
      </c>
    </row>
    <row r="60" spans="1:32" x14ac:dyDescent="0.25">
      <c r="A60" s="740" t="s">
        <v>136</v>
      </c>
      <c r="B60" s="592" t="s">
        <v>137</v>
      </c>
      <c r="C60" s="741" t="s">
        <v>266</v>
      </c>
      <c r="D60" s="791">
        <f>'Administration LASER'!D59+'Other Oper Exp. LASER'!D59</f>
        <v>414326.36</v>
      </c>
      <c r="E60" s="792">
        <f>'Administration LASER'!E59+'Other Oper Exp. LASER'!E59</f>
        <v>204419.26</v>
      </c>
      <c r="F60" s="792">
        <f>'Administration LASER'!K59+'Other Oper Exp. LASER'!K59</f>
        <v>188470.7</v>
      </c>
      <c r="G60" s="793">
        <f>'Administration LASER'!I59+'Other Oper Exp. LASER'!I59</f>
        <v>807216.32000000007</v>
      </c>
      <c r="H60" s="791">
        <f>'Client Services LASER'!D59</f>
        <v>18256.47</v>
      </c>
      <c r="I60" s="792">
        <f>'Client Services LASER'!E59</f>
        <v>8208.8700000000008</v>
      </c>
      <c r="J60" s="792">
        <f>'Client Services LASER'!K59</f>
        <v>5116.1000000000004</v>
      </c>
      <c r="K60" s="793">
        <f>'Client Services LASER'!I59</f>
        <v>31581.440000000006</v>
      </c>
      <c r="L60" s="791">
        <f>'Benefits Spending LASER'!D60</f>
        <v>12544378.967373328</v>
      </c>
      <c r="M60" s="792">
        <f>'Benefits Spending LASER'!E60</f>
        <v>9616749.4194933269</v>
      </c>
      <c r="N60" s="792">
        <f>'Benefits Spending LASER'!I60</f>
        <v>180964.65227999998</v>
      </c>
      <c r="O60" s="793">
        <f t="shared" si="16"/>
        <v>22342093.039146654</v>
      </c>
      <c r="P60" s="1462">
        <f t="shared" si="12"/>
        <v>12976961.797373328</v>
      </c>
      <c r="Q60" s="792">
        <f t="shared" si="13"/>
        <v>9829377.5494933277</v>
      </c>
      <c r="R60" s="792">
        <f t="shared" si="14"/>
        <v>374551.45227999997</v>
      </c>
      <c r="S60" s="793">
        <f t="shared" si="15"/>
        <v>23180890.799146656</v>
      </c>
      <c r="U60" s="627">
        <f t="shared" si="17"/>
        <v>0.51327797733326297</v>
      </c>
      <c r="V60" s="628">
        <f t="shared" si="18"/>
        <v>0.25323975114873792</v>
      </c>
      <c r="W60" s="628">
        <f t="shared" si="19"/>
        <v>0.23348227151799902</v>
      </c>
      <c r="X60" s="629">
        <f t="shared" si="5"/>
        <v>0.76651772848200084</v>
      </c>
      <c r="Z60" s="1471">
        <f t="shared" si="6"/>
        <v>3.4822489221583999E-2</v>
      </c>
      <c r="AA60" s="1381">
        <f t="shared" si="7"/>
        <v>1.3623911295575662E-3</v>
      </c>
      <c r="AB60" s="1473">
        <f t="shared" si="8"/>
        <v>0.96381511964885835</v>
      </c>
      <c r="AD60" s="1471">
        <f t="shared" si="9"/>
        <v>0.50319041310005841</v>
      </c>
      <c r="AE60" s="1381">
        <f t="shared" si="10"/>
        <v>1.3659271560307299E-2</v>
      </c>
      <c r="AF60" s="1473">
        <f t="shared" si="11"/>
        <v>0.48315031533963432</v>
      </c>
    </row>
    <row r="61" spans="1:32" x14ac:dyDescent="0.25">
      <c r="A61" s="740" t="s">
        <v>140</v>
      </c>
      <c r="B61" s="592" t="s">
        <v>141</v>
      </c>
      <c r="C61" s="741" t="s">
        <v>267</v>
      </c>
      <c r="D61" s="791">
        <f>'Administration LASER'!D60+'Other Oper Exp. LASER'!D60</f>
        <v>490310.06</v>
      </c>
      <c r="E61" s="792">
        <f>'Administration LASER'!E60+'Other Oper Exp. LASER'!E60</f>
        <v>189542.64</v>
      </c>
      <c r="F61" s="792">
        <f>'Administration LASER'!K60+'Other Oper Exp. LASER'!K60</f>
        <v>434197.7</v>
      </c>
      <c r="G61" s="793">
        <f>'Administration LASER'!I60+'Other Oper Exp. LASER'!I60</f>
        <v>1114050.3999999999</v>
      </c>
      <c r="H61" s="791">
        <f>'Client Services LASER'!D60</f>
        <v>26796.560000000001</v>
      </c>
      <c r="I61" s="792">
        <f>'Client Services LASER'!E60</f>
        <v>7982.89</v>
      </c>
      <c r="J61" s="792">
        <f>'Client Services LASER'!K60</f>
        <v>5370.97</v>
      </c>
      <c r="K61" s="793">
        <f>'Client Services LASER'!I60</f>
        <v>40150.420000000006</v>
      </c>
      <c r="L61" s="791">
        <f>'Benefits Spending LASER'!D61</f>
        <v>8744191.5779313091</v>
      </c>
      <c r="M61" s="792">
        <f>'Benefits Spending LASER'!E61</f>
        <v>8389170.5364835579</v>
      </c>
      <c r="N61" s="792">
        <f>'Benefits Spending LASER'!I61</f>
        <v>1053498.2770037497</v>
      </c>
      <c r="O61" s="793">
        <f t="shared" si="16"/>
        <v>18186860.391418617</v>
      </c>
      <c r="P61" s="1462">
        <f t="shared" si="12"/>
        <v>9261298.1979313083</v>
      </c>
      <c r="Q61" s="792">
        <f t="shared" si="13"/>
        <v>8586696.0664835572</v>
      </c>
      <c r="R61" s="792">
        <f t="shared" si="14"/>
        <v>1493066.9470037497</v>
      </c>
      <c r="S61" s="793">
        <f t="shared" si="15"/>
        <v>19341061.211418618</v>
      </c>
      <c r="U61" s="627">
        <f t="shared" si="17"/>
        <v>0.44011479193400949</v>
      </c>
      <c r="V61" s="628">
        <f t="shared" si="18"/>
        <v>0.17013829894949101</v>
      </c>
      <c r="W61" s="628">
        <f t="shared" si="19"/>
        <v>0.38974690911649962</v>
      </c>
      <c r="X61" s="629">
        <f t="shared" si="5"/>
        <v>0.61025309088350044</v>
      </c>
      <c r="Z61" s="1471">
        <f t="shared" si="6"/>
        <v>5.7600272695599787E-2</v>
      </c>
      <c r="AA61" s="1381">
        <f t="shared" si="7"/>
        <v>2.0759160813935027E-3</v>
      </c>
      <c r="AB61" s="1473">
        <f t="shared" si="8"/>
        <v>0.94032381122300668</v>
      </c>
      <c r="AD61" s="1471">
        <f t="shared" si="9"/>
        <v>0.29080926402619611</v>
      </c>
      <c r="AE61" s="1381">
        <f t="shared" si="10"/>
        <v>3.5972733913762754E-3</v>
      </c>
      <c r="AF61" s="1473">
        <f t="shared" si="11"/>
        <v>0.70559346258242761</v>
      </c>
    </row>
    <row r="62" spans="1:32" x14ac:dyDescent="0.25">
      <c r="A62" s="740" t="s">
        <v>146</v>
      </c>
      <c r="B62" s="592" t="s">
        <v>147</v>
      </c>
      <c r="C62" s="741" t="s">
        <v>264</v>
      </c>
      <c r="D62" s="791">
        <f>'Administration LASER'!D61+'Other Oper Exp. LASER'!D61</f>
        <v>439814.86</v>
      </c>
      <c r="E62" s="792">
        <f>'Administration LASER'!E61+'Other Oper Exp. LASER'!E61</f>
        <v>161573.06</v>
      </c>
      <c r="F62" s="792">
        <f>'Administration LASER'!K61+'Other Oper Exp. LASER'!K61</f>
        <v>392457.73</v>
      </c>
      <c r="G62" s="793">
        <f>'Administration LASER'!I61+'Other Oper Exp. LASER'!I61</f>
        <v>993845.65000000014</v>
      </c>
      <c r="H62" s="791">
        <f>'Client Services LASER'!D61</f>
        <v>49116.029999999992</v>
      </c>
      <c r="I62" s="792">
        <f>'Client Services LASER'!E61</f>
        <v>4423.8</v>
      </c>
      <c r="J62" s="792">
        <f>'Client Services LASER'!K61</f>
        <v>12741.71</v>
      </c>
      <c r="K62" s="793">
        <f>'Client Services LASER'!I61</f>
        <v>66281.539999999994</v>
      </c>
      <c r="L62" s="791">
        <f>'Benefits Spending LASER'!D62</f>
        <v>7202951.5372627052</v>
      </c>
      <c r="M62" s="792">
        <f>'Benefits Spending LASER'!E62</f>
        <v>5936783.4788789554</v>
      </c>
      <c r="N62" s="792">
        <f>'Benefits Spending LASER'!I62</f>
        <v>161516.99818374999</v>
      </c>
      <c r="O62" s="793">
        <f t="shared" si="16"/>
        <v>13301252.01432541</v>
      </c>
      <c r="P62" s="1462">
        <f t="shared" si="12"/>
        <v>7691882.4272627048</v>
      </c>
      <c r="Q62" s="792">
        <f t="shared" si="13"/>
        <v>6102780.3388789557</v>
      </c>
      <c r="R62" s="792">
        <f t="shared" si="14"/>
        <v>566716.43818375003</v>
      </c>
      <c r="S62" s="793">
        <f t="shared" si="15"/>
        <v>14361379.20432541</v>
      </c>
      <c r="U62" s="627">
        <f t="shared" si="17"/>
        <v>0.4425383961785212</v>
      </c>
      <c r="V62" s="628">
        <f t="shared" si="18"/>
        <v>0.1625735948031769</v>
      </c>
      <c r="W62" s="628">
        <f t="shared" si="19"/>
        <v>0.39488800901830173</v>
      </c>
      <c r="X62" s="629">
        <f t="shared" si="5"/>
        <v>0.6051119909816981</v>
      </c>
      <c r="Z62" s="1471">
        <f t="shared" si="6"/>
        <v>6.9202660542566158E-2</v>
      </c>
      <c r="AA62" s="1381">
        <f t="shared" si="7"/>
        <v>4.6152628558152053E-3</v>
      </c>
      <c r="AB62" s="1473">
        <f t="shared" si="8"/>
        <v>0.92618207660161866</v>
      </c>
      <c r="AD62" s="1471">
        <f t="shared" si="9"/>
        <v>0.69251163996190801</v>
      </c>
      <c r="AE62" s="1381">
        <f t="shared" si="10"/>
        <v>2.2483395824612864E-2</v>
      </c>
      <c r="AF62" s="1473">
        <f t="shared" si="11"/>
        <v>0.28500496421347904</v>
      </c>
    </row>
    <row r="63" spans="1:32" x14ac:dyDescent="0.25">
      <c r="A63" s="740" t="s">
        <v>148</v>
      </c>
      <c r="B63" s="592" t="s">
        <v>149</v>
      </c>
      <c r="C63" s="741" t="s">
        <v>265</v>
      </c>
      <c r="D63" s="791">
        <f>'Administration LASER'!D62+'Other Oper Exp. LASER'!D62</f>
        <v>1142489.43</v>
      </c>
      <c r="E63" s="792">
        <f>'Administration LASER'!E62+'Other Oper Exp. LASER'!E62</f>
        <v>494311.23</v>
      </c>
      <c r="F63" s="792">
        <f>'Administration LASER'!K62+'Other Oper Exp. LASER'!K62</f>
        <v>1005602.72</v>
      </c>
      <c r="G63" s="793">
        <f>'Administration LASER'!I62+'Other Oper Exp. LASER'!I62</f>
        <v>2642403.38</v>
      </c>
      <c r="H63" s="791">
        <f>'Client Services LASER'!D62</f>
        <v>34268.230000000003</v>
      </c>
      <c r="I63" s="792">
        <f>'Client Services LASER'!E62</f>
        <v>23202.6</v>
      </c>
      <c r="J63" s="792">
        <f>'Client Services LASER'!K62</f>
        <v>12047.26</v>
      </c>
      <c r="K63" s="793">
        <f>'Client Services LASER'!I62</f>
        <v>69518.09</v>
      </c>
      <c r="L63" s="791">
        <f>'Benefits Spending LASER'!D63</f>
        <v>33655325.878654301</v>
      </c>
      <c r="M63" s="792">
        <f>'Benefits Spending LASER'!E63</f>
        <v>27114197.088117301</v>
      </c>
      <c r="N63" s="792">
        <f>'Benefits Spending LASER'!I63</f>
        <v>602010.85314499994</v>
      </c>
      <c r="O63" s="793">
        <f t="shared" si="16"/>
        <v>61371533.819916606</v>
      </c>
      <c r="P63" s="1462">
        <f t="shared" si="12"/>
        <v>34832083.538654298</v>
      </c>
      <c r="Q63" s="792">
        <f t="shared" si="13"/>
        <v>27631710.9181173</v>
      </c>
      <c r="R63" s="792">
        <f t="shared" si="14"/>
        <v>1619660.833145</v>
      </c>
      <c r="S63" s="793">
        <f t="shared" si="15"/>
        <v>64083455.289916605</v>
      </c>
      <c r="U63" s="627">
        <f t="shared" si="17"/>
        <v>0.43236753277238088</v>
      </c>
      <c r="V63" s="628">
        <f t="shared" si="18"/>
        <v>0.18706880022231881</v>
      </c>
      <c r="W63" s="628">
        <f t="shared" si="19"/>
        <v>0.38056366700530031</v>
      </c>
      <c r="X63" s="629">
        <f t="shared" si="5"/>
        <v>0.61943633299469969</v>
      </c>
      <c r="Z63" s="1471">
        <f t="shared" si="6"/>
        <v>4.1233784415113717E-2</v>
      </c>
      <c r="AA63" s="1381">
        <f t="shared" si="7"/>
        <v>1.0848055818072986E-3</v>
      </c>
      <c r="AB63" s="1473">
        <f t="shared" si="8"/>
        <v>0.95768141000307905</v>
      </c>
      <c r="AD63" s="1471">
        <f t="shared" si="9"/>
        <v>0.62087240700101154</v>
      </c>
      <c r="AE63" s="1381">
        <f t="shared" si="10"/>
        <v>7.4381375121648505E-3</v>
      </c>
      <c r="AF63" s="1473">
        <f t="shared" si="11"/>
        <v>0.37168945548682347</v>
      </c>
    </row>
    <row r="64" spans="1:32" x14ac:dyDescent="0.25">
      <c r="A64" s="740" t="s">
        <v>150</v>
      </c>
      <c r="B64" s="592" t="s">
        <v>151</v>
      </c>
      <c r="C64" s="741" t="s">
        <v>266</v>
      </c>
      <c r="D64" s="791">
        <f>'Administration LASER'!D63+'Other Oper Exp. LASER'!D63</f>
        <v>400855.88</v>
      </c>
      <c r="E64" s="792">
        <f>'Administration LASER'!E63+'Other Oper Exp. LASER'!E63</f>
        <v>195621.51</v>
      </c>
      <c r="F64" s="792">
        <f>'Administration LASER'!K63+'Other Oper Exp. LASER'!K63</f>
        <v>205180.72</v>
      </c>
      <c r="G64" s="793">
        <f>'Administration LASER'!I63+'Other Oper Exp. LASER'!I63</f>
        <v>801658.11</v>
      </c>
      <c r="H64" s="791">
        <f>'Client Services LASER'!D63</f>
        <v>44202.84</v>
      </c>
      <c r="I64" s="792">
        <f>'Client Services LASER'!E63</f>
        <v>29865.81</v>
      </c>
      <c r="J64" s="792">
        <f>'Client Services LASER'!K63</f>
        <v>14273.73</v>
      </c>
      <c r="K64" s="793">
        <f>'Client Services LASER'!I63</f>
        <v>88342.37999999999</v>
      </c>
      <c r="L64" s="791">
        <f>'Benefits Spending LASER'!D64</f>
        <v>9372220.5545441415</v>
      </c>
      <c r="M64" s="792">
        <f>'Benefits Spending LASER'!E64</f>
        <v>7165448.6400281433</v>
      </c>
      <c r="N64" s="792">
        <f>'Benefits Spending LASER'!I64</f>
        <v>236140.86151600003</v>
      </c>
      <c r="O64" s="793">
        <f t="shared" si="16"/>
        <v>16773810.056088286</v>
      </c>
      <c r="P64" s="1462">
        <f t="shared" si="12"/>
        <v>9817279.2745441422</v>
      </c>
      <c r="Q64" s="792">
        <f t="shared" si="13"/>
        <v>7390935.9600281436</v>
      </c>
      <c r="R64" s="792">
        <f t="shared" si="14"/>
        <v>455595.31151600007</v>
      </c>
      <c r="S64" s="793">
        <f t="shared" si="15"/>
        <v>17663810.546088286</v>
      </c>
      <c r="U64" s="627">
        <f t="shared" si="17"/>
        <v>0.50003346189562037</v>
      </c>
      <c r="V64" s="628">
        <f t="shared" si="18"/>
        <v>0.24402112017553221</v>
      </c>
      <c r="W64" s="628">
        <f t="shared" si="19"/>
        <v>0.25594541792884751</v>
      </c>
      <c r="X64" s="629">
        <f t="shared" si="5"/>
        <v>0.74405458207115249</v>
      </c>
      <c r="Z64" s="1471">
        <f t="shared" si="6"/>
        <v>4.5384211289422487E-2</v>
      </c>
      <c r="AA64" s="1381">
        <f t="shared" si="7"/>
        <v>5.0013206249861939E-3</v>
      </c>
      <c r="AB64" s="1473">
        <f t="shared" si="8"/>
        <v>0.94961446808559136</v>
      </c>
      <c r="AD64" s="1471">
        <f t="shared" si="9"/>
        <v>0.45035740011735009</v>
      </c>
      <c r="AE64" s="1381">
        <f t="shared" si="10"/>
        <v>3.1329843918946297E-2</v>
      </c>
      <c r="AF64" s="1473">
        <f t="shared" si="11"/>
        <v>0.51831275596370352</v>
      </c>
    </row>
    <row r="65" spans="1:32" x14ac:dyDescent="0.25">
      <c r="A65" s="740" t="s">
        <v>152</v>
      </c>
      <c r="B65" s="592" t="s">
        <v>153</v>
      </c>
      <c r="C65" s="741" t="s">
        <v>268</v>
      </c>
      <c r="D65" s="791">
        <f>'Administration LASER'!D64+'Other Oper Exp. LASER'!D64</f>
        <v>2179641.86</v>
      </c>
      <c r="E65" s="792">
        <f>'Administration LASER'!E64+'Other Oper Exp. LASER'!E64</f>
        <v>970266.32</v>
      </c>
      <c r="F65" s="792">
        <f>'Administration LASER'!K64+'Other Oper Exp. LASER'!K64</f>
        <v>1337767.1000000001</v>
      </c>
      <c r="G65" s="793">
        <f>'Administration LASER'!I64+'Other Oper Exp. LASER'!I64</f>
        <v>4487675.28</v>
      </c>
      <c r="H65" s="791">
        <f>'Client Services LASER'!D64</f>
        <v>84520.43</v>
      </c>
      <c r="I65" s="792">
        <f>'Client Services LASER'!E64</f>
        <v>45094.57</v>
      </c>
      <c r="J65" s="792">
        <f>'Client Services LASER'!K64</f>
        <v>23999.87</v>
      </c>
      <c r="K65" s="793">
        <f>'Client Services LASER'!I64</f>
        <v>153614.87000000002</v>
      </c>
      <c r="L65" s="791">
        <f>'Benefits Spending LASER'!D65</f>
        <v>42628586.912850395</v>
      </c>
      <c r="M65" s="792">
        <f>'Benefits Spending LASER'!E65</f>
        <v>31940120.050466392</v>
      </c>
      <c r="N65" s="792">
        <f>'Benefits Spending LASER'!I65</f>
        <v>311181.59587999998</v>
      </c>
      <c r="O65" s="793">
        <f t="shared" si="16"/>
        <v>74879888.559196785</v>
      </c>
      <c r="P65" s="1462">
        <f t="shared" si="12"/>
        <v>44892749.202850394</v>
      </c>
      <c r="Q65" s="792">
        <f t="shared" si="13"/>
        <v>32955480.940466393</v>
      </c>
      <c r="R65" s="792">
        <f t="shared" si="14"/>
        <v>1672948.5658800001</v>
      </c>
      <c r="S65" s="793">
        <f t="shared" si="15"/>
        <v>79521178.709196791</v>
      </c>
      <c r="U65" s="627">
        <f t="shared" si="17"/>
        <v>0.48569509244884573</v>
      </c>
      <c r="V65" s="628">
        <f t="shared" si="18"/>
        <v>0.21620689097630075</v>
      </c>
      <c r="W65" s="628">
        <f t="shared" si="19"/>
        <v>0.29809801657485341</v>
      </c>
      <c r="X65" s="629">
        <f t="shared" si="5"/>
        <v>0.70190198342514643</v>
      </c>
      <c r="Z65" s="1471">
        <f t="shared" si="6"/>
        <v>5.6433711784015482E-2</v>
      </c>
      <c r="AA65" s="1381">
        <f t="shared" si="7"/>
        <v>1.9317479002890351E-3</v>
      </c>
      <c r="AB65" s="1473">
        <f t="shared" si="8"/>
        <v>0.94163454031569538</v>
      </c>
      <c r="AD65" s="1471">
        <f t="shared" si="9"/>
        <v>0.79964628159163476</v>
      </c>
      <c r="AE65" s="1381">
        <f t="shared" si="10"/>
        <v>1.4345850487863415E-2</v>
      </c>
      <c r="AF65" s="1473">
        <f t="shared" si="11"/>
        <v>0.18600786792050181</v>
      </c>
    </row>
    <row r="66" spans="1:32" x14ac:dyDescent="0.25">
      <c r="A66" s="740" t="s">
        <v>154</v>
      </c>
      <c r="B66" s="592" t="s">
        <v>155</v>
      </c>
      <c r="C66" s="741" t="s">
        <v>265</v>
      </c>
      <c r="D66" s="791">
        <f>'Administration LASER'!D65+'Other Oper Exp. LASER'!D65</f>
        <v>448043.27</v>
      </c>
      <c r="E66" s="792">
        <f>'Administration LASER'!E65+'Other Oper Exp. LASER'!E65</f>
        <v>224147.22</v>
      </c>
      <c r="F66" s="792">
        <f>'Administration LASER'!K65+'Other Oper Exp. LASER'!K65</f>
        <v>194107.68</v>
      </c>
      <c r="G66" s="793">
        <f>'Administration LASER'!I65+'Other Oper Exp. LASER'!I65</f>
        <v>866298.17</v>
      </c>
      <c r="H66" s="791">
        <f>'Client Services LASER'!D65</f>
        <v>10488.97</v>
      </c>
      <c r="I66" s="792">
        <f>'Client Services LASER'!E65</f>
        <v>4904.4400000000005</v>
      </c>
      <c r="J66" s="792">
        <f>'Client Services LASER'!K65</f>
        <v>3226.6299999999997</v>
      </c>
      <c r="K66" s="793">
        <f>'Client Services LASER'!I65</f>
        <v>18620.04</v>
      </c>
      <c r="L66" s="791">
        <f>'Benefits Spending LASER'!D66</f>
        <v>13150565.106403021</v>
      </c>
      <c r="M66" s="792">
        <f>'Benefits Spending LASER'!E66</f>
        <v>10260628.273967771</v>
      </c>
      <c r="N66" s="792">
        <f>'Benefits Spending LASER'!I66</f>
        <v>274102.67338724999</v>
      </c>
      <c r="O66" s="793">
        <f t="shared" si="16"/>
        <v>23685296.053758044</v>
      </c>
      <c r="P66" s="1462">
        <f t="shared" si="12"/>
        <v>13609097.346403021</v>
      </c>
      <c r="Q66" s="792">
        <f t="shared" si="13"/>
        <v>10489679.933967771</v>
      </c>
      <c r="R66" s="792">
        <f t="shared" si="14"/>
        <v>471436.98338724999</v>
      </c>
      <c r="S66" s="793">
        <f t="shared" si="15"/>
        <v>24570214.263758045</v>
      </c>
      <c r="U66" s="627">
        <f t="shared" si="17"/>
        <v>0.5171929083031539</v>
      </c>
      <c r="V66" s="628">
        <f t="shared" si="18"/>
        <v>0.25874142155927676</v>
      </c>
      <c r="W66" s="628">
        <f t="shared" si="19"/>
        <v>0.22406567013756937</v>
      </c>
      <c r="X66" s="629">
        <f t="shared" si="5"/>
        <v>0.77593432986243061</v>
      </c>
      <c r="Z66" s="1471">
        <f t="shared" si="6"/>
        <v>3.5258063307889879E-2</v>
      </c>
      <c r="AA66" s="1381">
        <f t="shared" si="7"/>
        <v>7.5782977714871757E-4</v>
      </c>
      <c r="AB66" s="1473">
        <f t="shared" si="8"/>
        <v>0.96398410691496139</v>
      </c>
      <c r="AD66" s="1471">
        <f t="shared" si="9"/>
        <v>0.4117362168011226</v>
      </c>
      <c r="AE66" s="1381">
        <f t="shared" si="10"/>
        <v>6.8442445410558002E-3</v>
      </c>
      <c r="AF66" s="1473">
        <f t="shared" si="11"/>
        <v>0.58141953865782159</v>
      </c>
    </row>
    <row r="67" spans="1:32" x14ac:dyDescent="0.25">
      <c r="A67" s="740" t="s">
        <v>156</v>
      </c>
      <c r="B67" s="592" t="s">
        <v>157</v>
      </c>
      <c r="C67" s="741" t="s">
        <v>266</v>
      </c>
      <c r="D67" s="791">
        <f>'Administration LASER'!D66+'Other Oper Exp. LASER'!D66</f>
        <v>484569.50000000006</v>
      </c>
      <c r="E67" s="792">
        <f>'Administration LASER'!E66+'Other Oper Exp. LASER'!E66</f>
        <v>192063.58</v>
      </c>
      <c r="F67" s="792">
        <f>'Administration LASER'!K66+'Other Oper Exp. LASER'!K66</f>
        <v>388955.06999999995</v>
      </c>
      <c r="G67" s="793">
        <f>'Administration LASER'!I66+'Other Oper Exp. LASER'!I66</f>
        <v>1065588.1499999999</v>
      </c>
      <c r="H67" s="791">
        <f>'Client Services LASER'!D66</f>
        <v>18292.43</v>
      </c>
      <c r="I67" s="792">
        <f>'Client Services LASER'!E66</f>
        <v>24213.67</v>
      </c>
      <c r="J67" s="792">
        <f>'Client Services LASER'!K66</f>
        <v>7821.0999999999995</v>
      </c>
      <c r="K67" s="793">
        <f>'Client Services LASER'!I66</f>
        <v>50327.199999999997</v>
      </c>
      <c r="L67" s="791">
        <f>'Benefits Spending LASER'!D67</f>
        <v>7735014.8696656479</v>
      </c>
      <c r="M67" s="792">
        <f>'Benefits Spending LASER'!E67</f>
        <v>6103836.8122411454</v>
      </c>
      <c r="N67" s="792">
        <f>'Benefits Spending LASER'!I67</f>
        <v>450162.77907250001</v>
      </c>
      <c r="O67" s="793">
        <f t="shared" si="16"/>
        <v>14289014.460979294</v>
      </c>
      <c r="P67" s="1462">
        <f t="shared" si="12"/>
        <v>8237876.7996656476</v>
      </c>
      <c r="Q67" s="792">
        <f t="shared" si="13"/>
        <v>6320114.0622411454</v>
      </c>
      <c r="R67" s="792">
        <f t="shared" si="14"/>
        <v>846938.94907249999</v>
      </c>
      <c r="S67" s="793">
        <f t="shared" si="15"/>
        <v>15404929.810979294</v>
      </c>
      <c r="U67" s="627">
        <f t="shared" si="17"/>
        <v>0.45474370187018326</v>
      </c>
      <c r="V67" s="628">
        <f t="shared" si="18"/>
        <v>0.18024185047478242</v>
      </c>
      <c r="W67" s="628">
        <f t="shared" si="19"/>
        <v>0.36501444765503444</v>
      </c>
      <c r="X67" s="629">
        <f t="shared" si="5"/>
        <v>0.63498555234496568</v>
      </c>
      <c r="Z67" s="1471">
        <f t="shared" si="6"/>
        <v>6.9171892574320035E-2</v>
      </c>
      <c r="AA67" s="1381">
        <f t="shared" si="7"/>
        <v>3.2669541904781123E-3</v>
      </c>
      <c r="AB67" s="1473">
        <f t="shared" si="8"/>
        <v>0.92756115323520183</v>
      </c>
      <c r="AD67" s="1471">
        <f t="shared" si="9"/>
        <v>0.4592480608265242</v>
      </c>
      <c r="AE67" s="1381">
        <f t="shared" si="10"/>
        <v>9.2345499148020586E-3</v>
      </c>
      <c r="AF67" s="1473">
        <f t="shared" si="11"/>
        <v>0.53151738925867376</v>
      </c>
    </row>
    <row r="68" spans="1:32" x14ac:dyDescent="0.25">
      <c r="A68" s="740" t="s">
        <v>162</v>
      </c>
      <c r="B68" s="592" t="s">
        <v>163</v>
      </c>
      <c r="C68" s="741" t="s">
        <v>264</v>
      </c>
      <c r="D68" s="791">
        <f>'Administration LASER'!D67+'Other Oper Exp. LASER'!D67</f>
        <v>1136352.06</v>
      </c>
      <c r="E68" s="792">
        <f>'Administration LASER'!E67+'Other Oper Exp. LASER'!E67</f>
        <v>545182.25</v>
      </c>
      <c r="F68" s="792">
        <f>'Administration LASER'!K67+'Other Oper Exp. LASER'!K67</f>
        <v>567519.71</v>
      </c>
      <c r="G68" s="793">
        <f>'Administration LASER'!I67+'Other Oper Exp. LASER'!I67</f>
        <v>2249054.0199999996</v>
      </c>
      <c r="H68" s="791">
        <f>'Client Services LASER'!D67</f>
        <v>56129.369999999995</v>
      </c>
      <c r="I68" s="792">
        <f>'Client Services LASER'!E67</f>
        <v>21993.87</v>
      </c>
      <c r="J68" s="792">
        <f>'Client Services LASER'!K67</f>
        <v>16527.87</v>
      </c>
      <c r="K68" s="793">
        <f>'Client Services LASER'!I67</f>
        <v>94651.109999999986</v>
      </c>
      <c r="L68" s="791">
        <f>'Benefits Spending LASER'!D68</f>
        <v>17725986.546333633</v>
      </c>
      <c r="M68" s="792">
        <f>'Benefits Spending LASER'!E68</f>
        <v>13599526.778156137</v>
      </c>
      <c r="N68" s="792">
        <f>'Benefits Spending LASER'!I68</f>
        <v>164101.16333750001</v>
      </c>
      <c r="O68" s="793">
        <f t="shared" si="16"/>
        <v>31489614.487827271</v>
      </c>
      <c r="P68" s="1462">
        <f t="shared" si="12"/>
        <v>18918467.976333633</v>
      </c>
      <c r="Q68" s="792">
        <f t="shared" si="13"/>
        <v>14166702.898156136</v>
      </c>
      <c r="R68" s="792">
        <f t="shared" si="14"/>
        <v>748148.74333749991</v>
      </c>
      <c r="S68" s="793">
        <f t="shared" si="15"/>
        <v>33833319.617827274</v>
      </c>
      <c r="U68" s="627">
        <f t="shared" si="17"/>
        <v>0.5052577883389392</v>
      </c>
      <c r="V68" s="628">
        <f t="shared" si="18"/>
        <v>0.24240513796107047</v>
      </c>
      <c r="W68" s="628">
        <f t="shared" si="19"/>
        <v>0.25233707369999059</v>
      </c>
      <c r="X68" s="629">
        <f t="shared" si="5"/>
        <v>0.74766292630000963</v>
      </c>
      <c r="Z68" s="1471">
        <f t="shared" si="6"/>
        <v>6.6474530001925672E-2</v>
      </c>
      <c r="AA68" s="1381">
        <f t="shared" si="7"/>
        <v>2.7975708877862201E-3</v>
      </c>
      <c r="AB68" s="1473">
        <f t="shared" si="8"/>
        <v>0.93072789911028797</v>
      </c>
      <c r="AD68" s="1471">
        <f t="shared" si="9"/>
        <v>0.75856534553314647</v>
      </c>
      <c r="AE68" s="1381">
        <f t="shared" si="10"/>
        <v>2.209168985069598E-2</v>
      </c>
      <c r="AF68" s="1473">
        <f t="shared" si="11"/>
        <v>0.2193429646161576</v>
      </c>
    </row>
    <row r="69" spans="1:32" x14ac:dyDescent="0.25">
      <c r="A69" s="740" t="s">
        <v>164</v>
      </c>
      <c r="B69" s="592" t="s">
        <v>165</v>
      </c>
      <c r="C69" s="741" t="s">
        <v>266</v>
      </c>
      <c r="D69" s="791">
        <f>'Administration LASER'!D68+'Other Oper Exp. LASER'!D68</f>
        <v>526329.03</v>
      </c>
      <c r="E69" s="792">
        <f>'Administration LASER'!E68+'Other Oper Exp. LASER'!E68</f>
        <v>201952.21</v>
      </c>
      <c r="F69" s="792">
        <f>'Administration LASER'!K68+'Other Oper Exp. LASER'!K68</f>
        <v>429397.21</v>
      </c>
      <c r="G69" s="793">
        <f>'Administration LASER'!I68+'Other Oper Exp. LASER'!I68</f>
        <v>1157678.4500000002</v>
      </c>
      <c r="H69" s="791">
        <f>'Client Services LASER'!D68</f>
        <v>33794.300000000003</v>
      </c>
      <c r="I69" s="792">
        <f>'Client Services LASER'!E68</f>
        <v>7844.7000000000007</v>
      </c>
      <c r="J69" s="792">
        <f>'Client Services LASER'!K68</f>
        <v>8294.9199999999983</v>
      </c>
      <c r="K69" s="793">
        <f>'Client Services LASER'!I68</f>
        <v>49933.919999999998</v>
      </c>
      <c r="L69" s="791">
        <f>'Benefits Spending LASER'!D69</f>
        <v>9086619.8047616407</v>
      </c>
      <c r="M69" s="792">
        <f>'Benefits Spending LASER'!E69</f>
        <v>6545245.0461616423</v>
      </c>
      <c r="N69" s="792">
        <f>'Benefits Spending LASER'!I69</f>
        <v>79332.408299999996</v>
      </c>
      <c r="O69" s="793">
        <f t="shared" ref="O69:O100" si="20">SUM(L69:N69)</f>
        <v>15711197.259223282</v>
      </c>
      <c r="P69" s="1462">
        <f t="shared" si="12"/>
        <v>9646743.1347616408</v>
      </c>
      <c r="Q69" s="792">
        <f t="shared" si="13"/>
        <v>6755041.9561616424</v>
      </c>
      <c r="R69" s="792">
        <f t="shared" si="14"/>
        <v>517024.53830000001</v>
      </c>
      <c r="S69" s="793">
        <f t="shared" si="15"/>
        <v>16918809.629223283</v>
      </c>
      <c r="U69" s="627">
        <f t="shared" ref="U69:U100" si="21">D69/G69</f>
        <v>0.45464181353639255</v>
      </c>
      <c r="V69" s="628">
        <f t="shared" ref="V69:V100" si="22">E69/G69</f>
        <v>0.17444585756951764</v>
      </c>
      <c r="W69" s="628">
        <f t="shared" ref="W69:W100" si="23">F69/G69</f>
        <v>0.3709123288940897</v>
      </c>
      <c r="X69" s="629">
        <f t="shared" si="5"/>
        <v>0.62908767110591013</v>
      </c>
      <c r="Z69" s="1471">
        <f t="shared" si="6"/>
        <v>6.8425526107958656E-2</v>
      </c>
      <c r="AA69" s="1381">
        <f t="shared" si="7"/>
        <v>2.9513849434035146E-3</v>
      </c>
      <c r="AB69" s="1473">
        <f t="shared" si="8"/>
        <v>0.92862308894863776</v>
      </c>
      <c r="AD69" s="1471">
        <f t="shared" si="9"/>
        <v>0.83051611324266617</v>
      </c>
      <c r="AE69" s="1381">
        <f t="shared" si="10"/>
        <v>1.6043571214770715E-2</v>
      </c>
      <c r="AF69" s="1473">
        <f t="shared" si="11"/>
        <v>0.15344031554256307</v>
      </c>
    </row>
    <row r="70" spans="1:32" x14ac:dyDescent="0.25">
      <c r="A70" s="740" t="s">
        <v>168</v>
      </c>
      <c r="B70" s="592" t="s">
        <v>169</v>
      </c>
      <c r="C70" s="741" t="s">
        <v>266</v>
      </c>
      <c r="D70" s="791">
        <f>'Administration LASER'!D69+'Other Oper Exp. LASER'!D69</f>
        <v>648427.67000000004</v>
      </c>
      <c r="E70" s="792">
        <f>'Administration LASER'!E69+'Other Oper Exp. LASER'!E69</f>
        <v>305915.3</v>
      </c>
      <c r="F70" s="792">
        <f>'Administration LASER'!K69+'Other Oper Exp. LASER'!K69</f>
        <v>328501.59000000003</v>
      </c>
      <c r="G70" s="793">
        <f>'Administration LASER'!I69+'Other Oper Exp. LASER'!I69</f>
        <v>1282844.56</v>
      </c>
      <c r="H70" s="791">
        <f>'Client Services LASER'!D69</f>
        <v>47685.33</v>
      </c>
      <c r="I70" s="792">
        <f>'Client Services LASER'!E69</f>
        <v>64620.76</v>
      </c>
      <c r="J70" s="792">
        <f>'Client Services LASER'!K69</f>
        <v>21381.71</v>
      </c>
      <c r="K70" s="793">
        <f>'Client Services LASER'!I69</f>
        <v>133687.79999999999</v>
      </c>
      <c r="L70" s="791">
        <f>'Benefits Spending LASER'!D70</f>
        <v>18362987.045992978</v>
      </c>
      <c r="M70" s="792">
        <f>'Benefits Spending LASER'!E70</f>
        <v>13296467.011789229</v>
      </c>
      <c r="N70" s="792">
        <f>'Benefits Spending LASER'!I70</f>
        <v>292558.87544374994</v>
      </c>
      <c r="O70" s="793">
        <f t="shared" si="20"/>
        <v>31952012.933225956</v>
      </c>
      <c r="P70" s="1462">
        <f t="shared" si="12"/>
        <v>19059100.045992978</v>
      </c>
      <c r="Q70" s="792">
        <f t="shared" si="13"/>
        <v>13667003.071789229</v>
      </c>
      <c r="R70" s="792">
        <f t="shared" si="14"/>
        <v>642442.17544374999</v>
      </c>
      <c r="S70" s="793">
        <f t="shared" si="15"/>
        <v>33368545.293225955</v>
      </c>
      <c r="U70" s="627">
        <f t="shared" si="21"/>
        <v>0.50546082527722613</v>
      </c>
      <c r="V70" s="628">
        <f t="shared" si="22"/>
        <v>0.23846638130499612</v>
      </c>
      <c r="W70" s="628">
        <f t="shared" si="23"/>
        <v>0.25607279341777778</v>
      </c>
      <c r="X70" s="629">
        <f t="shared" ref="X70:X125" si="24">(D70+E70)/G70</f>
        <v>0.74392720658222222</v>
      </c>
      <c r="Z70" s="1471">
        <f t="shared" ref="Z70:Z125" si="25">G70/S70</f>
        <v>3.8444725376159158E-2</v>
      </c>
      <c r="AA70" s="1381">
        <f t="shared" ref="AA70:AA125" si="26">K70/S70</f>
        <v>4.006401802212802E-3</v>
      </c>
      <c r="AB70" s="1473">
        <f t="shared" ref="AB70:AB125" si="27">O70/S70</f>
        <v>0.95754887282162804</v>
      </c>
      <c r="AD70" s="1471">
        <f t="shared" ref="AD70:AD125" si="28">F70/R70</f>
        <v>0.51133254097630843</v>
      </c>
      <c r="AE70" s="1381">
        <f t="shared" ref="AE70:AE125" si="29">J70/R70</f>
        <v>3.3281921419980168E-2</v>
      </c>
      <c r="AF70" s="1473">
        <f t="shared" ref="AF70:AF125" si="30">N70/R70</f>
        <v>0.45538553760371137</v>
      </c>
    </row>
    <row r="71" spans="1:32" x14ac:dyDescent="0.25">
      <c r="A71" s="740" t="s">
        <v>170</v>
      </c>
      <c r="B71" s="592" t="s">
        <v>171</v>
      </c>
      <c r="C71" s="741" t="s">
        <v>267</v>
      </c>
      <c r="D71" s="791">
        <f>'Administration LASER'!D70+'Other Oper Exp. LASER'!D70</f>
        <v>815183.46</v>
      </c>
      <c r="E71" s="792">
        <f>'Administration LASER'!E70+'Other Oper Exp. LASER'!E70</f>
        <v>336468.88</v>
      </c>
      <c r="F71" s="792">
        <f>'Administration LASER'!K70+'Other Oper Exp. LASER'!K70</f>
        <v>906322.44000000006</v>
      </c>
      <c r="G71" s="793">
        <f>'Administration LASER'!I70+'Other Oper Exp. LASER'!I70</f>
        <v>2057974.7799999998</v>
      </c>
      <c r="H71" s="791">
        <f>'Client Services LASER'!D70</f>
        <v>26580.49</v>
      </c>
      <c r="I71" s="792">
        <f>'Client Services LASER'!E70</f>
        <v>20511.52</v>
      </c>
      <c r="J71" s="792">
        <f>'Client Services LASER'!K70</f>
        <v>13458.37</v>
      </c>
      <c r="K71" s="793">
        <f>'Client Services LASER'!I70</f>
        <v>60550.380000000005</v>
      </c>
      <c r="L71" s="791">
        <f>'Benefits Spending LASER'!D71</f>
        <v>21898099.727531277</v>
      </c>
      <c r="M71" s="792">
        <f>'Benefits Spending LASER'!E71</f>
        <v>17644482.533707526</v>
      </c>
      <c r="N71" s="792">
        <f>'Benefits Spending LASER'!I71</f>
        <v>876569.24782375013</v>
      </c>
      <c r="O71" s="793">
        <f t="shared" si="20"/>
        <v>40419151.509062551</v>
      </c>
      <c r="P71" s="1462">
        <f t="shared" ref="P71:P125" si="31">D71+H71+L71</f>
        <v>22739863.677531276</v>
      </c>
      <c r="Q71" s="792">
        <f t="shared" ref="Q71:Q125" si="32">E71+I71+M71</f>
        <v>18001462.933707524</v>
      </c>
      <c r="R71" s="792">
        <f t="shared" ref="R71:R125" si="33">F71+J71+N71</f>
        <v>1796350.0578237502</v>
      </c>
      <c r="S71" s="793">
        <f t="shared" ref="S71:S125" si="34">G71+K71+O71</f>
        <v>42537676.669062547</v>
      </c>
      <c r="U71" s="627">
        <f t="shared" si="21"/>
        <v>0.39610954804800863</v>
      </c>
      <c r="V71" s="628">
        <f t="shared" si="22"/>
        <v>0.16349514254008499</v>
      </c>
      <c r="W71" s="628">
        <f t="shared" si="23"/>
        <v>0.44039530941190647</v>
      </c>
      <c r="X71" s="629">
        <f t="shared" si="24"/>
        <v>0.55960469058809359</v>
      </c>
      <c r="Z71" s="1471">
        <f t="shared" si="25"/>
        <v>4.8380046611637237E-2</v>
      </c>
      <c r="AA71" s="1381">
        <f t="shared" si="26"/>
        <v>1.4234529184815119E-3</v>
      </c>
      <c r="AB71" s="1473">
        <f t="shared" si="27"/>
        <v>0.95019650046988136</v>
      </c>
      <c r="AD71" s="1471">
        <f t="shared" si="28"/>
        <v>0.50453553640763948</v>
      </c>
      <c r="AE71" s="1381">
        <f t="shared" si="29"/>
        <v>7.492064222885713E-3</v>
      </c>
      <c r="AF71" s="1473">
        <f t="shared" si="30"/>
        <v>0.48797239936947479</v>
      </c>
    </row>
    <row r="72" spans="1:32" x14ac:dyDescent="0.25">
      <c r="A72" s="740" t="s">
        <v>172</v>
      </c>
      <c r="B72" s="592" t="s">
        <v>173</v>
      </c>
      <c r="C72" s="741" t="s">
        <v>267</v>
      </c>
      <c r="D72" s="791">
        <f>'Administration LASER'!D71+'Other Oper Exp. LASER'!D71</f>
        <v>755148.46000000008</v>
      </c>
      <c r="E72" s="792">
        <f>'Administration LASER'!E71+'Other Oper Exp. LASER'!E71</f>
        <v>362698.05</v>
      </c>
      <c r="F72" s="792">
        <f>'Administration LASER'!K71+'Other Oper Exp. LASER'!K71</f>
        <v>364376.49</v>
      </c>
      <c r="G72" s="793">
        <f>'Administration LASER'!I71+'Other Oper Exp. LASER'!I71</f>
        <v>1482223</v>
      </c>
      <c r="H72" s="791">
        <f>'Client Services LASER'!D71</f>
        <v>25109.17</v>
      </c>
      <c r="I72" s="792">
        <f>'Client Services LASER'!E71</f>
        <v>13028.509999999998</v>
      </c>
      <c r="J72" s="792">
        <f>'Client Services LASER'!K71</f>
        <v>9507.7999999999993</v>
      </c>
      <c r="K72" s="793">
        <f>'Client Services LASER'!I71</f>
        <v>47645.479999999996</v>
      </c>
      <c r="L72" s="791">
        <f>'Benefits Spending LASER'!D72</f>
        <v>18886483.674847286</v>
      </c>
      <c r="M72" s="792">
        <f>'Benefits Spending LASER'!E72</f>
        <v>13827862.88721416</v>
      </c>
      <c r="N72" s="792">
        <f>'Benefits Spending LASER'!I72</f>
        <v>364849.79283312499</v>
      </c>
      <c r="O72" s="793">
        <f t="shared" si="20"/>
        <v>33079196.354894567</v>
      </c>
      <c r="P72" s="1462">
        <f t="shared" si="31"/>
        <v>19666741.304847285</v>
      </c>
      <c r="Q72" s="792">
        <f t="shared" si="32"/>
        <v>14203589.44721416</v>
      </c>
      <c r="R72" s="792">
        <f t="shared" si="33"/>
        <v>738734.08283312502</v>
      </c>
      <c r="S72" s="793">
        <f t="shared" si="34"/>
        <v>34609064.834894568</v>
      </c>
      <c r="U72" s="627">
        <f t="shared" si="21"/>
        <v>0.50947020792417885</v>
      </c>
      <c r="V72" s="628">
        <f t="shared" si="22"/>
        <v>0.24469870593021428</v>
      </c>
      <c r="W72" s="628">
        <f t="shared" si="23"/>
        <v>0.24583108614560698</v>
      </c>
      <c r="X72" s="629">
        <f t="shared" si="24"/>
        <v>0.754168913854393</v>
      </c>
      <c r="Z72" s="1471">
        <f t="shared" si="25"/>
        <v>4.2827594651027659E-2</v>
      </c>
      <c r="AA72" s="1381">
        <f t="shared" si="26"/>
        <v>1.3766763195508672E-3</v>
      </c>
      <c r="AB72" s="1473">
        <f t="shared" si="27"/>
        <v>0.95579572902942145</v>
      </c>
      <c r="AD72" s="1471">
        <f t="shared" si="28"/>
        <v>0.49324445489583585</v>
      </c>
      <c r="AE72" s="1381">
        <f t="shared" si="29"/>
        <v>1.2870395749897661E-2</v>
      </c>
      <c r="AF72" s="1473">
        <f t="shared" si="30"/>
        <v>0.49388514935426642</v>
      </c>
    </row>
    <row r="73" spans="1:32" x14ac:dyDescent="0.25">
      <c r="A73" s="740" t="s">
        <v>174</v>
      </c>
      <c r="B73" s="592" t="s">
        <v>175</v>
      </c>
      <c r="C73" s="741" t="s">
        <v>268</v>
      </c>
      <c r="D73" s="791">
        <f>'Administration LASER'!D72+'Other Oper Exp. LASER'!D72</f>
        <v>641378.67999999993</v>
      </c>
      <c r="E73" s="792">
        <f>'Administration LASER'!E72+'Other Oper Exp. LASER'!E72</f>
        <v>315497.12</v>
      </c>
      <c r="F73" s="792">
        <f>'Administration LASER'!K72+'Other Oper Exp. LASER'!K72</f>
        <v>306166.34999999998</v>
      </c>
      <c r="G73" s="793">
        <f>'Administration LASER'!I72+'Other Oper Exp. LASER'!I72</f>
        <v>1263042.1500000001</v>
      </c>
      <c r="H73" s="791">
        <f>'Client Services LASER'!D72</f>
        <v>36077.56</v>
      </c>
      <c r="I73" s="792">
        <f>'Client Services LASER'!E72</f>
        <v>23743.02</v>
      </c>
      <c r="J73" s="792">
        <f>'Client Services LASER'!K72</f>
        <v>12081.560000000001</v>
      </c>
      <c r="K73" s="793">
        <f>'Client Services LASER'!I72</f>
        <v>71902.140000000014</v>
      </c>
      <c r="L73" s="791">
        <f>'Benefits Spending LASER'!D73</f>
        <v>16867136.039308202</v>
      </c>
      <c r="M73" s="792">
        <f>'Benefits Spending LASER'!E73</f>
        <v>12407389.66526895</v>
      </c>
      <c r="N73" s="792">
        <f>'Benefits Spending LASER'!I73</f>
        <v>57207.157351249996</v>
      </c>
      <c r="O73" s="793">
        <f t="shared" si="20"/>
        <v>29331732.861928403</v>
      </c>
      <c r="P73" s="1462">
        <f t="shared" si="31"/>
        <v>17544592.2793082</v>
      </c>
      <c r="Q73" s="792">
        <f t="shared" si="32"/>
        <v>12746629.805268951</v>
      </c>
      <c r="R73" s="792">
        <f t="shared" si="33"/>
        <v>375455.06735124998</v>
      </c>
      <c r="S73" s="793">
        <f t="shared" si="34"/>
        <v>30666677.151928402</v>
      </c>
      <c r="U73" s="627">
        <f t="shared" si="21"/>
        <v>0.50780465244172557</v>
      </c>
      <c r="V73" s="628">
        <f t="shared" si="22"/>
        <v>0.24979144203540632</v>
      </c>
      <c r="W73" s="628">
        <f t="shared" si="23"/>
        <v>0.24240390552286789</v>
      </c>
      <c r="X73" s="629">
        <f t="shared" si="24"/>
        <v>0.75759609447713194</v>
      </c>
      <c r="Z73" s="1471">
        <f t="shared" si="25"/>
        <v>4.1186142983234059E-2</v>
      </c>
      <c r="AA73" s="1381">
        <f t="shared" si="26"/>
        <v>2.3446341983444597E-3</v>
      </c>
      <c r="AB73" s="1473">
        <f t="shared" si="27"/>
        <v>0.95646922281842151</v>
      </c>
      <c r="AD73" s="1471">
        <f t="shared" si="28"/>
        <v>0.81545403597808352</v>
      </c>
      <c r="AE73" s="1381">
        <f t="shared" si="29"/>
        <v>3.217844437480271E-2</v>
      </c>
      <c r="AF73" s="1473">
        <f t="shared" si="30"/>
        <v>0.15236751964711376</v>
      </c>
    </row>
    <row r="74" spans="1:32" x14ac:dyDescent="0.25">
      <c r="A74" s="740" t="s">
        <v>178</v>
      </c>
      <c r="B74" s="592" t="s">
        <v>179</v>
      </c>
      <c r="C74" s="741" t="s">
        <v>265</v>
      </c>
      <c r="D74" s="791">
        <f>'Administration LASER'!D73+'Other Oper Exp. LASER'!D73</f>
        <v>1900959.82</v>
      </c>
      <c r="E74" s="792">
        <f>'Administration LASER'!E73+'Other Oper Exp. LASER'!E73</f>
        <v>946158.67999999993</v>
      </c>
      <c r="F74" s="792">
        <f>'Administration LASER'!K73+'Other Oper Exp. LASER'!K73</f>
        <v>1116201.22</v>
      </c>
      <c r="G74" s="793">
        <f>'Administration LASER'!I73+'Other Oper Exp. LASER'!I73</f>
        <v>3963319.7199999993</v>
      </c>
      <c r="H74" s="791">
        <f>'Client Services LASER'!D73</f>
        <v>86101.98</v>
      </c>
      <c r="I74" s="792">
        <f>'Client Services LASER'!E73</f>
        <v>22579.79</v>
      </c>
      <c r="J74" s="792">
        <f>'Client Services LASER'!K73</f>
        <v>22221.67</v>
      </c>
      <c r="K74" s="793">
        <f>'Client Services LASER'!I73</f>
        <v>130903.43999999999</v>
      </c>
      <c r="L74" s="791">
        <f>'Benefits Spending LASER'!D74</f>
        <v>57372704.544677518</v>
      </c>
      <c r="M74" s="792">
        <f>'Benefits Spending LASER'!E74</f>
        <v>45336534.546777137</v>
      </c>
      <c r="N74" s="792">
        <f>'Benefits Spending LASER'!I74</f>
        <v>1103062.4757243751</v>
      </c>
      <c r="O74" s="793">
        <f t="shared" si="20"/>
        <v>103812301.56717902</v>
      </c>
      <c r="P74" s="1462">
        <f t="shared" si="31"/>
        <v>59359766.344677515</v>
      </c>
      <c r="Q74" s="792">
        <f t="shared" si="32"/>
        <v>46305273.016777135</v>
      </c>
      <c r="R74" s="792">
        <f t="shared" si="33"/>
        <v>2241485.365724375</v>
      </c>
      <c r="S74" s="793">
        <f t="shared" si="34"/>
        <v>107906524.72717902</v>
      </c>
      <c r="U74" s="627">
        <f t="shared" si="21"/>
        <v>0.47963827152455935</v>
      </c>
      <c r="V74" s="628">
        <f t="shared" si="22"/>
        <v>0.23872883008287812</v>
      </c>
      <c r="W74" s="628">
        <f t="shared" si="23"/>
        <v>0.28163289839256272</v>
      </c>
      <c r="X74" s="629">
        <f t="shared" si="24"/>
        <v>0.71836710160743744</v>
      </c>
      <c r="Z74" s="1471">
        <f t="shared" si="25"/>
        <v>3.672919436540556E-2</v>
      </c>
      <c r="AA74" s="1381">
        <f t="shared" si="26"/>
        <v>1.2131188575571705E-3</v>
      </c>
      <c r="AB74" s="1473">
        <f t="shared" si="27"/>
        <v>0.96205768677703729</v>
      </c>
      <c r="AD74" s="1471">
        <f t="shared" si="28"/>
        <v>0.49797390474565073</v>
      </c>
      <c r="AE74" s="1381">
        <f t="shared" si="29"/>
        <v>9.9138144463498112E-3</v>
      </c>
      <c r="AF74" s="1473">
        <f t="shared" si="30"/>
        <v>0.49211228080799951</v>
      </c>
    </row>
    <row r="75" spans="1:32" x14ac:dyDescent="0.25">
      <c r="A75" s="740" t="s">
        <v>182</v>
      </c>
      <c r="B75" s="592" t="s">
        <v>183</v>
      </c>
      <c r="C75" s="741" t="s">
        <v>266</v>
      </c>
      <c r="D75" s="791">
        <f>'Administration LASER'!D74+'Other Oper Exp. LASER'!D74</f>
        <v>522971.69</v>
      </c>
      <c r="E75" s="792">
        <f>'Administration LASER'!E74+'Other Oper Exp. LASER'!E74</f>
        <v>169873.81</v>
      </c>
      <c r="F75" s="792">
        <f>'Administration LASER'!K74+'Other Oper Exp. LASER'!K74</f>
        <v>557264.51</v>
      </c>
      <c r="G75" s="793">
        <f>'Administration LASER'!I74+'Other Oper Exp. LASER'!I74</f>
        <v>1250110.01</v>
      </c>
      <c r="H75" s="791">
        <f>'Client Services LASER'!D74</f>
        <v>23867.9</v>
      </c>
      <c r="I75" s="792">
        <f>'Client Services LASER'!E74</f>
        <v>15869.640000000001</v>
      </c>
      <c r="J75" s="792">
        <f>'Client Services LASER'!K74</f>
        <v>8836.84</v>
      </c>
      <c r="K75" s="793">
        <f>'Client Services LASER'!I74</f>
        <v>48574.380000000005</v>
      </c>
      <c r="L75" s="791">
        <f>'Benefits Spending LASER'!D75</f>
        <v>9095278.8354715947</v>
      </c>
      <c r="M75" s="792">
        <f>'Benefits Spending LASER'!E75</f>
        <v>7979985.8735753428</v>
      </c>
      <c r="N75" s="792">
        <f>'Benefits Spending LASER'!I75</f>
        <v>883811.90869624994</v>
      </c>
      <c r="O75" s="793">
        <f t="shared" si="20"/>
        <v>17959076.617743187</v>
      </c>
      <c r="P75" s="1462">
        <f t="shared" si="31"/>
        <v>9642118.4254715946</v>
      </c>
      <c r="Q75" s="792">
        <f t="shared" si="32"/>
        <v>8165729.323575343</v>
      </c>
      <c r="R75" s="792">
        <f t="shared" si="33"/>
        <v>1449913.2586962499</v>
      </c>
      <c r="S75" s="793">
        <f t="shared" si="34"/>
        <v>19257761.007743187</v>
      </c>
      <c r="U75" s="627">
        <f t="shared" si="21"/>
        <v>0.41834053468622334</v>
      </c>
      <c r="V75" s="628">
        <f t="shared" si="22"/>
        <v>0.13588708884908457</v>
      </c>
      <c r="W75" s="628">
        <f t="shared" si="23"/>
        <v>0.44577237646469209</v>
      </c>
      <c r="X75" s="629">
        <f t="shared" si="24"/>
        <v>0.55422762353530786</v>
      </c>
      <c r="Z75" s="1471">
        <f t="shared" si="25"/>
        <v>6.491460816744761E-2</v>
      </c>
      <c r="AA75" s="1381">
        <f t="shared" si="26"/>
        <v>2.5223274907435578E-3</v>
      </c>
      <c r="AB75" s="1473">
        <f t="shared" si="27"/>
        <v>0.9325630643418088</v>
      </c>
      <c r="AD75" s="1471">
        <f t="shared" si="28"/>
        <v>0.38434334375360335</v>
      </c>
      <c r="AE75" s="1381">
        <f t="shared" si="29"/>
        <v>6.0947370106443572E-3</v>
      </c>
      <c r="AF75" s="1473">
        <f t="shared" si="30"/>
        <v>0.60956191923575231</v>
      </c>
    </row>
    <row r="76" spans="1:32" x14ac:dyDescent="0.25">
      <c r="A76" s="740" t="s">
        <v>184</v>
      </c>
      <c r="B76" s="592" t="s">
        <v>185</v>
      </c>
      <c r="C76" s="741" t="s">
        <v>266</v>
      </c>
      <c r="D76" s="791">
        <f>'Administration LASER'!D75+'Other Oper Exp. LASER'!D75</f>
        <v>1032887.7100000001</v>
      </c>
      <c r="E76" s="792">
        <f>'Administration LASER'!E75+'Other Oper Exp. LASER'!E75</f>
        <v>440652.55</v>
      </c>
      <c r="F76" s="792">
        <f>'Administration LASER'!K75+'Other Oper Exp. LASER'!K75</f>
        <v>693150.86999999988</v>
      </c>
      <c r="G76" s="793">
        <f>'Administration LASER'!I75+'Other Oper Exp. LASER'!I75</f>
        <v>2166691.13</v>
      </c>
      <c r="H76" s="791">
        <f>'Client Services LASER'!D75</f>
        <v>46989.47</v>
      </c>
      <c r="I76" s="792">
        <f>'Client Services LASER'!E75</f>
        <v>102647.78</v>
      </c>
      <c r="J76" s="792">
        <f>'Client Services LASER'!K75</f>
        <v>27733.690000000002</v>
      </c>
      <c r="K76" s="793">
        <f>'Client Services LASER'!I75</f>
        <v>177370.94</v>
      </c>
      <c r="L76" s="791">
        <f>'Benefits Spending LASER'!D76</f>
        <v>20646662.427658647</v>
      </c>
      <c r="M76" s="792">
        <f>'Benefits Spending LASER'!E76</f>
        <v>16236361.323513646</v>
      </c>
      <c r="N76" s="792">
        <f>'Benefits Spending LASER'!I76</f>
        <v>244760.429145</v>
      </c>
      <c r="O76" s="793">
        <f t="shared" si="20"/>
        <v>37127784.18031729</v>
      </c>
      <c r="P76" s="1462">
        <f t="shared" si="31"/>
        <v>21726539.607658647</v>
      </c>
      <c r="Q76" s="792">
        <f t="shared" si="32"/>
        <v>16779661.653513644</v>
      </c>
      <c r="R76" s="792">
        <f t="shared" si="33"/>
        <v>965644.98914499977</v>
      </c>
      <c r="S76" s="793">
        <f t="shared" si="34"/>
        <v>39471846.25031729</v>
      </c>
      <c r="U76" s="627">
        <f t="shared" si="21"/>
        <v>0.47671202216995284</v>
      </c>
      <c r="V76" s="628">
        <f t="shared" si="22"/>
        <v>0.20337580373073297</v>
      </c>
      <c r="W76" s="628">
        <f t="shared" si="23"/>
        <v>0.31991217409931427</v>
      </c>
      <c r="X76" s="629">
        <f t="shared" si="24"/>
        <v>0.68008782590068573</v>
      </c>
      <c r="Z76" s="1471">
        <f t="shared" si="25"/>
        <v>5.4892064492234972E-2</v>
      </c>
      <c r="AA76" s="1381">
        <f t="shared" si="26"/>
        <v>4.493606376432778E-3</v>
      </c>
      <c r="AB76" s="1473">
        <f t="shared" si="27"/>
        <v>0.94061432913133225</v>
      </c>
      <c r="AD76" s="1471">
        <f t="shared" si="28"/>
        <v>0.71781128446980158</v>
      </c>
      <c r="AE76" s="1381">
        <f t="shared" si="29"/>
        <v>2.8720378929896311E-2</v>
      </c>
      <c r="AF76" s="1473">
        <f t="shared" si="30"/>
        <v>0.25346833660030221</v>
      </c>
    </row>
    <row r="77" spans="1:32" x14ac:dyDescent="0.25">
      <c r="A77" s="740" t="s">
        <v>186</v>
      </c>
      <c r="B77" s="592" t="s">
        <v>187</v>
      </c>
      <c r="C77" s="741" t="s">
        <v>264</v>
      </c>
      <c r="D77" s="791">
        <f>'Administration LASER'!D76+'Other Oper Exp. LASER'!D76</f>
        <v>853215.48</v>
      </c>
      <c r="E77" s="792">
        <f>'Administration LASER'!E76+'Other Oper Exp. LASER'!E76</f>
        <v>310712.09999999998</v>
      </c>
      <c r="F77" s="792">
        <f>'Administration LASER'!K76+'Other Oper Exp. LASER'!K76</f>
        <v>817752.4800000001</v>
      </c>
      <c r="G77" s="793">
        <f>'Administration LASER'!I76+'Other Oper Exp. LASER'!I76</f>
        <v>1981680.06</v>
      </c>
      <c r="H77" s="791">
        <f>'Client Services LASER'!D76</f>
        <v>31879.86</v>
      </c>
      <c r="I77" s="792">
        <f>'Client Services LASER'!E76</f>
        <v>12155.130000000001</v>
      </c>
      <c r="J77" s="792">
        <f>'Client Services LASER'!K76</f>
        <v>8563.56</v>
      </c>
      <c r="K77" s="793">
        <f>'Client Services LASER'!I76</f>
        <v>52598.55</v>
      </c>
      <c r="L77" s="791">
        <f>'Benefits Spending LASER'!D77</f>
        <v>16403079.671786388</v>
      </c>
      <c r="M77" s="792">
        <f>'Benefits Spending LASER'!E77</f>
        <v>12388646.863630386</v>
      </c>
      <c r="N77" s="792">
        <f>'Benefits Spending LASER'!I77</f>
        <v>507998.64635599998</v>
      </c>
      <c r="O77" s="793">
        <f t="shared" si="20"/>
        <v>29299725.181772776</v>
      </c>
      <c r="P77" s="1462">
        <f t="shared" si="31"/>
        <v>17288175.01178639</v>
      </c>
      <c r="Q77" s="792">
        <f t="shared" si="32"/>
        <v>12711514.093630387</v>
      </c>
      <c r="R77" s="792">
        <f t="shared" si="33"/>
        <v>1334314.6863560001</v>
      </c>
      <c r="S77" s="793">
        <f t="shared" si="34"/>
        <v>31334003.791772775</v>
      </c>
      <c r="U77" s="627">
        <f t="shared" si="21"/>
        <v>0.43055157955215029</v>
      </c>
      <c r="V77" s="628">
        <f t="shared" si="22"/>
        <v>0.1567922624199993</v>
      </c>
      <c r="W77" s="628">
        <f t="shared" si="23"/>
        <v>0.41265615802785038</v>
      </c>
      <c r="X77" s="629">
        <f t="shared" si="24"/>
        <v>0.58734384197214962</v>
      </c>
      <c r="Z77" s="1471">
        <f t="shared" si="25"/>
        <v>6.32437550326818E-2</v>
      </c>
      <c r="AA77" s="1381">
        <f t="shared" si="26"/>
        <v>1.6786412087500468E-3</v>
      </c>
      <c r="AB77" s="1473">
        <f t="shared" si="27"/>
        <v>0.93507760375856819</v>
      </c>
      <c r="AD77" s="1471">
        <f t="shared" si="28"/>
        <v>0.61286328357313802</v>
      </c>
      <c r="AE77" s="1381">
        <f t="shared" si="29"/>
        <v>6.4179462967517767E-3</v>
      </c>
      <c r="AF77" s="1473">
        <f t="shared" si="30"/>
        <v>0.38071877013011013</v>
      </c>
    </row>
    <row r="78" spans="1:32" x14ac:dyDescent="0.25">
      <c r="A78" s="740" t="s">
        <v>188</v>
      </c>
      <c r="B78" s="592" t="s">
        <v>189</v>
      </c>
      <c r="C78" s="741" t="s">
        <v>267</v>
      </c>
      <c r="D78" s="791">
        <f>'Administration LASER'!D77+'Other Oper Exp. LASER'!D77</f>
        <v>9755727.9699999988</v>
      </c>
      <c r="E78" s="792">
        <f>'Administration LASER'!E77+'Other Oper Exp. LASER'!E77</f>
        <v>2678116.0299999998</v>
      </c>
      <c r="F78" s="792">
        <f>'Administration LASER'!K77+'Other Oper Exp. LASER'!K77</f>
        <v>11942478.359999999</v>
      </c>
      <c r="G78" s="793">
        <f>'Administration LASER'!I77+'Other Oper Exp. LASER'!I77</f>
        <v>24376322.359999999</v>
      </c>
      <c r="H78" s="791">
        <f>'Client Services LASER'!D77</f>
        <v>264020.56999999995</v>
      </c>
      <c r="I78" s="792">
        <f>'Client Services LASER'!E77</f>
        <v>186996.18</v>
      </c>
      <c r="J78" s="792">
        <f>'Client Services LASER'!K77</f>
        <v>95100.530000000013</v>
      </c>
      <c r="K78" s="793">
        <f>'Client Services LASER'!I77</f>
        <v>546117.27999999991</v>
      </c>
      <c r="L78" s="791">
        <f>'Benefits Spending LASER'!D78</f>
        <v>189306505.39010188</v>
      </c>
      <c r="M78" s="792">
        <f>'Benefits Spending LASER'!E78</f>
        <v>141922750.17989141</v>
      </c>
      <c r="N78" s="792">
        <f>'Benefits Spending LASER'!I78</f>
        <v>3402459.1300924998</v>
      </c>
      <c r="O78" s="793">
        <f t="shared" si="20"/>
        <v>334631714.70008576</v>
      </c>
      <c r="P78" s="1462">
        <f t="shared" si="31"/>
        <v>199326253.93010187</v>
      </c>
      <c r="Q78" s="792">
        <f t="shared" si="32"/>
        <v>144787862.38989142</v>
      </c>
      <c r="R78" s="792">
        <f t="shared" si="33"/>
        <v>15440038.020092499</v>
      </c>
      <c r="S78" s="793">
        <f t="shared" si="34"/>
        <v>359554154.34008574</v>
      </c>
      <c r="U78" s="627">
        <f t="shared" si="21"/>
        <v>0.40021328180367888</v>
      </c>
      <c r="V78" s="628">
        <f t="shared" si="22"/>
        <v>0.10986546659698833</v>
      </c>
      <c r="W78" s="628">
        <f t="shared" si="23"/>
        <v>0.4899212515993327</v>
      </c>
      <c r="X78" s="629">
        <f t="shared" si="24"/>
        <v>0.51007874840066725</v>
      </c>
      <c r="Z78" s="1471">
        <f t="shared" si="25"/>
        <v>6.7795969162808112E-2</v>
      </c>
      <c r="AA78" s="1381">
        <f t="shared" si="26"/>
        <v>1.5188735087829153E-3</v>
      </c>
      <c r="AB78" s="1473">
        <f t="shared" si="27"/>
        <v>0.93068515732840906</v>
      </c>
      <c r="AD78" s="1471">
        <f t="shared" si="28"/>
        <v>0.77347467308428652</v>
      </c>
      <c r="AE78" s="1381">
        <f t="shared" si="29"/>
        <v>6.1593455842688582E-3</v>
      </c>
      <c r="AF78" s="1473">
        <f t="shared" si="30"/>
        <v>0.22036598133144469</v>
      </c>
    </row>
    <row r="79" spans="1:32" x14ac:dyDescent="0.25">
      <c r="A79" s="740" t="s">
        <v>190</v>
      </c>
      <c r="B79" s="592" t="s">
        <v>191</v>
      </c>
      <c r="C79" s="741" t="s">
        <v>268</v>
      </c>
      <c r="D79" s="791">
        <f>'Administration LASER'!D78+'Other Oper Exp. LASER'!D78</f>
        <v>1834421.74</v>
      </c>
      <c r="E79" s="792">
        <f>'Administration LASER'!E78+'Other Oper Exp. LASER'!E78</f>
        <v>902990.8</v>
      </c>
      <c r="F79" s="792">
        <f>'Administration LASER'!K78+'Other Oper Exp. LASER'!K78</f>
        <v>838290.65999999992</v>
      </c>
      <c r="G79" s="793">
        <f>'Administration LASER'!I78+'Other Oper Exp. LASER'!I78</f>
        <v>3575703.1999999997</v>
      </c>
      <c r="H79" s="791">
        <f>'Client Services LASER'!D78</f>
        <v>87536.61</v>
      </c>
      <c r="I79" s="792">
        <f>'Client Services LASER'!E78</f>
        <v>27635.11</v>
      </c>
      <c r="J79" s="792">
        <f>'Client Services LASER'!K78</f>
        <v>21008.07</v>
      </c>
      <c r="K79" s="793">
        <f>'Client Services LASER'!I78</f>
        <v>136179.79</v>
      </c>
      <c r="L79" s="791">
        <f>'Benefits Spending LASER'!D79</f>
        <v>32847238.389119748</v>
      </c>
      <c r="M79" s="792">
        <f>'Benefits Spending LASER'!E79</f>
        <v>26619752.752905998</v>
      </c>
      <c r="N79" s="792">
        <f>'Benefits Spending LASER'!I79</f>
        <v>1130806.6385937503</v>
      </c>
      <c r="O79" s="793">
        <f t="shared" si="20"/>
        <v>60597797.780619495</v>
      </c>
      <c r="P79" s="1462">
        <f t="shared" si="31"/>
        <v>34769196.739119746</v>
      </c>
      <c r="Q79" s="792">
        <f t="shared" si="32"/>
        <v>27550378.662905999</v>
      </c>
      <c r="R79" s="792">
        <f t="shared" si="33"/>
        <v>1990105.3685937501</v>
      </c>
      <c r="S79" s="793">
        <f t="shared" si="34"/>
        <v>64309680.770619497</v>
      </c>
      <c r="U79" s="627">
        <f t="shared" si="21"/>
        <v>0.51302405076573476</v>
      </c>
      <c r="V79" s="628">
        <f t="shared" si="22"/>
        <v>0.25253516567034984</v>
      </c>
      <c r="W79" s="628">
        <f t="shared" si="23"/>
        <v>0.23444078356391548</v>
      </c>
      <c r="X79" s="629">
        <f t="shared" si="24"/>
        <v>0.7655592164360846</v>
      </c>
      <c r="Z79" s="1471">
        <f t="shared" si="25"/>
        <v>5.5601320938815708E-2</v>
      </c>
      <c r="AA79" s="1381">
        <f t="shared" si="26"/>
        <v>2.1175628360794955E-3</v>
      </c>
      <c r="AB79" s="1473">
        <f t="shared" si="27"/>
        <v>0.9422811162251048</v>
      </c>
      <c r="AD79" s="1471">
        <f t="shared" si="28"/>
        <v>0.42122928425259892</v>
      </c>
      <c r="AE79" s="1381">
        <f t="shared" si="29"/>
        <v>1.0556260151614354E-2</v>
      </c>
      <c r="AF79" s="1473">
        <f t="shared" si="30"/>
        <v>0.56821445559578676</v>
      </c>
    </row>
    <row r="80" spans="1:32" x14ac:dyDescent="0.25">
      <c r="A80" s="740" t="s">
        <v>194</v>
      </c>
      <c r="B80" s="592" t="s">
        <v>195</v>
      </c>
      <c r="C80" s="741" t="s">
        <v>267</v>
      </c>
      <c r="D80" s="791">
        <f>'Administration LASER'!D79+'Other Oper Exp. LASER'!D79</f>
        <v>395587.56</v>
      </c>
      <c r="E80" s="792">
        <f>'Administration LASER'!E79+'Other Oper Exp. LASER'!E79</f>
        <v>126730.5</v>
      </c>
      <c r="F80" s="792">
        <f>'Administration LASER'!K79+'Other Oper Exp. LASER'!K79</f>
        <v>425153.62</v>
      </c>
      <c r="G80" s="793">
        <f>'Administration LASER'!I79+'Other Oper Exp. LASER'!I79</f>
        <v>947471.67999999993</v>
      </c>
      <c r="H80" s="791">
        <f>'Client Services LASER'!D79</f>
        <v>21830.2</v>
      </c>
      <c r="I80" s="792">
        <f>'Client Services LASER'!E79</f>
        <v>2315.3000000000002</v>
      </c>
      <c r="J80" s="792">
        <f>'Client Services LASER'!K79</f>
        <v>6445.4699999999993</v>
      </c>
      <c r="K80" s="793">
        <f>'Client Services LASER'!I79</f>
        <v>30590.969999999998</v>
      </c>
      <c r="L80" s="791">
        <f>'Benefits Spending LASER'!D80</f>
        <v>3127610.4237404321</v>
      </c>
      <c r="M80" s="792">
        <f>'Benefits Spending LASER'!E80</f>
        <v>2969377.032696058</v>
      </c>
      <c r="N80" s="792">
        <f>'Benefits Spending LASER'!I80</f>
        <v>715670.83604437497</v>
      </c>
      <c r="O80" s="793">
        <f t="shared" si="20"/>
        <v>6812658.2924808655</v>
      </c>
      <c r="P80" s="1462">
        <f t="shared" si="31"/>
        <v>3545028.1837404324</v>
      </c>
      <c r="Q80" s="792">
        <f t="shared" si="32"/>
        <v>3098422.8326960579</v>
      </c>
      <c r="R80" s="792">
        <f t="shared" si="33"/>
        <v>1147269.9260443749</v>
      </c>
      <c r="S80" s="793">
        <f t="shared" si="34"/>
        <v>7790720.9424808659</v>
      </c>
      <c r="U80" s="627">
        <f t="shared" si="21"/>
        <v>0.41751913893616327</v>
      </c>
      <c r="V80" s="628">
        <f t="shared" si="22"/>
        <v>0.13375650446881959</v>
      </c>
      <c r="W80" s="628">
        <f t="shared" si="23"/>
        <v>0.44872435659501719</v>
      </c>
      <c r="X80" s="629">
        <f t="shared" si="24"/>
        <v>0.55127564340498292</v>
      </c>
      <c r="Z80" s="1471">
        <f t="shared" si="25"/>
        <v>0.12161540465833813</v>
      </c>
      <c r="AA80" s="1381">
        <f t="shared" si="26"/>
        <v>3.9265903920643642E-3</v>
      </c>
      <c r="AB80" s="1473">
        <f t="shared" si="27"/>
        <v>0.87445800494959747</v>
      </c>
      <c r="AD80" s="1471">
        <f t="shared" si="28"/>
        <v>0.37057854507340726</v>
      </c>
      <c r="AE80" s="1381">
        <f t="shared" si="29"/>
        <v>5.6180937490648529E-3</v>
      </c>
      <c r="AF80" s="1473">
        <f t="shared" si="30"/>
        <v>0.62380336117752788</v>
      </c>
    </row>
    <row r="81" spans="1:32" x14ac:dyDescent="0.25">
      <c r="A81" s="740" t="s">
        <v>198</v>
      </c>
      <c r="B81" s="592" t="s">
        <v>199</v>
      </c>
      <c r="C81" s="741" t="s">
        <v>266</v>
      </c>
      <c r="D81" s="791">
        <f>'Administration LASER'!D80+'Other Oper Exp. LASER'!D80</f>
        <v>362095.13</v>
      </c>
      <c r="E81" s="792">
        <f>'Administration LASER'!E80+'Other Oper Exp. LASER'!E80</f>
        <v>158788.64000000001</v>
      </c>
      <c r="F81" s="792">
        <f>'Administration LASER'!K80+'Other Oper Exp. LASER'!K80</f>
        <v>235076.39</v>
      </c>
      <c r="G81" s="793">
        <f>'Administration LASER'!I80+'Other Oper Exp. LASER'!I80</f>
        <v>755960.15999999992</v>
      </c>
      <c r="H81" s="791">
        <f>'Client Services LASER'!D80</f>
        <v>19795.8</v>
      </c>
      <c r="I81" s="792">
        <f>'Client Services LASER'!E80</f>
        <v>4395.08</v>
      </c>
      <c r="J81" s="792">
        <f>'Client Services LASER'!K80</f>
        <v>4595.74</v>
      </c>
      <c r="K81" s="793">
        <f>'Client Services LASER'!I80</f>
        <v>28786.62</v>
      </c>
      <c r="L81" s="791">
        <f>'Benefits Spending LASER'!D81</f>
        <v>7984050.3881547628</v>
      </c>
      <c r="M81" s="792">
        <f>'Benefits Spending LASER'!E81</f>
        <v>5663441.8321988881</v>
      </c>
      <c r="N81" s="792">
        <f>'Benefits Spending LASER'!I81</f>
        <v>164888.609955875</v>
      </c>
      <c r="O81" s="793">
        <f t="shared" si="20"/>
        <v>13812380.830309527</v>
      </c>
      <c r="P81" s="1462">
        <f t="shared" si="31"/>
        <v>8365941.3181547625</v>
      </c>
      <c r="Q81" s="792">
        <f t="shared" si="32"/>
        <v>5826625.5521988878</v>
      </c>
      <c r="R81" s="792">
        <f t="shared" si="33"/>
        <v>404560.73995587497</v>
      </c>
      <c r="S81" s="793">
        <f t="shared" si="34"/>
        <v>14597127.610309526</v>
      </c>
      <c r="U81" s="627">
        <f t="shared" si="21"/>
        <v>0.4789870540267625</v>
      </c>
      <c r="V81" s="628">
        <f t="shared" si="22"/>
        <v>0.21004895284428748</v>
      </c>
      <c r="W81" s="628">
        <f t="shared" si="23"/>
        <v>0.31096399312895012</v>
      </c>
      <c r="X81" s="629">
        <f t="shared" si="24"/>
        <v>0.68903600687105004</v>
      </c>
      <c r="Z81" s="1471">
        <f t="shared" si="25"/>
        <v>5.1788281926513219E-2</v>
      </c>
      <c r="AA81" s="1381">
        <f t="shared" si="26"/>
        <v>1.9720742853319203E-3</v>
      </c>
      <c r="AB81" s="1473">
        <f t="shared" si="27"/>
        <v>0.94623964378815495</v>
      </c>
      <c r="AD81" s="1471">
        <f t="shared" si="28"/>
        <v>0.58106575053634602</v>
      </c>
      <c r="AE81" s="1381">
        <f t="shared" si="29"/>
        <v>1.1359826958249218E-2</v>
      </c>
      <c r="AF81" s="1473">
        <f t="shared" si="30"/>
        <v>0.40757442250540482</v>
      </c>
    </row>
    <row r="82" spans="1:32" x14ac:dyDescent="0.25">
      <c r="A82" s="740" t="s">
        <v>202</v>
      </c>
      <c r="B82" s="592" t="s">
        <v>611</v>
      </c>
      <c r="C82" s="741" t="s">
        <v>265</v>
      </c>
      <c r="D82" s="791">
        <f>'Administration LASER'!D81+'Other Oper Exp. LASER'!D81</f>
        <v>2700443.3899999997</v>
      </c>
      <c r="E82" s="792">
        <f>'Administration LASER'!E81+'Other Oper Exp. LASER'!E81</f>
        <v>983325.08</v>
      </c>
      <c r="F82" s="792">
        <f>'Administration LASER'!K81+'Other Oper Exp. LASER'!K81</f>
        <v>2933255.6500000004</v>
      </c>
      <c r="G82" s="793">
        <f>'Administration LASER'!I81+'Other Oper Exp. LASER'!I81</f>
        <v>6617024.1200000001</v>
      </c>
      <c r="H82" s="791">
        <f>'Client Services LASER'!D81</f>
        <v>185879.26999999996</v>
      </c>
      <c r="I82" s="792">
        <f>'Client Services LASER'!E81</f>
        <v>148651.78000000003</v>
      </c>
      <c r="J82" s="792">
        <f>'Client Services LASER'!K81</f>
        <v>66499.350000000006</v>
      </c>
      <c r="K82" s="793">
        <f>'Client Services LASER'!I81</f>
        <v>401030.40000000002</v>
      </c>
      <c r="L82" s="791">
        <f>'Benefits Spending LASER'!D82</f>
        <v>58470555.163553618</v>
      </c>
      <c r="M82" s="792">
        <f>'Benefits Spending LASER'!E82</f>
        <v>50599190.090762362</v>
      </c>
      <c r="N82" s="792">
        <f>'Benefits Spending LASER'!I82</f>
        <v>3539710.6627312503</v>
      </c>
      <c r="O82" s="793">
        <f t="shared" si="20"/>
        <v>112609455.91704722</v>
      </c>
      <c r="P82" s="1462">
        <f t="shared" si="31"/>
        <v>61356877.823553614</v>
      </c>
      <c r="Q82" s="792">
        <f t="shared" si="32"/>
        <v>51731166.950762361</v>
      </c>
      <c r="R82" s="792">
        <f t="shared" si="33"/>
        <v>6539465.6627312507</v>
      </c>
      <c r="S82" s="793">
        <f t="shared" si="34"/>
        <v>119627510.43704721</v>
      </c>
      <c r="U82" s="627">
        <f t="shared" si="21"/>
        <v>0.40810541733373634</v>
      </c>
      <c r="V82" s="628">
        <f t="shared" si="22"/>
        <v>0.14860533408483328</v>
      </c>
      <c r="W82" s="628">
        <f t="shared" si="23"/>
        <v>0.44328924858143032</v>
      </c>
      <c r="X82" s="629">
        <f t="shared" si="24"/>
        <v>0.55671075141856963</v>
      </c>
      <c r="Z82" s="1471">
        <f t="shared" si="25"/>
        <v>5.5313565381619668E-2</v>
      </c>
      <c r="AA82" s="1381">
        <f t="shared" si="26"/>
        <v>3.3523258867034457E-3</v>
      </c>
      <c r="AB82" s="1473">
        <f t="shared" si="27"/>
        <v>0.94133410873167689</v>
      </c>
      <c r="AD82" s="1471">
        <f t="shared" si="28"/>
        <v>0.44854668581208007</v>
      </c>
      <c r="AE82" s="1381">
        <f t="shared" si="29"/>
        <v>1.016892716158496E-2</v>
      </c>
      <c r="AF82" s="1473">
        <f t="shared" si="30"/>
        <v>0.54128438702633497</v>
      </c>
    </row>
    <row r="83" spans="1:32" x14ac:dyDescent="0.25">
      <c r="A83" s="740" t="s">
        <v>204</v>
      </c>
      <c r="B83" s="592" t="s">
        <v>293</v>
      </c>
      <c r="C83" s="741" t="s">
        <v>265</v>
      </c>
      <c r="D83" s="791">
        <f>'Administration LASER'!D82+'Other Oper Exp. LASER'!D82</f>
        <v>868367.58</v>
      </c>
      <c r="E83" s="792">
        <f>'Administration LASER'!E82+'Other Oper Exp. LASER'!E82</f>
        <v>439515.92</v>
      </c>
      <c r="F83" s="792">
        <f>'Administration LASER'!K82+'Other Oper Exp. LASER'!K82</f>
        <v>340895.16</v>
      </c>
      <c r="G83" s="793">
        <f>'Administration LASER'!I82+'Other Oper Exp. LASER'!I82</f>
        <v>1648778.66</v>
      </c>
      <c r="H83" s="791">
        <f>'Client Services LASER'!D82</f>
        <v>25725.399999999998</v>
      </c>
      <c r="I83" s="792">
        <f>'Client Services LASER'!E82</f>
        <v>9530.119999999999</v>
      </c>
      <c r="J83" s="792">
        <f>'Client Services LASER'!K82</f>
        <v>6848.4900000000007</v>
      </c>
      <c r="K83" s="793">
        <f>'Client Services LASER'!I82</f>
        <v>42104.009999999995</v>
      </c>
      <c r="L83" s="791">
        <f>'Benefits Spending LASER'!D83</f>
        <v>24161268.911849711</v>
      </c>
      <c r="M83" s="792">
        <f>'Benefits Spending LASER'!E83</f>
        <v>20620664.315290332</v>
      </c>
      <c r="N83" s="792">
        <f>'Benefits Spending LASER'!I83</f>
        <v>941576.93363937514</v>
      </c>
      <c r="O83" s="793">
        <f t="shared" si="20"/>
        <v>45723510.160779417</v>
      </c>
      <c r="P83" s="1462">
        <f t="shared" si="31"/>
        <v>25055361.891849712</v>
      </c>
      <c r="Q83" s="792">
        <f t="shared" si="32"/>
        <v>21069710.355290331</v>
      </c>
      <c r="R83" s="792">
        <f t="shared" si="33"/>
        <v>1289320.5836393752</v>
      </c>
      <c r="S83" s="793">
        <f t="shared" si="34"/>
        <v>47414392.830779418</v>
      </c>
      <c r="U83" s="627">
        <f t="shared" si="21"/>
        <v>0.52667322853390153</v>
      </c>
      <c r="V83" s="628">
        <f t="shared" si="22"/>
        <v>0.26657060202368221</v>
      </c>
      <c r="W83" s="628">
        <f t="shared" si="23"/>
        <v>0.20675616944241623</v>
      </c>
      <c r="X83" s="629">
        <f t="shared" si="24"/>
        <v>0.79324383055758385</v>
      </c>
      <c r="Z83" s="1471">
        <f t="shared" si="25"/>
        <v>3.4773800982424108E-2</v>
      </c>
      <c r="AA83" s="1381">
        <f t="shared" si="26"/>
        <v>8.8800061513532344E-4</v>
      </c>
      <c r="AB83" s="1473">
        <f t="shared" si="27"/>
        <v>0.96433819840244051</v>
      </c>
      <c r="AD83" s="1471">
        <f t="shared" si="28"/>
        <v>0.26439906748231118</v>
      </c>
      <c r="AE83" s="1381">
        <f t="shared" si="29"/>
        <v>5.3117045418360695E-3</v>
      </c>
      <c r="AF83" s="1473">
        <f t="shared" si="30"/>
        <v>0.73028922797585272</v>
      </c>
    </row>
    <row r="84" spans="1:32" x14ac:dyDescent="0.25">
      <c r="A84" s="740" t="s">
        <v>206</v>
      </c>
      <c r="B84" s="592" t="s">
        <v>294</v>
      </c>
      <c r="C84" s="741" t="s">
        <v>267</v>
      </c>
      <c r="D84" s="791">
        <f>'Administration LASER'!D83+'Other Oper Exp. LASER'!D83</f>
        <v>3101402.7800000003</v>
      </c>
      <c r="E84" s="792">
        <f>'Administration LASER'!E83+'Other Oper Exp. LASER'!E83</f>
        <v>1117631.3900000001</v>
      </c>
      <c r="F84" s="792">
        <f>'Administration LASER'!K83+'Other Oper Exp. LASER'!K83</f>
        <v>2864106.9800000004</v>
      </c>
      <c r="G84" s="793">
        <f>'Administration LASER'!I83+'Other Oper Exp. LASER'!I83</f>
        <v>7083141.1500000004</v>
      </c>
      <c r="H84" s="791">
        <f>'Client Services LASER'!D83</f>
        <v>155859.66999999998</v>
      </c>
      <c r="I84" s="792">
        <f>'Client Services LASER'!E83</f>
        <v>134215.32</v>
      </c>
      <c r="J84" s="792">
        <f>'Client Services LASER'!K83</f>
        <v>55161.000000000007</v>
      </c>
      <c r="K84" s="793">
        <f>'Client Services LASER'!I83</f>
        <v>345235.99</v>
      </c>
      <c r="L84" s="791">
        <f>'Benefits Spending LASER'!D84</f>
        <v>67652636.115353346</v>
      </c>
      <c r="M84" s="792">
        <f>'Benefits Spending LASER'!E84</f>
        <v>57307342.018795207</v>
      </c>
      <c r="N84" s="792">
        <f>'Benefits Spending LASER'!I84</f>
        <v>3590405.3141261251</v>
      </c>
      <c r="O84" s="793">
        <f t="shared" si="20"/>
        <v>128550383.44827467</v>
      </c>
      <c r="P84" s="1462">
        <f t="shared" si="31"/>
        <v>70909898.565353349</v>
      </c>
      <c r="Q84" s="792">
        <f t="shared" si="32"/>
        <v>58559188.728795208</v>
      </c>
      <c r="R84" s="792">
        <f t="shared" si="33"/>
        <v>6509673.2941261251</v>
      </c>
      <c r="S84" s="793">
        <f t="shared" si="34"/>
        <v>135978760.58827466</v>
      </c>
      <c r="U84" s="627">
        <f t="shared" si="21"/>
        <v>0.43785697818544816</v>
      </c>
      <c r="V84" s="628">
        <f t="shared" si="22"/>
        <v>0.15778753611312687</v>
      </c>
      <c r="W84" s="628">
        <f t="shared" si="23"/>
        <v>0.40435548570142504</v>
      </c>
      <c r="X84" s="629">
        <f t="shared" si="24"/>
        <v>0.59564451429857501</v>
      </c>
      <c r="Z84" s="1471">
        <f t="shared" si="25"/>
        <v>5.2090055236249697E-2</v>
      </c>
      <c r="AA84" s="1381">
        <f t="shared" si="26"/>
        <v>2.5388964313723082E-3</v>
      </c>
      <c r="AB84" s="1473">
        <f t="shared" si="27"/>
        <v>0.94537104833237806</v>
      </c>
      <c r="AD84" s="1471">
        <f t="shared" si="28"/>
        <v>0.43997706959954053</v>
      </c>
      <c r="AE84" s="1381">
        <f t="shared" si="29"/>
        <v>8.4736971438756289E-3</v>
      </c>
      <c r="AF84" s="1473">
        <f t="shared" si="30"/>
        <v>0.55154923325658389</v>
      </c>
    </row>
    <row r="85" spans="1:32" x14ac:dyDescent="0.25">
      <c r="A85" s="740" t="s">
        <v>208</v>
      </c>
      <c r="B85" s="592" t="s">
        <v>209</v>
      </c>
      <c r="C85" s="741" t="s">
        <v>268</v>
      </c>
      <c r="D85" s="791">
        <f>'Administration LASER'!D84+'Other Oper Exp. LASER'!D84</f>
        <v>1344223.39</v>
      </c>
      <c r="E85" s="792">
        <f>'Administration LASER'!E84+'Other Oper Exp. LASER'!E84</f>
        <v>692976.26</v>
      </c>
      <c r="F85" s="792">
        <f>'Administration LASER'!K84+'Other Oper Exp. LASER'!K84</f>
        <v>518817.61</v>
      </c>
      <c r="G85" s="793">
        <f>'Administration LASER'!I84+'Other Oper Exp. LASER'!I84</f>
        <v>2556017.2600000002</v>
      </c>
      <c r="H85" s="791">
        <f>'Client Services LASER'!D84</f>
        <v>96071.42</v>
      </c>
      <c r="I85" s="792">
        <f>'Client Services LASER'!E84</f>
        <v>44511.049999999996</v>
      </c>
      <c r="J85" s="792">
        <f>'Client Services LASER'!K84</f>
        <v>26465.370000000006</v>
      </c>
      <c r="K85" s="793">
        <f>'Client Services LASER'!I84</f>
        <v>167047.84000000003</v>
      </c>
      <c r="L85" s="791">
        <f>'Benefits Spending LASER'!D85</f>
        <v>30945799.778463762</v>
      </c>
      <c r="M85" s="792">
        <f>'Benefits Spending LASER'!E85</f>
        <v>22882896.983080018</v>
      </c>
      <c r="N85" s="792">
        <f>'Benefits Spending LASER'!I85</f>
        <v>360783.55826375005</v>
      </c>
      <c r="O85" s="793">
        <f t="shared" si="20"/>
        <v>54189480.319807529</v>
      </c>
      <c r="P85" s="1462">
        <f t="shared" si="31"/>
        <v>32386094.588463761</v>
      </c>
      <c r="Q85" s="792">
        <f t="shared" si="32"/>
        <v>23620384.293080017</v>
      </c>
      <c r="R85" s="792">
        <f t="shared" si="33"/>
        <v>906066.53826375003</v>
      </c>
      <c r="S85" s="793">
        <f t="shared" si="34"/>
        <v>56912545.419807531</v>
      </c>
      <c r="U85" s="627">
        <f t="shared" si="21"/>
        <v>0.52590544322067678</v>
      </c>
      <c r="V85" s="628">
        <f t="shared" si="22"/>
        <v>0.27111564184038411</v>
      </c>
      <c r="W85" s="628">
        <f t="shared" si="23"/>
        <v>0.20297891493893899</v>
      </c>
      <c r="X85" s="629">
        <f t="shared" si="24"/>
        <v>0.79702108506106084</v>
      </c>
      <c r="Z85" s="1471">
        <f t="shared" si="25"/>
        <v>4.4911315091354501E-2</v>
      </c>
      <c r="AA85" s="1381">
        <f t="shared" si="26"/>
        <v>2.9351672600091017E-3</v>
      </c>
      <c r="AB85" s="1473">
        <f t="shared" si="27"/>
        <v>0.95215351764863643</v>
      </c>
      <c r="AD85" s="1471">
        <f t="shared" si="28"/>
        <v>0.57260431556625435</v>
      </c>
      <c r="AE85" s="1381">
        <f t="shared" si="29"/>
        <v>2.9209079998378785E-2</v>
      </c>
      <c r="AF85" s="1473">
        <f t="shared" si="30"/>
        <v>0.39818660443536691</v>
      </c>
    </row>
    <row r="86" spans="1:32" x14ac:dyDescent="0.25">
      <c r="A86" s="740" t="s">
        <v>210</v>
      </c>
      <c r="B86" s="592" t="s">
        <v>211</v>
      </c>
      <c r="C86" s="741" t="s">
        <v>268</v>
      </c>
      <c r="D86" s="791">
        <f>'Administration LASER'!D85+'Other Oper Exp. LASER'!D85</f>
        <v>1101198.99</v>
      </c>
      <c r="E86" s="792">
        <f>'Administration LASER'!E85+'Other Oper Exp. LASER'!E85</f>
        <v>570958.22</v>
      </c>
      <c r="F86" s="792">
        <f>'Administration LASER'!K85+'Other Oper Exp. LASER'!K85</f>
        <v>433803.76</v>
      </c>
      <c r="G86" s="793">
        <f>'Administration LASER'!I85+'Other Oper Exp. LASER'!I85</f>
        <v>2105960.9700000002</v>
      </c>
      <c r="H86" s="791">
        <f>'Client Services LASER'!D85</f>
        <v>46149.570000000007</v>
      </c>
      <c r="I86" s="792">
        <f>'Client Services LASER'!E85</f>
        <v>70137.7</v>
      </c>
      <c r="J86" s="792">
        <f>'Client Services LASER'!K85</f>
        <v>19344.13</v>
      </c>
      <c r="K86" s="793">
        <f>'Client Services LASER'!I85</f>
        <v>135631.40000000002</v>
      </c>
      <c r="L86" s="791">
        <f>'Benefits Spending LASER'!D86</f>
        <v>23191645.767142702</v>
      </c>
      <c r="M86" s="792">
        <f>'Benefits Spending LASER'!E86</f>
        <v>18310876.127011701</v>
      </c>
      <c r="N86" s="792">
        <f>'Benefits Spending LASER'!I86</f>
        <v>269610.94567499997</v>
      </c>
      <c r="O86" s="793">
        <f t="shared" si="20"/>
        <v>41772132.8398294</v>
      </c>
      <c r="P86" s="1462">
        <f t="shared" si="31"/>
        <v>24338994.327142701</v>
      </c>
      <c r="Q86" s="792">
        <f t="shared" si="32"/>
        <v>18951972.047011703</v>
      </c>
      <c r="R86" s="792">
        <f t="shared" si="33"/>
        <v>722758.83567499998</v>
      </c>
      <c r="S86" s="793">
        <f t="shared" si="34"/>
        <v>44013725.209829397</v>
      </c>
      <c r="U86" s="627">
        <f t="shared" si="21"/>
        <v>0.52289620068314935</v>
      </c>
      <c r="V86" s="628">
        <f t="shared" si="22"/>
        <v>0.27111529042250004</v>
      </c>
      <c r="W86" s="628">
        <f t="shared" si="23"/>
        <v>0.20598850889435047</v>
      </c>
      <c r="X86" s="629">
        <f t="shared" si="24"/>
        <v>0.79401149110564939</v>
      </c>
      <c r="Z86" s="1471">
        <f t="shared" si="25"/>
        <v>4.7847823831318984E-2</v>
      </c>
      <c r="AA86" s="1381">
        <f t="shared" si="26"/>
        <v>3.0815705635775189E-3</v>
      </c>
      <c r="AB86" s="1473">
        <f t="shared" si="27"/>
        <v>0.94907060560510359</v>
      </c>
      <c r="AD86" s="1471">
        <f t="shared" si="28"/>
        <v>0.60020540543770917</v>
      </c>
      <c r="AE86" s="1381">
        <f t="shared" si="29"/>
        <v>2.6764294042748164E-2</v>
      </c>
      <c r="AF86" s="1473">
        <f t="shared" si="30"/>
        <v>0.37303030051954261</v>
      </c>
    </row>
    <row r="87" spans="1:32" x14ac:dyDescent="0.25">
      <c r="A87" s="740" t="s">
        <v>212</v>
      </c>
      <c r="B87" s="592" t="s">
        <v>213</v>
      </c>
      <c r="C87" s="741" t="s">
        <v>267</v>
      </c>
      <c r="D87" s="791">
        <f>'Administration LASER'!D86+'Other Oper Exp. LASER'!D86</f>
        <v>1166350.1499999999</v>
      </c>
      <c r="E87" s="792">
        <f>'Administration LASER'!E86+'Other Oper Exp. LASER'!E86</f>
        <v>424594.24</v>
      </c>
      <c r="F87" s="792">
        <f>'Administration LASER'!K86+'Other Oper Exp. LASER'!K86</f>
        <v>1567397.1999999997</v>
      </c>
      <c r="G87" s="793">
        <f>'Administration LASER'!I86+'Other Oper Exp. LASER'!I86</f>
        <v>3158341.59</v>
      </c>
      <c r="H87" s="791">
        <f>'Client Services LASER'!D86</f>
        <v>38672.409999999996</v>
      </c>
      <c r="I87" s="792">
        <f>'Client Services LASER'!E86</f>
        <v>17548.55</v>
      </c>
      <c r="J87" s="792">
        <f>'Client Services LASER'!K86</f>
        <v>11900.39</v>
      </c>
      <c r="K87" s="793">
        <f>'Client Services LASER'!I86</f>
        <v>68121.349999999991</v>
      </c>
      <c r="L87" s="791">
        <f>'Benefits Spending LASER'!D87</f>
        <v>29616910.149012804</v>
      </c>
      <c r="M87" s="792">
        <f>'Benefits Spending LASER'!E87</f>
        <v>23203032.58646518</v>
      </c>
      <c r="N87" s="792">
        <f>'Benefits Spending LASER'!I87</f>
        <v>879426.97432362498</v>
      </c>
      <c r="O87" s="793">
        <f t="shared" si="20"/>
        <v>53699369.709801607</v>
      </c>
      <c r="P87" s="1462">
        <f t="shared" si="31"/>
        <v>30821932.709012803</v>
      </c>
      <c r="Q87" s="792">
        <f t="shared" si="32"/>
        <v>23645175.376465179</v>
      </c>
      <c r="R87" s="792">
        <f t="shared" si="33"/>
        <v>2458724.5643236246</v>
      </c>
      <c r="S87" s="793">
        <f t="shared" si="34"/>
        <v>56925832.649801604</v>
      </c>
      <c r="U87" s="627">
        <f t="shared" si="21"/>
        <v>0.36929195806207904</v>
      </c>
      <c r="V87" s="628">
        <f t="shared" si="22"/>
        <v>0.13443581952767814</v>
      </c>
      <c r="W87" s="628">
        <f t="shared" si="23"/>
        <v>0.49627222241024277</v>
      </c>
      <c r="X87" s="629">
        <f t="shared" si="24"/>
        <v>0.50372777758975718</v>
      </c>
      <c r="Z87" s="1471">
        <f t="shared" si="25"/>
        <v>5.5481693336478712E-2</v>
      </c>
      <c r="AA87" s="1381">
        <f t="shared" si="26"/>
        <v>1.1966684865036823E-3</v>
      </c>
      <c r="AB87" s="1473">
        <f t="shared" si="27"/>
        <v>0.94332163817701764</v>
      </c>
      <c r="AD87" s="1471">
        <f t="shared" si="28"/>
        <v>0.63748384944906511</v>
      </c>
      <c r="AE87" s="1381">
        <f t="shared" si="29"/>
        <v>4.840066338733514E-3</v>
      </c>
      <c r="AF87" s="1473">
        <f t="shared" si="30"/>
        <v>0.35767608421220143</v>
      </c>
    </row>
    <row r="88" spans="1:32" x14ac:dyDescent="0.25">
      <c r="A88" s="740" t="s">
        <v>214</v>
      </c>
      <c r="B88" s="592" t="s">
        <v>215</v>
      </c>
      <c r="C88" s="741" t="s">
        <v>268</v>
      </c>
      <c r="D88" s="791">
        <f>'Administration LASER'!D87+'Other Oper Exp. LASER'!D87</f>
        <v>1755008.35</v>
      </c>
      <c r="E88" s="792">
        <f>'Administration LASER'!E87+'Other Oper Exp. LASER'!E87</f>
        <v>873675.43</v>
      </c>
      <c r="F88" s="792">
        <f>'Administration LASER'!K87+'Other Oper Exp. LASER'!K87</f>
        <v>731925.47</v>
      </c>
      <c r="G88" s="793">
        <f>'Administration LASER'!I87+'Other Oper Exp. LASER'!I87</f>
        <v>3360609.25</v>
      </c>
      <c r="H88" s="791">
        <f>'Client Services LASER'!D87</f>
        <v>97011.06</v>
      </c>
      <c r="I88" s="792">
        <f>'Client Services LASER'!E87</f>
        <v>43817.82</v>
      </c>
      <c r="J88" s="792">
        <f>'Client Services LASER'!K87</f>
        <v>28909.73</v>
      </c>
      <c r="K88" s="793">
        <f>'Client Services LASER'!I87</f>
        <v>169738.61</v>
      </c>
      <c r="L88" s="791">
        <f>'Benefits Spending LASER'!D88</f>
        <v>33034380.242208436</v>
      </c>
      <c r="M88" s="792">
        <f>'Benefits Spending LASER'!E88</f>
        <v>23858206.24938618</v>
      </c>
      <c r="N88" s="792">
        <f>'Benefits Spending LASER'!I88</f>
        <v>281978.17816625</v>
      </c>
      <c r="O88" s="793">
        <f t="shared" si="20"/>
        <v>57174564.669760861</v>
      </c>
      <c r="P88" s="1462">
        <f t="shared" si="31"/>
        <v>34886399.652208433</v>
      </c>
      <c r="Q88" s="792">
        <f t="shared" si="32"/>
        <v>24775699.49938618</v>
      </c>
      <c r="R88" s="792">
        <f t="shared" si="33"/>
        <v>1042813.37816625</v>
      </c>
      <c r="S88" s="793">
        <f t="shared" si="34"/>
        <v>60704912.52976086</v>
      </c>
      <c r="U88" s="627">
        <f t="shared" si="21"/>
        <v>0.5222292207878676</v>
      </c>
      <c r="V88" s="628">
        <f t="shared" si="22"/>
        <v>0.25997530953650744</v>
      </c>
      <c r="W88" s="628">
        <f t="shared" si="23"/>
        <v>0.21779546967562502</v>
      </c>
      <c r="X88" s="629">
        <f t="shared" si="24"/>
        <v>0.78220453032437509</v>
      </c>
      <c r="Z88" s="1471">
        <f t="shared" si="25"/>
        <v>5.5359757718989315E-2</v>
      </c>
      <c r="AA88" s="1381">
        <f t="shared" si="26"/>
        <v>2.7961264241470551E-3</v>
      </c>
      <c r="AB88" s="1473">
        <f t="shared" si="27"/>
        <v>0.94184411585686367</v>
      </c>
      <c r="AD88" s="1471">
        <f t="shared" si="28"/>
        <v>0.70187579611518292</v>
      </c>
      <c r="AE88" s="1381">
        <f t="shared" si="29"/>
        <v>2.7722822324006552E-2</v>
      </c>
      <c r="AF88" s="1473">
        <f t="shared" si="30"/>
        <v>0.27040138156081056</v>
      </c>
    </row>
    <row r="89" spans="1:32" x14ac:dyDescent="0.25">
      <c r="A89" s="740" t="s">
        <v>216</v>
      </c>
      <c r="B89" s="592" t="s">
        <v>217</v>
      </c>
      <c r="C89" s="741" t="s">
        <v>264</v>
      </c>
      <c r="D89" s="791">
        <f>'Administration LASER'!D88+'Other Oper Exp. LASER'!D88</f>
        <v>1008994.47</v>
      </c>
      <c r="E89" s="792">
        <f>'Administration LASER'!E88+'Other Oper Exp. LASER'!E88</f>
        <v>516314.92</v>
      </c>
      <c r="F89" s="792">
        <f>'Administration LASER'!K88+'Other Oper Exp. LASER'!K88</f>
        <v>399519.82999999996</v>
      </c>
      <c r="G89" s="793">
        <f>'Administration LASER'!I88+'Other Oper Exp. LASER'!I88</f>
        <v>1924829.22</v>
      </c>
      <c r="H89" s="791">
        <f>'Client Services LASER'!D88</f>
        <v>64924.30000000001</v>
      </c>
      <c r="I89" s="792">
        <f>'Client Services LASER'!E88</f>
        <v>25321.170000000002</v>
      </c>
      <c r="J89" s="792">
        <f>'Client Services LASER'!K88</f>
        <v>18961.879999999997</v>
      </c>
      <c r="K89" s="793">
        <f>'Client Services LASER'!I88</f>
        <v>109207.35000000002</v>
      </c>
      <c r="L89" s="791">
        <f>'Benefits Spending LASER'!D89</f>
        <v>16425130.013073709</v>
      </c>
      <c r="M89" s="792">
        <f>'Benefits Spending LASER'!E89</f>
        <v>12386307.28647621</v>
      </c>
      <c r="N89" s="792">
        <f>'Benefits Spending LASER'!I89</f>
        <v>208929.1796375</v>
      </c>
      <c r="O89" s="793">
        <f t="shared" si="20"/>
        <v>29020366.479187418</v>
      </c>
      <c r="P89" s="1462">
        <f t="shared" si="31"/>
        <v>17499048.783073708</v>
      </c>
      <c r="Q89" s="792">
        <f t="shared" si="32"/>
        <v>12927943.37647621</v>
      </c>
      <c r="R89" s="792">
        <f t="shared" si="33"/>
        <v>627410.88963749993</v>
      </c>
      <c r="S89" s="793">
        <f t="shared" si="34"/>
        <v>31054403.049187418</v>
      </c>
      <c r="U89" s="627">
        <f t="shared" si="21"/>
        <v>0.52419947677228218</v>
      </c>
      <c r="V89" s="628">
        <f t="shared" si="22"/>
        <v>0.26823934021533608</v>
      </c>
      <c r="W89" s="628">
        <f t="shared" si="23"/>
        <v>0.20756118301238172</v>
      </c>
      <c r="X89" s="629">
        <f t="shared" si="24"/>
        <v>0.7924388169876182</v>
      </c>
      <c r="Z89" s="1471">
        <f t="shared" si="25"/>
        <v>6.1982489792228215E-2</v>
      </c>
      <c r="AA89" s="1381">
        <f t="shared" si="26"/>
        <v>3.5166462490689413E-3</v>
      </c>
      <c r="AB89" s="1473">
        <f t="shared" si="27"/>
        <v>0.9345008639587028</v>
      </c>
      <c r="AD89" s="1471">
        <f t="shared" si="28"/>
        <v>0.63677541559858974</v>
      </c>
      <c r="AE89" s="1381">
        <f t="shared" si="29"/>
        <v>3.0222427301119414E-2</v>
      </c>
      <c r="AF89" s="1473">
        <f t="shared" si="30"/>
        <v>0.33300215710029085</v>
      </c>
    </row>
    <row r="90" spans="1:32" x14ac:dyDescent="0.25">
      <c r="A90" s="740" t="s">
        <v>218</v>
      </c>
      <c r="B90" s="592" t="s">
        <v>219</v>
      </c>
      <c r="C90" s="741" t="s">
        <v>267</v>
      </c>
      <c r="D90" s="791">
        <f>'Administration LASER'!D89+'Other Oper Exp. LASER'!D89</f>
        <v>2591172.52</v>
      </c>
      <c r="E90" s="792">
        <f>'Administration LASER'!E89+'Other Oper Exp. LASER'!E89</f>
        <v>776317.77</v>
      </c>
      <c r="F90" s="792">
        <f>'Administration LASER'!K89+'Other Oper Exp. LASER'!K89</f>
        <v>3035641.7</v>
      </c>
      <c r="G90" s="793">
        <f>'Administration LASER'!I89+'Other Oper Exp. LASER'!I89</f>
        <v>6403131.9900000002</v>
      </c>
      <c r="H90" s="791">
        <f>'Client Services LASER'!D89</f>
        <v>163675.17000000001</v>
      </c>
      <c r="I90" s="792">
        <f>'Client Services LASER'!E89</f>
        <v>132679.57</v>
      </c>
      <c r="J90" s="792">
        <f>'Client Services LASER'!K89</f>
        <v>62112.880000000005</v>
      </c>
      <c r="K90" s="793">
        <f>'Client Services LASER'!I89</f>
        <v>358467.62</v>
      </c>
      <c r="L90" s="791">
        <f>'Benefits Spending LASER'!D90</f>
        <v>72406931.767080739</v>
      </c>
      <c r="M90" s="792">
        <f>'Benefits Spending LASER'!E90</f>
        <v>57560344.891316257</v>
      </c>
      <c r="N90" s="792">
        <f>'Benefits Spending LASER'!I90</f>
        <v>4077309.6071325</v>
      </c>
      <c r="O90" s="793">
        <f t="shared" si="20"/>
        <v>134044586.26552948</v>
      </c>
      <c r="P90" s="1462">
        <f t="shared" si="31"/>
        <v>75161779.457080737</v>
      </c>
      <c r="Q90" s="792">
        <f t="shared" si="32"/>
        <v>58469342.231316261</v>
      </c>
      <c r="R90" s="792">
        <f t="shared" si="33"/>
        <v>7175064.1871325001</v>
      </c>
      <c r="S90" s="793">
        <f t="shared" si="34"/>
        <v>140806185.8755295</v>
      </c>
      <c r="U90" s="627">
        <f t="shared" si="21"/>
        <v>0.40467267019432468</v>
      </c>
      <c r="V90" s="628">
        <f t="shared" si="22"/>
        <v>0.12124031977045033</v>
      </c>
      <c r="W90" s="628">
        <f t="shared" si="23"/>
        <v>0.47408701003522496</v>
      </c>
      <c r="X90" s="629">
        <f t="shared" si="24"/>
        <v>0.52591298996477498</v>
      </c>
      <c r="Z90" s="1471">
        <f t="shared" si="25"/>
        <v>4.5474791822429382E-2</v>
      </c>
      <c r="AA90" s="1381">
        <f t="shared" si="26"/>
        <v>2.5458229535233619E-3</v>
      </c>
      <c r="AB90" s="1473">
        <f t="shared" si="27"/>
        <v>0.95197938522404713</v>
      </c>
      <c r="AD90" s="1471">
        <f t="shared" si="28"/>
        <v>0.42308216635107043</v>
      </c>
      <c r="AE90" s="1381">
        <f t="shared" si="29"/>
        <v>8.6567699437993858E-3</v>
      </c>
      <c r="AF90" s="1473">
        <f t="shared" si="30"/>
        <v>0.56826106370513019</v>
      </c>
    </row>
    <row r="91" spans="1:32" x14ac:dyDescent="0.25">
      <c r="A91" s="740" t="s">
        <v>220</v>
      </c>
      <c r="B91" s="592" t="s">
        <v>221</v>
      </c>
      <c r="C91" s="741" t="s">
        <v>267</v>
      </c>
      <c r="D91" s="791">
        <f>'Administration LASER'!D90+'Other Oper Exp. LASER'!D90</f>
        <v>2050004.2</v>
      </c>
      <c r="E91" s="792">
        <f>'Administration LASER'!E90+'Other Oper Exp. LASER'!E90</f>
        <v>781282.91</v>
      </c>
      <c r="F91" s="792">
        <f>'Administration LASER'!K90+'Other Oper Exp. LASER'!K90</f>
        <v>1743119.0100000002</v>
      </c>
      <c r="G91" s="793">
        <f>'Administration LASER'!I90+'Other Oper Exp. LASER'!I90</f>
        <v>4574406.12</v>
      </c>
      <c r="H91" s="791">
        <f>'Client Services LASER'!D90</f>
        <v>40592.439999999995</v>
      </c>
      <c r="I91" s="792">
        <f>'Client Services LASER'!E90</f>
        <v>38393.767</v>
      </c>
      <c r="J91" s="792">
        <f>'Client Services LASER'!K90</f>
        <v>38938.269999999997</v>
      </c>
      <c r="K91" s="793">
        <f>'Client Services LASER'!I90</f>
        <v>117924.47699999998</v>
      </c>
      <c r="L91" s="791">
        <f>'Benefits Spending LASER'!D91</f>
        <v>58901662.766041696</v>
      </c>
      <c r="M91" s="792">
        <f>'Benefits Spending LASER'!E91</f>
        <v>45157237.797757939</v>
      </c>
      <c r="N91" s="792">
        <f>'Benefits Spending LASER'!I91</f>
        <v>1978450.8262837501</v>
      </c>
      <c r="O91" s="793">
        <f t="shared" si="20"/>
        <v>106037351.39008339</v>
      </c>
      <c r="P91" s="1462">
        <f t="shared" si="31"/>
        <v>60992259.406041697</v>
      </c>
      <c r="Q91" s="792">
        <f t="shared" si="32"/>
        <v>45976914.47475794</v>
      </c>
      <c r="R91" s="792">
        <f t="shared" si="33"/>
        <v>3760508.1062837504</v>
      </c>
      <c r="S91" s="793">
        <f t="shared" si="34"/>
        <v>110729681.98708339</v>
      </c>
      <c r="U91" s="627">
        <f t="shared" si="21"/>
        <v>0.44814652355353179</v>
      </c>
      <c r="V91" s="628">
        <f t="shared" si="22"/>
        <v>0.17079439155699627</v>
      </c>
      <c r="W91" s="628">
        <f t="shared" si="23"/>
        <v>0.38105908488947199</v>
      </c>
      <c r="X91" s="629">
        <f t="shared" si="24"/>
        <v>0.61894091511052796</v>
      </c>
      <c r="Z91" s="1471">
        <f t="shared" si="25"/>
        <v>4.1311471666048892E-2</v>
      </c>
      <c r="AA91" s="1381">
        <f t="shared" si="26"/>
        <v>1.0649762094842453E-3</v>
      </c>
      <c r="AB91" s="1473">
        <f t="shared" si="27"/>
        <v>0.95762355212446681</v>
      </c>
      <c r="AD91" s="1471">
        <f t="shared" si="28"/>
        <v>0.46353284203463768</v>
      </c>
      <c r="AE91" s="1381">
        <f t="shared" si="29"/>
        <v>1.0354523617416156E-2</v>
      </c>
      <c r="AF91" s="1473">
        <f t="shared" si="30"/>
        <v>0.52611263434794608</v>
      </c>
    </row>
    <row r="92" spans="1:32" x14ac:dyDescent="0.25">
      <c r="A92" s="740" t="s">
        <v>224</v>
      </c>
      <c r="B92" s="592" t="s">
        <v>225</v>
      </c>
      <c r="C92" s="741" t="s">
        <v>264</v>
      </c>
      <c r="D92" s="791">
        <f>'Administration LASER'!D91+'Other Oper Exp. LASER'!D91</f>
        <v>686258.42</v>
      </c>
      <c r="E92" s="792">
        <f>'Administration LASER'!E91+'Other Oper Exp. LASER'!E91</f>
        <v>281478.65000000002</v>
      </c>
      <c r="F92" s="792">
        <f>'Administration LASER'!K91+'Other Oper Exp. LASER'!K91</f>
        <v>708178.94</v>
      </c>
      <c r="G92" s="793">
        <f>'Administration LASER'!I91+'Other Oper Exp. LASER'!I91</f>
        <v>1675916.0100000002</v>
      </c>
      <c r="H92" s="791">
        <f>'Client Services LASER'!D91</f>
        <v>85572.479999999996</v>
      </c>
      <c r="I92" s="792">
        <f>'Client Services LASER'!E91</f>
        <v>15155.71</v>
      </c>
      <c r="J92" s="792">
        <f>'Client Services LASER'!K91</f>
        <v>31262.52</v>
      </c>
      <c r="K92" s="793">
        <f>'Client Services LASER'!I91</f>
        <v>131990.71</v>
      </c>
      <c r="L92" s="791">
        <f>'Benefits Spending LASER'!D92</f>
        <v>5997502.1593271876</v>
      </c>
      <c r="M92" s="792">
        <f>'Benefits Spending LASER'!E92</f>
        <v>4367780.6697046878</v>
      </c>
      <c r="N92" s="792">
        <f>'Benefits Spending LASER'!I92</f>
        <v>110493.6463425</v>
      </c>
      <c r="O92" s="793">
        <f t="shared" si="20"/>
        <v>10475776.475374375</v>
      </c>
      <c r="P92" s="1462">
        <f t="shared" si="31"/>
        <v>6769333.0593271879</v>
      </c>
      <c r="Q92" s="792">
        <f t="shared" si="32"/>
        <v>4664415.0297046881</v>
      </c>
      <c r="R92" s="792">
        <f t="shared" si="33"/>
        <v>849935.10634249996</v>
      </c>
      <c r="S92" s="793">
        <f t="shared" si="34"/>
        <v>12283683.195374375</v>
      </c>
      <c r="U92" s="627">
        <f t="shared" si="21"/>
        <v>0.40948258498944701</v>
      </c>
      <c r="V92" s="628">
        <f t="shared" si="22"/>
        <v>0.16795510533967628</v>
      </c>
      <c r="W92" s="628">
        <f t="shared" si="23"/>
        <v>0.42256230967087655</v>
      </c>
      <c r="X92" s="629">
        <f t="shared" si="24"/>
        <v>0.57743769032912329</v>
      </c>
      <c r="Z92" s="1471">
        <f t="shared" si="25"/>
        <v>0.13643432375650116</v>
      </c>
      <c r="AA92" s="1381">
        <f t="shared" si="26"/>
        <v>1.074520629526682E-2</v>
      </c>
      <c r="AB92" s="1473">
        <f t="shared" si="27"/>
        <v>0.85282046994823202</v>
      </c>
      <c r="AD92" s="1471">
        <f t="shared" si="28"/>
        <v>0.83321530633966279</v>
      </c>
      <c r="AE92" s="1381">
        <f t="shared" si="29"/>
        <v>3.6782243452127841E-2</v>
      </c>
      <c r="AF92" s="1473">
        <f t="shared" si="30"/>
        <v>0.13000245020820939</v>
      </c>
    </row>
    <row r="93" spans="1:32" x14ac:dyDescent="0.25">
      <c r="A93" s="740" t="s">
        <v>226</v>
      </c>
      <c r="B93" s="592" t="s">
        <v>227</v>
      </c>
      <c r="C93" s="741" t="s">
        <v>264</v>
      </c>
      <c r="D93" s="791">
        <f>'Administration LASER'!D92+'Other Oper Exp. LASER'!D92</f>
        <v>874246.53</v>
      </c>
      <c r="E93" s="792">
        <f>'Administration LASER'!E92+'Other Oper Exp. LASER'!E92</f>
        <v>407361.12</v>
      </c>
      <c r="F93" s="792">
        <f>'Administration LASER'!K92+'Other Oper Exp. LASER'!K92</f>
        <v>522739.61</v>
      </c>
      <c r="G93" s="793">
        <f>'Administration LASER'!I92+'Other Oper Exp. LASER'!I92</f>
        <v>1804347.2600000002</v>
      </c>
      <c r="H93" s="791">
        <f>'Client Services LASER'!D92</f>
        <v>50756.17</v>
      </c>
      <c r="I93" s="792">
        <f>'Client Services LASER'!E92</f>
        <v>12246.080000000002</v>
      </c>
      <c r="J93" s="792">
        <f>'Client Services LASER'!K92</f>
        <v>13995.919999999998</v>
      </c>
      <c r="K93" s="793">
        <f>'Client Services LASER'!I92</f>
        <v>76998.17</v>
      </c>
      <c r="L93" s="791">
        <f>'Benefits Spending LASER'!D93</f>
        <v>12500136.288577698</v>
      </c>
      <c r="M93" s="792">
        <f>'Benefits Spending LASER'!E93</f>
        <v>9904442.4657664485</v>
      </c>
      <c r="N93" s="792">
        <f>'Benefits Spending LASER'!I93</f>
        <v>230568.44781125002</v>
      </c>
      <c r="O93" s="793">
        <f t="shared" si="20"/>
        <v>22635147.202155396</v>
      </c>
      <c r="P93" s="1462">
        <f t="shared" si="31"/>
        <v>13425138.988577697</v>
      </c>
      <c r="Q93" s="792">
        <f t="shared" si="32"/>
        <v>10324049.665766448</v>
      </c>
      <c r="R93" s="792">
        <f t="shared" si="33"/>
        <v>767303.97781125002</v>
      </c>
      <c r="S93" s="793">
        <f t="shared" si="34"/>
        <v>24516492.632155396</v>
      </c>
      <c r="U93" s="627">
        <f t="shared" si="21"/>
        <v>0.48452232526459454</v>
      </c>
      <c r="V93" s="628">
        <f t="shared" si="22"/>
        <v>0.22576647468625299</v>
      </c>
      <c r="W93" s="628">
        <f t="shared" si="23"/>
        <v>0.28971120004915235</v>
      </c>
      <c r="X93" s="629">
        <f t="shared" si="24"/>
        <v>0.71028879995084748</v>
      </c>
      <c r="Z93" s="1471">
        <f t="shared" si="25"/>
        <v>7.3597283554069651E-2</v>
      </c>
      <c r="AA93" s="1381">
        <f t="shared" si="26"/>
        <v>3.1406682495444135E-3</v>
      </c>
      <c r="AB93" s="1473">
        <f t="shared" si="27"/>
        <v>0.92326204819638591</v>
      </c>
      <c r="AD93" s="1471">
        <f t="shared" si="28"/>
        <v>0.68126795261914996</v>
      </c>
      <c r="AE93" s="1381">
        <f t="shared" si="29"/>
        <v>1.8240385042605462E-2</v>
      </c>
      <c r="AF93" s="1473">
        <f t="shared" si="30"/>
        <v>0.30049166233824454</v>
      </c>
    </row>
    <row r="94" spans="1:32" x14ac:dyDescent="0.25">
      <c r="A94" s="740" t="s">
        <v>228</v>
      </c>
      <c r="B94" s="592" t="s">
        <v>229</v>
      </c>
      <c r="C94" s="741" t="s">
        <v>268</v>
      </c>
      <c r="D94" s="791">
        <f>'Administration LASER'!D93+'Other Oper Exp. LASER'!D93</f>
        <v>2140143.5499999998</v>
      </c>
      <c r="E94" s="792">
        <f>'Administration LASER'!E93+'Other Oper Exp. LASER'!E93</f>
        <v>1052235.03</v>
      </c>
      <c r="F94" s="792">
        <f>'Administration LASER'!K93+'Other Oper Exp. LASER'!K93</f>
        <v>1088239.3</v>
      </c>
      <c r="G94" s="793">
        <f>'Administration LASER'!I93+'Other Oper Exp. LASER'!I93</f>
        <v>4280617.88</v>
      </c>
      <c r="H94" s="791">
        <f>'Client Services LASER'!D93</f>
        <v>114278.31000000001</v>
      </c>
      <c r="I94" s="792">
        <f>'Client Services LASER'!E93</f>
        <v>83393.33</v>
      </c>
      <c r="J94" s="792">
        <f>'Client Services LASER'!K93</f>
        <v>35488.410000000003</v>
      </c>
      <c r="K94" s="793">
        <f>'Client Services LASER'!I93</f>
        <v>233160.05000000002</v>
      </c>
      <c r="L94" s="791">
        <f>'Benefits Spending LASER'!D94</f>
        <v>42206537.131238401</v>
      </c>
      <c r="M94" s="792">
        <f>'Benefits Spending LASER'!E94</f>
        <v>31109617.228525653</v>
      </c>
      <c r="N94" s="792">
        <f>'Benefits Spending LASER'!I94</f>
        <v>731226.01746875013</v>
      </c>
      <c r="O94" s="793">
        <f t="shared" si="20"/>
        <v>74047380.377232805</v>
      </c>
      <c r="P94" s="1462">
        <f t="shared" si="31"/>
        <v>44460958.9912384</v>
      </c>
      <c r="Q94" s="792">
        <f t="shared" si="32"/>
        <v>32245245.588525653</v>
      </c>
      <c r="R94" s="792">
        <f t="shared" si="33"/>
        <v>1854953.72746875</v>
      </c>
      <c r="S94" s="793">
        <f t="shared" si="34"/>
        <v>78561158.307232797</v>
      </c>
      <c r="U94" s="627">
        <f t="shared" si="21"/>
        <v>0.49996136305443828</v>
      </c>
      <c r="V94" s="628">
        <f t="shared" si="22"/>
        <v>0.2458138192890976</v>
      </c>
      <c r="W94" s="628">
        <f t="shared" si="23"/>
        <v>0.25422481765646415</v>
      </c>
      <c r="X94" s="629">
        <f t="shared" si="24"/>
        <v>0.7457751823435359</v>
      </c>
      <c r="Z94" s="1471">
        <f t="shared" si="25"/>
        <v>5.4487713422701679E-2</v>
      </c>
      <c r="AA94" s="1381">
        <f t="shared" si="26"/>
        <v>2.9678794842633313E-3</v>
      </c>
      <c r="AB94" s="1473">
        <f t="shared" si="27"/>
        <v>0.94254440709303511</v>
      </c>
      <c r="AD94" s="1471">
        <f t="shared" si="28"/>
        <v>0.58666654800332929</v>
      </c>
      <c r="AE94" s="1381">
        <f t="shared" si="29"/>
        <v>1.9131695564410175E-2</v>
      </c>
      <c r="AF94" s="1473">
        <f t="shared" si="30"/>
        <v>0.39420175643226063</v>
      </c>
    </row>
    <row r="95" spans="1:32" x14ac:dyDescent="0.25">
      <c r="A95" s="740" t="s">
        <v>232</v>
      </c>
      <c r="B95" s="592" t="s">
        <v>233</v>
      </c>
      <c r="C95" s="741" t="s">
        <v>267</v>
      </c>
      <c r="D95" s="791">
        <f>'Administration LASER'!D94+'Other Oper Exp. LASER'!D94</f>
        <v>1177875.6800000002</v>
      </c>
      <c r="E95" s="792">
        <f>'Administration LASER'!E94+'Other Oper Exp. LASER'!E94</f>
        <v>459165.91</v>
      </c>
      <c r="F95" s="792">
        <f>'Administration LASER'!K94+'Other Oper Exp. LASER'!K94</f>
        <v>957517.71</v>
      </c>
      <c r="G95" s="793">
        <f>'Administration LASER'!I94+'Other Oper Exp. LASER'!I94</f>
        <v>2594559.3000000003</v>
      </c>
      <c r="H95" s="791">
        <f>'Client Services LASER'!D94</f>
        <v>30427.989999999998</v>
      </c>
      <c r="I95" s="792">
        <f>'Client Services LASER'!E94</f>
        <v>44642.7</v>
      </c>
      <c r="J95" s="792">
        <f>'Client Services LASER'!K94</f>
        <v>14937.03</v>
      </c>
      <c r="K95" s="793">
        <f>'Client Services LASER'!I94</f>
        <v>90007.72</v>
      </c>
      <c r="L95" s="791">
        <f>'Benefits Spending LASER'!D95</f>
        <v>28319416.449031267</v>
      </c>
      <c r="M95" s="792">
        <f>'Benefits Spending LASER'!E95</f>
        <v>21491062.690981012</v>
      </c>
      <c r="N95" s="792">
        <f>'Benefits Spending LASER'!I95</f>
        <v>772549.61982224998</v>
      </c>
      <c r="O95" s="793">
        <f t="shared" si="20"/>
        <v>50583028.759834528</v>
      </c>
      <c r="P95" s="1462">
        <f t="shared" si="31"/>
        <v>29527720.119031269</v>
      </c>
      <c r="Q95" s="792">
        <f t="shared" si="32"/>
        <v>21994871.300981011</v>
      </c>
      <c r="R95" s="792">
        <f t="shared" si="33"/>
        <v>1745004.35982225</v>
      </c>
      <c r="S95" s="793">
        <f t="shared" si="34"/>
        <v>53267595.779834531</v>
      </c>
      <c r="U95" s="627">
        <f t="shared" si="21"/>
        <v>0.45397909386769464</v>
      </c>
      <c r="V95" s="628">
        <f t="shared" si="22"/>
        <v>0.17697260185959132</v>
      </c>
      <c r="W95" s="628">
        <f t="shared" si="23"/>
        <v>0.36904830427271401</v>
      </c>
      <c r="X95" s="629">
        <f t="shared" si="24"/>
        <v>0.63095169572728593</v>
      </c>
      <c r="Z95" s="1471">
        <f t="shared" si="25"/>
        <v>4.8708023367974501E-2</v>
      </c>
      <c r="AA95" s="1381">
        <f t="shared" si="26"/>
        <v>1.6897274728151735E-3</v>
      </c>
      <c r="AB95" s="1473">
        <f t="shared" si="27"/>
        <v>0.94960224915921032</v>
      </c>
      <c r="AD95" s="1471">
        <f t="shared" si="28"/>
        <v>0.54871937975990781</v>
      </c>
      <c r="AE95" s="1381">
        <f t="shared" si="29"/>
        <v>8.5598811922289516E-3</v>
      </c>
      <c r="AF95" s="1473">
        <f t="shared" si="30"/>
        <v>0.44272073904786324</v>
      </c>
    </row>
    <row r="96" spans="1:32" x14ac:dyDescent="0.25">
      <c r="A96" s="740" t="s">
        <v>234</v>
      </c>
      <c r="B96" s="592" t="s">
        <v>235</v>
      </c>
      <c r="C96" s="741" t="s">
        <v>268</v>
      </c>
      <c r="D96" s="791">
        <f>'Administration LASER'!D95+'Other Oper Exp. LASER'!D95</f>
        <v>1697227.23</v>
      </c>
      <c r="E96" s="792">
        <f>'Administration LASER'!E95+'Other Oper Exp. LASER'!E95</f>
        <v>801351.79</v>
      </c>
      <c r="F96" s="792">
        <f>'Administration LASER'!K95+'Other Oper Exp. LASER'!K95</f>
        <v>968999.86</v>
      </c>
      <c r="G96" s="793">
        <f>'Administration LASER'!I95+'Other Oper Exp. LASER'!I95</f>
        <v>3467578.88</v>
      </c>
      <c r="H96" s="791">
        <f>'Client Services LASER'!D95</f>
        <v>91957.99</v>
      </c>
      <c r="I96" s="792">
        <f>'Client Services LASER'!E95</f>
        <v>36641.049999999996</v>
      </c>
      <c r="J96" s="792">
        <f>'Client Services LASER'!K95</f>
        <v>29223.879999999997</v>
      </c>
      <c r="K96" s="793">
        <f>'Client Services LASER'!I95</f>
        <v>157822.92000000001</v>
      </c>
      <c r="L96" s="791">
        <f>'Benefits Spending LASER'!D96</f>
        <v>40675708.658926591</v>
      </c>
      <c r="M96" s="792">
        <f>'Benefits Spending LASER'!E96</f>
        <v>30463371.965376597</v>
      </c>
      <c r="N96" s="792">
        <f>'Benefits Spending LASER'!I96</f>
        <v>641104.04295000003</v>
      </c>
      <c r="O96" s="793">
        <f t="shared" si="20"/>
        <v>71780184.667253196</v>
      </c>
      <c r="P96" s="1462">
        <f t="shared" si="31"/>
        <v>42464893.87892659</v>
      </c>
      <c r="Q96" s="792">
        <f t="shared" si="32"/>
        <v>31301364.805376597</v>
      </c>
      <c r="R96" s="792">
        <f t="shared" si="33"/>
        <v>1639327.7829499999</v>
      </c>
      <c r="S96" s="793">
        <f t="shared" si="34"/>
        <v>75405586.467253193</v>
      </c>
      <c r="U96" s="627">
        <f t="shared" si="21"/>
        <v>0.48945598319020794</v>
      </c>
      <c r="V96" s="628">
        <f t="shared" si="22"/>
        <v>0.23109835932557071</v>
      </c>
      <c r="W96" s="628">
        <f t="shared" si="23"/>
        <v>0.2794456574842214</v>
      </c>
      <c r="X96" s="629">
        <f t="shared" si="24"/>
        <v>0.72055434251577866</v>
      </c>
      <c r="Z96" s="1471">
        <f t="shared" si="25"/>
        <v>4.5985702684056239E-2</v>
      </c>
      <c r="AA96" s="1381">
        <f t="shared" si="26"/>
        <v>2.0929871033963598E-3</v>
      </c>
      <c r="AB96" s="1473">
        <f t="shared" si="27"/>
        <v>0.95192131021254744</v>
      </c>
      <c r="AD96" s="1471">
        <f t="shared" si="28"/>
        <v>0.5910958565322838</v>
      </c>
      <c r="AE96" s="1381">
        <f t="shared" si="29"/>
        <v>1.782674600159042E-2</v>
      </c>
      <c r="AF96" s="1473">
        <f t="shared" si="30"/>
        <v>0.39107739746612585</v>
      </c>
    </row>
    <row r="97" spans="1:32" x14ac:dyDescent="0.25">
      <c r="A97" s="740" t="s">
        <v>236</v>
      </c>
      <c r="B97" s="592" t="s">
        <v>237</v>
      </c>
      <c r="C97" s="741" t="s">
        <v>266</v>
      </c>
      <c r="D97" s="791">
        <f>'Administration LASER'!D96+'Other Oper Exp. LASER'!D96</f>
        <v>843066.95</v>
      </c>
      <c r="E97" s="792">
        <f>'Administration LASER'!E96+'Other Oper Exp. LASER'!E96</f>
        <v>356104.48</v>
      </c>
      <c r="F97" s="792">
        <f>'Administration LASER'!K96+'Other Oper Exp. LASER'!K96</f>
        <v>656405.55000000005</v>
      </c>
      <c r="G97" s="793">
        <f>'Administration LASER'!I96+'Other Oper Exp. LASER'!I96</f>
        <v>1855576.9799999997</v>
      </c>
      <c r="H97" s="791">
        <f>'Client Services LASER'!D96</f>
        <v>25798.33</v>
      </c>
      <c r="I97" s="792">
        <f>'Client Services LASER'!E96</f>
        <v>12779.14</v>
      </c>
      <c r="J97" s="792">
        <f>'Client Services LASER'!K96</f>
        <v>7366.94</v>
      </c>
      <c r="K97" s="793">
        <f>'Client Services LASER'!I96</f>
        <v>45944.409999999996</v>
      </c>
      <c r="L97" s="791">
        <f>'Benefits Spending LASER'!D97</f>
        <v>15928152.598370802</v>
      </c>
      <c r="M97" s="792">
        <f>'Benefits Spending LASER'!E97</f>
        <v>11578473.448388804</v>
      </c>
      <c r="N97" s="792">
        <f>'Benefits Spending LASER'!I97</f>
        <v>485537.26324999996</v>
      </c>
      <c r="O97" s="793">
        <f t="shared" si="20"/>
        <v>27992163.310009606</v>
      </c>
      <c r="P97" s="1462">
        <f t="shared" si="31"/>
        <v>16797017.878370803</v>
      </c>
      <c r="Q97" s="792">
        <f t="shared" si="32"/>
        <v>11947357.068388803</v>
      </c>
      <c r="R97" s="792">
        <f t="shared" si="33"/>
        <v>1149309.7532500001</v>
      </c>
      <c r="S97" s="793">
        <f t="shared" si="34"/>
        <v>29893684.700009607</v>
      </c>
      <c r="U97" s="627">
        <f t="shared" si="21"/>
        <v>0.4543422121996793</v>
      </c>
      <c r="V97" s="628">
        <f t="shared" si="22"/>
        <v>0.19191037819406448</v>
      </c>
      <c r="W97" s="628">
        <f t="shared" si="23"/>
        <v>0.35374740960625634</v>
      </c>
      <c r="X97" s="629">
        <f t="shared" si="24"/>
        <v>0.64625259039374383</v>
      </c>
      <c r="Z97" s="1471">
        <f t="shared" si="25"/>
        <v>6.2072541361868426E-2</v>
      </c>
      <c r="AA97" s="1381">
        <f t="shared" si="26"/>
        <v>1.5369269616998815E-3</v>
      </c>
      <c r="AB97" s="1473">
        <f t="shared" si="27"/>
        <v>0.93639053167643171</v>
      </c>
      <c r="AD97" s="1471">
        <f t="shared" si="28"/>
        <v>0.571130235468573</v>
      </c>
      <c r="AE97" s="1381">
        <f t="shared" si="29"/>
        <v>6.4098820871987573E-3</v>
      </c>
      <c r="AF97" s="1473">
        <f t="shared" si="30"/>
        <v>0.42245988244422822</v>
      </c>
    </row>
    <row r="98" spans="1:32" x14ac:dyDescent="0.25">
      <c r="A98" s="740" t="s">
        <v>242</v>
      </c>
      <c r="B98" s="592" t="s">
        <v>243</v>
      </c>
      <c r="C98" s="741" t="s">
        <v>268</v>
      </c>
      <c r="D98" s="791">
        <f>'Administration LASER'!D97+'Other Oper Exp. LASER'!D97</f>
        <v>2495652.06</v>
      </c>
      <c r="E98" s="792">
        <f>'Administration LASER'!E97+'Other Oper Exp. LASER'!E97</f>
        <v>1276376.4099999999</v>
      </c>
      <c r="F98" s="792">
        <f>'Administration LASER'!K97+'Other Oper Exp. LASER'!K97</f>
        <v>974814.54</v>
      </c>
      <c r="G98" s="793">
        <f>'Administration LASER'!I97+'Other Oper Exp. LASER'!I97</f>
        <v>4746843.01</v>
      </c>
      <c r="H98" s="791">
        <f>'Client Services LASER'!D97</f>
        <v>260810.72000000003</v>
      </c>
      <c r="I98" s="792">
        <f>'Client Services LASER'!E97</f>
        <v>160221.95000000001</v>
      </c>
      <c r="J98" s="792">
        <f>'Client Services LASER'!K97</f>
        <v>79617.41</v>
      </c>
      <c r="K98" s="793">
        <f>'Client Services LASER'!I97</f>
        <v>500650.08000000007</v>
      </c>
      <c r="L98" s="791">
        <f>'Benefits Spending LASER'!D98</f>
        <v>46306796.555567071</v>
      </c>
      <c r="M98" s="792">
        <f>'Benefits Spending LASER'!E98</f>
        <v>35539589.043316066</v>
      </c>
      <c r="N98" s="792">
        <f>'Benefits Spending LASER'!I98</f>
        <v>713097.36077500007</v>
      </c>
      <c r="O98" s="793">
        <f t="shared" si="20"/>
        <v>82559482.959658131</v>
      </c>
      <c r="P98" s="1462">
        <f t="shared" si="31"/>
        <v>49063259.335567072</v>
      </c>
      <c r="Q98" s="792">
        <f t="shared" si="32"/>
        <v>36976187.403316066</v>
      </c>
      <c r="R98" s="792">
        <f t="shared" si="33"/>
        <v>1767529.3107750001</v>
      </c>
      <c r="S98" s="793">
        <f t="shared" si="34"/>
        <v>87806976.049658135</v>
      </c>
      <c r="U98" s="627">
        <f t="shared" si="21"/>
        <v>0.5257498625386392</v>
      </c>
      <c r="V98" s="628">
        <f t="shared" si="22"/>
        <v>0.26888953506806623</v>
      </c>
      <c r="W98" s="628">
        <f t="shared" si="23"/>
        <v>0.20536060239329468</v>
      </c>
      <c r="X98" s="629">
        <f t="shared" si="24"/>
        <v>0.79463939760670532</v>
      </c>
      <c r="Z98" s="1471">
        <f t="shared" si="25"/>
        <v>5.4059975910290797E-2</v>
      </c>
      <c r="AA98" s="1381">
        <f t="shared" si="26"/>
        <v>5.7017118972057948E-3</v>
      </c>
      <c r="AB98" s="1473">
        <f t="shared" si="27"/>
        <v>0.94023831219250331</v>
      </c>
      <c r="AD98" s="1471">
        <f t="shared" si="28"/>
        <v>0.55151251753362873</v>
      </c>
      <c r="AE98" s="1381">
        <f t="shared" si="29"/>
        <v>4.5044463769084844E-2</v>
      </c>
      <c r="AF98" s="1473">
        <f t="shared" si="30"/>
        <v>0.40344301869728638</v>
      </c>
    </row>
    <row r="99" spans="1:32" x14ac:dyDescent="0.25">
      <c r="A99" s="740" t="s">
        <v>244</v>
      </c>
      <c r="B99" s="592" t="s">
        <v>245</v>
      </c>
      <c r="C99" s="741" t="s">
        <v>268</v>
      </c>
      <c r="D99" s="791">
        <f>'Administration LASER'!D98+'Other Oper Exp. LASER'!D98</f>
        <v>1396824.08</v>
      </c>
      <c r="E99" s="792">
        <f>'Administration LASER'!E98+'Other Oper Exp. LASER'!E98</f>
        <v>611783.84</v>
      </c>
      <c r="F99" s="792">
        <f>'Administration LASER'!K98+'Other Oper Exp. LASER'!K98</f>
        <v>900132.64999999991</v>
      </c>
      <c r="G99" s="793">
        <f>'Administration LASER'!I98+'Other Oper Exp. LASER'!I98</f>
        <v>2908740.5700000003</v>
      </c>
      <c r="H99" s="791">
        <f>'Client Services LASER'!D98</f>
        <v>100403.68000000001</v>
      </c>
      <c r="I99" s="792">
        <f>'Client Services LASER'!E98</f>
        <v>28387.219999999998</v>
      </c>
      <c r="J99" s="792">
        <f>'Client Services LASER'!K98</f>
        <v>23796.03</v>
      </c>
      <c r="K99" s="793">
        <f>'Client Services LASER'!I98</f>
        <v>152586.93</v>
      </c>
      <c r="L99" s="791">
        <f>'Benefits Spending LASER'!D99</f>
        <v>24596175.377187461</v>
      </c>
      <c r="M99" s="792">
        <f>'Benefits Spending LASER'!E99</f>
        <v>19817361.793607462</v>
      </c>
      <c r="N99" s="792">
        <f>'Benefits Spending LASER'!I99</f>
        <v>574295.01630000002</v>
      </c>
      <c r="O99" s="793">
        <f t="shared" si="20"/>
        <v>44987832.187094919</v>
      </c>
      <c r="P99" s="1462">
        <f t="shared" si="31"/>
        <v>26093403.137187462</v>
      </c>
      <c r="Q99" s="792">
        <f t="shared" si="32"/>
        <v>20457532.853607461</v>
      </c>
      <c r="R99" s="792">
        <f t="shared" si="33"/>
        <v>1498223.6963</v>
      </c>
      <c r="S99" s="793">
        <f t="shared" si="34"/>
        <v>48049159.687094919</v>
      </c>
      <c r="U99" s="627">
        <f t="shared" si="21"/>
        <v>0.48021610947586157</v>
      </c>
      <c r="V99" s="628">
        <f t="shared" si="22"/>
        <v>0.2103260243659337</v>
      </c>
      <c r="W99" s="628">
        <f t="shared" si="23"/>
        <v>0.30945786615820464</v>
      </c>
      <c r="X99" s="629">
        <f t="shared" si="24"/>
        <v>0.69054213384179519</v>
      </c>
      <c r="Z99" s="1471">
        <f t="shared" si="25"/>
        <v>6.0536762535333827E-2</v>
      </c>
      <c r="AA99" s="1381">
        <f t="shared" si="26"/>
        <v>3.1756420090106575E-3</v>
      </c>
      <c r="AB99" s="1473">
        <f t="shared" si="27"/>
        <v>0.93628759545565554</v>
      </c>
      <c r="AD99" s="1471">
        <f t="shared" si="28"/>
        <v>0.60079990205932499</v>
      </c>
      <c r="AE99" s="1381">
        <f t="shared" si="29"/>
        <v>1.5882828484669188E-2</v>
      </c>
      <c r="AF99" s="1473">
        <f t="shared" si="30"/>
        <v>0.38331726945600575</v>
      </c>
    </row>
    <row r="100" spans="1:32" x14ac:dyDescent="0.25">
      <c r="A100" s="740" t="s">
        <v>246</v>
      </c>
      <c r="B100" s="592" t="s">
        <v>247</v>
      </c>
      <c r="C100" s="741" t="s">
        <v>264</v>
      </c>
      <c r="D100" s="791">
        <f>'Administration LASER'!D99+'Other Oper Exp. LASER'!D99</f>
        <v>1940033.0699999998</v>
      </c>
      <c r="E100" s="792">
        <f>'Administration LASER'!E99+'Other Oper Exp. LASER'!E99</f>
        <v>685772.62</v>
      </c>
      <c r="F100" s="792">
        <f>'Administration LASER'!K99+'Other Oper Exp. LASER'!K99</f>
        <v>1987135.8399999999</v>
      </c>
      <c r="G100" s="793">
        <f>'Administration LASER'!I99+'Other Oper Exp. LASER'!I99</f>
        <v>4612941.53</v>
      </c>
      <c r="H100" s="791">
        <f>'Client Services LASER'!D99</f>
        <v>100605.58</v>
      </c>
      <c r="I100" s="792">
        <f>'Client Services LASER'!E99</f>
        <v>63351.24</v>
      </c>
      <c r="J100" s="792">
        <f>'Client Services LASER'!K99</f>
        <v>39773.620000000003</v>
      </c>
      <c r="K100" s="793">
        <f>'Client Services LASER'!I99</f>
        <v>203730.44</v>
      </c>
      <c r="L100" s="791">
        <f>'Benefits Spending LASER'!D100</f>
        <v>21230571.374546897</v>
      </c>
      <c r="M100" s="792">
        <f>'Benefits Spending LASER'!E100</f>
        <v>16682893.051209897</v>
      </c>
      <c r="N100" s="792">
        <f>'Benefits Spending LASER'!I100</f>
        <v>511986.62906500004</v>
      </c>
      <c r="O100" s="793">
        <f t="shared" si="20"/>
        <v>38425451.054821797</v>
      </c>
      <c r="P100" s="1462">
        <f t="shared" si="31"/>
        <v>23271210.024546895</v>
      </c>
      <c r="Q100" s="792">
        <f t="shared" si="32"/>
        <v>17432016.911209896</v>
      </c>
      <c r="R100" s="792">
        <f t="shared" si="33"/>
        <v>2538896.0890649999</v>
      </c>
      <c r="S100" s="793">
        <f t="shared" si="34"/>
        <v>43242123.024821796</v>
      </c>
      <c r="U100" s="627">
        <f t="shared" si="21"/>
        <v>0.4205631173478151</v>
      </c>
      <c r="V100" s="628">
        <f t="shared" si="22"/>
        <v>0.14866276009355792</v>
      </c>
      <c r="W100" s="628">
        <f t="shared" si="23"/>
        <v>0.43077412255862685</v>
      </c>
      <c r="X100" s="629">
        <f t="shared" si="24"/>
        <v>0.56922587744137298</v>
      </c>
      <c r="Z100" s="1471">
        <f t="shared" si="25"/>
        <v>0.10667703635531689</v>
      </c>
      <c r="AA100" s="1381">
        <f t="shared" si="26"/>
        <v>4.711388473758675E-3</v>
      </c>
      <c r="AB100" s="1473">
        <f t="shared" si="27"/>
        <v>0.88861157517092448</v>
      </c>
      <c r="AD100" s="1471">
        <f t="shared" si="28"/>
        <v>0.782677104651338</v>
      </c>
      <c r="AE100" s="1381">
        <f t="shared" si="29"/>
        <v>1.5665713997238637E-2</v>
      </c>
      <c r="AF100" s="1473">
        <f t="shared" si="30"/>
        <v>0.2016571813514233</v>
      </c>
    </row>
    <row r="101" spans="1:32" x14ac:dyDescent="0.25">
      <c r="A101" s="740" t="s">
        <v>14</v>
      </c>
      <c r="B101" s="592" t="s">
        <v>15</v>
      </c>
      <c r="C101" s="741" t="s">
        <v>267</v>
      </c>
      <c r="D101" s="791">
        <f>'Administration LASER'!D100+'Other Oper Exp. LASER'!D100</f>
        <v>8267685.3600000003</v>
      </c>
      <c r="E101" s="792">
        <f>'Administration LASER'!E100+'Other Oper Exp. LASER'!E100</f>
        <v>2243947.27</v>
      </c>
      <c r="F101" s="792">
        <f>'Administration LASER'!K100+'Other Oper Exp. LASER'!K100</f>
        <v>11007874.410000002</v>
      </c>
      <c r="G101" s="793">
        <f>'Administration LASER'!I100+'Other Oper Exp. LASER'!I100</f>
        <v>21519507.039999999</v>
      </c>
      <c r="H101" s="791">
        <f>'Client Services LASER'!D100</f>
        <v>195380.21000000002</v>
      </c>
      <c r="I101" s="792">
        <f>'Client Services LASER'!E100</f>
        <v>46999.53</v>
      </c>
      <c r="J101" s="792">
        <f>'Client Services LASER'!K100</f>
        <v>154468.37</v>
      </c>
      <c r="K101" s="793">
        <f>'Client Services LASER'!I100</f>
        <v>396848.11000000004</v>
      </c>
      <c r="L101" s="791">
        <f>'Benefits Spending LASER'!D101</f>
        <v>66913297.911295496</v>
      </c>
      <c r="M101" s="792">
        <f>'Benefits Spending LASER'!E101</f>
        <v>54325334.621485241</v>
      </c>
      <c r="N101" s="792">
        <f>'Benefits Spending LASER'!I101</f>
        <v>4366750.9785102494</v>
      </c>
      <c r="O101" s="793">
        <f t="shared" ref="O101:O125" si="35">SUM(L101:N101)</f>
        <v>125605383.51129098</v>
      </c>
      <c r="P101" s="1462">
        <f t="shared" si="31"/>
        <v>75376363.481295496</v>
      </c>
      <c r="Q101" s="792">
        <f t="shared" si="32"/>
        <v>56616281.421485238</v>
      </c>
      <c r="R101" s="792">
        <f t="shared" si="33"/>
        <v>15529093.758510251</v>
      </c>
      <c r="S101" s="793">
        <f t="shared" si="34"/>
        <v>147521738.66129097</v>
      </c>
      <c r="U101" s="627">
        <f t="shared" ref="U101:U125" si="36">D101/G101</f>
        <v>0.38419492345397149</v>
      </c>
      <c r="V101" s="628">
        <f t="shared" ref="V101:V125" si="37">E101/G101</f>
        <v>0.10427503129272427</v>
      </c>
      <c r="W101" s="628">
        <f t="shared" ref="W101:W125" si="38">F101/G101</f>
        <v>0.51153004525330437</v>
      </c>
      <c r="X101" s="629">
        <f t="shared" si="24"/>
        <v>0.4884699547466958</v>
      </c>
      <c r="Z101" s="1471">
        <f t="shared" si="25"/>
        <v>0.14587346404185664</v>
      </c>
      <c r="AA101" s="1381">
        <f t="shared" si="26"/>
        <v>2.6900991921682874E-3</v>
      </c>
      <c r="AB101" s="1473">
        <f t="shared" si="27"/>
        <v>0.85143643676597514</v>
      </c>
      <c r="AD101" s="1471">
        <f t="shared" si="28"/>
        <v>0.70885491331182604</v>
      </c>
      <c r="AE101" s="1381">
        <f t="shared" si="29"/>
        <v>9.9470305480864434E-3</v>
      </c>
      <c r="AF101" s="1473">
        <f t="shared" si="30"/>
        <v>0.28119805614008758</v>
      </c>
    </row>
    <row r="102" spans="1:32" x14ac:dyDescent="0.25">
      <c r="A102" s="740" t="s">
        <v>34</v>
      </c>
      <c r="B102" s="592" t="s">
        <v>35</v>
      </c>
      <c r="C102" s="741" t="s">
        <v>268</v>
      </c>
      <c r="D102" s="791">
        <f>'Administration LASER'!D101+'Other Oper Exp. LASER'!D101</f>
        <v>1323796.6299999999</v>
      </c>
      <c r="E102" s="792">
        <f>'Administration LASER'!E101+'Other Oper Exp. LASER'!E101</f>
        <v>647559.14</v>
      </c>
      <c r="F102" s="792">
        <f>'Administration LASER'!K101+'Other Oper Exp. LASER'!K101</f>
        <v>616945.38</v>
      </c>
      <c r="G102" s="793">
        <f>'Administration LASER'!I101+'Other Oper Exp. LASER'!I101</f>
        <v>2588301.15</v>
      </c>
      <c r="H102" s="791">
        <f>'Client Services LASER'!D101</f>
        <v>100286.61</v>
      </c>
      <c r="I102" s="792">
        <f>'Client Services LASER'!E101</f>
        <v>117954.72</v>
      </c>
      <c r="J102" s="792">
        <f>'Client Services LASER'!K101</f>
        <v>43403.07</v>
      </c>
      <c r="K102" s="793">
        <f>'Client Services LASER'!I101</f>
        <v>261644.4</v>
      </c>
      <c r="L102" s="791">
        <f>'Benefits Spending LASER'!D102</f>
        <v>22273799.080022801</v>
      </c>
      <c r="M102" s="792">
        <f>'Benefits Spending LASER'!E102</f>
        <v>16606918.079667553</v>
      </c>
      <c r="N102" s="792">
        <f>'Benefits Spending LASER'!I102</f>
        <v>616958.72269125003</v>
      </c>
      <c r="O102" s="793">
        <f t="shared" si="35"/>
        <v>39497675.882381603</v>
      </c>
      <c r="P102" s="1462">
        <f t="shared" si="31"/>
        <v>23697882.320022799</v>
      </c>
      <c r="Q102" s="792">
        <f t="shared" si="32"/>
        <v>17372431.939667553</v>
      </c>
      <c r="R102" s="792">
        <f t="shared" si="33"/>
        <v>1277307.17269125</v>
      </c>
      <c r="S102" s="793">
        <f t="shared" si="34"/>
        <v>42347621.4323816</v>
      </c>
      <c r="U102" s="627">
        <f t="shared" si="36"/>
        <v>0.51145386617782085</v>
      </c>
      <c r="V102" s="628">
        <f t="shared" si="37"/>
        <v>0.25018693825484722</v>
      </c>
      <c r="W102" s="628">
        <f t="shared" si="38"/>
        <v>0.2383591955673319</v>
      </c>
      <c r="X102" s="629">
        <f t="shared" si="24"/>
        <v>0.76164080443266813</v>
      </c>
      <c r="Z102" s="1471">
        <f t="shared" si="25"/>
        <v>6.1120343066560646E-2</v>
      </c>
      <c r="AA102" s="1381">
        <f t="shared" si="26"/>
        <v>6.1784910497931899E-3</v>
      </c>
      <c r="AB102" s="1473">
        <f t="shared" si="27"/>
        <v>0.93270116588364627</v>
      </c>
      <c r="AD102" s="1471">
        <f t="shared" si="28"/>
        <v>0.48300470958768171</v>
      </c>
      <c r="AE102" s="1381">
        <f t="shared" si="29"/>
        <v>3.3980134871200135E-2</v>
      </c>
      <c r="AF102" s="1473">
        <f t="shared" si="30"/>
        <v>0.48301515554111818</v>
      </c>
    </row>
    <row r="103" spans="1:32" x14ac:dyDescent="0.25">
      <c r="A103" s="740" t="s">
        <v>52</v>
      </c>
      <c r="B103" s="592" t="s">
        <v>53</v>
      </c>
      <c r="C103" s="741" t="s">
        <v>265</v>
      </c>
      <c r="D103" s="791">
        <f>'Administration LASER'!D102+'Other Oper Exp. LASER'!D102</f>
        <v>3693147.93</v>
      </c>
      <c r="E103" s="792">
        <f>'Administration LASER'!E102+'Other Oper Exp. LASER'!E102</f>
        <v>1284622.81</v>
      </c>
      <c r="F103" s="792">
        <f>'Administration LASER'!K102+'Other Oper Exp. LASER'!K102</f>
        <v>3467838.97</v>
      </c>
      <c r="G103" s="793">
        <f>'Administration LASER'!I102+'Other Oper Exp. LASER'!I102</f>
        <v>8445609.709999999</v>
      </c>
      <c r="H103" s="791">
        <f>'Client Services LASER'!D102</f>
        <v>187301.74</v>
      </c>
      <c r="I103" s="792">
        <f>'Client Services LASER'!E102</f>
        <v>80998.91</v>
      </c>
      <c r="J103" s="792">
        <f>'Client Services LASER'!K102</f>
        <v>67835.13</v>
      </c>
      <c r="K103" s="793">
        <f>'Client Services LASER'!I102</f>
        <v>336135.78</v>
      </c>
      <c r="L103" s="791">
        <f>'Benefits Spending LASER'!D103</f>
        <v>35823710.153768897</v>
      </c>
      <c r="M103" s="792">
        <f>'Benefits Spending LASER'!E103</f>
        <v>33490193.9441019</v>
      </c>
      <c r="N103" s="792">
        <f>'Benefits Spending LASER'!I103</f>
        <v>2471856.4808109999</v>
      </c>
      <c r="O103" s="793">
        <f t="shared" si="35"/>
        <v>71785760.578681797</v>
      </c>
      <c r="P103" s="1462">
        <f t="shared" si="31"/>
        <v>39704159.823768899</v>
      </c>
      <c r="Q103" s="792">
        <f t="shared" si="32"/>
        <v>34855815.664101899</v>
      </c>
      <c r="R103" s="792">
        <f t="shared" si="33"/>
        <v>6007530.5808109995</v>
      </c>
      <c r="S103" s="793">
        <f t="shared" si="34"/>
        <v>80567506.068681791</v>
      </c>
      <c r="U103" s="627">
        <f t="shared" si="36"/>
        <v>0.43728612341950152</v>
      </c>
      <c r="V103" s="628">
        <f t="shared" si="37"/>
        <v>0.15210539607092502</v>
      </c>
      <c r="W103" s="628">
        <f t="shared" si="38"/>
        <v>0.4106084805095736</v>
      </c>
      <c r="X103" s="629">
        <f t="shared" si="24"/>
        <v>0.58939151949042656</v>
      </c>
      <c r="Z103" s="1471">
        <f t="shared" si="25"/>
        <v>0.10482650043555186</v>
      </c>
      <c r="AA103" s="1381">
        <f t="shared" si="26"/>
        <v>4.172101091393504E-3</v>
      </c>
      <c r="AB103" s="1473">
        <f t="shared" si="27"/>
        <v>0.89100139847305471</v>
      </c>
      <c r="AD103" s="1471">
        <f t="shared" si="28"/>
        <v>0.57724865872124309</v>
      </c>
      <c r="AE103" s="1381">
        <f t="shared" si="29"/>
        <v>1.1291682844973958E-2</v>
      </c>
      <c r="AF103" s="1473">
        <f t="shared" si="30"/>
        <v>0.41145965843378302</v>
      </c>
    </row>
    <row r="104" spans="1:32" x14ac:dyDescent="0.25">
      <c r="A104" s="740" t="s">
        <v>54</v>
      </c>
      <c r="B104" s="592" t="s">
        <v>55</v>
      </c>
      <c r="C104" s="741" t="s">
        <v>264</v>
      </c>
      <c r="D104" s="791">
        <f>'Administration LASER'!D103+'Other Oper Exp. LASER'!D103</f>
        <v>7042978.3500000006</v>
      </c>
      <c r="E104" s="792">
        <f>'Administration LASER'!E103+'Other Oper Exp. LASER'!E103</f>
        <v>2784237.9099999997</v>
      </c>
      <c r="F104" s="792">
        <f>'Administration LASER'!K103+'Other Oper Exp. LASER'!K103</f>
        <v>6237473.1400000006</v>
      </c>
      <c r="G104" s="793">
        <f>'Administration LASER'!I103+'Other Oper Exp. LASER'!I103</f>
        <v>16064689.4</v>
      </c>
      <c r="H104" s="791">
        <f>'Client Services LASER'!D103</f>
        <v>274672.87999999995</v>
      </c>
      <c r="I104" s="792">
        <f>'Client Services LASER'!E103</f>
        <v>208730.99</v>
      </c>
      <c r="J104" s="792">
        <f>'Client Services LASER'!K103</f>
        <v>89549.680000000008</v>
      </c>
      <c r="K104" s="793">
        <f>'Client Services LASER'!I103</f>
        <v>572953.54999999993</v>
      </c>
      <c r="L104" s="791">
        <f>'Benefits Spending LASER'!D104</f>
        <v>133866935.63354106</v>
      </c>
      <c r="M104" s="792">
        <f>'Benefits Spending LASER'!E104</f>
        <v>97587339.13389492</v>
      </c>
      <c r="N104" s="792">
        <f>'Benefits Spending LASER'!I104</f>
        <v>1395028.1057781249</v>
      </c>
      <c r="O104" s="793">
        <f t="shared" si="35"/>
        <v>232849302.8732141</v>
      </c>
      <c r="P104" s="1462">
        <f t="shared" si="31"/>
        <v>141184586.86354107</v>
      </c>
      <c r="Q104" s="792">
        <f t="shared" si="32"/>
        <v>100580308.03389493</v>
      </c>
      <c r="R104" s="792">
        <f t="shared" si="33"/>
        <v>7722050.9257781254</v>
      </c>
      <c r="S104" s="793">
        <f t="shared" si="34"/>
        <v>249486945.82321408</v>
      </c>
      <c r="U104" s="627">
        <f t="shared" si="36"/>
        <v>0.43841360231963156</v>
      </c>
      <c r="V104" s="628">
        <f t="shared" si="37"/>
        <v>0.17331414512128693</v>
      </c>
      <c r="W104" s="628">
        <f t="shared" si="38"/>
        <v>0.38827225255908154</v>
      </c>
      <c r="X104" s="629">
        <f t="shared" si="24"/>
        <v>0.6117277474409184</v>
      </c>
      <c r="Z104" s="1471">
        <f t="shared" si="25"/>
        <v>6.4390901684224414E-2</v>
      </c>
      <c r="AA104" s="1381">
        <f t="shared" si="26"/>
        <v>2.2965271714296171E-3</v>
      </c>
      <c r="AB104" s="1473">
        <f t="shared" si="27"/>
        <v>0.93331257114434607</v>
      </c>
      <c r="AD104" s="1471">
        <f t="shared" si="28"/>
        <v>0.80774825236878001</v>
      </c>
      <c r="AE104" s="1381">
        <f t="shared" si="29"/>
        <v>1.1596618678214219E-2</v>
      </c>
      <c r="AF104" s="1473">
        <f t="shared" si="30"/>
        <v>0.18065512895300578</v>
      </c>
    </row>
    <row r="105" spans="1:32" x14ac:dyDescent="0.25">
      <c r="A105" s="740" t="s">
        <v>66</v>
      </c>
      <c r="B105" s="592" t="s">
        <v>67</v>
      </c>
      <c r="C105" s="741" t="s">
        <v>265</v>
      </c>
      <c r="D105" s="791">
        <f>'Administration LASER'!D104+'Other Oper Exp. LASER'!D104</f>
        <v>2749820.12</v>
      </c>
      <c r="E105" s="792">
        <f>'Administration LASER'!E104+'Other Oper Exp. LASER'!E104</f>
        <v>1318594.07</v>
      </c>
      <c r="F105" s="792">
        <f>'Administration LASER'!K104+'Other Oper Exp. LASER'!K104</f>
        <v>1434367.52</v>
      </c>
      <c r="G105" s="793">
        <f>'Administration LASER'!I104+'Other Oper Exp. LASER'!I104</f>
        <v>5502781.7100000009</v>
      </c>
      <c r="H105" s="791">
        <f>'Client Services LASER'!D104</f>
        <v>115261.96000000002</v>
      </c>
      <c r="I105" s="792">
        <f>'Client Services LASER'!E104</f>
        <v>48786.7</v>
      </c>
      <c r="J105" s="792">
        <f>'Client Services LASER'!K104</f>
        <v>33329.289999999994</v>
      </c>
      <c r="K105" s="793">
        <f>'Client Services LASER'!I104</f>
        <v>197377.95000000004</v>
      </c>
      <c r="L105" s="791">
        <f>'Benefits Spending LASER'!D105</f>
        <v>77462581.077479735</v>
      </c>
      <c r="M105" s="792">
        <f>'Benefits Spending LASER'!E105</f>
        <v>59914181.978727862</v>
      </c>
      <c r="N105" s="792">
        <f>'Benefits Spending LASER'!I105</f>
        <v>1060301.7008118751</v>
      </c>
      <c r="O105" s="793">
        <f t="shared" si="35"/>
        <v>138437064.75701946</v>
      </c>
      <c r="P105" s="1462">
        <f t="shared" si="31"/>
        <v>80327663.157479733</v>
      </c>
      <c r="Q105" s="792">
        <f t="shared" si="32"/>
        <v>61281562.748727866</v>
      </c>
      <c r="R105" s="792">
        <f t="shared" si="33"/>
        <v>2527998.5108118751</v>
      </c>
      <c r="S105" s="793">
        <f t="shared" si="34"/>
        <v>144137224.41701946</v>
      </c>
      <c r="U105" s="627">
        <f t="shared" si="36"/>
        <v>0.49971455618580218</v>
      </c>
      <c r="V105" s="628">
        <f t="shared" si="37"/>
        <v>0.23962318323544762</v>
      </c>
      <c r="W105" s="628">
        <f t="shared" si="38"/>
        <v>0.26066226057875003</v>
      </c>
      <c r="X105" s="629">
        <f t="shared" si="24"/>
        <v>0.73933773942124992</v>
      </c>
      <c r="Z105" s="1471">
        <f t="shared" si="25"/>
        <v>3.8177380841463202E-2</v>
      </c>
      <c r="AA105" s="1381">
        <f t="shared" si="26"/>
        <v>1.3693752658157474E-3</v>
      </c>
      <c r="AB105" s="1473">
        <f t="shared" si="27"/>
        <v>0.96045324389272113</v>
      </c>
      <c r="AD105" s="1471">
        <f t="shared" si="28"/>
        <v>0.56739254942810391</v>
      </c>
      <c r="AE105" s="1381">
        <f t="shared" si="29"/>
        <v>1.3184062355043153E-2</v>
      </c>
      <c r="AF105" s="1473">
        <f t="shared" si="30"/>
        <v>0.41942338821685288</v>
      </c>
    </row>
    <row r="106" spans="1:32" x14ac:dyDescent="0.25">
      <c r="A106" s="740" t="s">
        <v>82</v>
      </c>
      <c r="B106" s="592" t="s">
        <v>311</v>
      </c>
      <c r="C106" s="741" t="s">
        <v>264</v>
      </c>
      <c r="D106" s="791">
        <f>'Administration LASER'!D105+'Other Oper Exp. LASER'!D105</f>
        <v>719373.16</v>
      </c>
      <c r="E106" s="792">
        <f>'Administration LASER'!E105+'Other Oper Exp. LASER'!E105</f>
        <v>306868.73</v>
      </c>
      <c r="F106" s="792">
        <f>'Administration LASER'!K105+'Other Oper Exp. LASER'!K105</f>
        <v>473872.70000000007</v>
      </c>
      <c r="G106" s="793">
        <f>'Administration LASER'!I105+'Other Oper Exp. LASER'!I105</f>
        <v>1500114.5899999999</v>
      </c>
      <c r="H106" s="791">
        <f>'Client Services LASER'!D105</f>
        <v>18839.63</v>
      </c>
      <c r="I106" s="792">
        <f>'Client Services LASER'!E105</f>
        <v>14740.24</v>
      </c>
      <c r="J106" s="792">
        <f>'Client Services LASER'!K105</f>
        <v>6055.44</v>
      </c>
      <c r="K106" s="793">
        <f>'Client Services LASER'!I105</f>
        <v>39635.310000000005</v>
      </c>
      <c r="L106" s="791">
        <f>'Benefits Spending LASER'!D106</f>
        <v>15749240.081583029</v>
      </c>
      <c r="M106" s="792">
        <f>'Benefits Spending LASER'!E106</f>
        <v>11559144.032618528</v>
      </c>
      <c r="N106" s="792">
        <f>'Benefits Spending LASER'!I106</f>
        <v>112955.1181125</v>
      </c>
      <c r="O106" s="793">
        <f t="shared" si="35"/>
        <v>27421339.232314058</v>
      </c>
      <c r="P106" s="1462">
        <f t="shared" si="31"/>
        <v>16487452.87158303</v>
      </c>
      <c r="Q106" s="792">
        <f t="shared" si="32"/>
        <v>11880753.002618529</v>
      </c>
      <c r="R106" s="792">
        <f t="shared" si="33"/>
        <v>592883.25811250007</v>
      </c>
      <c r="S106" s="793">
        <f t="shared" si="34"/>
        <v>28961089.132314056</v>
      </c>
      <c r="U106" s="627">
        <f t="shared" si="36"/>
        <v>0.47954547258953073</v>
      </c>
      <c r="V106" s="628">
        <f t="shared" si="37"/>
        <v>0.20456352604370046</v>
      </c>
      <c r="W106" s="628">
        <f t="shared" si="38"/>
        <v>0.31589100136676901</v>
      </c>
      <c r="X106" s="629">
        <f t="shared" si="24"/>
        <v>0.68410899863323116</v>
      </c>
      <c r="Z106" s="1471">
        <f t="shared" si="25"/>
        <v>5.1797588935500689E-2</v>
      </c>
      <c r="AA106" s="1381">
        <f t="shared" si="26"/>
        <v>1.3685711134315015E-3</v>
      </c>
      <c r="AB106" s="1473">
        <f t="shared" si="27"/>
        <v>0.94683383995106785</v>
      </c>
      <c r="AD106" s="1471">
        <f t="shared" si="28"/>
        <v>0.79926814177316907</v>
      </c>
      <c r="AE106" s="1381">
        <f t="shared" si="29"/>
        <v>1.0213545275807021E-2</v>
      </c>
      <c r="AF106" s="1473">
        <f t="shared" si="30"/>
        <v>0.19051831295102395</v>
      </c>
    </row>
    <row r="107" spans="1:32" x14ac:dyDescent="0.25">
      <c r="A107" s="740" t="s">
        <v>88</v>
      </c>
      <c r="B107" s="592" t="s">
        <v>89</v>
      </c>
      <c r="C107" s="741" t="s">
        <v>267</v>
      </c>
      <c r="D107" s="791">
        <f>'Administration LASER'!D106+'Other Oper Exp. LASER'!D106</f>
        <v>1406631.85</v>
      </c>
      <c r="E107" s="792">
        <f>'Administration LASER'!E106+'Other Oper Exp. LASER'!E106</f>
        <v>523379.39</v>
      </c>
      <c r="F107" s="792">
        <f>'Administration LASER'!K106+'Other Oper Exp. LASER'!K106</f>
        <v>1113747.1299999999</v>
      </c>
      <c r="G107" s="793">
        <f>'Administration LASER'!I106+'Other Oper Exp. LASER'!I106</f>
        <v>3043758.37</v>
      </c>
      <c r="H107" s="791">
        <f>'Client Services LASER'!D106</f>
        <v>55146.57</v>
      </c>
      <c r="I107" s="792">
        <f>'Client Services LASER'!E106</f>
        <v>29997.119999999999</v>
      </c>
      <c r="J107" s="792">
        <f>'Client Services LASER'!K106</f>
        <v>26050.240000000002</v>
      </c>
      <c r="K107" s="793">
        <f>'Client Services LASER'!I106</f>
        <v>111193.93</v>
      </c>
      <c r="L107" s="791">
        <f>'Benefits Spending LASER'!D107</f>
        <v>25449858.312966876</v>
      </c>
      <c r="M107" s="792">
        <f>'Benefits Spending LASER'!E107</f>
        <v>20053431.876800999</v>
      </c>
      <c r="N107" s="792">
        <f>'Benefits Spending LASER'!I107</f>
        <v>834708.24739387515</v>
      </c>
      <c r="O107" s="793">
        <f t="shared" si="35"/>
        <v>46337998.437161751</v>
      </c>
      <c r="P107" s="1462">
        <f t="shared" si="31"/>
        <v>26911636.732966878</v>
      </c>
      <c r="Q107" s="792">
        <f t="shared" si="32"/>
        <v>20606808.386801001</v>
      </c>
      <c r="R107" s="792">
        <f t="shared" si="33"/>
        <v>1974505.617393875</v>
      </c>
      <c r="S107" s="793">
        <f t="shared" si="34"/>
        <v>49492950.737161748</v>
      </c>
      <c r="U107" s="627">
        <f t="shared" si="36"/>
        <v>0.46213650329937328</v>
      </c>
      <c r="V107" s="628">
        <f t="shared" si="37"/>
        <v>0.17195168813613809</v>
      </c>
      <c r="W107" s="628">
        <f t="shared" si="38"/>
        <v>0.36591180856448857</v>
      </c>
      <c r="X107" s="629">
        <f t="shared" si="24"/>
        <v>0.63408819143551143</v>
      </c>
      <c r="Z107" s="1471">
        <f t="shared" si="25"/>
        <v>6.1498826088673596E-2</v>
      </c>
      <c r="AA107" s="1381">
        <f t="shared" si="26"/>
        <v>2.2466619658728514E-3</v>
      </c>
      <c r="AB107" s="1473">
        <f t="shared" si="27"/>
        <v>0.93625451194545362</v>
      </c>
      <c r="AD107" s="1471">
        <f t="shared" si="28"/>
        <v>0.56406379409040153</v>
      </c>
      <c r="AE107" s="1381">
        <f t="shared" si="29"/>
        <v>1.319329748698481E-2</v>
      </c>
      <c r="AF107" s="1473">
        <f t="shared" si="30"/>
        <v>0.42274290842261364</v>
      </c>
    </row>
    <row r="108" spans="1:32" x14ac:dyDescent="0.25">
      <c r="A108" s="740" t="s">
        <v>90</v>
      </c>
      <c r="B108" s="592" t="s">
        <v>91</v>
      </c>
      <c r="C108" s="741" t="s">
        <v>268</v>
      </c>
      <c r="D108" s="791">
        <f>'Administration LASER'!D107+'Other Oper Exp. LASER'!D107</f>
        <v>460461.67</v>
      </c>
      <c r="E108" s="792">
        <f>'Administration LASER'!E107+'Other Oper Exp. LASER'!E107</f>
        <v>227761.79</v>
      </c>
      <c r="F108" s="792">
        <f>'Administration LASER'!K107+'Other Oper Exp. LASER'!K107</f>
        <v>232529.58</v>
      </c>
      <c r="G108" s="793">
        <f>'Administration LASER'!I107+'Other Oper Exp. LASER'!I107</f>
        <v>920753.04</v>
      </c>
      <c r="H108" s="791">
        <f>'Client Services LASER'!D107</f>
        <v>28285.560000000005</v>
      </c>
      <c r="I108" s="792">
        <f>'Client Services LASER'!E107</f>
        <v>12574.76</v>
      </c>
      <c r="J108" s="792">
        <f>'Client Services LASER'!K107</f>
        <v>7946.53</v>
      </c>
      <c r="K108" s="793">
        <f>'Client Services LASER'!I107</f>
        <v>48806.850000000006</v>
      </c>
      <c r="L108" s="791">
        <f>'Benefits Spending LASER'!D108</f>
        <v>10620600.755760066</v>
      </c>
      <c r="M108" s="792">
        <f>'Benefits Spending LASER'!E108</f>
        <v>7775227.3737775683</v>
      </c>
      <c r="N108" s="792">
        <f>'Benefits Spending LASER'!I108</f>
        <v>72100.207902500013</v>
      </c>
      <c r="O108" s="793">
        <f t="shared" si="35"/>
        <v>18467928.337440133</v>
      </c>
      <c r="P108" s="1462">
        <f t="shared" si="31"/>
        <v>11109347.985760067</v>
      </c>
      <c r="Q108" s="792">
        <f t="shared" si="32"/>
        <v>8015563.9237775682</v>
      </c>
      <c r="R108" s="792">
        <f t="shared" si="33"/>
        <v>312576.31790249998</v>
      </c>
      <c r="S108" s="793">
        <f t="shared" si="34"/>
        <v>19437488.227440134</v>
      </c>
      <c r="U108" s="627">
        <f t="shared" si="36"/>
        <v>0.50009247865203899</v>
      </c>
      <c r="V108" s="628">
        <f t="shared" si="37"/>
        <v>0.24736468966749217</v>
      </c>
      <c r="W108" s="628">
        <f t="shared" si="38"/>
        <v>0.25254283168046882</v>
      </c>
      <c r="X108" s="629">
        <f t="shared" si="24"/>
        <v>0.74745716831953113</v>
      </c>
      <c r="Z108" s="1471">
        <f t="shared" si="25"/>
        <v>4.7369960008524246E-2</v>
      </c>
      <c r="AA108" s="1381">
        <f t="shared" si="26"/>
        <v>2.5109648648480617E-3</v>
      </c>
      <c r="AB108" s="1473">
        <f t="shared" si="27"/>
        <v>0.95011907512662763</v>
      </c>
      <c r="AD108" s="1471">
        <f t="shared" si="28"/>
        <v>0.74391297958961666</v>
      </c>
      <c r="AE108" s="1381">
        <f t="shared" si="29"/>
        <v>2.5422687340244093E-2</v>
      </c>
      <c r="AF108" s="1473">
        <f t="shared" si="30"/>
        <v>0.23066433307013934</v>
      </c>
    </row>
    <row r="109" spans="1:32" x14ac:dyDescent="0.25">
      <c r="A109" s="740" t="s">
        <v>106</v>
      </c>
      <c r="B109" s="592" t="s">
        <v>107</v>
      </c>
      <c r="C109" s="741" t="s">
        <v>264</v>
      </c>
      <c r="D109" s="791">
        <f>'Administration LASER'!D108+'Other Oper Exp. LASER'!D108</f>
        <v>6340940.2800000003</v>
      </c>
      <c r="E109" s="792">
        <f>'Administration LASER'!E108+'Other Oper Exp. LASER'!E108</f>
        <v>3072688.64</v>
      </c>
      <c r="F109" s="792">
        <f>'Administration LASER'!K108+'Other Oper Exp. LASER'!K108</f>
        <v>3022477.7</v>
      </c>
      <c r="G109" s="793">
        <f>'Administration LASER'!I108+'Other Oper Exp. LASER'!I108</f>
        <v>12436106.620000001</v>
      </c>
      <c r="H109" s="791">
        <f>'Client Services LASER'!D108</f>
        <v>367002.27999999991</v>
      </c>
      <c r="I109" s="792">
        <f>'Client Services LASER'!E108</f>
        <v>255562.71</v>
      </c>
      <c r="J109" s="792">
        <f>'Client Services LASER'!K108</f>
        <v>140880.72</v>
      </c>
      <c r="K109" s="793">
        <f>'Client Services LASER'!I108</f>
        <v>763445.71</v>
      </c>
      <c r="L109" s="791">
        <f>'Benefits Spending LASER'!D109</f>
        <v>122592115.03516187</v>
      </c>
      <c r="M109" s="792">
        <f>'Benefits Spending LASER'!E109</f>
        <v>95189462.828499362</v>
      </c>
      <c r="N109" s="792">
        <f>'Benefits Spending LASER'!I109</f>
        <v>1733467.7181425001</v>
      </c>
      <c r="O109" s="793">
        <f t="shared" si="35"/>
        <v>219515045.58180374</v>
      </c>
      <c r="P109" s="1462">
        <f t="shared" si="31"/>
        <v>129300057.59516187</v>
      </c>
      <c r="Q109" s="792">
        <f t="shared" si="32"/>
        <v>98517714.178499356</v>
      </c>
      <c r="R109" s="792">
        <f t="shared" si="33"/>
        <v>4896826.1381425001</v>
      </c>
      <c r="S109" s="793">
        <f t="shared" si="34"/>
        <v>232714597.91180375</v>
      </c>
      <c r="U109" s="627">
        <f t="shared" si="36"/>
        <v>0.50988146642313037</v>
      </c>
      <c r="V109" s="628">
        <f t="shared" si="37"/>
        <v>0.24707802320208797</v>
      </c>
      <c r="W109" s="628">
        <f t="shared" si="38"/>
        <v>0.24304051037478158</v>
      </c>
      <c r="X109" s="629">
        <f t="shared" si="24"/>
        <v>0.75695948962521831</v>
      </c>
      <c r="Z109" s="1471">
        <f t="shared" si="25"/>
        <v>5.3439306049520567E-2</v>
      </c>
      <c r="AA109" s="1381">
        <f t="shared" si="26"/>
        <v>3.2806094540289107E-3</v>
      </c>
      <c r="AB109" s="1473">
        <f t="shared" si="27"/>
        <v>0.94328008449645051</v>
      </c>
      <c r="AD109" s="1471">
        <f t="shared" si="28"/>
        <v>0.61723198143737013</v>
      </c>
      <c r="AE109" s="1381">
        <f t="shared" si="29"/>
        <v>2.8769802322089366E-2</v>
      </c>
      <c r="AF109" s="1473">
        <f t="shared" si="30"/>
        <v>0.35399821624054062</v>
      </c>
    </row>
    <row r="110" spans="1:32" x14ac:dyDescent="0.25">
      <c r="A110" s="740" t="s">
        <v>116</v>
      </c>
      <c r="B110" s="592" t="s">
        <v>117</v>
      </c>
      <c r="C110" s="741" t="s">
        <v>266</v>
      </c>
      <c r="D110" s="791">
        <f>'Administration LASER'!D109+'Other Oper Exp. LASER'!D109</f>
        <v>1667845.2399999998</v>
      </c>
      <c r="E110" s="792">
        <f>'Administration LASER'!E109+'Other Oper Exp. LASER'!E109</f>
        <v>792992.65</v>
      </c>
      <c r="F110" s="792">
        <f>'Administration LASER'!K109+'Other Oper Exp. LASER'!K109</f>
        <v>809506.2</v>
      </c>
      <c r="G110" s="793">
        <f>'Administration LASER'!I109+'Other Oper Exp. LASER'!I109</f>
        <v>3270344.0900000003</v>
      </c>
      <c r="H110" s="791">
        <f>'Client Services LASER'!D109</f>
        <v>104980.47999999998</v>
      </c>
      <c r="I110" s="792">
        <f>'Client Services LASER'!E109</f>
        <v>163836.88</v>
      </c>
      <c r="J110" s="792">
        <f>'Client Services LASER'!K109</f>
        <v>49733.37000000001</v>
      </c>
      <c r="K110" s="793">
        <f>'Client Services LASER'!I109</f>
        <v>318550.73</v>
      </c>
      <c r="L110" s="791">
        <f>'Benefits Spending LASER'!D110</f>
        <v>34347555.818660364</v>
      </c>
      <c r="M110" s="792">
        <f>'Benefits Spending LASER'!E110</f>
        <v>26589775.161257237</v>
      </c>
      <c r="N110" s="792">
        <f>'Benefits Spending LASER'!I110</f>
        <v>1179387.355395125</v>
      </c>
      <c r="O110" s="793">
        <f t="shared" si="35"/>
        <v>62116718.335312724</v>
      </c>
      <c r="P110" s="1462">
        <f t="shared" si="31"/>
        <v>36120381.538660362</v>
      </c>
      <c r="Q110" s="792">
        <f t="shared" si="32"/>
        <v>27546604.691257238</v>
      </c>
      <c r="R110" s="792">
        <f t="shared" si="33"/>
        <v>2038626.9253951251</v>
      </c>
      <c r="S110" s="793">
        <f t="shared" si="34"/>
        <v>65705613.155312724</v>
      </c>
      <c r="U110" s="627">
        <f t="shared" si="36"/>
        <v>0.50999075146248585</v>
      </c>
      <c r="V110" s="628">
        <f t="shared" si="37"/>
        <v>0.24247988229275286</v>
      </c>
      <c r="W110" s="628">
        <f t="shared" si="38"/>
        <v>0.24752936624476107</v>
      </c>
      <c r="X110" s="629">
        <f t="shared" si="24"/>
        <v>0.7524706337552387</v>
      </c>
      <c r="Z110" s="1471">
        <f t="shared" si="25"/>
        <v>4.9772674402560869E-2</v>
      </c>
      <c r="AA110" s="1381">
        <f t="shared" si="26"/>
        <v>4.8481509372269374E-3</v>
      </c>
      <c r="AB110" s="1473">
        <f t="shared" si="27"/>
        <v>0.94537917466021215</v>
      </c>
      <c r="AD110" s="1471">
        <f t="shared" si="28"/>
        <v>0.39708403235334594</v>
      </c>
      <c r="AE110" s="1381">
        <f t="shared" si="29"/>
        <v>2.4395522976996258E-2</v>
      </c>
      <c r="AF110" s="1473">
        <f t="shared" si="30"/>
        <v>0.5785204446696578</v>
      </c>
    </row>
    <row r="111" spans="1:32" x14ac:dyDescent="0.25">
      <c r="A111" s="740" t="s">
        <v>138</v>
      </c>
      <c r="B111" s="592" t="s">
        <v>139</v>
      </c>
      <c r="C111" s="741" t="s">
        <v>265</v>
      </c>
      <c r="D111" s="791">
        <f>'Administration LASER'!D110+'Other Oper Exp. LASER'!D110</f>
        <v>4258324.96</v>
      </c>
      <c r="E111" s="792">
        <f>'Administration LASER'!E110+'Other Oper Exp. LASER'!E110</f>
        <v>1832903.44</v>
      </c>
      <c r="F111" s="792">
        <f>'Administration LASER'!K110+'Other Oper Exp. LASER'!K110</f>
        <v>3110250.4699999997</v>
      </c>
      <c r="G111" s="793">
        <f>'Administration LASER'!I110+'Other Oper Exp. LASER'!I110</f>
        <v>9201478.8699999992</v>
      </c>
      <c r="H111" s="791">
        <f>'Client Services LASER'!D110</f>
        <v>207256.29</v>
      </c>
      <c r="I111" s="792">
        <f>'Client Services LASER'!E110</f>
        <v>99092.83</v>
      </c>
      <c r="J111" s="792">
        <f>'Client Services LASER'!K110</f>
        <v>59111.89</v>
      </c>
      <c r="K111" s="793">
        <f>'Client Services LASER'!I110</f>
        <v>365461.00999999995</v>
      </c>
      <c r="L111" s="791">
        <f>'Benefits Spending LASER'!D111</f>
        <v>82592969.115818411</v>
      </c>
      <c r="M111" s="792">
        <f>'Benefits Spending LASER'!E111</f>
        <v>66067725.794488415</v>
      </c>
      <c r="N111" s="792">
        <f>'Benefits Spending LASER'!I111</f>
        <v>1944336.688138</v>
      </c>
      <c r="O111" s="793">
        <f t="shared" si="35"/>
        <v>150605031.59844482</v>
      </c>
      <c r="P111" s="1462">
        <f t="shared" si="31"/>
        <v>87058550.365818411</v>
      </c>
      <c r="Q111" s="792">
        <f t="shared" si="32"/>
        <v>67999722.064488411</v>
      </c>
      <c r="R111" s="792">
        <f t="shared" si="33"/>
        <v>5113699.0481380001</v>
      </c>
      <c r="S111" s="793">
        <f t="shared" si="34"/>
        <v>160171971.47844481</v>
      </c>
      <c r="U111" s="627">
        <f t="shared" si="36"/>
        <v>0.46278701719172677</v>
      </c>
      <c r="V111" s="628">
        <f t="shared" si="37"/>
        <v>0.19919661457636972</v>
      </c>
      <c r="W111" s="628">
        <f t="shared" si="38"/>
        <v>0.33801636823190356</v>
      </c>
      <c r="X111" s="629">
        <f t="shared" si="24"/>
        <v>0.66198363176809649</v>
      </c>
      <c r="Z111" s="1471">
        <f t="shared" si="25"/>
        <v>5.7447497118672169E-2</v>
      </c>
      <c r="AA111" s="1381">
        <f t="shared" si="26"/>
        <v>2.2816789143984655E-3</v>
      </c>
      <c r="AB111" s="1473">
        <f t="shared" si="27"/>
        <v>0.9402708239669294</v>
      </c>
      <c r="AD111" s="1471">
        <f t="shared" si="28"/>
        <v>0.60821930284155146</v>
      </c>
      <c r="AE111" s="1381">
        <f t="shared" si="29"/>
        <v>1.1559516788834849E-2</v>
      </c>
      <c r="AF111" s="1473">
        <f t="shared" si="30"/>
        <v>0.38022118036961361</v>
      </c>
    </row>
    <row r="112" spans="1:32" x14ac:dyDescent="0.25">
      <c r="A112" s="740" t="s">
        <v>142</v>
      </c>
      <c r="B112" s="592" t="s">
        <v>143</v>
      </c>
      <c r="C112" s="741" t="s">
        <v>267</v>
      </c>
      <c r="D112" s="791">
        <f>'Administration LASER'!D111+'Other Oper Exp. LASER'!D111</f>
        <v>1304959.06</v>
      </c>
      <c r="E112" s="792">
        <f>'Administration LASER'!E111+'Other Oper Exp. LASER'!E111</f>
        <v>415265.63</v>
      </c>
      <c r="F112" s="792">
        <f>'Administration LASER'!K111+'Other Oper Exp. LASER'!K111</f>
        <v>1379408.15</v>
      </c>
      <c r="G112" s="793">
        <f>'Administration LASER'!I111+'Other Oper Exp. LASER'!I111</f>
        <v>3099632.84</v>
      </c>
      <c r="H112" s="791">
        <f>'Client Services LASER'!D111</f>
        <v>37442.089999999997</v>
      </c>
      <c r="I112" s="792">
        <f>'Client Services LASER'!E111</f>
        <v>38869.879999999997</v>
      </c>
      <c r="J112" s="792">
        <f>'Client Services LASER'!K111</f>
        <v>19892.650000000001</v>
      </c>
      <c r="K112" s="793">
        <f>'Client Services LASER'!I111</f>
        <v>96204.62000000001</v>
      </c>
      <c r="L112" s="791">
        <f>'Benefits Spending LASER'!D112</f>
        <v>25142328.600322027</v>
      </c>
      <c r="M112" s="792">
        <f>'Benefits Spending LASER'!E112</f>
        <v>17683997.273282029</v>
      </c>
      <c r="N112" s="792">
        <f>'Benefits Spending LASER'!I112</f>
        <v>786516.72895999998</v>
      </c>
      <c r="O112" s="793">
        <f t="shared" si="35"/>
        <v>43612842.602564059</v>
      </c>
      <c r="P112" s="1462">
        <f t="shared" si="31"/>
        <v>26484729.750322025</v>
      </c>
      <c r="Q112" s="792">
        <f t="shared" si="32"/>
        <v>18138132.78328203</v>
      </c>
      <c r="R112" s="792">
        <f t="shared" si="33"/>
        <v>2185817.5289599998</v>
      </c>
      <c r="S112" s="793">
        <f t="shared" si="34"/>
        <v>46808680.06256406</v>
      </c>
      <c r="U112" s="627">
        <f t="shared" si="36"/>
        <v>0.42100439870162176</v>
      </c>
      <c r="V112" s="628">
        <f t="shared" si="37"/>
        <v>0.13397252237139159</v>
      </c>
      <c r="W112" s="628">
        <f t="shared" si="38"/>
        <v>0.44502307892698673</v>
      </c>
      <c r="X112" s="629">
        <f t="shared" si="24"/>
        <v>0.55497692107301333</v>
      </c>
      <c r="Z112" s="1471">
        <f t="shared" si="25"/>
        <v>6.6219189172970885E-2</v>
      </c>
      <c r="AA112" s="1381">
        <f t="shared" si="26"/>
        <v>2.0552730790830628E-3</v>
      </c>
      <c r="AB112" s="1473">
        <f t="shared" si="27"/>
        <v>0.93172553774794609</v>
      </c>
      <c r="AD112" s="1471">
        <f t="shared" si="28"/>
        <v>0.63107195899207325</v>
      </c>
      <c r="AE112" s="1381">
        <f t="shared" si="29"/>
        <v>9.1007825385428301E-3</v>
      </c>
      <c r="AF112" s="1473">
        <f t="shared" si="30"/>
        <v>0.35982725846938396</v>
      </c>
    </row>
    <row r="113" spans="1:32" x14ac:dyDescent="0.25">
      <c r="A113" s="740" t="s">
        <v>144</v>
      </c>
      <c r="B113" s="592" t="s">
        <v>145</v>
      </c>
      <c r="C113" s="741" t="s">
        <v>267</v>
      </c>
      <c r="D113" s="791">
        <f>'Administration LASER'!D112+'Other Oper Exp. LASER'!D112</f>
        <v>550876.81999999995</v>
      </c>
      <c r="E113" s="792">
        <f>'Administration LASER'!E112+'Other Oper Exp. LASER'!E112</f>
        <v>183477.67</v>
      </c>
      <c r="F113" s="792">
        <f>'Administration LASER'!K112+'Other Oper Exp. LASER'!K112</f>
        <v>651238.05000000005</v>
      </c>
      <c r="G113" s="793">
        <f>'Administration LASER'!I112+'Other Oper Exp. LASER'!I112</f>
        <v>1385592.54</v>
      </c>
      <c r="H113" s="791">
        <f>'Client Services LASER'!D112</f>
        <v>28721.879999999997</v>
      </c>
      <c r="I113" s="792">
        <f>'Client Services LASER'!E112</f>
        <v>7738.8899999999994</v>
      </c>
      <c r="J113" s="792">
        <f>'Client Services LASER'!K112</f>
        <v>6881.3599999999988</v>
      </c>
      <c r="K113" s="793">
        <f>'Client Services LASER'!I112</f>
        <v>43342.13</v>
      </c>
      <c r="L113" s="791">
        <f>'Benefits Spending LASER'!D113</f>
        <v>7677106.7827759404</v>
      </c>
      <c r="M113" s="792">
        <f>'Benefits Spending LASER'!E113</f>
        <v>5609279.0310871899</v>
      </c>
      <c r="N113" s="792">
        <f>'Benefits Spending LASER'!I113</f>
        <v>242035.32992875003</v>
      </c>
      <c r="O113" s="793">
        <f t="shared" si="35"/>
        <v>13528421.14379188</v>
      </c>
      <c r="P113" s="1462">
        <f t="shared" si="31"/>
        <v>8256705.4827759406</v>
      </c>
      <c r="Q113" s="792">
        <f t="shared" si="32"/>
        <v>5800495.5910871895</v>
      </c>
      <c r="R113" s="792">
        <f t="shared" si="33"/>
        <v>900154.73992875009</v>
      </c>
      <c r="S113" s="793">
        <f t="shared" si="34"/>
        <v>14957355.81379188</v>
      </c>
      <c r="U113" s="627">
        <f t="shared" si="36"/>
        <v>0.39757490322515732</v>
      </c>
      <c r="V113" s="628">
        <f t="shared" si="37"/>
        <v>0.13241819994209841</v>
      </c>
      <c r="W113" s="628">
        <f t="shared" si="38"/>
        <v>0.47000689683274421</v>
      </c>
      <c r="X113" s="629">
        <f t="shared" si="24"/>
        <v>0.52999310316725579</v>
      </c>
      <c r="Z113" s="1471">
        <f t="shared" si="25"/>
        <v>9.2636195678541838E-2</v>
      </c>
      <c r="AA113" s="1381">
        <f t="shared" si="26"/>
        <v>2.8977133752501284E-3</v>
      </c>
      <c r="AB113" s="1473">
        <f t="shared" si="27"/>
        <v>0.904466090946208</v>
      </c>
      <c r="AD113" s="1471">
        <f t="shared" si="28"/>
        <v>0.72347344418977055</v>
      </c>
      <c r="AE113" s="1381">
        <f t="shared" si="29"/>
        <v>7.6446411875192464E-3</v>
      </c>
      <c r="AF113" s="1473">
        <f t="shared" si="30"/>
        <v>0.26888191462271016</v>
      </c>
    </row>
    <row r="114" spans="1:32" x14ac:dyDescent="0.25">
      <c r="A114" s="740" t="s">
        <v>158</v>
      </c>
      <c r="B114" s="592" t="s">
        <v>159</v>
      </c>
      <c r="C114" s="741" t="s">
        <v>264</v>
      </c>
      <c r="D114" s="791">
        <f>'Administration LASER'!D113+'Other Oper Exp. LASER'!D113</f>
        <v>11767241.129999999</v>
      </c>
      <c r="E114" s="792">
        <f>'Administration LASER'!E113+'Other Oper Exp. LASER'!E113</f>
        <v>4810982.97</v>
      </c>
      <c r="F114" s="792">
        <f>'Administration LASER'!K113+'Other Oper Exp. LASER'!K113</f>
        <v>8726745.3900000006</v>
      </c>
      <c r="G114" s="793">
        <f>'Administration LASER'!I113+'Other Oper Exp. LASER'!I113</f>
        <v>25304969.489999998</v>
      </c>
      <c r="H114" s="791">
        <f>'Client Services LASER'!D113</f>
        <v>449304.58999999997</v>
      </c>
      <c r="I114" s="792">
        <f>'Client Services LASER'!E113</f>
        <v>355582.17999999993</v>
      </c>
      <c r="J114" s="792">
        <f>'Client Services LASER'!K113</f>
        <v>193798.27000000002</v>
      </c>
      <c r="K114" s="793">
        <f>'Client Services LASER'!I113</f>
        <v>998685.0399999998</v>
      </c>
      <c r="L114" s="791">
        <f>'Benefits Spending LASER'!D114</f>
        <v>173023816.30465648</v>
      </c>
      <c r="M114" s="792">
        <f>'Benefits Spending LASER'!E114</f>
        <v>119848240.016637</v>
      </c>
      <c r="N114" s="792">
        <f>'Benefits Spending LASER'!I114</f>
        <v>1816200.7336914998</v>
      </c>
      <c r="O114" s="793">
        <f t="shared" si="35"/>
        <v>294688257.05498499</v>
      </c>
      <c r="P114" s="1462">
        <f t="shared" si="31"/>
        <v>185240362.02465647</v>
      </c>
      <c r="Q114" s="792">
        <f t="shared" si="32"/>
        <v>125014805.166637</v>
      </c>
      <c r="R114" s="792">
        <f t="shared" si="33"/>
        <v>10736744.393691501</v>
      </c>
      <c r="S114" s="793">
        <f t="shared" si="34"/>
        <v>320991911.58498496</v>
      </c>
      <c r="U114" s="627">
        <f t="shared" si="36"/>
        <v>0.46501700524279116</v>
      </c>
      <c r="V114" s="628">
        <f t="shared" si="37"/>
        <v>0.19012008577608444</v>
      </c>
      <c r="W114" s="628">
        <f t="shared" si="38"/>
        <v>0.34486290898112443</v>
      </c>
      <c r="X114" s="629">
        <f t="shared" si="24"/>
        <v>0.65513709101887552</v>
      </c>
      <c r="Z114" s="1471">
        <f t="shared" si="25"/>
        <v>7.883366706983308E-2</v>
      </c>
      <c r="AA114" s="1381">
        <f t="shared" si="26"/>
        <v>3.1112467447192687E-3</v>
      </c>
      <c r="AB114" s="1473">
        <f t="shared" si="27"/>
        <v>0.91805508618544773</v>
      </c>
      <c r="AD114" s="1471">
        <f t="shared" si="28"/>
        <v>0.81279250674231396</v>
      </c>
      <c r="AE114" s="1381">
        <f t="shared" si="29"/>
        <v>1.8050003138182971E-2</v>
      </c>
      <c r="AF114" s="1473">
        <f t="shared" si="30"/>
        <v>0.16915749011950304</v>
      </c>
    </row>
    <row r="115" spans="1:32" x14ac:dyDescent="0.25">
      <c r="A115" s="740" t="s">
        <v>160</v>
      </c>
      <c r="B115" s="592" t="s">
        <v>161</v>
      </c>
      <c r="C115" s="741" t="s">
        <v>264</v>
      </c>
      <c r="D115" s="791">
        <f>'Administration LASER'!D114+'Other Oper Exp. LASER'!D114</f>
        <v>15333187.069999998</v>
      </c>
      <c r="E115" s="792">
        <f>'Administration LASER'!E114+'Other Oper Exp. LASER'!E114</f>
        <v>7540264.3700000001</v>
      </c>
      <c r="F115" s="792">
        <f>'Administration LASER'!K114+'Other Oper Exp. LASER'!K114</f>
        <v>6753740.1900000013</v>
      </c>
      <c r="G115" s="793">
        <f>'Administration LASER'!I114+'Other Oper Exp. LASER'!I114</f>
        <v>29627191.630000003</v>
      </c>
      <c r="H115" s="791">
        <f>'Client Services LASER'!D114</f>
        <v>432114.24000000005</v>
      </c>
      <c r="I115" s="792">
        <f>'Client Services LASER'!E114</f>
        <v>296305.97000000003</v>
      </c>
      <c r="J115" s="792">
        <f>'Client Services LASER'!K114</f>
        <v>137196.19</v>
      </c>
      <c r="K115" s="793">
        <f>'Client Services LASER'!I114</f>
        <v>865616.40000000014</v>
      </c>
      <c r="L115" s="791">
        <f>'Benefits Spending LASER'!D115</f>
        <v>249686041.20757046</v>
      </c>
      <c r="M115" s="792">
        <f>'Benefits Spending LASER'!E115</f>
        <v>178280853.66368839</v>
      </c>
      <c r="N115" s="792">
        <f>'Benefits Spending LASER'!I115</f>
        <v>2710798.9860581253</v>
      </c>
      <c r="O115" s="793">
        <f t="shared" si="35"/>
        <v>430677693.85731697</v>
      </c>
      <c r="P115" s="1462">
        <f t="shared" si="31"/>
        <v>265451342.51757047</v>
      </c>
      <c r="Q115" s="792">
        <f t="shared" si="32"/>
        <v>186117424.0036884</v>
      </c>
      <c r="R115" s="792">
        <f t="shared" si="33"/>
        <v>9601735.3660581261</v>
      </c>
      <c r="S115" s="793">
        <f t="shared" si="34"/>
        <v>461170501.88731694</v>
      </c>
      <c r="U115" s="627">
        <f t="shared" si="36"/>
        <v>0.51753764789754386</v>
      </c>
      <c r="V115" s="628">
        <f t="shared" si="37"/>
        <v>0.25450486378077269</v>
      </c>
      <c r="W115" s="628">
        <f t="shared" si="38"/>
        <v>0.22795748832168339</v>
      </c>
      <c r="X115" s="629">
        <f t="shared" si="24"/>
        <v>0.7720425116783165</v>
      </c>
      <c r="Z115" s="1471">
        <f t="shared" si="25"/>
        <v>6.4243466372528646E-2</v>
      </c>
      <c r="AA115" s="1381">
        <f t="shared" si="26"/>
        <v>1.876998629481957E-3</v>
      </c>
      <c r="AB115" s="1473">
        <f t="shared" si="27"/>
        <v>0.93387953499798948</v>
      </c>
      <c r="AD115" s="1471">
        <f t="shared" si="28"/>
        <v>0.70338745367574795</v>
      </c>
      <c r="AE115" s="1381">
        <f t="shared" si="29"/>
        <v>1.428868686435421E-2</v>
      </c>
      <c r="AF115" s="1473">
        <f t="shared" si="30"/>
        <v>0.28232385945989785</v>
      </c>
    </row>
    <row r="116" spans="1:32" x14ac:dyDescent="0.25">
      <c r="A116" s="740" t="s">
        <v>166</v>
      </c>
      <c r="B116" s="592" t="s">
        <v>167</v>
      </c>
      <c r="C116" s="741" t="s">
        <v>268</v>
      </c>
      <c r="D116" s="791">
        <f>'Administration LASER'!D115+'Other Oper Exp. LASER'!D115</f>
        <v>409152.79000000004</v>
      </c>
      <c r="E116" s="792">
        <f>'Administration LASER'!E115+'Other Oper Exp. LASER'!E115</f>
        <v>177460.71</v>
      </c>
      <c r="F116" s="792">
        <f>'Administration LASER'!K115+'Other Oper Exp. LASER'!K115</f>
        <v>268941.29000000004</v>
      </c>
      <c r="G116" s="793">
        <f>'Administration LASER'!I115+'Other Oper Exp. LASER'!I115</f>
        <v>855554.79000000015</v>
      </c>
      <c r="H116" s="791">
        <f>'Client Services LASER'!D115</f>
        <v>21501.02</v>
      </c>
      <c r="I116" s="792">
        <f>'Client Services LASER'!E115</f>
        <v>10594.369999999999</v>
      </c>
      <c r="J116" s="792">
        <f>'Client Services LASER'!K115</f>
        <v>6207.77</v>
      </c>
      <c r="K116" s="793">
        <f>'Client Services LASER'!I115</f>
        <v>38303.160000000003</v>
      </c>
      <c r="L116" s="791">
        <f>'Benefits Spending LASER'!D116</f>
        <v>4850389.5200198079</v>
      </c>
      <c r="M116" s="792">
        <f>'Benefits Spending LASER'!E116</f>
        <v>3479556.0311878067</v>
      </c>
      <c r="N116" s="792">
        <f>'Benefits Spending LASER'!I116</f>
        <v>50372.068759999995</v>
      </c>
      <c r="O116" s="793">
        <f t="shared" si="35"/>
        <v>8380317.6199676152</v>
      </c>
      <c r="P116" s="1462">
        <f t="shared" si="31"/>
        <v>5281043.3300198074</v>
      </c>
      <c r="Q116" s="792">
        <f t="shared" si="32"/>
        <v>3667611.1111878068</v>
      </c>
      <c r="R116" s="792">
        <f t="shared" si="33"/>
        <v>325521.12876000005</v>
      </c>
      <c r="S116" s="793">
        <f t="shared" si="34"/>
        <v>9274175.5699676163</v>
      </c>
      <c r="U116" s="627">
        <f t="shared" si="36"/>
        <v>0.47823096168978257</v>
      </c>
      <c r="V116" s="628">
        <f t="shared" si="37"/>
        <v>0.20742179469300845</v>
      </c>
      <c r="W116" s="628">
        <f t="shared" si="38"/>
        <v>0.31434724361720889</v>
      </c>
      <c r="X116" s="629">
        <f t="shared" si="24"/>
        <v>0.685652756382791</v>
      </c>
      <c r="Z116" s="1471">
        <f t="shared" si="25"/>
        <v>9.2251304015693508E-2</v>
      </c>
      <c r="AA116" s="1381">
        <f t="shared" si="26"/>
        <v>4.1300878672209298E-3</v>
      </c>
      <c r="AB116" s="1473">
        <f t="shared" si="27"/>
        <v>0.9036186081170855</v>
      </c>
      <c r="AD116" s="1471">
        <f t="shared" si="28"/>
        <v>0.82618689307349036</v>
      </c>
      <c r="AE116" s="1381">
        <f t="shared" si="29"/>
        <v>1.9070252132778943E-2</v>
      </c>
      <c r="AF116" s="1473">
        <f t="shared" si="30"/>
        <v>0.15474285479373068</v>
      </c>
    </row>
    <row r="117" spans="1:32" x14ac:dyDescent="0.25">
      <c r="A117" s="740" t="s">
        <v>176</v>
      </c>
      <c r="B117" s="592" t="s">
        <v>177</v>
      </c>
      <c r="C117" s="741" t="s">
        <v>266</v>
      </c>
      <c r="D117" s="791">
        <f>'Administration LASER'!D116+'Other Oper Exp. LASER'!D116</f>
        <v>3153386.04</v>
      </c>
      <c r="E117" s="792">
        <f>'Administration LASER'!E116+'Other Oper Exp. LASER'!E116</f>
        <v>1593188.28</v>
      </c>
      <c r="F117" s="792">
        <f>'Administration LASER'!K116+'Other Oper Exp. LASER'!K116</f>
        <v>1408802.17</v>
      </c>
      <c r="G117" s="793">
        <f>'Administration LASER'!I116+'Other Oper Exp. LASER'!I116</f>
        <v>6155376.4900000002</v>
      </c>
      <c r="H117" s="791">
        <f>'Client Services LASER'!D116</f>
        <v>113040.98999999999</v>
      </c>
      <c r="I117" s="792">
        <f>'Client Services LASER'!E116</f>
        <v>176700.38</v>
      </c>
      <c r="J117" s="792">
        <f>'Client Services LASER'!K116</f>
        <v>58211.78</v>
      </c>
      <c r="K117" s="793">
        <f>'Client Services LASER'!I116</f>
        <v>347953.14999999997</v>
      </c>
      <c r="L117" s="791">
        <f>'Benefits Spending LASER'!D117</f>
        <v>65510253.779675908</v>
      </c>
      <c r="M117" s="792">
        <f>'Benefits Spending LASER'!E117</f>
        <v>50888083.862168908</v>
      </c>
      <c r="N117" s="792">
        <f>'Benefits Spending LASER'!I117</f>
        <v>1930449.6543549998</v>
      </c>
      <c r="O117" s="793">
        <f t="shared" si="35"/>
        <v>118328787.29619981</v>
      </c>
      <c r="P117" s="1462">
        <f t="shared" si="31"/>
        <v>68776680.809675902</v>
      </c>
      <c r="Q117" s="792">
        <f t="shared" si="32"/>
        <v>52657972.522168905</v>
      </c>
      <c r="R117" s="792">
        <f t="shared" si="33"/>
        <v>3397463.604355</v>
      </c>
      <c r="S117" s="793">
        <f t="shared" si="34"/>
        <v>124832116.93619981</v>
      </c>
      <c r="U117" s="627">
        <f t="shared" si="36"/>
        <v>0.51229783346688518</v>
      </c>
      <c r="V117" s="628">
        <f t="shared" si="37"/>
        <v>0.25882873006846735</v>
      </c>
      <c r="W117" s="628">
        <f t="shared" si="38"/>
        <v>0.2288734364646475</v>
      </c>
      <c r="X117" s="629">
        <f t="shared" si="24"/>
        <v>0.77112656353535247</v>
      </c>
      <c r="Z117" s="1471">
        <f t="shared" si="25"/>
        <v>4.9309237406796033E-2</v>
      </c>
      <c r="AA117" s="1381">
        <f t="shared" si="26"/>
        <v>2.7873688161343495E-3</v>
      </c>
      <c r="AB117" s="1473">
        <f t="shared" si="27"/>
        <v>0.94790339377706967</v>
      </c>
      <c r="AD117" s="1471">
        <f t="shared" si="28"/>
        <v>0.41466291741702338</v>
      </c>
      <c r="AE117" s="1381">
        <f t="shared" si="29"/>
        <v>1.7133893627405423E-2</v>
      </c>
      <c r="AF117" s="1473">
        <f t="shared" si="30"/>
        <v>0.56820318895557109</v>
      </c>
    </row>
    <row r="118" spans="1:32" x14ac:dyDescent="0.25">
      <c r="A118" s="740" t="s">
        <v>180</v>
      </c>
      <c r="B118" s="592" t="s">
        <v>181</v>
      </c>
      <c r="C118" s="741" t="s">
        <v>264</v>
      </c>
      <c r="D118" s="791">
        <f>'Administration LASER'!D117+'Other Oper Exp. LASER'!D117</f>
        <v>7047363.4800000004</v>
      </c>
      <c r="E118" s="792">
        <f>'Administration LASER'!E117+'Other Oper Exp. LASER'!E117</f>
        <v>3419878.42</v>
      </c>
      <c r="F118" s="792">
        <f>'Administration LASER'!K117+'Other Oper Exp. LASER'!K117</f>
        <v>4307890.66</v>
      </c>
      <c r="G118" s="793">
        <f>'Administration LASER'!I117+'Other Oper Exp. LASER'!I117</f>
        <v>14775132.559999999</v>
      </c>
      <c r="H118" s="791">
        <f>'Client Services LASER'!D117</f>
        <v>207384.82000000004</v>
      </c>
      <c r="I118" s="792">
        <f>'Client Services LASER'!E117</f>
        <v>101904.76</v>
      </c>
      <c r="J118" s="792">
        <f>'Client Services LASER'!K117</f>
        <v>68862.880000000019</v>
      </c>
      <c r="K118" s="793">
        <f>'Client Services LASER'!I117</f>
        <v>378152.46</v>
      </c>
      <c r="L118" s="791">
        <f>'Benefits Spending LASER'!D118</f>
        <v>127378017.68287809</v>
      </c>
      <c r="M118" s="792">
        <f>'Benefits Spending LASER'!E118</f>
        <v>93419843.286480069</v>
      </c>
      <c r="N118" s="792">
        <f>'Benefits Spending LASER'!I118</f>
        <v>1142524.28409</v>
      </c>
      <c r="O118" s="793">
        <f t="shared" si="35"/>
        <v>221940385.25344816</v>
      </c>
      <c r="P118" s="1462">
        <f t="shared" si="31"/>
        <v>134632765.98287809</v>
      </c>
      <c r="Q118" s="792">
        <f t="shared" si="32"/>
        <v>96941626.466480076</v>
      </c>
      <c r="R118" s="792">
        <f t="shared" si="33"/>
        <v>5519277.8240900002</v>
      </c>
      <c r="S118" s="793">
        <f t="shared" si="34"/>
        <v>237093670.27344817</v>
      </c>
      <c r="U118" s="627">
        <f t="shared" si="36"/>
        <v>0.47697463636157056</v>
      </c>
      <c r="V118" s="628">
        <f t="shared" si="37"/>
        <v>0.23146177579878174</v>
      </c>
      <c r="W118" s="628">
        <f t="shared" si="38"/>
        <v>0.29156358783964781</v>
      </c>
      <c r="X118" s="629">
        <f t="shared" si="24"/>
        <v>0.70843641216035236</v>
      </c>
      <c r="Z118" s="1471">
        <f t="shared" si="25"/>
        <v>6.2317701450904775E-2</v>
      </c>
      <c r="AA118" s="1381">
        <f t="shared" si="26"/>
        <v>1.5949496229227206E-3</v>
      </c>
      <c r="AB118" s="1473">
        <f t="shared" si="27"/>
        <v>0.9360873489261724</v>
      </c>
      <c r="AD118" s="1471">
        <f t="shared" si="28"/>
        <v>0.78051708888386506</v>
      </c>
      <c r="AE118" s="1381">
        <f t="shared" si="29"/>
        <v>1.2476791746092959E-2</v>
      </c>
      <c r="AF118" s="1473">
        <f t="shared" si="30"/>
        <v>0.20700611937004196</v>
      </c>
    </row>
    <row r="119" spans="1:32" x14ac:dyDescent="0.25">
      <c r="A119" s="740" t="s">
        <v>192</v>
      </c>
      <c r="B119" s="592" t="s">
        <v>193</v>
      </c>
      <c r="C119" s="741" t="s">
        <v>268</v>
      </c>
      <c r="D119" s="791">
        <f>'Administration LASER'!D118+'Other Oper Exp. LASER'!D118</f>
        <v>499970.51</v>
      </c>
      <c r="E119" s="792">
        <f>'Administration LASER'!E118+'Other Oper Exp. LASER'!E118</f>
        <v>222674.01</v>
      </c>
      <c r="F119" s="792">
        <f>'Administration LASER'!K118+'Other Oper Exp. LASER'!K118</f>
        <v>315182.84999999998</v>
      </c>
      <c r="G119" s="793">
        <f>'Administration LASER'!I118+'Other Oper Exp. LASER'!I118</f>
        <v>1037827.3700000001</v>
      </c>
      <c r="H119" s="791">
        <f>'Client Services LASER'!D118</f>
        <v>15079.130000000001</v>
      </c>
      <c r="I119" s="792">
        <f>'Client Services LASER'!E118</f>
        <v>10215.58</v>
      </c>
      <c r="J119" s="792">
        <f>'Client Services LASER'!K118</f>
        <v>9193.98</v>
      </c>
      <c r="K119" s="793">
        <f>'Client Services LASER'!I118</f>
        <v>34488.689999999995</v>
      </c>
      <c r="L119" s="791">
        <f>'Benefits Spending LASER'!D119</f>
        <v>9473630.8032039925</v>
      </c>
      <c r="M119" s="792">
        <f>'Benefits Spending LASER'!E119</f>
        <v>7758676.8072727444</v>
      </c>
      <c r="N119" s="792">
        <f>'Benefits Spending LASER'!I119</f>
        <v>257926.32673125001</v>
      </c>
      <c r="O119" s="793">
        <f t="shared" si="35"/>
        <v>17490233.937207986</v>
      </c>
      <c r="P119" s="1462">
        <f t="shared" si="31"/>
        <v>9988680.4432039931</v>
      </c>
      <c r="Q119" s="792">
        <f t="shared" si="32"/>
        <v>7991566.3972727442</v>
      </c>
      <c r="R119" s="792">
        <f t="shared" si="33"/>
        <v>582303.15673125</v>
      </c>
      <c r="S119" s="793">
        <f t="shared" si="34"/>
        <v>18562549.997207984</v>
      </c>
      <c r="U119" s="627">
        <f t="shared" si="36"/>
        <v>0.48174727748796986</v>
      </c>
      <c r="V119" s="628">
        <f t="shared" si="37"/>
        <v>0.21455785079169765</v>
      </c>
      <c r="W119" s="628">
        <f t="shared" si="38"/>
        <v>0.30369487172033238</v>
      </c>
      <c r="X119" s="629">
        <f t="shared" si="24"/>
        <v>0.69630512827966751</v>
      </c>
      <c r="Z119" s="1471">
        <f t="shared" si="25"/>
        <v>5.5909741396311441E-2</v>
      </c>
      <c r="AA119" s="1381">
        <f t="shared" si="26"/>
        <v>1.8579715612988238E-3</v>
      </c>
      <c r="AB119" s="1473">
        <f t="shared" si="27"/>
        <v>0.94223228704238982</v>
      </c>
      <c r="AD119" s="1471">
        <f t="shared" si="28"/>
        <v>0.54126934803045579</v>
      </c>
      <c r="AE119" s="1381">
        <f t="shared" si="29"/>
        <v>1.5788992200575159E-2</v>
      </c>
      <c r="AF119" s="1473">
        <f t="shared" si="30"/>
        <v>0.4429416597689691</v>
      </c>
    </row>
    <row r="120" spans="1:32" x14ac:dyDescent="0.25">
      <c r="A120" s="740" t="s">
        <v>196</v>
      </c>
      <c r="B120" s="592" t="s">
        <v>312</v>
      </c>
      <c r="C120" s="741" t="s">
        <v>266</v>
      </c>
      <c r="D120" s="791">
        <f>'Administration LASER'!D119+'Other Oper Exp. LASER'!D119</f>
        <v>17808208.219999999</v>
      </c>
      <c r="E120" s="792">
        <f>'Administration LASER'!E119+'Other Oper Exp. LASER'!E119</f>
        <v>8560988.6199999992</v>
      </c>
      <c r="F120" s="792">
        <f>'Administration LASER'!K119+'Other Oper Exp. LASER'!K119</f>
        <v>9457534.4900000002</v>
      </c>
      <c r="G120" s="793">
        <f>'Administration LASER'!I119+'Other Oper Exp. LASER'!I119</f>
        <v>35826731.329999998</v>
      </c>
      <c r="H120" s="791">
        <f>'Client Services LASER'!D119</f>
        <v>525821.09999999986</v>
      </c>
      <c r="I120" s="792">
        <f>'Client Services LASER'!E119</f>
        <v>212472.51</v>
      </c>
      <c r="J120" s="792">
        <f>'Client Services LASER'!K119</f>
        <v>160194.13999999998</v>
      </c>
      <c r="K120" s="793">
        <f>'Client Services LASER'!I119</f>
        <v>898487.74999999988</v>
      </c>
      <c r="L120" s="791">
        <f>'Benefits Spending LASER'!D120</f>
        <v>310831290.46596682</v>
      </c>
      <c r="M120" s="792">
        <f>'Benefits Spending LASER'!E120</f>
        <v>240655912.43365204</v>
      </c>
      <c r="N120" s="792">
        <f>'Benefits Spending LASER'!I120</f>
        <v>8776794.4948987495</v>
      </c>
      <c r="O120" s="793">
        <f t="shared" si="35"/>
        <v>560263997.39451766</v>
      </c>
      <c r="P120" s="1462">
        <f t="shared" si="31"/>
        <v>329165319.78596681</v>
      </c>
      <c r="Q120" s="792">
        <f t="shared" si="32"/>
        <v>249429373.56365204</v>
      </c>
      <c r="R120" s="792">
        <f t="shared" si="33"/>
        <v>18394523.12489875</v>
      </c>
      <c r="S120" s="793">
        <f t="shared" si="34"/>
        <v>596989216.4745177</v>
      </c>
      <c r="U120" s="627">
        <f t="shared" si="36"/>
        <v>0.49706483284697689</v>
      </c>
      <c r="V120" s="628">
        <f t="shared" si="37"/>
        <v>0.2389553359234684</v>
      </c>
      <c r="W120" s="628">
        <f t="shared" si="38"/>
        <v>0.26397983122955471</v>
      </c>
      <c r="X120" s="629">
        <f t="shared" si="24"/>
        <v>0.73602016877044518</v>
      </c>
      <c r="Z120" s="1471">
        <f t="shared" si="25"/>
        <v>6.0012359254280181E-2</v>
      </c>
      <c r="AA120" s="1381">
        <f t="shared" si="26"/>
        <v>1.5050317915388202E-3</v>
      </c>
      <c r="AB120" s="1473">
        <f t="shared" si="27"/>
        <v>0.9384826089541809</v>
      </c>
      <c r="AD120" s="1471">
        <f t="shared" si="28"/>
        <v>0.51414947948274459</v>
      </c>
      <c r="AE120" s="1381">
        <f t="shared" si="29"/>
        <v>8.708795488324558E-3</v>
      </c>
      <c r="AF120" s="1473">
        <f t="shared" si="30"/>
        <v>0.47714172502893087</v>
      </c>
    </row>
    <row r="121" spans="1:32" x14ac:dyDescent="0.25">
      <c r="A121" s="740" t="s">
        <v>200</v>
      </c>
      <c r="B121" s="592" t="s">
        <v>313</v>
      </c>
      <c r="C121" s="741" t="s">
        <v>265</v>
      </c>
      <c r="D121" s="791">
        <f>'Administration LASER'!D120+'Other Oper Exp. LASER'!D120</f>
        <v>6998963.8300000001</v>
      </c>
      <c r="E121" s="792">
        <f>'Administration LASER'!E120+'Other Oper Exp. LASER'!E120</f>
        <v>3099108.54</v>
      </c>
      <c r="F121" s="792">
        <f>'Administration LASER'!K120+'Other Oper Exp. LASER'!K120</f>
        <v>4411567.1500000004</v>
      </c>
      <c r="G121" s="793">
        <f>'Administration LASER'!I120+'Other Oper Exp. LASER'!I120</f>
        <v>14509639.52</v>
      </c>
      <c r="H121" s="791">
        <f>'Client Services LASER'!D120</f>
        <v>331060.13</v>
      </c>
      <c r="I121" s="792">
        <f>'Client Services LASER'!E120</f>
        <v>360012.15</v>
      </c>
      <c r="J121" s="792">
        <f>'Client Services LASER'!K120</f>
        <v>129053.37</v>
      </c>
      <c r="K121" s="793">
        <f>'Client Services LASER'!I120</f>
        <v>820125.65</v>
      </c>
      <c r="L121" s="791">
        <f>'Benefits Spending LASER'!D121</f>
        <v>135447493.5737516</v>
      </c>
      <c r="M121" s="792">
        <f>'Benefits Spending LASER'!E121</f>
        <v>105243588.00992361</v>
      </c>
      <c r="N121" s="792">
        <f>'Benefits Spending LASER'!I121</f>
        <v>3565509.7926560002</v>
      </c>
      <c r="O121" s="793">
        <f t="shared" si="35"/>
        <v>244256591.37633121</v>
      </c>
      <c r="P121" s="1462">
        <f t="shared" si="31"/>
        <v>142777517.53375161</v>
      </c>
      <c r="Q121" s="792">
        <f t="shared" si="32"/>
        <v>108702708.6999236</v>
      </c>
      <c r="R121" s="792">
        <f t="shared" si="33"/>
        <v>8106130.3126560003</v>
      </c>
      <c r="S121" s="793">
        <f t="shared" si="34"/>
        <v>259586356.5463312</v>
      </c>
      <c r="U121" s="627">
        <f t="shared" si="36"/>
        <v>0.4823664861110209</v>
      </c>
      <c r="V121" s="628">
        <f t="shared" si="37"/>
        <v>0.21358963024051753</v>
      </c>
      <c r="W121" s="628">
        <f t="shared" si="38"/>
        <v>0.30404388364846163</v>
      </c>
      <c r="X121" s="629">
        <f t="shared" si="24"/>
        <v>0.69595611635153853</v>
      </c>
      <c r="Z121" s="1471">
        <f t="shared" si="25"/>
        <v>5.5895231602475635E-2</v>
      </c>
      <c r="AA121" s="1381">
        <f t="shared" si="26"/>
        <v>3.1593557570257867E-3</v>
      </c>
      <c r="AB121" s="1473">
        <f t="shared" si="27"/>
        <v>0.94094541264049858</v>
      </c>
      <c r="AD121" s="1471">
        <f t="shared" si="28"/>
        <v>0.5442260338588778</v>
      </c>
      <c r="AE121" s="1381">
        <f t="shared" si="29"/>
        <v>1.5920465749052981E-2</v>
      </c>
      <c r="AF121" s="1473">
        <f t="shared" si="30"/>
        <v>0.43985350039206922</v>
      </c>
    </row>
    <row r="122" spans="1:32" x14ac:dyDescent="0.25">
      <c r="A122" s="740" t="s">
        <v>222</v>
      </c>
      <c r="B122" s="592" t="s">
        <v>223</v>
      </c>
      <c r="C122" s="741" t="s">
        <v>264</v>
      </c>
      <c r="D122" s="791">
        <f>'Administration LASER'!D121+'Other Oper Exp. LASER'!D121</f>
        <v>4160567.64</v>
      </c>
      <c r="E122" s="792">
        <f>'Administration LASER'!E121+'Other Oper Exp. LASER'!E121</f>
        <v>1693296.01</v>
      </c>
      <c r="F122" s="792">
        <f>'Administration LASER'!K121+'Other Oper Exp. LASER'!K121</f>
        <v>3450317.28</v>
      </c>
      <c r="G122" s="793">
        <f>'Administration LASER'!I121+'Other Oper Exp. LASER'!I121</f>
        <v>9304180.9299999997</v>
      </c>
      <c r="H122" s="791">
        <f>'Client Services LASER'!D121</f>
        <v>170530.26999999996</v>
      </c>
      <c r="I122" s="792">
        <f>'Client Services LASER'!E121</f>
        <v>39322.300000000003</v>
      </c>
      <c r="J122" s="792">
        <f>'Client Services LASER'!K121</f>
        <v>191173.40000000002</v>
      </c>
      <c r="K122" s="793">
        <f>'Client Services LASER'!I121</f>
        <v>401025.97</v>
      </c>
      <c r="L122" s="791">
        <f>'Benefits Spending LASER'!D122</f>
        <v>78428504.519602075</v>
      </c>
      <c r="M122" s="792">
        <f>'Benefits Spending LASER'!E122</f>
        <v>59484139.215410091</v>
      </c>
      <c r="N122" s="792">
        <f>'Benefits Spending LASER'!I122</f>
        <v>503430.73447999998</v>
      </c>
      <c r="O122" s="793">
        <f t="shared" si="35"/>
        <v>138416074.46949217</v>
      </c>
      <c r="P122" s="1462">
        <f t="shared" si="31"/>
        <v>82759602.429602072</v>
      </c>
      <c r="Q122" s="792">
        <f t="shared" si="32"/>
        <v>61216757.525410093</v>
      </c>
      <c r="R122" s="792">
        <f t="shared" si="33"/>
        <v>4144921.4144799998</v>
      </c>
      <c r="S122" s="793">
        <f t="shared" si="34"/>
        <v>148121281.36949217</v>
      </c>
      <c r="U122" s="627">
        <f t="shared" si="36"/>
        <v>0.44717183288910961</v>
      </c>
      <c r="V122" s="628">
        <f t="shared" si="37"/>
        <v>0.18199302257119801</v>
      </c>
      <c r="W122" s="628">
        <f t="shared" si="38"/>
        <v>0.37083514453969241</v>
      </c>
      <c r="X122" s="629">
        <f t="shared" si="24"/>
        <v>0.62916485546030765</v>
      </c>
      <c r="Z122" s="1471">
        <f t="shared" si="25"/>
        <v>6.2814612755006438E-2</v>
      </c>
      <c r="AA122" s="1381">
        <f t="shared" si="26"/>
        <v>2.7074162894907103E-3</v>
      </c>
      <c r="AB122" s="1473">
        <f t="shared" si="27"/>
        <v>0.93447797095550278</v>
      </c>
      <c r="AD122" s="1471">
        <f t="shared" si="28"/>
        <v>0.83242043333959292</v>
      </c>
      <c r="AE122" s="1381">
        <f t="shared" si="29"/>
        <v>4.6122321965417441E-2</v>
      </c>
      <c r="AF122" s="1473">
        <f t="shared" si="30"/>
        <v>0.12145724469498966</v>
      </c>
    </row>
    <row r="123" spans="1:32" x14ac:dyDescent="0.25">
      <c r="A123" s="740" t="s">
        <v>230</v>
      </c>
      <c r="B123" s="592" t="s">
        <v>231</v>
      </c>
      <c r="C123" s="741" t="s">
        <v>264</v>
      </c>
      <c r="D123" s="791">
        <f>'Administration LASER'!D122+'Other Oper Exp. LASER'!D122</f>
        <v>12350502.32</v>
      </c>
      <c r="E123" s="792">
        <f>'Administration LASER'!E122+'Other Oper Exp. LASER'!E122</f>
        <v>4414796.54</v>
      </c>
      <c r="F123" s="792">
        <f>'Administration LASER'!K122+'Other Oper Exp. LASER'!K122</f>
        <v>11689776.720000001</v>
      </c>
      <c r="G123" s="793">
        <f>'Administration LASER'!I122+'Other Oper Exp. LASER'!I122</f>
        <v>28455075.580000002</v>
      </c>
      <c r="H123" s="791">
        <f>'Client Services LASER'!D122</f>
        <v>463444.04999999993</v>
      </c>
      <c r="I123" s="792">
        <f>'Client Services LASER'!E122</f>
        <v>102206.84999999999</v>
      </c>
      <c r="J123" s="792">
        <f>'Client Services LASER'!K122</f>
        <v>292981.95</v>
      </c>
      <c r="K123" s="793">
        <f>'Client Services LASER'!I122</f>
        <v>858632.84999999986</v>
      </c>
      <c r="L123" s="791">
        <f>'Benefits Spending LASER'!D123</f>
        <v>218394347.92959681</v>
      </c>
      <c r="M123" s="792">
        <f>'Benefits Spending LASER'!E123</f>
        <v>165233194.54215389</v>
      </c>
      <c r="N123" s="792">
        <f>'Benefits Spending LASER'!I123</f>
        <v>4600045.4473928763</v>
      </c>
      <c r="O123" s="793">
        <f t="shared" si="35"/>
        <v>388227587.91914362</v>
      </c>
      <c r="P123" s="1462">
        <f t="shared" si="31"/>
        <v>231208294.29959682</v>
      </c>
      <c r="Q123" s="792">
        <f t="shared" si="32"/>
        <v>169750197.93215388</v>
      </c>
      <c r="R123" s="792">
        <f t="shared" si="33"/>
        <v>16582804.117392875</v>
      </c>
      <c r="S123" s="793">
        <f t="shared" si="34"/>
        <v>417541296.34914362</v>
      </c>
      <c r="U123" s="627">
        <f t="shared" si="36"/>
        <v>0.43403512618608897</v>
      </c>
      <c r="V123" s="628">
        <f t="shared" si="37"/>
        <v>0.15514970352435098</v>
      </c>
      <c r="W123" s="628">
        <f t="shared" si="38"/>
        <v>0.41081517028955999</v>
      </c>
      <c r="X123" s="629">
        <f t="shared" si="24"/>
        <v>0.58918482971043995</v>
      </c>
      <c r="Z123" s="1471">
        <f t="shared" si="25"/>
        <v>6.8149128789900981E-2</v>
      </c>
      <c r="AA123" s="1381">
        <f t="shared" si="26"/>
        <v>2.0564022229839995E-3</v>
      </c>
      <c r="AB123" s="1473">
        <f t="shared" si="27"/>
        <v>0.92979446898711504</v>
      </c>
      <c r="AD123" s="1471">
        <f t="shared" si="28"/>
        <v>0.70493365520365625</v>
      </c>
      <c r="AE123" s="1381">
        <f t="shared" si="29"/>
        <v>1.7667817090880659E-2</v>
      </c>
      <c r="AF123" s="1473">
        <f t="shared" si="30"/>
        <v>0.27739852770546319</v>
      </c>
    </row>
    <row r="124" spans="1:32" x14ac:dyDescent="0.25">
      <c r="A124" s="740" t="s">
        <v>238</v>
      </c>
      <c r="B124" s="592" t="s">
        <v>239</v>
      </c>
      <c r="C124" s="741" t="s">
        <v>264</v>
      </c>
      <c r="D124" s="791">
        <f>'Administration LASER'!D123+'Other Oper Exp. LASER'!D123</f>
        <v>472883.63</v>
      </c>
      <c r="E124" s="792">
        <f>'Administration LASER'!E123+'Other Oper Exp. LASER'!E123</f>
        <v>158728.44</v>
      </c>
      <c r="F124" s="792">
        <f>'Administration LASER'!K123+'Other Oper Exp. LASER'!K123</f>
        <v>725244.55</v>
      </c>
      <c r="G124" s="793">
        <f>'Administration LASER'!I123+'Other Oper Exp. LASER'!I123</f>
        <v>1356856.62</v>
      </c>
      <c r="H124" s="791">
        <f>'Client Services LASER'!D123</f>
        <v>20163.64</v>
      </c>
      <c r="I124" s="792">
        <f>'Client Services LASER'!E123</f>
        <v>8207.4599999999991</v>
      </c>
      <c r="J124" s="792">
        <f>'Client Services LASER'!K123</f>
        <v>5824.21</v>
      </c>
      <c r="K124" s="793">
        <f>'Client Services LASER'!I123</f>
        <v>34195.31</v>
      </c>
      <c r="L124" s="791">
        <f>'Benefits Spending LASER'!D124</f>
        <v>6674387.1200637845</v>
      </c>
      <c r="M124" s="792">
        <f>'Benefits Spending LASER'!E124</f>
        <v>4671045.6778405337</v>
      </c>
      <c r="N124" s="792">
        <f>'Benefits Spending LASER'!I124</f>
        <v>147650.86493124999</v>
      </c>
      <c r="O124" s="793">
        <f t="shared" si="35"/>
        <v>11493083.662835568</v>
      </c>
      <c r="P124" s="1462">
        <f t="shared" si="31"/>
        <v>7167434.390063785</v>
      </c>
      <c r="Q124" s="792">
        <f t="shared" si="32"/>
        <v>4837981.577840534</v>
      </c>
      <c r="R124" s="792">
        <f t="shared" si="33"/>
        <v>878719.62493125</v>
      </c>
      <c r="S124" s="793">
        <f t="shared" si="34"/>
        <v>12884135.592835568</v>
      </c>
      <c r="U124" s="627">
        <f t="shared" si="36"/>
        <v>0.34851407512755472</v>
      </c>
      <c r="V124" s="628">
        <f t="shared" si="37"/>
        <v>0.11698247085237347</v>
      </c>
      <c r="W124" s="628">
        <f t="shared" si="38"/>
        <v>0.53450345402007171</v>
      </c>
      <c r="X124" s="629">
        <f t="shared" si="24"/>
        <v>0.46549654597992823</v>
      </c>
      <c r="Z124" s="1471">
        <f t="shared" si="25"/>
        <v>0.10531219655546796</v>
      </c>
      <c r="AA124" s="1381">
        <f t="shared" si="26"/>
        <v>2.6540631890753195E-3</v>
      </c>
      <c r="AB124" s="1473">
        <f t="shared" si="27"/>
        <v>0.89203374025545679</v>
      </c>
      <c r="AD124" s="1471">
        <f t="shared" si="28"/>
        <v>0.82534238387670278</v>
      </c>
      <c r="AE124" s="1381">
        <f t="shared" si="29"/>
        <v>6.6280641000315424E-3</v>
      </c>
      <c r="AF124" s="1473">
        <f t="shared" si="30"/>
        <v>0.16802955202326569</v>
      </c>
    </row>
    <row r="125" spans="1:32" x14ac:dyDescent="0.25">
      <c r="A125" s="742" t="s">
        <v>240</v>
      </c>
      <c r="B125" s="743" t="s">
        <v>241</v>
      </c>
      <c r="C125" s="744" t="s">
        <v>267</v>
      </c>
      <c r="D125" s="791">
        <f>'Administration LASER'!D124+'Other Oper Exp. LASER'!D124</f>
        <v>1471439.93</v>
      </c>
      <c r="E125" s="792">
        <f>'Administration LASER'!E124+'Other Oper Exp. LASER'!E124</f>
        <v>533300.54999999993</v>
      </c>
      <c r="F125" s="792">
        <f>'Administration LASER'!K124+'Other Oper Exp. LASER'!K124</f>
        <v>1351568.74</v>
      </c>
      <c r="G125" s="793">
        <f>'Administration LASER'!I124+'Other Oper Exp. LASER'!I124</f>
        <v>3356309.2199999997</v>
      </c>
      <c r="H125" s="794">
        <f>'Client Services LASER'!D124</f>
        <v>45399.360000000001</v>
      </c>
      <c r="I125" s="795">
        <f>'Client Services LASER'!E124</f>
        <v>55046.42</v>
      </c>
      <c r="J125" s="795">
        <f>'Client Services LASER'!K124</f>
        <v>36846.19</v>
      </c>
      <c r="K125" s="796">
        <f>'Client Services LASER'!I124</f>
        <v>137291.97</v>
      </c>
      <c r="L125" s="791">
        <f>'Benefits Spending LASER'!D125</f>
        <v>25601279.552696973</v>
      </c>
      <c r="M125" s="792">
        <f>'Benefits Spending LASER'!E125</f>
        <v>19924831.578242473</v>
      </c>
      <c r="N125" s="792">
        <f>'Benefits Spending LASER'!I125</f>
        <v>891219.93139449996</v>
      </c>
      <c r="O125" s="796">
        <f t="shared" si="35"/>
        <v>46417331.062333949</v>
      </c>
      <c r="P125" s="1462">
        <f t="shared" si="31"/>
        <v>27118118.842696972</v>
      </c>
      <c r="Q125" s="792">
        <f t="shared" si="32"/>
        <v>20513178.548242472</v>
      </c>
      <c r="R125" s="792">
        <f t="shared" si="33"/>
        <v>2279634.8613944999</v>
      </c>
      <c r="S125" s="793">
        <f t="shared" si="34"/>
        <v>49910932.252333947</v>
      </c>
      <c r="U125" s="802">
        <f t="shared" si="36"/>
        <v>0.43841012062648987</v>
      </c>
      <c r="V125" s="803">
        <f t="shared" si="37"/>
        <v>0.15889493936437715</v>
      </c>
      <c r="W125" s="803">
        <f t="shared" si="38"/>
        <v>0.40269494000913303</v>
      </c>
      <c r="X125" s="804">
        <f t="shared" si="24"/>
        <v>0.59730505999086703</v>
      </c>
      <c r="Z125" s="1472">
        <f t="shared" si="25"/>
        <v>6.7245973347713844E-2</v>
      </c>
      <c r="AA125" s="1470">
        <f t="shared" si="26"/>
        <v>2.7507394433326764E-3</v>
      </c>
      <c r="AB125" s="1474">
        <f t="shared" si="27"/>
        <v>0.93000328720895353</v>
      </c>
      <c r="AD125" s="1472">
        <f t="shared" si="28"/>
        <v>0.59288825718923133</v>
      </c>
      <c r="AE125" s="1470">
        <f t="shared" si="29"/>
        <v>1.6163198161244306E-2</v>
      </c>
      <c r="AF125" s="1474">
        <f t="shared" si="30"/>
        <v>0.39094854464952439</v>
      </c>
    </row>
    <row r="126" spans="1:32" x14ac:dyDescent="0.25">
      <c r="A126" s="745"/>
      <c r="B126" s="745"/>
      <c r="C126" s="745"/>
    </row>
    <row r="127" spans="1:32" x14ac:dyDescent="0.25">
      <c r="A127" s="394" t="s">
        <v>802</v>
      </c>
      <c r="B127" s="745"/>
      <c r="C127" s="745"/>
      <c r="O127" s="779" t="s">
        <v>702</v>
      </c>
      <c r="P127" s="779"/>
      <c r="Q127" s="779"/>
      <c r="R127" s="779"/>
      <c r="S127" s="779"/>
      <c r="T127" s="779"/>
      <c r="U127" s="783">
        <f>MIN(U6:U125)</f>
        <v>0.34851407512755472</v>
      </c>
      <c r="V127" s="783">
        <f>MIN(V6:V125)</f>
        <v>7.4125466756749303E-2</v>
      </c>
      <c r="W127" s="783">
        <f>MIN(W6:W125)</f>
        <v>0.17790292538505714</v>
      </c>
      <c r="X127" s="783">
        <f>MIN(X6:X125)</f>
        <v>0.43157765009708288</v>
      </c>
      <c r="Z127" s="783">
        <f>MIN(Z6:Z125)</f>
        <v>2.9295435015242111E-2</v>
      </c>
      <c r="AA127" s="783">
        <f>MIN(AA6:AA125)</f>
        <v>7.5782977714871757E-4</v>
      </c>
      <c r="AB127" s="783">
        <f>MIN(AB6:AB125)</f>
        <v>0.85143643676597514</v>
      </c>
      <c r="AD127" s="783">
        <f>MIN(AD6:AD125)</f>
        <v>0.26439906748231118</v>
      </c>
      <c r="AE127" s="783">
        <f>MIN(AE6:AE125)</f>
        <v>2.8838138238428267E-3</v>
      </c>
      <c r="AF127" s="783">
        <f>MIN(AF6:AF125)</f>
        <v>6.7632397071595227E-2</v>
      </c>
    </row>
    <row r="128" spans="1:32" x14ac:dyDescent="0.25">
      <c r="A128" s="731"/>
      <c r="B128" s="731"/>
      <c r="C128" s="731"/>
      <c r="O128" s="779" t="s">
        <v>703</v>
      </c>
      <c r="P128" s="779"/>
      <c r="Q128" s="779"/>
      <c r="R128" s="779"/>
      <c r="S128" s="779"/>
      <c r="T128" s="779"/>
      <c r="U128" s="783">
        <f>MAX(U6:U125)</f>
        <v>0.54369242967257181</v>
      </c>
      <c r="V128" s="783">
        <f>MAX(V6:V125)</f>
        <v>0.27840464494237116</v>
      </c>
      <c r="W128" s="783">
        <f>MAX(W6:W125)</f>
        <v>0.56842234990291707</v>
      </c>
      <c r="X128" s="783">
        <f>MAX(X6:X125)</f>
        <v>0.82209707461494286</v>
      </c>
      <c r="Z128" s="783">
        <f>MAX(Z6:Z125)</f>
        <v>0.14587346404185664</v>
      </c>
      <c r="AA128" s="783">
        <f>MAX(AA6:AA125)</f>
        <v>1.074520629526682E-2</v>
      </c>
      <c r="AB128" s="783">
        <f>MAX(AB6:AB125)</f>
        <v>0.96863799142629547</v>
      </c>
      <c r="AD128" s="783">
        <f>MAX(AD6:AD125)</f>
        <v>0.90356398079887168</v>
      </c>
      <c r="AE128" s="783">
        <f>MAX(AE6:AE125)</f>
        <v>9.4969675661049927E-2</v>
      </c>
      <c r="AF128" s="783">
        <f>MAX(AF6:AF125)</f>
        <v>0.73028922797585272</v>
      </c>
    </row>
    <row r="129" spans="1:3" x14ac:dyDescent="0.25">
      <c r="A129" s="134" t="s">
        <v>248</v>
      </c>
      <c r="B129" s="746"/>
      <c r="C129" s="746"/>
    </row>
    <row r="130" spans="1:3" x14ac:dyDescent="0.25">
      <c r="A130" s="134" t="s">
        <v>249</v>
      </c>
      <c r="B130" s="416" t="s">
        <v>250</v>
      </c>
      <c r="C130" s="747"/>
    </row>
  </sheetData>
  <autoFilter ref="A4:C4"/>
  <mergeCells count="7">
    <mergeCell ref="AD3:AF3"/>
    <mergeCell ref="D3:G3"/>
    <mergeCell ref="H3:K3"/>
    <mergeCell ref="L3:O3"/>
    <mergeCell ref="Z3:AB3"/>
    <mergeCell ref="U3:X3"/>
    <mergeCell ref="P3:S3"/>
  </mergeCells>
  <hyperlinks>
    <hyperlink ref="B130" r:id="rId1"/>
  </hyperlinks>
  <pageMargins left="0.7" right="0.7" top="0.75" bottom="0.75" header="0.3" footer="0.3"/>
  <pageSetup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6"/>
  <sheetViews>
    <sheetView zoomScaleNormal="130" workbookViewId="0">
      <pane ySplit="2" topLeftCell="A3" activePane="bottomLeft" state="frozen"/>
      <selection pane="bottomLeft" activeCell="F19" sqref="F19"/>
    </sheetView>
  </sheetViews>
  <sheetFormatPr defaultRowHeight="12.75" x14ac:dyDescent="0.25"/>
  <cols>
    <col min="1" max="1" width="4.5" style="50" bestFit="1" customWidth="1"/>
    <col min="2" max="2" width="21.75" style="50" bestFit="1" customWidth="1"/>
    <col min="3" max="3" width="7.375" style="50" bestFit="1" customWidth="1"/>
    <col min="4" max="4" width="8.75" style="50" customWidth="1"/>
    <col min="5" max="5" width="8.5" style="50" customWidth="1"/>
    <col min="6" max="6" width="8.875" style="50" customWidth="1"/>
    <col min="7" max="16384" width="9" style="50"/>
  </cols>
  <sheetData>
    <row r="1" spans="1:6" x14ac:dyDescent="0.25">
      <c r="B1" s="2" t="s">
        <v>586</v>
      </c>
    </row>
    <row r="2" spans="1:6" ht="12.75" customHeight="1" x14ac:dyDescent="0.25">
      <c r="A2" s="50" t="s">
        <v>4</v>
      </c>
      <c r="B2" s="51" t="s">
        <v>5</v>
      </c>
      <c r="C2" s="52" t="s">
        <v>277</v>
      </c>
      <c r="D2" s="52" t="s">
        <v>278</v>
      </c>
      <c r="E2" s="52" t="s">
        <v>279</v>
      </c>
      <c r="F2" s="52" t="s">
        <v>444</v>
      </c>
    </row>
    <row r="3" spans="1:6" x14ac:dyDescent="0.2">
      <c r="A3" s="47" t="s">
        <v>10</v>
      </c>
      <c r="B3" s="53" t="s">
        <v>11</v>
      </c>
      <c r="C3" s="54">
        <v>7463</v>
      </c>
      <c r="D3" s="55" t="e">
        <f t="shared" ref="D3:D34" si="0">VLOOKUP(B3,_med2008,2,FALSE)</f>
        <v>#NAME?</v>
      </c>
      <c r="E3" s="55" t="e">
        <f t="shared" ref="E3:E34" si="1">VLOOKUP(B3,_med2009,2,FALSE)</f>
        <v>#NAME?</v>
      </c>
      <c r="F3" s="55" t="e">
        <f t="shared" ref="F3:F34" si="2">VLOOKUP(B3,_med2010,2,FALSE)</f>
        <v>#NAME?</v>
      </c>
    </row>
    <row r="4" spans="1:6" x14ac:dyDescent="0.2">
      <c r="A4" s="47" t="s">
        <v>12</v>
      </c>
      <c r="B4" s="53" t="s">
        <v>13</v>
      </c>
      <c r="C4" s="54">
        <v>7239</v>
      </c>
      <c r="D4" s="55" t="e">
        <f t="shared" si="0"/>
        <v>#NAME?</v>
      </c>
      <c r="E4" s="55" t="e">
        <f t="shared" si="1"/>
        <v>#NAME?</v>
      </c>
      <c r="F4" s="55" t="e">
        <f t="shared" si="2"/>
        <v>#NAME?</v>
      </c>
    </row>
    <row r="5" spans="1:6" x14ac:dyDescent="0.2">
      <c r="A5" s="47" t="s">
        <v>14</v>
      </c>
      <c r="B5" s="53" t="s">
        <v>15</v>
      </c>
      <c r="C5" s="54">
        <v>11870</v>
      </c>
      <c r="D5" s="55" t="e">
        <f t="shared" si="0"/>
        <v>#NAME?</v>
      </c>
      <c r="E5" s="55" t="e">
        <f t="shared" si="1"/>
        <v>#NAME?</v>
      </c>
      <c r="F5" s="55" t="e">
        <f t="shared" si="2"/>
        <v>#NAME?</v>
      </c>
    </row>
    <row r="6" spans="1:6" x14ac:dyDescent="0.2">
      <c r="A6" s="47" t="s">
        <v>16</v>
      </c>
      <c r="B6" s="53" t="s">
        <v>297</v>
      </c>
      <c r="C6" s="54">
        <v>4496</v>
      </c>
      <c r="D6" s="55" t="e">
        <f t="shared" si="0"/>
        <v>#NAME?</v>
      </c>
      <c r="E6" s="55" t="e">
        <f t="shared" si="1"/>
        <v>#NAME?</v>
      </c>
      <c r="F6" s="55" t="e">
        <f t="shared" si="2"/>
        <v>#NAME?</v>
      </c>
    </row>
    <row r="7" spans="1:6" x14ac:dyDescent="0.2">
      <c r="A7" s="47" t="s">
        <v>18</v>
      </c>
      <c r="B7" s="53" t="s">
        <v>19</v>
      </c>
      <c r="C7" s="54">
        <v>2040</v>
      </c>
      <c r="D7" s="55" t="e">
        <f t="shared" si="0"/>
        <v>#NAME?</v>
      </c>
      <c r="E7" s="55" t="e">
        <f t="shared" si="1"/>
        <v>#NAME?</v>
      </c>
      <c r="F7" s="55" t="e">
        <f t="shared" si="2"/>
        <v>#NAME?</v>
      </c>
    </row>
    <row r="8" spans="1:6" x14ac:dyDescent="0.2">
      <c r="A8" s="47" t="s">
        <v>20</v>
      </c>
      <c r="B8" s="53" t="s">
        <v>21</v>
      </c>
      <c r="C8" s="54">
        <v>4940</v>
      </c>
      <c r="D8" s="55" t="e">
        <f t="shared" si="0"/>
        <v>#NAME?</v>
      </c>
      <c r="E8" s="55" t="e">
        <f t="shared" si="1"/>
        <v>#NAME?</v>
      </c>
      <c r="F8" s="55" t="e">
        <f t="shared" si="2"/>
        <v>#NAME?</v>
      </c>
    </row>
    <row r="9" spans="1:6" x14ac:dyDescent="0.2">
      <c r="A9" s="47" t="s">
        <v>22</v>
      </c>
      <c r="B9" s="53" t="s">
        <v>23</v>
      </c>
      <c r="C9" s="54">
        <v>2749</v>
      </c>
      <c r="D9" s="55" t="e">
        <f t="shared" si="0"/>
        <v>#NAME?</v>
      </c>
      <c r="E9" s="55" t="e">
        <f t="shared" si="1"/>
        <v>#NAME?</v>
      </c>
      <c r="F9" s="55" t="e">
        <f t="shared" si="2"/>
        <v>#NAME?</v>
      </c>
    </row>
    <row r="10" spans="1:6" x14ac:dyDescent="0.2">
      <c r="A10" s="47" t="s">
        <v>24</v>
      </c>
      <c r="B10" s="53" t="s">
        <v>25</v>
      </c>
      <c r="C10" s="54">
        <v>11149</v>
      </c>
      <c r="D10" s="55" t="e">
        <f t="shared" si="0"/>
        <v>#NAME?</v>
      </c>
      <c r="E10" s="55" t="e">
        <f t="shared" si="1"/>
        <v>#NAME?</v>
      </c>
      <c r="F10" s="55" t="e">
        <f t="shared" si="2"/>
        <v>#NAME?</v>
      </c>
    </row>
    <row r="11" spans="1:6" x14ac:dyDescent="0.2">
      <c r="A11" s="47" t="s">
        <v>26</v>
      </c>
      <c r="B11" s="53" t="s">
        <v>298</v>
      </c>
      <c r="C11" s="54">
        <v>16664</v>
      </c>
      <c r="D11" s="55" t="e">
        <f t="shared" si="0"/>
        <v>#NAME?</v>
      </c>
      <c r="E11" s="55" t="e">
        <f t="shared" si="1"/>
        <v>#NAME?</v>
      </c>
      <c r="F11" s="55" t="e">
        <f t="shared" si="2"/>
        <v>#NAME?</v>
      </c>
    </row>
    <row r="12" spans="1:6" x14ac:dyDescent="0.2">
      <c r="A12" s="47" t="s">
        <v>27</v>
      </c>
      <c r="B12" s="53" t="s">
        <v>28</v>
      </c>
      <c r="C12" s="54">
        <v>503</v>
      </c>
      <c r="D12" s="55" t="e">
        <f t="shared" si="0"/>
        <v>#NAME?</v>
      </c>
      <c r="E12" s="55" t="e">
        <f t="shared" si="1"/>
        <v>#NAME?</v>
      </c>
      <c r="F12" s="55" t="e">
        <f t="shared" si="2"/>
        <v>#NAME?</v>
      </c>
    </row>
    <row r="13" spans="1:6" x14ac:dyDescent="0.2">
      <c r="A13" s="47" t="s">
        <v>29</v>
      </c>
      <c r="B13" s="53" t="s">
        <v>299</v>
      </c>
      <c r="C13" s="54">
        <v>8194</v>
      </c>
      <c r="D13" s="55" t="e">
        <f t="shared" si="0"/>
        <v>#NAME?</v>
      </c>
      <c r="E13" s="55" t="e">
        <f t="shared" si="1"/>
        <v>#NAME?</v>
      </c>
      <c r="F13" s="55" t="e">
        <f t="shared" si="2"/>
        <v>#NAME?</v>
      </c>
    </row>
    <row r="14" spans="1:6" x14ac:dyDescent="0.2">
      <c r="A14" s="47" t="s">
        <v>30</v>
      </c>
      <c r="B14" s="53" t="s">
        <v>31</v>
      </c>
      <c r="C14" s="54">
        <v>1029</v>
      </c>
      <c r="D14" s="55" t="e">
        <f t="shared" si="0"/>
        <v>#NAME?</v>
      </c>
      <c r="E14" s="55" t="e">
        <f t="shared" si="1"/>
        <v>#NAME?</v>
      </c>
      <c r="F14" s="55" t="e">
        <f t="shared" si="2"/>
        <v>#NAME?</v>
      </c>
    </row>
    <row r="15" spans="1:6" x14ac:dyDescent="0.2">
      <c r="A15" s="47" t="s">
        <v>32</v>
      </c>
      <c r="B15" s="53" t="s">
        <v>33</v>
      </c>
      <c r="C15" s="54">
        <v>2263</v>
      </c>
      <c r="D15" s="55" t="e">
        <f t="shared" si="0"/>
        <v>#NAME?</v>
      </c>
      <c r="E15" s="55" t="e">
        <f t="shared" si="1"/>
        <v>#NAME?</v>
      </c>
      <c r="F15" s="55" t="e">
        <f t="shared" si="2"/>
        <v>#NAME?</v>
      </c>
    </row>
    <row r="16" spans="1:6" x14ac:dyDescent="0.2">
      <c r="A16" s="47" t="s">
        <v>34</v>
      </c>
      <c r="B16" s="53" t="s">
        <v>35</v>
      </c>
      <c r="C16" s="54">
        <v>4845</v>
      </c>
      <c r="D16" s="55" t="e">
        <f t="shared" si="0"/>
        <v>#NAME?</v>
      </c>
      <c r="E16" s="55" t="e">
        <f t="shared" si="1"/>
        <v>#NAME?</v>
      </c>
      <c r="F16" s="55" t="e">
        <f t="shared" si="2"/>
        <v>#NAME?</v>
      </c>
    </row>
    <row r="17" spans="1:6" x14ac:dyDescent="0.2">
      <c r="A17" s="47" t="s">
        <v>36</v>
      </c>
      <c r="B17" s="53" t="s">
        <v>37</v>
      </c>
      <c r="C17" s="54">
        <v>4116</v>
      </c>
      <c r="D17" s="55" t="e">
        <f t="shared" si="0"/>
        <v>#NAME?</v>
      </c>
      <c r="E17" s="55" t="e">
        <f t="shared" si="1"/>
        <v>#NAME?</v>
      </c>
      <c r="F17" s="55" t="e">
        <f t="shared" si="2"/>
        <v>#NAME?</v>
      </c>
    </row>
    <row r="18" spans="1:6" x14ac:dyDescent="0.2">
      <c r="A18" s="47" t="s">
        <v>38</v>
      </c>
      <c r="B18" s="53" t="s">
        <v>39</v>
      </c>
      <c r="C18" s="54">
        <v>6782</v>
      </c>
      <c r="D18" s="55" t="e">
        <f t="shared" si="0"/>
        <v>#NAME?</v>
      </c>
      <c r="E18" s="55" t="e">
        <f t="shared" si="1"/>
        <v>#NAME?</v>
      </c>
      <c r="F18" s="55" t="e">
        <f t="shared" si="2"/>
        <v>#NAME?</v>
      </c>
    </row>
    <row r="19" spans="1:6" x14ac:dyDescent="0.2">
      <c r="A19" s="47" t="s">
        <v>40</v>
      </c>
      <c r="B19" s="53" t="s">
        <v>41</v>
      </c>
      <c r="C19" s="54">
        <v>2983</v>
      </c>
      <c r="D19" s="55" t="e">
        <f t="shared" si="0"/>
        <v>#NAME?</v>
      </c>
      <c r="E19" s="55" t="e">
        <f t="shared" si="1"/>
        <v>#NAME?</v>
      </c>
      <c r="F19" s="55" t="e">
        <f t="shared" si="2"/>
        <v>#NAME?</v>
      </c>
    </row>
    <row r="20" spans="1:6" x14ac:dyDescent="0.2">
      <c r="A20" s="47" t="s">
        <v>42</v>
      </c>
      <c r="B20" s="53" t="s">
        <v>43</v>
      </c>
      <c r="C20" s="54">
        <v>8789</v>
      </c>
      <c r="D20" s="55" t="e">
        <f t="shared" si="0"/>
        <v>#NAME?</v>
      </c>
      <c r="E20" s="55" t="e">
        <f t="shared" si="1"/>
        <v>#NAME?</v>
      </c>
      <c r="F20" s="55" t="e">
        <f t="shared" si="2"/>
        <v>#NAME?</v>
      </c>
    </row>
    <row r="21" spans="1:6" x14ac:dyDescent="0.2">
      <c r="A21" s="47" t="s">
        <v>44</v>
      </c>
      <c r="B21" s="53" t="s">
        <v>45</v>
      </c>
      <c r="C21" s="54">
        <v>4089</v>
      </c>
      <c r="D21" s="55" t="e">
        <f t="shared" si="0"/>
        <v>#NAME?</v>
      </c>
      <c r="E21" s="55" t="e">
        <f t="shared" si="1"/>
        <v>#NAME?</v>
      </c>
      <c r="F21" s="55" t="e">
        <f t="shared" si="2"/>
        <v>#NAME?</v>
      </c>
    </row>
    <row r="22" spans="1:6" x14ac:dyDescent="0.2">
      <c r="A22" s="47" t="s">
        <v>46</v>
      </c>
      <c r="B22" s="53" t="s">
        <v>47</v>
      </c>
      <c r="C22" s="54">
        <v>6099</v>
      </c>
      <c r="D22" s="55" t="e">
        <f t="shared" si="0"/>
        <v>#NAME?</v>
      </c>
      <c r="E22" s="55" t="e">
        <f t="shared" si="1"/>
        <v>#NAME?</v>
      </c>
      <c r="F22" s="55" t="e">
        <f t="shared" si="2"/>
        <v>#NAME?</v>
      </c>
    </row>
    <row r="23" spans="1:6" x14ac:dyDescent="0.2">
      <c r="A23" s="47" t="s">
        <v>48</v>
      </c>
      <c r="B23" s="53" t="s">
        <v>269</v>
      </c>
      <c r="C23" s="54">
        <v>1026</v>
      </c>
      <c r="D23" s="55" t="e">
        <f t="shared" si="0"/>
        <v>#NAME?</v>
      </c>
      <c r="E23" s="55" t="e">
        <f t="shared" si="1"/>
        <v>#NAME?</v>
      </c>
      <c r="F23" s="55" t="e">
        <f t="shared" si="2"/>
        <v>#NAME?</v>
      </c>
    </row>
    <row r="24" spans="1:6" x14ac:dyDescent="0.2">
      <c r="A24" s="47" t="s">
        <v>50</v>
      </c>
      <c r="B24" s="53" t="s">
        <v>51</v>
      </c>
      <c r="C24" s="54">
        <v>3005</v>
      </c>
      <c r="D24" s="55" t="e">
        <f t="shared" si="0"/>
        <v>#NAME?</v>
      </c>
      <c r="E24" s="55" t="e">
        <f t="shared" si="1"/>
        <v>#NAME?</v>
      </c>
      <c r="F24" s="55" t="e">
        <f t="shared" si="2"/>
        <v>#NAME?</v>
      </c>
    </row>
    <row r="25" spans="1:6" x14ac:dyDescent="0.2">
      <c r="A25" s="47" t="s">
        <v>52</v>
      </c>
      <c r="B25" s="53" t="s">
        <v>53</v>
      </c>
      <c r="C25" s="54">
        <v>6733</v>
      </c>
      <c r="D25" s="55" t="e">
        <f t="shared" si="0"/>
        <v>#NAME?</v>
      </c>
      <c r="E25" s="55" t="e">
        <f t="shared" si="1"/>
        <v>#NAME?</v>
      </c>
      <c r="F25" s="55" t="e">
        <f t="shared" si="2"/>
        <v>#NAME?</v>
      </c>
    </row>
    <row r="26" spans="1:6" x14ac:dyDescent="0.2">
      <c r="A26" s="47" t="s">
        <v>54</v>
      </c>
      <c r="B26" s="53" t="s">
        <v>55</v>
      </c>
      <c r="C26" s="54">
        <v>24491</v>
      </c>
      <c r="D26" s="55" t="e">
        <f t="shared" si="0"/>
        <v>#NAME?</v>
      </c>
      <c r="E26" s="55" t="e">
        <f t="shared" si="1"/>
        <v>#NAME?</v>
      </c>
      <c r="F26" s="55" t="e">
        <f t="shared" si="2"/>
        <v>#NAME?</v>
      </c>
    </row>
    <row r="27" spans="1:6" x14ac:dyDescent="0.2">
      <c r="A27" s="47" t="s">
        <v>56</v>
      </c>
      <c r="B27" s="53" t="s">
        <v>295</v>
      </c>
      <c r="C27" s="54">
        <v>30326</v>
      </c>
      <c r="D27" s="55" t="e">
        <f t="shared" si="0"/>
        <v>#NAME?</v>
      </c>
      <c r="E27" s="55" t="e">
        <f t="shared" si="1"/>
        <v>#NAME?</v>
      </c>
      <c r="F27" s="55" t="e">
        <f t="shared" si="2"/>
        <v>#NAME?</v>
      </c>
    </row>
    <row r="28" spans="1:6" x14ac:dyDescent="0.2">
      <c r="A28" s="47" t="s">
        <v>58</v>
      </c>
      <c r="B28" s="53" t="s">
        <v>59</v>
      </c>
      <c r="C28" s="54">
        <v>986</v>
      </c>
      <c r="D28" s="55" t="e">
        <f t="shared" si="0"/>
        <v>#NAME?</v>
      </c>
      <c r="E28" s="55" t="e">
        <f t="shared" si="1"/>
        <v>#NAME?</v>
      </c>
      <c r="F28" s="55" t="e">
        <f t="shared" si="2"/>
        <v>#NAME?</v>
      </c>
    </row>
    <row r="29" spans="1:6" x14ac:dyDescent="0.2">
      <c r="A29" s="47" t="s">
        <v>60</v>
      </c>
      <c r="B29" s="53" t="s">
        <v>61</v>
      </c>
      <c r="C29" s="54">
        <v>739</v>
      </c>
      <c r="D29" s="55" t="e">
        <f t="shared" si="0"/>
        <v>#NAME?</v>
      </c>
      <c r="E29" s="55" t="e">
        <f t="shared" si="1"/>
        <v>#NAME?</v>
      </c>
      <c r="F29" s="55" t="e">
        <f t="shared" si="2"/>
        <v>#NAME?</v>
      </c>
    </row>
    <row r="30" spans="1:6" x14ac:dyDescent="0.2">
      <c r="A30" s="47" t="s">
        <v>62</v>
      </c>
      <c r="B30" s="53" t="s">
        <v>63</v>
      </c>
      <c r="C30" s="54">
        <v>5420</v>
      </c>
      <c r="D30" s="55" t="e">
        <f t="shared" si="0"/>
        <v>#NAME?</v>
      </c>
      <c r="E30" s="55" t="e">
        <f t="shared" si="1"/>
        <v>#NAME?</v>
      </c>
      <c r="F30" s="55" t="e">
        <f t="shared" si="2"/>
        <v>#NAME?</v>
      </c>
    </row>
    <row r="31" spans="1:6" x14ac:dyDescent="0.2">
      <c r="A31" s="47" t="s">
        <v>64</v>
      </c>
      <c r="B31" s="53" t="s">
        <v>65</v>
      </c>
      <c r="C31" s="54">
        <v>2244</v>
      </c>
      <c r="D31" s="55" t="e">
        <f t="shared" si="0"/>
        <v>#NAME?</v>
      </c>
      <c r="E31" s="55" t="e">
        <f t="shared" si="1"/>
        <v>#NAME?</v>
      </c>
      <c r="F31" s="55" t="e">
        <f t="shared" si="2"/>
        <v>#NAME?</v>
      </c>
    </row>
    <row r="32" spans="1:6" x14ac:dyDescent="0.2">
      <c r="A32" s="47" t="s">
        <v>66</v>
      </c>
      <c r="B32" s="53" t="s">
        <v>67</v>
      </c>
      <c r="C32" s="54">
        <v>13346</v>
      </c>
      <c r="D32" s="55" t="e">
        <f t="shared" si="0"/>
        <v>#NAME?</v>
      </c>
      <c r="E32" s="55" t="e">
        <f t="shared" si="1"/>
        <v>#NAME?</v>
      </c>
      <c r="F32" s="55" t="e">
        <f t="shared" si="2"/>
        <v>#NAME?</v>
      </c>
    </row>
    <row r="33" spans="1:6" x14ac:dyDescent="0.2">
      <c r="A33" s="47" t="s">
        <v>68</v>
      </c>
      <c r="B33" s="53" t="s">
        <v>69</v>
      </c>
      <c r="C33" s="54">
        <v>4742</v>
      </c>
      <c r="D33" s="55" t="e">
        <f t="shared" si="0"/>
        <v>#NAME?</v>
      </c>
      <c r="E33" s="55" t="e">
        <f t="shared" si="1"/>
        <v>#NAME?</v>
      </c>
      <c r="F33" s="55" t="e">
        <f t="shared" si="2"/>
        <v>#NAME?</v>
      </c>
    </row>
    <row r="34" spans="1:6" x14ac:dyDescent="0.2">
      <c r="A34" s="47" t="s">
        <v>70</v>
      </c>
      <c r="B34" s="53" t="s">
        <v>71</v>
      </c>
      <c r="C34" s="54">
        <v>4542</v>
      </c>
      <c r="D34" s="55" t="e">
        <f t="shared" si="0"/>
        <v>#NAME?</v>
      </c>
      <c r="E34" s="55" t="e">
        <f t="shared" si="1"/>
        <v>#NAME?</v>
      </c>
      <c r="F34" s="55" t="e">
        <f t="shared" si="2"/>
        <v>#NAME?</v>
      </c>
    </row>
    <row r="35" spans="1:6" x14ac:dyDescent="0.2">
      <c r="A35" s="47" t="s">
        <v>72</v>
      </c>
      <c r="B35" s="53" t="s">
        <v>73</v>
      </c>
      <c r="C35" s="54">
        <v>2202</v>
      </c>
      <c r="D35" s="55" t="e">
        <f t="shared" ref="D35:D66" si="3">VLOOKUP(B35,_med2008,2,FALSE)</f>
        <v>#NAME?</v>
      </c>
      <c r="E35" s="55" t="e">
        <f t="shared" ref="E35:E66" si="4">VLOOKUP(B35,_med2009,2,FALSE)</f>
        <v>#NAME?</v>
      </c>
      <c r="F35" s="55" t="e">
        <f t="shared" ref="F35:F66" si="5">VLOOKUP(B35,_med2010,2,FALSE)</f>
        <v>#NAME?</v>
      </c>
    </row>
    <row r="36" spans="1:6" x14ac:dyDescent="0.2">
      <c r="A36" s="47" t="s">
        <v>74</v>
      </c>
      <c r="B36" s="53" t="s">
        <v>296</v>
      </c>
      <c r="C36" s="54">
        <v>66005</v>
      </c>
      <c r="D36" s="55" t="e">
        <f t="shared" si="3"/>
        <v>#NAME?</v>
      </c>
      <c r="E36" s="55" t="e">
        <f t="shared" si="4"/>
        <v>#NAME?</v>
      </c>
      <c r="F36" s="55" t="e">
        <f t="shared" si="5"/>
        <v>#NAME?</v>
      </c>
    </row>
    <row r="37" spans="1:6" x14ac:dyDescent="0.2">
      <c r="A37" s="47" t="s">
        <v>76</v>
      </c>
      <c r="B37" s="53" t="s">
        <v>77</v>
      </c>
      <c r="C37" s="54">
        <v>4472</v>
      </c>
      <c r="D37" s="55" t="e">
        <f t="shared" si="3"/>
        <v>#NAME?</v>
      </c>
      <c r="E37" s="55" t="e">
        <f t="shared" si="4"/>
        <v>#NAME?</v>
      </c>
      <c r="F37" s="55" t="e">
        <f t="shared" si="5"/>
        <v>#NAME?</v>
      </c>
    </row>
    <row r="38" spans="1:6" x14ac:dyDescent="0.2">
      <c r="A38" s="47" t="s">
        <v>78</v>
      </c>
      <c r="B38" s="53" t="s">
        <v>79</v>
      </c>
      <c r="C38" s="54">
        <v>2221</v>
      </c>
      <c r="D38" s="55" t="e">
        <f t="shared" si="3"/>
        <v>#NAME?</v>
      </c>
      <c r="E38" s="55" t="e">
        <f t="shared" si="4"/>
        <v>#NAME?</v>
      </c>
      <c r="F38" s="55" t="e">
        <f t="shared" si="5"/>
        <v>#NAME?</v>
      </c>
    </row>
    <row r="39" spans="1:6" x14ac:dyDescent="0.2">
      <c r="A39" s="47" t="s">
        <v>80</v>
      </c>
      <c r="B39" s="53" t="s">
        <v>81</v>
      </c>
      <c r="C39" s="54">
        <v>2055</v>
      </c>
      <c r="D39" s="55" t="e">
        <f t="shared" si="3"/>
        <v>#NAME?</v>
      </c>
      <c r="E39" s="55" t="e">
        <f t="shared" si="4"/>
        <v>#NAME?</v>
      </c>
      <c r="F39" s="55" t="e">
        <f t="shared" si="5"/>
        <v>#NAME?</v>
      </c>
    </row>
    <row r="40" spans="1:6" x14ac:dyDescent="0.2">
      <c r="A40" s="47" t="s">
        <v>82</v>
      </c>
      <c r="B40" s="53" t="s">
        <v>83</v>
      </c>
      <c r="C40" s="54">
        <v>2567</v>
      </c>
      <c r="D40" s="55" t="e">
        <f t="shared" si="3"/>
        <v>#NAME?</v>
      </c>
      <c r="E40" s="55" t="e">
        <f t="shared" si="4"/>
        <v>#NAME?</v>
      </c>
      <c r="F40" s="55" t="e">
        <f t="shared" si="5"/>
        <v>#NAME?</v>
      </c>
    </row>
    <row r="41" spans="1:6" x14ac:dyDescent="0.2">
      <c r="A41" s="47" t="s">
        <v>84</v>
      </c>
      <c r="B41" s="53" t="s">
        <v>85</v>
      </c>
      <c r="C41" s="54">
        <v>7976</v>
      </c>
      <c r="D41" s="55" t="e">
        <f t="shared" si="3"/>
        <v>#NAME?</v>
      </c>
      <c r="E41" s="55" t="e">
        <f t="shared" si="4"/>
        <v>#NAME?</v>
      </c>
      <c r="F41" s="55" t="e">
        <f t="shared" si="5"/>
        <v>#NAME?</v>
      </c>
    </row>
    <row r="42" spans="1:6" x14ac:dyDescent="0.2">
      <c r="A42" s="47" t="s">
        <v>86</v>
      </c>
      <c r="B42" s="53" t="s">
        <v>87</v>
      </c>
      <c r="C42" s="54">
        <v>6545</v>
      </c>
      <c r="D42" s="55" t="e">
        <f t="shared" si="3"/>
        <v>#NAME?</v>
      </c>
      <c r="E42" s="55" t="e">
        <f t="shared" si="4"/>
        <v>#NAME?</v>
      </c>
      <c r="F42" s="55" t="e">
        <f t="shared" si="5"/>
        <v>#NAME?</v>
      </c>
    </row>
    <row r="43" spans="1:6" x14ac:dyDescent="0.2">
      <c r="A43" s="47" t="s">
        <v>88</v>
      </c>
      <c r="B43" s="53" t="s">
        <v>89</v>
      </c>
      <c r="C43" s="54">
        <v>4329</v>
      </c>
      <c r="D43" s="55" t="e">
        <f t="shared" si="3"/>
        <v>#NAME?</v>
      </c>
      <c r="E43" s="55" t="e">
        <f t="shared" si="4"/>
        <v>#NAME?</v>
      </c>
      <c r="F43" s="55" t="e">
        <f t="shared" si="5"/>
        <v>#NAME?</v>
      </c>
    </row>
    <row r="44" spans="1:6" x14ac:dyDescent="0.2">
      <c r="A44" s="47" t="s">
        <v>90</v>
      </c>
      <c r="B44" s="53" t="s">
        <v>91</v>
      </c>
      <c r="C44" s="54">
        <v>2240</v>
      </c>
      <c r="D44" s="55" t="e">
        <f t="shared" si="3"/>
        <v>#NAME?</v>
      </c>
      <c r="E44" s="55" t="e">
        <f t="shared" si="4"/>
        <v>#NAME?</v>
      </c>
      <c r="F44" s="55" t="e">
        <f t="shared" si="5"/>
        <v>#NAME?</v>
      </c>
    </row>
    <row r="45" spans="1:6" x14ac:dyDescent="0.2">
      <c r="A45" s="47" t="s">
        <v>92</v>
      </c>
      <c r="B45" s="53" t="s">
        <v>93</v>
      </c>
      <c r="C45" s="54">
        <v>2917</v>
      </c>
      <c r="D45" s="55" t="e">
        <f t="shared" si="3"/>
        <v>#NAME?</v>
      </c>
      <c r="E45" s="55" t="e">
        <f t="shared" si="4"/>
        <v>#NAME?</v>
      </c>
      <c r="F45" s="55" t="e">
        <f t="shared" si="5"/>
        <v>#NAME?</v>
      </c>
    </row>
    <row r="46" spans="1:6" x14ac:dyDescent="0.2">
      <c r="A46" s="47" t="s">
        <v>94</v>
      </c>
      <c r="B46" s="53" t="s">
        <v>95</v>
      </c>
      <c r="C46" s="54">
        <v>4114</v>
      </c>
      <c r="D46" s="55" t="e">
        <f t="shared" si="3"/>
        <v>#NAME?</v>
      </c>
      <c r="E46" s="55" t="e">
        <f t="shared" si="4"/>
        <v>#NAME?</v>
      </c>
      <c r="F46" s="55" t="e">
        <f t="shared" si="5"/>
        <v>#NAME?</v>
      </c>
    </row>
    <row r="47" spans="1:6" x14ac:dyDescent="0.2">
      <c r="A47" s="47" t="s">
        <v>96</v>
      </c>
      <c r="B47" s="53" t="s">
        <v>97</v>
      </c>
      <c r="C47" s="54">
        <v>1386</v>
      </c>
      <c r="D47" s="55" t="e">
        <f t="shared" si="3"/>
        <v>#NAME?</v>
      </c>
      <c r="E47" s="55" t="e">
        <f t="shared" si="4"/>
        <v>#NAME?</v>
      </c>
      <c r="F47" s="55" t="e">
        <f t="shared" si="5"/>
        <v>#NAME?</v>
      </c>
    </row>
    <row r="48" spans="1:6" x14ac:dyDescent="0.2">
      <c r="A48" s="47" t="s">
        <v>98</v>
      </c>
      <c r="B48" s="53" t="s">
        <v>99</v>
      </c>
      <c r="C48" s="54">
        <v>3759</v>
      </c>
      <c r="D48" s="55" t="e">
        <f t="shared" si="3"/>
        <v>#NAME?</v>
      </c>
      <c r="E48" s="55" t="e">
        <f t="shared" si="4"/>
        <v>#NAME?</v>
      </c>
      <c r="F48" s="55" t="e">
        <f t="shared" si="5"/>
        <v>#NAME?</v>
      </c>
    </row>
    <row r="49" spans="1:6" x14ac:dyDescent="0.2">
      <c r="A49" s="47" t="s">
        <v>100</v>
      </c>
      <c r="B49" s="53" t="s">
        <v>101</v>
      </c>
      <c r="C49" s="54">
        <v>2234</v>
      </c>
      <c r="D49" s="55" t="e">
        <f t="shared" si="3"/>
        <v>#NAME?</v>
      </c>
      <c r="E49" s="55" t="e">
        <f t="shared" si="4"/>
        <v>#NAME?</v>
      </c>
      <c r="F49" s="55" t="e">
        <f t="shared" si="5"/>
        <v>#NAME?</v>
      </c>
    </row>
    <row r="50" spans="1:6" x14ac:dyDescent="0.2">
      <c r="A50" s="47" t="s">
        <v>102</v>
      </c>
      <c r="B50" s="53" t="s">
        <v>282</v>
      </c>
      <c r="C50" s="54">
        <v>4134</v>
      </c>
      <c r="D50" s="55" t="e">
        <f t="shared" si="3"/>
        <v>#NAME?</v>
      </c>
      <c r="E50" s="55" t="e">
        <f t="shared" si="4"/>
        <v>#NAME?</v>
      </c>
      <c r="F50" s="55" t="e">
        <f t="shared" si="5"/>
        <v>#NAME?</v>
      </c>
    </row>
    <row r="51" spans="1:6" x14ac:dyDescent="0.2">
      <c r="A51" s="47" t="s">
        <v>104</v>
      </c>
      <c r="B51" s="53" t="s">
        <v>105</v>
      </c>
      <c r="C51" s="54">
        <v>8414</v>
      </c>
      <c r="D51" s="55" t="e">
        <f t="shared" si="3"/>
        <v>#NAME?</v>
      </c>
      <c r="E51" s="55" t="e">
        <f t="shared" si="4"/>
        <v>#NAME?</v>
      </c>
      <c r="F51" s="55" t="e">
        <f t="shared" si="5"/>
        <v>#NAME?</v>
      </c>
    </row>
    <row r="52" spans="1:6" x14ac:dyDescent="0.2">
      <c r="A52" s="47" t="s">
        <v>106</v>
      </c>
      <c r="B52" s="53" t="s">
        <v>107</v>
      </c>
      <c r="C52" s="54">
        <v>23189</v>
      </c>
      <c r="D52" s="55" t="e">
        <f t="shared" si="3"/>
        <v>#NAME?</v>
      </c>
      <c r="E52" s="55" t="e">
        <f t="shared" si="4"/>
        <v>#NAME?</v>
      </c>
      <c r="F52" s="55" t="e">
        <f t="shared" si="5"/>
        <v>#NAME?</v>
      </c>
    </row>
    <row r="53" spans="1:6" x14ac:dyDescent="0.2">
      <c r="A53" s="47" t="s">
        <v>108</v>
      </c>
      <c r="B53" s="53" t="s">
        <v>109</v>
      </c>
      <c r="C53" s="54">
        <v>6268</v>
      </c>
      <c r="D53" s="55" t="e">
        <f t="shared" si="3"/>
        <v>#NAME?</v>
      </c>
      <c r="E53" s="55" t="e">
        <f t="shared" si="4"/>
        <v>#NAME?</v>
      </c>
      <c r="F53" s="55" t="e">
        <f t="shared" si="5"/>
        <v>#NAME?</v>
      </c>
    </row>
    <row r="54" spans="1:6" x14ac:dyDescent="0.2">
      <c r="A54" s="47" t="s">
        <v>110</v>
      </c>
      <c r="B54" s="53" t="s">
        <v>111</v>
      </c>
      <c r="C54" s="54">
        <v>31176</v>
      </c>
      <c r="D54" s="55" t="e">
        <f t="shared" si="3"/>
        <v>#NAME?</v>
      </c>
      <c r="E54" s="55" t="e">
        <f t="shared" si="4"/>
        <v>#NAME?</v>
      </c>
      <c r="F54" s="55" t="e">
        <f t="shared" si="5"/>
        <v>#NAME?</v>
      </c>
    </row>
    <row r="55" spans="1:6" x14ac:dyDescent="0.2">
      <c r="A55" s="47" t="s">
        <v>112</v>
      </c>
      <c r="B55" s="53" t="s">
        <v>300</v>
      </c>
      <c r="C55" s="54">
        <v>16087</v>
      </c>
      <c r="D55" s="55" t="e">
        <f t="shared" si="3"/>
        <v>#NAME?</v>
      </c>
      <c r="E55" s="55" t="e">
        <f t="shared" si="4"/>
        <v>#NAME?</v>
      </c>
      <c r="F55" s="55" t="e">
        <f t="shared" si="5"/>
        <v>#NAME?</v>
      </c>
    </row>
    <row r="56" spans="1:6" x14ac:dyDescent="0.2">
      <c r="A56" s="47" t="s">
        <v>114</v>
      </c>
      <c r="B56" s="53" t="s">
        <v>115</v>
      </c>
      <c r="C56" s="54">
        <v>290</v>
      </c>
      <c r="D56" s="55" t="e">
        <f t="shared" si="3"/>
        <v>#NAME?</v>
      </c>
      <c r="E56" s="55" t="e">
        <f t="shared" si="4"/>
        <v>#NAME?</v>
      </c>
      <c r="F56" s="55" t="e">
        <f t="shared" si="5"/>
        <v>#NAME?</v>
      </c>
    </row>
    <row r="57" spans="1:6" x14ac:dyDescent="0.2">
      <c r="A57" s="47" t="s">
        <v>116</v>
      </c>
      <c r="B57" s="53" t="s">
        <v>117</v>
      </c>
      <c r="C57" s="54">
        <v>6343</v>
      </c>
      <c r="D57" s="55" t="e">
        <f t="shared" si="3"/>
        <v>#NAME?</v>
      </c>
      <c r="E57" s="55" t="e">
        <f t="shared" si="4"/>
        <v>#NAME?</v>
      </c>
      <c r="F57" s="55" t="e">
        <f t="shared" si="5"/>
        <v>#NAME?</v>
      </c>
    </row>
    <row r="58" spans="1:6" x14ac:dyDescent="0.2">
      <c r="A58" s="47" t="s">
        <v>118</v>
      </c>
      <c r="B58" s="53" t="s">
        <v>270</v>
      </c>
      <c r="C58" s="54">
        <v>4418</v>
      </c>
      <c r="D58" s="55" t="e">
        <f t="shared" si="3"/>
        <v>#NAME?</v>
      </c>
      <c r="E58" s="55" t="e">
        <f t="shared" si="4"/>
        <v>#NAME?</v>
      </c>
      <c r="F58" s="55" t="e">
        <f t="shared" si="5"/>
        <v>#NAME?</v>
      </c>
    </row>
    <row r="59" spans="1:6" x14ac:dyDescent="0.2">
      <c r="A59" s="47" t="s">
        <v>120</v>
      </c>
      <c r="B59" s="53" t="s">
        <v>121</v>
      </c>
      <c r="C59" s="54">
        <v>4708</v>
      </c>
      <c r="D59" s="55" t="e">
        <f t="shared" si="3"/>
        <v>#NAME?</v>
      </c>
      <c r="E59" s="55" t="e">
        <f t="shared" si="4"/>
        <v>#NAME?</v>
      </c>
      <c r="F59" s="55" t="e">
        <f t="shared" si="5"/>
        <v>#NAME?</v>
      </c>
    </row>
    <row r="60" spans="1:6" x14ac:dyDescent="0.2">
      <c r="A60" s="47" t="s">
        <v>122</v>
      </c>
      <c r="B60" s="53" t="s">
        <v>287</v>
      </c>
      <c r="C60" s="54">
        <v>1328</v>
      </c>
      <c r="D60" s="55" t="e">
        <f t="shared" si="3"/>
        <v>#NAME?</v>
      </c>
      <c r="E60" s="55" t="e">
        <f t="shared" si="4"/>
        <v>#NAME?</v>
      </c>
      <c r="F60" s="55" t="e">
        <f t="shared" si="5"/>
        <v>#NAME?</v>
      </c>
    </row>
    <row r="61" spans="1:6" x14ac:dyDescent="0.2">
      <c r="A61" s="47" t="s">
        <v>124</v>
      </c>
      <c r="B61" s="53" t="s">
        <v>125</v>
      </c>
      <c r="C61" s="54">
        <v>2080</v>
      </c>
      <c r="D61" s="55" t="e">
        <f t="shared" si="3"/>
        <v>#NAME?</v>
      </c>
      <c r="E61" s="55" t="e">
        <f t="shared" si="4"/>
        <v>#NAME?</v>
      </c>
      <c r="F61" s="55" t="e">
        <f t="shared" si="5"/>
        <v>#NAME?</v>
      </c>
    </row>
    <row r="62" spans="1:6" x14ac:dyDescent="0.2">
      <c r="A62" s="47" t="s">
        <v>126</v>
      </c>
      <c r="B62" s="53" t="s">
        <v>127</v>
      </c>
      <c r="C62" s="54">
        <v>1653</v>
      </c>
      <c r="D62" s="55" t="e">
        <f t="shared" si="3"/>
        <v>#NAME?</v>
      </c>
      <c r="E62" s="55" t="e">
        <f t="shared" si="4"/>
        <v>#NAME?</v>
      </c>
      <c r="F62" s="55" t="e">
        <f t="shared" si="5"/>
        <v>#NAME?</v>
      </c>
    </row>
    <row r="63" spans="1:6" x14ac:dyDescent="0.2">
      <c r="A63" s="47" t="s">
        <v>128</v>
      </c>
      <c r="B63" s="53" t="s">
        <v>129</v>
      </c>
      <c r="C63" s="54">
        <v>2006</v>
      </c>
      <c r="D63" s="55" t="e">
        <f t="shared" si="3"/>
        <v>#NAME?</v>
      </c>
      <c r="E63" s="55" t="e">
        <f t="shared" si="4"/>
        <v>#NAME?</v>
      </c>
      <c r="F63" s="55" t="e">
        <f t="shared" si="5"/>
        <v>#NAME?</v>
      </c>
    </row>
    <row r="64" spans="1:6" x14ac:dyDescent="0.2">
      <c r="A64" s="47" t="s">
        <v>130</v>
      </c>
      <c r="B64" s="53" t="s">
        <v>131</v>
      </c>
      <c r="C64" s="54">
        <v>7728</v>
      </c>
      <c r="D64" s="55" t="e">
        <f t="shared" si="3"/>
        <v>#NAME?</v>
      </c>
      <c r="E64" s="55" t="e">
        <f t="shared" si="4"/>
        <v>#NAME?</v>
      </c>
      <c r="F64" s="55" t="e">
        <f t="shared" si="5"/>
        <v>#NAME?</v>
      </c>
    </row>
    <row r="65" spans="1:6" x14ac:dyDescent="0.2">
      <c r="A65" s="47" t="s">
        <v>132</v>
      </c>
      <c r="B65" s="53" t="s">
        <v>133</v>
      </c>
      <c r="C65" s="54">
        <v>10860</v>
      </c>
      <c r="D65" s="55" t="e">
        <f t="shared" si="3"/>
        <v>#NAME?</v>
      </c>
      <c r="E65" s="55" t="e">
        <f t="shared" si="4"/>
        <v>#NAME?</v>
      </c>
      <c r="F65" s="55" t="e">
        <f t="shared" si="5"/>
        <v>#NAME?</v>
      </c>
    </row>
    <row r="66" spans="1:6" x14ac:dyDescent="0.2">
      <c r="A66" s="47" t="s">
        <v>134</v>
      </c>
      <c r="B66" s="53" t="s">
        <v>135</v>
      </c>
      <c r="C66" s="54">
        <v>4296</v>
      </c>
      <c r="D66" s="55" t="e">
        <f t="shared" si="3"/>
        <v>#NAME?</v>
      </c>
      <c r="E66" s="55" t="e">
        <f t="shared" si="4"/>
        <v>#NAME?</v>
      </c>
      <c r="F66" s="55" t="e">
        <f t="shared" si="5"/>
        <v>#NAME?</v>
      </c>
    </row>
    <row r="67" spans="1:6" x14ac:dyDescent="0.2">
      <c r="A67" s="47" t="s">
        <v>136</v>
      </c>
      <c r="B67" s="53" t="s">
        <v>137</v>
      </c>
      <c r="C67" s="54">
        <v>2847</v>
      </c>
      <c r="D67" s="55" t="e">
        <f t="shared" ref="D67:D98" si="6">VLOOKUP(B67,_med2008,2,FALSE)</f>
        <v>#NAME?</v>
      </c>
      <c r="E67" s="55" t="e">
        <f t="shared" ref="E67:E98" si="7">VLOOKUP(B67,_med2009,2,FALSE)</f>
        <v>#NAME?</v>
      </c>
      <c r="F67" s="55" t="e">
        <f t="shared" ref="F67:F98" si="8">VLOOKUP(B67,_med2010,2,FALSE)</f>
        <v>#NAME?</v>
      </c>
    </row>
    <row r="68" spans="1:6" x14ac:dyDescent="0.2">
      <c r="A68" s="47" t="s">
        <v>138</v>
      </c>
      <c r="B68" s="53" t="s">
        <v>139</v>
      </c>
      <c r="C68" s="54">
        <v>13893</v>
      </c>
      <c r="D68" s="55" t="e">
        <f t="shared" si="6"/>
        <v>#NAME?</v>
      </c>
      <c r="E68" s="55" t="e">
        <f t="shared" si="7"/>
        <v>#NAME?</v>
      </c>
      <c r="F68" s="55" t="e">
        <f t="shared" si="8"/>
        <v>#NAME?</v>
      </c>
    </row>
    <row r="69" spans="1:6" x14ac:dyDescent="0.2">
      <c r="A69" s="47" t="s">
        <v>140</v>
      </c>
      <c r="B69" s="53" t="s">
        <v>141</v>
      </c>
      <c r="C69" s="54">
        <v>1528</v>
      </c>
      <c r="D69" s="55" t="e">
        <f t="shared" si="6"/>
        <v>#NAME?</v>
      </c>
      <c r="E69" s="55" t="e">
        <f t="shared" si="7"/>
        <v>#NAME?</v>
      </c>
      <c r="F69" s="55" t="e">
        <f t="shared" si="8"/>
        <v>#NAME?</v>
      </c>
    </row>
    <row r="70" spans="1:6" x14ac:dyDescent="0.2">
      <c r="A70" s="47" t="s">
        <v>142</v>
      </c>
      <c r="B70" s="53" t="s">
        <v>143</v>
      </c>
      <c r="C70" s="54">
        <v>5337</v>
      </c>
      <c r="D70" s="55" t="e">
        <f t="shared" si="6"/>
        <v>#NAME?</v>
      </c>
      <c r="E70" s="55" t="e">
        <f t="shared" si="7"/>
        <v>#NAME?</v>
      </c>
      <c r="F70" s="55" t="e">
        <f t="shared" si="8"/>
        <v>#NAME?</v>
      </c>
    </row>
    <row r="71" spans="1:6" x14ac:dyDescent="0.2">
      <c r="A71" s="47" t="s">
        <v>144</v>
      </c>
      <c r="B71" s="53" t="s">
        <v>145</v>
      </c>
      <c r="C71" s="54">
        <v>2146</v>
      </c>
      <c r="D71" s="55" t="e">
        <f t="shared" si="6"/>
        <v>#NAME?</v>
      </c>
      <c r="E71" s="55" t="e">
        <f t="shared" si="7"/>
        <v>#NAME?</v>
      </c>
      <c r="F71" s="55" t="e">
        <f t="shared" si="8"/>
        <v>#NAME?</v>
      </c>
    </row>
    <row r="72" spans="1:6" x14ac:dyDescent="0.2">
      <c r="A72" s="47" t="s">
        <v>146</v>
      </c>
      <c r="B72" s="53" t="s">
        <v>147</v>
      </c>
      <c r="C72" s="54">
        <v>1054</v>
      </c>
      <c r="D72" s="55" t="e">
        <f t="shared" si="6"/>
        <v>#NAME?</v>
      </c>
      <c r="E72" s="55" t="e">
        <f t="shared" si="7"/>
        <v>#NAME?</v>
      </c>
      <c r="F72" s="55" t="e">
        <f t="shared" si="8"/>
        <v>#NAME?</v>
      </c>
    </row>
    <row r="73" spans="1:6" x14ac:dyDescent="0.2">
      <c r="A73" s="47" t="s">
        <v>148</v>
      </c>
      <c r="B73" s="53" t="s">
        <v>149</v>
      </c>
      <c r="C73" s="54">
        <v>6603</v>
      </c>
      <c r="D73" s="55" t="e">
        <f t="shared" si="6"/>
        <v>#NAME?</v>
      </c>
      <c r="E73" s="55" t="e">
        <f t="shared" si="7"/>
        <v>#NAME?</v>
      </c>
      <c r="F73" s="55" t="e">
        <f t="shared" si="8"/>
        <v>#NAME?</v>
      </c>
    </row>
    <row r="74" spans="1:6" x14ac:dyDescent="0.2">
      <c r="A74" s="47" t="s">
        <v>150</v>
      </c>
      <c r="B74" s="53" t="s">
        <v>151</v>
      </c>
      <c r="C74" s="54">
        <v>1464</v>
      </c>
      <c r="D74" s="55" t="e">
        <f t="shared" si="6"/>
        <v>#NAME?</v>
      </c>
      <c r="E74" s="55" t="e">
        <f t="shared" si="7"/>
        <v>#NAME?</v>
      </c>
      <c r="F74" s="55" t="e">
        <f t="shared" si="8"/>
        <v>#NAME?</v>
      </c>
    </row>
    <row r="75" spans="1:6" x14ac:dyDescent="0.2">
      <c r="A75" s="47" t="s">
        <v>152</v>
      </c>
      <c r="B75" s="53" t="s">
        <v>153</v>
      </c>
      <c r="C75" s="54">
        <v>9035</v>
      </c>
      <c r="D75" s="55" t="e">
        <f t="shared" si="6"/>
        <v>#NAME?</v>
      </c>
      <c r="E75" s="55" t="e">
        <f t="shared" si="7"/>
        <v>#NAME?</v>
      </c>
      <c r="F75" s="55" t="e">
        <f t="shared" si="8"/>
        <v>#NAME?</v>
      </c>
    </row>
    <row r="76" spans="1:6" x14ac:dyDescent="0.2">
      <c r="A76" s="47" t="s">
        <v>154</v>
      </c>
      <c r="B76" s="53" t="s">
        <v>155</v>
      </c>
      <c r="C76" s="54">
        <v>2369</v>
      </c>
      <c r="D76" s="55" t="e">
        <f t="shared" si="6"/>
        <v>#NAME?</v>
      </c>
      <c r="E76" s="55" t="e">
        <f t="shared" si="7"/>
        <v>#NAME?</v>
      </c>
      <c r="F76" s="55" t="e">
        <f t="shared" si="8"/>
        <v>#NAME?</v>
      </c>
    </row>
    <row r="77" spans="1:6" x14ac:dyDescent="0.2">
      <c r="A77" s="47" t="s">
        <v>156</v>
      </c>
      <c r="B77" s="53" t="s">
        <v>157</v>
      </c>
      <c r="C77" s="54">
        <v>1076</v>
      </c>
      <c r="D77" s="55" t="e">
        <f t="shared" si="6"/>
        <v>#NAME?</v>
      </c>
      <c r="E77" s="55" t="e">
        <f t="shared" si="7"/>
        <v>#NAME?</v>
      </c>
      <c r="F77" s="55" t="e">
        <f t="shared" si="8"/>
        <v>#NAME?</v>
      </c>
    </row>
    <row r="78" spans="1:6" x14ac:dyDescent="0.2">
      <c r="A78" s="47" t="s">
        <v>158</v>
      </c>
      <c r="B78" s="53" t="s">
        <v>159</v>
      </c>
      <c r="C78" s="54">
        <v>36304</v>
      </c>
      <c r="D78" s="55" t="e">
        <f t="shared" si="6"/>
        <v>#NAME?</v>
      </c>
      <c r="E78" s="55" t="e">
        <f t="shared" si="7"/>
        <v>#NAME?</v>
      </c>
      <c r="F78" s="55" t="e">
        <f t="shared" si="8"/>
        <v>#NAME?</v>
      </c>
    </row>
    <row r="79" spans="1:6" x14ac:dyDescent="0.2">
      <c r="A79" s="47" t="s">
        <v>160</v>
      </c>
      <c r="B79" s="53" t="s">
        <v>161</v>
      </c>
      <c r="C79" s="54">
        <v>50779</v>
      </c>
      <c r="D79" s="55" t="e">
        <f t="shared" si="6"/>
        <v>#NAME?</v>
      </c>
      <c r="E79" s="55" t="e">
        <f t="shared" si="7"/>
        <v>#NAME?</v>
      </c>
      <c r="F79" s="55" t="e">
        <f t="shared" si="8"/>
        <v>#NAME?</v>
      </c>
    </row>
    <row r="80" spans="1:6" x14ac:dyDescent="0.2">
      <c r="A80" s="47" t="s">
        <v>162</v>
      </c>
      <c r="B80" s="53" t="s">
        <v>163</v>
      </c>
      <c r="C80" s="54">
        <v>3609</v>
      </c>
      <c r="D80" s="55" t="e">
        <f t="shared" si="6"/>
        <v>#NAME?</v>
      </c>
      <c r="E80" s="55" t="e">
        <f t="shared" si="7"/>
        <v>#NAME?</v>
      </c>
      <c r="F80" s="55" t="e">
        <f t="shared" si="8"/>
        <v>#NAME?</v>
      </c>
    </row>
    <row r="81" spans="1:6" x14ac:dyDescent="0.2">
      <c r="A81" s="47" t="s">
        <v>164</v>
      </c>
      <c r="B81" s="53" t="s">
        <v>165</v>
      </c>
      <c r="C81" s="54">
        <v>1857</v>
      </c>
      <c r="D81" s="55" t="e">
        <f t="shared" si="6"/>
        <v>#NAME?</v>
      </c>
      <c r="E81" s="55" t="e">
        <f t="shared" si="7"/>
        <v>#NAME?</v>
      </c>
      <c r="F81" s="55" t="e">
        <f t="shared" si="8"/>
        <v>#NAME?</v>
      </c>
    </row>
    <row r="82" spans="1:6" x14ac:dyDescent="0.2">
      <c r="A82" s="47" t="s">
        <v>166</v>
      </c>
      <c r="B82" s="53" t="s">
        <v>167</v>
      </c>
      <c r="C82" s="54">
        <v>1354</v>
      </c>
      <c r="D82" s="55" t="e">
        <f t="shared" si="6"/>
        <v>#NAME?</v>
      </c>
      <c r="E82" s="55" t="e">
        <f t="shared" si="7"/>
        <v>#NAME?</v>
      </c>
      <c r="F82" s="55" t="e">
        <f t="shared" si="8"/>
        <v>#NAME?</v>
      </c>
    </row>
    <row r="83" spans="1:6" x14ac:dyDescent="0.2">
      <c r="A83" s="47" t="s">
        <v>168</v>
      </c>
      <c r="B83" s="53" t="s">
        <v>169</v>
      </c>
      <c r="C83" s="54">
        <v>3392</v>
      </c>
      <c r="D83" s="55" t="e">
        <f t="shared" si="6"/>
        <v>#NAME?</v>
      </c>
      <c r="E83" s="55" t="e">
        <f t="shared" si="7"/>
        <v>#NAME?</v>
      </c>
      <c r="F83" s="55" t="e">
        <f t="shared" si="8"/>
        <v>#NAME?</v>
      </c>
    </row>
    <row r="84" spans="1:6" x14ac:dyDescent="0.2">
      <c r="A84" s="47" t="s">
        <v>170</v>
      </c>
      <c r="B84" s="53" t="s">
        <v>171</v>
      </c>
      <c r="C84" s="54">
        <v>3601</v>
      </c>
      <c r="D84" s="55" t="e">
        <f t="shared" si="6"/>
        <v>#NAME?</v>
      </c>
      <c r="E84" s="55" t="e">
        <f t="shared" si="7"/>
        <v>#NAME?</v>
      </c>
      <c r="F84" s="55" t="e">
        <f t="shared" si="8"/>
        <v>#NAME?</v>
      </c>
    </row>
    <row r="85" spans="1:6" x14ac:dyDescent="0.2">
      <c r="A85" s="47" t="s">
        <v>172</v>
      </c>
      <c r="B85" s="53" t="s">
        <v>173</v>
      </c>
      <c r="C85" s="54">
        <v>4183</v>
      </c>
      <c r="D85" s="55" t="e">
        <f t="shared" si="6"/>
        <v>#NAME?</v>
      </c>
      <c r="E85" s="55" t="e">
        <f t="shared" si="7"/>
        <v>#NAME?</v>
      </c>
      <c r="F85" s="55" t="e">
        <f t="shared" si="8"/>
        <v>#NAME?</v>
      </c>
    </row>
    <row r="86" spans="1:6" x14ac:dyDescent="0.2">
      <c r="A86" s="47" t="s">
        <v>174</v>
      </c>
      <c r="B86" s="53" t="s">
        <v>175</v>
      </c>
      <c r="C86" s="54">
        <v>4149</v>
      </c>
      <c r="D86" s="55" t="e">
        <f t="shared" si="6"/>
        <v>#NAME?</v>
      </c>
      <c r="E86" s="55" t="e">
        <f t="shared" si="7"/>
        <v>#NAME?</v>
      </c>
      <c r="F86" s="55" t="e">
        <f t="shared" si="8"/>
        <v>#NAME?</v>
      </c>
    </row>
    <row r="87" spans="1:6" x14ac:dyDescent="0.2">
      <c r="A87" s="47" t="s">
        <v>176</v>
      </c>
      <c r="B87" s="53" t="s">
        <v>177</v>
      </c>
      <c r="C87" s="54">
        <v>10541</v>
      </c>
      <c r="D87" s="55" t="e">
        <f t="shared" si="6"/>
        <v>#NAME?</v>
      </c>
      <c r="E87" s="55" t="e">
        <f t="shared" si="7"/>
        <v>#NAME?</v>
      </c>
      <c r="F87" s="55" t="e">
        <f t="shared" si="8"/>
        <v>#NAME?</v>
      </c>
    </row>
    <row r="88" spans="1:6" x14ac:dyDescent="0.2">
      <c r="A88" s="47" t="s">
        <v>178</v>
      </c>
      <c r="B88" s="53" t="s">
        <v>179</v>
      </c>
      <c r="C88" s="54">
        <v>11152</v>
      </c>
      <c r="D88" s="55" t="e">
        <f t="shared" si="6"/>
        <v>#NAME?</v>
      </c>
      <c r="E88" s="55" t="e">
        <f t="shared" si="7"/>
        <v>#NAME?</v>
      </c>
      <c r="F88" s="55" t="e">
        <f t="shared" si="8"/>
        <v>#NAME?</v>
      </c>
    </row>
    <row r="89" spans="1:6" x14ac:dyDescent="0.2">
      <c r="A89" s="47" t="s">
        <v>180</v>
      </c>
      <c r="B89" s="53" t="s">
        <v>181</v>
      </c>
      <c r="C89" s="54">
        <v>23485</v>
      </c>
      <c r="D89" s="55" t="e">
        <f t="shared" si="6"/>
        <v>#NAME?</v>
      </c>
      <c r="E89" s="55" t="e">
        <f t="shared" si="7"/>
        <v>#NAME?</v>
      </c>
      <c r="F89" s="55" t="e">
        <f t="shared" si="8"/>
        <v>#NAME?</v>
      </c>
    </row>
    <row r="90" spans="1:6" x14ac:dyDescent="0.2">
      <c r="A90" s="47" t="s">
        <v>182</v>
      </c>
      <c r="B90" s="53" t="s">
        <v>183</v>
      </c>
      <c r="C90" s="54">
        <v>1544</v>
      </c>
      <c r="D90" s="55" t="e">
        <f t="shared" si="6"/>
        <v>#NAME?</v>
      </c>
      <c r="E90" s="55" t="e">
        <f t="shared" si="7"/>
        <v>#NAME?</v>
      </c>
      <c r="F90" s="55" t="e">
        <f t="shared" si="8"/>
        <v>#NAME?</v>
      </c>
    </row>
    <row r="91" spans="1:6" x14ac:dyDescent="0.2">
      <c r="A91" s="47" t="s">
        <v>184</v>
      </c>
      <c r="B91" s="53" t="s">
        <v>185</v>
      </c>
      <c r="C91" s="54">
        <v>4112</v>
      </c>
      <c r="D91" s="55" t="e">
        <f t="shared" si="6"/>
        <v>#NAME?</v>
      </c>
      <c r="E91" s="55" t="e">
        <f t="shared" si="7"/>
        <v>#NAME?</v>
      </c>
      <c r="F91" s="55" t="e">
        <f t="shared" si="8"/>
        <v>#NAME?</v>
      </c>
    </row>
    <row r="92" spans="1:6" x14ac:dyDescent="0.2">
      <c r="A92" s="47" t="s">
        <v>186</v>
      </c>
      <c r="B92" s="53" t="s">
        <v>187</v>
      </c>
      <c r="C92" s="54">
        <v>2880</v>
      </c>
      <c r="D92" s="55" t="e">
        <f t="shared" si="6"/>
        <v>#NAME?</v>
      </c>
      <c r="E92" s="55" t="e">
        <f t="shared" si="7"/>
        <v>#NAME?</v>
      </c>
      <c r="F92" s="55" t="e">
        <f t="shared" si="8"/>
        <v>#NAME?</v>
      </c>
    </row>
    <row r="93" spans="1:6" x14ac:dyDescent="0.2">
      <c r="A93" s="47" t="s">
        <v>188</v>
      </c>
      <c r="B93" s="53" t="s">
        <v>189</v>
      </c>
      <c r="C93" s="54">
        <v>36640</v>
      </c>
      <c r="D93" s="55" t="e">
        <f t="shared" si="6"/>
        <v>#NAME?</v>
      </c>
      <c r="E93" s="55" t="e">
        <f t="shared" si="7"/>
        <v>#NAME?</v>
      </c>
      <c r="F93" s="55" t="e">
        <f t="shared" si="8"/>
        <v>#NAME?</v>
      </c>
    </row>
    <row r="94" spans="1:6" x14ac:dyDescent="0.2">
      <c r="A94" s="47" t="s">
        <v>190</v>
      </c>
      <c r="B94" s="53" t="s">
        <v>191</v>
      </c>
      <c r="C94" s="54">
        <v>6339</v>
      </c>
      <c r="D94" s="55" t="e">
        <f t="shared" si="6"/>
        <v>#NAME?</v>
      </c>
      <c r="E94" s="55" t="e">
        <f t="shared" si="7"/>
        <v>#NAME?</v>
      </c>
      <c r="F94" s="55" t="e">
        <f t="shared" si="8"/>
        <v>#NAME?</v>
      </c>
    </row>
    <row r="95" spans="1:6" x14ac:dyDescent="0.2">
      <c r="A95" s="47" t="s">
        <v>192</v>
      </c>
      <c r="B95" s="53" t="s">
        <v>193</v>
      </c>
      <c r="C95" s="54">
        <v>1886</v>
      </c>
      <c r="D95" s="55" t="e">
        <f t="shared" si="6"/>
        <v>#NAME?</v>
      </c>
      <c r="E95" s="55" t="e">
        <f t="shared" si="7"/>
        <v>#NAME?</v>
      </c>
      <c r="F95" s="55" t="e">
        <f t="shared" si="8"/>
        <v>#NAME?</v>
      </c>
    </row>
    <row r="96" spans="1:6" x14ac:dyDescent="0.2">
      <c r="A96" s="47" t="s">
        <v>194</v>
      </c>
      <c r="B96" s="53" t="s">
        <v>195</v>
      </c>
      <c r="C96" s="54">
        <v>600</v>
      </c>
      <c r="D96" s="55" t="e">
        <f t="shared" si="6"/>
        <v>#NAME?</v>
      </c>
      <c r="E96" s="55" t="e">
        <f t="shared" si="7"/>
        <v>#NAME?</v>
      </c>
      <c r="F96" s="55" t="e">
        <f t="shared" si="8"/>
        <v>#NAME?</v>
      </c>
    </row>
    <row r="97" spans="1:6" x14ac:dyDescent="0.2">
      <c r="A97" s="47" t="s">
        <v>196</v>
      </c>
      <c r="B97" s="53" t="s">
        <v>197</v>
      </c>
      <c r="C97" s="54">
        <v>52734</v>
      </c>
      <c r="D97" s="55" t="e">
        <f t="shared" si="6"/>
        <v>#NAME?</v>
      </c>
      <c r="E97" s="55" t="e">
        <f t="shared" si="7"/>
        <v>#NAME?</v>
      </c>
      <c r="F97" s="55" t="e">
        <f t="shared" si="8"/>
        <v>#NAME?</v>
      </c>
    </row>
    <row r="98" spans="1:6" x14ac:dyDescent="0.2">
      <c r="A98" s="47" t="s">
        <v>198</v>
      </c>
      <c r="B98" s="53" t="s">
        <v>272</v>
      </c>
      <c r="C98" s="54">
        <v>1523</v>
      </c>
      <c r="D98" s="55" t="e">
        <f t="shared" si="6"/>
        <v>#NAME?</v>
      </c>
      <c r="E98" s="55" t="e">
        <f t="shared" si="7"/>
        <v>#NAME?</v>
      </c>
      <c r="F98" s="55" t="e">
        <f t="shared" si="8"/>
        <v>#NAME?</v>
      </c>
    </row>
    <row r="99" spans="1:6" x14ac:dyDescent="0.2">
      <c r="A99" s="47" t="s">
        <v>200</v>
      </c>
      <c r="B99" s="53" t="s">
        <v>201</v>
      </c>
      <c r="C99" s="54">
        <v>23966</v>
      </c>
      <c r="D99" s="55" t="e">
        <f t="shared" ref="D99:D122" si="9">VLOOKUP(B99,_med2008,2,FALSE)</f>
        <v>#NAME?</v>
      </c>
      <c r="E99" s="55" t="e">
        <f t="shared" ref="E99:E122" si="10">VLOOKUP(B99,_med2009,2,FALSE)</f>
        <v>#NAME?</v>
      </c>
      <c r="F99" s="55" t="e">
        <f t="shared" ref="F99:F122" si="11">VLOOKUP(B99,_med2010,2,FALSE)</f>
        <v>#NAME?</v>
      </c>
    </row>
    <row r="100" spans="1:6" x14ac:dyDescent="0.2">
      <c r="A100" s="47" t="s">
        <v>202</v>
      </c>
      <c r="B100" s="53" t="s">
        <v>301</v>
      </c>
      <c r="C100" s="54">
        <v>10237</v>
      </c>
      <c r="D100" s="55" t="e">
        <f t="shared" si="9"/>
        <v>#NAME?</v>
      </c>
      <c r="E100" s="55" t="e">
        <f t="shared" si="10"/>
        <v>#NAME?</v>
      </c>
      <c r="F100" s="55" t="e">
        <f t="shared" si="11"/>
        <v>#NAME?</v>
      </c>
    </row>
    <row r="101" spans="1:6" x14ac:dyDescent="0.2">
      <c r="A101" s="47" t="s">
        <v>204</v>
      </c>
      <c r="B101" s="53" t="s">
        <v>293</v>
      </c>
      <c r="C101" s="54">
        <v>4580</v>
      </c>
      <c r="D101" s="55" t="e">
        <f t="shared" si="9"/>
        <v>#NAME?</v>
      </c>
      <c r="E101" s="55" t="e">
        <f t="shared" si="10"/>
        <v>#NAME?</v>
      </c>
      <c r="F101" s="55" t="e">
        <f t="shared" si="11"/>
        <v>#NAME?</v>
      </c>
    </row>
    <row r="102" spans="1:6" x14ac:dyDescent="0.2">
      <c r="A102" s="47" t="s">
        <v>206</v>
      </c>
      <c r="B102" s="53" t="s">
        <v>294</v>
      </c>
      <c r="C102" s="54">
        <v>14124</v>
      </c>
      <c r="D102" s="55" t="e">
        <f t="shared" si="9"/>
        <v>#NAME?</v>
      </c>
      <c r="E102" s="55" t="e">
        <f t="shared" si="10"/>
        <v>#NAME?</v>
      </c>
      <c r="F102" s="55" t="e">
        <f t="shared" si="11"/>
        <v>#NAME?</v>
      </c>
    </row>
    <row r="103" spans="1:6" x14ac:dyDescent="0.2">
      <c r="A103" s="47" t="s">
        <v>208</v>
      </c>
      <c r="B103" s="53" t="s">
        <v>209</v>
      </c>
      <c r="C103" s="54">
        <v>7462</v>
      </c>
      <c r="D103" s="55" t="e">
        <f t="shared" si="9"/>
        <v>#NAME?</v>
      </c>
      <c r="E103" s="55" t="e">
        <f t="shared" si="10"/>
        <v>#NAME?</v>
      </c>
      <c r="F103" s="55" t="e">
        <f t="shared" si="11"/>
        <v>#NAME?</v>
      </c>
    </row>
    <row r="104" spans="1:6" x14ac:dyDescent="0.2">
      <c r="A104" s="47" t="s">
        <v>210</v>
      </c>
      <c r="B104" s="53" t="s">
        <v>211</v>
      </c>
      <c r="C104" s="54">
        <v>5195</v>
      </c>
      <c r="D104" s="55" t="e">
        <f t="shared" si="9"/>
        <v>#NAME?</v>
      </c>
      <c r="E104" s="55" t="e">
        <f t="shared" si="10"/>
        <v>#NAME?</v>
      </c>
      <c r="F104" s="55" t="e">
        <f t="shared" si="11"/>
        <v>#NAME?</v>
      </c>
    </row>
    <row r="105" spans="1:6" x14ac:dyDescent="0.2">
      <c r="A105" s="47" t="s">
        <v>212</v>
      </c>
      <c r="B105" s="53" t="s">
        <v>213</v>
      </c>
      <c r="C105" s="54">
        <v>5195</v>
      </c>
      <c r="D105" s="55" t="e">
        <f t="shared" si="9"/>
        <v>#NAME?</v>
      </c>
      <c r="E105" s="55" t="e">
        <f t="shared" si="10"/>
        <v>#NAME?</v>
      </c>
      <c r="F105" s="55" t="e">
        <f t="shared" si="11"/>
        <v>#NAME?</v>
      </c>
    </row>
    <row r="106" spans="1:6" x14ac:dyDescent="0.2">
      <c r="A106" s="47" t="s">
        <v>214</v>
      </c>
      <c r="B106" s="53" t="s">
        <v>215</v>
      </c>
      <c r="C106" s="54">
        <v>7096</v>
      </c>
      <c r="D106" s="55" t="e">
        <f t="shared" si="9"/>
        <v>#NAME?</v>
      </c>
      <c r="E106" s="55" t="e">
        <f t="shared" si="10"/>
        <v>#NAME?</v>
      </c>
      <c r="F106" s="55" t="e">
        <f t="shared" si="11"/>
        <v>#NAME?</v>
      </c>
    </row>
    <row r="107" spans="1:6" x14ac:dyDescent="0.2">
      <c r="A107" s="47" t="s">
        <v>216</v>
      </c>
      <c r="B107" s="53" t="s">
        <v>217</v>
      </c>
      <c r="C107" s="54">
        <v>3525</v>
      </c>
      <c r="D107" s="55" t="e">
        <f t="shared" si="9"/>
        <v>#NAME?</v>
      </c>
      <c r="E107" s="55" t="e">
        <f t="shared" si="10"/>
        <v>#NAME?</v>
      </c>
      <c r="F107" s="55" t="e">
        <f t="shared" si="11"/>
        <v>#NAME?</v>
      </c>
    </row>
    <row r="108" spans="1:6" x14ac:dyDescent="0.2">
      <c r="A108" s="47" t="s">
        <v>218</v>
      </c>
      <c r="B108" s="53" t="s">
        <v>219</v>
      </c>
      <c r="C108" s="54">
        <v>10432</v>
      </c>
      <c r="D108" s="55" t="e">
        <f t="shared" si="9"/>
        <v>#NAME?</v>
      </c>
      <c r="E108" s="55" t="e">
        <f t="shared" si="10"/>
        <v>#NAME?</v>
      </c>
      <c r="F108" s="55" t="e">
        <f t="shared" si="11"/>
        <v>#NAME?</v>
      </c>
    </row>
    <row r="109" spans="1:6" x14ac:dyDescent="0.2">
      <c r="A109" s="47" t="s">
        <v>220</v>
      </c>
      <c r="B109" s="53" t="s">
        <v>221</v>
      </c>
      <c r="C109" s="54">
        <v>9491</v>
      </c>
      <c r="D109" s="55" t="e">
        <f t="shared" si="9"/>
        <v>#NAME?</v>
      </c>
      <c r="E109" s="55" t="e">
        <f t="shared" si="10"/>
        <v>#NAME?</v>
      </c>
      <c r="F109" s="55" t="e">
        <f t="shared" si="11"/>
        <v>#NAME?</v>
      </c>
    </row>
    <row r="110" spans="1:6" x14ac:dyDescent="0.2">
      <c r="A110" s="47" t="s">
        <v>222</v>
      </c>
      <c r="B110" s="53" t="s">
        <v>223</v>
      </c>
      <c r="C110" s="54">
        <v>12754</v>
      </c>
      <c r="D110" s="55" t="e">
        <f t="shared" si="9"/>
        <v>#NAME?</v>
      </c>
      <c r="E110" s="55" t="e">
        <f t="shared" si="10"/>
        <v>#NAME?</v>
      </c>
      <c r="F110" s="55" t="e">
        <f t="shared" si="11"/>
        <v>#NAME?</v>
      </c>
    </row>
    <row r="111" spans="1:6" x14ac:dyDescent="0.2">
      <c r="A111" s="47" t="s">
        <v>224</v>
      </c>
      <c r="B111" s="53" t="s">
        <v>225</v>
      </c>
      <c r="C111" s="54">
        <v>1157</v>
      </c>
      <c r="D111" s="55" t="e">
        <f t="shared" si="9"/>
        <v>#NAME?</v>
      </c>
      <c r="E111" s="55" t="e">
        <f t="shared" si="10"/>
        <v>#NAME?</v>
      </c>
      <c r="F111" s="55" t="e">
        <f t="shared" si="11"/>
        <v>#NAME?</v>
      </c>
    </row>
    <row r="112" spans="1:6" x14ac:dyDescent="0.2">
      <c r="A112" s="47" t="s">
        <v>226</v>
      </c>
      <c r="B112" s="53" t="s">
        <v>227</v>
      </c>
      <c r="C112" s="54">
        <v>2285</v>
      </c>
      <c r="D112" s="55" t="e">
        <f t="shared" si="9"/>
        <v>#NAME?</v>
      </c>
      <c r="E112" s="55" t="e">
        <f t="shared" si="10"/>
        <v>#NAME?</v>
      </c>
      <c r="F112" s="55" t="e">
        <f t="shared" si="11"/>
        <v>#NAME?</v>
      </c>
    </row>
    <row r="113" spans="1:6" x14ac:dyDescent="0.2">
      <c r="A113" s="47" t="s">
        <v>228</v>
      </c>
      <c r="B113" s="53" t="s">
        <v>229</v>
      </c>
      <c r="C113" s="54">
        <v>10374</v>
      </c>
      <c r="D113" s="55" t="e">
        <f t="shared" si="9"/>
        <v>#NAME?</v>
      </c>
      <c r="E113" s="55" t="e">
        <f t="shared" si="10"/>
        <v>#NAME?</v>
      </c>
      <c r="F113" s="55" t="e">
        <f t="shared" si="11"/>
        <v>#NAME?</v>
      </c>
    </row>
    <row r="114" spans="1:6" x14ac:dyDescent="0.2">
      <c r="A114" s="47" t="s">
        <v>230</v>
      </c>
      <c r="B114" s="53" t="s">
        <v>231</v>
      </c>
      <c r="C114" s="54">
        <v>37990</v>
      </c>
      <c r="D114" s="55" t="e">
        <f t="shared" si="9"/>
        <v>#NAME?</v>
      </c>
      <c r="E114" s="55" t="e">
        <f t="shared" si="10"/>
        <v>#NAME?</v>
      </c>
      <c r="F114" s="55" t="e">
        <f t="shared" si="11"/>
        <v>#NAME?</v>
      </c>
    </row>
    <row r="115" spans="1:6" x14ac:dyDescent="0.2">
      <c r="A115" s="47" t="s">
        <v>232</v>
      </c>
      <c r="B115" s="53" t="s">
        <v>233</v>
      </c>
      <c r="C115" s="54">
        <v>4412</v>
      </c>
      <c r="D115" s="55" t="e">
        <f t="shared" si="9"/>
        <v>#NAME?</v>
      </c>
      <c r="E115" s="55" t="e">
        <f t="shared" si="10"/>
        <v>#NAME?</v>
      </c>
      <c r="F115" s="55" t="e">
        <f t="shared" si="11"/>
        <v>#NAME?</v>
      </c>
    </row>
    <row r="116" spans="1:6" x14ac:dyDescent="0.2">
      <c r="A116" s="47" t="s">
        <v>234</v>
      </c>
      <c r="B116" s="53" t="s">
        <v>235</v>
      </c>
      <c r="C116" s="54">
        <v>8608</v>
      </c>
      <c r="D116" s="55" t="e">
        <f t="shared" si="9"/>
        <v>#NAME?</v>
      </c>
      <c r="E116" s="55" t="e">
        <f t="shared" si="10"/>
        <v>#NAME?</v>
      </c>
      <c r="F116" s="55" t="e">
        <f t="shared" si="11"/>
        <v>#NAME?</v>
      </c>
    </row>
    <row r="117" spans="1:6" x14ac:dyDescent="0.2">
      <c r="A117" s="47" t="s">
        <v>236</v>
      </c>
      <c r="B117" s="53" t="s">
        <v>237</v>
      </c>
      <c r="C117" s="54">
        <v>3160</v>
      </c>
      <c r="D117" s="55" t="e">
        <f t="shared" si="9"/>
        <v>#NAME?</v>
      </c>
      <c r="E117" s="55" t="e">
        <f t="shared" si="10"/>
        <v>#NAME?</v>
      </c>
      <c r="F117" s="55" t="e">
        <f t="shared" si="11"/>
        <v>#NAME?</v>
      </c>
    </row>
    <row r="118" spans="1:6" x14ac:dyDescent="0.2">
      <c r="A118" s="47" t="s">
        <v>238</v>
      </c>
      <c r="B118" s="53" t="s">
        <v>239</v>
      </c>
      <c r="C118" s="54">
        <v>969</v>
      </c>
      <c r="D118" s="55" t="e">
        <f t="shared" si="9"/>
        <v>#NAME?</v>
      </c>
      <c r="E118" s="55" t="e">
        <f t="shared" si="10"/>
        <v>#NAME?</v>
      </c>
      <c r="F118" s="55" t="e">
        <f t="shared" si="11"/>
        <v>#NAME?</v>
      </c>
    </row>
    <row r="119" spans="1:6" x14ac:dyDescent="0.2">
      <c r="A119" s="47" t="s">
        <v>240</v>
      </c>
      <c r="B119" s="53" t="s">
        <v>241</v>
      </c>
      <c r="C119" s="54">
        <v>4206</v>
      </c>
      <c r="D119" s="55" t="e">
        <f t="shared" si="9"/>
        <v>#NAME?</v>
      </c>
      <c r="E119" s="55" t="e">
        <f t="shared" si="10"/>
        <v>#NAME?</v>
      </c>
      <c r="F119" s="55" t="e">
        <f t="shared" si="11"/>
        <v>#NAME?</v>
      </c>
    </row>
    <row r="120" spans="1:6" x14ac:dyDescent="0.2">
      <c r="A120" s="47" t="s">
        <v>242</v>
      </c>
      <c r="B120" s="53" t="s">
        <v>243</v>
      </c>
      <c r="C120" s="54">
        <v>11327</v>
      </c>
      <c r="D120" s="55" t="e">
        <f t="shared" si="9"/>
        <v>#NAME?</v>
      </c>
      <c r="E120" s="55" t="e">
        <f t="shared" si="10"/>
        <v>#NAME?</v>
      </c>
      <c r="F120" s="55" t="e">
        <f t="shared" si="11"/>
        <v>#NAME?</v>
      </c>
    </row>
    <row r="121" spans="1:6" x14ac:dyDescent="0.2">
      <c r="A121" s="47" t="s">
        <v>244</v>
      </c>
      <c r="B121" s="53" t="s">
        <v>245</v>
      </c>
      <c r="C121" s="54">
        <v>5359</v>
      </c>
      <c r="D121" s="55" t="e">
        <f t="shared" si="9"/>
        <v>#NAME?</v>
      </c>
      <c r="E121" s="55" t="e">
        <f t="shared" si="10"/>
        <v>#NAME?</v>
      </c>
      <c r="F121" s="55" t="e">
        <f t="shared" si="11"/>
        <v>#NAME?</v>
      </c>
    </row>
    <row r="122" spans="1:6" x14ac:dyDescent="0.2">
      <c r="A122" s="47" t="s">
        <v>246</v>
      </c>
      <c r="B122" s="53" t="s">
        <v>247</v>
      </c>
      <c r="C122" s="54">
        <v>3577</v>
      </c>
      <c r="D122" s="55" t="e">
        <f t="shared" si="9"/>
        <v>#NAME?</v>
      </c>
      <c r="E122" s="55" t="e">
        <f t="shared" si="10"/>
        <v>#NAME?</v>
      </c>
      <c r="F122" s="55" t="e">
        <f t="shared" si="11"/>
        <v>#NAME?</v>
      </c>
    </row>
    <row r="123" spans="1:6" x14ac:dyDescent="0.25">
      <c r="B123" s="56"/>
      <c r="C123" s="54">
        <f>SUM(C3:C122)</f>
        <v>983399</v>
      </c>
      <c r="D123" s="54" t="e">
        <f>SUM(D3:D122)</f>
        <v>#NAME?</v>
      </c>
      <c r="E123" s="54" t="e">
        <f>SUM(E3:E122)</f>
        <v>#NAME?</v>
      </c>
      <c r="F123" s="54" t="e">
        <f>SUM(F3:F122)</f>
        <v>#NAME?</v>
      </c>
    </row>
    <row r="124" spans="1:6" x14ac:dyDescent="0.25">
      <c r="B124" s="56"/>
      <c r="C124" s="3"/>
      <c r="D124" s="57"/>
    </row>
    <row r="125" spans="1:6" x14ac:dyDescent="0.25">
      <c r="B125" s="58"/>
      <c r="C125" s="59">
        <v>983399</v>
      </c>
      <c r="D125" s="50" t="e">
        <f>VLOOKUP(B125,_med2008,2,FALSE)</f>
        <v>#NAME?</v>
      </c>
    </row>
    <row r="126" spans="1:6" s="62" customFormat="1" x14ac:dyDescent="0.25">
      <c r="B126" s="60">
        <v>40714</v>
      </c>
      <c r="C126" s="4" t="s">
        <v>543</v>
      </c>
      <c r="D126" s="61">
        <v>0.47415509</v>
      </c>
    </row>
  </sheetData>
  <pageMargins left="0.75" right="0.75" top="1" bottom="1" header="0.5" footer="0.5"/>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33"/>
  <sheetViews>
    <sheetView workbookViewId="0">
      <pane xSplit="3" ySplit="6" topLeftCell="O37" activePane="bottomRight" state="frozen"/>
      <selection pane="topRight" activeCell="E1" sqref="E1"/>
      <selection pane="bottomLeft" activeCell="A7" sqref="A7"/>
      <selection pane="bottomRight" activeCell="A39" sqref="A39:XFD39"/>
    </sheetView>
  </sheetViews>
  <sheetFormatPr defaultRowHeight="15.75" x14ac:dyDescent="0.25"/>
  <cols>
    <col min="1" max="1" width="6.125" style="270" bestFit="1" customWidth="1"/>
    <col min="2" max="2" width="26.375" style="748" customWidth="1"/>
    <col min="3" max="3" width="10.375" style="748" customWidth="1"/>
    <col min="4" max="15" width="8.625" style="270" customWidth="1"/>
    <col min="16" max="19" width="9.875" style="270" customWidth="1"/>
    <col min="20" max="20" width="16.125" style="270" customWidth="1"/>
    <col min="21" max="21" width="2.375" style="270" customWidth="1"/>
    <col min="22" max="22" width="2.5" style="270" customWidth="1"/>
    <col min="23" max="16384" width="9" style="270"/>
  </cols>
  <sheetData>
    <row r="1" spans="1:26" x14ac:dyDescent="0.25">
      <c r="A1" s="64" t="s">
        <v>1179</v>
      </c>
      <c r="B1" s="270"/>
      <c r="C1" s="270"/>
    </row>
    <row r="3" spans="1:26" x14ac:dyDescent="0.25">
      <c r="B3" s="270"/>
      <c r="C3" s="270"/>
    </row>
    <row r="4" spans="1:26" ht="15.75" customHeight="1" x14ac:dyDescent="0.25">
      <c r="D4" s="2149" t="s">
        <v>637</v>
      </c>
      <c r="E4" s="2151"/>
      <c r="F4" s="2151"/>
      <c r="G4" s="2152"/>
      <c r="H4" s="2149" t="s">
        <v>653</v>
      </c>
      <c r="I4" s="2151"/>
      <c r="J4" s="2151"/>
      <c r="K4" s="2152"/>
      <c r="L4" s="2149" t="s">
        <v>654</v>
      </c>
      <c r="M4" s="2151"/>
      <c r="N4" s="2151"/>
      <c r="O4" s="2152"/>
      <c r="P4" s="2153" t="s">
        <v>708</v>
      </c>
      <c r="Q4" s="2156" t="s">
        <v>841</v>
      </c>
      <c r="R4" s="2157"/>
      <c r="S4" s="2158"/>
      <c r="T4" s="2155" t="s">
        <v>709</v>
      </c>
      <c r="W4" s="2149" t="s">
        <v>655</v>
      </c>
      <c r="X4" s="2150"/>
      <c r="Y4" s="2151"/>
      <c r="Z4" s="2152"/>
    </row>
    <row r="5" spans="1:26" x14ac:dyDescent="0.25">
      <c r="A5" s="749" t="s">
        <v>4</v>
      </c>
      <c r="B5" s="750" t="s">
        <v>645</v>
      </c>
      <c r="C5" s="750" t="s">
        <v>251</v>
      </c>
      <c r="D5" s="733" t="s">
        <v>838</v>
      </c>
      <c r="E5" s="734" t="s">
        <v>839</v>
      </c>
      <c r="F5" s="734" t="s">
        <v>804</v>
      </c>
      <c r="G5" s="735" t="s">
        <v>635</v>
      </c>
      <c r="H5" s="733" t="s">
        <v>838</v>
      </c>
      <c r="I5" s="734" t="s">
        <v>839</v>
      </c>
      <c r="J5" s="734" t="s">
        <v>804</v>
      </c>
      <c r="K5" s="398" t="s">
        <v>635</v>
      </c>
      <c r="L5" s="733" t="s">
        <v>838</v>
      </c>
      <c r="M5" s="734" t="s">
        <v>839</v>
      </c>
      <c r="N5" s="734" t="s">
        <v>804</v>
      </c>
      <c r="O5" s="398" t="s">
        <v>635</v>
      </c>
      <c r="P5" s="2154"/>
      <c r="Q5" s="967" t="s">
        <v>838</v>
      </c>
      <c r="R5" s="967" t="s">
        <v>839</v>
      </c>
      <c r="S5" s="967" t="s">
        <v>804</v>
      </c>
      <c r="T5" s="2155"/>
      <c r="W5" s="736" t="s">
        <v>838</v>
      </c>
      <c r="X5" s="737" t="s">
        <v>839</v>
      </c>
      <c r="Y5" s="738" t="s">
        <v>804</v>
      </c>
      <c r="Z5" s="739" t="s">
        <v>281</v>
      </c>
    </row>
    <row r="6" spans="1:26" x14ac:dyDescent="0.25">
      <c r="A6" s="751" t="s">
        <v>8</v>
      </c>
      <c r="B6" s="752" t="s">
        <v>9</v>
      </c>
      <c r="C6" s="752"/>
      <c r="D6" s="770">
        <f>SUM(D7:D126)</f>
        <v>5645</v>
      </c>
      <c r="E6" s="771">
        <f t="shared" ref="E6:J6" si="0">SUM(E7:E126)</f>
        <v>2814</v>
      </c>
      <c r="F6" s="771">
        <f t="shared" si="0"/>
        <v>269</v>
      </c>
      <c r="G6" s="772">
        <f t="shared" ref="G6:G37" si="1">SUM(D6:F6)</f>
        <v>8728</v>
      </c>
      <c r="H6" s="771">
        <f t="shared" si="0"/>
        <v>1198</v>
      </c>
      <c r="I6" s="771">
        <f t="shared" si="0"/>
        <v>546</v>
      </c>
      <c r="J6" s="771">
        <f t="shared" si="0"/>
        <v>113</v>
      </c>
      <c r="K6" s="772">
        <f t="shared" ref="K6:K37" si="2">SUM(H6:J6)</f>
        <v>1857</v>
      </c>
      <c r="L6" s="773">
        <f>SUM(L7:L126)</f>
        <v>36</v>
      </c>
      <c r="M6" s="774">
        <f>SUM(M7:M126)</f>
        <v>8</v>
      </c>
      <c r="N6" s="774">
        <f>SUM(N7:N126)</f>
        <v>0</v>
      </c>
      <c r="O6" s="775">
        <f t="shared" ref="O6:O37" si="3">SUM(L6:N6)</f>
        <v>44</v>
      </c>
      <c r="P6" s="776">
        <f t="shared" ref="P6:P37" si="4">G6+K6+O6</f>
        <v>10629</v>
      </c>
      <c r="Q6" s="776">
        <f>D6+H6</f>
        <v>6843</v>
      </c>
      <c r="R6" s="776">
        <f>E6+I6</f>
        <v>3360</v>
      </c>
      <c r="S6" s="776">
        <f>F6+J6</f>
        <v>382</v>
      </c>
      <c r="T6" s="776">
        <f>G6+K6</f>
        <v>10585</v>
      </c>
      <c r="W6" s="768">
        <f>IF((D6+H6)=0,"NA",(H6/(D6+H6)))</f>
        <v>0.17506941399970774</v>
      </c>
      <c r="X6" s="768">
        <f>IF((E6+I6)=0,"NA",(I6/(E6+I6)))</f>
        <v>0.16250000000000001</v>
      </c>
      <c r="Y6" s="768">
        <f>IF((F6+J6)=0,"NA",(J6/(F6+J6)))</f>
        <v>0.29581151832460734</v>
      </c>
      <c r="Z6" s="769">
        <f>IF((G6+K6)=0,"NA",(K6/(G6+K6)))</f>
        <v>0.17543693906471422</v>
      </c>
    </row>
    <row r="7" spans="1:26" x14ac:dyDescent="0.25">
      <c r="A7" s="524" t="s">
        <v>10</v>
      </c>
      <c r="B7" s="457" t="s">
        <v>11</v>
      </c>
      <c r="C7" s="484" t="s">
        <v>264</v>
      </c>
      <c r="D7" s="753">
        <v>29</v>
      </c>
      <c r="E7" s="754">
        <v>15</v>
      </c>
      <c r="F7" s="754"/>
      <c r="G7" s="317">
        <f t="shared" si="1"/>
        <v>44</v>
      </c>
      <c r="H7" s="753">
        <v>19</v>
      </c>
      <c r="I7" s="754">
        <v>9</v>
      </c>
      <c r="J7" s="754"/>
      <c r="K7" s="317">
        <f t="shared" si="2"/>
        <v>28</v>
      </c>
      <c r="L7" s="753">
        <v>4</v>
      </c>
      <c r="M7" s="754"/>
      <c r="N7" s="754"/>
      <c r="O7" s="317">
        <f t="shared" si="3"/>
        <v>4</v>
      </c>
      <c r="P7" s="755">
        <f t="shared" si="4"/>
        <v>76</v>
      </c>
      <c r="Q7" s="968">
        <f t="shared" ref="Q7:Q70" si="5">D7+H7</f>
        <v>48</v>
      </c>
      <c r="R7" s="968">
        <f t="shared" ref="R7:R70" si="6">E7+I7</f>
        <v>24</v>
      </c>
      <c r="S7" s="968">
        <f t="shared" ref="S7:S70" si="7">F7+J7</f>
        <v>0</v>
      </c>
      <c r="T7" s="755">
        <f t="shared" ref="T7:T38" si="8">G7+K7</f>
        <v>72</v>
      </c>
      <c r="W7" s="756">
        <f t="shared" ref="W7:W70" si="9">IF((D7+H7)=0,"NA",(H7/(D7+H7)))</f>
        <v>0.39583333333333331</v>
      </c>
      <c r="X7" s="757">
        <f t="shared" ref="X7:X70" si="10">IF((E7+I7)=0,"NA",(I7/(E7+I7)))</f>
        <v>0.375</v>
      </c>
      <c r="Y7" s="758" t="str">
        <f t="shared" ref="Y7:Y70" si="11">IF((F7+J7)=0,"NA",(J7/(F7+J7)))</f>
        <v>NA</v>
      </c>
      <c r="Z7" s="759">
        <f t="shared" ref="Z7:Z70" si="12">IF((G7+K7)=0,"NA",(K7/(G7+K7)))</f>
        <v>0.3888888888888889</v>
      </c>
    </row>
    <row r="8" spans="1:26" x14ac:dyDescent="0.25">
      <c r="A8" s="524" t="s">
        <v>12</v>
      </c>
      <c r="B8" s="457" t="s">
        <v>13</v>
      </c>
      <c r="C8" s="484" t="s">
        <v>265</v>
      </c>
      <c r="D8" s="753">
        <v>72</v>
      </c>
      <c r="E8" s="754">
        <v>39</v>
      </c>
      <c r="F8" s="754">
        <v>8</v>
      </c>
      <c r="G8" s="317">
        <f t="shared" si="1"/>
        <v>119</v>
      </c>
      <c r="H8" s="753">
        <v>6</v>
      </c>
      <c r="I8" s="754"/>
      <c r="J8" s="754">
        <v>2</v>
      </c>
      <c r="K8" s="317">
        <f t="shared" si="2"/>
        <v>8</v>
      </c>
      <c r="L8" s="753"/>
      <c r="M8" s="754"/>
      <c r="N8" s="754"/>
      <c r="O8" s="317">
        <f t="shared" si="3"/>
        <v>0</v>
      </c>
      <c r="P8" s="755">
        <f t="shared" si="4"/>
        <v>127</v>
      </c>
      <c r="Q8" s="968">
        <f t="shared" si="5"/>
        <v>78</v>
      </c>
      <c r="R8" s="968">
        <f t="shared" si="6"/>
        <v>39</v>
      </c>
      <c r="S8" s="968">
        <f t="shared" si="7"/>
        <v>10</v>
      </c>
      <c r="T8" s="755">
        <f t="shared" si="8"/>
        <v>127</v>
      </c>
      <c r="W8" s="756">
        <f t="shared" si="9"/>
        <v>7.6923076923076927E-2</v>
      </c>
      <c r="X8" s="757">
        <f t="shared" si="10"/>
        <v>0</v>
      </c>
      <c r="Y8" s="758">
        <f t="shared" si="11"/>
        <v>0.2</v>
      </c>
      <c r="Z8" s="759">
        <f t="shared" si="12"/>
        <v>6.2992125984251968E-2</v>
      </c>
    </row>
    <row r="9" spans="1:26" x14ac:dyDescent="0.25">
      <c r="A9" s="524" t="s">
        <v>16</v>
      </c>
      <c r="B9" s="457" t="s">
        <v>297</v>
      </c>
      <c r="C9" s="484" t="s">
        <v>265</v>
      </c>
      <c r="D9" s="753">
        <v>27</v>
      </c>
      <c r="E9" s="754">
        <v>10</v>
      </c>
      <c r="F9" s="754"/>
      <c r="G9" s="317">
        <f t="shared" si="1"/>
        <v>37</v>
      </c>
      <c r="H9" s="753">
        <v>8</v>
      </c>
      <c r="I9" s="754">
        <v>8</v>
      </c>
      <c r="J9" s="754"/>
      <c r="K9" s="317">
        <f t="shared" si="2"/>
        <v>16</v>
      </c>
      <c r="L9" s="753"/>
      <c r="M9" s="754"/>
      <c r="N9" s="754"/>
      <c r="O9" s="317">
        <f t="shared" si="3"/>
        <v>0</v>
      </c>
      <c r="P9" s="755">
        <f t="shared" si="4"/>
        <v>53</v>
      </c>
      <c r="Q9" s="968">
        <f t="shared" si="5"/>
        <v>35</v>
      </c>
      <c r="R9" s="968">
        <f t="shared" si="6"/>
        <v>18</v>
      </c>
      <c r="S9" s="968">
        <f t="shared" si="7"/>
        <v>0</v>
      </c>
      <c r="T9" s="755">
        <f t="shared" si="8"/>
        <v>53</v>
      </c>
      <c r="W9" s="756">
        <f t="shared" si="9"/>
        <v>0.22857142857142856</v>
      </c>
      <c r="X9" s="757">
        <f t="shared" si="10"/>
        <v>0.44444444444444442</v>
      </c>
      <c r="Y9" s="758" t="str">
        <f t="shared" si="11"/>
        <v>NA</v>
      </c>
      <c r="Z9" s="759">
        <f t="shared" si="12"/>
        <v>0.30188679245283018</v>
      </c>
    </row>
    <row r="10" spans="1:26" x14ac:dyDescent="0.25">
      <c r="A10" s="524" t="s">
        <v>18</v>
      </c>
      <c r="B10" s="457" t="s">
        <v>19</v>
      </c>
      <c r="C10" s="484" t="s">
        <v>266</v>
      </c>
      <c r="D10" s="753">
        <v>10</v>
      </c>
      <c r="E10" s="754">
        <v>6</v>
      </c>
      <c r="F10" s="754"/>
      <c r="G10" s="317">
        <f t="shared" si="1"/>
        <v>16</v>
      </c>
      <c r="H10" s="753"/>
      <c r="I10" s="754"/>
      <c r="J10" s="754"/>
      <c r="K10" s="317">
        <f t="shared" si="2"/>
        <v>0</v>
      </c>
      <c r="L10" s="753"/>
      <c r="M10" s="754"/>
      <c r="N10" s="754"/>
      <c r="O10" s="317">
        <f t="shared" si="3"/>
        <v>0</v>
      </c>
      <c r="P10" s="755">
        <f t="shared" si="4"/>
        <v>16</v>
      </c>
      <c r="Q10" s="968">
        <f t="shared" si="5"/>
        <v>10</v>
      </c>
      <c r="R10" s="968">
        <f t="shared" si="6"/>
        <v>6</v>
      </c>
      <c r="S10" s="968">
        <f t="shared" si="7"/>
        <v>0</v>
      </c>
      <c r="T10" s="755">
        <f t="shared" si="8"/>
        <v>16</v>
      </c>
      <c r="W10" s="756">
        <f t="shared" si="9"/>
        <v>0</v>
      </c>
      <c r="X10" s="757">
        <f t="shared" si="10"/>
        <v>0</v>
      </c>
      <c r="Y10" s="758" t="str">
        <f t="shared" si="11"/>
        <v>NA</v>
      </c>
      <c r="Z10" s="759">
        <f t="shared" si="12"/>
        <v>0</v>
      </c>
    </row>
    <row r="11" spans="1:26" x14ac:dyDescent="0.25">
      <c r="A11" s="524" t="s">
        <v>20</v>
      </c>
      <c r="B11" s="457" t="s">
        <v>21</v>
      </c>
      <c r="C11" s="484" t="s">
        <v>265</v>
      </c>
      <c r="D11" s="753">
        <v>22</v>
      </c>
      <c r="E11" s="754">
        <v>10</v>
      </c>
      <c r="F11" s="754"/>
      <c r="G11" s="317">
        <f t="shared" si="1"/>
        <v>32</v>
      </c>
      <c r="H11" s="753">
        <v>4</v>
      </c>
      <c r="I11" s="754"/>
      <c r="J11" s="754"/>
      <c r="K11" s="317">
        <f t="shared" si="2"/>
        <v>4</v>
      </c>
      <c r="L11" s="753"/>
      <c r="M11" s="754"/>
      <c r="N11" s="754"/>
      <c r="O11" s="317">
        <f t="shared" si="3"/>
        <v>0</v>
      </c>
      <c r="P11" s="755">
        <f t="shared" si="4"/>
        <v>36</v>
      </c>
      <c r="Q11" s="968">
        <f t="shared" si="5"/>
        <v>26</v>
      </c>
      <c r="R11" s="968">
        <f t="shared" si="6"/>
        <v>10</v>
      </c>
      <c r="S11" s="968">
        <f t="shared" si="7"/>
        <v>0</v>
      </c>
      <c r="T11" s="755">
        <f t="shared" si="8"/>
        <v>36</v>
      </c>
      <c r="W11" s="756">
        <f t="shared" si="9"/>
        <v>0.15384615384615385</v>
      </c>
      <c r="X11" s="757">
        <f t="shared" si="10"/>
        <v>0</v>
      </c>
      <c r="Y11" s="758" t="str">
        <f t="shared" si="11"/>
        <v>NA</v>
      </c>
      <c r="Z11" s="759">
        <f t="shared" si="12"/>
        <v>0.1111111111111111</v>
      </c>
    </row>
    <row r="12" spans="1:26" x14ac:dyDescent="0.25">
      <c r="A12" s="524" t="s">
        <v>22</v>
      </c>
      <c r="B12" s="457" t="s">
        <v>23</v>
      </c>
      <c r="C12" s="484" t="s">
        <v>265</v>
      </c>
      <c r="D12" s="753">
        <v>13</v>
      </c>
      <c r="E12" s="754">
        <v>7</v>
      </c>
      <c r="F12" s="754"/>
      <c r="G12" s="317">
        <f t="shared" si="1"/>
        <v>20</v>
      </c>
      <c r="H12" s="753">
        <v>1</v>
      </c>
      <c r="I12" s="754">
        <v>1</v>
      </c>
      <c r="J12" s="754"/>
      <c r="K12" s="317">
        <f t="shared" si="2"/>
        <v>2</v>
      </c>
      <c r="L12" s="753"/>
      <c r="M12" s="754"/>
      <c r="N12" s="754"/>
      <c r="O12" s="317">
        <f t="shared" si="3"/>
        <v>0</v>
      </c>
      <c r="P12" s="755">
        <f t="shared" si="4"/>
        <v>22</v>
      </c>
      <c r="Q12" s="968">
        <f t="shared" si="5"/>
        <v>14</v>
      </c>
      <c r="R12" s="968">
        <f t="shared" si="6"/>
        <v>8</v>
      </c>
      <c r="S12" s="968">
        <f t="shared" si="7"/>
        <v>0</v>
      </c>
      <c r="T12" s="755">
        <f t="shared" si="8"/>
        <v>22</v>
      </c>
      <c r="W12" s="756">
        <f t="shared" si="9"/>
        <v>7.1428571428571425E-2</v>
      </c>
      <c r="X12" s="757">
        <f t="shared" si="10"/>
        <v>0.125</v>
      </c>
      <c r="Y12" s="758" t="str">
        <f t="shared" si="11"/>
        <v>NA</v>
      </c>
      <c r="Z12" s="759">
        <f t="shared" si="12"/>
        <v>9.0909090909090912E-2</v>
      </c>
    </row>
    <row r="13" spans="1:26" x14ac:dyDescent="0.25">
      <c r="A13" s="524" t="s">
        <v>24</v>
      </c>
      <c r="B13" s="457" t="s">
        <v>25</v>
      </c>
      <c r="C13" s="484" t="s">
        <v>267</v>
      </c>
      <c r="D13" s="753">
        <v>104</v>
      </c>
      <c r="E13" s="754">
        <v>54</v>
      </c>
      <c r="F13" s="754">
        <v>3</v>
      </c>
      <c r="G13" s="317">
        <f t="shared" si="1"/>
        <v>161</v>
      </c>
      <c r="H13" s="753">
        <v>10</v>
      </c>
      <c r="I13" s="754">
        <v>5</v>
      </c>
      <c r="J13" s="754"/>
      <c r="K13" s="317">
        <f t="shared" si="2"/>
        <v>15</v>
      </c>
      <c r="L13" s="753"/>
      <c r="M13" s="754"/>
      <c r="N13" s="754"/>
      <c r="O13" s="317">
        <f t="shared" si="3"/>
        <v>0</v>
      </c>
      <c r="P13" s="755">
        <f t="shared" si="4"/>
        <v>176</v>
      </c>
      <c r="Q13" s="968">
        <f t="shared" si="5"/>
        <v>114</v>
      </c>
      <c r="R13" s="968">
        <f t="shared" si="6"/>
        <v>59</v>
      </c>
      <c r="S13" s="968">
        <f t="shared" si="7"/>
        <v>3</v>
      </c>
      <c r="T13" s="755">
        <f t="shared" si="8"/>
        <v>176</v>
      </c>
      <c r="W13" s="756">
        <f t="shared" si="9"/>
        <v>8.771929824561403E-2</v>
      </c>
      <c r="X13" s="757">
        <f t="shared" si="10"/>
        <v>8.4745762711864403E-2</v>
      </c>
      <c r="Y13" s="758">
        <f t="shared" si="11"/>
        <v>0</v>
      </c>
      <c r="Z13" s="759">
        <f t="shared" si="12"/>
        <v>8.5227272727272721E-2</v>
      </c>
    </row>
    <row r="14" spans="1:26" x14ac:dyDescent="0.25">
      <c r="A14" s="524" t="s">
        <v>26</v>
      </c>
      <c r="B14" s="457" t="s">
        <v>298</v>
      </c>
      <c r="C14" s="484" t="s">
        <v>265</v>
      </c>
      <c r="D14" s="753">
        <v>106</v>
      </c>
      <c r="E14" s="754">
        <v>45</v>
      </c>
      <c r="F14" s="754">
        <v>1</v>
      </c>
      <c r="G14" s="317">
        <f t="shared" si="1"/>
        <v>152</v>
      </c>
      <c r="H14" s="753">
        <v>7</v>
      </c>
      <c r="I14" s="754">
        <v>10</v>
      </c>
      <c r="J14" s="754">
        <v>1</v>
      </c>
      <c r="K14" s="317">
        <f t="shared" si="2"/>
        <v>18</v>
      </c>
      <c r="L14" s="753"/>
      <c r="M14" s="754"/>
      <c r="N14" s="754"/>
      <c r="O14" s="317">
        <f t="shared" si="3"/>
        <v>0</v>
      </c>
      <c r="P14" s="755">
        <f t="shared" si="4"/>
        <v>170</v>
      </c>
      <c r="Q14" s="968">
        <f t="shared" si="5"/>
        <v>113</v>
      </c>
      <c r="R14" s="968">
        <f t="shared" si="6"/>
        <v>55</v>
      </c>
      <c r="S14" s="968">
        <f t="shared" si="7"/>
        <v>2</v>
      </c>
      <c r="T14" s="755">
        <f t="shared" si="8"/>
        <v>170</v>
      </c>
      <c r="W14" s="756">
        <f t="shared" si="9"/>
        <v>6.1946902654867256E-2</v>
      </c>
      <c r="X14" s="757">
        <f t="shared" si="10"/>
        <v>0.18181818181818182</v>
      </c>
      <c r="Y14" s="758">
        <f t="shared" si="11"/>
        <v>0.5</v>
      </c>
      <c r="Z14" s="759">
        <f t="shared" si="12"/>
        <v>0.10588235294117647</v>
      </c>
    </row>
    <row r="15" spans="1:26" x14ac:dyDescent="0.25">
      <c r="A15" s="524" t="s">
        <v>27</v>
      </c>
      <c r="B15" s="457" t="s">
        <v>28</v>
      </c>
      <c r="C15" s="484" t="s">
        <v>265</v>
      </c>
      <c r="D15" s="753">
        <v>4</v>
      </c>
      <c r="E15" s="754">
        <v>4</v>
      </c>
      <c r="F15" s="754"/>
      <c r="G15" s="317">
        <f t="shared" si="1"/>
        <v>8</v>
      </c>
      <c r="H15" s="753"/>
      <c r="I15" s="754"/>
      <c r="J15" s="754"/>
      <c r="K15" s="317">
        <f t="shared" si="2"/>
        <v>0</v>
      </c>
      <c r="L15" s="753"/>
      <c r="M15" s="754"/>
      <c r="N15" s="754"/>
      <c r="O15" s="317">
        <f t="shared" si="3"/>
        <v>0</v>
      </c>
      <c r="P15" s="755">
        <f t="shared" si="4"/>
        <v>8</v>
      </c>
      <c r="Q15" s="968">
        <f t="shared" si="5"/>
        <v>4</v>
      </c>
      <c r="R15" s="968">
        <f t="shared" si="6"/>
        <v>4</v>
      </c>
      <c r="S15" s="968">
        <f t="shared" si="7"/>
        <v>0</v>
      </c>
      <c r="T15" s="755">
        <f t="shared" si="8"/>
        <v>8</v>
      </c>
      <c r="W15" s="756">
        <f t="shared" si="9"/>
        <v>0</v>
      </c>
      <c r="X15" s="757">
        <f t="shared" si="10"/>
        <v>0</v>
      </c>
      <c r="Y15" s="758" t="str">
        <f t="shared" si="11"/>
        <v>NA</v>
      </c>
      <c r="Z15" s="759">
        <f t="shared" si="12"/>
        <v>0</v>
      </c>
    </row>
    <row r="16" spans="1:26" x14ac:dyDescent="0.25">
      <c r="A16" s="524" t="s">
        <v>29</v>
      </c>
      <c r="B16" s="457" t="s">
        <v>941</v>
      </c>
      <c r="C16" s="484" t="s">
        <v>265</v>
      </c>
      <c r="D16" s="753">
        <v>56</v>
      </c>
      <c r="E16" s="754">
        <v>24</v>
      </c>
      <c r="F16" s="754">
        <v>5</v>
      </c>
      <c r="G16" s="317">
        <f t="shared" si="1"/>
        <v>85</v>
      </c>
      <c r="H16" s="753">
        <v>6</v>
      </c>
      <c r="I16" s="754"/>
      <c r="J16" s="754"/>
      <c r="K16" s="317">
        <f t="shared" si="2"/>
        <v>6</v>
      </c>
      <c r="L16" s="753"/>
      <c r="M16" s="754"/>
      <c r="N16" s="754"/>
      <c r="O16" s="317">
        <f t="shared" si="3"/>
        <v>0</v>
      </c>
      <c r="P16" s="755">
        <f t="shared" si="4"/>
        <v>91</v>
      </c>
      <c r="Q16" s="968">
        <f t="shared" si="5"/>
        <v>62</v>
      </c>
      <c r="R16" s="968">
        <f t="shared" si="6"/>
        <v>24</v>
      </c>
      <c r="S16" s="968">
        <f t="shared" si="7"/>
        <v>5</v>
      </c>
      <c r="T16" s="755">
        <f t="shared" si="8"/>
        <v>91</v>
      </c>
      <c r="W16" s="756">
        <f t="shared" si="9"/>
        <v>9.6774193548387094E-2</v>
      </c>
      <c r="X16" s="757">
        <f t="shared" si="10"/>
        <v>0</v>
      </c>
      <c r="Y16" s="758">
        <f t="shared" si="11"/>
        <v>0</v>
      </c>
      <c r="Z16" s="759">
        <f t="shared" si="12"/>
        <v>6.5934065934065936E-2</v>
      </c>
    </row>
    <row r="17" spans="1:26" x14ac:dyDescent="0.25">
      <c r="A17" s="524" t="s">
        <v>30</v>
      </c>
      <c r="B17" s="457" t="s">
        <v>31</v>
      </c>
      <c r="C17" s="484" t="s">
        <v>268</v>
      </c>
      <c r="D17" s="753">
        <v>7</v>
      </c>
      <c r="E17" s="754">
        <v>5</v>
      </c>
      <c r="F17" s="754"/>
      <c r="G17" s="317">
        <f t="shared" si="1"/>
        <v>12</v>
      </c>
      <c r="H17" s="753">
        <v>1</v>
      </c>
      <c r="I17" s="754">
        <v>1</v>
      </c>
      <c r="J17" s="754"/>
      <c r="K17" s="317">
        <f t="shared" si="2"/>
        <v>2</v>
      </c>
      <c r="L17" s="753">
        <v>1</v>
      </c>
      <c r="M17" s="754"/>
      <c r="N17" s="754"/>
      <c r="O17" s="317">
        <f t="shared" si="3"/>
        <v>1</v>
      </c>
      <c r="P17" s="755">
        <f t="shared" si="4"/>
        <v>15</v>
      </c>
      <c r="Q17" s="968">
        <f t="shared" si="5"/>
        <v>8</v>
      </c>
      <c r="R17" s="968">
        <f t="shared" si="6"/>
        <v>6</v>
      </c>
      <c r="S17" s="968">
        <f t="shared" si="7"/>
        <v>0</v>
      </c>
      <c r="T17" s="755">
        <f t="shared" si="8"/>
        <v>14</v>
      </c>
      <c r="W17" s="756">
        <f t="shared" si="9"/>
        <v>0.125</v>
      </c>
      <c r="X17" s="757">
        <f t="shared" si="10"/>
        <v>0.16666666666666666</v>
      </c>
      <c r="Y17" s="758" t="str">
        <f t="shared" si="11"/>
        <v>NA</v>
      </c>
      <c r="Z17" s="759">
        <f t="shared" si="12"/>
        <v>0.14285714285714285</v>
      </c>
    </row>
    <row r="18" spans="1:26" x14ac:dyDescent="0.25">
      <c r="A18" s="524" t="s">
        <v>32</v>
      </c>
      <c r="B18" s="457" t="s">
        <v>33</v>
      </c>
      <c r="C18" s="484" t="s">
        <v>265</v>
      </c>
      <c r="D18" s="753">
        <v>14</v>
      </c>
      <c r="E18" s="754">
        <v>7</v>
      </c>
      <c r="F18" s="754"/>
      <c r="G18" s="317">
        <f t="shared" si="1"/>
        <v>21</v>
      </c>
      <c r="H18" s="753">
        <v>3</v>
      </c>
      <c r="I18" s="754"/>
      <c r="J18" s="754"/>
      <c r="K18" s="317">
        <f t="shared" si="2"/>
        <v>3</v>
      </c>
      <c r="L18" s="753"/>
      <c r="M18" s="754"/>
      <c r="N18" s="754"/>
      <c r="O18" s="317">
        <f t="shared" si="3"/>
        <v>0</v>
      </c>
      <c r="P18" s="755">
        <f t="shared" si="4"/>
        <v>24</v>
      </c>
      <c r="Q18" s="968">
        <f t="shared" si="5"/>
        <v>17</v>
      </c>
      <c r="R18" s="968">
        <f t="shared" si="6"/>
        <v>7</v>
      </c>
      <c r="S18" s="968">
        <f t="shared" si="7"/>
        <v>0</v>
      </c>
      <c r="T18" s="755">
        <f t="shared" si="8"/>
        <v>24</v>
      </c>
      <c r="W18" s="756">
        <f t="shared" si="9"/>
        <v>0.17647058823529413</v>
      </c>
      <c r="X18" s="757">
        <f t="shared" si="10"/>
        <v>0</v>
      </c>
      <c r="Y18" s="758" t="str">
        <f t="shared" si="11"/>
        <v>NA</v>
      </c>
      <c r="Z18" s="759">
        <f t="shared" si="12"/>
        <v>0.125</v>
      </c>
    </row>
    <row r="19" spans="1:26" x14ac:dyDescent="0.25">
      <c r="A19" s="524" t="s">
        <v>36</v>
      </c>
      <c r="B19" s="457" t="s">
        <v>37</v>
      </c>
      <c r="C19" s="484" t="s">
        <v>264</v>
      </c>
      <c r="D19" s="753">
        <v>15</v>
      </c>
      <c r="E19" s="754">
        <v>12</v>
      </c>
      <c r="F19" s="754"/>
      <c r="G19" s="317">
        <f t="shared" si="1"/>
        <v>27</v>
      </c>
      <c r="H19" s="753">
        <v>6</v>
      </c>
      <c r="I19" s="754"/>
      <c r="J19" s="754"/>
      <c r="K19" s="317">
        <f t="shared" si="2"/>
        <v>6</v>
      </c>
      <c r="L19" s="753">
        <v>1</v>
      </c>
      <c r="M19" s="754"/>
      <c r="N19" s="754"/>
      <c r="O19" s="317">
        <f t="shared" si="3"/>
        <v>1</v>
      </c>
      <c r="P19" s="755">
        <f t="shared" si="4"/>
        <v>34</v>
      </c>
      <c r="Q19" s="968">
        <f t="shared" si="5"/>
        <v>21</v>
      </c>
      <c r="R19" s="968">
        <f t="shared" si="6"/>
        <v>12</v>
      </c>
      <c r="S19" s="968">
        <f t="shared" si="7"/>
        <v>0</v>
      </c>
      <c r="T19" s="755">
        <f t="shared" si="8"/>
        <v>33</v>
      </c>
      <c r="W19" s="756">
        <f t="shared" si="9"/>
        <v>0.2857142857142857</v>
      </c>
      <c r="X19" s="757">
        <f t="shared" si="10"/>
        <v>0</v>
      </c>
      <c r="Y19" s="758" t="str">
        <f t="shared" si="11"/>
        <v>NA</v>
      </c>
      <c r="Z19" s="759">
        <f t="shared" si="12"/>
        <v>0.18181818181818182</v>
      </c>
    </row>
    <row r="20" spans="1:26" x14ac:dyDescent="0.25">
      <c r="A20" s="524" t="s">
        <v>38</v>
      </c>
      <c r="B20" s="457" t="s">
        <v>39</v>
      </c>
      <c r="C20" s="484" t="s">
        <v>268</v>
      </c>
      <c r="D20" s="753">
        <v>34</v>
      </c>
      <c r="E20" s="754">
        <v>14</v>
      </c>
      <c r="F20" s="754"/>
      <c r="G20" s="317">
        <f t="shared" si="1"/>
        <v>48</v>
      </c>
      <c r="H20" s="753">
        <v>13</v>
      </c>
      <c r="I20" s="754">
        <v>8</v>
      </c>
      <c r="J20" s="754"/>
      <c r="K20" s="317">
        <f t="shared" si="2"/>
        <v>21</v>
      </c>
      <c r="L20" s="753"/>
      <c r="M20" s="754"/>
      <c r="N20" s="754"/>
      <c r="O20" s="317">
        <f t="shared" si="3"/>
        <v>0</v>
      </c>
      <c r="P20" s="755">
        <f t="shared" si="4"/>
        <v>69</v>
      </c>
      <c r="Q20" s="968">
        <f t="shared" si="5"/>
        <v>47</v>
      </c>
      <c r="R20" s="968">
        <f t="shared" si="6"/>
        <v>22</v>
      </c>
      <c r="S20" s="968">
        <f t="shared" si="7"/>
        <v>0</v>
      </c>
      <c r="T20" s="755">
        <f t="shared" si="8"/>
        <v>69</v>
      </c>
      <c r="W20" s="756">
        <f t="shared" si="9"/>
        <v>0.27659574468085107</v>
      </c>
      <c r="X20" s="757">
        <f t="shared" si="10"/>
        <v>0.36363636363636365</v>
      </c>
      <c r="Y20" s="758" t="str">
        <f t="shared" si="11"/>
        <v>NA</v>
      </c>
      <c r="Z20" s="759">
        <f t="shared" si="12"/>
        <v>0.30434782608695654</v>
      </c>
    </row>
    <row r="21" spans="1:26" x14ac:dyDescent="0.25">
      <c r="A21" s="524" t="s">
        <v>40</v>
      </c>
      <c r="B21" s="457" t="s">
        <v>41</v>
      </c>
      <c r="C21" s="484" t="s">
        <v>266</v>
      </c>
      <c r="D21" s="753">
        <v>14</v>
      </c>
      <c r="E21" s="754">
        <v>7</v>
      </c>
      <c r="F21" s="754"/>
      <c r="G21" s="317">
        <f t="shared" si="1"/>
        <v>21</v>
      </c>
      <c r="H21" s="753">
        <v>9</v>
      </c>
      <c r="I21" s="754">
        <v>2</v>
      </c>
      <c r="J21" s="754"/>
      <c r="K21" s="317">
        <f t="shared" si="2"/>
        <v>11</v>
      </c>
      <c r="L21" s="753"/>
      <c r="M21" s="754"/>
      <c r="N21" s="754"/>
      <c r="O21" s="317">
        <f t="shared" si="3"/>
        <v>0</v>
      </c>
      <c r="P21" s="755">
        <f t="shared" si="4"/>
        <v>32</v>
      </c>
      <c r="Q21" s="968">
        <f t="shared" si="5"/>
        <v>23</v>
      </c>
      <c r="R21" s="968">
        <f t="shared" si="6"/>
        <v>9</v>
      </c>
      <c r="S21" s="968">
        <f t="shared" si="7"/>
        <v>0</v>
      </c>
      <c r="T21" s="755">
        <f t="shared" si="8"/>
        <v>32</v>
      </c>
      <c r="W21" s="756">
        <f t="shared" si="9"/>
        <v>0.39130434782608697</v>
      </c>
      <c r="X21" s="757">
        <f t="shared" si="10"/>
        <v>0.22222222222222221</v>
      </c>
      <c r="Y21" s="758" t="str">
        <f t="shared" si="11"/>
        <v>NA</v>
      </c>
      <c r="Z21" s="759">
        <f t="shared" si="12"/>
        <v>0.34375</v>
      </c>
    </row>
    <row r="22" spans="1:26" x14ac:dyDescent="0.25">
      <c r="A22" s="524" t="s">
        <v>42</v>
      </c>
      <c r="B22" s="457" t="s">
        <v>43</v>
      </c>
      <c r="C22" s="484" t="s">
        <v>265</v>
      </c>
      <c r="D22" s="753">
        <v>46</v>
      </c>
      <c r="E22" s="754">
        <v>24</v>
      </c>
      <c r="F22" s="754">
        <v>2</v>
      </c>
      <c r="G22" s="317">
        <f t="shared" si="1"/>
        <v>72</v>
      </c>
      <c r="H22" s="753">
        <v>10</v>
      </c>
      <c r="I22" s="754">
        <v>5</v>
      </c>
      <c r="J22" s="754">
        <v>1</v>
      </c>
      <c r="K22" s="317">
        <f t="shared" si="2"/>
        <v>16</v>
      </c>
      <c r="L22" s="753">
        <v>2</v>
      </c>
      <c r="M22" s="754"/>
      <c r="N22" s="754"/>
      <c r="O22" s="317">
        <f t="shared" si="3"/>
        <v>2</v>
      </c>
      <c r="P22" s="755">
        <f t="shared" si="4"/>
        <v>90</v>
      </c>
      <c r="Q22" s="968">
        <f t="shared" si="5"/>
        <v>56</v>
      </c>
      <c r="R22" s="968">
        <f t="shared" si="6"/>
        <v>29</v>
      </c>
      <c r="S22" s="968">
        <f t="shared" si="7"/>
        <v>3</v>
      </c>
      <c r="T22" s="755">
        <f t="shared" si="8"/>
        <v>88</v>
      </c>
      <c r="W22" s="756">
        <f t="shared" si="9"/>
        <v>0.17857142857142858</v>
      </c>
      <c r="X22" s="757">
        <f t="shared" si="10"/>
        <v>0.17241379310344829</v>
      </c>
      <c r="Y22" s="758">
        <f t="shared" si="11"/>
        <v>0.33333333333333331</v>
      </c>
      <c r="Z22" s="759">
        <f t="shared" si="12"/>
        <v>0.18181818181818182</v>
      </c>
    </row>
    <row r="23" spans="1:26" x14ac:dyDescent="0.25">
      <c r="A23" s="524" t="s">
        <v>44</v>
      </c>
      <c r="B23" s="457" t="s">
        <v>45</v>
      </c>
      <c r="C23" s="484" t="s">
        <v>266</v>
      </c>
      <c r="D23" s="753">
        <v>21</v>
      </c>
      <c r="E23" s="754">
        <v>9</v>
      </c>
      <c r="F23" s="754"/>
      <c r="G23" s="317">
        <f t="shared" si="1"/>
        <v>30</v>
      </c>
      <c r="H23" s="753">
        <v>5</v>
      </c>
      <c r="I23" s="754">
        <v>3</v>
      </c>
      <c r="J23" s="754"/>
      <c r="K23" s="317">
        <f t="shared" si="2"/>
        <v>8</v>
      </c>
      <c r="L23" s="753"/>
      <c r="M23" s="754"/>
      <c r="N23" s="754"/>
      <c r="O23" s="317">
        <f t="shared" si="3"/>
        <v>0</v>
      </c>
      <c r="P23" s="755">
        <f t="shared" si="4"/>
        <v>38</v>
      </c>
      <c r="Q23" s="968">
        <f t="shared" si="5"/>
        <v>26</v>
      </c>
      <c r="R23" s="968">
        <f t="shared" si="6"/>
        <v>12</v>
      </c>
      <c r="S23" s="968">
        <f t="shared" si="7"/>
        <v>0</v>
      </c>
      <c r="T23" s="755">
        <f t="shared" si="8"/>
        <v>38</v>
      </c>
      <c r="W23" s="756">
        <f t="shared" si="9"/>
        <v>0.19230769230769232</v>
      </c>
      <c r="X23" s="757">
        <f t="shared" si="10"/>
        <v>0.25</v>
      </c>
      <c r="Y23" s="758" t="str">
        <f t="shared" si="11"/>
        <v>NA</v>
      </c>
      <c r="Z23" s="759">
        <f t="shared" si="12"/>
        <v>0.21052631578947367</v>
      </c>
    </row>
    <row r="24" spans="1:26" x14ac:dyDescent="0.25">
      <c r="A24" s="524" t="s">
        <v>46</v>
      </c>
      <c r="B24" s="457" t="s">
        <v>47</v>
      </c>
      <c r="C24" s="484" t="s">
        <v>268</v>
      </c>
      <c r="D24" s="753">
        <v>24</v>
      </c>
      <c r="E24" s="754">
        <v>13</v>
      </c>
      <c r="F24" s="754"/>
      <c r="G24" s="317">
        <f t="shared" si="1"/>
        <v>37</v>
      </c>
      <c r="H24" s="753">
        <v>5</v>
      </c>
      <c r="I24" s="754">
        <v>2</v>
      </c>
      <c r="J24" s="754">
        <v>1</v>
      </c>
      <c r="K24" s="317">
        <f t="shared" si="2"/>
        <v>8</v>
      </c>
      <c r="L24" s="753"/>
      <c r="M24" s="754"/>
      <c r="N24" s="754"/>
      <c r="O24" s="317">
        <f t="shared" si="3"/>
        <v>0</v>
      </c>
      <c r="P24" s="755">
        <f t="shared" si="4"/>
        <v>45</v>
      </c>
      <c r="Q24" s="968">
        <f t="shared" si="5"/>
        <v>29</v>
      </c>
      <c r="R24" s="968">
        <f t="shared" si="6"/>
        <v>15</v>
      </c>
      <c r="S24" s="968">
        <f t="shared" si="7"/>
        <v>1</v>
      </c>
      <c r="T24" s="755">
        <f t="shared" si="8"/>
        <v>45</v>
      </c>
      <c r="W24" s="756">
        <f t="shared" si="9"/>
        <v>0.17241379310344829</v>
      </c>
      <c r="X24" s="757">
        <f t="shared" si="10"/>
        <v>0.13333333333333333</v>
      </c>
      <c r="Y24" s="758">
        <f t="shared" si="11"/>
        <v>1</v>
      </c>
      <c r="Z24" s="759">
        <f t="shared" si="12"/>
        <v>0.17777777777777778</v>
      </c>
    </row>
    <row r="25" spans="1:26" x14ac:dyDescent="0.25">
      <c r="A25" s="524" t="s">
        <v>48</v>
      </c>
      <c r="B25" s="457" t="s">
        <v>269</v>
      </c>
      <c r="C25" s="484" t="s">
        <v>266</v>
      </c>
      <c r="D25" s="753">
        <v>4</v>
      </c>
      <c r="E25" s="754">
        <v>6</v>
      </c>
      <c r="F25" s="754"/>
      <c r="G25" s="317">
        <f t="shared" si="1"/>
        <v>10</v>
      </c>
      <c r="H25" s="753">
        <v>8</v>
      </c>
      <c r="I25" s="754">
        <v>1</v>
      </c>
      <c r="J25" s="754"/>
      <c r="K25" s="317">
        <f t="shared" si="2"/>
        <v>9</v>
      </c>
      <c r="L25" s="753"/>
      <c r="M25" s="754"/>
      <c r="N25" s="754"/>
      <c r="O25" s="317">
        <f t="shared" si="3"/>
        <v>0</v>
      </c>
      <c r="P25" s="755">
        <f t="shared" si="4"/>
        <v>19</v>
      </c>
      <c r="Q25" s="968">
        <f t="shared" si="5"/>
        <v>12</v>
      </c>
      <c r="R25" s="968">
        <f t="shared" si="6"/>
        <v>7</v>
      </c>
      <c r="S25" s="968">
        <f t="shared" si="7"/>
        <v>0</v>
      </c>
      <c r="T25" s="755">
        <f t="shared" si="8"/>
        <v>19</v>
      </c>
      <c r="W25" s="756">
        <f t="shared" si="9"/>
        <v>0.66666666666666663</v>
      </c>
      <c r="X25" s="757">
        <f t="shared" si="10"/>
        <v>0.14285714285714285</v>
      </c>
      <c r="Y25" s="758" t="str">
        <f t="shared" si="11"/>
        <v>NA</v>
      </c>
      <c r="Z25" s="759">
        <f t="shared" si="12"/>
        <v>0.47368421052631576</v>
      </c>
    </row>
    <row r="26" spans="1:26" x14ac:dyDescent="0.25">
      <c r="A26" s="524" t="s">
        <v>50</v>
      </c>
      <c r="B26" s="457" t="s">
        <v>51</v>
      </c>
      <c r="C26" s="484" t="s">
        <v>265</v>
      </c>
      <c r="D26" s="753">
        <v>18</v>
      </c>
      <c r="E26" s="754">
        <v>5</v>
      </c>
      <c r="F26" s="754"/>
      <c r="G26" s="317">
        <f t="shared" si="1"/>
        <v>23</v>
      </c>
      <c r="H26" s="753">
        <v>7</v>
      </c>
      <c r="I26" s="754">
        <v>3</v>
      </c>
      <c r="J26" s="754">
        <v>1</v>
      </c>
      <c r="K26" s="317">
        <f t="shared" si="2"/>
        <v>11</v>
      </c>
      <c r="L26" s="753"/>
      <c r="M26" s="754"/>
      <c r="N26" s="754"/>
      <c r="O26" s="317">
        <f t="shared" si="3"/>
        <v>0</v>
      </c>
      <c r="P26" s="755">
        <f t="shared" si="4"/>
        <v>34</v>
      </c>
      <c r="Q26" s="968">
        <f t="shared" si="5"/>
        <v>25</v>
      </c>
      <c r="R26" s="968">
        <f t="shared" si="6"/>
        <v>8</v>
      </c>
      <c r="S26" s="968">
        <f t="shared" si="7"/>
        <v>1</v>
      </c>
      <c r="T26" s="755">
        <f t="shared" si="8"/>
        <v>34</v>
      </c>
      <c r="W26" s="756">
        <f t="shared" si="9"/>
        <v>0.28000000000000003</v>
      </c>
      <c r="X26" s="757">
        <f t="shared" si="10"/>
        <v>0.375</v>
      </c>
      <c r="Y26" s="758">
        <f t="shared" si="11"/>
        <v>1</v>
      </c>
      <c r="Z26" s="759">
        <f t="shared" si="12"/>
        <v>0.3235294117647059</v>
      </c>
    </row>
    <row r="27" spans="1:26" x14ac:dyDescent="0.25">
      <c r="A27" s="524" t="s">
        <v>56</v>
      </c>
      <c r="B27" s="457" t="s">
        <v>295</v>
      </c>
      <c r="C27" s="484" t="s">
        <v>266</v>
      </c>
      <c r="D27" s="753">
        <v>117</v>
      </c>
      <c r="E27" s="754">
        <v>66</v>
      </c>
      <c r="F27" s="754">
        <v>6</v>
      </c>
      <c r="G27" s="317">
        <f t="shared" si="1"/>
        <v>189</v>
      </c>
      <c r="H27" s="753">
        <v>15</v>
      </c>
      <c r="I27" s="754">
        <v>9</v>
      </c>
      <c r="J27" s="754">
        <v>5</v>
      </c>
      <c r="K27" s="317">
        <f t="shared" si="2"/>
        <v>29</v>
      </c>
      <c r="L27" s="753">
        <v>2</v>
      </c>
      <c r="M27" s="754"/>
      <c r="N27" s="754"/>
      <c r="O27" s="317">
        <f t="shared" si="3"/>
        <v>2</v>
      </c>
      <c r="P27" s="755">
        <f t="shared" si="4"/>
        <v>220</v>
      </c>
      <c r="Q27" s="968">
        <f t="shared" si="5"/>
        <v>132</v>
      </c>
      <c r="R27" s="968">
        <f t="shared" si="6"/>
        <v>75</v>
      </c>
      <c r="S27" s="968">
        <f t="shared" si="7"/>
        <v>11</v>
      </c>
      <c r="T27" s="755">
        <f t="shared" si="8"/>
        <v>218</v>
      </c>
      <c r="W27" s="756">
        <f t="shared" si="9"/>
        <v>0.11363636363636363</v>
      </c>
      <c r="X27" s="757">
        <f t="shared" si="10"/>
        <v>0.12</v>
      </c>
      <c r="Y27" s="758">
        <f t="shared" si="11"/>
        <v>0.45454545454545453</v>
      </c>
      <c r="Z27" s="759">
        <f t="shared" si="12"/>
        <v>0.13302752293577982</v>
      </c>
    </row>
    <row r="28" spans="1:26" x14ac:dyDescent="0.25">
      <c r="A28" s="524" t="s">
        <v>58</v>
      </c>
      <c r="B28" s="457" t="s">
        <v>59</v>
      </c>
      <c r="C28" s="484" t="s">
        <v>267</v>
      </c>
      <c r="D28" s="753">
        <v>9</v>
      </c>
      <c r="E28" s="754">
        <v>6</v>
      </c>
      <c r="F28" s="754"/>
      <c r="G28" s="317">
        <f t="shared" si="1"/>
        <v>15</v>
      </c>
      <c r="H28" s="753">
        <v>5</v>
      </c>
      <c r="I28" s="754">
        <v>1</v>
      </c>
      <c r="J28" s="754"/>
      <c r="K28" s="317">
        <f t="shared" si="2"/>
        <v>6</v>
      </c>
      <c r="L28" s="753">
        <v>1</v>
      </c>
      <c r="M28" s="754">
        <v>1</v>
      </c>
      <c r="N28" s="754"/>
      <c r="O28" s="317">
        <f t="shared" si="3"/>
        <v>2</v>
      </c>
      <c r="P28" s="755">
        <f t="shared" si="4"/>
        <v>23</v>
      </c>
      <c r="Q28" s="968">
        <f t="shared" si="5"/>
        <v>14</v>
      </c>
      <c r="R28" s="968">
        <f t="shared" si="6"/>
        <v>7</v>
      </c>
      <c r="S28" s="968">
        <f t="shared" si="7"/>
        <v>0</v>
      </c>
      <c r="T28" s="755">
        <f t="shared" si="8"/>
        <v>21</v>
      </c>
      <c r="W28" s="756">
        <f t="shared" si="9"/>
        <v>0.35714285714285715</v>
      </c>
      <c r="X28" s="757">
        <f t="shared" si="10"/>
        <v>0.14285714285714285</v>
      </c>
      <c r="Y28" s="758" t="str">
        <f t="shared" si="11"/>
        <v>NA</v>
      </c>
      <c r="Z28" s="759">
        <f t="shared" si="12"/>
        <v>0.2857142857142857</v>
      </c>
    </row>
    <row r="29" spans="1:26" x14ac:dyDescent="0.25">
      <c r="A29" s="524" t="s">
        <v>60</v>
      </c>
      <c r="B29" s="457" t="s">
        <v>61</v>
      </c>
      <c r="C29" s="484" t="s">
        <v>265</v>
      </c>
      <c r="D29" s="753">
        <v>6</v>
      </c>
      <c r="E29" s="754">
        <v>5</v>
      </c>
      <c r="F29" s="754"/>
      <c r="G29" s="317">
        <f t="shared" si="1"/>
        <v>11</v>
      </c>
      <c r="H29" s="753">
        <v>2</v>
      </c>
      <c r="I29" s="754"/>
      <c r="J29" s="754"/>
      <c r="K29" s="317">
        <f t="shared" si="2"/>
        <v>2</v>
      </c>
      <c r="L29" s="753"/>
      <c r="M29" s="754"/>
      <c r="N29" s="754"/>
      <c r="O29" s="317">
        <f t="shared" si="3"/>
        <v>0</v>
      </c>
      <c r="P29" s="755">
        <f t="shared" si="4"/>
        <v>13</v>
      </c>
      <c r="Q29" s="968">
        <f t="shared" si="5"/>
        <v>8</v>
      </c>
      <c r="R29" s="968">
        <f t="shared" si="6"/>
        <v>5</v>
      </c>
      <c r="S29" s="968">
        <f t="shared" si="7"/>
        <v>0</v>
      </c>
      <c r="T29" s="755">
        <f t="shared" si="8"/>
        <v>13</v>
      </c>
      <c r="W29" s="756">
        <f t="shared" si="9"/>
        <v>0.25</v>
      </c>
      <c r="X29" s="757">
        <f t="shared" si="10"/>
        <v>0</v>
      </c>
      <c r="Y29" s="758" t="str">
        <f t="shared" si="11"/>
        <v>NA</v>
      </c>
      <c r="Z29" s="759">
        <f t="shared" si="12"/>
        <v>0.15384615384615385</v>
      </c>
    </row>
    <row r="30" spans="1:26" x14ac:dyDescent="0.25">
      <c r="A30" s="524" t="s">
        <v>62</v>
      </c>
      <c r="B30" s="457" t="s">
        <v>63</v>
      </c>
      <c r="C30" s="484" t="s">
        <v>267</v>
      </c>
      <c r="D30" s="753">
        <v>34</v>
      </c>
      <c r="E30" s="754">
        <v>22</v>
      </c>
      <c r="F30" s="754"/>
      <c r="G30" s="317">
        <f t="shared" si="1"/>
        <v>56</v>
      </c>
      <c r="H30" s="753">
        <v>3</v>
      </c>
      <c r="I30" s="754">
        <v>4</v>
      </c>
      <c r="J30" s="754"/>
      <c r="K30" s="317">
        <f t="shared" si="2"/>
        <v>7</v>
      </c>
      <c r="L30" s="753"/>
      <c r="M30" s="754"/>
      <c r="N30" s="754"/>
      <c r="O30" s="317">
        <f t="shared" si="3"/>
        <v>0</v>
      </c>
      <c r="P30" s="755">
        <f t="shared" si="4"/>
        <v>63</v>
      </c>
      <c r="Q30" s="968">
        <f t="shared" si="5"/>
        <v>37</v>
      </c>
      <c r="R30" s="968">
        <f t="shared" si="6"/>
        <v>26</v>
      </c>
      <c r="S30" s="968">
        <f t="shared" si="7"/>
        <v>0</v>
      </c>
      <c r="T30" s="755">
        <f t="shared" si="8"/>
        <v>63</v>
      </c>
      <c r="W30" s="756">
        <f t="shared" si="9"/>
        <v>8.1081081081081086E-2</v>
      </c>
      <c r="X30" s="757">
        <f t="shared" si="10"/>
        <v>0.15384615384615385</v>
      </c>
      <c r="Y30" s="758" t="str">
        <f t="shared" si="11"/>
        <v>NA</v>
      </c>
      <c r="Z30" s="759">
        <f t="shared" si="12"/>
        <v>0.1111111111111111</v>
      </c>
    </row>
    <row r="31" spans="1:26" x14ac:dyDescent="0.25">
      <c r="A31" s="524" t="s">
        <v>64</v>
      </c>
      <c r="B31" s="457" t="s">
        <v>65</v>
      </c>
      <c r="C31" s="484" t="s">
        <v>266</v>
      </c>
      <c r="D31" s="753">
        <v>11</v>
      </c>
      <c r="E31" s="754">
        <v>6</v>
      </c>
      <c r="F31" s="754"/>
      <c r="G31" s="317">
        <f t="shared" si="1"/>
        <v>17</v>
      </c>
      <c r="H31" s="753">
        <v>3</v>
      </c>
      <c r="I31" s="754">
        <v>1</v>
      </c>
      <c r="J31" s="754"/>
      <c r="K31" s="317">
        <f t="shared" si="2"/>
        <v>4</v>
      </c>
      <c r="L31" s="753"/>
      <c r="M31" s="754"/>
      <c r="N31" s="754"/>
      <c r="O31" s="317">
        <f t="shared" si="3"/>
        <v>0</v>
      </c>
      <c r="P31" s="755">
        <f t="shared" si="4"/>
        <v>21</v>
      </c>
      <c r="Q31" s="968">
        <f t="shared" si="5"/>
        <v>14</v>
      </c>
      <c r="R31" s="968">
        <f t="shared" si="6"/>
        <v>7</v>
      </c>
      <c r="S31" s="968">
        <f t="shared" si="7"/>
        <v>0</v>
      </c>
      <c r="T31" s="755">
        <f t="shared" si="8"/>
        <v>21</v>
      </c>
      <c r="W31" s="756">
        <f t="shared" si="9"/>
        <v>0.21428571428571427</v>
      </c>
      <c r="X31" s="757">
        <f t="shared" si="10"/>
        <v>0.14285714285714285</v>
      </c>
      <c r="Y31" s="758" t="str">
        <f t="shared" si="11"/>
        <v>NA</v>
      </c>
      <c r="Z31" s="759">
        <f t="shared" si="12"/>
        <v>0.19047619047619047</v>
      </c>
    </row>
    <row r="32" spans="1:26" x14ac:dyDescent="0.25">
      <c r="A32" s="524" t="s">
        <v>68</v>
      </c>
      <c r="B32" s="457" t="s">
        <v>69</v>
      </c>
      <c r="C32" s="484" t="s">
        <v>268</v>
      </c>
      <c r="D32" s="753">
        <v>30</v>
      </c>
      <c r="E32" s="754">
        <v>10</v>
      </c>
      <c r="F32" s="754">
        <v>2</v>
      </c>
      <c r="G32" s="317">
        <f t="shared" si="1"/>
        <v>42</v>
      </c>
      <c r="H32" s="753">
        <v>5</v>
      </c>
      <c r="I32" s="754">
        <v>5</v>
      </c>
      <c r="J32" s="754">
        <v>1</v>
      </c>
      <c r="K32" s="317">
        <f t="shared" si="2"/>
        <v>11</v>
      </c>
      <c r="L32" s="753"/>
      <c r="M32" s="754"/>
      <c r="N32" s="754"/>
      <c r="O32" s="317">
        <f t="shared" si="3"/>
        <v>0</v>
      </c>
      <c r="P32" s="755">
        <f t="shared" si="4"/>
        <v>53</v>
      </c>
      <c r="Q32" s="968">
        <f t="shared" si="5"/>
        <v>35</v>
      </c>
      <c r="R32" s="968">
        <f t="shared" si="6"/>
        <v>15</v>
      </c>
      <c r="S32" s="968">
        <f t="shared" si="7"/>
        <v>3</v>
      </c>
      <c r="T32" s="755">
        <f t="shared" si="8"/>
        <v>53</v>
      </c>
      <c r="W32" s="756">
        <f t="shared" si="9"/>
        <v>0.14285714285714285</v>
      </c>
      <c r="X32" s="757">
        <f t="shared" si="10"/>
        <v>0.33333333333333331</v>
      </c>
      <c r="Y32" s="758">
        <f t="shared" si="11"/>
        <v>0.33333333333333331</v>
      </c>
      <c r="Z32" s="759">
        <f t="shared" si="12"/>
        <v>0.20754716981132076</v>
      </c>
    </row>
    <row r="33" spans="1:26" x14ac:dyDescent="0.25">
      <c r="A33" s="524" t="s">
        <v>70</v>
      </c>
      <c r="B33" s="457" t="s">
        <v>71</v>
      </c>
      <c r="C33" s="484" t="s">
        <v>264</v>
      </c>
      <c r="D33" s="753">
        <v>18</v>
      </c>
      <c r="E33" s="754">
        <v>8</v>
      </c>
      <c r="F33" s="754"/>
      <c r="G33" s="317">
        <f t="shared" si="1"/>
        <v>26</v>
      </c>
      <c r="H33" s="753">
        <v>5</v>
      </c>
      <c r="I33" s="754">
        <v>3</v>
      </c>
      <c r="J33" s="754"/>
      <c r="K33" s="317">
        <f t="shared" si="2"/>
        <v>8</v>
      </c>
      <c r="L33" s="753"/>
      <c r="M33" s="754"/>
      <c r="N33" s="754"/>
      <c r="O33" s="317">
        <f t="shared" si="3"/>
        <v>0</v>
      </c>
      <c r="P33" s="755">
        <f t="shared" si="4"/>
        <v>34</v>
      </c>
      <c r="Q33" s="968">
        <f t="shared" si="5"/>
        <v>23</v>
      </c>
      <c r="R33" s="968">
        <f t="shared" si="6"/>
        <v>11</v>
      </c>
      <c r="S33" s="968">
        <f t="shared" si="7"/>
        <v>0</v>
      </c>
      <c r="T33" s="755">
        <f t="shared" si="8"/>
        <v>34</v>
      </c>
      <c r="W33" s="756">
        <f t="shared" si="9"/>
        <v>0.21739130434782608</v>
      </c>
      <c r="X33" s="757">
        <f t="shared" si="10"/>
        <v>0.27272727272727271</v>
      </c>
      <c r="Y33" s="758" t="str">
        <f t="shared" si="11"/>
        <v>NA</v>
      </c>
      <c r="Z33" s="759">
        <f t="shared" si="12"/>
        <v>0.23529411764705882</v>
      </c>
    </row>
    <row r="34" spans="1:26" x14ac:dyDescent="0.25">
      <c r="A34" s="524" t="s">
        <v>72</v>
      </c>
      <c r="B34" s="457" t="s">
        <v>73</v>
      </c>
      <c r="C34" s="484" t="s">
        <v>266</v>
      </c>
      <c r="D34" s="753">
        <v>13</v>
      </c>
      <c r="E34" s="754">
        <v>7</v>
      </c>
      <c r="F34" s="754"/>
      <c r="G34" s="317">
        <f t="shared" si="1"/>
        <v>20</v>
      </c>
      <c r="H34" s="753">
        <v>4</v>
      </c>
      <c r="I34" s="754">
        <v>1</v>
      </c>
      <c r="J34" s="754"/>
      <c r="K34" s="317">
        <f t="shared" si="2"/>
        <v>5</v>
      </c>
      <c r="L34" s="753"/>
      <c r="M34" s="754"/>
      <c r="N34" s="754"/>
      <c r="O34" s="317">
        <f t="shared" si="3"/>
        <v>0</v>
      </c>
      <c r="P34" s="755">
        <f t="shared" si="4"/>
        <v>25</v>
      </c>
      <c r="Q34" s="968">
        <f t="shared" si="5"/>
        <v>17</v>
      </c>
      <c r="R34" s="968">
        <f t="shared" si="6"/>
        <v>8</v>
      </c>
      <c r="S34" s="968">
        <f t="shared" si="7"/>
        <v>0</v>
      </c>
      <c r="T34" s="755">
        <f t="shared" si="8"/>
        <v>25</v>
      </c>
      <c r="W34" s="756">
        <f t="shared" si="9"/>
        <v>0.23529411764705882</v>
      </c>
      <c r="X34" s="757">
        <f t="shared" si="10"/>
        <v>0.125</v>
      </c>
      <c r="Y34" s="758" t="str">
        <f t="shared" si="11"/>
        <v>NA</v>
      </c>
      <c r="Z34" s="759">
        <f t="shared" si="12"/>
        <v>0.2</v>
      </c>
    </row>
    <row r="35" spans="1:26" x14ac:dyDescent="0.25">
      <c r="A35" s="524" t="s">
        <v>74</v>
      </c>
      <c r="B35" s="457" t="s">
        <v>609</v>
      </c>
      <c r="C35" s="484" t="s">
        <v>267</v>
      </c>
      <c r="D35" s="753">
        <v>515</v>
      </c>
      <c r="E35" s="754">
        <v>332</v>
      </c>
      <c r="F35" s="754">
        <v>154</v>
      </c>
      <c r="G35" s="317">
        <f t="shared" si="1"/>
        <v>1001</v>
      </c>
      <c r="H35" s="753">
        <v>54</v>
      </c>
      <c r="I35" s="754">
        <v>28</v>
      </c>
      <c r="J35" s="754">
        <v>23</v>
      </c>
      <c r="K35" s="317">
        <f t="shared" si="2"/>
        <v>105</v>
      </c>
      <c r="L35" s="753"/>
      <c r="M35" s="754">
        <v>2</v>
      </c>
      <c r="N35" s="754"/>
      <c r="O35" s="317">
        <f t="shared" si="3"/>
        <v>2</v>
      </c>
      <c r="P35" s="760">
        <f t="shared" si="4"/>
        <v>1108</v>
      </c>
      <c r="Q35" s="969">
        <f t="shared" si="5"/>
        <v>569</v>
      </c>
      <c r="R35" s="969">
        <f t="shared" si="6"/>
        <v>360</v>
      </c>
      <c r="S35" s="969">
        <f t="shared" si="7"/>
        <v>177</v>
      </c>
      <c r="T35" s="760">
        <f t="shared" si="8"/>
        <v>1106</v>
      </c>
      <c r="W35" s="756">
        <f t="shared" si="9"/>
        <v>9.4903339191564143E-2</v>
      </c>
      <c r="X35" s="757">
        <f t="shared" si="10"/>
        <v>7.7777777777777779E-2</v>
      </c>
      <c r="Y35" s="758">
        <f t="shared" si="11"/>
        <v>0.12994350282485875</v>
      </c>
      <c r="Z35" s="759">
        <f t="shared" si="12"/>
        <v>9.49367088607595E-2</v>
      </c>
    </row>
    <row r="36" spans="1:26" x14ac:dyDescent="0.25">
      <c r="A36" s="524" t="s">
        <v>76</v>
      </c>
      <c r="B36" s="457" t="s">
        <v>77</v>
      </c>
      <c r="C36" s="484" t="s">
        <v>267</v>
      </c>
      <c r="D36" s="753">
        <v>38</v>
      </c>
      <c r="E36" s="754">
        <v>13</v>
      </c>
      <c r="F36" s="754">
        <v>3</v>
      </c>
      <c r="G36" s="317">
        <f t="shared" si="1"/>
        <v>54</v>
      </c>
      <c r="H36" s="753">
        <v>1</v>
      </c>
      <c r="I36" s="754">
        <v>1</v>
      </c>
      <c r="J36" s="754">
        <v>2</v>
      </c>
      <c r="K36" s="317">
        <f t="shared" si="2"/>
        <v>4</v>
      </c>
      <c r="L36" s="753"/>
      <c r="M36" s="754"/>
      <c r="N36" s="754"/>
      <c r="O36" s="317">
        <f t="shared" si="3"/>
        <v>0</v>
      </c>
      <c r="P36" s="755">
        <f t="shared" si="4"/>
        <v>58</v>
      </c>
      <c r="Q36" s="968">
        <f t="shared" si="5"/>
        <v>39</v>
      </c>
      <c r="R36" s="968">
        <f t="shared" si="6"/>
        <v>14</v>
      </c>
      <c r="S36" s="968">
        <f t="shared" si="7"/>
        <v>5</v>
      </c>
      <c r="T36" s="755">
        <f t="shared" si="8"/>
        <v>58</v>
      </c>
      <c r="W36" s="756">
        <f t="shared" si="9"/>
        <v>2.564102564102564E-2</v>
      </c>
      <c r="X36" s="757">
        <f t="shared" si="10"/>
        <v>7.1428571428571425E-2</v>
      </c>
      <c r="Y36" s="758">
        <f t="shared" si="11"/>
        <v>0.4</v>
      </c>
      <c r="Z36" s="759">
        <f t="shared" si="12"/>
        <v>6.8965517241379309E-2</v>
      </c>
    </row>
    <row r="37" spans="1:26" x14ac:dyDescent="0.25">
      <c r="A37" s="524" t="s">
        <v>78</v>
      </c>
      <c r="B37" s="457" t="s">
        <v>79</v>
      </c>
      <c r="C37" s="484" t="s">
        <v>268</v>
      </c>
      <c r="D37" s="753">
        <v>14</v>
      </c>
      <c r="E37" s="754">
        <v>3</v>
      </c>
      <c r="F37" s="754"/>
      <c r="G37" s="317">
        <f t="shared" si="1"/>
        <v>17</v>
      </c>
      <c r="H37" s="753">
        <v>1</v>
      </c>
      <c r="I37" s="754"/>
      <c r="J37" s="754"/>
      <c r="K37" s="317">
        <f t="shared" si="2"/>
        <v>1</v>
      </c>
      <c r="L37" s="753"/>
      <c r="M37" s="754"/>
      <c r="N37" s="754"/>
      <c r="O37" s="317">
        <f t="shared" si="3"/>
        <v>0</v>
      </c>
      <c r="P37" s="755">
        <f t="shared" si="4"/>
        <v>18</v>
      </c>
      <c r="Q37" s="968">
        <f t="shared" si="5"/>
        <v>15</v>
      </c>
      <c r="R37" s="968">
        <f t="shared" si="6"/>
        <v>3</v>
      </c>
      <c r="S37" s="968">
        <f t="shared" si="7"/>
        <v>0</v>
      </c>
      <c r="T37" s="755">
        <f t="shared" si="8"/>
        <v>18</v>
      </c>
      <c r="W37" s="756">
        <f t="shared" si="9"/>
        <v>6.6666666666666666E-2</v>
      </c>
      <c r="X37" s="757">
        <f t="shared" si="10"/>
        <v>0</v>
      </c>
      <c r="Y37" s="758" t="str">
        <f t="shared" si="11"/>
        <v>NA</v>
      </c>
      <c r="Z37" s="759">
        <f t="shared" si="12"/>
        <v>5.5555555555555552E-2</v>
      </c>
    </row>
    <row r="38" spans="1:26" x14ac:dyDescent="0.25">
      <c r="A38" s="524" t="s">
        <v>80</v>
      </c>
      <c r="B38" s="457" t="s">
        <v>81</v>
      </c>
      <c r="C38" s="484" t="s">
        <v>266</v>
      </c>
      <c r="D38" s="753">
        <v>18</v>
      </c>
      <c r="E38" s="754">
        <v>10</v>
      </c>
      <c r="F38" s="754"/>
      <c r="G38" s="317">
        <f t="shared" ref="G38:G69" si="13">SUM(D38:F38)</f>
        <v>28</v>
      </c>
      <c r="H38" s="753">
        <v>3</v>
      </c>
      <c r="I38" s="754">
        <v>1</v>
      </c>
      <c r="J38" s="754"/>
      <c r="K38" s="317">
        <f t="shared" ref="K38:K69" si="14">SUM(H38:J38)</f>
        <v>4</v>
      </c>
      <c r="L38" s="753"/>
      <c r="M38" s="754"/>
      <c r="N38" s="754"/>
      <c r="O38" s="317">
        <f t="shared" ref="O38:O69" si="15">SUM(L38:N38)</f>
        <v>0</v>
      </c>
      <c r="P38" s="755">
        <f t="shared" ref="P38:P69" si="16">G38+K38+O38</f>
        <v>32</v>
      </c>
      <c r="Q38" s="968">
        <f t="shared" si="5"/>
        <v>21</v>
      </c>
      <c r="R38" s="968">
        <f t="shared" si="6"/>
        <v>11</v>
      </c>
      <c r="S38" s="968">
        <f t="shared" si="7"/>
        <v>0</v>
      </c>
      <c r="T38" s="755">
        <f t="shared" si="8"/>
        <v>32</v>
      </c>
      <c r="W38" s="756">
        <f t="shared" si="9"/>
        <v>0.14285714285714285</v>
      </c>
      <c r="X38" s="757">
        <f t="shared" si="10"/>
        <v>9.0909090909090912E-2</v>
      </c>
      <c r="Y38" s="758" t="str">
        <f t="shared" si="11"/>
        <v>NA</v>
      </c>
      <c r="Z38" s="759">
        <f t="shared" si="12"/>
        <v>0.125</v>
      </c>
    </row>
    <row r="39" spans="1:26" x14ac:dyDescent="0.25">
      <c r="A39" s="524" t="s">
        <v>84</v>
      </c>
      <c r="B39" s="457" t="s">
        <v>308</v>
      </c>
      <c r="C39" s="484" t="s">
        <v>265</v>
      </c>
      <c r="D39" s="753">
        <v>48</v>
      </c>
      <c r="E39" s="754">
        <v>21</v>
      </c>
      <c r="F39" s="754"/>
      <c r="G39" s="317">
        <f t="shared" si="13"/>
        <v>69</v>
      </c>
      <c r="H39" s="753">
        <v>11</v>
      </c>
      <c r="I39" s="754">
        <v>4</v>
      </c>
      <c r="J39" s="754"/>
      <c r="K39" s="317">
        <f t="shared" si="14"/>
        <v>15</v>
      </c>
      <c r="L39" s="753">
        <v>1</v>
      </c>
      <c r="M39" s="754"/>
      <c r="N39" s="754"/>
      <c r="O39" s="317">
        <f t="shared" si="15"/>
        <v>1</v>
      </c>
      <c r="P39" s="755">
        <f t="shared" si="16"/>
        <v>85</v>
      </c>
      <c r="Q39" s="968">
        <f t="shared" si="5"/>
        <v>59</v>
      </c>
      <c r="R39" s="968">
        <f t="shared" si="6"/>
        <v>25</v>
      </c>
      <c r="S39" s="968">
        <f t="shared" si="7"/>
        <v>0</v>
      </c>
      <c r="T39" s="755">
        <f t="shared" ref="T39:T70" si="17">G39+K39</f>
        <v>84</v>
      </c>
      <c r="W39" s="756">
        <f t="shared" si="9"/>
        <v>0.1864406779661017</v>
      </c>
      <c r="X39" s="757">
        <f t="shared" si="10"/>
        <v>0.16</v>
      </c>
      <c r="Y39" s="758" t="str">
        <f t="shared" si="11"/>
        <v>NA</v>
      </c>
      <c r="Z39" s="759">
        <f t="shared" si="12"/>
        <v>0.17857142857142858</v>
      </c>
    </row>
    <row r="40" spans="1:26" x14ac:dyDescent="0.25">
      <c r="A40" s="524" t="s">
        <v>86</v>
      </c>
      <c r="B40" s="457" t="s">
        <v>87</v>
      </c>
      <c r="C40" s="484" t="s">
        <v>267</v>
      </c>
      <c r="D40" s="753">
        <v>50</v>
      </c>
      <c r="E40" s="754">
        <v>15</v>
      </c>
      <c r="F40" s="754"/>
      <c r="G40" s="317">
        <f t="shared" si="13"/>
        <v>65</v>
      </c>
      <c r="H40" s="753">
        <v>1</v>
      </c>
      <c r="I40" s="754">
        <v>1</v>
      </c>
      <c r="J40" s="754"/>
      <c r="K40" s="317">
        <f t="shared" si="14"/>
        <v>2</v>
      </c>
      <c r="L40" s="753">
        <v>1</v>
      </c>
      <c r="M40" s="754"/>
      <c r="N40" s="754"/>
      <c r="O40" s="317">
        <f t="shared" si="15"/>
        <v>1</v>
      </c>
      <c r="P40" s="755">
        <f t="shared" si="16"/>
        <v>68</v>
      </c>
      <c r="Q40" s="968">
        <f t="shared" si="5"/>
        <v>51</v>
      </c>
      <c r="R40" s="968">
        <f t="shared" si="6"/>
        <v>16</v>
      </c>
      <c r="S40" s="968">
        <f t="shared" si="7"/>
        <v>0</v>
      </c>
      <c r="T40" s="755">
        <f t="shared" si="17"/>
        <v>67</v>
      </c>
      <c r="W40" s="756">
        <f t="shared" si="9"/>
        <v>1.9607843137254902E-2</v>
      </c>
      <c r="X40" s="757">
        <f t="shared" si="10"/>
        <v>6.25E-2</v>
      </c>
      <c r="Y40" s="758" t="str">
        <f t="shared" si="11"/>
        <v>NA</v>
      </c>
      <c r="Z40" s="759">
        <f t="shared" si="12"/>
        <v>2.9850746268656716E-2</v>
      </c>
    </row>
    <row r="41" spans="1:26" x14ac:dyDescent="0.25">
      <c r="A41" s="524" t="s">
        <v>92</v>
      </c>
      <c r="B41" s="457" t="s">
        <v>93</v>
      </c>
      <c r="C41" s="484" t="s">
        <v>268</v>
      </c>
      <c r="D41" s="753">
        <v>17</v>
      </c>
      <c r="E41" s="754">
        <v>8</v>
      </c>
      <c r="F41" s="754"/>
      <c r="G41" s="317">
        <f t="shared" si="13"/>
        <v>25</v>
      </c>
      <c r="H41" s="753">
        <v>4</v>
      </c>
      <c r="I41" s="754"/>
      <c r="J41" s="754"/>
      <c r="K41" s="317">
        <f t="shared" si="14"/>
        <v>4</v>
      </c>
      <c r="L41" s="753"/>
      <c r="M41" s="754"/>
      <c r="N41" s="754"/>
      <c r="O41" s="317">
        <f t="shared" si="15"/>
        <v>0</v>
      </c>
      <c r="P41" s="755">
        <f t="shared" si="16"/>
        <v>29</v>
      </c>
      <c r="Q41" s="968">
        <f t="shared" si="5"/>
        <v>21</v>
      </c>
      <c r="R41" s="968">
        <f t="shared" si="6"/>
        <v>8</v>
      </c>
      <c r="S41" s="968">
        <f t="shared" si="7"/>
        <v>0</v>
      </c>
      <c r="T41" s="755">
        <f t="shared" si="17"/>
        <v>29</v>
      </c>
      <c r="W41" s="756">
        <f t="shared" si="9"/>
        <v>0.19047619047619047</v>
      </c>
      <c r="X41" s="757">
        <f t="shared" si="10"/>
        <v>0</v>
      </c>
      <c r="Y41" s="758" t="str">
        <f t="shared" si="11"/>
        <v>NA</v>
      </c>
      <c r="Z41" s="759">
        <f t="shared" si="12"/>
        <v>0.13793103448275862</v>
      </c>
    </row>
    <row r="42" spans="1:26" x14ac:dyDescent="0.25">
      <c r="A42" s="524" t="s">
        <v>94</v>
      </c>
      <c r="B42" s="457" t="s">
        <v>95</v>
      </c>
      <c r="C42" s="484" t="s">
        <v>264</v>
      </c>
      <c r="D42" s="753">
        <v>29</v>
      </c>
      <c r="E42" s="754">
        <v>13</v>
      </c>
      <c r="F42" s="754">
        <v>1</v>
      </c>
      <c r="G42" s="317">
        <f t="shared" si="13"/>
        <v>43</v>
      </c>
      <c r="H42" s="753">
        <v>5</v>
      </c>
      <c r="I42" s="754">
        <v>5</v>
      </c>
      <c r="J42" s="754"/>
      <c r="K42" s="317">
        <f t="shared" si="14"/>
        <v>10</v>
      </c>
      <c r="L42" s="753">
        <v>1</v>
      </c>
      <c r="M42" s="754"/>
      <c r="N42" s="754"/>
      <c r="O42" s="317">
        <f t="shared" si="15"/>
        <v>1</v>
      </c>
      <c r="P42" s="755">
        <f t="shared" si="16"/>
        <v>54</v>
      </c>
      <c r="Q42" s="968">
        <f t="shared" si="5"/>
        <v>34</v>
      </c>
      <c r="R42" s="968">
        <f t="shared" si="6"/>
        <v>18</v>
      </c>
      <c r="S42" s="968">
        <f t="shared" si="7"/>
        <v>1</v>
      </c>
      <c r="T42" s="755">
        <f t="shared" si="17"/>
        <v>53</v>
      </c>
      <c r="W42" s="756">
        <f t="shared" si="9"/>
        <v>0.14705882352941177</v>
      </c>
      <c r="X42" s="757">
        <f t="shared" si="10"/>
        <v>0.27777777777777779</v>
      </c>
      <c r="Y42" s="758">
        <f t="shared" si="11"/>
        <v>0</v>
      </c>
      <c r="Z42" s="759">
        <f t="shared" si="12"/>
        <v>0.18867924528301888</v>
      </c>
    </row>
    <row r="43" spans="1:26" x14ac:dyDescent="0.25">
      <c r="A43" s="524" t="s">
        <v>96</v>
      </c>
      <c r="B43" s="457" t="s">
        <v>97</v>
      </c>
      <c r="C43" s="484" t="s">
        <v>266</v>
      </c>
      <c r="D43" s="753">
        <v>14</v>
      </c>
      <c r="E43" s="754">
        <v>8</v>
      </c>
      <c r="F43" s="754"/>
      <c r="G43" s="317">
        <f t="shared" si="13"/>
        <v>22</v>
      </c>
      <c r="H43" s="753">
        <v>3</v>
      </c>
      <c r="I43" s="754"/>
      <c r="J43" s="754"/>
      <c r="K43" s="317">
        <f t="shared" si="14"/>
        <v>3</v>
      </c>
      <c r="L43" s="753"/>
      <c r="M43" s="754"/>
      <c r="N43" s="754"/>
      <c r="O43" s="317">
        <f t="shared" si="15"/>
        <v>0</v>
      </c>
      <c r="P43" s="755">
        <f t="shared" si="16"/>
        <v>25</v>
      </c>
      <c r="Q43" s="968">
        <f t="shared" si="5"/>
        <v>17</v>
      </c>
      <c r="R43" s="968">
        <f t="shared" si="6"/>
        <v>8</v>
      </c>
      <c r="S43" s="968">
        <f t="shared" si="7"/>
        <v>0</v>
      </c>
      <c r="T43" s="755">
        <f t="shared" si="17"/>
        <v>25</v>
      </c>
      <c r="W43" s="756">
        <f t="shared" si="9"/>
        <v>0.17647058823529413</v>
      </c>
      <c r="X43" s="757">
        <f t="shared" si="10"/>
        <v>0</v>
      </c>
      <c r="Y43" s="758" t="str">
        <f t="shared" si="11"/>
        <v>NA</v>
      </c>
      <c r="Z43" s="759">
        <f t="shared" si="12"/>
        <v>0.12</v>
      </c>
    </row>
    <row r="44" spans="1:26" x14ac:dyDescent="0.25">
      <c r="A44" s="524" t="s">
        <v>98</v>
      </c>
      <c r="B44" s="457" t="s">
        <v>99</v>
      </c>
      <c r="C44" s="484" t="s">
        <v>268</v>
      </c>
      <c r="D44" s="753">
        <v>15</v>
      </c>
      <c r="E44" s="754">
        <v>8</v>
      </c>
      <c r="F44" s="754"/>
      <c r="G44" s="317">
        <f t="shared" si="13"/>
        <v>23</v>
      </c>
      <c r="H44" s="753">
        <v>2</v>
      </c>
      <c r="I44" s="754"/>
      <c r="J44" s="754"/>
      <c r="K44" s="317">
        <f t="shared" si="14"/>
        <v>2</v>
      </c>
      <c r="L44" s="753">
        <v>1</v>
      </c>
      <c r="M44" s="754"/>
      <c r="N44" s="754"/>
      <c r="O44" s="317">
        <f t="shared" si="15"/>
        <v>1</v>
      </c>
      <c r="P44" s="755">
        <f t="shared" si="16"/>
        <v>26</v>
      </c>
      <c r="Q44" s="968">
        <f t="shared" si="5"/>
        <v>17</v>
      </c>
      <c r="R44" s="968">
        <f t="shared" si="6"/>
        <v>8</v>
      </c>
      <c r="S44" s="968">
        <f t="shared" si="7"/>
        <v>0</v>
      </c>
      <c r="T44" s="755">
        <f t="shared" si="17"/>
        <v>25</v>
      </c>
      <c r="W44" s="756">
        <f t="shared" si="9"/>
        <v>0.11764705882352941</v>
      </c>
      <c r="X44" s="757">
        <f t="shared" si="10"/>
        <v>0</v>
      </c>
      <c r="Y44" s="758" t="str">
        <f t="shared" si="11"/>
        <v>NA</v>
      </c>
      <c r="Z44" s="759">
        <f t="shared" si="12"/>
        <v>0.08</v>
      </c>
    </row>
    <row r="45" spans="1:26" x14ac:dyDescent="0.25">
      <c r="A45" s="524" t="s">
        <v>100</v>
      </c>
      <c r="B45" s="457" t="s">
        <v>101</v>
      </c>
      <c r="C45" s="484" t="s">
        <v>267</v>
      </c>
      <c r="D45" s="753">
        <v>10</v>
      </c>
      <c r="E45" s="754">
        <v>8</v>
      </c>
      <c r="F45" s="754"/>
      <c r="G45" s="317">
        <f t="shared" si="13"/>
        <v>18</v>
      </c>
      <c r="H45" s="753">
        <v>3</v>
      </c>
      <c r="I45" s="754">
        <v>2</v>
      </c>
      <c r="J45" s="754"/>
      <c r="K45" s="317">
        <f t="shared" si="14"/>
        <v>5</v>
      </c>
      <c r="L45" s="753"/>
      <c r="M45" s="754"/>
      <c r="N45" s="754"/>
      <c r="O45" s="317">
        <f t="shared" si="15"/>
        <v>0</v>
      </c>
      <c r="P45" s="755">
        <f t="shared" si="16"/>
        <v>23</v>
      </c>
      <c r="Q45" s="968">
        <f t="shared" si="5"/>
        <v>13</v>
      </c>
      <c r="R45" s="968">
        <f t="shared" si="6"/>
        <v>10</v>
      </c>
      <c r="S45" s="968">
        <f t="shared" si="7"/>
        <v>0</v>
      </c>
      <c r="T45" s="755">
        <f t="shared" si="17"/>
        <v>23</v>
      </c>
      <c r="W45" s="756">
        <f t="shared" si="9"/>
        <v>0.23076923076923078</v>
      </c>
      <c r="X45" s="757">
        <f t="shared" si="10"/>
        <v>0.2</v>
      </c>
      <c r="Y45" s="758" t="str">
        <f t="shared" si="11"/>
        <v>NA</v>
      </c>
      <c r="Z45" s="759">
        <f t="shared" si="12"/>
        <v>0.21739130434782608</v>
      </c>
    </row>
    <row r="46" spans="1:26" x14ac:dyDescent="0.25">
      <c r="A46" s="524" t="s">
        <v>102</v>
      </c>
      <c r="B46" s="457" t="s">
        <v>282</v>
      </c>
      <c r="C46" s="484" t="s">
        <v>264</v>
      </c>
      <c r="D46" s="753">
        <v>18</v>
      </c>
      <c r="E46" s="754">
        <v>12</v>
      </c>
      <c r="F46" s="754"/>
      <c r="G46" s="317">
        <f t="shared" si="13"/>
        <v>30</v>
      </c>
      <c r="H46" s="753">
        <v>8</v>
      </c>
      <c r="I46" s="754">
        <v>3</v>
      </c>
      <c r="J46" s="754"/>
      <c r="K46" s="317">
        <f t="shared" si="14"/>
        <v>11</v>
      </c>
      <c r="L46" s="753"/>
      <c r="M46" s="754"/>
      <c r="N46" s="754"/>
      <c r="O46" s="317">
        <f t="shared" si="15"/>
        <v>0</v>
      </c>
      <c r="P46" s="755">
        <f t="shared" si="16"/>
        <v>41</v>
      </c>
      <c r="Q46" s="968">
        <f t="shared" si="5"/>
        <v>26</v>
      </c>
      <c r="R46" s="968">
        <f t="shared" si="6"/>
        <v>15</v>
      </c>
      <c r="S46" s="968">
        <f t="shared" si="7"/>
        <v>0</v>
      </c>
      <c r="T46" s="755">
        <f t="shared" si="17"/>
        <v>41</v>
      </c>
      <c r="W46" s="756">
        <f t="shared" si="9"/>
        <v>0.30769230769230771</v>
      </c>
      <c r="X46" s="757">
        <f t="shared" si="10"/>
        <v>0.2</v>
      </c>
      <c r="Y46" s="758" t="str">
        <f t="shared" si="11"/>
        <v>NA</v>
      </c>
      <c r="Z46" s="759">
        <f t="shared" si="12"/>
        <v>0.26829268292682928</v>
      </c>
    </row>
    <row r="47" spans="1:26" x14ac:dyDescent="0.25">
      <c r="A47" s="524" t="s">
        <v>104</v>
      </c>
      <c r="B47" s="457" t="s">
        <v>602</v>
      </c>
      <c r="C47" s="484" t="s">
        <v>265</v>
      </c>
      <c r="D47" s="753">
        <v>42</v>
      </c>
      <c r="E47" s="754">
        <v>14</v>
      </c>
      <c r="F47" s="754"/>
      <c r="G47" s="317">
        <f t="shared" si="13"/>
        <v>56</v>
      </c>
      <c r="H47" s="753">
        <v>5</v>
      </c>
      <c r="I47" s="754">
        <v>5</v>
      </c>
      <c r="J47" s="754"/>
      <c r="K47" s="317">
        <f t="shared" si="14"/>
        <v>10</v>
      </c>
      <c r="L47" s="753"/>
      <c r="M47" s="754"/>
      <c r="N47" s="754"/>
      <c r="O47" s="317">
        <f t="shared" si="15"/>
        <v>0</v>
      </c>
      <c r="P47" s="755">
        <f t="shared" si="16"/>
        <v>66</v>
      </c>
      <c r="Q47" s="968">
        <f t="shared" si="5"/>
        <v>47</v>
      </c>
      <c r="R47" s="968">
        <f t="shared" si="6"/>
        <v>19</v>
      </c>
      <c r="S47" s="968">
        <f t="shared" si="7"/>
        <v>0</v>
      </c>
      <c r="T47" s="755">
        <f t="shared" si="17"/>
        <v>66</v>
      </c>
      <c r="W47" s="756">
        <f t="shared" si="9"/>
        <v>0.10638297872340426</v>
      </c>
      <c r="X47" s="757">
        <f t="shared" si="10"/>
        <v>0.26315789473684209</v>
      </c>
      <c r="Y47" s="758" t="str">
        <f t="shared" si="11"/>
        <v>NA</v>
      </c>
      <c r="Z47" s="759">
        <f t="shared" si="12"/>
        <v>0.15151515151515152</v>
      </c>
    </row>
    <row r="48" spans="1:26" x14ac:dyDescent="0.25">
      <c r="A48" s="524" t="s">
        <v>108</v>
      </c>
      <c r="B48" s="457" t="s">
        <v>109</v>
      </c>
      <c r="C48" s="484" t="s">
        <v>266</v>
      </c>
      <c r="D48" s="753">
        <v>32</v>
      </c>
      <c r="E48" s="754">
        <v>18</v>
      </c>
      <c r="F48" s="754">
        <v>1</v>
      </c>
      <c r="G48" s="317">
        <f t="shared" si="13"/>
        <v>51</v>
      </c>
      <c r="H48" s="753">
        <v>12</v>
      </c>
      <c r="I48" s="754">
        <v>1</v>
      </c>
      <c r="J48" s="754">
        <v>3</v>
      </c>
      <c r="K48" s="317">
        <f t="shared" si="14"/>
        <v>16</v>
      </c>
      <c r="L48" s="753"/>
      <c r="M48" s="754"/>
      <c r="N48" s="754"/>
      <c r="O48" s="317">
        <f t="shared" si="15"/>
        <v>0</v>
      </c>
      <c r="P48" s="755">
        <f t="shared" si="16"/>
        <v>67</v>
      </c>
      <c r="Q48" s="968">
        <f t="shared" si="5"/>
        <v>44</v>
      </c>
      <c r="R48" s="968">
        <f t="shared" si="6"/>
        <v>19</v>
      </c>
      <c r="S48" s="968">
        <f t="shared" si="7"/>
        <v>4</v>
      </c>
      <c r="T48" s="755">
        <f t="shared" si="17"/>
        <v>67</v>
      </c>
      <c r="W48" s="756">
        <f t="shared" si="9"/>
        <v>0.27272727272727271</v>
      </c>
      <c r="X48" s="757">
        <f t="shared" si="10"/>
        <v>5.2631578947368418E-2</v>
      </c>
      <c r="Y48" s="758">
        <f t="shared" si="11"/>
        <v>0.75</v>
      </c>
      <c r="Z48" s="759">
        <f t="shared" si="12"/>
        <v>0.23880597014925373</v>
      </c>
    </row>
    <row r="49" spans="1:26" x14ac:dyDescent="0.25">
      <c r="A49" s="524" t="s">
        <v>110</v>
      </c>
      <c r="B49" s="457" t="s">
        <v>111</v>
      </c>
      <c r="C49" s="484" t="s">
        <v>266</v>
      </c>
      <c r="D49" s="753">
        <v>120</v>
      </c>
      <c r="E49" s="754">
        <v>61</v>
      </c>
      <c r="F49" s="754">
        <v>7</v>
      </c>
      <c r="G49" s="317">
        <f t="shared" si="13"/>
        <v>188</v>
      </c>
      <c r="H49" s="753">
        <v>11</v>
      </c>
      <c r="I49" s="754">
        <v>6</v>
      </c>
      <c r="J49" s="754">
        <v>3</v>
      </c>
      <c r="K49" s="317">
        <f t="shared" si="14"/>
        <v>20</v>
      </c>
      <c r="L49" s="753">
        <v>3</v>
      </c>
      <c r="M49" s="754"/>
      <c r="N49" s="754"/>
      <c r="O49" s="317">
        <f t="shared" si="15"/>
        <v>3</v>
      </c>
      <c r="P49" s="755">
        <f t="shared" si="16"/>
        <v>211</v>
      </c>
      <c r="Q49" s="968">
        <f t="shared" si="5"/>
        <v>131</v>
      </c>
      <c r="R49" s="968">
        <f t="shared" si="6"/>
        <v>67</v>
      </c>
      <c r="S49" s="968">
        <f t="shared" si="7"/>
        <v>10</v>
      </c>
      <c r="T49" s="755">
        <f t="shared" si="17"/>
        <v>208</v>
      </c>
      <c r="W49" s="756">
        <f t="shared" si="9"/>
        <v>8.3969465648854963E-2</v>
      </c>
      <c r="X49" s="757">
        <f t="shared" si="10"/>
        <v>8.9552238805970144E-2</v>
      </c>
      <c r="Y49" s="758">
        <f t="shared" si="11"/>
        <v>0.3</v>
      </c>
      <c r="Z49" s="759">
        <f t="shared" si="12"/>
        <v>9.6153846153846159E-2</v>
      </c>
    </row>
    <row r="50" spans="1:26" x14ac:dyDescent="0.25">
      <c r="A50" s="524" t="s">
        <v>112</v>
      </c>
      <c r="B50" s="457" t="s">
        <v>300</v>
      </c>
      <c r="C50" s="484" t="s">
        <v>265</v>
      </c>
      <c r="D50" s="753">
        <v>56</v>
      </c>
      <c r="E50" s="754">
        <v>23</v>
      </c>
      <c r="F50" s="754">
        <v>2</v>
      </c>
      <c r="G50" s="317">
        <f t="shared" si="13"/>
        <v>81</v>
      </c>
      <c r="H50" s="753">
        <v>9</v>
      </c>
      <c r="I50" s="754">
        <v>1</v>
      </c>
      <c r="J50" s="754">
        <v>1</v>
      </c>
      <c r="K50" s="317">
        <f t="shared" si="14"/>
        <v>11</v>
      </c>
      <c r="L50" s="753"/>
      <c r="M50" s="754"/>
      <c r="N50" s="754"/>
      <c r="O50" s="317">
        <f t="shared" si="15"/>
        <v>0</v>
      </c>
      <c r="P50" s="755">
        <f t="shared" si="16"/>
        <v>92</v>
      </c>
      <c r="Q50" s="968">
        <f t="shared" si="5"/>
        <v>65</v>
      </c>
      <c r="R50" s="968">
        <f t="shared" si="6"/>
        <v>24</v>
      </c>
      <c r="S50" s="968">
        <f t="shared" si="7"/>
        <v>3</v>
      </c>
      <c r="T50" s="755">
        <f t="shared" si="17"/>
        <v>92</v>
      </c>
      <c r="W50" s="756">
        <f t="shared" si="9"/>
        <v>0.13846153846153847</v>
      </c>
      <c r="X50" s="757">
        <f t="shared" si="10"/>
        <v>4.1666666666666664E-2</v>
      </c>
      <c r="Y50" s="758">
        <f t="shared" si="11"/>
        <v>0.33333333333333331</v>
      </c>
      <c r="Z50" s="759">
        <f t="shared" si="12"/>
        <v>0.11956521739130435</v>
      </c>
    </row>
    <row r="51" spans="1:26" x14ac:dyDescent="0.25">
      <c r="A51" s="524" t="s">
        <v>114</v>
      </c>
      <c r="B51" s="457" t="s">
        <v>115</v>
      </c>
      <c r="C51" s="484" t="s">
        <v>265</v>
      </c>
      <c r="D51" s="753">
        <v>2</v>
      </c>
      <c r="E51" s="754">
        <v>2</v>
      </c>
      <c r="F51" s="754"/>
      <c r="G51" s="317">
        <f t="shared" si="13"/>
        <v>4</v>
      </c>
      <c r="H51" s="753">
        <v>2</v>
      </c>
      <c r="I51" s="754"/>
      <c r="J51" s="754"/>
      <c r="K51" s="317">
        <f t="shared" si="14"/>
        <v>2</v>
      </c>
      <c r="L51" s="753"/>
      <c r="M51" s="754"/>
      <c r="N51" s="754"/>
      <c r="O51" s="317">
        <f t="shared" si="15"/>
        <v>0</v>
      </c>
      <c r="P51" s="755">
        <f t="shared" si="16"/>
        <v>6</v>
      </c>
      <c r="Q51" s="968">
        <f t="shared" si="5"/>
        <v>4</v>
      </c>
      <c r="R51" s="968">
        <f t="shared" si="6"/>
        <v>2</v>
      </c>
      <c r="S51" s="968">
        <f t="shared" si="7"/>
        <v>0</v>
      </c>
      <c r="T51" s="755">
        <f t="shared" si="17"/>
        <v>6</v>
      </c>
      <c r="W51" s="756">
        <f t="shared" si="9"/>
        <v>0.5</v>
      </c>
      <c r="X51" s="757">
        <f t="shared" si="10"/>
        <v>0</v>
      </c>
      <c r="Y51" s="758" t="str">
        <f t="shared" si="11"/>
        <v>NA</v>
      </c>
      <c r="Z51" s="759">
        <f t="shared" si="12"/>
        <v>0.33333333333333331</v>
      </c>
    </row>
    <row r="52" spans="1:26" x14ac:dyDescent="0.25">
      <c r="A52" s="524" t="s">
        <v>118</v>
      </c>
      <c r="B52" s="457" t="s">
        <v>119</v>
      </c>
      <c r="C52" s="484" t="s">
        <v>264</v>
      </c>
      <c r="D52" s="753">
        <v>27</v>
      </c>
      <c r="E52" s="754">
        <v>14</v>
      </c>
      <c r="F52" s="754">
        <v>1</v>
      </c>
      <c r="G52" s="317">
        <f t="shared" si="13"/>
        <v>42</v>
      </c>
      <c r="H52" s="753">
        <v>1</v>
      </c>
      <c r="I52" s="754">
        <v>2</v>
      </c>
      <c r="J52" s="754">
        <v>2</v>
      </c>
      <c r="K52" s="317">
        <f t="shared" si="14"/>
        <v>5</v>
      </c>
      <c r="L52" s="753"/>
      <c r="M52" s="754"/>
      <c r="N52" s="754"/>
      <c r="O52" s="317">
        <f t="shared" si="15"/>
        <v>0</v>
      </c>
      <c r="P52" s="755">
        <f t="shared" si="16"/>
        <v>47</v>
      </c>
      <c r="Q52" s="968">
        <f t="shared" si="5"/>
        <v>28</v>
      </c>
      <c r="R52" s="968">
        <f t="shared" si="6"/>
        <v>16</v>
      </c>
      <c r="S52" s="968">
        <f t="shared" si="7"/>
        <v>3</v>
      </c>
      <c r="T52" s="755">
        <f t="shared" si="17"/>
        <v>47</v>
      </c>
      <c r="W52" s="756">
        <f t="shared" si="9"/>
        <v>3.5714285714285712E-2</v>
      </c>
      <c r="X52" s="757">
        <f t="shared" si="10"/>
        <v>0.125</v>
      </c>
      <c r="Y52" s="758">
        <f t="shared" si="11"/>
        <v>0.66666666666666663</v>
      </c>
      <c r="Z52" s="759">
        <f t="shared" si="12"/>
        <v>0.10638297872340426</v>
      </c>
    </row>
    <row r="53" spans="1:26" x14ac:dyDescent="0.25">
      <c r="A53" s="524" t="s">
        <v>120</v>
      </c>
      <c r="B53" s="457" t="s">
        <v>121</v>
      </c>
      <c r="C53" s="484" t="s">
        <v>264</v>
      </c>
      <c r="D53" s="753">
        <v>31</v>
      </c>
      <c r="E53" s="754">
        <v>25</v>
      </c>
      <c r="F53" s="754"/>
      <c r="G53" s="317">
        <f t="shared" si="13"/>
        <v>56</v>
      </c>
      <c r="H53" s="753">
        <v>7</v>
      </c>
      <c r="I53" s="754"/>
      <c r="J53" s="754"/>
      <c r="K53" s="317">
        <f t="shared" si="14"/>
        <v>7</v>
      </c>
      <c r="L53" s="753"/>
      <c r="M53" s="754"/>
      <c r="N53" s="754"/>
      <c r="O53" s="317">
        <f t="shared" si="15"/>
        <v>0</v>
      </c>
      <c r="P53" s="755">
        <f t="shared" si="16"/>
        <v>63</v>
      </c>
      <c r="Q53" s="968">
        <f t="shared" si="5"/>
        <v>38</v>
      </c>
      <c r="R53" s="968">
        <f t="shared" si="6"/>
        <v>25</v>
      </c>
      <c r="S53" s="968">
        <f t="shared" si="7"/>
        <v>0</v>
      </c>
      <c r="T53" s="755">
        <f t="shared" si="17"/>
        <v>63</v>
      </c>
      <c r="W53" s="756">
        <f t="shared" si="9"/>
        <v>0.18421052631578946</v>
      </c>
      <c r="X53" s="757">
        <f t="shared" si="10"/>
        <v>0</v>
      </c>
      <c r="Y53" s="758" t="str">
        <f t="shared" si="11"/>
        <v>NA</v>
      </c>
      <c r="Z53" s="759">
        <f t="shared" si="12"/>
        <v>0.1111111111111111</v>
      </c>
    </row>
    <row r="54" spans="1:26" x14ac:dyDescent="0.25">
      <c r="A54" s="524" t="s">
        <v>122</v>
      </c>
      <c r="B54" s="457" t="s">
        <v>271</v>
      </c>
      <c r="C54" s="484" t="s">
        <v>266</v>
      </c>
      <c r="D54" s="753">
        <v>6</v>
      </c>
      <c r="E54" s="754">
        <v>6</v>
      </c>
      <c r="F54" s="754"/>
      <c r="G54" s="317">
        <f t="shared" si="13"/>
        <v>12</v>
      </c>
      <c r="H54" s="753">
        <v>5</v>
      </c>
      <c r="I54" s="754">
        <v>3</v>
      </c>
      <c r="J54" s="754"/>
      <c r="K54" s="317">
        <f t="shared" si="14"/>
        <v>8</v>
      </c>
      <c r="L54" s="753"/>
      <c r="M54" s="754"/>
      <c r="N54" s="754"/>
      <c r="O54" s="317">
        <f t="shared" si="15"/>
        <v>0</v>
      </c>
      <c r="P54" s="755">
        <f t="shared" si="16"/>
        <v>20</v>
      </c>
      <c r="Q54" s="968">
        <f t="shared" si="5"/>
        <v>11</v>
      </c>
      <c r="R54" s="968">
        <f t="shared" si="6"/>
        <v>9</v>
      </c>
      <c r="S54" s="968">
        <f t="shared" si="7"/>
        <v>0</v>
      </c>
      <c r="T54" s="755">
        <f t="shared" si="17"/>
        <v>20</v>
      </c>
      <c r="W54" s="756">
        <f t="shared" si="9"/>
        <v>0.45454545454545453</v>
      </c>
      <c r="X54" s="757">
        <f t="shared" si="10"/>
        <v>0.33333333333333331</v>
      </c>
      <c r="Y54" s="758" t="str">
        <f t="shared" si="11"/>
        <v>NA</v>
      </c>
      <c r="Z54" s="759">
        <f t="shared" si="12"/>
        <v>0.4</v>
      </c>
    </row>
    <row r="55" spans="1:26" x14ac:dyDescent="0.25">
      <c r="A55" s="524" t="s">
        <v>124</v>
      </c>
      <c r="B55" s="457" t="s">
        <v>125</v>
      </c>
      <c r="C55" s="484" t="s">
        <v>267</v>
      </c>
      <c r="D55" s="753">
        <v>12</v>
      </c>
      <c r="E55" s="754">
        <v>6</v>
      </c>
      <c r="F55" s="754"/>
      <c r="G55" s="317">
        <f t="shared" si="13"/>
        <v>18</v>
      </c>
      <c r="H55" s="753">
        <v>2</v>
      </c>
      <c r="I55" s="754"/>
      <c r="J55" s="754"/>
      <c r="K55" s="317">
        <f t="shared" si="14"/>
        <v>2</v>
      </c>
      <c r="L55" s="753"/>
      <c r="M55" s="754"/>
      <c r="N55" s="754"/>
      <c r="O55" s="317">
        <f t="shared" si="15"/>
        <v>0</v>
      </c>
      <c r="P55" s="755">
        <f t="shared" si="16"/>
        <v>20</v>
      </c>
      <c r="Q55" s="968">
        <f t="shared" si="5"/>
        <v>14</v>
      </c>
      <c r="R55" s="968">
        <f t="shared" si="6"/>
        <v>6</v>
      </c>
      <c r="S55" s="968">
        <f t="shared" si="7"/>
        <v>0</v>
      </c>
      <c r="T55" s="755">
        <f t="shared" si="17"/>
        <v>20</v>
      </c>
      <c r="W55" s="756">
        <f t="shared" si="9"/>
        <v>0.14285714285714285</v>
      </c>
      <c r="X55" s="757">
        <f t="shared" si="10"/>
        <v>0</v>
      </c>
      <c r="Y55" s="758" t="str">
        <f t="shared" si="11"/>
        <v>NA</v>
      </c>
      <c r="Z55" s="759">
        <f t="shared" si="12"/>
        <v>0.1</v>
      </c>
    </row>
    <row r="56" spans="1:26" x14ac:dyDescent="0.25">
      <c r="A56" s="524" t="s">
        <v>126</v>
      </c>
      <c r="B56" s="457" t="s">
        <v>127</v>
      </c>
      <c r="C56" s="484" t="s">
        <v>266</v>
      </c>
      <c r="D56" s="753">
        <v>5</v>
      </c>
      <c r="E56" s="754">
        <v>7</v>
      </c>
      <c r="F56" s="754"/>
      <c r="G56" s="317">
        <f t="shared" si="13"/>
        <v>12</v>
      </c>
      <c r="H56" s="753">
        <v>3</v>
      </c>
      <c r="I56" s="754"/>
      <c r="J56" s="754"/>
      <c r="K56" s="317">
        <f t="shared" si="14"/>
        <v>3</v>
      </c>
      <c r="L56" s="753">
        <v>1</v>
      </c>
      <c r="M56" s="754"/>
      <c r="N56" s="754"/>
      <c r="O56" s="317">
        <f t="shared" si="15"/>
        <v>1</v>
      </c>
      <c r="P56" s="755">
        <f t="shared" si="16"/>
        <v>16</v>
      </c>
      <c r="Q56" s="968">
        <f t="shared" si="5"/>
        <v>8</v>
      </c>
      <c r="R56" s="968">
        <f t="shared" si="6"/>
        <v>7</v>
      </c>
      <c r="S56" s="968">
        <f t="shared" si="7"/>
        <v>0</v>
      </c>
      <c r="T56" s="755">
        <f t="shared" si="17"/>
        <v>15</v>
      </c>
      <c r="W56" s="756">
        <f t="shared" si="9"/>
        <v>0.375</v>
      </c>
      <c r="X56" s="757">
        <f t="shared" si="10"/>
        <v>0</v>
      </c>
      <c r="Y56" s="758" t="str">
        <f t="shared" si="11"/>
        <v>NA</v>
      </c>
      <c r="Z56" s="759">
        <f t="shared" si="12"/>
        <v>0.2</v>
      </c>
    </row>
    <row r="57" spans="1:26" x14ac:dyDescent="0.25">
      <c r="A57" s="524" t="s">
        <v>128</v>
      </c>
      <c r="B57" s="457" t="s">
        <v>129</v>
      </c>
      <c r="C57" s="484" t="s">
        <v>266</v>
      </c>
      <c r="D57" s="753">
        <v>11</v>
      </c>
      <c r="E57" s="754">
        <v>6</v>
      </c>
      <c r="F57" s="754"/>
      <c r="G57" s="317">
        <f t="shared" si="13"/>
        <v>17</v>
      </c>
      <c r="H57" s="753">
        <v>5</v>
      </c>
      <c r="I57" s="754">
        <v>3</v>
      </c>
      <c r="J57" s="754"/>
      <c r="K57" s="317">
        <f t="shared" si="14"/>
        <v>8</v>
      </c>
      <c r="L57" s="753"/>
      <c r="M57" s="754"/>
      <c r="N57" s="754"/>
      <c r="O57" s="317">
        <f t="shared" si="15"/>
        <v>0</v>
      </c>
      <c r="P57" s="755">
        <f t="shared" si="16"/>
        <v>25</v>
      </c>
      <c r="Q57" s="968">
        <f t="shared" si="5"/>
        <v>16</v>
      </c>
      <c r="R57" s="968">
        <f t="shared" si="6"/>
        <v>9</v>
      </c>
      <c r="S57" s="968">
        <f t="shared" si="7"/>
        <v>0</v>
      </c>
      <c r="T57" s="755">
        <f t="shared" si="17"/>
        <v>25</v>
      </c>
      <c r="W57" s="756">
        <f t="shared" si="9"/>
        <v>0.3125</v>
      </c>
      <c r="X57" s="757">
        <f t="shared" si="10"/>
        <v>0.33333333333333331</v>
      </c>
      <c r="Y57" s="758" t="str">
        <f t="shared" si="11"/>
        <v>NA</v>
      </c>
      <c r="Z57" s="759">
        <f t="shared" si="12"/>
        <v>0.32</v>
      </c>
    </row>
    <row r="58" spans="1:26" x14ac:dyDescent="0.25">
      <c r="A58" s="524" t="s">
        <v>130</v>
      </c>
      <c r="B58" s="457" t="s">
        <v>131</v>
      </c>
      <c r="C58" s="484" t="s">
        <v>268</v>
      </c>
      <c r="D58" s="753">
        <v>35</v>
      </c>
      <c r="E58" s="754">
        <v>14</v>
      </c>
      <c r="F58" s="754"/>
      <c r="G58" s="317">
        <f t="shared" si="13"/>
        <v>49</v>
      </c>
      <c r="H58" s="753">
        <v>12</v>
      </c>
      <c r="I58" s="754">
        <v>3</v>
      </c>
      <c r="J58" s="754"/>
      <c r="K58" s="317">
        <f t="shared" si="14"/>
        <v>15</v>
      </c>
      <c r="L58" s="753"/>
      <c r="M58" s="754"/>
      <c r="N58" s="754"/>
      <c r="O58" s="317">
        <f t="shared" si="15"/>
        <v>0</v>
      </c>
      <c r="P58" s="755">
        <f t="shared" si="16"/>
        <v>64</v>
      </c>
      <c r="Q58" s="968">
        <f t="shared" si="5"/>
        <v>47</v>
      </c>
      <c r="R58" s="968">
        <f t="shared" si="6"/>
        <v>17</v>
      </c>
      <c r="S58" s="968">
        <f t="shared" si="7"/>
        <v>0</v>
      </c>
      <c r="T58" s="755">
        <f t="shared" si="17"/>
        <v>64</v>
      </c>
      <c r="W58" s="756">
        <f t="shared" si="9"/>
        <v>0.25531914893617019</v>
      </c>
      <c r="X58" s="757">
        <f t="shared" si="10"/>
        <v>0.17647058823529413</v>
      </c>
      <c r="Y58" s="758" t="str">
        <f t="shared" si="11"/>
        <v>NA</v>
      </c>
      <c r="Z58" s="759">
        <f t="shared" si="12"/>
        <v>0.234375</v>
      </c>
    </row>
    <row r="59" spans="1:26" x14ac:dyDescent="0.25">
      <c r="A59" s="524" t="s">
        <v>132</v>
      </c>
      <c r="B59" s="457" t="s">
        <v>133</v>
      </c>
      <c r="C59" s="484" t="s">
        <v>267</v>
      </c>
      <c r="D59" s="753">
        <v>75</v>
      </c>
      <c r="E59" s="754">
        <v>42</v>
      </c>
      <c r="F59" s="754"/>
      <c r="G59" s="317">
        <f t="shared" si="13"/>
        <v>117</v>
      </c>
      <c r="H59" s="753">
        <v>21</v>
      </c>
      <c r="I59" s="754">
        <v>3</v>
      </c>
      <c r="J59" s="754"/>
      <c r="K59" s="317">
        <f t="shared" si="14"/>
        <v>24</v>
      </c>
      <c r="L59" s="753"/>
      <c r="M59" s="754"/>
      <c r="N59" s="754"/>
      <c r="O59" s="317">
        <f t="shared" si="15"/>
        <v>0</v>
      </c>
      <c r="P59" s="755">
        <f t="shared" si="16"/>
        <v>141</v>
      </c>
      <c r="Q59" s="968">
        <f t="shared" si="5"/>
        <v>96</v>
      </c>
      <c r="R59" s="968">
        <f t="shared" si="6"/>
        <v>45</v>
      </c>
      <c r="S59" s="968">
        <f t="shared" si="7"/>
        <v>0</v>
      </c>
      <c r="T59" s="755">
        <f t="shared" si="17"/>
        <v>141</v>
      </c>
      <c r="W59" s="756">
        <f t="shared" si="9"/>
        <v>0.21875</v>
      </c>
      <c r="X59" s="757">
        <f t="shared" si="10"/>
        <v>6.6666666666666666E-2</v>
      </c>
      <c r="Y59" s="758" t="str">
        <f t="shared" si="11"/>
        <v>NA</v>
      </c>
      <c r="Z59" s="759">
        <f t="shared" si="12"/>
        <v>0.1702127659574468</v>
      </c>
    </row>
    <row r="60" spans="1:26" x14ac:dyDescent="0.25">
      <c r="A60" s="524" t="s">
        <v>134</v>
      </c>
      <c r="B60" s="457" t="s">
        <v>135</v>
      </c>
      <c r="C60" s="484" t="s">
        <v>267</v>
      </c>
      <c r="D60" s="753">
        <v>34</v>
      </c>
      <c r="E60" s="754">
        <v>10</v>
      </c>
      <c r="F60" s="754"/>
      <c r="G60" s="317">
        <f t="shared" si="13"/>
        <v>44</v>
      </c>
      <c r="H60" s="753"/>
      <c r="I60" s="754"/>
      <c r="J60" s="754"/>
      <c r="K60" s="317">
        <f t="shared" si="14"/>
        <v>0</v>
      </c>
      <c r="L60" s="753"/>
      <c r="M60" s="754"/>
      <c r="N60" s="754"/>
      <c r="O60" s="317">
        <f t="shared" si="15"/>
        <v>0</v>
      </c>
      <c r="P60" s="755">
        <f t="shared" si="16"/>
        <v>44</v>
      </c>
      <c r="Q60" s="968">
        <f t="shared" si="5"/>
        <v>34</v>
      </c>
      <c r="R60" s="968">
        <f t="shared" si="6"/>
        <v>10</v>
      </c>
      <c r="S60" s="968">
        <f t="shared" si="7"/>
        <v>0</v>
      </c>
      <c r="T60" s="755">
        <f t="shared" si="17"/>
        <v>44</v>
      </c>
      <c r="W60" s="756">
        <f t="shared" si="9"/>
        <v>0</v>
      </c>
      <c r="X60" s="757">
        <f t="shared" si="10"/>
        <v>0</v>
      </c>
      <c r="Y60" s="758" t="str">
        <f t="shared" si="11"/>
        <v>NA</v>
      </c>
      <c r="Z60" s="759">
        <f t="shared" si="12"/>
        <v>0</v>
      </c>
    </row>
    <row r="61" spans="1:26" x14ac:dyDescent="0.25">
      <c r="A61" s="524" t="s">
        <v>136</v>
      </c>
      <c r="B61" s="457" t="s">
        <v>137</v>
      </c>
      <c r="C61" s="484" t="s">
        <v>266</v>
      </c>
      <c r="D61" s="753">
        <v>8</v>
      </c>
      <c r="E61" s="754">
        <v>6</v>
      </c>
      <c r="F61" s="754"/>
      <c r="G61" s="317">
        <f t="shared" si="13"/>
        <v>14</v>
      </c>
      <c r="H61" s="753">
        <v>2</v>
      </c>
      <c r="I61" s="754">
        <v>1</v>
      </c>
      <c r="J61" s="754"/>
      <c r="K61" s="317">
        <f t="shared" si="14"/>
        <v>3</v>
      </c>
      <c r="L61" s="753"/>
      <c r="M61" s="754"/>
      <c r="N61" s="754"/>
      <c r="O61" s="317">
        <f t="shared" si="15"/>
        <v>0</v>
      </c>
      <c r="P61" s="755">
        <f t="shared" si="16"/>
        <v>17</v>
      </c>
      <c r="Q61" s="968">
        <f t="shared" si="5"/>
        <v>10</v>
      </c>
      <c r="R61" s="968">
        <f t="shared" si="6"/>
        <v>7</v>
      </c>
      <c r="S61" s="968">
        <f t="shared" si="7"/>
        <v>0</v>
      </c>
      <c r="T61" s="755">
        <f t="shared" si="17"/>
        <v>17</v>
      </c>
      <c r="W61" s="756">
        <f t="shared" si="9"/>
        <v>0.2</v>
      </c>
      <c r="X61" s="757">
        <f t="shared" si="10"/>
        <v>0.14285714285714285</v>
      </c>
      <c r="Y61" s="758" t="str">
        <f t="shared" si="11"/>
        <v>NA</v>
      </c>
      <c r="Z61" s="759">
        <f t="shared" si="12"/>
        <v>0.17647058823529413</v>
      </c>
    </row>
    <row r="62" spans="1:26" x14ac:dyDescent="0.25">
      <c r="A62" s="524" t="s">
        <v>140</v>
      </c>
      <c r="B62" s="457" t="s">
        <v>141</v>
      </c>
      <c r="C62" s="484" t="s">
        <v>267</v>
      </c>
      <c r="D62" s="753">
        <v>12</v>
      </c>
      <c r="E62" s="754">
        <v>5</v>
      </c>
      <c r="F62" s="754">
        <v>1</v>
      </c>
      <c r="G62" s="317">
        <f t="shared" si="13"/>
        <v>18</v>
      </c>
      <c r="H62" s="753">
        <v>2</v>
      </c>
      <c r="I62" s="754">
        <v>2</v>
      </c>
      <c r="J62" s="754"/>
      <c r="K62" s="317">
        <f t="shared" si="14"/>
        <v>4</v>
      </c>
      <c r="L62" s="753"/>
      <c r="M62" s="754"/>
      <c r="N62" s="754"/>
      <c r="O62" s="317">
        <f t="shared" si="15"/>
        <v>0</v>
      </c>
      <c r="P62" s="755">
        <f t="shared" si="16"/>
        <v>22</v>
      </c>
      <c r="Q62" s="968">
        <f t="shared" si="5"/>
        <v>14</v>
      </c>
      <c r="R62" s="968">
        <f t="shared" si="6"/>
        <v>7</v>
      </c>
      <c r="S62" s="968">
        <f t="shared" si="7"/>
        <v>1</v>
      </c>
      <c r="T62" s="755">
        <f t="shared" si="17"/>
        <v>22</v>
      </c>
      <c r="W62" s="756">
        <f t="shared" si="9"/>
        <v>0.14285714285714285</v>
      </c>
      <c r="X62" s="757">
        <f t="shared" si="10"/>
        <v>0.2857142857142857</v>
      </c>
      <c r="Y62" s="758">
        <f t="shared" si="11"/>
        <v>0</v>
      </c>
      <c r="Z62" s="759">
        <f t="shared" si="12"/>
        <v>0.18181818181818182</v>
      </c>
    </row>
    <row r="63" spans="1:26" x14ac:dyDescent="0.25">
      <c r="A63" s="524" t="s">
        <v>146</v>
      </c>
      <c r="B63" s="457" t="s">
        <v>147</v>
      </c>
      <c r="C63" s="484" t="s">
        <v>264</v>
      </c>
      <c r="D63" s="753">
        <v>9</v>
      </c>
      <c r="E63" s="754">
        <v>4</v>
      </c>
      <c r="F63" s="754"/>
      <c r="G63" s="317">
        <f t="shared" si="13"/>
        <v>13</v>
      </c>
      <c r="H63" s="753"/>
      <c r="I63" s="754"/>
      <c r="J63" s="754"/>
      <c r="K63" s="317">
        <f t="shared" si="14"/>
        <v>0</v>
      </c>
      <c r="L63" s="753"/>
      <c r="M63" s="754"/>
      <c r="N63" s="754"/>
      <c r="O63" s="317">
        <f t="shared" si="15"/>
        <v>0</v>
      </c>
      <c r="P63" s="755">
        <f t="shared" si="16"/>
        <v>13</v>
      </c>
      <c r="Q63" s="968">
        <f t="shared" si="5"/>
        <v>9</v>
      </c>
      <c r="R63" s="968">
        <f t="shared" si="6"/>
        <v>4</v>
      </c>
      <c r="S63" s="968">
        <f t="shared" si="7"/>
        <v>0</v>
      </c>
      <c r="T63" s="755">
        <f t="shared" si="17"/>
        <v>13</v>
      </c>
      <c r="W63" s="756">
        <f t="shared" si="9"/>
        <v>0</v>
      </c>
      <c r="X63" s="757">
        <f t="shared" si="10"/>
        <v>0</v>
      </c>
      <c r="Y63" s="758" t="str">
        <f t="shared" si="11"/>
        <v>NA</v>
      </c>
      <c r="Z63" s="759">
        <f t="shared" si="12"/>
        <v>0</v>
      </c>
    </row>
    <row r="64" spans="1:26" x14ac:dyDescent="0.25">
      <c r="A64" s="524" t="s">
        <v>148</v>
      </c>
      <c r="B64" s="457" t="s">
        <v>149</v>
      </c>
      <c r="C64" s="484" t="s">
        <v>265</v>
      </c>
      <c r="D64" s="753">
        <v>26</v>
      </c>
      <c r="E64" s="754">
        <v>13</v>
      </c>
      <c r="F64" s="754"/>
      <c r="G64" s="317">
        <f t="shared" si="13"/>
        <v>39</v>
      </c>
      <c r="H64" s="753">
        <v>2</v>
      </c>
      <c r="I64" s="754">
        <v>2</v>
      </c>
      <c r="J64" s="754"/>
      <c r="K64" s="317">
        <f t="shared" si="14"/>
        <v>4</v>
      </c>
      <c r="L64" s="753"/>
      <c r="M64" s="754"/>
      <c r="N64" s="754"/>
      <c r="O64" s="317">
        <f t="shared" si="15"/>
        <v>0</v>
      </c>
      <c r="P64" s="755">
        <f t="shared" si="16"/>
        <v>43</v>
      </c>
      <c r="Q64" s="968">
        <f t="shared" si="5"/>
        <v>28</v>
      </c>
      <c r="R64" s="968">
        <f t="shared" si="6"/>
        <v>15</v>
      </c>
      <c r="S64" s="968">
        <f t="shared" si="7"/>
        <v>0</v>
      </c>
      <c r="T64" s="755">
        <f t="shared" si="17"/>
        <v>43</v>
      </c>
      <c r="W64" s="756">
        <f t="shared" si="9"/>
        <v>7.1428571428571425E-2</v>
      </c>
      <c r="X64" s="757">
        <f t="shared" si="10"/>
        <v>0.13333333333333333</v>
      </c>
      <c r="Y64" s="758" t="str">
        <f t="shared" si="11"/>
        <v>NA</v>
      </c>
      <c r="Z64" s="759">
        <f t="shared" si="12"/>
        <v>9.3023255813953487E-2</v>
      </c>
    </row>
    <row r="65" spans="1:26" x14ac:dyDescent="0.25">
      <c r="A65" s="524" t="s">
        <v>150</v>
      </c>
      <c r="B65" s="457" t="s">
        <v>151</v>
      </c>
      <c r="C65" s="484" t="s">
        <v>266</v>
      </c>
      <c r="D65" s="753">
        <v>8</v>
      </c>
      <c r="E65" s="754">
        <v>5</v>
      </c>
      <c r="F65" s="754"/>
      <c r="G65" s="317">
        <f t="shared" si="13"/>
        <v>13</v>
      </c>
      <c r="H65" s="753">
        <v>3</v>
      </c>
      <c r="I65" s="754">
        <v>1</v>
      </c>
      <c r="J65" s="754"/>
      <c r="K65" s="317">
        <f t="shared" si="14"/>
        <v>4</v>
      </c>
      <c r="L65" s="753"/>
      <c r="M65" s="754"/>
      <c r="N65" s="754"/>
      <c r="O65" s="317">
        <f t="shared" si="15"/>
        <v>0</v>
      </c>
      <c r="P65" s="755">
        <f t="shared" si="16"/>
        <v>17</v>
      </c>
      <c r="Q65" s="968">
        <f t="shared" si="5"/>
        <v>11</v>
      </c>
      <c r="R65" s="968">
        <f t="shared" si="6"/>
        <v>6</v>
      </c>
      <c r="S65" s="968">
        <f t="shared" si="7"/>
        <v>0</v>
      </c>
      <c r="T65" s="755">
        <f t="shared" si="17"/>
        <v>17</v>
      </c>
      <c r="W65" s="756">
        <f t="shared" si="9"/>
        <v>0.27272727272727271</v>
      </c>
      <c r="X65" s="757">
        <f t="shared" si="10"/>
        <v>0.16666666666666666</v>
      </c>
      <c r="Y65" s="758" t="str">
        <f t="shared" si="11"/>
        <v>NA</v>
      </c>
      <c r="Z65" s="759">
        <f t="shared" si="12"/>
        <v>0.23529411764705882</v>
      </c>
    </row>
    <row r="66" spans="1:26" x14ac:dyDescent="0.25">
      <c r="A66" s="524" t="s">
        <v>152</v>
      </c>
      <c r="B66" s="457" t="s">
        <v>153</v>
      </c>
      <c r="C66" s="484" t="s">
        <v>268</v>
      </c>
      <c r="D66" s="753">
        <v>46</v>
      </c>
      <c r="E66" s="754">
        <v>15</v>
      </c>
      <c r="F66" s="754"/>
      <c r="G66" s="317">
        <f t="shared" si="13"/>
        <v>61</v>
      </c>
      <c r="H66" s="753">
        <v>8</v>
      </c>
      <c r="I66" s="754">
        <v>9</v>
      </c>
      <c r="J66" s="754"/>
      <c r="K66" s="317">
        <f t="shared" si="14"/>
        <v>17</v>
      </c>
      <c r="L66" s="753"/>
      <c r="M66" s="754"/>
      <c r="N66" s="754"/>
      <c r="O66" s="317">
        <f t="shared" si="15"/>
        <v>0</v>
      </c>
      <c r="P66" s="755">
        <f t="shared" si="16"/>
        <v>78</v>
      </c>
      <c r="Q66" s="968">
        <f t="shared" si="5"/>
        <v>54</v>
      </c>
      <c r="R66" s="968">
        <f t="shared" si="6"/>
        <v>24</v>
      </c>
      <c r="S66" s="968">
        <f t="shared" si="7"/>
        <v>0</v>
      </c>
      <c r="T66" s="755">
        <f t="shared" si="17"/>
        <v>78</v>
      </c>
      <c r="W66" s="756">
        <f t="shared" si="9"/>
        <v>0.14814814814814814</v>
      </c>
      <c r="X66" s="757">
        <f t="shared" si="10"/>
        <v>0.375</v>
      </c>
      <c r="Y66" s="758" t="str">
        <f t="shared" si="11"/>
        <v>NA</v>
      </c>
      <c r="Z66" s="759">
        <f t="shared" si="12"/>
        <v>0.21794871794871795</v>
      </c>
    </row>
    <row r="67" spans="1:26" x14ac:dyDescent="0.25">
      <c r="A67" s="524" t="s">
        <v>154</v>
      </c>
      <c r="B67" s="457" t="s">
        <v>155</v>
      </c>
      <c r="C67" s="484" t="s">
        <v>265</v>
      </c>
      <c r="D67" s="753">
        <v>8</v>
      </c>
      <c r="E67" s="754">
        <v>5</v>
      </c>
      <c r="F67" s="754"/>
      <c r="G67" s="317">
        <f t="shared" si="13"/>
        <v>13</v>
      </c>
      <c r="H67" s="753">
        <v>4</v>
      </c>
      <c r="I67" s="754">
        <v>2</v>
      </c>
      <c r="J67" s="754"/>
      <c r="K67" s="317">
        <f t="shared" si="14"/>
        <v>6</v>
      </c>
      <c r="L67" s="753"/>
      <c r="M67" s="754"/>
      <c r="N67" s="754"/>
      <c r="O67" s="317">
        <f t="shared" si="15"/>
        <v>0</v>
      </c>
      <c r="P67" s="755">
        <f t="shared" si="16"/>
        <v>19</v>
      </c>
      <c r="Q67" s="968">
        <f t="shared" si="5"/>
        <v>12</v>
      </c>
      <c r="R67" s="968">
        <f t="shared" si="6"/>
        <v>7</v>
      </c>
      <c r="S67" s="968">
        <f t="shared" si="7"/>
        <v>0</v>
      </c>
      <c r="T67" s="755">
        <f t="shared" si="17"/>
        <v>19</v>
      </c>
      <c r="W67" s="756">
        <f t="shared" si="9"/>
        <v>0.33333333333333331</v>
      </c>
      <c r="X67" s="757">
        <f t="shared" si="10"/>
        <v>0.2857142857142857</v>
      </c>
      <c r="Y67" s="758" t="str">
        <f t="shared" si="11"/>
        <v>NA</v>
      </c>
      <c r="Z67" s="759">
        <f t="shared" si="12"/>
        <v>0.31578947368421051</v>
      </c>
    </row>
    <row r="68" spans="1:26" x14ac:dyDescent="0.25">
      <c r="A68" s="524" t="s">
        <v>156</v>
      </c>
      <c r="B68" s="457" t="s">
        <v>157</v>
      </c>
      <c r="C68" s="484" t="s">
        <v>266</v>
      </c>
      <c r="D68" s="753">
        <v>9</v>
      </c>
      <c r="E68" s="754">
        <v>6</v>
      </c>
      <c r="F68" s="754"/>
      <c r="G68" s="317">
        <f t="shared" si="13"/>
        <v>15</v>
      </c>
      <c r="H68" s="753">
        <v>1</v>
      </c>
      <c r="I68" s="754">
        <v>1</v>
      </c>
      <c r="J68" s="754">
        <v>4</v>
      </c>
      <c r="K68" s="317">
        <f t="shared" si="14"/>
        <v>6</v>
      </c>
      <c r="L68" s="753"/>
      <c r="M68" s="754"/>
      <c r="N68" s="754"/>
      <c r="O68" s="317">
        <f t="shared" si="15"/>
        <v>0</v>
      </c>
      <c r="P68" s="755">
        <f t="shared" si="16"/>
        <v>21</v>
      </c>
      <c r="Q68" s="968">
        <f t="shared" si="5"/>
        <v>10</v>
      </c>
      <c r="R68" s="968">
        <f t="shared" si="6"/>
        <v>7</v>
      </c>
      <c r="S68" s="968">
        <f t="shared" si="7"/>
        <v>4</v>
      </c>
      <c r="T68" s="755">
        <f t="shared" si="17"/>
        <v>21</v>
      </c>
      <c r="W68" s="756">
        <f t="shared" si="9"/>
        <v>0.1</v>
      </c>
      <c r="X68" s="757">
        <f t="shared" si="10"/>
        <v>0.14285714285714285</v>
      </c>
      <c r="Y68" s="758">
        <f t="shared" si="11"/>
        <v>1</v>
      </c>
      <c r="Z68" s="759">
        <f t="shared" si="12"/>
        <v>0.2857142857142857</v>
      </c>
    </row>
    <row r="69" spans="1:26" x14ac:dyDescent="0.25">
      <c r="A69" s="524" t="s">
        <v>162</v>
      </c>
      <c r="B69" s="457" t="s">
        <v>163</v>
      </c>
      <c r="C69" s="484" t="s">
        <v>264</v>
      </c>
      <c r="D69" s="753">
        <v>21</v>
      </c>
      <c r="E69" s="754">
        <v>10</v>
      </c>
      <c r="F69" s="754"/>
      <c r="G69" s="317">
        <f t="shared" si="13"/>
        <v>31</v>
      </c>
      <c r="H69" s="753">
        <v>8</v>
      </c>
      <c r="I69" s="754">
        <v>3</v>
      </c>
      <c r="J69" s="754">
        <v>1</v>
      </c>
      <c r="K69" s="317">
        <f t="shared" si="14"/>
        <v>12</v>
      </c>
      <c r="L69" s="753"/>
      <c r="M69" s="754"/>
      <c r="N69" s="754"/>
      <c r="O69" s="317">
        <f t="shared" si="15"/>
        <v>0</v>
      </c>
      <c r="P69" s="755">
        <f t="shared" si="16"/>
        <v>43</v>
      </c>
      <c r="Q69" s="968">
        <f t="shared" si="5"/>
        <v>29</v>
      </c>
      <c r="R69" s="968">
        <f t="shared" si="6"/>
        <v>13</v>
      </c>
      <c r="S69" s="968">
        <f t="shared" si="7"/>
        <v>1</v>
      </c>
      <c r="T69" s="755">
        <f t="shared" si="17"/>
        <v>43</v>
      </c>
      <c r="W69" s="756">
        <f t="shared" si="9"/>
        <v>0.27586206896551724</v>
      </c>
      <c r="X69" s="757">
        <f t="shared" si="10"/>
        <v>0.23076923076923078</v>
      </c>
      <c r="Y69" s="758">
        <f t="shared" si="11"/>
        <v>1</v>
      </c>
      <c r="Z69" s="759">
        <f t="shared" si="12"/>
        <v>0.27906976744186046</v>
      </c>
    </row>
    <row r="70" spans="1:26" x14ac:dyDescent="0.25">
      <c r="A70" s="524" t="s">
        <v>164</v>
      </c>
      <c r="B70" s="457" t="s">
        <v>165</v>
      </c>
      <c r="C70" s="484" t="s">
        <v>266</v>
      </c>
      <c r="D70" s="753">
        <v>11</v>
      </c>
      <c r="E70" s="754">
        <v>7</v>
      </c>
      <c r="F70" s="754"/>
      <c r="G70" s="317">
        <f t="shared" ref="G70:G101" si="18">SUM(D70:F70)</f>
        <v>18</v>
      </c>
      <c r="H70" s="753">
        <v>1</v>
      </c>
      <c r="I70" s="754">
        <v>1</v>
      </c>
      <c r="J70" s="754"/>
      <c r="K70" s="317">
        <f t="shared" ref="K70:K101" si="19">SUM(H70:J70)</f>
        <v>2</v>
      </c>
      <c r="L70" s="753">
        <v>1</v>
      </c>
      <c r="M70" s="754"/>
      <c r="N70" s="754"/>
      <c r="O70" s="317">
        <f t="shared" ref="O70:O101" si="20">SUM(L70:N70)</f>
        <v>1</v>
      </c>
      <c r="P70" s="755">
        <f t="shared" ref="P70:P101" si="21">G70+K70+O70</f>
        <v>21</v>
      </c>
      <c r="Q70" s="968">
        <f t="shared" si="5"/>
        <v>12</v>
      </c>
      <c r="R70" s="968">
        <f t="shared" si="6"/>
        <v>8</v>
      </c>
      <c r="S70" s="968">
        <f t="shared" si="7"/>
        <v>0</v>
      </c>
      <c r="T70" s="755">
        <f t="shared" si="17"/>
        <v>20</v>
      </c>
      <c r="W70" s="756">
        <f t="shared" si="9"/>
        <v>8.3333333333333329E-2</v>
      </c>
      <c r="X70" s="757">
        <f t="shared" si="10"/>
        <v>0.125</v>
      </c>
      <c r="Y70" s="758" t="str">
        <f t="shared" si="11"/>
        <v>NA</v>
      </c>
      <c r="Z70" s="759">
        <f t="shared" si="12"/>
        <v>0.1</v>
      </c>
    </row>
    <row r="71" spans="1:26" x14ac:dyDescent="0.25">
      <c r="A71" s="524" t="s">
        <v>168</v>
      </c>
      <c r="B71" s="457" t="s">
        <v>169</v>
      </c>
      <c r="C71" s="484" t="s">
        <v>266</v>
      </c>
      <c r="D71" s="753">
        <v>17</v>
      </c>
      <c r="E71" s="754">
        <v>8</v>
      </c>
      <c r="F71" s="754"/>
      <c r="G71" s="317">
        <f t="shared" si="18"/>
        <v>25</v>
      </c>
      <c r="H71" s="753">
        <v>2</v>
      </c>
      <c r="I71" s="754">
        <v>1</v>
      </c>
      <c r="J71" s="754"/>
      <c r="K71" s="317">
        <f t="shared" si="19"/>
        <v>3</v>
      </c>
      <c r="L71" s="753"/>
      <c r="M71" s="754"/>
      <c r="N71" s="754"/>
      <c r="O71" s="317">
        <f t="shared" si="20"/>
        <v>0</v>
      </c>
      <c r="P71" s="755">
        <f t="shared" si="21"/>
        <v>28</v>
      </c>
      <c r="Q71" s="968">
        <f t="shared" ref="Q71:Q126" si="22">D71+H71</f>
        <v>19</v>
      </c>
      <c r="R71" s="968">
        <f t="shared" ref="R71:R126" si="23">E71+I71</f>
        <v>9</v>
      </c>
      <c r="S71" s="968">
        <f t="shared" ref="S71:S126" si="24">F71+J71</f>
        <v>0</v>
      </c>
      <c r="T71" s="755">
        <f t="shared" ref="T71:T102" si="25">G71+K71</f>
        <v>28</v>
      </c>
      <c r="W71" s="756">
        <f t="shared" ref="W71:W126" si="26">IF((D71+H71)=0,"NA",(H71/(D71+H71)))</f>
        <v>0.10526315789473684</v>
      </c>
      <c r="X71" s="757">
        <f t="shared" ref="X71:X126" si="27">IF((E71+I71)=0,"NA",(I71/(E71+I71)))</f>
        <v>0.1111111111111111</v>
      </c>
      <c r="Y71" s="758" t="str">
        <f t="shared" ref="Y71:Y126" si="28">IF((F71+J71)=0,"NA",(J71/(F71+J71)))</f>
        <v>NA</v>
      </c>
      <c r="Z71" s="759">
        <f t="shared" ref="Z71:Z126" si="29">IF((G71+K71)=0,"NA",(K71/(G71+K71)))</f>
        <v>0.10714285714285714</v>
      </c>
    </row>
    <row r="72" spans="1:26" x14ac:dyDescent="0.25">
      <c r="A72" s="524" t="s">
        <v>170</v>
      </c>
      <c r="B72" s="457" t="s">
        <v>171</v>
      </c>
      <c r="C72" s="484" t="s">
        <v>267</v>
      </c>
      <c r="D72" s="753">
        <v>20</v>
      </c>
      <c r="E72" s="754">
        <v>11</v>
      </c>
      <c r="F72" s="754"/>
      <c r="G72" s="317">
        <f t="shared" si="18"/>
        <v>31</v>
      </c>
      <c r="H72" s="753">
        <v>7</v>
      </c>
      <c r="I72" s="754">
        <v>6</v>
      </c>
      <c r="J72" s="754"/>
      <c r="K72" s="317">
        <f t="shared" si="19"/>
        <v>13</v>
      </c>
      <c r="L72" s="753">
        <v>1</v>
      </c>
      <c r="M72" s="754">
        <v>1</v>
      </c>
      <c r="N72" s="754"/>
      <c r="O72" s="317">
        <f t="shared" si="20"/>
        <v>2</v>
      </c>
      <c r="P72" s="755">
        <f t="shared" si="21"/>
        <v>46</v>
      </c>
      <c r="Q72" s="968">
        <f t="shared" si="22"/>
        <v>27</v>
      </c>
      <c r="R72" s="968">
        <f t="shared" si="23"/>
        <v>17</v>
      </c>
      <c r="S72" s="968">
        <f t="shared" si="24"/>
        <v>0</v>
      </c>
      <c r="T72" s="755">
        <f t="shared" si="25"/>
        <v>44</v>
      </c>
      <c r="W72" s="756">
        <f t="shared" si="26"/>
        <v>0.25925925925925924</v>
      </c>
      <c r="X72" s="757">
        <f t="shared" si="27"/>
        <v>0.35294117647058826</v>
      </c>
      <c r="Y72" s="758" t="str">
        <f t="shared" si="28"/>
        <v>NA</v>
      </c>
      <c r="Z72" s="759">
        <f t="shared" si="29"/>
        <v>0.29545454545454547</v>
      </c>
    </row>
    <row r="73" spans="1:26" x14ac:dyDescent="0.25">
      <c r="A73" s="524" t="s">
        <v>172</v>
      </c>
      <c r="B73" s="457" t="s">
        <v>173</v>
      </c>
      <c r="C73" s="484" t="s">
        <v>267</v>
      </c>
      <c r="D73" s="753">
        <v>20</v>
      </c>
      <c r="E73" s="754">
        <v>6</v>
      </c>
      <c r="F73" s="754"/>
      <c r="G73" s="317">
        <f t="shared" si="18"/>
        <v>26</v>
      </c>
      <c r="H73" s="753">
        <v>1</v>
      </c>
      <c r="I73" s="754">
        <v>2</v>
      </c>
      <c r="J73" s="754"/>
      <c r="K73" s="317">
        <f t="shared" si="19"/>
        <v>3</v>
      </c>
      <c r="L73" s="753"/>
      <c r="M73" s="754"/>
      <c r="N73" s="754"/>
      <c r="O73" s="317">
        <f t="shared" si="20"/>
        <v>0</v>
      </c>
      <c r="P73" s="755">
        <f t="shared" si="21"/>
        <v>29</v>
      </c>
      <c r="Q73" s="968">
        <f t="shared" si="22"/>
        <v>21</v>
      </c>
      <c r="R73" s="968">
        <f t="shared" si="23"/>
        <v>8</v>
      </c>
      <c r="S73" s="968">
        <f t="shared" si="24"/>
        <v>0</v>
      </c>
      <c r="T73" s="755">
        <f t="shared" si="25"/>
        <v>29</v>
      </c>
      <c r="W73" s="756">
        <f t="shared" si="26"/>
        <v>4.7619047619047616E-2</v>
      </c>
      <c r="X73" s="757">
        <f t="shared" si="27"/>
        <v>0.25</v>
      </c>
      <c r="Y73" s="758" t="str">
        <f t="shared" si="28"/>
        <v>NA</v>
      </c>
      <c r="Z73" s="759">
        <f t="shared" si="29"/>
        <v>0.10344827586206896</v>
      </c>
    </row>
    <row r="74" spans="1:26" x14ac:dyDescent="0.25">
      <c r="A74" s="524" t="s">
        <v>174</v>
      </c>
      <c r="B74" s="457" t="s">
        <v>175</v>
      </c>
      <c r="C74" s="484" t="s">
        <v>268</v>
      </c>
      <c r="D74" s="753">
        <v>17</v>
      </c>
      <c r="E74" s="754">
        <v>7</v>
      </c>
      <c r="F74" s="754"/>
      <c r="G74" s="317">
        <f t="shared" si="18"/>
        <v>24</v>
      </c>
      <c r="H74" s="753">
        <v>4</v>
      </c>
      <c r="I74" s="754">
        <v>1</v>
      </c>
      <c r="J74" s="754">
        <v>1</v>
      </c>
      <c r="K74" s="317">
        <f t="shared" si="19"/>
        <v>6</v>
      </c>
      <c r="L74" s="753"/>
      <c r="M74" s="754"/>
      <c r="N74" s="754"/>
      <c r="O74" s="317">
        <f t="shared" si="20"/>
        <v>0</v>
      </c>
      <c r="P74" s="755">
        <f t="shared" si="21"/>
        <v>30</v>
      </c>
      <c r="Q74" s="968">
        <f t="shared" si="22"/>
        <v>21</v>
      </c>
      <c r="R74" s="968">
        <f t="shared" si="23"/>
        <v>8</v>
      </c>
      <c r="S74" s="968">
        <f t="shared" si="24"/>
        <v>1</v>
      </c>
      <c r="T74" s="755">
        <f t="shared" si="25"/>
        <v>30</v>
      </c>
      <c r="W74" s="756">
        <f t="shared" si="26"/>
        <v>0.19047619047619047</v>
      </c>
      <c r="X74" s="757">
        <f t="shared" si="27"/>
        <v>0.125</v>
      </c>
      <c r="Y74" s="758">
        <f t="shared" si="28"/>
        <v>1</v>
      </c>
      <c r="Z74" s="759">
        <f t="shared" si="29"/>
        <v>0.2</v>
      </c>
    </row>
    <row r="75" spans="1:26" x14ac:dyDescent="0.25">
      <c r="A75" s="524" t="s">
        <v>178</v>
      </c>
      <c r="B75" s="457" t="s">
        <v>179</v>
      </c>
      <c r="C75" s="484" t="s">
        <v>265</v>
      </c>
      <c r="D75" s="753">
        <v>49</v>
      </c>
      <c r="E75" s="754">
        <v>19</v>
      </c>
      <c r="F75" s="754"/>
      <c r="G75" s="317">
        <f t="shared" si="18"/>
        <v>68</v>
      </c>
      <c r="H75" s="753">
        <v>5</v>
      </c>
      <c r="I75" s="754">
        <v>2</v>
      </c>
      <c r="J75" s="754"/>
      <c r="K75" s="317">
        <f t="shared" si="19"/>
        <v>7</v>
      </c>
      <c r="L75" s="753"/>
      <c r="M75" s="754"/>
      <c r="N75" s="754"/>
      <c r="O75" s="317">
        <f t="shared" si="20"/>
        <v>0</v>
      </c>
      <c r="P75" s="755">
        <f t="shared" si="21"/>
        <v>75</v>
      </c>
      <c r="Q75" s="968">
        <f t="shared" si="22"/>
        <v>54</v>
      </c>
      <c r="R75" s="968">
        <f t="shared" si="23"/>
        <v>21</v>
      </c>
      <c r="S75" s="968">
        <f t="shared" si="24"/>
        <v>0</v>
      </c>
      <c r="T75" s="755">
        <f t="shared" si="25"/>
        <v>75</v>
      </c>
      <c r="W75" s="756">
        <f t="shared" si="26"/>
        <v>9.2592592592592587E-2</v>
      </c>
      <c r="X75" s="757">
        <f t="shared" si="27"/>
        <v>9.5238095238095233E-2</v>
      </c>
      <c r="Y75" s="758" t="str">
        <f t="shared" si="28"/>
        <v>NA</v>
      </c>
      <c r="Z75" s="759">
        <f t="shared" si="29"/>
        <v>9.3333333333333338E-2</v>
      </c>
    </row>
    <row r="76" spans="1:26" x14ac:dyDescent="0.25">
      <c r="A76" s="524" t="s">
        <v>182</v>
      </c>
      <c r="B76" s="457" t="s">
        <v>183</v>
      </c>
      <c r="C76" s="484" t="s">
        <v>266</v>
      </c>
      <c r="D76" s="753">
        <v>12</v>
      </c>
      <c r="E76" s="754">
        <v>7</v>
      </c>
      <c r="F76" s="754"/>
      <c r="G76" s="317">
        <f t="shared" si="18"/>
        <v>19</v>
      </c>
      <c r="H76" s="753">
        <v>4</v>
      </c>
      <c r="I76" s="754">
        <v>2</v>
      </c>
      <c r="J76" s="754">
        <v>2</v>
      </c>
      <c r="K76" s="317">
        <f t="shared" si="19"/>
        <v>8</v>
      </c>
      <c r="L76" s="753">
        <v>1</v>
      </c>
      <c r="M76" s="754"/>
      <c r="N76" s="754"/>
      <c r="O76" s="317">
        <f t="shared" si="20"/>
        <v>1</v>
      </c>
      <c r="P76" s="755">
        <f t="shared" si="21"/>
        <v>28</v>
      </c>
      <c r="Q76" s="968">
        <f t="shared" si="22"/>
        <v>16</v>
      </c>
      <c r="R76" s="968">
        <f t="shared" si="23"/>
        <v>9</v>
      </c>
      <c r="S76" s="968">
        <f t="shared" si="24"/>
        <v>2</v>
      </c>
      <c r="T76" s="755">
        <f t="shared" si="25"/>
        <v>27</v>
      </c>
      <c r="W76" s="756">
        <f t="shared" si="26"/>
        <v>0.25</v>
      </c>
      <c r="X76" s="757">
        <f t="shared" si="27"/>
        <v>0.22222222222222221</v>
      </c>
      <c r="Y76" s="758">
        <f t="shared" si="28"/>
        <v>1</v>
      </c>
      <c r="Z76" s="759">
        <f t="shared" si="29"/>
        <v>0.29629629629629628</v>
      </c>
    </row>
    <row r="77" spans="1:26" x14ac:dyDescent="0.25">
      <c r="A77" s="524" t="s">
        <v>184</v>
      </c>
      <c r="B77" s="457" t="s">
        <v>185</v>
      </c>
      <c r="C77" s="484" t="s">
        <v>266</v>
      </c>
      <c r="D77" s="753">
        <v>23</v>
      </c>
      <c r="E77" s="754">
        <v>9</v>
      </c>
      <c r="F77" s="754">
        <v>1</v>
      </c>
      <c r="G77" s="317">
        <f t="shared" si="18"/>
        <v>33</v>
      </c>
      <c r="H77" s="753">
        <v>4</v>
      </c>
      <c r="I77" s="754">
        <v>4</v>
      </c>
      <c r="J77" s="754">
        <v>2</v>
      </c>
      <c r="K77" s="317">
        <f t="shared" si="19"/>
        <v>10</v>
      </c>
      <c r="L77" s="753"/>
      <c r="M77" s="754"/>
      <c r="N77" s="754"/>
      <c r="O77" s="317">
        <f t="shared" si="20"/>
        <v>0</v>
      </c>
      <c r="P77" s="755">
        <f t="shared" si="21"/>
        <v>43</v>
      </c>
      <c r="Q77" s="968">
        <f t="shared" si="22"/>
        <v>27</v>
      </c>
      <c r="R77" s="968">
        <f t="shared" si="23"/>
        <v>13</v>
      </c>
      <c r="S77" s="968">
        <f t="shared" si="24"/>
        <v>3</v>
      </c>
      <c r="T77" s="755">
        <f t="shared" si="25"/>
        <v>43</v>
      </c>
      <c r="W77" s="756">
        <f t="shared" si="26"/>
        <v>0.14814814814814814</v>
      </c>
      <c r="X77" s="757">
        <f t="shared" si="27"/>
        <v>0.30769230769230771</v>
      </c>
      <c r="Y77" s="758">
        <f t="shared" si="28"/>
        <v>0.66666666666666663</v>
      </c>
      <c r="Z77" s="759">
        <f t="shared" si="29"/>
        <v>0.23255813953488372</v>
      </c>
    </row>
    <row r="78" spans="1:26" x14ac:dyDescent="0.25">
      <c r="A78" s="524" t="s">
        <v>186</v>
      </c>
      <c r="B78" s="457" t="s">
        <v>187</v>
      </c>
      <c r="C78" s="484" t="s">
        <v>264</v>
      </c>
      <c r="D78" s="753">
        <v>10</v>
      </c>
      <c r="E78" s="754">
        <v>11</v>
      </c>
      <c r="F78" s="754"/>
      <c r="G78" s="317">
        <f t="shared" si="18"/>
        <v>21</v>
      </c>
      <c r="H78" s="753">
        <v>3</v>
      </c>
      <c r="I78" s="754">
        <v>2</v>
      </c>
      <c r="J78" s="754">
        <v>2</v>
      </c>
      <c r="K78" s="317">
        <f t="shared" si="19"/>
        <v>7</v>
      </c>
      <c r="L78" s="753">
        <v>2</v>
      </c>
      <c r="M78" s="754">
        <v>1</v>
      </c>
      <c r="N78" s="754"/>
      <c r="O78" s="317">
        <f t="shared" si="20"/>
        <v>3</v>
      </c>
      <c r="P78" s="755">
        <f t="shared" si="21"/>
        <v>31</v>
      </c>
      <c r="Q78" s="968">
        <f t="shared" si="22"/>
        <v>13</v>
      </c>
      <c r="R78" s="968">
        <f t="shared" si="23"/>
        <v>13</v>
      </c>
      <c r="S78" s="968">
        <f t="shared" si="24"/>
        <v>2</v>
      </c>
      <c r="T78" s="755">
        <f t="shared" si="25"/>
        <v>28</v>
      </c>
      <c r="W78" s="756">
        <f t="shared" si="26"/>
        <v>0.23076923076923078</v>
      </c>
      <c r="X78" s="757">
        <f t="shared" si="27"/>
        <v>0.15384615384615385</v>
      </c>
      <c r="Y78" s="758">
        <f t="shared" si="28"/>
        <v>1</v>
      </c>
      <c r="Z78" s="759">
        <f t="shared" si="29"/>
        <v>0.25</v>
      </c>
    </row>
    <row r="79" spans="1:26" x14ac:dyDescent="0.25">
      <c r="A79" s="524" t="s">
        <v>188</v>
      </c>
      <c r="B79" s="457" t="s">
        <v>189</v>
      </c>
      <c r="C79" s="484" t="s">
        <v>267</v>
      </c>
      <c r="D79" s="753">
        <v>174</v>
      </c>
      <c r="E79" s="754">
        <v>63</v>
      </c>
      <c r="F79" s="754">
        <v>2</v>
      </c>
      <c r="G79" s="317">
        <f t="shared" si="18"/>
        <v>239</v>
      </c>
      <c r="H79" s="753">
        <v>44</v>
      </c>
      <c r="I79" s="754">
        <v>34</v>
      </c>
      <c r="J79" s="754"/>
      <c r="K79" s="317">
        <f t="shared" si="19"/>
        <v>78</v>
      </c>
      <c r="L79" s="753">
        <v>6</v>
      </c>
      <c r="M79" s="754"/>
      <c r="N79" s="754"/>
      <c r="O79" s="317">
        <f t="shared" si="20"/>
        <v>6</v>
      </c>
      <c r="P79" s="755">
        <f t="shared" si="21"/>
        <v>323</v>
      </c>
      <c r="Q79" s="968">
        <f t="shared" si="22"/>
        <v>218</v>
      </c>
      <c r="R79" s="968">
        <f t="shared" si="23"/>
        <v>97</v>
      </c>
      <c r="S79" s="968">
        <f t="shared" si="24"/>
        <v>2</v>
      </c>
      <c r="T79" s="755">
        <f t="shared" si="25"/>
        <v>317</v>
      </c>
      <c r="W79" s="756">
        <f t="shared" si="26"/>
        <v>0.20183486238532111</v>
      </c>
      <c r="X79" s="757">
        <f t="shared" si="27"/>
        <v>0.35051546391752575</v>
      </c>
      <c r="Y79" s="758">
        <f t="shared" si="28"/>
        <v>0</v>
      </c>
      <c r="Z79" s="759">
        <f t="shared" si="29"/>
        <v>0.24605678233438485</v>
      </c>
    </row>
    <row r="80" spans="1:26" x14ac:dyDescent="0.25">
      <c r="A80" s="524" t="s">
        <v>190</v>
      </c>
      <c r="B80" s="457" t="s">
        <v>191</v>
      </c>
      <c r="C80" s="484" t="s">
        <v>268</v>
      </c>
      <c r="D80" s="753">
        <v>32</v>
      </c>
      <c r="E80" s="754">
        <v>21</v>
      </c>
      <c r="F80" s="754"/>
      <c r="G80" s="317">
        <f t="shared" si="18"/>
        <v>53</v>
      </c>
      <c r="H80" s="753">
        <v>12</v>
      </c>
      <c r="I80" s="754">
        <v>2</v>
      </c>
      <c r="J80" s="754">
        <v>1</v>
      </c>
      <c r="K80" s="317">
        <f t="shared" si="19"/>
        <v>15</v>
      </c>
      <c r="L80" s="753"/>
      <c r="M80" s="754"/>
      <c r="N80" s="754"/>
      <c r="O80" s="317">
        <f t="shared" si="20"/>
        <v>0</v>
      </c>
      <c r="P80" s="755">
        <f t="shared" si="21"/>
        <v>68</v>
      </c>
      <c r="Q80" s="968">
        <f t="shared" si="22"/>
        <v>44</v>
      </c>
      <c r="R80" s="968">
        <f t="shared" si="23"/>
        <v>23</v>
      </c>
      <c r="S80" s="968">
        <f t="shared" si="24"/>
        <v>1</v>
      </c>
      <c r="T80" s="755">
        <f t="shared" si="25"/>
        <v>68</v>
      </c>
      <c r="W80" s="756">
        <f t="shared" si="26"/>
        <v>0.27272727272727271</v>
      </c>
      <c r="X80" s="757">
        <f t="shared" si="27"/>
        <v>8.6956521739130432E-2</v>
      </c>
      <c r="Y80" s="758">
        <f t="shared" si="28"/>
        <v>1</v>
      </c>
      <c r="Z80" s="759">
        <f t="shared" si="29"/>
        <v>0.22058823529411764</v>
      </c>
    </row>
    <row r="81" spans="1:26" x14ac:dyDescent="0.25">
      <c r="A81" s="524" t="s">
        <v>194</v>
      </c>
      <c r="B81" s="457" t="s">
        <v>195</v>
      </c>
      <c r="C81" s="484" t="s">
        <v>267</v>
      </c>
      <c r="D81" s="753">
        <v>5</v>
      </c>
      <c r="E81" s="754">
        <v>4</v>
      </c>
      <c r="F81" s="754"/>
      <c r="G81" s="317">
        <f t="shared" si="18"/>
        <v>9</v>
      </c>
      <c r="H81" s="753">
        <v>3</v>
      </c>
      <c r="I81" s="754"/>
      <c r="J81" s="754"/>
      <c r="K81" s="317">
        <f t="shared" si="19"/>
        <v>3</v>
      </c>
      <c r="L81" s="753"/>
      <c r="M81" s="754"/>
      <c r="N81" s="754"/>
      <c r="O81" s="317">
        <f t="shared" si="20"/>
        <v>0</v>
      </c>
      <c r="P81" s="755">
        <f t="shared" si="21"/>
        <v>12</v>
      </c>
      <c r="Q81" s="968">
        <f t="shared" si="22"/>
        <v>8</v>
      </c>
      <c r="R81" s="968">
        <f t="shared" si="23"/>
        <v>4</v>
      </c>
      <c r="S81" s="968">
        <f t="shared" si="24"/>
        <v>0</v>
      </c>
      <c r="T81" s="755">
        <f t="shared" si="25"/>
        <v>12</v>
      </c>
      <c r="W81" s="756">
        <f t="shared" si="26"/>
        <v>0.375</v>
      </c>
      <c r="X81" s="757">
        <f t="shared" si="27"/>
        <v>0</v>
      </c>
      <c r="Y81" s="758" t="str">
        <f t="shared" si="28"/>
        <v>NA</v>
      </c>
      <c r="Z81" s="759">
        <f t="shared" si="29"/>
        <v>0.25</v>
      </c>
    </row>
    <row r="82" spans="1:26" x14ac:dyDescent="0.25">
      <c r="A82" s="524" t="s">
        <v>198</v>
      </c>
      <c r="B82" s="457" t="s">
        <v>199</v>
      </c>
      <c r="C82" s="484" t="s">
        <v>266</v>
      </c>
      <c r="D82" s="753">
        <v>5</v>
      </c>
      <c r="E82" s="754">
        <v>6</v>
      </c>
      <c r="F82" s="754"/>
      <c r="G82" s="317">
        <f t="shared" si="18"/>
        <v>11</v>
      </c>
      <c r="H82" s="753">
        <v>5</v>
      </c>
      <c r="I82" s="754">
        <v>2</v>
      </c>
      <c r="J82" s="754"/>
      <c r="K82" s="317">
        <f t="shared" si="19"/>
        <v>7</v>
      </c>
      <c r="L82" s="753">
        <v>1</v>
      </c>
      <c r="M82" s="754"/>
      <c r="N82" s="754"/>
      <c r="O82" s="317">
        <f t="shared" si="20"/>
        <v>1</v>
      </c>
      <c r="P82" s="755">
        <f t="shared" si="21"/>
        <v>19</v>
      </c>
      <c r="Q82" s="968">
        <f t="shared" si="22"/>
        <v>10</v>
      </c>
      <c r="R82" s="968">
        <f t="shared" si="23"/>
        <v>8</v>
      </c>
      <c r="S82" s="968">
        <f t="shared" si="24"/>
        <v>0</v>
      </c>
      <c r="T82" s="755">
        <f t="shared" si="25"/>
        <v>18</v>
      </c>
      <c r="W82" s="756">
        <f t="shared" si="26"/>
        <v>0.5</v>
      </c>
      <c r="X82" s="757">
        <f t="shared" si="27"/>
        <v>0.25</v>
      </c>
      <c r="Y82" s="758" t="str">
        <f t="shared" si="28"/>
        <v>NA</v>
      </c>
      <c r="Z82" s="759">
        <f t="shared" si="29"/>
        <v>0.3888888888888889</v>
      </c>
    </row>
    <row r="83" spans="1:26" x14ac:dyDescent="0.25">
      <c r="A83" s="524" t="s">
        <v>202</v>
      </c>
      <c r="B83" s="457" t="s">
        <v>611</v>
      </c>
      <c r="C83" s="484" t="s">
        <v>265</v>
      </c>
      <c r="D83" s="753">
        <v>72</v>
      </c>
      <c r="E83" s="754">
        <v>25</v>
      </c>
      <c r="F83" s="754"/>
      <c r="G83" s="317">
        <f t="shared" si="18"/>
        <v>97</v>
      </c>
      <c r="H83" s="753">
        <v>7</v>
      </c>
      <c r="I83" s="754">
        <v>1</v>
      </c>
      <c r="J83" s="754"/>
      <c r="K83" s="317">
        <f t="shared" si="19"/>
        <v>8</v>
      </c>
      <c r="L83" s="753"/>
      <c r="M83" s="754"/>
      <c r="N83" s="754"/>
      <c r="O83" s="317">
        <f t="shared" si="20"/>
        <v>0</v>
      </c>
      <c r="P83" s="755">
        <f t="shared" si="21"/>
        <v>105</v>
      </c>
      <c r="Q83" s="968">
        <f t="shared" si="22"/>
        <v>79</v>
      </c>
      <c r="R83" s="968">
        <f t="shared" si="23"/>
        <v>26</v>
      </c>
      <c r="S83" s="968">
        <f t="shared" si="24"/>
        <v>0</v>
      </c>
      <c r="T83" s="755">
        <f t="shared" si="25"/>
        <v>105</v>
      </c>
      <c r="W83" s="756">
        <f t="shared" si="26"/>
        <v>8.8607594936708861E-2</v>
      </c>
      <c r="X83" s="757">
        <f t="shared" si="27"/>
        <v>3.8461538461538464E-2</v>
      </c>
      <c r="Y83" s="758" t="str">
        <f t="shared" si="28"/>
        <v>NA</v>
      </c>
      <c r="Z83" s="759">
        <f t="shared" si="29"/>
        <v>7.6190476190476197E-2</v>
      </c>
    </row>
    <row r="84" spans="1:26" x14ac:dyDescent="0.25">
      <c r="A84" s="524" t="s">
        <v>204</v>
      </c>
      <c r="B84" s="457" t="s">
        <v>293</v>
      </c>
      <c r="C84" s="484" t="s">
        <v>265</v>
      </c>
      <c r="D84" s="753">
        <v>21</v>
      </c>
      <c r="E84" s="754">
        <v>9</v>
      </c>
      <c r="F84" s="754"/>
      <c r="G84" s="317">
        <f t="shared" si="18"/>
        <v>30</v>
      </c>
      <c r="H84" s="753">
        <v>6</v>
      </c>
      <c r="I84" s="754">
        <v>4</v>
      </c>
      <c r="J84" s="754"/>
      <c r="K84" s="317">
        <f t="shared" si="19"/>
        <v>10</v>
      </c>
      <c r="L84" s="753"/>
      <c r="M84" s="754"/>
      <c r="N84" s="754"/>
      <c r="O84" s="317">
        <f t="shared" si="20"/>
        <v>0</v>
      </c>
      <c r="P84" s="755">
        <f t="shared" si="21"/>
        <v>40</v>
      </c>
      <c r="Q84" s="968">
        <f t="shared" si="22"/>
        <v>27</v>
      </c>
      <c r="R84" s="968">
        <f t="shared" si="23"/>
        <v>13</v>
      </c>
      <c r="S84" s="968">
        <f t="shared" si="24"/>
        <v>0</v>
      </c>
      <c r="T84" s="755">
        <f t="shared" si="25"/>
        <v>40</v>
      </c>
      <c r="W84" s="756">
        <f t="shared" si="26"/>
        <v>0.22222222222222221</v>
      </c>
      <c r="X84" s="757">
        <f t="shared" si="27"/>
        <v>0.30769230769230771</v>
      </c>
      <c r="Y84" s="758" t="str">
        <f t="shared" si="28"/>
        <v>NA</v>
      </c>
      <c r="Z84" s="759">
        <f t="shared" si="29"/>
        <v>0.25</v>
      </c>
    </row>
    <row r="85" spans="1:26" x14ac:dyDescent="0.25">
      <c r="A85" s="524" t="s">
        <v>206</v>
      </c>
      <c r="B85" s="457" t="s">
        <v>294</v>
      </c>
      <c r="C85" s="484" t="s">
        <v>267</v>
      </c>
      <c r="D85" s="753">
        <v>88</v>
      </c>
      <c r="E85" s="754">
        <v>29</v>
      </c>
      <c r="F85" s="754"/>
      <c r="G85" s="317">
        <f t="shared" si="18"/>
        <v>117</v>
      </c>
      <c r="H85" s="753">
        <v>17</v>
      </c>
      <c r="I85" s="754">
        <v>2</v>
      </c>
      <c r="J85" s="754"/>
      <c r="K85" s="317">
        <f t="shared" si="19"/>
        <v>19</v>
      </c>
      <c r="L85" s="753"/>
      <c r="M85" s="754"/>
      <c r="N85" s="754"/>
      <c r="O85" s="317">
        <f t="shared" si="20"/>
        <v>0</v>
      </c>
      <c r="P85" s="755">
        <f t="shared" si="21"/>
        <v>136</v>
      </c>
      <c r="Q85" s="968">
        <f t="shared" si="22"/>
        <v>105</v>
      </c>
      <c r="R85" s="968">
        <f t="shared" si="23"/>
        <v>31</v>
      </c>
      <c r="S85" s="968">
        <f t="shared" si="24"/>
        <v>0</v>
      </c>
      <c r="T85" s="755">
        <f t="shared" si="25"/>
        <v>136</v>
      </c>
      <c r="W85" s="756">
        <f t="shared" si="26"/>
        <v>0.16190476190476191</v>
      </c>
      <c r="X85" s="757">
        <f t="shared" si="27"/>
        <v>6.4516129032258063E-2</v>
      </c>
      <c r="Y85" s="758" t="str">
        <f t="shared" si="28"/>
        <v>NA</v>
      </c>
      <c r="Z85" s="759">
        <f t="shared" si="29"/>
        <v>0.13970588235294118</v>
      </c>
    </row>
    <row r="86" spans="1:26" x14ac:dyDescent="0.25">
      <c r="A86" s="524" t="s">
        <v>208</v>
      </c>
      <c r="B86" s="457" t="s">
        <v>209</v>
      </c>
      <c r="C86" s="484" t="s">
        <v>268</v>
      </c>
      <c r="D86" s="753">
        <v>29</v>
      </c>
      <c r="E86" s="754">
        <v>12</v>
      </c>
      <c r="F86" s="754">
        <v>1</v>
      </c>
      <c r="G86" s="317">
        <f t="shared" si="18"/>
        <v>42</v>
      </c>
      <c r="H86" s="753">
        <v>4</v>
      </c>
      <c r="I86" s="754">
        <v>1</v>
      </c>
      <c r="J86" s="754"/>
      <c r="K86" s="317">
        <f t="shared" si="19"/>
        <v>5</v>
      </c>
      <c r="L86" s="753"/>
      <c r="M86" s="754"/>
      <c r="N86" s="754"/>
      <c r="O86" s="317">
        <f t="shared" si="20"/>
        <v>0</v>
      </c>
      <c r="P86" s="755">
        <f t="shared" si="21"/>
        <v>47</v>
      </c>
      <c r="Q86" s="968">
        <f t="shared" si="22"/>
        <v>33</v>
      </c>
      <c r="R86" s="968">
        <f t="shared" si="23"/>
        <v>13</v>
      </c>
      <c r="S86" s="968">
        <f t="shared" si="24"/>
        <v>1</v>
      </c>
      <c r="T86" s="755">
        <f t="shared" si="25"/>
        <v>47</v>
      </c>
      <c r="W86" s="756">
        <f t="shared" si="26"/>
        <v>0.12121212121212122</v>
      </c>
      <c r="X86" s="757">
        <f t="shared" si="27"/>
        <v>7.6923076923076927E-2</v>
      </c>
      <c r="Y86" s="758">
        <f t="shared" si="28"/>
        <v>0</v>
      </c>
      <c r="Z86" s="759">
        <f t="shared" si="29"/>
        <v>0.10638297872340426</v>
      </c>
    </row>
    <row r="87" spans="1:26" x14ac:dyDescent="0.25">
      <c r="A87" s="524" t="s">
        <v>210</v>
      </c>
      <c r="B87" s="457" t="s">
        <v>211</v>
      </c>
      <c r="C87" s="484" t="s">
        <v>268</v>
      </c>
      <c r="D87" s="753">
        <v>26</v>
      </c>
      <c r="E87" s="754">
        <v>9</v>
      </c>
      <c r="F87" s="754"/>
      <c r="G87" s="317">
        <f t="shared" si="18"/>
        <v>35</v>
      </c>
      <c r="H87" s="753">
        <v>4</v>
      </c>
      <c r="I87" s="754">
        <v>3</v>
      </c>
      <c r="J87" s="754"/>
      <c r="K87" s="317">
        <f t="shared" si="19"/>
        <v>7</v>
      </c>
      <c r="L87" s="753"/>
      <c r="M87" s="754"/>
      <c r="N87" s="754"/>
      <c r="O87" s="317">
        <f t="shared" si="20"/>
        <v>0</v>
      </c>
      <c r="P87" s="755">
        <f t="shared" si="21"/>
        <v>42</v>
      </c>
      <c r="Q87" s="968">
        <f t="shared" si="22"/>
        <v>30</v>
      </c>
      <c r="R87" s="968">
        <f t="shared" si="23"/>
        <v>12</v>
      </c>
      <c r="S87" s="968">
        <f t="shared" si="24"/>
        <v>0</v>
      </c>
      <c r="T87" s="755">
        <f t="shared" si="25"/>
        <v>42</v>
      </c>
      <c r="W87" s="756">
        <f t="shared" si="26"/>
        <v>0.13333333333333333</v>
      </c>
      <c r="X87" s="757">
        <f t="shared" si="27"/>
        <v>0.25</v>
      </c>
      <c r="Y87" s="758" t="str">
        <f t="shared" si="28"/>
        <v>NA</v>
      </c>
      <c r="Z87" s="759">
        <f t="shared" si="29"/>
        <v>0.16666666666666666</v>
      </c>
    </row>
    <row r="88" spans="1:26" x14ac:dyDescent="0.25">
      <c r="A88" s="524" t="s">
        <v>212</v>
      </c>
      <c r="B88" s="457" t="s">
        <v>213</v>
      </c>
      <c r="C88" s="484" t="s">
        <v>267</v>
      </c>
      <c r="D88" s="753">
        <v>27</v>
      </c>
      <c r="E88" s="754">
        <v>10</v>
      </c>
      <c r="F88" s="754">
        <v>2</v>
      </c>
      <c r="G88" s="317">
        <f t="shared" si="18"/>
        <v>39</v>
      </c>
      <c r="H88" s="753">
        <v>4</v>
      </c>
      <c r="I88" s="754">
        <v>3</v>
      </c>
      <c r="J88" s="754">
        <v>3</v>
      </c>
      <c r="K88" s="317">
        <f t="shared" si="19"/>
        <v>10</v>
      </c>
      <c r="L88" s="753"/>
      <c r="M88" s="754"/>
      <c r="N88" s="754"/>
      <c r="O88" s="317">
        <f t="shared" si="20"/>
        <v>0</v>
      </c>
      <c r="P88" s="755">
        <f t="shared" si="21"/>
        <v>49</v>
      </c>
      <c r="Q88" s="968">
        <f t="shared" si="22"/>
        <v>31</v>
      </c>
      <c r="R88" s="968">
        <f t="shared" si="23"/>
        <v>13</v>
      </c>
      <c r="S88" s="968">
        <f t="shared" si="24"/>
        <v>5</v>
      </c>
      <c r="T88" s="755">
        <f t="shared" si="25"/>
        <v>49</v>
      </c>
      <c r="W88" s="756">
        <f t="shared" si="26"/>
        <v>0.12903225806451613</v>
      </c>
      <c r="X88" s="757">
        <f t="shared" si="27"/>
        <v>0.23076923076923078</v>
      </c>
      <c r="Y88" s="758">
        <f t="shared" si="28"/>
        <v>0.6</v>
      </c>
      <c r="Z88" s="759">
        <f t="shared" si="29"/>
        <v>0.20408163265306123</v>
      </c>
    </row>
    <row r="89" spans="1:26" x14ac:dyDescent="0.25">
      <c r="A89" s="524" t="s">
        <v>214</v>
      </c>
      <c r="B89" s="457" t="s">
        <v>215</v>
      </c>
      <c r="C89" s="484" t="s">
        <v>268</v>
      </c>
      <c r="D89" s="753">
        <v>38</v>
      </c>
      <c r="E89" s="754">
        <v>16</v>
      </c>
      <c r="F89" s="754"/>
      <c r="G89" s="317">
        <f t="shared" si="18"/>
        <v>54</v>
      </c>
      <c r="H89" s="753">
        <v>19</v>
      </c>
      <c r="I89" s="754">
        <v>7</v>
      </c>
      <c r="J89" s="754"/>
      <c r="K89" s="317">
        <f t="shared" si="19"/>
        <v>26</v>
      </c>
      <c r="L89" s="753"/>
      <c r="M89" s="754"/>
      <c r="N89" s="754"/>
      <c r="O89" s="317">
        <f t="shared" si="20"/>
        <v>0</v>
      </c>
      <c r="P89" s="755">
        <f t="shared" si="21"/>
        <v>80</v>
      </c>
      <c r="Q89" s="968">
        <f t="shared" si="22"/>
        <v>57</v>
      </c>
      <c r="R89" s="968">
        <f t="shared" si="23"/>
        <v>23</v>
      </c>
      <c r="S89" s="968">
        <f t="shared" si="24"/>
        <v>0</v>
      </c>
      <c r="T89" s="755">
        <f t="shared" si="25"/>
        <v>80</v>
      </c>
      <c r="W89" s="756">
        <f t="shared" si="26"/>
        <v>0.33333333333333331</v>
      </c>
      <c r="X89" s="757">
        <f t="shared" si="27"/>
        <v>0.30434782608695654</v>
      </c>
      <c r="Y89" s="758" t="str">
        <f t="shared" si="28"/>
        <v>NA</v>
      </c>
      <c r="Z89" s="759">
        <f t="shared" si="29"/>
        <v>0.32500000000000001</v>
      </c>
    </row>
    <row r="90" spans="1:26" x14ac:dyDescent="0.25">
      <c r="A90" s="524" t="s">
        <v>216</v>
      </c>
      <c r="B90" s="457" t="s">
        <v>217</v>
      </c>
      <c r="C90" s="484" t="s">
        <v>264</v>
      </c>
      <c r="D90" s="753">
        <v>17</v>
      </c>
      <c r="E90" s="754">
        <v>11</v>
      </c>
      <c r="F90" s="754">
        <v>1</v>
      </c>
      <c r="G90" s="317">
        <f t="shared" si="18"/>
        <v>29</v>
      </c>
      <c r="H90" s="753">
        <v>5</v>
      </c>
      <c r="I90" s="754">
        <v>2</v>
      </c>
      <c r="J90" s="754">
        <v>2</v>
      </c>
      <c r="K90" s="317">
        <f t="shared" si="19"/>
        <v>9</v>
      </c>
      <c r="L90" s="753"/>
      <c r="M90" s="754"/>
      <c r="N90" s="754"/>
      <c r="O90" s="317">
        <f t="shared" si="20"/>
        <v>0</v>
      </c>
      <c r="P90" s="755">
        <f t="shared" si="21"/>
        <v>38</v>
      </c>
      <c r="Q90" s="968">
        <f t="shared" si="22"/>
        <v>22</v>
      </c>
      <c r="R90" s="968">
        <f t="shared" si="23"/>
        <v>13</v>
      </c>
      <c r="S90" s="968">
        <f t="shared" si="24"/>
        <v>3</v>
      </c>
      <c r="T90" s="755">
        <f t="shared" si="25"/>
        <v>38</v>
      </c>
      <c r="W90" s="756">
        <f t="shared" si="26"/>
        <v>0.22727272727272727</v>
      </c>
      <c r="X90" s="757">
        <f t="shared" si="27"/>
        <v>0.15384615384615385</v>
      </c>
      <c r="Y90" s="758">
        <f t="shared" si="28"/>
        <v>0.66666666666666663</v>
      </c>
      <c r="Z90" s="759">
        <f t="shared" si="29"/>
        <v>0.23684210526315788</v>
      </c>
    </row>
    <row r="91" spans="1:26" x14ac:dyDescent="0.25">
      <c r="A91" s="524" t="s">
        <v>218</v>
      </c>
      <c r="B91" s="457" t="s">
        <v>219</v>
      </c>
      <c r="C91" s="484" t="s">
        <v>267</v>
      </c>
      <c r="D91" s="753">
        <v>59</v>
      </c>
      <c r="E91" s="754">
        <v>29</v>
      </c>
      <c r="F91" s="754">
        <v>3</v>
      </c>
      <c r="G91" s="317">
        <f t="shared" si="18"/>
        <v>91</v>
      </c>
      <c r="H91" s="753">
        <v>4</v>
      </c>
      <c r="I91" s="754">
        <v>1</v>
      </c>
      <c r="J91" s="754">
        <v>2</v>
      </c>
      <c r="K91" s="317">
        <f t="shared" si="19"/>
        <v>7</v>
      </c>
      <c r="L91" s="753"/>
      <c r="M91" s="754"/>
      <c r="N91" s="754"/>
      <c r="O91" s="317">
        <f t="shared" si="20"/>
        <v>0</v>
      </c>
      <c r="P91" s="755">
        <f t="shared" si="21"/>
        <v>98</v>
      </c>
      <c r="Q91" s="968">
        <f t="shared" si="22"/>
        <v>63</v>
      </c>
      <c r="R91" s="968">
        <f t="shared" si="23"/>
        <v>30</v>
      </c>
      <c r="S91" s="968">
        <f t="shared" si="24"/>
        <v>5</v>
      </c>
      <c r="T91" s="755">
        <f t="shared" si="25"/>
        <v>98</v>
      </c>
      <c r="W91" s="756">
        <f t="shared" si="26"/>
        <v>6.3492063492063489E-2</v>
      </c>
      <c r="X91" s="757">
        <f t="shared" si="27"/>
        <v>3.3333333333333333E-2</v>
      </c>
      <c r="Y91" s="758">
        <f t="shared" si="28"/>
        <v>0.4</v>
      </c>
      <c r="Z91" s="759">
        <f t="shared" si="29"/>
        <v>7.1428571428571425E-2</v>
      </c>
    </row>
    <row r="92" spans="1:26" x14ac:dyDescent="0.25">
      <c r="A92" s="524" t="s">
        <v>220</v>
      </c>
      <c r="B92" s="457" t="s">
        <v>221</v>
      </c>
      <c r="C92" s="484" t="s">
        <v>267</v>
      </c>
      <c r="D92" s="753">
        <v>44</v>
      </c>
      <c r="E92" s="754">
        <v>17</v>
      </c>
      <c r="F92" s="754">
        <v>1</v>
      </c>
      <c r="G92" s="317">
        <f t="shared" si="18"/>
        <v>62</v>
      </c>
      <c r="H92" s="753">
        <v>6</v>
      </c>
      <c r="I92" s="754"/>
      <c r="J92" s="754"/>
      <c r="K92" s="317">
        <f t="shared" si="19"/>
        <v>6</v>
      </c>
      <c r="L92" s="753"/>
      <c r="M92" s="754"/>
      <c r="N92" s="754"/>
      <c r="O92" s="317">
        <f t="shared" si="20"/>
        <v>0</v>
      </c>
      <c r="P92" s="755">
        <f t="shared" si="21"/>
        <v>68</v>
      </c>
      <c r="Q92" s="968">
        <f t="shared" si="22"/>
        <v>50</v>
      </c>
      <c r="R92" s="968">
        <f t="shared" si="23"/>
        <v>17</v>
      </c>
      <c r="S92" s="968">
        <f t="shared" si="24"/>
        <v>1</v>
      </c>
      <c r="T92" s="755">
        <f t="shared" si="25"/>
        <v>68</v>
      </c>
      <c r="W92" s="756">
        <f t="shared" si="26"/>
        <v>0.12</v>
      </c>
      <c r="X92" s="757">
        <f t="shared" si="27"/>
        <v>0</v>
      </c>
      <c r="Y92" s="758">
        <f t="shared" si="28"/>
        <v>0</v>
      </c>
      <c r="Z92" s="759">
        <f t="shared" si="29"/>
        <v>8.8235294117647065E-2</v>
      </c>
    </row>
    <row r="93" spans="1:26" x14ac:dyDescent="0.25">
      <c r="A93" s="524" t="s">
        <v>224</v>
      </c>
      <c r="B93" s="457" t="s">
        <v>225</v>
      </c>
      <c r="C93" s="484" t="s">
        <v>264</v>
      </c>
      <c r="D93" s="753">
        <v>17</v>
      </c>
      <c r="E93" s="754">
        <v>9</v>
      </c>
      <c r="F93" s="754"/>
      <c r="G93" s="317">
        <f t="shared" si="18"/>
        <v>26</v>
      </c>
      <c r="H93" s="753">
        <v>1</v>
      </c>
      <c r="I93" s="754"/>
      <c r="J93" s="754"/>
      <c r="K93" s="317">
        <f t="shared" si="19"/>
        <v>1</v>
      </c>
      <c r="L93" s="753"/>
      <c r="M93" s="754"/>
      <c r="N93" s="754"/>
      <c r="O93" s="317">
        <f t="shared" si="20"/>
        <v>0</v>
      </c>
      <c r="P93" s="755">
        <f t="shared" si="21"/>
        <v>27</v>
      </c>
      <c r="Q93" s="968">
        <f t="shared" si="22"/>
        <v>18</v>
      </c>
      <c r="R93" s="968">
        <f t="shared" si="23"/>
        <v>9</v>
      </c>
      <c r="S93" s="968">
        <f t="shared" si="24"/>
        <v>0</v>
      </c>
      <c r="T93" s="755">
        <f t="shared" si="25"/>
        <v>27</v>
      </c>
      <c r="W93" s="756">
        <f t="shared" si="26"/>
        <v>5.5555555555555552E-2</v>
      </c>
      <c r="X93" s="757">
        <f t="shared" si="27"/>
        <v>0</v>
      </c>
      <c r="Y93" s="758" t="str">
        <f t="shared" si="28"/>
        <v>NA</v>
      </c>
      <c r="Z93" s="759">
        <f t="shared" si="29"/>
        <v>3.7037037037037035E-2</v>
      </c>
    </row>
    <row r="94" spans="1:26" x14ac:dyDescent="0.25">
      <c r="A94" s="524" t="s">
        <v>226</v>
      </c>
      <c r="B94" s="457" t="s">
        <v>227</v>
      </c>
      <c r="C94" s="484" t="s">
        <v>264</v>
      </c>
      <c r="D94" s="753">
        <v>19</v>
      </c>
      <c r="E94" s="754">
        <v>8</v>
      </c>
      <c r="F94" s="754"/>
      <c r="G94" s="317">
        <f t="shared" si="18"/>
        <v>27</v>
      </c>
      <c r="H94" s="753"/>
      <c r="I94" s="754">
        <v>1</v>
      </c>
      <c r="J94" s="754"/>
      <c r="K94" s="317">
        <f t="shared" si="19"/>
        <v>1</v>
      </c>
      <c r="L94" s="753"/>
      <c r="M94" s="754"/>
      <c r="N94" s="754"/>
      <c r="O94" s="317">
        <f t="shared" si="20"/>
        <v>0</v>
      </c>
      <c r="P94" s="755">
        <f t="shared" si="21"/>
        <v>28</v>
      </c>
      <c r="Q94" s="968">
        <f t="shared" si="22"/>
        <v>19</v>
      </c>
      <c r="R94" s="968">
        <f t="shared" si="23"/>
        <v>9</v>
      </c>
      <c r="S94" s="968">
        <f t="shared" si="24"/>
        <v>0</v>
      </c>
      <c r="T94" s="755">
        <f t="shared" si="25"/>
        <v>28</v>
      </c>
      <c r="W94" s="756">
        <f t="shared" si="26"/>
        <v>0</v>
      </c>
      <c r="X94" s="757">
        <f t="shared" si="27"/>
        <v>0.1111111111111111</v>
      </c>
      <c r="Y94" s="758" t="str">
        <f t="shared" si="28"/>
        <v>NA</v>
      </c>
      <c r="Z94" s="759">
        <f t="shared" si="29"/>
        <v>3.5714285714285712E-2</v>
      </c>
    </row>
    <row r="95" spans="1:26" x14ac:dyDescent="0.25">
      <c r="A95" s="524" t="s">
        <v>228</v>
      </c>
      <c r="B95" s="457" t="s">
        <v>229</v>
      </c>
      <c r="C95" s="484" t="s">
        <v>268</v>
      </c>
      <c r="D95" s="753">
        <v>57</v>
      </c>
      <c r="E95" s="754">
        <v>22</v>
      </c>
      <c r="F95" s="754"/>
      <c r="G95" s="317">
        <f t="shared" si="18"/>
        <v>79</v>
      </c>
      <c r="H95" s="753">
        <v>6</v>
      </c>
      <c r="I95" s="754">
        <v>7</v>
      </c>
      <c r="J95" s="754">
        <v>1</v>
      </c>
      <c r="K95" s="317">
        <f t="shared" si="19"/>
        <v>14</v>
      </c>
      <c r="L95" s="753"/>
      <c r="M95" s="754"/>
      <c r="N95" s="754"/>
      <c r="O95" s="317">
        <f t="shared" si="20"/>
        <v>0</v>
      </c>
      <c r="P95" s="755">
        <f t="shared" si="21"/>
        <v>93</v>
      </c>
      <c r="Q95" s="968">
        <f t="shared" si="22"/>
        <v>63</v>
      </c>
      <c r="R95" s="968">
        <f t="shared" si="23"/>
        <v>29</v>
      </c>
      <c r="S95" s="968">
        <f t="shared" si="24"/>
        <v>1</v>
      </c>
      <c r="T95" s="755">
        <f t="shared" si="25"/>
        <v>93</v>
      </c>
      <c r="W95" s="756">
        <f t="shared" si="26"/>
        <v>9.5238095238095233E-2</v>
      </c>
      <c r="X95" s="757">
        <f t="shared" si="27"/>
        <v>0.2413793103448276</v>
      </c>
      <c r="Y95" s="758">
        <f t="shared" si="28"/>
        <v>1</v>
      </c>
      <c r="Z95" s="759">
        <f t="shared" si="29"/>
        <v>0.15053763440860216</v>
      </c>
    </row>
    <row r="96" spans="1:26" x14ac:dyDescent="0.25">
      <c r="A96" s="524" t="s">
        <v>232</v>
      </c>
      <c r="B96" s="457" t="s">
        <v>233</v>
      </c>
      <c r="C96" s="484" t="s">
        <v>267</v>
      </c>
      <c r="D96" s="753">
        <v>25</v>
      </c>
      <c r="E96" s="754">
        <v>11</v>
      </c>
      <c r="F96" s="754"/>
      <c r="G96" s="317">
        <f t="shared" si="18"/>
        <v>36</v>
      </c>
      <c r="H96" s="753">
        <v>6</v>
      </c>
      <c r="I96" s="754">
        <v>4</v>
      </c>
      <c r="J96" s="754"/>
      <c r="K96" s="317">
        <f t="shared" si="19"/>
        <v>10</v>
      </c>
      <c r="L96" s="753">
        <v>1</v>
      </c>
      <c r="M96" s="754">
        <v>1</v>
      </c>
      <c r="N96" s="754"/>
      <c r="O96" s="317">
        <f t="shared" si="20"/>
        <v>2</v>
      </c>
      <c r="P96" s="755">
        <f t="shared" si="21"/>
        <v>48</v>
      </c>
      <c r="Q96" s="968">
        <f t="shared" si="22"/>
        <v>31</v>
      </c>
      <c r="R96" s="968">
        <f t="shared" si="23"/>
        <v>15</v>
      </c>
      <c r="S96" s="968">
        <f t="shared" si="24"/>
        <v>0</v>
      </c>
      <c r="T96" s="755">
        <f t="shared" si="25"/>
        <v>46</v>
      </c>
      <c r="W96" s="756">
        <f t="shared" si="26"/>
        <v>0.19354838709677419</v>
      </c>
      <c r="X96" s="757">
        <f t="shared" si="27"/>
        <v>0.26666666666666666</v>
      </c>
      <c r="Y96" s="758" t="str">
        <f t="shared" si="28"/>
        <v>NA</v>
      </c>
      <c r="Z96" s="759">
        <f t="shared" si="29"/>
        <v>0.21739130434782608</v>
      </c>
    </row>
    <row r="97" spans="1:26" x14ac:dyDescent="0.25">
      <c r="A97" s="524" t="s">
        <v>234</v>
      </c>
      <c r="B97" s="457" t="s">
        <v>235</v>
      </c>
      <c r="C97" s="484" t="s">
        <v>268</v>
      </c>
      <c r="D97" s="753">
        <v>41</v>
      </c>
      <c r="E97" s="754">
        <v>14</v>
      </c>
      <c r="F97" s="754">
        <v>3</v>
      </c>
      <c r="G97" s="317">
        <f t="shared" si="18"/>
        <v>58</v>
      </c>
      <c r="H97" s="753">
        <v>9</v>
      </c>
      <c r="I97" s="754">
        <v>6</v>
      </c>
      <c r="J97" s="754">
        <v>1</v>
      </c>
      <c r="K97" s="317">
        <f t="shared" si="19"/>
        <v>16</v>
      </c>
      <c r="L97" s="753"/>
      <c r="M97" s="754"/>
      <c r="N97" s="754"/>
      <c r="O97" s="317">
        <f t="shared" si="20"/>
        <v>0</v>
      </c>
      <c r="P97" s="755">
        <f t="shared" si="21"/>
        <v>74</v>
      </c>
      <c r="Q97" s="968">
        <f t="shared" si="22"/>
        <v>50</v>
      </c>
      <c r="R97" s="968">
        <f t="shared" si="23"/>
        <v>20</v>
      </c>
      <c r="S97" s="968">
        <f t="shared" si="24"/>
        <v>4</v>
      </c>
      <c r="T97" s="755">
        <f t="shared" si="25"/>
        <v>74</v>
      </c>
      <c r="W97" s="756">
        <f t="shared" si="26"/>
        <v>0.18</v>
      </c>
      <c r="X97" s="757">
        <f t="shared" si="27"/>
        <v>0.3</v>
      </c>
      <c r="Y97" s="758">
        <f t="shared" si="28"/>
        <v>0.25</v>
      </c>
      <c r="Z97" s="759">
        <f t="shared" si="29"/>
        <v>0.21621621621621623</v>
      </c>
    </row>
    <row r="98" spans="1:26" x14ac:dyDescent="0.25">
      <c r="A98" s="524" t="s">
        <v>236</v>
      </c>
      <c r="B98" s="457" t="s">
        <v>237</v>
      </c>
      <c r="C98" s="484" t="s">
        <v>266</v>
      </c>
      <c r="D98" s="753">
        <v>15</v>
      </c>
      <c r="E98" s="754">
        <v>10</v>
      </c>
      <c r="F98" s="754"/>
      <c r="G98" s="317">
        <f t="shared" si="18"/>
        <v>25</v>
      </c>
      <c r="H98" s="753">
        <v>3</v>
      </c>
      <c r="I98" s="754"/>
      <c r="J98" s="754"/>
      <c r="K98" s="317">
        <f t="shared" si="19"/>
        <v>3</v>
      </c>
      <c r="L98" s="753"/>
      <c r="M98" s="754"/>
      <c r="N98" s="754"/>
      <c r="O98" s="317">
        <f t="shared" si="20"/>
        <v>0</v>
      </c>
      <c r="P98" s="755">
        <f t="shared" si="21"/>
        <v>28</v>
      </c>
      <c r="Q98" s="968">
        <f t="shared" si="22"/>
        <v>18</v>
      </c>
      <c r="R98" s="968">
        <f t="shared" si="23"/>
        <v>10</v>
      </c>
      <c r="S98" s="968">
        <f t="shared" si="24"/>
        <v>0</v>
      </c>
      <c r="T98" s="755">
        <f t="shared" si="25"/>
        <v>28</v>
      </c>
      <c r="W98" s="756">
        <f t="shared" si="26"/>
        <v>0.16666666666666666</v>
      </c>
      <c r="X98" s="757">
        <f t="shared" si="27"/>
        <v>0</v>
      </c>
      <c r="Y98" s="758" t="str">
        <f t="shared" si="28"/>
        <v>NA</v>
      </c>
      <c r="Z98" s="759">
        <f t="shared" si="29"/>
        <v>0.10714285714285714</v>
      </c>
    </row>
    <row r="99" spans="1:26" x14ac:dyDescent="0.25">
      <c r="A99" s="524" t="s">
        <v>242</v>
      </c>
      <c r="B99" s="457" t="s">
        <v>243</v>
      </c>
      <c r="C99" s="484" t="s">
        <v>268</v>
      </c>
      <c r="D99" s="753">
        <v>57</v>
      </c>
      <c r="E99" s="754">
        <v>19</v>
      </c>
      <c r="F99" s="754"/>
      <c r="G99" s="317">
        <f t="shared" si="18"/>
        <v>76</v>
      </c>
      <c r="H99" s="753">
        <v>8</v>
      </c>
      <c r="I99" s="754">
        <v>7</v>
      </c>
      <c r="J99" s="754">
        <v>2</v>
      </c>
      <c r="K99" s="317">
        <f t="shared" si="19"/>
        <v>17</v>
      </c>
      <c r="L99" s="753"/>
      <c r="M99" s="754"/>
      <c r="N99" s="754"/>
      <c r="O99" s="317">
        <f t="shared" si="20"/>
        <v>0</v>
      </c>
      <c r="P99" s="755">
        <f t="shared" si="21"/>
        <v>93</v>
      </c>
      <c r="Q99" s="968">
        <f t="shared" si="22"/>
        <v>65</v>
      </c>
      <c r="R99" s="968">
        <f t="shared" si="23"/>
        <v>26</v>
      </c>
      <c r="S99" s="968">
        <f t="shared" si="24"/>
        <v>2</v>
      </c>
      <c r="T99" s="755">
        <f t="shared" si="25"/>
        <v>93</v>
      </c>
      <c r="W99" s="756">
        <f t="shared" si="26"/>
        <v>0.12307692307692308</v>
      </c>
      <c r="X99" s="757">
        <f t="shared" si="27"/>
        <v>0.26923076923076922</v>
      </c>
      <c r="Y99" s="758">
        <f t="shared" si="28"/>
        <v>1</v>
      </c>
      <c r="Z99" s="759">
        <f t="shared" si="29"/>
        <v>0.18279569892473119</v>
      </c>
    </row>
    <row r="100" spans="1:26" x14ac:dyDescent="0.25">
      <c r="A100" s="524" t="s">
        <v>244</v>
      </c>
      <c r="B100" s="457" t="s">
        <v>245</v>
      </c>
      <c r="C100" s="484" t="s">
        <v>268</v>
      </c>
      <c r="D100" s="753">
        <v>34</v>
      </c>
      <c r="E100" s="754">
        <v>12</v>
      </c>
      <c r="F100" s="754">
        <v>1</v>
      </c>
      <c r="G100" s="317">
        <f t="shared" si="18"/>
        <v>47</v>
      </c>
      <c r="H100" s="753">
        <v>1</v>
      </c>
      <c r="I100" s="754"/>
      <c r="J100" s="754"/>
      <c r="K100" s="317">
        <f t="shared" si="19"/>
        <v>1</v>
      </c>
      <c r="L100" s="753">
        <v>1</v>
      </c>
      <c r="M100" s="754"/>
      <c r="N100" s="754"/>
      <c r="O100" s="317">
        <f t="shared" si="20"/>
        <v>1</v>
      </c>
      <c r="P100" s="755">
        <f t="shared" si="21"/>
        <v>49</v>
      </c>
      <c r="Q100" s="968">
        <f t="shared" si="22"/>
        <v>35</v>
      </c>
      <c r="R100" s="968">
        <f t="shared" si="23"/>
        <v>12</v>
      </c>
      <c r="S100" s="968">
        <f t="shared" si="24"/>
        <v>1</v>
      </c>
      <c r="T100" s="755">
        <f t="shared" si="25"/>
        <v>48</v>
      </c>
      <c r="W100" s="756">
        <f t="shared" si="26"/>
        <v>2.8571428571428571E-2</v>
      </c>
      <c r="X100" s="757">
        <f t="shared" si="27"/>
        <v>0</v>
      </c>
      <c r="Y100" s="758">
        <f t="shared" si="28"/>
        <v>0</v>
      </c>
      <c r="Z100" s="759">
        <f t="shared" si="29"/>
        <v>2.0833333333333332E-2</v>
      </c>
    </row>
    <row r="101" spans="1:26" x14ac:dyDescent="0.25">
      <c r="A101" s="524" t="s">
        <v>246</v>
      </c>
      <c r="B101" s="457" t="s">
        <v>247</v>
      </c>
      <c r="C101" s="484" t="s">
        <v>264</v>
      </c>
      <c r="D101" s="753">
        <v>32</v>
      </c>
      <c r="E101" s="754">
        <v>24</v>
      </c>
      <c r="F101" s="754"/>
      <c r="G101" s="317">
        <f t="shared" si="18"/>
        <v>56</v>
      </c>
      <c r="H101" s="753">
        <v>22</v>
      </c>
      <c r="I101" s="754">
        <v>9</v>
      </c>
      <c r="J101" s="754"/>
      <c r="K101" s="317">
        <f t="shared" si="19"/>
        <v>31</v>
      </c>
      <c r="L101" s="753"/>
      <c r="M101" s="754"/>
      <c r="N101" s="754"/>
      <c r="O101" s="317">
        <f t="shared" si="20"/>
        <v>0</v>
      </c>
      <c r="P101" s="755">
        <f t="shared" si="21"/>
        <v>87</v>
      </c>
      <c r="Q101" s="968">
        <f t="shared" si="22"/>
        <v>54</v>
      </c>
      <c r="R101" s="968">
        <f t="shared" si="23"/>
        <v>33</v>
      </c>
      <c r="S101" s="968">
        <f t="shared" si="24"/>
        <v>0</v>
      </c>
      <c r="T101" s="755">
        <f t="shared" si="25"/>
        <v>87</v>
      </c>
      <c r="W101" s="756">
        <f t="shared" si="26"/>
        <v>0.40740740740740738</v>
      </c>
      <c r="X101" s="757">
        <f t="shared" si="27"/>
        <v>0.27272727272727271</v>
      </c>
      <c r="Y101" s="758" t="str">
        <f t="shared" si="28"/>
        <v>NA</v>
      </c>
      <c r="Z101" s="759">
        <f t="shared" si="29"/>
        <v>0.35632183908045978</v>
      </c>
    </row>
    <row r="102" spans="1:26" x14ac:dyDescent="0.25">
      <c r="A102" s="524" t="s">
        <v>14</v>
      </c>
      <c r="B102" s="457" t="s">
        <v>15</v>
      </c>
      <c r="C102" s="484" t="s">
        <v>267</v>
      </c>
      <c r="D102" s="753">
        <v>112</v>
      </c>
      <c r="E102" s="754">
        <v>89</v>
      </c>
      <c r="F102" s="754">
        <v>16</v>
      </c>
      <c r="G102" s="317">
        <f t="shared" ref="G102:G126" si="30">SUM(D102:F102)</f>
        <v>217</v>
      </c>
      <c r="H102" s="753">
        <v>20</v>
      </c>
      <c r="I102" s="754">
        <v>10</v>
      </c>
      <c r="J102" s="754">
        <v>13</v>
      </c>
      <c r="K102" s="317">
        <f t="shared" ref="K102:K126" si="31">SUM(H102:J102)</f>
        <v>43</v>
      </c>
      <c r="L102" s="753"/>
      <c r="M102" s="754"/>
      <c r="N102" s="754"/>
      <c r="O102" s="317">
        <f t="shared" ref="O102:O126" si="32">SUM(L102:N102)</f>
        <v>0</v>
      </c>
      <c r="P102" s="755">
        <f t="shared" ref="P102:P126" si="33">G102+K102+O102</f>
        <v>260</v>
      </c>
      <c r="Q102" s="968">
        <f t="shared" si="22"/>
        <v>132</v>
      </c>
      <c r="R102" s="968">
        <f t="shared" si="23"/>
        <v>99</v>
      </c>
      <c r="S102" s="968">
        <f t="shared" si="24"/>
        <v>29</v>
      </c>
      <c r="T102" s="755">
        <f t="shared" si="25"/>
        <v>260</v>
      </c>
      <c r="W102" s="756">
        <f t="shared" si="26"/>
        <v>0.15151515151515152</v>
      </c>
      <c r="X102" s="757">
        <f t="shared" si="27"/>
        <v>0.10101010101010101</v>
      </c>
      <c r="Y102" s="758">
        <f t="shared" si="28"/>
        <v>0.44827586206896552</v>
      </c>
      <c r="Z102" s="759">
        <f t="shared" si="29"/>
        <v>0.16538461538461538</v>
      </c>
    </row>
    <row r="103" spans="1:26" x14ac:dyDescent="0.25">
      <c r="A103" s="524" t="s">
        <v>34</v>
      </c>
      <c r="B103" s="457" t="s">
        <v>35</v>
      </c>
      <c r="C103" s="484" t="s">
        <v>268</v>
      </c>
      <c r="D103" s="753">
        <v>31</v>
      </c>
      <c r="E103" s="754">
        <v>12</v>
      </c>
      <c r="F103" s="754"/>
      <c r="G103" s="317">
        <f t="shared" si="30"/>
        <v>43</v>
      </c>
      <c r="H103" s="753">
        <v>1</v>
      </c>
      <c r="I103" s="754"/>
      <c r="J103" s="754"/>
      <c r="K103" s="317">
        <f t="shared" si="31"/>
        <v>1</v>
      </c>
      <c r="L103" s="753">
        <v>1</v>
      </c>
      <c r="M103" s="754">
        <v>1</v>
      </c>
      <c r="N103" s="754"/>
      <c r="O103" s="317">
        <f t="shared" si="32"/>
        <v>2</v>
      </c>
      <c r="P103" s="755">
        <f t="shared" si="33"/>
        <v>46</v>
      </c>
      <c r="Q103" s="968">
        <f t="shared" si="22"/>
        <v>32</v>
      </c>
      <c r="R103" s="968">
        <f t="shared" si="23"/>
        <v>12</v>
      </c>
      <c r="S103" s="968">
        <f t="shared" si="24"/>
        <v>0</v>
      </c>
      <c r="T103" s="755">
        <f t="shared" ref="T103:T126" si="34">G103+K103</f>
        <v>44</v>
      </c>
      <c r="W103" s="756">
        <f t="shared" si="26"/>
        <v>3.125E-2</v>
      </c>
      <c r="X103" s="757">
        <f t="shared" si="27"/>
        <v>0</v>
      </c>
      <c r="Y103" s="758" t="str">
        <f t="shared" si="28"/>
        <v>NA</v>
      </c>
      <c r="Z103" s="759">
        <f t="shared" si="29"/>
        <v>2.2727272727272728E-2</v>
      </c>
    </row>
    <row r="104" spans="1:26" x14ac:dyDescent="0.25">
      <c r="A104" s="524" t="s">
        <v>52</v>
      </c>
      <c r="B104" s="457" t="s">
        <v>53</v>
      </c>
      <c r="C104" s="484" t="s">
        <v>265</v>
      </c>
      <c r="D104" s="753">
        <v>68</v>
      </c>
      <c r="E104" s="754">
        <v>29</v>
      </c>
      <c r="F104" s="754">
        <v>1</v>
      </c>
      <c r="G104" s="317">
        <f t="shared" si="30"/>
        <v>98</v>
      </c>
      <c r="H104" s="753">
        <v>5</v>
      </c>
      <c r="I104" s="754">
        <v>3</v>
      </c>
      <c r="J104" s="754">
        <v>4</v>
      </c>
      <c r="K104" s="317">
        <f t="shared" si="31"/>
        <v>12</v>
      </c>
      <c r="L104" s="753"/>
      <c r="M104" s="754"/>
      <c r="N104" s="754"/>
      <c r="O104" s="317">
        <f t="shared" si="32"/>
        <v>0</v>
      </c>
      <c r="P104" s="755">
        <f t="shared" si="33"/>
        <v>110</v>
      </c>
      <c r="Q104" s="968">
        <f t="shared" si="22"/>
        <v>73</v>
      </c>
      <c r="R104" s="968">
        <f t="shared" si="23"/>
        <v>32</v>
      </c>
      <c r="S104" s="968">
        <f t="shared" si="24"/>
        <v>5</v>
      </c>
      <c r="T104" s="755">
        <f t="shared" si="34"/>
        <v>110</v>
      </c>
      <c r="W104" s="756">
        <f t="shared" si="26"/>
        <v>6.8493150684931503E-2</v>
      </c>
      <c r="X104" s="757">
        <f t="shared" si="27"/>
        <v>9.375E-2</v>
      </c>
      <c r="Y104" s="758">
        <f t="shared" si="28"/>
        <v>0.8</v>
      </c>
      <c r="Z104" s="759">
        <f t="shared" si="29"/>
        <v>0.10909090909090909</v>
      </c>
    </row>
    <row r="105" spans="1:26" x14ac:dyDescent="0.25">
      <c r="A105" s="524" t="s">
        <v>54</v>
      </c>
      <c r="B105" s="457" t="s">
        <v>55</v>
      </c>
      <c r="C105" s="484" t="s">
        <v>264</v>
      </c>
      <c r="D105" s="753">
        <v>156</v>
      </c>
      <c r="E105" s="754">
        <v>75</v>
      </c>
      <c r="F105" s="754">
        <v>1</v>
      </c>
      <c r="G105" s="317">
        <f t="shared" si="30"/>
        <v>232</v>
      </c>
      <c r="H105" s="753">
        <v>48</v>
      </c>
      <c r="I105" s="754">
        <v>20</v>
      </c>
      <c r="J105" s="754">
        <v>2</v>
      </c>
      <c r="K105" s="317">
        <f t="shared" si="31"/>
        <v>70</v>
      </c>
      <c r="L105" s="753"/>
      <c r="M105" s="754"/>
      <c r="N105" s="754"/>
      <c r="O105" s="317">
        <f t="shared" si="32"/>
        <v>0</v>
      </c>
      <c r="P105" s="755">
        <f t="shared" si="33"/>
        <v>302</v>
      </c>
      <c r="Q105" s="968">
        <f t="shared" si="22"/>
        <v>204</v>
      </c>
      <c r="R105" s="968">
        <f t="shared" si="23"/>
        <v>95</v>
      </c>
      <c r="S105" s="968">
        <f t="shared" si="24"/>
        <v>3</v>
      </c>
      <c r="T105" s="755">
        <f t="shared" si="34"/>
        <v>302</v>
      </c>
      <c r="W105" s="756">
        <f t="shared" si="26"/>
        <v>0.23529411764705882</v>
      </c>
      <c r="X105" s="757">
        <f t="shared" si="27"/>
        <v>0.21052631578947367</v>
      </c>
      <c r="Y105" s="758">
        <f t="shared" si="28"/>
        <v>0.66666666666666663</v>
      </c>
      <c r="Z105" s="759">
        <f t="shared" si="29"/>
        <v>0.23178807947019867</v>
      </c>
    </row>
    <row r="106" spans="1:26" x14ac:dyDescent="0.25">
      <c r="A106" s="524" t="s">
        <v>66</v>
      </c>
      <c r="B106" s="457" t="s">
        <v>67</v>
      </c>
      <c r="C106" s="484" t="s">
        <v>265</v>
      </c>
      <c r="D106" s="753">
        <v>71</v>
      </c>
      <c r="E106" s="754">
        <v>25</v>
      </c>
      <c r="F106" s="754"/>
      <c r="G106" s="317">
        <f t="shared" si="30"/>
        <v>96</v>
      </c>
      <c r="H106" s="753">
        <v>6</v>
      </c>
      <c r="I106" s="754">
        <v>3</v>
      </c>
      <c r="J106" s="754"/>
      <c r="K106" s="317">
        <f t="shared" si="31"/>
        <v>9</v>
      </c>
      <c r="L106" s="753"/>
      <c r="M106" s="754"/>
      <c r="N106" s="754"/>
      <c r="O106" s="317">
        <f t="shared" si="32"/>
        <v>0</v>
      </c>
      <c r="P106" s="755">
        <f t="shared" si="33"/>
        <v>105</v>
      </c>
      <c r="Q106" s="968">
        <f t="shared" si="22"/>
        <v>77</v>
      </c>
      <c r="R106" s="968">
        <f t="shared" si="23"/>
        <v>28</v>
      </c>
      <c r="S106" s="968">
        <f t="shared" si="24"/>
        <v>0</v>
      </c>
      <c r="T106" s="755">
        <f t="shared" si="34"/>
        <v>105</v>
      </c>
      <c r="W106" s="756">
        <f t="shared" si="26"/>
        <v>7.792207792207792E-2</v>
      </c>
      <c r="X106" s="757">
        <f t="shared" si="27"/>
        <v>0.10714285714285714</v>
      </c>
      <c r="Y106" s="758" t="str">
        <f t="shared" si="28"/>
        <v>NA</v>
      </c>
      <c r="Z106" s="759">
        <f t="shared" si="29"/>
        <v>8.5714285714285715E-2</v>
      </c>
    </row>
    <row r="107" spans="1:26" x14ac:dyDescent="0.25">
      <c r="A107" s="524" t="s">
        <v>82</v>
      </c>
      <c r="B107" s="457" t="s">
        <v>311</v>
      </c>
      <c r="C107" s="484" t="s">
        <v>264</v>
      </c>
      <c r="D107" s="753">
        <v>16</v>
      </c>
      <c r="E107" s="754">
        <v>7</v>
      </c>
      <c r="F107" s="754"/>
      <c r="G107" s="317">
        <f t="shared" si="30"/>
        <v>23</v>
      </c>
      <c r="H107" s="753">
        <v>5</v>
      </c>
      <c r="I107" s="754"/>
      <c r="J107" s="754"/>
      <c r="K107" s="317">
        <f t="shared" si="31"/>
        <v>5</v>
      </c>
      <c r="L107" s="753"/>
      <c r="M107" s="754"/>
      <c r="N107" s="754"/>
      <c r="O107" s="317">
        <f t="shared" si="32"/>
        <v>0</v>
      </c>
      <c r="P107" s="755">
        <f t="shared" si="33"/>
        <v>28</v>
      </c>
      <c r="Q107" s="968">
        <f t="shared" si="22"/>
        <v>21</v>
      </c>
      <c r="R107" s="968">
        <f t="shared" si="23"/>
        <v>7</v>
      </c>
      <c r="S107" s="968">
        <f t="shared" si="24"/>
        <v>0</v>
      </c>
      <c r="T107" s="755">
        <f t="shared" si="34"/>
        <v>28</v>
      </c>
      <c r="W107" s="756">
        <f t="shared" si="26"/>
        <v>0.23809523809523808</v>
      </c>
      <c r="X107" s="757">
        <f t="shared" si="27"/>
        <v>0</v>
      </c>
      <c r="Y107" s="758" t="str">
        <f t="shared" si="28"/>
        <v>NA</v>
      </c>
      <c r="Z107" s="759">
        <f t="shared" si="29"/>
        <v>0.17857142857142858</v>
      </c>
    </row>
    <row r="108" spans="1:26" x14ac:dyDescent="0.25">
      <c r="A108" s="524" t="s">
        <v>88</v>
      </c>
      <c r="B108" s="457" t="s">
        <v>89</v>
      </c>
      <c r="C108" s="484" t="s">
        <v>267</v>
      </c>
      <c r="D108" s="753">
        <v>24</v>
      </c>
      <c r="E108" s="754">
        <v>11</v>
      </c>
      <c r="F108" s="754"/>
      <c r="G108" s="317">
        <f t="shared" si="30"/>
        <v>35</v>
      </c>
      <c r="H108" s="753">
        <v>3</v>
      </c>
      <c r="I108" s="754">
        <v>2</v>
      </c>
      <c r="J108" s="754">
        <v>2</v>
      </c>
      <c r="K108" s="317">
        <f t="shared" si="31"/>
        <v>7</v>
      </c>
      <c r="L108" s="753"/>
      <c r="M108" s="754"/>
      <c r="N108" s="754"/>
      <c r="O108" s="317">
        <f t="shared" si="32"/>
        <v>0</v>
      </c>
      <c r="P108" s="755">
        <f t="shared" si="33"/>
        <v>42</v>
      </c>
      <c r="Q108" s="968">
        <f t="shared" si="22"/>
        <v>27</v>
      </c>
      <c r="R108" s="968">
        <f t="shared" si="23"/>
        <v>13</v>
      </c>
      <c r="S108" s="968">
        <f t="shared" si="24"/>
        <v>2</v>
      </c>
      <c r="T108" s="755">
        <f t="shared" si="34"/>
        <v>42</v>
      </c>
      <c r="W108" s="756">
        <f t="shared" si="26"/>
        <v>0.1111111111111111</v>
      </c>
      <c r="X108" s="757">
        <f t="shared" si="27"/>
        <v>0.15384615384615385</v>
      </c>
      <c r="Y108" s="758">
        <f t="shared" si="28"/>
        <v>1</v>
      </c>
      <c r="Z108" s="759">
        <f t="shared" si="29"/>
        <v>0.16666666666666666</v>
      </c>
    </row>
    <row r="109" spans="1:26" x14ac:dyDescent="0.25">
      <c r="A109" s="524" t="s">
        <v>90</v>
      </c>
      <c r="B109" s="457" t="s">
        <v>91</v>
      </c>
      <c r="C109" s="484" t="s">
        <v>268</v>
      </c>
      <c r="D109" s="753">
        <v>10</v>
      </c>
      <c r="E109" s="754">
        <v>6</v>
      </c>
      <c r="F109" s="754"/>
      <c r="G109" s="317">
        <f t="shared" si="30"/>
        <v>16</v>
      </c>
      <c r="H109" s="753">
        <v>1</v>
      </c>
      <c r="I109" s="754"/>
      <c r="J109" s="754"/>
      <c r="K109" s="317">
        <f t="shared" si="31"/>
        <v>1</v>
      </c>
      <c r="L109" s="753"/>
      <c r="M109" s="754"/>
      <c r="N109" s="754"/>
      <c r="O109" s="317">
        <f t="shared" si="32"/>
        <v>0</v>
      </c>
      <c r="P109" s="755">
        <f t="shared" si="33"/>
        <v>17</v>
      </c>
      <c r="Q109" s="968">
        <f t="shared" si="22"/>
        <v>11</v>
      </c>
      <c r="R109" s="968">
        <f t="shared" si="23"/>
        <v>6</v>
      </c>
      <c r="S109" s="968">
        <f t="shared" si="24"/>
        <v>0</v>
      </c>
      <c r="T109" s="755">
        <f t="shared" si="34"/>
        <v>17</v>
      </c>
      <c r="W109" s="756">
        <f t="shared" si="26"/>
        <v>9.0909090909090912E-2</v>
      </c>
      <c r="X109" s="757">
        <f t="shared" si="27"/>
        <v>0</v>
      </c>
      <c r="Y109" s="758" t="str">
        <f t="shared" si="28"/>
        <v>NA</v>
      </c>
      <c r="Z109" s="759">
        <f t="shared" si="29"/>
        <v>5.8823529411764705E-2</v>
      </c>
    </row>
    <row r="110" spans="1:26" x14ac:dyDescent="0.25">
      <c r="A110" s="524" t="s">
        <v>106</v>
      </c>
      <c r="B110" s="457" t="s">
        <v>107</v>
      </c>
      <c r="C110" s="484" t="s">
        <v>264</v>
      </c>
      <c r="D110" s="753">
        <v>131</v>
      </c>
      <c r="E110" s="754">
        <v>43</v>
      </c>
      <c r="F110" s="754">
        <v>2</v>
      </c>
      <c r="G110" s="317">
        <f t="shared" si="30"/>
        <v>176</v>
      </c>
      <c r="H110" s="753">
        <v>34</v>
      </c>
      <c r="I110" s="754">
        <v>16</v>
      </c>
      <c r="J110" s="754"/>
      <c r="K110" s="317">
        <f t="shared" si="31"/>
        <v>50</v>
      </c>
      <c r="L110" s="753"/>
      <c r="M110" s="754"/>
      <c r="N110" s="754"/>
      <c r="O110" s="317">
        <f t="shared" si="32"/>
        <v>0</v>
      </c>
      <c r="P110" s="755">
        <f t="shared" si="33"/>
        <v>226</v>
      </c>
      <c r="Q110" s="968">
        <f t="shared" si="22"/>
        <v>165</v>
      </c>
      <c r="R110" s="968">
        <f t="shared" si="23"/>
        <v>59</v>
      </c>
      <c r="S110" s="968">
        <f t="shared" si="24"/>
        <v>2</v>
      </c>
      <c r="T110" s="755">
        <f t="shared" si="34"/>
        <v>226</v>
      </c>
      <c r="W110" s="756">
        <f t="shared" si="26"/>
        <v>0.20606060606060606</v>
      </c>
      <c r="X110" s="757">
        <f t="shared" si="27"/>
        <v>0.2711864406779661</v>
      </c>
      <c r="Y110" s="758">
        <f t="shared" si="28"/>
        <v>0</v>
      </c>
      <c r="Z110" s="759">
        <f t="shared" si="29"/>
        <v>0.22123893805309736</v>
      </c>
    </row>
    <row r="111" spans="1:26" x14ac:dyDescent="0.25">
      <c r="A111" s="524" t="s">
        <v>116</v>
      </c>
      <c r="B111" s="457" t="s">
        <v>117</v>
      </c>
      <c r="C111" s="484" t="s">
        <v>266</v>
      </c>
      <c r="D111" s="753">
        <v>36</v>
      </c>
      <c r="E111" s="754">
        <v>15</v>
      </c>
      <c r="F111" s="754"/>
      <c r="G111" s="317">
        <f t="shared" si="30"/>
        <v>51</v>
      </c>
      <c r="H111" s="753">
        <v>3</v>
      </c>
      <c r="I111" s="754">
        <v>2</v>
      </c>
      <c r="J111" s="754"/>
      <c r="K111" s="317">
        <f t="shared" si="31"/>
        <v>5</v>
      </c>
      <c r="L111" s="753"/>
      <c r="M111" s="754"/>
      <c r="N111" s="754"/>
      <c r="O111" s="317">
        <f t="shared" si="32"/>
        <v>0</v>
      </c>
      <c r="P111" s="755">
        <f t="shared" si="33"/>
        <v>56</v>
      </c>
      <c r="Q111" s="968">
        <f t="shared" si="22"/>
        <v>39</v>
      </c>
      <c r="R111" s="968">
        <f t="shared" si="23"/>
        <v>17</v>
      </c>
      <c r="S111" s="968">
        <f t="shared" si="24"/>
        <v>0</v>
      </c>
      <c r="T111" s="755">
        <f t="shared" si="34"/>
        <v>56</v>
      </c>
      <c r="W111" s="756">
        <f t="shared" si="26"/>
        <v>7.6923076923076927E-2</v>
      </c>
      <c r="X111" s="757">
        <f t="shared" si="27"/>
        <v>0.11764705882352941</v>
      </c>
      <c r="Y111" s="758" t="str">
        <f t="shared" si="28"/>
        <v>NA</v>
      </c>
      <c r="Z111" s="759">
        <f t="shared" si="29"/>
        <v>8.9285714285714288E-2</v>
      </c>
    </row>
    <row r="112" spans="1:26" x14ac:dyDescent="0.25">
      <c r="A112" s="524" t="s">
        <v>138</v>
      </c>
      <c r="B112" s="457" t="s">
        <v>139</v>
      </c>
      <c r="C112" s="484" t="s">
        <v>265</v>
      </c>
      <c r="D112" s="753">
        <v>107</v>
      </c>
      <c r="E112" s="754">
        <v>36</v>
      </c>
      <c r="F112" s="754">
        <v>2</v>
      </c>
      <c r="G112" s="317">
        <f t="shared" si="30"/>
        <v>145</v>
      </c>
      <c r="H112" s="753">
        <v>38</v>
      </c>
      <c r="I112" s="754">
        <v>11</v>
      </c>
      <c r="J112" s="754"/>
      <c r="K112" s="317">
        <f t="shared" si="31"/>
        <v>49</v>
      </c>
      <c r="L112" s="753"/>
      <c r="M112" s="754"/>
      <c r="N112" s="754"/>
      <c r="O112" s="317">
        <f t="shared" si="32"/>
        <v>0</v>
      </c>
      <c r="P112" s="755">
        <f t="shared" si="33"/>
        <v>194</v>
      </c>
      <c r="Q112" s="968">
        <f t="shared" si="22"/>
        <v>145</v>
      </c>
      <c r="R112" s="968">
        <f t="shared" si="23"/>
        <v>47</v>
      </c>
      <c r="S112" s="968">
        <f t="shared" si="24"/>
        <v>2</v>
      </c>
      <c r="T112" s="755">
        <f t="shared" si="34"/>
        <v>194</v>
      </c>
      <c r="W112" s="756">
        <f t="shared" si="26"/>
        <v>0.2620689655172414</v>
      </c>
      <c r="X112" s="757">
        <f t="shared" si="27"/>
        <v>0.23404255319148937</v>
      </c>
      <c r="Y112" s="758">
        <f t="shared" si="28"/>
        <v>0</v>
      </c>
      <c r="Z112" s="759">
        <f t="shared" si="29"/>
        <v>0.25257731958762886</v>
      </c>
    </row>
    <row r="113" spans="1:26" x14ac:dyDescent="0.25">
      <c r="A113" s="524" t="s">
        <v>142</v>
      </c>
      <c r="B113" s="457" t="s">
        <v>143</v>
      </c>
      <c r="C113" s="484" t="s">
        <v>267</v>
      </c>
      <c r="D113" s="753">
        <v>20</v>
      </c>
      <c r="E113" s="754">
        <v>12</v>
      </c>
      <c r="F113" s="754"/>
      <c r="G113" s="317">
        <f t="shared" si="30"/>
        <v>32</v>
      </c>
      <c r="H113" s="753">
        <v>4</v>
      </c>
      <c r="I113" s="754">
        <v>1</v>
      </c>
      <c r="J113" s="754">
        <v>1</v>
      </c>
      <c r="K113" s="317">
        <f t="shared" si="31"/>
        <v>6</v>
      </c>
      <c r="L113" s="753"/>
      <c r="M113" s="754"/>
      <c r="N113" s="754"/>
      <c r="O113" s="317">
        <f t="shared" si="32"/>
        <v>0</v>
      </c>
      <c r="P113" s="755">
        <f t="shared" si="33"/>
        <v>38</v>
      </c>
      <c r="Q113" s="968">
        <f t="shared" si="22"/>
        <v>24</v>
      </c>
      <c r="R113" s="968">
        <f t="shared" si="23"/>
        <v>13</v>
      </c>
      <c r="S113" s="968">
        <f t="shared" si="24"/>
        <v>1</v>
      </c>
      <c r="T113" s="755">
        <f t="shared" si="34"/>
        <v>38</v>
      </c>
      <c r="W113" s="756">
        <f t="shared" si="26"/>
        <v>0.16666666666666666</v>
      </c>
      <c r="X113" s="757">
        <f t="shared" si="27"/>
        <v>7.6923076923076927E-2</v>
      </c>
      <c r="Y113" s="758">
        <f t="shared" si="28"/>
        <v>1</v>
      </c>
      <c r="Z113" s="759">
        <f t="shared" si="29"/>
        <v>0.15789473684210525</v>
      </c>
    </row>
    <row r="114" spans="1:26" x14ac:dyDescent="0.25">
      <c r="A114" s="524" t="s">
        <v>144</v>
      </c>
      <c r="B114" s="457" t="s">
        <v>145</v>
      </c>
      <c r="C114" s="484" t="s">
        <v>267</v>
      </c>
      <c r="D114" s="753">
        <v>9</v>
      </c>
      <c r="E114" s="754">
        <v>5</v>
      </c>
      <c r="F114" s="754"/>
      <c r="G114" s="317">
        <f t="shared" si="30"/>
        <v>14</v>
      </c>
      <c r="H114" s="753">
        <v>6</v>
      </c>
      <c r="I114" s="754">
        <v>3</v>
      </c>
      <c r="J114" s="754"/>
      <c r="K114" s="317">
        <f t="shared" si="31"/>
        <v>9</v>
      </c>
      <c r="L114" s="753">
        <v>1</v>
      </c>
      <c r="M114" s="754"/>
      <c r="N114" s="754"/>
      <c r="O114" s="317">
        <f t="shared" si="32"/>
        <v>1</v>
      </c>
      <c r="P114" s="755">
        <f t="shared" si="33"/>
        <v>24</v>
      </c>
      <c r="Q114" s="968">
        <f t="shared" si="22"/>
        <v>15</v>
      </c>
      <c r="R114" s="968">
        <f t="shared" si="23"/>
        <v>8</v>
      </c>
      <c r="S114" s="968">
        <f t="shared" si="24"/>
        <v>0</v>
      </c>
      <c r="T114" s="755">
        <f t="shared" si="34"/>
        <v>23</v>
      </c>
      <c r="W114" s="756">
        <f t="shared" si="26"/>
        <v>0.4</v>
      </c>
      <c r="X114" s="757">
        <f t="shared" si="27"/>
        <v>0.375</v>
      </c>
      <c r="Y114" s="758" t="str">
        <f t="shared" si="28"/>
        <v>NA</v>
      </c>
      <c r="Z114" s="759">
        <f t="shared" si="29"/>
        <v>0.39130434782608697</v>
      </c>
    </row>
    <row r="115" spans="1:26" x14ac:dyDescent="0.25">
      <c r="A115" s="524" t="s">
        <v>158</v>
      </c>
      <c r="B115" s="457" t="s">
        <v>159</v>
      </c>
      <c r="C115" s="484" t="s">
        <v>264</v>
      </c>
      <c r="D115" s="753">
        <v>195</v>
      </c>
      <c r="E115" s="754">
        <v>135</v>
      </c>
      <c r="F115" s="754">
        <v>7</v>
      </c>
      <c r="G115" s="317">
        <f t="shared" si="30"/>
        <v>337</v>
      </c>
      <c r="H115" s="753">
        <v>40</v>
      </c>
      <c r="I115" s="754">
        <v>27</v>
      </c>
      <c r="J115" s="754">
        <v>2</v>
      </c>
      <c r="K115" s="317">
        <f t="shared" si="31"/>
        <v>69</v>
      </c>
      <c r="L115" s="753"/>
      <c r="M115" s="754"/>
      <c r="N115" s="754"/>
      <c r="O115" s="317">
        <f t="shared" si="32"/>
        <v>0</v>
      </c>
      <c r="P115" s="755">
        <f t="shared" si="33"/>
        <v>406</v>
      </c>
      <c r="Q115" s="968">
        <f t="shared" si="22"/>
        <v>235</v>
      </c>
      <c r="R115" s="968">
        <f t="shared" si="23"/>
        <v>162</v>
      </c>
      <c r="S115" s="968">
        <f t="shared" si="24"/>
        <v>9</v>
      </c>
      <c r="T115" s="755">
        <f t="shared" si="34"/>
        <v>406</v>
      </c>
      <c r="W115" s="756">
        <f t="shared" si="26"/>
        <v>0.1702127659574468</v>
      </c>
      <c r="X115" s="757">
        <f t="shared" si="27"/>
        <v>0.16666666666666666</v>
      </c>
      <c r="Y115" s="758">
        <f t="shared" si="28"/>
        <v>0.22222222222222221</v>
      </c>
      <c r="Z115" s="759">
        <f t="shared" si="29"/>
        <v>0.16995073891625614</v>
      </c>
    </row>
    <row r="116" spans="1:26" x14ac:dyDescent="0.25">
      <c r="A116" s="524" t="s">
        <v>160</v>
      </c>
      <c r="B116" s="457" t="s">
        <v>161</v>
      </c>
      <c r="C116" s="484" t="s">
        <v>264</v>
      </c>
      <c r="D116" s="753">
        <v>283</v>
      </c>
      <c r="E116" s="754">
        <v>157</v>
      </c>
      <c r="F116" s="754">
        <v>4</v>
      </c>
      <c r="G116" s="317">
        <f t="shared" si="30"/>
        <v>444</v>
      </c>
      <c r="H116" s="753">
        <v>79</v>
      </c>
      <c r="I116" s="754">
        <v>35</v>
      </c>
      <c r="J116" s="754">
        <v>5</v>
      </c>
      <c r="K116" s="317">
        <f t="shared" si="31"/>
        <v>119</v>
      </c>
      <c r="L116" s="753"/>
      <c r="M116" s="754"/>
      <c r="N116" s="754"/>
      <c r="O116" s="317">
        <f t="shared" si="32"/>
        <v>0</v>
      </c>
      <c r="P116" s="755">
        <f t="shared" si="33"/>
        <v>563</v>
      </c>
      <c r="Q116" s="968">
        <f t="shared" si="22"/>
        <v>362</v>
      </c>
      <c r="R116" s="968">
        <f t="shared" si="23"/>
        <v>192</v>
      </c>
      <c r="S116" s="968">
        <f t="shared" si="24"/>
        <v>9</v>
      </c>
      <c r="T116" s="755">
        <f t="shared" si="34"/>
        <v>563</v>
      </c>
      <c r="W116" s="756">
        <f t="shared" si="26"/>
        <v>0.21823204419889503</v>
      </c>
      <c r="X116" s="757">
        <f t="shared" si="27"/>
        <v>0.18229166666666666</v>
      </c>
      <c r="Y116" s="758">
        <f t="shared" si="28"/>
        <v>0.55555555555555558</v>
      </c>
      <c r="Z116" s="759">
        <f t="shared" si="29"/>
        <v>0.21136767317939609</v>
      </c>
    </row>
    <row r="117" spans="1:26" x14ac:dyDescent="0.25">
      <c r="A117" s="524" t="s">
        <v>166</v>
      </c>
      <c r="B117" s="457" t="s">
        <v>167</v>
      </c>
      <c r="C117" s="484" t="s">
        <v>268</v>
      </c>
      <c r="D117" s="753">
        <v>10</v>
      </c>
      <c r="E117" s="754">
        <v>5</v>
      </c>
      <c r="F117" s="754"/>
      <c r="G117" s="317">
        <f t="shared" si="30"/>
        <v>15</v>
      </c>
      <c r="H117" s="753"/>
      <c r="I117" s="754"/>
      <c r="J117" s="754"/>
      <c r="K117" s="317">
        <f t="shared" si="31"/>
        <v>0</v>
      </c>
      <c r="L117" s="753"/>
      <c r="M117" s="754"/>
      <c r="N117" s="754"/>
      <c r="O117" s="317">
        <f t="shared" si="32"/>
        <v>0</v>
      </c>
      <c r="P117" s="755">
        <f t="shared" si="33"/>
        <v>15</v>
      </c>
      <c r="Q117" s="968">
        <f t="shared" si="22"/>
        <v>10</v>
      </c>
      <c r="R117" s="968">
        <f t="shared" si="23"/>
        <v>5</v>
      </c>
      <c r="S117" s="968">
        <f t="shared" si="24"/>
        <v>0</v>
      </c>
      <c r="T117" s="755">
        <f t="shared" si="34"/>
        <v>15</v>
      </c>
      <c r="W117" s="756">
        <f t="shared" si="26"/>
        <v>0</v>
      </c>
      <c r="X117" s="757">
        <f t="shared" si="27"/>
        <v>0</v>
      </c>
      <c r="Y117" s="758" t="str">
        <f t="shared" si="28"/>
        <v>NA</v>
      </c>
      <c r="Z117" s="759">
        <f t="shared" si="29"/>
        <v>0</v>
      </c>
    </row>
    <row r="118" spans="1:26" x14ac:dyDescent="0.25">
      <c r="A118" s="524" t="s">
        <v>176</v>
      </c>
      <c r="B118" s="457" t="s">
        <v>177</v>
      </c>
      <c r="C118" s="484" t="s">
        <v>266</v>
      </c>
      <c r="D118" s="753">
        <v>66</v>
      </c>
      <c r="E118" s="754">
        <v>28</v>
      </c>
      <c r="F118" s="754"/>
      <c r="G118" s="317">
        <f t="shared" si="30"/>
        <v>94</v>
      </c>
      <c r="H118" s="753">
        <v>36</v>
      </c>
      <c r="I118" s="754">
        <v>20</v>
      </c>
      <c r="J118" s="754"/>
      <c r="K118" s="317">
        <f t="shared" si="31"/>
        <v>56</v>
      </c>
      <c r="L118" s="753"/>
      <c r="M118" s="754"/>
      <c r="N118" s="754"/>
      <c r="O118" s="317">
        <f t="shared" si="32"/>
        <v>0</v>
      </c>
      <c r="P118" s="755">
        <f t="shared" si="33"/>
        <v>150</v>
      </c>
      <c r="Q118" s="968">
        <f t="shared" si="22"/>
        <v>102</v>
      </c>
      <c r="R118" s="968">
        <f t="shared" si="23"/>
        <v>48</v>
      </c>
      <c r="S118" s="968">
        <f t="shared" si="24"/>
        <v>0</v>
      </c>
      <c r="T118" s="755">
        <f t="shared" si="34"/>
        <v>150</v>
      </c>
      <c r="W118" s="756">
        <f t="shared" si="26"/>
        <v>0.35294117647058826</v>
      </c>
      <c r="X118" s="757">
        <f t="shared" si="27"/>
        <v>0.41666666666666669</v>
      </c>
      <c r="Y118" s="758" t="str">
        <f t="shared" si="28"/>
        <v>NA</v>
      </c>
      <c r="Z118" s="759">
        <f t="shared" si="29"/>
        <v>0.37333333333333335</v>
      </c>
    </row>
    <row r="119" spans="1:26" x14ac:dyDescent="0.25">
      <c r="A119" s="524" t="s">
        <v>180</v>
      </c>
      <c r="B119" s="457" t="s">
        <v>181</v>
      </c>
      <c r="C119" s="484" t="s">
        <v>264</v>
      </c>
      <c r="D119" s="753">
        <v>125</v>
      </c>
      <c r="E119" s="754">
        <v>68</v>
      </c>
      <c r="F119" s="754">
        <v>1</v>
      </c>
      <c r="G119" s="317">
        <f t="shared" si="30"/>
        <v>194</v>
      </c>
      <c r="H119" s="753">
        <v>53</v>
      </c>
      <c r="I119" s="754">
        <v>31</v>
      </c>
      <c r="J119" s="754"/>
      <c r="K119" s="317">
        <f t="shared" si="31"/>
        <v>84</v>
      </c>
      <c r="L119" s="753"/>
      <c r="M119" s="754"/>
      <c r="N119" s="754"/>
      <c r="O119" s="317">
        <f t="shared" si="32"/>
        <v>0</v>
      </c>
      <c r="P119" s="755">
        <f t="shared" si="33"/>
        <v>278</v>
      </c>
      <c r="Q119" s="968">
        <f t="shared" si="22"/>
        <v>178</v>
      </c>
      <c r="R119" s="968">
        <f t="shared" si="23"/>
        <v>99</v>
      </c>
      <c r="S119" s="968">
        <f t="shared" si="24"/>
        <v>1</v>
      </c>
      <c r="T119" s="755">
        <f t="shared" si="34"/>
        <v>278</v>
      </c>
      <c r="W119" s="756">
        <f t="shared" si="26"/>
        <v>0.29775280898876405</v>
      </c>
      <c r="X119" s="757">
        <f t="shared" si="27"/>
        <v>0.31313131313131315</v>
      </c>
      <c r="Y119" s="758">
        <f t="shared" si="28"/>
        <v>0</v>
      </c>
      <c r="Z119" s="759">
        <f t="shared" si="29"/>
        <v>0.30215827338129497</v>
      </c>
    </row>
    <row r="120" spans="1:26" x14ac:dyDescent="0.25">
      <c r="A120" s="524" t="s">
        <v>192</v>
      </c>
      <c r="B120" s="457" t="s">
        <v>193</v>
      </c>
      <c r="C120" s="484" t="s">
        <v>268</v>
      </c>
      <c r="D120" s="753">
        <v>12</v>
      </c>
      <c r="E120" s="754">
        <v>5</v>
      </c>
      <c r="F120" s="754"/>
      <c r="G120" s="317">
        <f t="shared" si="30"/>
        <v>17</v>
      </c>
      <c r="H120" s="753">
        <v>1</v>
      </c>
      <c r="I120" s="754">
        <v>2</v>
      </c>
      <c r="J120" s="754"/>
      <c r="K120" s="317">
        <f t="shared" si="31"/>
        <v>3</v>
      </c>
      <c r="L120" s="753"/>
      <c r="M120" s="754"/>
      <c r="N120" s="754"/>
      <c r="O120" s="317">
        <f t="shared" si="32"/>
        <v>0</v>
      </c>
      <c r="P120" s="755">
        <f t="shared" si="33"/>
        <v>20</v>
      </c>
      <c r="Q120" s="968">
        <f t="shared" si="22"/>
        <v>13</v>
      </c>
      <c r="R120" s="968">
        <f t="shared" si="23"/>
        <v>7</v>
      </c>
      <c r="S120" s="968">
        <f t="shared" si="24"/>
        <v>0</v>
      </c>
      <c r="T120" s="755">
        <f t="shared" si="34"/>
        <v>20</v>
      </c>
      <c r="W120" s="756">
        <f t="shared" si="26"/>
        <v>7.6923076923076927E-2</v>
      </c>
      <c r="X120" s="757">
        <f t="shared" si="27"/>
        <v>0.2857142857142857</v>
      </c>
      <c r="Y120" s="758" t="str">
        <f t="shared" si="28"/>
        <v>NA</v>
      </c>
      <c r="Z120" s="759">
        <f t="shared" si="29"/>
        <v>0.15</v>
      </c>
    </row>
    <row r="121" spans="1:26" x14ac:dyDescent="0.25">
      <c r="A121" s="524" t="s">
        <v>196</v>
      </c>
      <c r="B121" s="457" t="s">
        <v>312</v>
      </c>
      <c r="C121" s="484" t="s">
        <v>266</v>
      </c>
      <c r="D121" s="753">
        <v>233</v>
      </c>
      <c r="E121" s="754">
        <v>147</v>
      </c>
      <c r="F121" s="754">
        <v>17</v>
      </c>
      <c r="G121" s="317">
        <f t="shared" si="30"/>
        <v>397</v>
      </c>
      <c r="H121" s="753">
        <v>92</v>
      </c>
      <c r="I121" s="754">
        <v>40</v>
      </c>
      <c r="J121" s="754">
        <v>10</v>
      </c>
      <c r="K121" s="317">
        <f t="shared" si="31"/>
        <v>142</v>
      </c>
      <c r="L121" s="753"/>
      <c r="M121" s="754">
        <v>1</v>
      </c>
      <c r="N121" s="754"/>
      <c r="O121" s="317">
        <f t="shared" si="32"/>
        <v>1</v>
      </c>
      <c r="P121" s="755">
        <f t="shared" si="33"/>
        <v>540</v>
      </c>
      <c r="Q121" s="968">
        <f t="shared" si="22"/>
        <v>325</v>
      </c>
      <c r="R121" s="968">
        <f t="shared" si="23"/>
        <v>187</v>
      </c>
      <c r="S121" s="968">
        <f t="shared" si="24"/>
        <v>27</v>
      </c>
      <c r="T121" s="755">
        <f t="shared" si="34"/>
        <v>539</v>
      </c>
      <c r="W121" s="756">
        <f t="shared" si="26"/>
        <v>0.28307692307692306</v>
      </c>
      <c r="X121" s="757">
        <f t="shared" si="27"/>
        <v>0.21390374331550802</v>
      </c>
      <c r="Y121" s="758">
        <f t="shared" si="28"/>
        <v>0.37037037037037035</v>
      </c>
      <c r="Z121" s="759">
        <f t="shared" si="29"/>
        <v>0.26345083487940629</v>
      </c>
    </row>
    <row r="122" spans="1:26" x14ac:dyDescent="0.25">
      <c r="A122" s="524" t="s">
        <v>200</v>
      </c>
      <c r="B122" s="457" t="s">
        <v>313</v>
      </c>
      <c r="C122" s="484" t="s">
        <v>265</v>
      </c>
      <c r="D122" s="753">
        <v>141</v>
      </c>
      <c r="E122" s="754">
        <v>67</v>
      </c>
      <c r="F122" s="754">
        <v>4</v>
      </c>
      <c r="G122" s="317">
        <f t="shared" si="30"/>
        <v>212</v>
      </c>
      <c r="H122" s="753">
        <v>26</v>
      </c>
      <c r="I122" s="754">
        <v>5</v>
      </c>
      <c r="J122" s="754">
        <v>4</v>
      </c>
      <c r="K122" s="317">
        <f t="shared" si="31"/>
        <v>35</v>
      </c>
      <c r="L122" s="753">
        <v>1</v>
      </c>
      <c r="M122" s="754"/>
      <c r="N122" s="754"/>
      <c r="O122" s="317">
        <f t="shared" si="32"/>
        <v>1</v>
      </c>
      <c r="P122" s="755">
        <f t="shared" si="33"/>
        <v>248</v>
      </c>
      <c r="Q122" s="968">
        <f t="shared" si="22"/>
        <v>167</v>
      </c>
      <c r="R122" s="968">
        <f t="shared" si="23"/>
        <v>72</v>
      </c>
      <c r="S122" s="968">
        <f t="shared" si="24"/>
        <v>8</v>
      </c>
      <c r="T122" s="755">
        <f t="shared" si="34"/>
        <v>247</v>
      </c>
      <c r="W122" s="756">
        <f t="shared" si="26"/>
        <v>0.15568862275449102</v>
      </c>
      <c r="X122" s="757">
        <f t="shared" si="27"/>
        <v>6.9444444444444448E-2</v>
      </c>
      <c r="Y122" s="758">
        <f t="shared" si="28"/>
        <v>0.5</v>
      </c>
      <c r="Z122" s="759">
        <f t="shared" si="29"/>
        <v>0.1417004048582996</v>
      </c>
    </row>
    <row r="123" spans="1:26" x14ac:dyDescent="0.25">
      <c r="A123" s="524" t="s">
        <v>222</v>
      </c>
      <c r="B123" s="457" t="s">
        <v>223</v>
      </c>
      <c r="C123" s="484" t="s">
        <v>264</v>
      </c>
      <c r="D123" s="753">
        <v>84</v>
      </c>
      <c r="E123" s="754">
        <v>31</v>
      </c>
      <c r="F123" s="754">
        <v>2</v>
      </c>
      <c r="G123" s="317">
        <f t="shared" si="30"/>
        <v>117</v>
      </c>
      <c r="H123" s="753">
        <v>8</v>
      </c>
      <c r="I123" s="754">
        <v>1</v>
      </c>
      <c r="J123" s="754"/>
      <c r="K123" s="317">
        <f t="shared" si="31"/>
        <v>9</v>
      </c>
      <c r="L123" s="753"/>
      <c r="M123" s="754"/>
      <c r="N123" s="754"/>
      <c r="O123" s="317">
        <f t="shared" si="32"/>
        <v>0</v>
      </c>
      <c r="P123" s="755">
        <f t="shared" si="33"/>
        <v>126</v>
      </c>
      <c r="Q123" s="968">
        <f t="shared" si="22"/>
        <v>92</v>
      </c>
      <c r="R123" s="968">
        <f t="shared" si="23"/>
        <v>32</v>
      </c>
      <c r="S123" s="968">
        <f t="shared" si="24"/>
        <v>2</v>
      </c>
      <c r="T123" s="755">
        <f t="shared" si="34"/>
        <v>126</v>
      </c>
      <c r="W123" s="756">
        <f t="shared" si="26"/>
        <v>8.6956521739130432E-2</v>
      </c>
      <c r="X123" s="757">
        <f t="shared" si="27"/>
        <v>3.125E-2</v>
      </c>
      <c r="Y123" s="758">
        <f t="shared" si="28"/>
        <v>0</v>
      </c>
      <c r="Z123" s="759">
        <f t="shared" si="29"/>
        <v>7.1428571428571425E-2</v>
      </c>
    </row>
    <row r="124" spans="1:26" x14ac:dyDescent="0.25">
      <c r="A124" s="524" t="s">
        <v>230</v>
      </c>
      <c r="B124" s="457" t="s">
        <v>231</v>
      </c>
      <c r="C124" s="484" t="s">
        <v>264</v>
      </c>
      <c r="D124" s="753">
        <v>253</v>
      </c>
      <c r="E124" s="754">
        <v>96</v>
      </c>
      <c r="F124" s="754"/>
      <c r="G124" s="317">
        <f t="shared" si="30"/>
        <v>349</v>
      </c>
      <c r="H124" s="753">
        <v>70</v>
      </c>
      <c r="I124" s="754">
        <v>22</v>
      </c>
      <c r="J124" s="754"/>
      <c r="K124" s="317">
        <f t="shared" si="31"/>
        <v>92</v>
      </c>
      <c r="L124" s="753"/>
      <c r="M124" s="754"/>
      <c r="N124" s="754"/>
      <c r="O124" s="317">
        <f t="shared" si="32"/>
        <v>0</v>
      </c>
      <c r="P124" s="755">
        <f t="shared" si="33"/>
        <v>441</v>
      </c>
      <c r="Q124" s="968">
        <f t="shared" si="22"/>
        <v>323</v>
      </c>
      <c r="R124" s="968">
        <f t="shared" si="23"/>
        <v>118</v>
      </c>
      <c r="S124" s="968">
        <f t="shared" si="24"/>
        <v>0</v>
      </c>
      <c r="T124" s="755">
        <f t="shared" si="34"/>
        <v>441</v>
      </c>
      <c r="W124" s="756">
        <f t="shared" si="26"/>
        <v>0.21671826625386997</v>
      </c>
      <c r="X124" s="757">
        <f t="shared" si="27"/>
        <v>0.1864406779661017</v>
      </c>
      <c r="Y124" s="758" t="str">
        <f t="shared" si="28"/>
        <v>NA</v>
      </c>
      <c r="Z124" s="759">
        <f t="shared" si="29"/>
        <v>0.20861678004535147</v>
      </c>
    </row>
    <row r="125" spans="1:26" x14ac:dyDescent="0.25">
      <c r="A125" s="524" t="s">
        <v>238</v>
      </c>
      <c r="B125" s="457" t="s">
        <v>239</v>
      </c>
      <c r="C125" s="484" t="s">
        <v>264</v>
      </c>
      <c r="D125" s="753">
        <v>10</v>
      </c>
      <c r="E125" s="754">
        <v>5</v>
      </c>
      <c r="F125" s="754"/>
      <c r="G125" s="317">
        <f t="shared" si="30"/>
        <v>15</v>
      </c>
      <c r="H125" s="753"/>
      <c r="I125" s="754"/>
      <c r="J125" s="754"/>
      <c r="K125" s="317">
        <f t="shared" si="31"/>
        <v>0</v>
      </c>
      <c r="L125" s="753"/>
      <c r="M125" s="754"/>
      <c r="N125" s="754"/>
      <c r="O125" s="317">
        <f t="shared" si="32"/>
        <v>0</v>
      </c>
      <c r="P125" s="755">
        <f t="shared" si="33"/>
        <v>15</v>
      </c>
      <c r="Q125" s="968">
        <f t="shared" si="22"/>
        <v>10</v>
      </c>
      <c r="R125" s="968">
        <f t="shared" si="23"/>
        <v>5</v>
      </c>
      <c r="S125" s="968">
        <f t="shared" si="24"/>
        <v>0</v>
      </c>
      <c r="T125" s="755">
        <f t="shared" si="34"/>
        <v>15</v>
      </c>
      <c r="W125" s="756">
        <f t="shared" si="26"/>
        <v>0</v>
      </c>
      <c r="X125" s="757">
        <f t="shared" si="27"/>
        <v>0</v>
      </c>
      <c r="Y125" s="758" t="str">
        <f t="shared" si="28"/>
        <v>NA</v>
      </c>
      <c r="Z125" s="759">
        <f t="shared" si="29"/>
        <v>0</v>
      </c>
    </row>
    <row r="126" spans="1:26" x14ac:dyDescent="0.25">
      <c r="A126" s="761" t="s">
        <v>240</v>
      </c>
      <c r="B126" s="762" t="s">
        <v>241</v>
      </c>
      <c r="C126" s="763" t="s">
        <v>267</v>
      </c>
      <c r="D126" s="879">
        <v>30</v>
      </c>
      <c r="E126" s="880">
        <v>16</v>
      </c>
      <c r="F126" s="880"/>
      <c r="G126" s="881">
        <f t="shared" si="30"/>
        <v>46</v>
      </c>
      <c r="H126" s="879">
        <v>1</v>
      </c>
      <c r="I126" s="880"/>
      <c r="J126" s="880"/>
      <c r="K126" s="881">
        <f t="shared" si="31"/>
        <v>1</v>
      </c>
      <c r="L126" s="879"/>
      <c r="M126" s="880"/>
      <c r="N126" s="880"/>
      <c r="O126" s="881">
        <f t="shared" si="32"/>
        <v>0</v>
      </c>
      <c r="P126" s="882">
        <f t="shared" si="33"/>
        <v>47</v>
      </c>
      <c r="Q126" s="970">
        <f t="shared" si="22"/>
        <v>31</v>
      </c>
      <c r="R126" s="970">
        <f t="shared" si="23"/>
        <v>16</v>
      </c>
      <c r="S126" s="970">
        <f t="shared" si="24"/>
        <v>0</v>
      </c>
      <c r="T126" s="882">
        <f t="shared" si="34"/>
        <v>47</v>
      </c>
      <c r="W126" s="883">
        <f t="shared" si="26"/>
        <v>3.2258064516129031E-2</v>
      </c>
      <c r="X126" s="884">
        <f t="shared" si="27"/>
        <v>0</v>
      </c>
      <c r="Y126" s="885" t="str">
        <f t="shared" si="28"/>
        <v>NA</v>
      </c>
      <c r="Z126" s="886">
        <f t="shared" si="29"/>
        <v>2.1276595744680851E-2</v>
      </c>
    </row>
    <row r="127" spans="1:26" x14ac:dyDescent="0.25">
      <c r="A127" s="511"/>
      <c r="B127" s="511"/>
      <c r="C127" s="511"/>
    </row>
    <row r="128" spans="1:26" ht="16.5" customHeight="1" x14ac:dyDescent="0.25">
      <c r="A128" s="925" t="s">
        <v>1183</v>
      </c>
      <c r="B128" s="511"/>
      <c r="C128" s="511"/>
      <c r="D128" s="511"/>
    </row>
    <row r="129" spans="1:4" x14ac:dyDescent="0.25">
      <c r="A129" s="765" t="s">
        <v>803</v>
      </c>
      <c r="B129" s="765"/>
      <c r="C129" s="765"/>
      <c r="D129" s="765"/>
    </row>
    <row r="130" spans="1:4" x14ac:dyDescent="0.25">
      <c r="A130" s="764" t="s">
        <v>656</v>
      </c>
      <c r="B130" s="511"/>
      <c r="C130" s="511"/>
      <c r="D130" s="511"/>
    </row>
    <row r="131" spans="1:4" x14ac:dyDescent="0.25">
      <c r="A131" s="764" t="s">
        <v>1180</v>
      </c>
      <c r="B131" s="511"/>
      <c r="C131" s="511"/>
      <c r="D131" s="511"/>
    </row>
    <row r="132" spans="1:4" x14ac:dyDescent="0.25">
      <c r="A132" s="270" t="s">
        <v>248</v>
      </c>
      <c r="B132" s="766"/>
      <c r="C132" s="766"/>
    </row>
    <row r="133" spans="1:4" x14ac:dyDescent="0.25">
      <c r="A133" s="270" t="s">
        <v>249</v>
      </c>
      <c r="B133" s="416" t="s">
        <v>250</v>
      </c>
      <c r="C133" s="767"/>
    </row>
  </sheetData>
  <autoFilter ref="A5:C5"/>
  <mergeCells count="7">
    <mergeCell ref="W4:Z4"/>
    <mergeCell ref="D4:G4"/>
    <mergeCell ref="H4:K4"/>
    <mergeCell ref="L4:O4"/>
    <mergeCell ref="P4:P5"/>
    <mergeCell ref="T4:T5"/>
    <mergeCell ref="Q4:S4"/>
  </mergeCells>
  <hyperlinks>
    <hyperlink ref="B133"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7"/>
  <sheetViews>
    <sheetView topLeftCell="A102" workbookViewId="0">
      <selection activeCell="A128" sqref="A128:IV133"/>
    </sheetView>
  </sheetViews>
  <sheetFormatPr defaultColWidth="9.125" defaultRowHeight="12.75" x14ac:dyDescent="0.2"/>
  <cols>
    <col min="1" max="1" width="8.5" style="96" customWidth="1"/>
    <col min="2" max="2" width="26.375" style="97" customWidth="1"/>
    <col min="3" max="3" width="9.25" style="97" customWidth="1"/>
    <col min="4" max="5" width="9.75" style="97" customWidth="1"/>
    <col min="6" max="6" width="1.75" style="97" customWidth="1"/>
    <col min="7" max="7" width="9.875" style="97" bestFit="1" customWidth="1"/>
    <col min="8" max="8" width="9.625" style="97" customWidth="1"/>
    <col min="9" max="9" width="1.5" style="97" customWidth="1"/>
    <col min="10" max="10" width="9.875" style="97" bestFit="1" customWidth="1"/>
    <col min="11" max="11" width="9" style="97" bestFit="1" customWidth="1"/>
    <col min="12" max="12" width="1.125" style="97" customWidth="1"/>
    <col min="13" max="13" width="9.875" style="97" bestFit="1" customWidth="1"/>
    <col min="14" max="14" width="9" style="97" bestFit="1" customWidth="1"/>
    <col min="15" max="15" width="1.5" style="97" customWidth="1"/>
    <col min="16" max="16" width="11" style="117" customWidth="1"/>
    <col min="17" max="18" width="9.25" style="95" customWidth="1"/>
    <col min="19" max="19" width="11.125" style="95" bestFit="1" customWidth="1"/>
    <col min="20" max="16384" width="9.125" style="96"/>
  </cols>
  <sheetData>
    <row r="1" spans="1:22" ht="17.25" customHeight="1" x14ac:dyDescent="0.25">
      <c r="A1" s="2162" t="s">
        <v>621</v>
      </c>
      <c r="B1" s="2162"/>
      <c r="C1" s="2162"/>
      <c r="D1" s="2162"/>
      <c r="E1" s="2162"/>
      <c r="F1" s="2162"/>
      <c r="G1" s="2162"/>
      <c r="H1" s="2162"/>
      <c r="I1" s="2162"/>
      <c r="J1" s="2162"/>
      <c r="K1" s="2162"/>
      <c r="L1" s="194"/>
      <c r="M1" s="194"/>
      <c r="N1" s="194"/>
      <c r="O1" s="194"/>
      <c r="P1" s="180"/>
      <c r="Q1" s="180"/>
      <c r="R1" s="180"/>
    </row>
    <row r="2" spans="1:22" ht="17.25" customHeight="1" x14ac:dyDescent="0.25">
      <c r="A2" s="319"/>
      <c r="B2" s="319"/>
      <c r="C2" s="319"/>
      <c r="D2" s="319"/>
      <c r="E2" s="319"/>
      <c r="F2" s="319"/>
      <c r="G2" s="319"/>
      <c r="H2" s="319"/>
      <c r="I2" s="319"/>
      <c r="J2" s="319"/>
      <c r="K2" s="319"/>
      <c r="L2" s="194"/>
      <c r="M2" s="194"/>
      <c r="N2" s="194"/>
      <c r="O2" s="194"/>
      <c r="P2" s="180"/>
      <c r="Q2" s="180"/>
      <c r="R2" s="180"/>
    </row>
    <row r="3" spans="1:22" ht="17.25" customHeight="1" x14ac:dyDescent="0.25">
      <c r="A3" s="195"/>
      <c r="B3" s="195"/>
      <c r="C3" s="195"/>
      <c r="D3" s="182"/>
      <c r="E3" s="182"/>
      <c r="F3" s="195"/>
      <c r="G3" s="182"/>
      <c r="H3" s="182"/>
      <c r="I3" s="195"/>
      <c r="J3" s="182"/>
      <c r="K3" s="182"/>
      <c r="L3" s="194"/>
      <c r="M3" s="94"/>
      <c r="N3" s="94"/>
      <c r="O3" s="194"/>
      <c r="P3" s="180"/>
      <c r="Q3" s="180"/>
      <c r="R3" s="180"/>
    </row>
    <row r="4" spans="1:22" ht="25.5" customHeight="1" x14ac:dyDescent="0.2">
      <c r="D4" s="2159" t="s">
        <v>622</v>
      </c>
      <c r="E4" s="2159"/>
      <c r="F4" s="180"/>
      <c r="G4" s="2159" t="s">
        <v>2</v>
      </c>
      <c r="H4" s="2159"/>
      <c r="I4" s="180"/>
      <c r="J4" s="2159" t="s">
        <v>623</v>
      </c>
      <c r="K4" s="2159"/>
      <c r="L4" s="98"/>
      <c r="M4" s="2159" t="s">
        <v>624</v>
      </c>
      <c r="N4" s="2159"/>
      <c r="O4" s="180"/>
      <c r="P4" s="2159" t="s">
        <v>625</v>
      </c>
      <c r="Q4" s="2159"/>
      <c r="R4" s="2159"/>
      <c r="S4" s="2159"/>
    </row>
    <row r="5" spans="1:22" ht="38.25" x14ac:dyDescent="0.2">
      <c r="A5" s="99" t="s">
        <v>4</v>
      </c>
      <c r="B5" s="100" t="s">
        <v>5</v>
      </c>
      <c r="C5" s="100" t="s">
        <v>251</v>
      </c>
      <c r="D5" s="209" t="s">
        <v>626</v>
      </c>
      <c r="E5" s="209" t="s">
        <v>281</v>
      </c>
      <c r="F5" s="98"/>
      <c r="G5" s="209" t="s">
        <v>626</v>
      </c>
      <c r="H5" s="209" t="s">
        <v>281</v>
      </c>
      <c r="I5" s="98"/>
      <c r="J5" s="209" t="s">
        <v>626</v>
      </c>
      <c r="K5" s="209" t="s">
        <v>281</v>
      </c>
      <c r="L5" s="98"/>
      <c r="M5" s="209" t="s">
        <v>626</v>
      </c>
      <c r="N5" s="209" t="s">
        <v>281</v>
      </c>
      <c r="O5" s="98"/>
      <c r="P5" s="201" t="s">
        <v>622</v>
      </c>
      <c r="Q5" s="201" t="s">
        <v>2</v>
      </c>
      <c r="R5" s="201" t="s">
        <v>3</v>
      </c>
      <c r="S5" s="201" t="s">
        <v>624</v>
      </c>
    </row>
    <row r="6" spans="1:22" x14ac:dyDescent="0.2">
      <c r="A6" s="196" t="s">
        <v>8</v>
      </c>
      <c r="B6" s="197" t="s">
        <v>9</v>
      </c>
      <c r="C6" s="197"/>
      <c r="D6" s="213">
        <v>444292</v>
      </c>
      <c r="E6" s="214">
        <v>1635360</v>
      </c>
      <c r="F6" s="198"/>
      <c r="G6" s="210">
        <v>203435</v>
      </c>
      <c r="H6" s="210">
        <v>1044656</v>
      </c>
      <c r="I6" s="200"/>
      <c r="J6" s="210">
        <v>178609</v>
      </c>
      <c r="K6" s="210">
        <v>322077</v>
      </c>
      <c r="L6" s="200"/>
      <c r="M6" s="210">
        <v>49259</v>
      </c>
      <c r="N6" s="210">
        <v>173510</v>
      </c>
      <c r="O6" s="199"/>
      <c r="P6" s="202">
        <f>(D6/E6)*100</f>
        <v>27.167840720086094</v>
      </c>
      <c r="Q6" s="202">
        <f>(G6/H6)*100</f>
        <v>19.473874653474446</v>
      </c>
      <c r="R6" s="202">
        <f>(J6/K6)*100</f>
        <v>55.455372473042161</v>
      </c>
      <c r="S6" s="202">
        <f>IF(N6&lt;1,"NA", ((M6/N6)*100))</f>
        <v>28.389718171863294</v>
      </c>
    </row>
    <row r="7" spans="1:22" x14ac:dyDescent="0.2">
      <c r="A7" s="101" t="s">
        <v>10</v>
      </c>
      <c r="B7" s="102" t="s">
        <v>11</v>
      </c>
      <c r="C7" s="103" t="s">
        <v>264</v>
      </c>
      <c r="D7" s="215">
        <v>2089</v>
      </c>
      <c r="E7" s="216">
        <v>5645</v>
      </c>
      <c r="F7" s="104"/>
      <c r="G7" s="211">
        <v>869</v>
      </c>
      <c r="H7" s="211">
        <v>3396</v>
      </c>
      <c r="I7" s="106"/>
      <c r="J7" s="211">
        <v>1026</v>
      </c>
      <c r="K7" s="211">
        <v>1557</v>
      </c>
      <c r="L7" s="107"/>
      <c r="M7" s="211">
        <v>245</v>
      </c>
      <c r="N7" s="211">
        <v>921</v>
      </c>
      <c r="O7" s="105"/>
      <c r="P7" s="203">
        <f t="shared" ref="P7:P70" si="0">(D7/E7)*100</f>
        <v>37.006200177147917</v>
      </c>
      <c r="Q7" s="204">
        <f t="shared" ref="Q7:Q70" si="1">(G7/H7)*100</f>
        <v>25.588928150765604</v>
      </c>
      <c r="R7" s="204">
        <f t="shared" ref="R7:R70" si="2">(J7/K7)*100</f>
        <v>65.895953757225428</v>
      </c>
      <c r="S7" s="203">
        <f t="shared" ref="S7:S70" si="3">IF(N7&lt;1,"NA", ((M7/N7)*100))</f>
        <v>26.601520086862106</v>
      </c>
      <c r="T7" s="108"/>
      <c r="U7" s="109"/>
      <c r="V7" s="109"/>
    </row>
    <row r="8" spans="1:22" x14ac:dyDescent="0.2">
      <c r="A8" s="101" t="s">
        <v>12</v>
      </c>
      <c r="B8" s="102" t="s">
        <v>13</v>
      </c>
      <c r="C8" s="103" t="s">
        <v>265</v>
      </c>
      <c r="D8" s="215">
        <v>4442</v>
      </c>
      <c r="E8" s="216">
        <v>19580</v>
      </c>
      <c r="F8" s="104"/>
      <c r="G8" s="211">
        <v>2663</v>
      </c>
      <c r="H8" s="211">
        <v>15250</v>
      </c>
      <c r="I8" s="107"/>
      <c r="J8" s="211">
        <v>1081</v>
      </c>
      <c r="K8" s="211">
        <v>1788</v>
      </c>
      <c r="L8" s="107"/>
      <c r="M8" s="211">
        <v>461</v>
      </c>
      <c r="N8" s="211">
        <v>1462</v>
      </c>
      <c r="O8" s="105"/>
      <c r="P8" s="203">
        <f t="shared" si="0"/>
        <v>22.68641470888662</v>
      </c>
      <c r="Q8" s="204">
        <f t="shared" si="1"/>
        <v>17.462295081967213</v>
      </c>
      <c r="R8" s="204">
        <f t="shared" si="2"/>
        <v>60.458612975391503</v>
      </c>
      <c r="S8" s="203">
        <f t="shared" si="3"/>
        <v>31.532147742818058</v>
      </c>
      <c r="T8" s="108"/>
      <c r="U8" s="109"/>
      <c r="V8" s="109"/>
    </row>
    <row r="9" spans="1:22" x14ac:dyDescent="0.2">
      <c r="A9" s="101" t="s">
        <v>16</v>
      </c>
      <c r="B9" s="102" t="s">
        <v>600</v>
      </c>
      <c r="C9" s="103" t="s">
        <v>265</v>
      </c>
      <c r="D9" s="215">
        <v>1246</v>
      </c>
      <c r="E9" s="216">
        <v>4119</v>
      </c>
      <c r="F9" s="104"/>
      <c r="G9" s="211">
        <v>970</v>
      </c>
      <c r="H9" s="211">
        <v>3662</v>
      </c>
      <c r="I9" s="107"/>
      <c r="J9" s="211">
        <v>167</v>
      </c>
      <c r="K9" s="211">
        <v>244</v>
      </c>
      <c r="L9" s="107"/>
      <c r="M9" s="211">
        <v>24</v>
      </c>
      <c r="N9" s="211">
        <v>71</v>
      </c>
      <c r="O9" s="105"/>
      <c r="P9" s="203">
        <f t="shared" si="0"/>
        <v>30.25006069434329</v>
      </c>
      <c r="Q9" s="204">
        <f t="shared" si="1"/>
        <v>26.488257782632441</v>
      </c>
      <c r="R9" s="204">
        <f t="shared" si="2"/>
        <v>68.442622950819683</v>
      </c>
      <c r="S9" s="203">
        <f t="shared" si="3"/>
        <v>33.802816901408448</v>
      </c>
      <c r="T9" s="108"/>
      <c r="U9" s="109"/>
      <c r="V9" s="109"/>
    </row>
    <row r="10" spans="1:22" x14ac:dyDescent="0.2">
      <c r="A10" s="101" t="s">
        <v>18</v>
      </c>
      <c r="B10" s="102" t="s">
        <v>19</v>
      </c>
      <c r="C10" s="103" t="s">
        <v>266</v>
      </c>
      <c r="D10" s="215">
        <v>628</v>
      </c>
      <c r="E10" s="216">
        <v>2321</v>
      </c>
      <c r="F10" s="104"/>
      <c r="G10" s="211">
        <v>381</v>
      </c>
      <c r="H10" s="211">
        <v>1778</v>
      </c>
      <c r="I10" s="107"/>
      <c r="J10" s="211">
        <v>210</v>
      </c>
      <c r="K10" s="211">
        <v>413</v>
      </c>
      <c r="L10" s="107"/>
      <c r="M10" s="211">
        <v>19</v>
      </c>
      <c r="N10" s="211">
        <v>79</v>
      </c>
      <c r="O10" s="105"/>
      <c r="P10" s="203">
        <f t="shared" si="0"/>
        <v>27.057302886686774</v>
      </c>
      <c r="Q10" s="204">
        <f t="shared" si="1"/>
        <v>21.428571428571427</v>
      </c>
      <c r="R10" s="204">
        <f t="shared" si="2"/>
        <v>50.847457627118644</v>
      </c>
      <c r="S10" s="203">
        <f t="shared" si="3"/>
        <v>24.050632911392405</v>
      </c>
      <c r="T10" s="108"/>
      <c r="U10" s="109"/>
      <c r="V10" s="109"/>
    </row>
    <row r="11" spans="1:22" x14ac:dyDescent="0.2">
      <c r="A11" s="101" t="s">
        <v>20</v>
      </c>
      <c r="B11" s="102" t="s">
        <v>21</v>
      </c>
      <c r="C11" s="103" t="s">
        <v>265</v>
      </c>
      <c r="D11" s="215">
        <v>1922</v>
      </c>
      <c r="E11" s="216">
        <v>5977</v>
      </c>
      <c r="F11" s="104"/>
      <c r="G11" s="211">
        <v>1150</v>
      </c>
      <c r="H11" s="211">
        <v>4492</v>
      </c>
      <c r="I11" s="107"/>
      <c r="J11" s="211">
        <v>576</v>
      </c>
      <c r="K11" s="211">
        <v>1038</v>
      </c>
      <c r="L11" s="107"/>
      <c r="M11" s="211">
        <v>54</v>
      </c>
      <c r="N11" s="211">
        <v>169</v>
      </c>
      <c r="O11" s="105"/>
      <c r="P11" s="203">
        <f t="shared" si="0"/>
        <v>32.156600301154427</v>
      </c>
      <c r="Q11" s="204">
        <f t="shared" si="1"/>
        <v>25.601068566340164</v>
      </c>
      <c r="R11" s="204">
        <f t="shared" si="2"/>
        <v>55.49132947976878</v>
      </c>
      <c r="S11" s="203">
        <f t="shared" si="3"/>
        <v>31.952662721893493</v>
      </c>
      <c r="T11" s="108"/>
      <c r="U11" s="109"/>
      <c r="V11" s="109"/>
    </row>
    <row r="12" spans="1:22" x14ac:dyDescent="0.2">
      <c r="A12" s="101" t="s">
        <v>22</v>
      </c>
      <c r="B12" s="102" t="s">
        <v>23</v>
      </c>
      <c r="C12" s="103" t="s">
        <v>265</v>
      </c>
      <c r="D12" s="215">
        <v>845</v>
      </c>
      <c r="E12" s="216">
        <v>2826</v>
      </c>
      <c r="F12" s="104"/>
      <c r="G12" s="211">
        <v>448</v>
      </c>
      <c r="H12" s="211">
        <v>2111</v>
      </c>
      <c r="I12" s="107"/>
      <c r="J12" s="211">
        <v>342</v>
      </c>
      <c r="K12" s="211">
        <v>581</v>
      </c>
      <c r="L12" s="107"/>
      <c r="M12" s="211">
        <v>20</v>
      </c>
      <c r="N12" s="211">
        <v>48</v>
      </c>
      <c r="O12" s="105"/>
      <c r="P12" s="203">
        <f t="shared" si="0"/>
        <v>29.900920028308565</v>
      </c>
      <c r="Q12" s="204">
        <f t="shared" si="1"/>
        <v>21.222169587873047</v>
      </c>
      <c r="R12" s="204">
        <f t="shared" si="2"/>
        <v>58.86402753872634</v>
      </c>
      <c r="S12" s="203">
        <f t="shared" si="3"/>
        <v>41.666666666666671</v>
      </c>
      <c r="T12" s="108"/>
      <c r="U12" s="109"/>
      <c r="V12" s="109"/>
    </row>
    <row r="13" spans="1:22" x14ac:dyDescent="0.2">
      <c r="A13" s="101" t="s">
        <v>24</v>
      </c>
      <c r="B13" s="102" t="s">
        <v>25</v>
      </c>
      <c r="C13" s="103" t="s">
        <v>267</v>
      </c>
      <c r="D13" s="215">
        <v>5359</v>
      </c>
      <c r="E13" s="216">
        <v>30162</v>
      </c>
      <c r="F13" s="104"/>
      <c r="G13" s="211">
        <v>2466</v>
      </c>
      <c r="H13" s="211">
        <v>19885</v>
      </c>
      <c r="I13" s="107"/>
      <c r="J13" s="211">
        <v>1226</v>
      </c>
      <c r="K13" s="211">
        <v>2625</v>
      </c>
      <c r="L13" s="107"/>
      <c r="M13" s="211">
        <v>1695</v>
      </c>
      <c r="N13" s="211">
        <v>6108</v>
      </c>
      <c r="O13" s="105"/>
      <c r="P13" s="203">
        <f t="shared" si="0"/>
        <v>17.767389430409125</v>
      </c>
      <c r="Q13" s="204">
        <f t="shared" si="1"/>
        <v>12.401307518229823</v>
      </c>
      <c r="R13" s="204">
        <f t="shared" si="2"/>
        <v>46.704761904761902</v>
      </c>
      <c r="S13" s="203">
        <f t="shared" si="3"/>
        <v>27.75049115913556</v>
      </c>
      <c r="T13" s="108"/>
      <c r="U13" s="109"/>
      <c r="V13" s="109"/>
    </row>
    <row r="14" spans="1:22" x14ac:dyDescent="0.2">
      <c r="A14" s="101" t="s">
        <v>26</v>
      </c>
      <c r="B14" s="102" t="s">
        <v>686</v>
      </c>
      <c r="C14" s="103" t="s">
        <v>265</v>
      </c>
      <c r="D14" s="215">
        <v>6433</v>
      </c>
      <c r="E14" s="216">
        <v>22064</v>
      </c>
      <c r="F14" s="104"/>
      <c r="G14" s="211">
        <v>4824</v>
      </c>
      <c r="H14" s="211">
        <v>19009</v>
      </c>
      <c r="I14" s="107"/>
      <c r="J14" s="211">
        <v>876</v>
      </c>
      <c r="K14" s="211">
        <v>1361</v>
      </c>
      <c r="L14" s="107"/>
      <c r="M14" s="211">
        <v>359</v>
      </c>
      <c r="N14" s="211">
        <v>1159</v>
      </c>
      <c r="O14" s="105"/>
      <c r="P14" s="203">
        <f t="shared" si="0"/>
        <v>29.156091370558375</v>
      </c>
      <c r="Q14" s="204">
        <f t="shared" si="1"/>
        <v>25.377452785522646</v>
      </c>
      <c r="R14" s="204">
        <f t="shared" si="2"/>
        <v>64.364437913299042</v>
      </c>
      <c r="S14" s="203">
        <f t="shared" si="3"/>
        <v>30.97497842968076</v>
      </c>
      <c r="T14" s="108"/>
      <c r="U14" s="109"/>
      <c r="V14" s="109"/>
    </row>
    <row r="15" spans="1:22" x14ac:dyDescent="0.2">
      <c r="A15" s="101" t="s">
        <v>27</v>
      </c>
      <c r="B15" s="102" t="s">
        <v>28</v>
      </c>
      <c r="C15" s="103" t="s">
        <v>265</v>
      </c>
      <c r="D15" s="215">
        <v>162</v>
      </c>
      <c r="E15" s="216">
        <v>710</v>
      </c>
      <c r="F15" s="104"/>
      <c r="G15" s="211">
        <v>142</v>
      </c>
      <c r="H15" s="211">
        <v>664</v>
      </c>
      <c r="I15" s="107"/>
      <c r="J15" s="211">
        <v>7</v>
      </c>
      <c r="K15" s="211">
        <v>24</v>
      </c>
      <c r="L15" s="107"/>
      <c r="M15" s="211">
        <v>8</v>
      </c>
      <c r="N15" s="211">
        <v>29</v>
      </c>
      <c r="O15" s="105"/>
      <c r="P15" s="203">
        <f t="shared" si="0"/>
        <v>22.816901408450704</v>
      </c>
      <c r="Q15" s="204">
        <f t="shared" si="1"/>
        <v>21.385542168674696</v>
      </c>
      <c r="R15" s="204">
        <f t="shared" si="2"/>
        <v>29.166666666666668</v>
      </c>
      <c r="S15" s="203">
        <f t="shared" si="3"/>
        <v>27.586206896551722</v>
      </c>
      <c r="T15" s="108"/>
      <c r="U15" s="109"/>
      <c r="V15" s="109"/>
    </row>
    <row r="16" spans="1:22" x14ac:dyDescent="0.2">
      <c r="A16" s="101" t="s">
        <v>29</v>
      </c>
      <c r="B16" s="102" t="s">
        <v>610</v>
      </c>
      <c r="C16" s="103" t="s">
        <v>265</v>
      </c>
      <c r="D16" s="215">
        <v>3036</v>
      </c>
      <c r="E16" s="216">
        <v>14897</v>
      </c>
      <c r="F16" s="104"/>
      <c r="G16" s="211">
        <v>2416</v>
      </c>
      <c r="H16" s="211">
        <v>13271</v>
      </c>
      <c r="I16" s="107"/>
      <c r="J16" s="211">
        <v>392</v>
      </c>
      <c r="K16" s="211">
        <v>843</v>
      </c>
      <c r="L16" s="107"/>
      <c r="M16" s="211">
        <v>117</v>
      </c>
      <c r="N16" s="211">
        <v>408</v>
      </c>
      <c r="O16" s="105"/>
      <c r="P16" s="203">
        <f t="shared" si="0"/>
        <v>20.379942270255757</v>
      </c>
      <c r="Q16" s="204">
        <f t="shared" si="1"/>
        <v>18.205108884032853</v>
      </c>
      <c r="R16" s="204">
        <f t="shared" si="2"/>
        <v>46.500593119810205</v>
      </c>
      <c r="S16" s="203">
        <f t="shared" si="3"/>
        <v>28.676470588235293</v>
      </c>
      <c r="T16" s="108"/>
      <c r="U16" s="109"/>
      <c r="V16" s="109"/>
    </row>
    <row r="17" spans="1:22" x14ac:dyDescent="0.2">
      <c r="A17" s="101" t="s">
        <v>30</v>
      </c>
      <c r="B17" s="102" t="s">
        <v>31</v>
      </c>
      <c r="C17" s="103" t="s">
        <v>268</v>
      </c>
      <c r="D17" s="215">
        <v>216</v>
      </c>
      <c r="E17" s="216">
        <v>1053</v>
      </c>
      <c r="F17" s="104"/>
      <c r="G17" s="211">
        <v>211</v>
      </c>
      <c r="H17" s="211">
        <v>1023</v>
      </c>
      <c r="I17" s="107"/>
      <c r="J17" s="211">
        <v>3</v>
      </c>
      <c r="K17" s="211">
        <v>9</v>
      </c>
      <c r="L17" s="107"/>
      <c r="M17" s="211">
        <v>2</v>
      </c>
      <c r="N17" s="211">
        <v>7</v>
      </c>
      <c r="O17" s="105"/>
      <c r="P17" s="203">
        <f t="shared" si="0"/>
        <v>20.512820512820511</v>
      </c>
      <c r="Q17" s="204">
        <f t="shared" si="1"/>
        <v>20.625610948191593</v>
      </c>
      <c r="R17" s="204">
        <f t="shared" si="2"/>
        <v>33.333333333333329</v>
      </c>
      <c r="S17" s="203">
        <f t="shared" si="3"/>
        <v>28.571428571428569</v>
      </c>
      <c r="T17" s="108"/>
      <c r="U17" s="109"/>
      <c r="V17" s="109"/>
    </row>
    <row r="18" spans="1:22" x14ac:dyDescent="0.2">
      <c r="A18" s="101" t="s">
        <v>32</v>
      </c>
      <c r="B18" s="102" t="s">
        <v>33</v>
      </c>
      <c r="C18" s="103" t="s">
        <v>265</v>
      </c>
      <c r="D18" s="215">
        <v>1217</v>
      </c>
      <c r="E18" s="216">
        <v>6697</v>
      </c>
      <c r="F18" s="104"/>
      <c r="G18" s="211">
        <v>1121</v>
      </c>
      <c r="H18" s="211">
        <v>6321</v>
      </c>
      <c r="I18" s="107"/>
      <c r="J18" s="211">
        <v>39</v>
      </c>
      <c r="K18" s="211">
        <v>149</v>
      </c>
      <c r="L18" s="107"/>
      <c r="M18" s="211">
        <v>27</v>
      </c>
      <c r="N18" s="211">
        <v>113</v>
      </c>
      <c r="O18" s="105"/>
      <c r="P18" s="203">
        <f t="shared" si="0"/>
        <v>18.172315962371211</v>
      </c>
      <c r="Q18" s="204">
        <f t="shared" si="1"/>
        <v>17.73453567473501</v>
      </c>
      <c r="R18" s="204">
        <f t="shared" si="2"/>
        <v>26.174496644295303</v>
      </c>
      <c r="S18" s="203">
        <f t="shared" si="3"/>
        <v>23.893805309734514</v>
      </c>
      <c r="T18" s="108"/>
      <c r="U18" s="109"/>
      <c r="V18" s="109"/>
    </row>
    <row r="19" spans="1:22" x14ac:dyDescent="0.2">
      <c r="A19" s="101" t="s">
        <v>36</v>
      </c>
      <c r="B19" s="102" t="s">
        <v>37</v>
      </c>
      <c r="C19" s="103" t="s">
        <v>264</v>
      </c>
      <c r="D19" s="215">
        <v>1326</v>
      </c>
      <c r="E19" s="216">
        <v>2644</v>
      </c>
      <c r="F19" s="104"/>
      <c r="G19" s="211">
        <v>310</v>
      </c>
      <c r="H19" s="211">
        <v>965</v>
      </c>
      <c r="I19" s="107"/>
      <c r="J19" s="211">
        <v>970</v>
      </c>
      <c r="K19" s="211">
        <v>1569</v>
      </c>
      <c r="L19" s="107"/>
      <c r="M19" s="211">
        <v>28</v>
      </c>
      <c r="N19" s="211">
        <v>82</v>
      </c>
      <c r="O19" s="105"/>
      <c r="P19" s="203">
        <f t="shared" si="0"/>
        <v>50.151285930408477</v>
      </c>
      <c r="Q19" s="204">
        <f t="shared" si="1"/>
        <v>32.124352331606218</v>
      </c>
      <c r="R19" s="204">
        <f t="shared" si="2"/>
        <v>61.822817080943274</v>
      </c>
      <c r="S19" s="203">
        <f t="shared" si="3"/>
        <v>34.146341463414636</v>
      </c>
      <c r="T19" s="108"/>
      <c r="U19" s="109"/>
      <c r="V19" s="109"/>
    </row>
    <row r="20" spans="1:22" x14ac:dyDescent="0.2">
      <c r="A20" s="101" t="s">
        <v>38</v>
      </c>
      <c r="B20" s="102" t="s">
        <v>39</v>
      </c>
      <c r="C20" s="103" t="s">
        <v>268</v>
      </c>
      <c r="D20" s="215">
        <v>990</v>
      </c>
      <c r="E20" s="216">
        <v>3681</v>
      </c>
      <c r="F20" s="104"/>
      <c r="G20" s="211">
        <v>972</v>
      </c>
      <c r="H20" s="211">
        <v>3643</v>
      </c>
      <c r="I20" s="107"/>
      <c r="J20" s="211">
        <v>5</v>
      </c>
      <c r="K20" s="211">
        <v>6</v>
      </c>
      <c r="L20" s="107"/>
      <c r="M20" s="211">
        <v>9</v>
      </c>
      <c r="N20" s="211">
        <v>14</v>
      </c>
      <c r="O20" s="105"/>
      <c r="P20" s="203">
        <f t="shared" si="0"/>
        <v>26.894865525672373</v>
      </c>
      <c r="Q20" s="204">
        <f t="shared" si="1"/>
        <v>26.681306615426848</v>
      </c>
      <c r="R20" s="204">
        <f t="shared" si="2"/>
        <v>83.333333333333343</v>
      </c>
      <c r="S20" s="203">
        <f t="shared" si="3"/>
        <v>64.285714285714292</v>
      </c>
      <c r="T20" s="108"/>
      <c r="U20" s="109"/>
      <c r="V20" s="109"/>
    </row>
    <row r="21" spans="1:22" x14ac:dyDescent="0.2">
      <c r="A21" s="101" t="s">
        <v>40</v>
      </c>
      <c r="B21" s="102" t="s">
        <v>41</v>
      </c>
      <c r="C21" s="103" t="s">
        <v>266</v>
      </c>
      <c r="D21" s="215">
        <v>1017</v>
      </c>
      <c r="E21" s="216">
        <v>2708</v>
      </c>
      <c r="F21" s="104"/>
      <c r="G21" s="211">
        <v>480</v>
      </c>
      <c r="H21" s="211">
        <v>1752</v>
      </c>
      <c r="I21" s="107"/>
      <c r="J21" s="211">
        <v>454</v>
      </c>
      <c r="K21" s="211">
        <v>786</v>
      </c>
      <c r="L21" s="107"/>
      <c r="M21" s="211">
        <v>29</v>
      </c>
      <c r="N21" s="211">
        <v>68</v>
      </c>
      <c r="O21" s="105"/>
      <c r="P21" s="203">
        <f t="shared" si="0"/>
        <v>37.55539143279173</v>
      </c>
      <c r="Q21" s="204">
        <f t="shared" si="1"/>
        <v>27.397260273972602</v>
      </c>
      <c r="R21" s="204">
        <f t="shared" si="2"/>
        <v>57.760814249363868</v>
      </c>
      <c r="S21" s="203">
        <f t="shared" si="3"/>
        <v>42.647058823529413</v>
      </c>
      <c r="T21" s="108"/>
      <c r="U21" s="109"/>
      <c r="V21" s="109"/>
    </row>
    <row r="22" spans="1:22" x14ac:dyDescent="0.2">
      <c r="A22" s="101" t="s">
        <v>42</v>
      </c>
      <c r="B22" s="102" t="s">
        <v>43</v>
      </c>
      <c r="C22" s="103" t="s">
        <v>265</v>
      </c>
      <c r="D22" s="215">
        <v>2981</v>
      </c>
      <c r="E22" s="216">
        <v>10559</v>
      </c>
      <c r="F22" s="104"/>
      <c r="G22" s="211">
        <v>1998</v>
      </c>
      <c r="H22" s="211">
        <v>8538</v>
      </c>
      <c r="I22" s="107"/>
      <c r="J22" s="211">
        <v>714</v>
      </c>
      <c r="K22" s="211">
        <v>1322</v>
      </c>
      <c r="L22" s="107"/>
      <c r="M22" s="211">
        <v>93</v>
      </c>
      <c r="N22" s="211">
        <v>248</v>
      </c>
      <c r="O22" s="105"/>
      <c r="P22" s="203">
        <f t="shared" si="0"/>
        <v>28.231840136376551</v>
      </c>
      <c r="Q22" s="204">
        <f t="shared" si="1"/>
        <v>23.401264933239634</v>
      </c>
      <c r="R22" s="204">
        <f t="shared" si="2"/>
        <v>54.0090771558245</v>
      </c>
      <c r="S22" s="203">
        <f t="shared" si="3"/>
        <v>37.5</v>
      </c>
      <c r="T22" s="108"/>
      <c r="U22" s="109"/>
      <c r="V22" s="109"/>
    </row>
    <row r="23" spans="1:22" x14ac:dyDescent="0.2">
      <c r="A23" s="101" t="s">
        <v>44</v>
      </c>
      <c r="B23" s="102" t="s">
        <v>45</v>
      </c>
      <c r="C23" s="103" t="s">
        <v>266</v>
      </c>
      <c r="D23" s="215">
        <v>1585</v>
      </c>
      <c r="E23" s="216">
        <v>5526</v>
      </c>
      <c r="F23" s="104"/>
      <c r="G23" s="211">
        <v>825</v>
      </c>
      <c r="H23" s="211">
        <v>3670</v>
      </c>
      <c r="I23" s="107"/>
      <c r="J23" s="211">
        <v>590</v>
      </c>
      <c r="K23" s="211">
        <v>1349</v>
      </c>
      <c r="L23" s="107"/>
      <c r="M23" s="211">
        <v>81</v>
      </c>
      <c r="N23" s="211">
        <v>311</v>
      </c>
      <c r="O23" s="105"/>
      <c r="P23" s="203">
        <f t="shared" si="0"/>
        <v>28.682591386174451</v>
      </c>
      <c r="Q23" s="204">
        <f t="shared" si="1"/>
        <v>22.479564032697546</v>
      </c>
      <c r="R23" s="204">
        <f t="shared" si="2"/>
        <v>43.73610081541883</v>
      </c>
      <c r="S23" s="203">
        <f t="shared" si="3"/>
        <v>26.04501607717042</v>
      </c>
      <c r="T23" s="108"/>
      <c r="U23" s="109"/>
      <c r="V23" s="109"/>
    </row>
    <row r="24" spans="1:22" x14ac:dyDescent="0.2">
      <c r="A24" s="101" t="s">
        <v>46</v>
      </c>
      <c r="B24" s="102" t="s">
        <v>47</v>
      </c>
      <c r="C24" s="103" t="s">
        <v>268</v>
      </c>
      <c r="D24" s="215">
        <v>1519</v>
      </c>
      <c r="E24" s="216">
        <v>5425</v>
      </c>
      <c r="F24" s="104"/>
      <c r="G24" s="211">
        <v>1414</v>
      </c>
      <c r="H24" s="211">
        <v>5157</v>
      </c>
      <c r="I24" s="107"/>
      <c r="J24" s="211">
        <v>22</v>
      </c>
      <c r="K24" s="211">
        <v>37</v>
      </c>
      <c r="L24" s="107"/>
      <c r="M24" s="211">
        <v>94</v>
      </c>
      <c r="N24" s="211">
        <v>262</v>
      </c>
      <c r="O24" s="105"/>
      <c r="P24" s="203">
        <f t="shared" si="0"/>
        <v>28.000000000000004</v>
      </c>
      <c r="Q24" s="204">
        <f t="shared" si="1"/>
        <v>27.419042078727941</v>
      </c>
      <c r="R24" s="204">
        <f t="shared" si="2"/>
        <v>59.45945945945946</v>
      </c>
      <c r="S24" s="203">
        <f t="shared" si="3"/>
        <v>35.877862595419849</v>
      </c>
      <c r="T24" s="108"/>
      <c r="U24" s="109"/>
      <c r="V24" s="109"/>
    </row>
    <row r="25" spans="1:22" x14ac:dyDescent="0.2">
      <c r="A25" s="101" t="s">
        <v>48</v>
      </c>
      <c r="B25" s="102" t="s">
        <v>269</v>
      </c>
      <c r="C25" s="103" t="s">
        <v>266</v>
      </c>
      <c r="D25" s="215">
        <v>299</v>
      </c>
      <c r="E25" s="216">
        <v>948</v>
      </c>
      <c r="F25" s="104"/>
      <c r="G25" s="211">
        <v>85</v>
      </c>
      <c r="H25" s="211">
        <v>426</v>
      </c>
      <c r="I25" s="107"/>
      <c r="J25" s="211">
        <v>184</v>
      </c>
      <c r="K25" s="211">
        <v>381</v>
      </c>
      <c r="L25" s="107"/>
      <c r="M25" s="211">
        <v>5</v>
      </c>
      <c r="N25" s="211">
        <v>17</v>
      </c>
      <c r="O25" s="105"/>
      <c r="P25" s="203">
        <f t="shared" si="0"/>
        <v>31.540084388185651</v>
      </c>
      <c r="Q25" s="204">
        <f t="shared" si="1"/>
        <v>19.953051643192488</v>
      </c>
      <c r="R25" s="204">
        <f t="shared" si="2"/>
        <v>48.293963254593173</v>
      </c>
      <c r="S25" s="203">
        <f t="shared" si="3"/>
        <v>29.411764705882355</v>
      </c>
      <c r="T25" s="108"/>
      <c r="U25" s="109"/>
      <c r="V25" s="109"/>
    </row>
    <row r="26" spans="1:22" x14ac:dyDescent="0.2">
      <c r="A26" s="101" t="s">
        <v>50</v>
      </c>
      <c r="B26" s="102" t="s">
        <v>51</v>
      </c>
      <c r="C26" s="103" t="s">
        <v>265</v>
      </c>
      <c r="D26" s="215">
        <v>821</v>
      </c>
      <c r="E26" s="216">
        <v>2418</v>
      </c>
      <c r="F26" s="104"/>
      <c r="G26" s="211">
        <v>398</v>
      </c>
      <c r="H26" s="211">
        <v>1615</v>
      </c>
      <c r="I26" s="107"/>
      <c r="J26" s="211">
        <v>375</v>
      </c>
      <c r="K26" s="211">
        <v>687</v>
      </c>
      <c r="L26" s="107"/>
      <c r="M26" s="211">
        <v>34</v>
      </c>
      <c r="N26" s="211">
        <v>66</v>
      </c>
      <c r="O26" s="105"/>
      <c r="P26" s="203">
        <f t="shared" si="0"/>
        <v>33.953680727874271</v>
      </c>
      <c r="Q26" s="204">
        <f t="shared" si="1"/>
        <v>24.643962848297214</v>
      </c>
      <c r="R26" s="204">
        <f t="shared" si="2"/>
        <v>54.585152838427952</v>
      </c>
      <c r="S26" s="203">
        <f t="shared" si="3"/>
        <v>51.515151515151516</v>
      </c>
      <c r="T26" s="108"/>
      <c r="U26" s="109"/>
      <c r="V26" s="109"/>
    </row>
    <row r="27" spans="1:22" x14ac:dyDescent="0.2">
      <c r="A27" s="101" t="s">
        <v>56</v>
      </c>
      <c r="B27" s="102" t="s">
        <v>295</v>
      </c>
      <c r="C27" s="103" t="s">
        <v>266</v>
      </c>
      <c r="D27" s="215">
        <v>20205</v>
      </c>
      <c r="E27" s="216">
        <v>77370</v>
      </c>
      <c r="F27" s="104"/>
      <c r="G27" s="211">
        <v>9324</v>
      </c>
      <c r="H27" s="211">
        <v>49962</v>
      </c>
      <c r="I27" s="107"/>
      <c r="J27" s="211">
        <v>8120</v>
      </c>
      <c r="K27" s="211">
        <v>17070</v>
      </c>
      <c r="L27" s="107"/>
      <c r="M27" s="211">
        <v>2199</v>
      </c>
      <c r="N27" s="211">
        <v>7351</v>
      </c>
      <c r="O27" s="105"/>
      <c r="P27" s="203">
        <f t="shared" si="0"/>
        <v>26.114773167894533</v>
      </c>
      <c r="Q27" s="204">
        <f t="shared" si="1"/>
        <v>18.66218325927705</v>
      </c>
      <c r="R27" s="204">
        <f t="shared" si="2"/>
        <v>47.568834212067955</v>
      </c>
      <c r="S27" s="203">
        <f t="shared" si="3"/>
        <v>29.914297374506869</v>
      </c>
      <c r="T27" s="108"/>
      <c r="U27" s="109"/>
      <c r="V27" s="109"/>
    </row>
    <row r="28" spans="1:22" x14ac:dyDescent="0.2">
      <c r="A28" s="101" t="s">
        <v>58</v>
      </c>
      <c r="B28" s="102" t="s">
        <v>59</v>
      </c>
      <c r="C28" s="103" t="s">
        <v>267</v>
      </c>
      <c r="D28" s="215">
        <v>537</v>
      </c>
      <c r="E28" s="216">
        <v>2896</v>
      </c>
      <c r="F28" s="104"/>
      <c r="G28" s="211">
        <v>447</v>
      </c>
      <c r="H28" s="211">
        <v>2583</v>
      </c>
      <c r="I28" s="107"/>
      <c r="J28" s="211">
        <v>40</v>
      </c>
      <c r="K28" s="211">
        <v>89</v>
      </c>
      <c r="L28" s="107"/>
      <c r="M28" s="211">
        <v>32</v>
      </c>
      <c r="N28" s="211">
        <v>168</v>
      </c>
      <c r="O28" s="105"/>
      <c r="P28" s="203">
        <f t="shared" si="0"/>
        <v>18.542817679558009</v>
      </c>
      <c r="Q28" s="204">
        <f t="shared" si="1"/>
        <v>17.305458768873404</v>
      </c>
      <c r="R28" s="204">
        <f t="shared" si="2"/>
        <v>44.943820224719097</v>
      </c>
      <c r="S28" s="203">
        <f t="shared" si="3"/>
        <v>19.047619047619047</v>
      </c>
      <c r="T28" s="108"/>
      <c r="U28" s="109"/>
      <c r="V28" s="109"/>
    </row>
    <row r="29" spans="1:22" x14ac:dyDescent="0.2">
      <c r="A29" s="101" t="s">
        <v>60</v>
      </c>
      <c r="B29" s="102" t="s">
        <v>61</v>
      </c>
      <c r="C29" s="103" t="s">
        <v>265</v>
      </c>
      <c r="D29" s="215">
        <v>220</v>
      </c>
      <c r="E29" s="216">
        <v>966</v>
      </c>
      <c r="F29" s="104"/>
      <c r="G29" s="211">
        <v>217</v>
      </c>
      <c r="H29" s="211">
        <v>946</v>
      </c>
      <c r="I29" s="107"/>
      <c r="J29" s="211">
        <v>0</v>
      </c>
      <c r="K29" s="211">
        <v>2</v>
      </c>
      <c r="L29" s="107"/>
      <c r="M29" s="211">
        <v>2</v>
      </c>
      <c r="N29" s="211">
        <v>11</v>
      </c>
      <c r="O29" s="105"/>
      <c r="P29" s="203">
        <f t="shared" si="0"/>
        <v>22.77432712215321</v>
      </c>
      <c r="Q29" s="204">
        <f t="shared" si="1"/>
        <v>22.938689217758984</v>
      </c>
      <c r="R29" s="204">
        <f t="shared" si="2"/>
        <v>0</v>
      </c>
      <c r="S29" s="203">
        <f t="shared" si="3"/>
        <v>18.181818181818183</v>
      </c>
      <c r="T29" s="108"/>
      <c r="U29" s="109"/>
      <c r="V29" s="109"/>
    </row>
    <row r="30" spans="1:22" x14ac:dyDescent="0.2">
      <c r="A30" s="101" t="s">
        <v>62</v>
      </c>
      <c r="B30" s="102" t="s">
        <v>63</v>
      </c>
      <c r="C30" s="103" t="s">
        <v>267</v>
      </c>
      <c r="D30" s="215">
        <v>2536</v>
      </c>
      <c r="E30" s="216">
        <v>10317</v>
      </c>
      <c r="F30" s="104"/>
      <c r="G30" s="211">
        <v>1365</v>
      </c>
      <c r="H30" s="211">
        <v>7457</v>
      </c>
      <c r="I30" s="107"/>
      <c r="J30" s="211">
        <v>679</v>
      </c>
      <c r="K30" s="211">
        <v>1310</v>
      </c>
      <c r="L30" s="107"/>
      <c r="M30" s="211">
        <v>341</v>
      </c>
      <c r="N30" s="211">
        <v>1258</v>
      </c>
      <c r="O30" s="105"/>
      <c r="P30" s="203">
        <f t="shared" si="0"/>
        <v>24.580788989047203</v>
      </c>
      <c r="Q30" s="204">
        <f t="shared" si="1"/>
        <v>18.30494837065844</v>
      </c>
      <c r="R30" s="204">
        <f t="shared" si="2"/>
        <v>51.832061068702295</v>
      </c>
      <c r="S30" s="203">
        <f t="shared" si="3"/>
        <v>27.106518282988873</v>
      </c>
      <c r="T30" s="108"/>
      <c r="U30" s="109"/>
      <c r="V30" s="109"/>
    </row>
    <row r="31" spans="1:22" x14ac:dyDescent="0.2">
      <c r="A31" s="101" t="s">
        <v>64</v>
      </c>
      <c r="B31" s="102" t="s">
        <v>65</v>
      </c>
      <c r="C31" s="103" t="s">
        <v>266</v>
      </c>
      <c r="D31" s="215">
        <v>595</v>
      </c>
      <c r="E31" s="216">
        <v>1853</v>
      </c>
      <c r="F31" s="104"/>
      <c r="G31" s="211">
        <v>275</v>
      </c>
      <c r="H31" s="211">
        <v>1211</v>
      </c>
      <c r="I31" s="107"/>
      <c r="J31" s="211">
        <v>287</v>
      </c>
      <c r="K31" s="211">
        <v>529</v>
      </c>
      <c r="L31" s="107"/>
      <c r="M31" s="211">
        <v>16</v>
      </c>
      <c r="N31" s="211">
        <v>67</v>
      </c>
      <c r="O31" s="105"/>
      <c r="P31" s="203">
        <f t="shared" si="0"/>
        <v>32.11009174311927</v>
      </c>
      <c r="Q31" s="204">
        <f t="shared" si="1"/>
        <v>22.708505367464905</v>
      </c>
      <c r="R31" s="204">
        <f t="shared" si="2"/>
        <v>54.253308128544418</v>
      </c>
      <c r="S31" s="203">
        <f t="shared" si="3"/>
        <v>23.880597014925371</v>
      </c>
      <c r="T31" s="108"/>
      <c r="U31" s="109"/>
      <c r="V31" s="109"/>
    </row>
    <row r="32" spans="1:22" x14ac:dyDescent="0.2">
      <c r="A32" s="101" t="s">
        <v>68</v>
      </c>
      <c r="B32" s="102" t="s">
        <v>69</v>
      </c>
      <c r="C32" s="103" t="s">
        <v>268</v>
      </c>
      <c r="D32" s="215">
        <v>713</v>
      </c>
      <c r="E32" s="216">
        <v>2891</v>
      </c>
      <c r="F32" s="104"/>
      <c r="G32" s="211">
        <v>695</v>
      </c>
      <c r="H32" s="211">
        <v>2845</v>
      </c>
      <c r="I32" s="107"/>
      <c r="J32" s="211">
        <v>8</v>
      </c>
      <c r="K32" s="211">
        <v>14</v>
      </c>
      <c r="L32" s="107"/>
      <c r="M32" s="211">
        <v>9</v>
      </c>
      <c r="N32" s="211">
        <v>27</v>
      </c>
      <c r="O32" s="105"/>
      <c r="P32" s="203">
        <f t="shared" si="0"/>
        <v>24.662746454514011</v>
      </c>
      <c r="Q32" s="204">
        <f t="shared" si="1"/>
        <v>24.42882249560633</v>
      </c>
      <c r="R32" s="204">
        <f t="shared" si="2"/>
        <v>57.142857142857139</v>
      </c>
      <c r="S32" s="203">
        <f t="shared" si="3"/>
        <v>33.333333333333329</v>
      </c>
      <c r="T32" s="108"/>
      <c r="U32" s="109"/>
      <c r="V32" s="109"/>
    </row>
    <row r="33" spans="1:22" x14ac:dyDescent="0.2">
      <c r="A33" s="101" t="s">
        <v>70</v>
      </c>
      <c r="B33" s="102" t="s">
        <v>71</v>
      </c>
      <c r="C33" s="103" t="s">
        <v>264</v>
      </c>
      <c r="D33" s="215">
        <v>1785</v>
      </c>
      <c r="E33" s="216">
        <v>5303</v>
      </c>
      <c r="F33" s="104"/>
      <c r="G33" s="211">
        <v>834</v>
      </c>
      <c r="H33" s="211">
        <v>3388</v>
      </c>
      <c r="I33" s="107"/>
      <c r="J33" s="211">
        <v>859</v>
      </c>
      <c r="K33" s="211">
        <v>1628</v>
      </c>
      <c r="L33" s="107"/>
      <c r="M33" s="211">
        <v>50</v>
      </c>
      <c r="N33" s="211">
        <v>239</v>
      </c>
      <c r="O33" s="105"/>
      <c r="P33" s="203">
        <f t="shared" si="0"/>
        <v>33.660192343956254</v>
      </c>
      <c r="Q33" s="204">
        <f t="shared" si="1"/>
        <v>24.61629279811098</v>
      </c>
      <c r="R33" s="204">
        <f t="shared" si="2"/>
        <v>52.764127764127764</v>
      </c>
      <c r="S33" s="203">
        <f t="shared" si="3"/>
        <v>20.920502092050206</v>
      </c>
      <c r="T33" s="108"/>
      <c r="U33" s="109"/>
      <c r="V33" s="109"/>
    </row>
    <row r="34" spans="1:22" x14ac:dyDescent="0.2">
      <c r="A34" s="101" t="s">
        <v>72</v>
      </c>
      <c r="B34" s="102" t="s">
        <v>73</v>
      </c>
      <c r="C34" s="103" t="s">
        <v>266</v>
      </c>
      <c r="D34" s="215">
        <v>825</v>
      </c>
      <c r="E34" s="216">
        <v>1937</v>
      </c>
      <c r="F34" s="104"/>
      <c r="G34" s="211">
        <v>245</v>
      </c>
      <c r="H34" s="211">
        <v>978</v>
      </c>
      <c r="I34" s="107"/>
      <c r="J34" s="211">
        <v>511</v>
      </c>
      <c r="K34" s="211">
        <v>808</v>
      </c>
      <c r="L34" s="107"/>
      <c r="M34" s="211">
        <v>32</v>
      </c>
      <c r="N34" s="211">
        <v>86</v>
      </c>
      <c r="O34" s="105"/>
      <c r="P34" s="203">
        <f t="shared" si="0"/>
        <v>42.591636551368097</v>
      </c>
      <c r="Q34" s="204">
        <f t="shared" si="1"/>
        <v>25.051124744376281</v>
      </c>
      <c r="R34" s="204">
        <f t="shared" si="2"/>
        <v>63.242574257425744</v>
      </c>
      <c r="S34" s="203">
        <f t="shared" si="3"/>
        <v>37.209302325581397</v>
      </c>
      <c r="T34" s="108"/>
      <c r="U34" s="109"/>
      <c r="V34" s="109"/>
    </row>
    <row r="35" spans="1:22" x14ac:dyDescent="0.2">
      <c r="A35" s="101" t="s">
        <v>74</v>
      </c>
      <c r="B35" s="102" t="s">
        <v>609</v>
      </c>
      <c r="C35" s="103" t="s">
        <v>267</v>
      </c>
      <c r="D35" s="215">
        <v>40722</v>
      </c>
      <c r="E35" s="216">
        <v>248438</v>
      </c>
      <c r="F35" s="104"/>
      <c r="G35" s="211">
        <v>19519</v>
      </c>
      <c r="H35" s="211">
        <v>146411</v>
      </c>
      <c r="I35" s="107"/>
      <c r="J35" s="211">
        <v>9151</v>
      </c>
      <c r="K35" s="211">
        <v>23526</v>
      </c>
      <c r="L35" s="107"/>
      <c r="M35" s="211">
        <v>10967</v>
      </c>
      <c r="N35" s="211">
        <v>42015</v>
      </c>
      <c r="O35" s="105"/>
      <c r="P35" s="203">
        <f t="shared" si="0"/>
        <v>16.391212294415507</v>
      </c>
      <c r="Q35" s="204">
        <f t="shared" si="1"/>
        <v>13.331648578317203</v>
      </c>
      <c r="R35" s="204">
        <f t="shared" si="2"/>
        <v>38.897390121567625</v>
      </c>
      <c r="S35" s="203">
        <f t="shared" si="3"/>
        <v>26.102582411043674</v>
      </c>
      <c r="T35" s="108"/>
      <c r="U35" s="109"/>
      <c r="V35" s="109"/>
    </row>
    <row r="36" spans="1:22" x14ac:dyDescent="0.2">
      <c r="A36" s="101" t="s">
        <v>76</v>
      </c>
      <c r="B36" s="102" t="s">
        <v>77</v>
      </c>
      <c r="C36" s="103" t="s">
        <v>267</v>
      </c>
      <c r="D36" s="215">
        <v>2535</v>
      </c>
      <c r="E36" s="216">
        <v>14530</v>
      </c>
      <c r="F36" s="104"/>
      <c r="G36" s="211">
        <v>1880</v>
      </c>
      <c r="H36" s="211">
        <v>12201</v>
      </c>
      <c r="I36" s="107"/>
      <c r="J36" s="211">
        <v>352</v>
      </c>
      <c r="K36" s="211">
        <v>898</v>
      </c>
      <c r="L36" s="107"/>
      <c r="M36" s="211">
        <v>201</v>
      </c>
      <c r="N36" s="211">
        <v>1361</v>
      </c>
      <c r="O36" s="105"/>
      <c r="P36" s="203">
        <f t="shared" si="0"/>
        <v>17.44666207845836</v>
      </c>
      <c r="Q36" s="204">
        <f t="shared" si="1"/>
        <v>15.408573067781328</v>
      </c>
      <c r="R36" s="204">
        <f t="shared" si="2"/>
        <v>39.198218262806236</v>
      </c>
      <c r="S36" s="203">
        <f t="shared" si="3"/>
        <v>14.768552534900808</v>
      </c>
      <c r="T36" s="108"/>
      <c r="U36" s="109"/>
      <c r="V36" s="109"/>
    </row>
    <row r="37" spans="1:22" x14ac:dyDescent="0.2">
      <c r="A37" s="101" t="s">
        <v>78</v>
      </c>
      <c r="B37" s="102" t="s">
        <v>79</v>
      </c>
      <c r="C37" s="103" t="s">
        <v>268</v>
      </c>
      <c r="D37" s="215">
        <v>695</v>
      </c>
      <c r="E37" s="216">
        <v>2996</v>
      </c>
      <c r="F37" s="104"/>
      <c r="G37" s="211">
        <v>644</v>
      </c>
      <c r="H37" s="211">
        <v>2859</v>
      </c>
      <c r="I37" s="107"/>
      <c r="J37" s="211">
        <v>18</v>
      </c>
      <c r="K37" s="211">
        <v>28</v>
      </c>
      <c r="L37" s="107"/>
      <c r="M37" s="211">
        <v>36</v>
      </c>
      <c r="N37" s="211">
        <v>119</v>
      </c>
      <c r="O37" s="105"/>
      <c r="P37" s="203">
        <f t="shared" si="0"/>
        <v>23.197596795727637</v>
      </c>
      <c r="Q37" s="204">
        <f t="shared" si="1"/>
        <v>22.525358516963973</v>
      </c>
      <c r="R37" s="204">
        <f t="shared" si="2"/>
        <v>64.285714285714292</v>
      </c>
      <c r="S37" s="203">
        <f t="shared" si="3"/>
        <v>30.252100840336134</v>
      </c>
      <c r="T37" s="108"/>
      <c r="U37" s="109"/>
      <c r="V37" s="109"/>
    </row>
    <row r="38" spans="1:22" x14ac:dyDescent="0.2">
      <c r="A38" s="101" t="s">
        <v>80</v>
      </c>
      <c r="B38" s="102" t="s">
        <v>81</v>
      </c>
      <c r="C38" s="103" t="s">
        <v>266</v>
      </c>
      <c r="D38" s="215">
        <v>1133</v>
      </c>
      <c r="E38" s="216">
        <v>5255</v>
      </c>
      <c r="F38" s="104"/>
      <c r="G38" s="211">
        <v>741</v>
      </c>
      <c r="H38" s="211">
        <v>4246</v>
      </c>
      <c r="I38" s="107"/>
      <c r="J38" s="211">
        <v>270</v>
      </c>
      <c r="K38" s="211">
        <v>607</v>
      </c>
      <c r="L38" s="107"/>
      <c r="M38" s="211">
        <v>53</v>
      </c>
      <c r="N38" s="211">
        <v>259</v>
      </c>
      <c r="O38" s="105"/>
      <c r="P38" s="203">
        <f t="shared" si="0"/>
        <v>21.560418648905806</v>
      </c>
      <c r="Q38" s="204">
        <f t="shared" si="1"/>
        <v>17.451719265190768</v>
      </c>
      <c r="R38" s="204">
        <f t="shared" si="2"/>
        <v>44.481054365733115</v>
      </c>
      <c r="S38" s="203">
        <f t="shared" si="3"/>
        <v>20.463320463320464</v>
      </c>
      <c r="T38" s="108"/>
      <c r="U38" s="109"/>
      <c r="V38" s="109"/>
    </row>
    <row r="39" spans="1:22" x14ac:dyDescent="0.2">
      <c r="A39" s="101" t="s">
        <v>84</v>
      </c>
      <c r="B39" s="102" t="s">
        <v>308</v>
      </c>
      <c r="C39" s="103" t="s">
        <v>265</v>
      </c>
      <c r="D39" s="215">
        <v>2881</v>
      </c>
      <c r="E39" s="216">
        <v>10070</v>
      </c>
      <c r="F39" s="104"/>
      <c r="G39" s="211">
        <v>2240</v>
      </c>
      <c r="H39" s="211">
        <v>8784</v>
      </c>
      <c r="I39" s="107"/>
      <c r="J39" s="211">
        <v>401</v>
      </c>
      <c r="K39" s="211">
        <v>661</v>
      </c>
      <c r="L39" s="107"/>
      <c r="M39" s="211">
        <v>131</v>
      </c>
      <c r="N39" s="211">
        <v>461</v>
      </c>
      <c r="O39" s="105"/>
      <c r="P39" s="203">
        <f t="shared" si="0"/>
        <v>28.609731876861964</v>
      </c>
      <c r="Q39" s="204">
        <f t="shared" si="1"/>
        <v>25.500910746812387</v>
      </c>
      <c r="R39" s="204">
        <f t="shared" si="2"/>
        <v>60.665658093797283</v>
      </c>
      <c r="S39" s="203">
        <f t="shared" si="3"/>
        <v>28.416485900216919</v>
      </c>
      <c r="T39" s="108"/>
      <c r="U39" s="109"/>
      <c r="V39" s="109"/>
    </row>
    <row r="40" spans="1:22" x14ac:dyDescent="0.2">
      <c r="A40" s="101" t="s">
        <v>86</v>
      </c>
      <c r="B40" s="102" t="s">
        <v>87</v>
      </c>
      <c r="C40" s="103" t="s">
        <v>267</v>
      </c>
      <c r="D40" s="215">
        <v>3866</v>
      </c>
      <c r="E40" s="216">
        <v>17412</v>
      </c>
      <c r="F40" s="104"/>
      <c r="G40" s="211">
        <v>3103</v>
      </c>
      <c r="H40" s="211">
        <v>14783</v>
      </c>
      <c r="I40" s="107"/>
      <c r="J40" s="211">
        <v>311</v>
      </c>
      <c r="K40" s="211">
        <v>793</v>
      </c>
      <c r="L40" s="107"/>
      <c r="M40" s="211">
        <v>412</v>
      </c>
      <c r="N40" s="211">
        <v>1766</v>
      </c>
      <c r="O40" s="105"/>
      <c r="P40" s="203">
        <f t="shared" si="0"/>
        <v>22.203078336779232</v>
      </c>
      <c r="Q40" s="204">
        <f t="shared" si="1"/>
        <v>20.990326726645474</v>
      </c>
      <c r="R40" s="204">
        <f t="shared" si="2"/>
        <v>39.218158890290042</v>
      </c>
      <c r="S40" s="203">
        <f t="shared" si="3"/>
        <v>23.32955832389581</v>
      </c>
      <c r="T40" s="108"/>
      <c r="U40" s="109"/>
      <c r="V40" s="109"/>
    </row>
    <row r="41" spans="1:22" x14ac:dyDescent="0.2">
      <c r="A41" s="101" t="s">
        <v>92</v>
      </c>
      <c r="B41" s="102" t="s">
        <v>93</v>
      </c>
      <c r="C41" s="103" t="s">
        <v>268</v>
      </c>
      <c r="D41" s="215">
        <v>847</v>
      </c>
      <c r="E41" s="216">
        <v>3246</v>
      </c>
      <c r="F41" s="104"/>
      <c r="G41" s="211">
        <v>781</v>
      </c>
      <c r="H41" s="211">
        <v>3112</v>
      </c>
      <c r="I41" s="107"/>
      <c r="J41" s="211">
        <v>22</v>
      </c>
      <c r="K41" s="211">
        <v>36</v>
      </c>
      <c r="L41" s="107"/>
      <c r="M41" s="211">
        <v>27</v>
      </c>
      <c r="N41" s="211">
        <v>70</v>
      </c>
      <c r="O41" s="105"/>
      <c r="P41" s="203">
        <f t="shared" si="0"/>
        <v>26.093653727664819</v>
      </c>
      <c r="Q41" s="204">
        <f t="shared" si="1"/>
        <v>25.096401028277636</v>
      </c>
      <c r="R41" s="204">
        <f t="shared" si="2"/>
        <v>61.111111111111114</v>
      </c>
      <c r="S41" s="203">
        <f t="shared" si="3"/>
        <v>38.571428571428577</v>
      </c>
      <c r="T41" s="108"/>
      <c r="U41" s="109"/>
      <c r="V41" s="109"/>
    </row>
    <row r="42" spans="1:22" x14ac:dyDescent="0.2">
      <c r="A42" s="101" t="s">
        <v>94</v>
      </c>
      <c r="B42" s="102" t="s">
        <v>95</v>
      </c>
      <c r="C42" s="103" t="s">
        <v>264</v>
      </c>
      <c r="D42" s="215">
        <v>1686</v>
      </c>
      <c r="E42" s="216">
        <v>7025</v>
      </c>
      <c r="F42" s="104"/>
      <c r="G42" s="211">
        <v>1328</v>
      </c>
      <c r="H42" s="211">
        <v>6082</v>
      </c>
      <c r="I42" s="107"/>
      <c r="J42" s="211">
        <v>196</v>
      </c>
      <c r="K42" s="211">
        <v>458</v>
      </c>
      <c r="L42" s="107"/>
      <c r="M42" s="211">
        <v>58</v>
      </c>
      <c r="N42" s="211">
        <v>278</v>
      </c>
      <c r="O42" s="105"/>
      <c r="P42" s="203">
        <f t="shared" si="0"/>
        <v>24</v>
      </c>
      <c r="Q42" s="204">
        <f t="shared" si="1"/>
        <v>21.834922722788555</v>
      </c>
      <c r="R42" s="204">
        <f t="shared" si="2"/>
        <v>42.79475982532751</v>
      </c>
      <c r="S42" s="203">
        <f t="shared" si="3"/>
        <v>20.863309352517987</v>
      </c>
      <c r="T42" s="108"/>
      <c r="U42" s="109"/>
      <c r="V42" s="109"/>
    </row>
    <row r="43" spans="1:22" x14ac:dyDescent="0.2">
      <c r="A43" s="101" t="s">
        <v>96</v>
      </c>
      <c r="B43" s="102" t="s">
        <v>97</v>
      </c>
      <c r="C43" s="103" t="s">
        <v>266</v>
      </c>
      <c r="D43" s="215">
        <v>632</v>
      </c>
      <c r="E43" s="216">
        <v>3924</v>
      </c>
      <c r="F43" s="104"/>
      <c r="G43" s="211">
        <v>424</v>
      </c>
      <c r="H43" s="211">
        <v>3245</v>
      </c>
      <c r="I43" s="107"/>
      <c r="J43" s="211">
        <v>179</v>
      </c>
      <c r="K43" s="211">
        <v>468</v>
      </c>
      <c r="L43" s="107"/>
      <c r="M43" s="211">
        <v>17</v>
      </c>
      <c r="N43" s="211">
        <v>133</v>
      </c>
      <c r="O43" s="105"/>
      <c r="P43" s="203">
        <f t="shared" si="0"/>
        <v>16.106014271151885</v>
      </c>
      <c r="Q43" s="204">
        <f t="shared" si="1"/>
        <v>13.066255778120183</v>
      </c>
      <c r="R43" s="204">
        <f t="shared" si="2"/>
        <v>38.247863247863243</v>
      </c>
      <c r="S43" s="203">
        <f t="shared" si="3"/>
        <v>12.781954887218044</v>
      </c>
      <c r="T43" s="108"/>
      <c r="U43" s="109"/>
      <c r="V43" s="109"/>
    </row>
    <row r="44" spans="1:22" x14ac:dyDescent="0.2">
      <c r="A44" s="101" t="s">
        <v>98</v>
      </c>
      <c r="B44" s="102" t="s">
        <v>99</v>
      </c>
      <c r="C44" s="103" t="s">
        <v>268</v>
      </c>
      <c r="D44" s="215">
        <v>750</v>
      </c>
      <c r="E44" s="216">
        <v>2547</v>
      </c>
      <c r="F44" s="104"/>
      <c r="G44" s="211">
        <v>663</v>
      </c>
      <c r="H44" s="211">
        <v>2360</v>
      </c>
      <c r="I44" s="107"/>
      <c r="J44" s="211">
        <v>40</v>
      </c>
      <c r="K44" s="211">
        <v>62</v>
      </c>
      <c r="L44" s="107"/>
      <c r="M44" s="211">
        <v>46</v>
      </c>
      <c r="N44" s="211">
        <v>134</v>
      </c>
      <c r="O44" s="105"/>
      <c r="P44" s="203">
        <f t="shared" si="0"/>
        <v>29.446407538280329</v>
      </c>
      <c r="Q44" s="204">
        <f t="shared" si="1"/>
        <v>28.093220338983048</v>
      </c>
      <c r="R44" s="204">
        <f t="shared" si="2"/>
        <v>64.516129032258064</v>
      </c>
      <c r="S44" s="203">
        <f t="shared" si="3"/>
        <v>34.328358208955223</v>
      </c>
      <c r="T44" s="108"/>
      <c r="U44" s="109"/>
      <c r="V44" s="109"/>
    </row>
    <row r="45" spans="1:22" x14ac:dyDescent="0.2">
      <c r="A45" s="101" t="s">
        <v>100</v>
      </c>
      <c r="B45" s="102" t="s">
        <v>101</v>
      </c>
      <c r="C45" s="103" t="s">
        <v>267</v>
      </c>
      <c r="D45" s="215">
        <v>910</v>
      </c>
      <c r="E45" s="216">
        <v>4007</v>
      </c>
      <c r="F45" s="104"/>
      <c r="G45" s="211">
        <v>665</v>
      </c>
      <c r="H45" s="211">
        <v>3341</v>
      </c>
      <c r="I45" s="107"/>
      <c r="J45" s="211">
        <v>135</v>
      </c>
      <c r="K45" s="211">
        <v>241</v>
      </c>
      <c r="L45" s="107"/>
      <c r="M45" s="211">
        <v>52</v>
      </c>
      <c r="N45" s="211">
        <v>275</v>
      </c>
      <c r="O45" s="105"/>
      <c r="P45" s="203">
        <f t="shared" si="0"/>
        <v>22.710257050162216</v>
      </c>
      <c r="Q45" s="204">
        <f t="shared" si="1"/>
        <v>19.904220293325352</v>
      </c>
      <c r="R45" s="204">
        <f t="shared" si="2"/>
        <v>56.016597510373444</v>
      </c>
      <c r="S45" s="203">
        <f t="shared" si="3"/>
        <v>18.90909090909091</v>
      </c>
      <c r="T45" s="108"/>
      <c r="U45" s="109"/>
      <c r="V45" s="109"/>
    </row>
    <row r="46" spans="1:22" x14ac:dyDescent="0.2">
      <c r="A46" s="101" t="s">
        <v>102</v>
      </c>
      <c r="B46" s="102" t="s">
        <v>282</v>
      </c>
      <c r="C46" s="103" t="s">
        <v>264</v>
      </c>
      <c r="D46" s="215">
        <v>1510</v>
      </c>
      <c r="E46" s="216">
        <v>2790</v>
      </c>
      <c r="F46" s="104"/>
      <c r="G46" s="211">
        <v>235</v>
      </c>
      <c r="H46" s="211">
        <v>856</v>
      </c>
      <c r="I46" s="107"/>
      <c r="J46" s="211">
        <v>1206</v>
      </c>
      <c r="K46" s="211">
        <v>1787</v>
      </c>
      <c r="L46" s="107"/>
      <c r="M46" s="211">
        <v>36</v>
      </c>
      <c r="N46" s="211">
        <v>102</v>
      </c>
      <c r="O46" s="105"/>
      <c r="P46" s="203">
        <f t="shared" si="0"/>
        <v>54.121863799283155</v>
      </c>
      <c r="Q46" s="204">
        <f t="shared" si="1"/>
        <v>27.453271028037385</v>
      </c>
      <c r="R46" s="204">
        <f t="shared" si="2"/>
        <v>67.48740906547286</v>
      </c>
      <c r="S46" s="203">
        <f t="shared" si="3"/>
        <v>35.294117647058826</v>
      </c>
      <c r="T46" s="108"/>
      <c r="U46" s="109"/>
      <c r="V46" s="109"/>
    </row>
    <row r="47" spans="1:22" x14ac:dyDescent="0.2">
      <c r="A47" s="101" t="s">
        <v>104</v>
      </c>
      <c r="B47" s="102" t="s">
        <v>602</v>
      </c>
      <c r="C47" s="103" t="s">
        <v>265</v>
      </c>
      <c r="D47" s="215">
        <v>2563</v>
      </c>
      <c r="E47" s="216">
        <v>6631</v>
      </c>
      <c r="F47" s="104"/>
      <c r="G47" s="211">
        <v>994</v>
      </c>
      <c r="H47" s="211">
        <v>3899</v>
      </c>
      <c r="I47" s="107"/>
      <c r="J47" s="211">
        <v>1411</v>
      </c>
      <c r="K47" s="211">
        <v>2392</v>
      </c>
      <c r="L47" s="107"/>
      <c r="M47" s="211">
        <v>62</v>
      </c>
      <c r="N47" s="211">
        <v>206</v>
      </c>
      <c r="O47" s="105"/>
      <c r="P47" s="203">
        <f t="shared" si="0"/>
        <v>38.651787060775142</v>
      </c>
      <c r="Q47" s="204">
        <f t="shared" si="1"/>
        <v>25.493716337522443</v>
      </c>
      <c r="R47" s="204">
        <f t="shared" si="2"/>
        <v>58.988294314381271</v>
      </c>
      <c r="S47" s="203">
        <f t="shared" si="3"/>
        <v>30.097087378640776</v>
      </c>
      <c r="T47" s="108"/>
      <c r="U47" s="109"/>
      <c r="V47" s="109"/>
    </row>
    <row r="48" spans="1:22" x14ac:dyDescent="0.2">
      <c r="A48" s="101" t="s">
        <v>108</v>
      </c>
      <c r="B48" s="102" t="s">
        <v>109</v>
      </c>
      <c r="C48" s="103" t="s">
        <v>266</v>
      </c>
      <c r="D48" s="215">
        <v>4332</v>
      </c>
      <c r="E48" s="216">
        <v>22831</v>
      </c>
      <c r="F48" s="104"/>
      <c r="G48" s="211">
        <v>3249</v>
      </c>
      <c r="H48" s="211">
        <v>19794</v>
      </c>
      <c r="I48" s="107"/>
      <c r="J48" s="211">
        <v>789</v>
      </c>
      <c r="K48" s="211">
        <v>1668</v>
      </c>
      <c r="L48" s="107"/>
      <c r="M48" s="211">
        <v>140</v>
      </c>
      <c r="N48" s="211">
        <v>662</v>
      </c>
      <c r="O48" s="105"/>
      <c r="P48" s="203">
        <f t="shared" si="0"/>
        <v>18.974201743243835</v>
      </c>
      <c r="Q48" s="204">
        <f t="shared" si="1"/>
        <v>16.41406486814186</v>
      </c>
      <c r="R48" s="204">
        <f t="shared" si="2"/>
        <v>47.302158273381295</v>
      </c>
      <c r="S48" s="203">
        <f t="shared" si="3"/>
        <v>21.148036253776432</v>
      </c>
      <c r="T48" s="108"/>
      <c r="U48" s="109"/>
      <c r="V48" s="109"/>
    </row>
    <row r="49" spans="1:22" x14ac:dyDescent="0.2">
      <c r="A49" s="101" t="s">
        <v>110</v>
      </c>
      <c r="B49" s="102" t="s">
        <v>111</v>
      </c>
      <c r="C49" s="103" t="s">
        <v>266</v>
      </c>
      <c r="D49" s="215">
        <v>21007</v>
      </c>
      <c r="E49" s="216">
        <v>66860</v>
      </c>
      <c r="F49" s="104"/>
      <c r="G49" s="211">
        <v>6461</v>
      </c>
      <c r="H49" s="211">
        <v>35579</v>
      </c>
      <c r="I49" s="107"/>
      <c r="J49" s="211">
        <v>12349</v>
      </c>
      <c r="K49" s="211">
        <v>21013</v>
      </c>
      <c r="L49" s="110"/>
      <c r="M49" s="211">
        <v>1505</v>
      </c>
      <c r="N49" s="211">
        <v>4354</v>
      </c>
      <c r="O49" s="105"/>
      <c r="P49" s="205">
        <f t="shared" si="0"/>
        <v>31.419383787017647</v>
      </c>
      <c r="Q49" s="204">
        <f t="shared" si="1"/>
        <v>18.159588521318756</v>
      </c>
      <c r="R49" s="204">
        <f t="shared" si="2"/>
        <v>58.768381478132582</v>
      </c>
      <c r="S49" s="203">
        <f t="shared" si="3"/>
        <v>34.565916398713824</v>
      </c>
      <c r="T49" s="108"/>
      <c r="U49" s="109"/>
      <c r="V49" s="109"/>
    </row>
    <row r="50" spans="1:22" x14ac:dyDescent="0.2">
      <c r="A50" s="101" t="s">
        <v>112</v>
      </c>
      <c r="B50" s="102" t="s">
        <v>300</v>
      </c>
      <c r="C50" s="103" t="s">
        <v>265</v>
      </c>
      <c r="D50" s="215">
        <v>4636</v>
      </c>
      <c r="E50" s="216">
        <v>11572</v>
      </c>
      <c r="F50" s="104"/>
      <c r="G50" s="211">
        <v>2149</v>
      </c>
      <c r="H50" s="211">
        <v>7196</v>
      </c>
      <c r="I50" s="107"/>
      <c r="J50" s="211">
        <v>1907</v>
      </c>
      <c r="K50" s="211">
        <v>3041</v>
      </c>
      <c r="L50" s="110"/>
      <c r="M50" s="211">
        <v>415</v>
      </c>
      <c r="N50" s="211">
        <v>1164</v>
      </c>
      <c r="O50" s="105"/>
      <c r="P50" s="205">
        <f t="shared" si="0"/>
        <v>40.06221914967162</v>
      </c>
      <c r="Q50" s="204">
        <f t="shared" si="1"/>
        <v>29.863813229571985</v>
      </c>
      <c r="R50" s="204">
        <f t="shared" si="2"/>
        <v>62.709634988490627</v>
      </c>
      <c r="S50" s="203">
        <f t="shared" si="3"/>
        <v>35.65292096219931</v>
      </c>
      <c r="T50" s="108"/>
      <c r="U50" s="109"/>
      <c r="V50" s="109"/>
    </row>
    <row r="51" spans="1:22" x14ac:dyDescent="0.2">
      <c r="A51" s="101" t="s">
        <v>114</v>
      </c>
      <c r="B51" s="102" t="s">
        <v>115</v>
      </c>
      <c r="C51" s="103" t="s">
        <v>265</v>
      </c>
      <c r="D51" s="215">
        <v>57</v>
      </c>
      <c r="E51" s="216">
        <v>311</v>
      </c>
      <c r="F51" s="104"/>
      <c r="G51" s="211">
        <v>55</v>
      </c>
      <c r="H51" s="211">
        <v>309</v>
      </c>
      <c r="I51" s="107"/>
      <c r="J51" s="211">
        <v>2</v>
      </c>
      <c r="K51" s="211">
        <v>2</v>
      </c>
      <c r="L51" s="110"/>
      <c r="M51" s="211">
        <v>0</v>
      </c>
      <c r="N51" s="211">
        <v>0</v>
      </c>
      <c r="O51" s="105"/>
      <c r="P51" s="205">
        <f t="shared" si="0"/>
        <v>18.327974276527332</v>
      </c>
      <c r="Q51" s="204">
        <f t="shared" si="1"/>
        <v>17.79935275080906</v>
      </c>
      <c r="R51" s="204">
        <f t="shared" si="2"/>
        <v>100</v>
      </c>
      <c r="S51" s="203" t="str">
        <f t="shared" si="3"/>
        <v>NA</v>
      </c>
      <c r="T51" s="108"/>
      <c r="U51" s="109"/>
      <c r="V51" s="109"/>
    </row>
    <row r="52" spans="1:22" x14ac:dyDescent="0.2">
      <c r="A52" s="101" t="s">
        <v>118</v>
      </c>
      <c r="B52" s="102" t="s">
        <v>119</v>
      </c>
      <c r="C52" s="103" t="s">
        <v>264</v>
      </c>
      <c r="D52" s="215">
        <v>1834</v>
      </c>
      <c r="E52" s="216">
        <v>6991</v>
      </c>
      <c r="F52" s="104"/>
      <c r="G52" s="211">
        <v>879</v>
      </c>
      <c r="H52" s="211">
        <v>4950</v>
      </c>
      <c r="I52" s="107"/>
      <c r="J52" s="211">
        <v>846</v>
      </c>
      <c r="K52" s="211">
        <v>1612</v>
      </c>
      <c r="L52" s="110"/>
      <c r="M52" s="211">
        <v>61</v>
      </c>
      <c r="N52" s="211">
        <v>221</v>
      </c>
      <c r="O52" s="105"/>
      <c r="P52" s="205">
        <f t="shared" si="0"/>
        <v>26.233729080246032</v>
      </c>
      <c r="Q52" s="204">
        <f t="shared" si="1"/>
        <v>17.757575757575758</v>
      </c>
      <c r="R52" s="204">
        <f t="shared" si="2"/>
        <v>52.481389578163771</v>
      </c>
      <c r="S52" s="203">
        <f t="shared" si="3"/>
        <v>27.601809954751133</v>
      </c>
      <c r="T52" s="108"/>
      <c r="U52" s="109"/>
      <c r="V52" s="109"/>
    </row>
    <row r="53" spans="1:22" x14ac:dyDescent="0.2">
      <c r="A53" s="101" t="s">
        <v>120</v>
      </c>
      <c r="B53" s="102" t="s">
        <v>121</v>
      </c>
      <c r="C53" s="103" t="s">
        <v>264</v>
      </c>
      <c r="D53" s="215">
        <v>3017</v>
      </c>
      <c r="E53" s="216">
        <v>13018</v>
      </c>
      <c r="F53" s="104"/>
      <c r="G53" s="211">
        <v>1657</v>
      </c>
      <c r="H53" s="211">
        <v>9918</v>
      </c>
      <c r="I53" s="107"/>
      <c r="J53" s="211">
        <v>936</v>
      </c>
      <c r="K53" s="211">
        <v>1676</v>
      </c>
      <c r="L53" s="110"/>
      <c r="M53" s="211">
        <v>291</v>
      </c>
      <c r="N53" s="211">
        <v>917</v>
      </c>
      <c r="O53" s="105"/>
      <c r="P53" s="205">
        <f t="shared" si="0"/>
        <v>23.175603011215241</v>
      </c>
      <c r="Q53" s="204">
        <f t="shared" si="1"/>
        <v>16.706997378503729</v>
      </c>
      <c r="R53" s="204">
        <f t="shared" si="2"/>
        <v>55.847255369928405</v>
      </c>
      <c r="S53" s="203">
        <f t="shared" si="3"/>
        <v>31.733914940021812</v>
      </c>
      <c r="T53" s="108"/>
      <c r="U53" s="109"/>
      <c r="V53" s="109"/>
    </row>
    <row r="54" spans="1:22" x14ac:dyDescent="0.2">
      <c r="A54" s="101" t="s">
        <v>122</v>
      </c>
      <c r="B54" s="102" t="s">
        <v>271</v>
      </c>
      <c r="C54" s="103" t="s">
        <v>266</v>
      </c>
      <c r="D54" s="215">
        <v>341</v>
      </c>
      <c r="E54" s="216">
        <v>1202</v>
      </c>
      <c r="F54" s="104"/>
      <c r="G54" s="211">
        <v>185</v>
      </c>
      <c r="H54" s="211">
        <v>850</v>
      </c>
      <c r="I54" s="107"/>
      <c r="J54" s="211">
        <v>123</v>
      </c>
      <c r="K54" s="211">
        <v>259</v>
      </c>
      <c r="L54" s="110"/>
      <c r="M54" s="211">
        <v>11</v>
      </c>
      <c r="N54" s="211">
        <v>72</v>
      </c>
      <c r="O54" s="105"/>
      <c r="P54" s="205">
        <f t="shared" si="0"/>
        <v>28.369384359401</v>
      </c>
      <c r="Q54" s="204">
        <f t="shared" si="1"/>
        <v>21.764705882352942</v>
      </c>
      <c r="R54" s="204">
        <f t="shared" si="2"/>
        <v>47.490347490347489</v>
      </c>
      <c r="S54" s="203">
        <f t="shared" si="3"/>
        <v>15.277777777777779</v>
      </c>
      <c r="T54" s="108"/>
      <c r="U54" s="109"/>
      <c r="V54" s="109"/>
    </row>
    <row r="55" spans="1:22" x14ac:dyDescent="0.2">
      <c r="A55" s="101" t="s">
        <v>124</v>
      </c>
      <c r="B55" s="102" t="s">
        <v>125</v>
      </c>
      <c r="C55" s="103" t="s">
        <v>267</v>
      </c>
      <c r="D55" s="215">
        <v>1214</v>
      </c>
      <c r="E55" s="216">
        <v>5771</v>
      </c>
      <c r="F55" s="104"/>
      <c r="G55" s="211">
        <v>732</v>
      </c>
      <c r="H55" s="211">
        <v>4347</v>
      </c>
      <c r="I55" s="107"/>
      <c r="J55" s="211">
        <v>375</v>
      </c>
      <c r="K55" s="211">
        <v>931</v>
      </c>
      <c r="L55" s="110"/>
      <c r="M55" s="211">
        <v>56</v>
      </c>
      <c r="N55" s="211">
        <v>292</v>
      </c>
      <c r="O55" s="105"/>
      <c r="P55" s="205">
        <f t="shared" si="0"/>
        <v>21.036215560561427</v>
      </c>
      <c r="Q55" s="204">
        <f t="shared" si="1"/>
        <v>16.839199447895101</v>
      </c>
      <c r="R55" s="204">
        <f t="shared" si="2"/>
        <v>40.27926960257787</v>
      </c>
      <c r="S55" s="203">
        <f t="shared" si="3"/>
        <v>19.17808219178082</v>
      </c>
      <c r="T55" s="108"/>
      <c r="U55" s="109"/>
      <c r="V55" s="109"/>
    </row>
    <row r="56" spans="1:22" x14ac:dyDescent="0.2">
      <c r="A56" s="101" t="s">
        <v>126</v>
      </c>
      <c r="B56" s="102" t="s">
        <v>127</v>
      </c>
      <c r="C56" s="103" t="s">
        <v>266</v>
      </c>
      <c r="D56" s="215">
        <v>814</v>
      </c>
      <c r="E56" s="216">
        <v>3459</v>
      </c>
      <c r="F56" s="104"/>
      <c r="G56" s="211">
        <v>571</v>
      </c>
      <c r="H56" s="211">
        <v>2797</v>
      </c>
      <c r="I56" s="107"/>
      <c r="J56" s="211">
        <v>169</v>
      </c>
      <c r="K56" s="211">
        <v>400</v>
      </c>
      <c r="L56" s="110"/>
      <c r="M56" s="211">
        <v>27</v>
      </c>
      <c r="N56" s="211">
        <v>99</v>
      </c>
      <c r="O56" s="105"/>
      <c r="P56" s="205">
        <f t="shared" si="0"/>
        <v>23.53281295172015</v>
      </c>
      <c r="Q56" s="204">
        <f t="shared" si="1"/>
        <v>20.414730067929927</v>
      </c>
      <c r="R56" s="204">
        <f t="shared" si="2"/>
        <v>42.25</v>
      </c>
      <c r="S56" s="203">
        <f t="shared" si="3"/>
        <v>27.27272727272727</v>
      </c>
      <c r="T56" s="108"/>
      <c r="U56" s="109"/>
      <c r="V56" s="109"/>
    </row>
    <row r="57" spans="1:22" x14ac:dyDescent="0.2">
      <c r="A57" s="101" t="s">
        <v>128</v>
      </c>
      <c r="B57" s="102" t="s">
        <v>129</v>
      </c>
      <c r="C57" s="103" t="s">
        <v>266</v>
      </c>
      <c r="D57" s="215">
        <v>634</v>
      </c>
      <c r="E57" s="216">
        <v>1540</v>
      </c>
      <c r="F57" s="104"/>
      <c r="G57" s="211">
        <v>197</v>
      </c>
      <c r="H57" s="211">
        <v>855</v>
      </c>
      <c r="I57" s="107"/>
      <c r="J57" s="211">
        <v>405</v>
      </c>
      <c r="K57" s="211">
        <v>607</v>
      </c>
      <c r="L57" s="110"/>
      <c r="M57" s="211">
        <v>12</v>
      </c>
      <c r="N57" s="211">
        <v>34</v>
      </c>
      <c r="O57" s="105"/>
      <c r="P57" s="205">
        <f t="shared" si="0"/>
        <v>41.168831168831169</v>
      </c>
      <c r="Q57" s="204">
        <f t="shared" si="1"/>
        <v>23.040935672514621</v>
      </c>
      <c r="R57" s="204">
        <f t="shared" si="2"/>
        <v>66.721581548599673</v>
      </c>
      <c r="S57" s="203">
        <f t="shared" si="3"/>
        <v>35.294117647058826</v>
      </c>
      <c r="T57" s="108"/>
      <c r="U57" s="109"/>
      <c r="V57" s="109"/>
    </row>
    <row r="58" spans="1:22" x14ac:dyDescent="0.2">
      <c r="A58" s="101" t="s">
        <v>130</v>
      </c>
      <c r="B58" s="102" t="s">
        <v>131</v>
      </c>
      <c r="C58" s="103" t="s">
        <v>268</v>
      </c>
      <c r="D58" s="215">
        <v>1233</v>
      </c>
      <c r="E58" s="216">
        <v>4423</v>
      </c>
      <c r="F58" s="104"/>
      <c r="G58" s="211">
        <v>1193</v>
      </c>
      <c r="H58" s="211">
        <v>4329</v>
      </c>
      <c r="I58" s="107"/>
      <c r="J58" s="211">
        <v>7</v>
      </c>
      <c r="K58" s="211">
        <v>21</v>
      </c>
      <c r="L58" s="110"/>
      <c r="M58" s="211">
        <v>25</v>
      </c>
      <c r="N58" s="211">
        <v>48</v>
      </c>
      <c r="O58" s="105"/>
      <c r="P58" s="205">
        <f t="shared" si="0"/>
        <v>27.87700655663577</v>
      </c>
      <c r="Q58" s="204">
        <f t="shared" si="1"/>
        <v>27.558327558327562</v>
      </c>
      <c r="R58" s="204">
        <f t="shared" si="2"/>
        <v>33.333333333333329</v>
      </c>
      <c r="S58" s="203">
        <f t="shared" si="3"/>
        <v>52.083333333333336</v>
      </c>
      <c r="T58" s="108"/>
      <c r="U58" s="109"/>
      <c r="V58" s="109"/>
    </row>
    <row r="59" spans="1:22" x14ac:dyDescent="0.2">
      <c r="A59" s="101" t="s">
        <v>132</v>
      </c>
      <c r="B59" s="102" t="s">
        <v>133</v>
      </c>
      <c r="C59" s="103" t="s">
        <v>267</v>
      </c>
      <c r="D59" s="215">
        <v>11869</v>
      </c>
      <c r="E59" s="216">
        <v>90189</v>
      </c>
      <c r="F59" s="104"/>
      <c r="G59" s="211">
        <v>7177</v>
      </c>
      <c r="H59" s="211">
        <v>59927</v>
      </c>
      <c r="I59" s="107"/>
      <c r="J59" s="211">
        <v>1805</v>
      </c>
      <c r="K59" s="211">
        <v>5736</v>
      </c>
      <c r="L59" s="110"/>
      <c r="M59" s="211">
        <v>2403</v>
      </c>
      <c r="N59" s="211">
        <v>11322</v>
      </c>
      <c r="O59" s="105"/>
      <c r="P59" s="205">
        <f t="shared" si="0"/>
        <v>13.160141480668376</v>
      </c>
      <c r="Q59" s="204">
        <f t="shared" si="1"/>
        <v>11.976237755936388</v>
      </c>
      <c r="R59" s="204">
        <f t="shared" si="2"/>
        <v>31.467921896792188</v>
      </c>
      <c r="S59" s="203">
        <f t="shared" si="3"/>
        <v>21.224165341812402</v>
      </c>
      <c r="T59" s="108"/>
      <c r="U59" s="109"/>
      <c r="V59" s="109"/>
    </row>
    <row r="60" spans="1:22" x14ac:dyDescent="0.2">
      <c r="A60" s="101" t="s">
        <v>134</v>
      </c>
      <c r="B60" s="102" t="s">
        <v>135</v>
      </c>
      <c r="C60" s="103" t="s">
        <v>267</v>
      </c>
      <c r="D60" s="215">
        <v>1576</v>
      </c>
      <c r="E60" s="216">
        <v>6209</v>
      </c>
      <c r="F60" s="104"/>
      <c r="G60" s="211">
        <v>969</v>
      </c>
      <c r="H60" s="211">
        <v>4816</v>
      </c>
      <c r="I60" s="107"/>
      <c r="J60" s="211">
        <v>447</v>
      </c>
      <c r="K60" s="211">
        <v>915</v>
      </c>
      <c r="L60" s="110"/>
      <c r="M60" s="211">
        <v>49</v>
      </c>
      <c r="N60" s="211">
        <v>238</v>
      </c>
      <c r="O60" s="105"/>
      <c r="P60" s="205">
        <f t="shared" si="0"/>
        <v>25.382509260750524</v>
      </c>
      <c r="Q60" s="204">
        <f t="shared" si="1"/>
        <v>20.120431893687709</v>
      </c>
      <c r="R60" s="204">
        <f t="shared" si="2"/>
        <v>48.852459016393439</v>
      </c>
      <c r="S60" s="203">
        <f t="shared" si="3"/>
        <v>20.588235294117645</v>
      </c>
      <c r="T60" s="108"/>
      <c r="U60" s="109"/>
      <c r="V60" s="109"/>
    </row>
    <row r="61" spans="1:22" x14ac:dyDescent="0.2">
      <c r="A61" s="101" t="s">
        <v>136</v>
      </c>
      <c r="B61" s="102" t="s">
        <v>137</v>
      </c>
      <c r="C61" s="103" t="s">
        <v>266</v>
      </c>
      <c r="D61" s="215">
        <v>702</v>
      </c>
      <c r="E61" s="216">
        <v>2032</v>
      </c>
      <c r="F61" s="104"/>
      <c r="G61" s="211">
        <v>310</v>
      </c>
      <c r="H61" s="211">
        <v>1308</v>
      </c>
      <c r="I61" s="107"/>
      <c r="J61" s="211">
        <v>310</v>
      </c>
      <c r="K61" s="211">
        <v>544</v>
      </c>
      <c r="L61" s="110"/>
      <c r="M61" s="211">
        <v>51</v>
      </c>
      <c r="N61" s="211">
        <v>125</v>
      </c>
      <c r="O61" s="105"/>
      <c r="P61" s="205">
        <f t="shared" si="0"/>
        <v>34.547244094488185</v>
      </c>
      <c r="Q61" s="204">
        <f t="shared" si="1"/>
        <v>23.700305810397555</v>
      </c>
      <c r="R61" s="204">
        <f t="shared" si="2"/>
        <v>56.985294117647058</v>
      </c>
      <c r="S61" s="203">
        <f t="shared" si="3"/>
        <v>40.799999999999997</v>
      </c>
      <c r="T61" s="108"/>
      <c r="U61" s="109"/>
      <c r="V61" s="109"/>
    </row>
    <row r="62" spans="1:22" x14ac:dyDescent="0.2">
      <c r="A62" s="101" t="s">
        <v>140</v>
      </c>
      <c r="B62" s="102" t="s">
        <v>141</v>
      </c>
      <c r="C62" s="103" t="s">
        <v>267</v>
      </c>
      <c r="D62" s="215">
        <v>551</v>
      </c>
      <c r="E62" s="216">
        <v>2527</v>
      </c>
      <c r="F62" s="104"/>
      <c r="G62" s="211">
        <v>442</v>
      </c>
      <c r="H62" s="211">
        <v>2181</v>
      </c>
      <c r="I62" s="107"/>
      <c r="J62" s="211">
        <v>60</v>
      </c>
      <c r="K62" s="211">
        <v>180</v>
      </c>
      <c r="L62" s="110"/>
      <c r="M62" s="211">
        <v>17</v>
      </c>
      <c r="N62" s="211">
        <v>78</v>
      </c>
      <c r="O62" s="105"/>
      <c r="P62" s="205">
        <f t="shared" si="0"/>
        <v>21.804511278195488</v>
      </c>
      <c r="Q62" s="204">
        <f t="shared" si="1"/>
        <v>20.265933058230171</v>
      </c>
      <c r="R62" s="204">
        <f t="shared" si="2"/>
        <v>33.333333333333329</v>
      </c>
      <c r="S62" s="203">
        <f t="shared" si="3"/>
        <v>21.794871794871796</v>
      </c>
      <c r="T62" s="108"/>
      <c r="U62" s="109"/>
      <c r="V62" s="109"/>
    </row>
    <row r="63" spans="1:22" x14ac:dyDescent="0.2">
      <c r="A63" s="101" t="s">
        <v>146</v>
      </c>
      <c r="B63" s="102" t="s">
        <v>147</v>
      </c>
      <c r="C63" s="103" t="s">
        <v>264</v>
      </c>
      <c r="D63" s="215">
        <v>306</v>
      </c>
      <c r="E63" s="216">
        <v>1399</v>
      </c>
      <c r="F63" s="104"/>
      <c r="G63" s="211">
        <v>236</v>
      </c>
      <c r="H63" s="211">
        <v>1218</v>
      </c>
      <c r="I63" s="107"/>
      <c r="J63" s="211">
        <v>51</v>
      </c>
      <c r="K63" s="211">
        <v>119</v>
      </c>
      <c r="L63" s="110"/>
      <c r="M63" s="211">
        <v>5</v>
      </c>
      <c r="N63" s="211">
        <v>33</v>
      </c>
      <c r="O63" s="105"/>
      <c r="P63" s="205">
        <f t="shared" si="0"/>
        <v>21.872766261615439</v>
      </c>
      <c r="Q63" s="204">
        <f t="shared" si="1"/>
        <v>19.376026272577999</v>
      </c>
      <c r="R63" s="204">
        <f t="shared" si="2"/>
        <v>42.857142857142854</v>
      </c>
      <c r="S63" s="203">
        <f t="shared" si="3"/>
        <v>15.151515151515152</v>
      </c>
      <c r="T63" s="108"/>
      <c r="U63" s="109"/>
      <c r="V63" s="109"/>
    </row>
    <row r="64" spans="1:22" x14ac:dyDescent="0.2">
      <c r="A64" s="101" t="s">
        <v>148</v>
      </c>
      <c r="B64" s="102" t="s">
        <v>149</v>
      </c>
      <c r="C64" s="103" t="s">
        <v>265</v>
      </c>
      <c r="D64" s="215">
        <v>2155</v>
      </c>
      <c r="E64" s="216">
        <v>5216</v>
      </c>
      <c r="F64" s="104"/>
      <c r="G64" s="211">
        <v>756</v>
      </c>
      <c r="H64" s="211">
        <v>2955</v>
      </c>
      <c r="I64" s="107"/>
      <c r="J64" s="211">
        <v>1255</v>
      </c>
      <c r="K64" s="211">
        <v>1903</v>
      </c>
      <c r="L64" s="110"/>
      <c r="M64" s="211">
        <v>52</v>
      </c>
      <c r="N64" s="211">
        <v>199</v>
      </c>
      <c r="O64" s="105"/>
      <c r="P64" s="205">
        <f t="shared" si="0"/>
        <v>41.315184049079754</v>
      </c>
      <c r="Q64" s="204">
        <f t="shared" si="1"/>
        <v>25.583756345177665</v>
      </c>
      <c r="R64" s="204">
        <f t="shared" si="2"/>
        <v>65.948502364687329</v>
      </c>
      <c r="S64" s="203">
        <f t="shared" si="3"/>
        <v>26.13065326633166</v>
      </c>
      <c r="T64" s="108"/>
      <c r="U64" s="109"/>
      <c r="V64" s="109"/>
    </row>
    <row r="65" spans="1:22" x14ac:dyDescent="0.2">
      <c r="A65" s="101" t="s">
        <v>150</v>
      </c>
      <c r="B65" s="102" t="s">
        <v>151</v>
      </c>
      <c r="C65" s="103" t="s">
        <v>266</v>
      </c>
      <c r="D65" s="215">
        <v>430</v>
      </c>
      <c r="E65" s="216">
        <v>1466</v>
      </c>
      <c r="F65" s="104"/>
      <c r="G65" s="211">
        <v>300</v>
      </c>
      <c r="H65" s="211">
        <v>1152</v>
      </c>
      <c r="I65" s="107"/>
      <c r="J65" s="211">
        <v>108</v>
      </c>
      <c r="K65" s="211">
        <v>232</v>
      </c>
      <c r="L65" s="110"/>
      <c r="M65" s="211">
        <v>6</v>
      </c>
      <c r="N65" s="211">
        <v>42</v>
      </c>
      <c r="O65" s="105"/>
      <c r="P65" s="205">
        <f t="shared" si="0"/>
        <v>29.331514324693043</v>
      </c>
      <c r="Q65" s="204">
        <f t="shared" si="1"/>
        <v>26.041666666666668</v>
      </c>
      <c r="R65" s="204">
        <f t="shared" si="2"/>
        <v>46.551724137931032</v>
      </c>
      <c r="S65" s="203">
        <f t="shared" si="3"/>
        <v>14.285714285714285</v>
      </c>
      <c r="T65" s="108"/>
      <c r="U65" s="109"/>
      <c r="V65" s="109"/>
    </row>
    <row r="66" spans="1:22" x14ac:dyDescent="0.2">
      <c r="A66" s="101" t="s">
        <v>152</v>
      </c>
      <c r="B66" s="102" t="s">
        <v>153</v>
      </c>
      <c r="C66" s="103" t="s">
        <v>268</v>
      </c>
      <c r="D66" s="215">
        <v>3395</v>
      </c>
      <c r="E66" s="216">
        <v>13668</v>
      </c>
      <c r="F66" s="104"/>
      <c r="G66" s="211">
        <v>2763</v>
      </c>
      <c r="H66" s="211">
        <v>11839</v>
      </c>
      <c r="I66" s="107"/>
      <c r="J66" s="211">
        <v>331</v>
      </c>
      <c r="K66" s="211">
        <v>574</v>
      </c>
      <c r="L66" s="110"/>
      <c r="M66" s="211">
        <v>146</v>
      </c>
      <c r="N66" s="211">
        <v>478</v>
      </c>
      <c r="O66" s="105"/>
      <c r="P66" s="205">
        <f t="shared" si="0"/>
        <v>24.839040093649402</v>
      </c>
      <c r="Q66" s="204">
        <f t="shared" si="1"/>
        <v>23.338119773629529</v>
      </c>
      <c r="R66" s="204">
        <f t="shared" si="2"/>
        <v>57.665505226480839</v>
      </c>
      <c r="S66" s="203">
        <f t="shared" si="3"/>
        <v>30.543933054393307</v>
      </c>
      <c r="T66" s="108"/>
      <c r="U66" s="109"/>
      <c r="V66" s="109"/>
    </row>
    <row r="67" spans="1:22" x14ac:dyDescent="0.2">
      <c r="A67" s="101" t="s">
        <v>154</v>
      </c>
      <c r="B67" s="102" t="s">
        <v>155</v>
      </c>
      <c r="C67" s="103" t="s">
        <v>265</v>
      </c>
      <c r="D67" s="215">
        <v>697</v>
      </c>
      <c r="E67" s="216">
        <v>2438</v>
      </c>
      <c r="F67" s="104"/>
      <c r="G67" s="211">
        <v>477</v>
      </c>
      <c r="H67" s="211">
        <v>1992</v>
      </c>
      <c r="I67" s="107"/>
      <c r="J67" s="211">
        <v>149</v>
      </c>
      <c r="K67" s="211">
        <v>263</v>
      </c>
      <c r="L67" s="110"/>
      <c r="M67" s="211">
        <v>33</v>
      </c>
      <c r="N67" s="211">
        <v>141</v>
      </c>
      <c r="O67" s="105"/>
      <c r="P67" s="205">
        <f t="shared" si="0"/>
        <v>28.589007383100899</v>
      </c>
      <c r="Q67" s="204">
        <f t="shared" si="1"/>
        <v>23.945783132530121</v>
      </c>
      <c r="R67" s="204">
        <f t="shared" si="2"/>
        <v>56.653992395437257</v>
      </c>
      <c r="S67" s="203">
        <f t="shared" si="3"/>
        <v>23.404255319148938</v>
      </c>
      <c r="T67" s="108"/>
      <c r="U67" s="109"/>
      <c r="V67" s="109"/>
    </row>
    <row r="68" spans="1:22" x14ac:dyDescent="0.2">
      <c r="A68" s="101" t="s">
        <v>156</v>
      </c>
      <c r="B68" s="102" t="s">
        <v>157</v>
      </c>
      <c r="C68" s="103" t="s">
        <v>266</v>
      </c>
      <c r="D68" s="215">
        <v>700</v>
      </c>
      <c r="E68" s="216">
        <v>3565</v>
      </c>
      <c r="F68" s="104"/>
      <c r="G68" s="211">
        <v>550</v>
      </c>
      <c r="H68" s="211">
        <v>2983</v>
      </c>
      <c r="I68" s="107"/>
      <c r="J68" s="211">
        <v>102</v>
      </c>
      <c r="K68" s="211">
        <v>317</v>
      </c>
      <c r="L68" s="110"/>
      <c r="M68" s="211">
        <v>19</v>
      </c>
      <c r="N68" s="211">
        <v>136</v>
      </c>
      <c r="O68" s="105"/>
      <c r="P68" s="205">
        <f t="shared" si="0"/>
        <v>19.635343618513325</v>
      </c>
      <c r="Q68" s="204">
        <f t="shared" si="1"/>
        <v>18.437814280925245</v>
      </c>
      <c r="R68" s="204">
        <f t="shared" si="2"/>
        <v>32.176656151419557</v>
      </c>
      <c r="S68" s="203">
        <f t="shared" si="3"/>
        <v>13.970588235294118</v>
      </c>
      <c r="T68" s="108"/>
      <c r="U68" s="109"/>
      <c r="V68" s="109"/>
    </row>
    <row r="69" spans="1:22" x14ac:dyDescent="0.2">
      <c r="A69" s="101" t="s">
        <v>162</v>
      </c>
      <c r="B69" s="102" t="s">
        <v>163</v>
      </c>
      <c r="C69" s="103" t="s">
        <v>264</v>
      </c>
      <c r="D69" s="215">
        <v>887</v>
      </c>
      <c r="E69" s="216">
        <v>2010</v>
      </c>
      <c r="F69" s="104"/>
      <c r="G69" s="211">
        <v>283</v>
      </c>
      <c r="H69" s="211">
        <v>1078</v>
      </c>
      <c r="I69" s="107"/>
      <c r="J69" s="211">
        <v>508</v>
      </c>
      <c r="K69" s="211">
        <v>710</v>
      </c>
      <c r="L69" s="110"/>
      <c r="M69" s="211">
        <v>113</v>
      </c>
      <c r="N69" s="211">
        <v>283</v>
      </c>
      <c r="O69" s="105"/>
      <c r="P69" s="205">
        <f t="shared" si="0"/>
        <v>44.129353233830848</v>
      </c>
      <c r="Q69" s="204">
        <f t="shared" si="1"/>
        <v>26.252319109461968</v>
      </c>
      <c r="R69" s="204">
        <f t="shared" si="2"/>
        <v>71.549295774647888</v>
      </c>
      <c r="S69" s="203">
        <f t="shared" si="3"/>
        <v>39.929328621908127</v>
      </c>
      <c r="T69" s="108"/>
      <c r="U69" s="109"/>
      <c r="V69" s="109"/>
    </row>
    <row r="70" spans="1:22" x14ac:dyDescent="0.2">
      <c r="A70" s="101" t="s">
        <v>164</v>
      </c>
      <c r="B70" s="102" t="s">
        <v>165</v>
      </c>
      <c r="C70" s="103" t="s">
        <v>266</v>
      </c>
      <c r="D70" s="215">
        <v>579</v>
      </c>
      <c r="E70" s="216">
        <v>1628</v>
      </c>
      <c r="F70" s="104"/>
      <c r="G70" s="211">
        <v>237</v>
      </c>
      <c r="H70" s="211">
        <v>999</v>
      </c>
      <c r="I70" s="107"/>
      <c r="J70" s="211">
        <v>297</v>
      </c>
      <c r="K70" s="211">
        <v>521</v>
      </c>
      <c r="L70" s="110"/>
      <c r="M70" s="211">
        <v>34</v>
      </c>
      <c r="N70" s="211">
        <v>112</v>
      </c>
      <c r="O70" s="105"/>
      <c r="P70" s="205">
        <f t="shared" si="0"/>
        <v>35.565110565110565</v>
      </c>
      <c r="Q70" s="204">
        <f t="shared" si="1"/>
        <v>23.723723723723726</v>
      </c>
      <c r="R70" s="204">
        <f t="shared" si="2"/>
        <v>57.005758157389629</v>
      </c>
      <c r="S70" s="203">
        <f t="shared" si="3"/>
        <v>30.357142857142854</v>
      </c>
      <c r="T70" s="108"/>
      <c r="U70" s="109"/>
      <c r="V70" s="109"/>
    </row>
    <row r="71" spans="1:22" x14ac:dyDescent="0.2">
      <c r="A71" s="101" t="s">
        <v>168</v>
      </c>
      <c r="B71" s="102" t="s">
        <v>169</v>
      </c>
      <c r="C71" s="103" t="s">
        <v>266</v>
      </c>
      <c r="D71" s="215">
        <v>997</v>
      </c>
      <c r="E71" s="216">
        <v>2678</v>
      </c>
      <c r="F71" s="104"/>
      <c r="G71" s="211">
        <v>421</v>
      </c>
      <c r="H71" s="211">
        <v>1585</v>
      </c>
      <c r="I71" s="107"/>
      <c r="J71" s="211">
        <v>506</v>
      </c>
      <c r="K71" s="211">
        <v>908</v>
      </c>
      <c r="L71" s="110"/>
      <c r="M71" s="211">
        <v>33</v>
      </c>
      <c r="N71" s="211">
        <v>158</v>
      </c>
      <c r="O71" s="105"/>
      <c r="P71" s="205">
        <f t="shared" ref="P71:P126" si="4">(D71/E71)*100</f>
        <v>37.229275578790144</v>
      </c>
      <c r="Q71" s="204">
        <f t="shared" ref="Q71:Q126" si="5">(G71/H71)*100</f>
        <v>26.561514195583598</v>
      </c>
      <c r="R71" s="204">
        <f t="shared" ref="R71:R126" si="6">(J71/K71)*100</f>
        <v>55.726872246696033</v>
      </c>
      <c r="S71" s="203">
        <f t="shared" ref="S71:S126" si="7">IF(N71&lt;1,"NA", ((M71/N71)*100))</f>
        <v>20.88607594936709</v>
      </c>
      <c r="T71" s="108"/>
      <c r="U71" s="109"/>
      <c r="V71" s="109"/>
    </row>
    <row r="72" spans="1:22" x14ac:dyDescent="0.2">
      <c r="A72" s="101" t="s">
        <v>170</v>
      </c>
      <c r="B72" s="102" t="s">
        <v>171</v>
      </c>
      <c r="C72" s="103" t="s">
        <v>267</v>
      </c>
      <c r="D72" s="215">
        <v>1664</v>
      </c>
      <c r="E72" s="216">
        <v>6621</v>
      </c>
      <c r="F72" s="104"/>
      <c r="G72" s="211">
        <v>1104</v>
      </c>
      <c r="H72" s="211">
        <v>5261</v>
      </c>
      <c r="I72" s="107"/>
      <c r="J72" s="211">
        <v>363</v>
      </c>
      <c r="K72" s="211">
        <v>777</v>
      </c>
      <c r="L72" s="110"/>
      <c r="M72" s="211">
        <v>99</v>
      </c>
      <c r="N72" s="211">
        <v>366</v>
      </c>
      <c r="O72" s="105"/>
      <c r="P72" s="205">
        <f t="shared" si="4"/>
        <v>25.132155263555354</v>
      </c>
      <c r="Q72" s="204">
        <f t="shared" si="5"/>
        <v>20.984603687511878</v>
      </c>
      <c r="R72" s="204">
        <f t="shared" si="6"/>
        <v>46.71814671814672</v>
      </c>
      <c r="S72" s="203">
        <f t="shared" si="7"/>
        <v>27.049180327868854</v>
      </c>
      <c r="T72" s="108"/>
      <c r="U72" s="109"/>
      <c r="V72" s="109"/>
    </row>
    <row r="73" spans="1:22" x14ac:dyDescent="0.2">
      <c r="A73" s="101" t="s">
        <v>172</v>
      </c>
      <c r="B73" s="102" t="s">
        <v>173</v>
      </c>
      <c r="C73" s="103" t="s">
        <v>267</v>
      </c>
      <c r="D73" s="215">
        <v>1301</v>
      </c>
      <c r="E73" s="216">
        <v>4462</v>
      </c>
      <c r="F73" s="104"/>
      <c r="G73" s="211">
        <v>1205</v>
      </c>
      <c r="H73" s="211">
        <v>4233</v>
      </c>
      <c r="I73" s="107"/>
      <c r="J73" s="211">
        <v>40</v>
      </c>
      <c r="K73" s="211">
        <v>69</v>
      </c>
      <c r="L73" s="110"/>
      <c r="M73" s="211">
        <v>54</v>
      </c>
      <c r="N73" s="211">
        <v>128</v>
      </c>
      <c r="O73" s="105"/>
      <c r="P73" s="205">
        <f t="shared" si="4"/>
        <v>29.157328552218736</v>
      </c>
      <c r="Q73" s="204">
        <f t="shared" si="5"/>
        <v>28.466808410111032</v>
      </c>
      <c r="R73" s="204">
        <f t="shared" si="6"/>
        <v>57.971014492753625</v>
      </c>
      <c r="S73" s="203">
        <f t="shared" si="7"/>
        <v>42.1875</v>
      </c>
      <c r="T73" s="108"/>
      <c r="U73" s="109"/>
      <c r="V73" s="109"/>
    </row>
    <row r="74" spans="1:22" x14ac:dyDescent="0.2">
      <c r="A74" s="101" t="s">
        <v>174</v>
      </c>
      <c r="B74" s="102" t="s">
        <v>175</v>
      </c>
      <c r="C74" s="103" t="s">
        <v>268</v>
      </c>
      <c r="D74" s="215">
        <v>892</v>
      </c>
      <c r="E74" s="216">
        <v>3154</v>
      </c>
      <c r="F74" s="104"/>
      <c r="G74" s="211">
        <v>738</v>
      </c>
      <c r="H74" s="211">
        <v>2803</v>
      </c>
      <c r="I74" s="107"/>
      <c r="J74" s="211">
        <v>97</v>
      </c>
      <c r="K74" s="211">
        <v>159</v>
      </c>
      <c r="L74" s="110"/>
      <c r="M74" s="211">
        <v>48</v>
      </c>
      <c r="N74" s="211">
        <v>159</v>
      </c>
      <c r="O74" s="105"/>
      <c r="P74" s="205">
        <f t="shared" si="4"/>
        <v>28.28154724159797</v>
      </c>
      <c r="Q74" s="204">
        <f t="shared" si="5"/>
        <v>26.328933285765249</v>
      </c>
      <c r="R74" s="204">
        <f t="shared" si="6"/>
        <v>61.0062893081761</v>
      </c>
      <c r="S74" s="203">
        <f t="shared" si="7"/>
        <v>30.188679245283019</v>
      </c>
      <c r="T74" s="108"/>
      <c r="U74" s="109"/>
      <c r="V74" s="109"/>
    </row>
    <row r="75" spans="1:22" x14ac:dyDescent="0.2">
      <c r="A75" s="101" t="s">
        <v>178</v>
      </c>
      <c r="B75" s="102" t="s">
        <v>179</v>
      </c>
      <c r="C75" s="103" t="s">
        <v>265</v>
      </c>
      <c r="D75" s="215">
        <v>3561</v>
      </c>
      <c r="E75" s="216">
        <v>11424</v>
      </c>
      <c r="F75" s="104"/>
      <c r="G75" s="211">
        <v>2288</v>
      </c>
      <c r="H75" s="211">
        <v>8821</v>
      </c>
      <c r="I75" s="107"/>
      <c r="J75" s="211">
        <v>1066</v>
      </c>
      <c r="K75" s="211">
        <v>2044</v>
      </c>
      <c r="L75" s="110"/>
      <c r="M75" s="211">
        <v>164</v>
      </c>
      <c r="N75" s="211">
        <v>419</v>
      </c>
      <c r="O75" s="105"/>
      <c r="P75" s="205">
        <f t="shared" si="4"/>
        <v>31.17121848739496</v>
      </c>
      <c r="Q75" s="204">
        <f t="shared" si="5"/>
        <v>25.938102255980048</v>
      </c>
      <c r="R75" s="204">
        <f t="shared" si="6"/>
        <v>52.152641878669279</v>
      </c>
      <c r="S75" s="203">
        <f t="shared" si="7"/>
        <v>39.140811455847256</v>
      </c>
      <c r="T75" s="108"/>
      <c r="U75" s="109"/>
      <c r="V75" s="109"/>
    </row>
    <row r="76" spans="1:22" x14ac:dyDescent="0.2">
      <c r="A76" s="101" t="s">
        <v>182</v>
      </c>
      <c r="B76" s="102" t="s">
        <v>183</v>
      </c>
      <c r="C76" s="103" t="s">
        <v>266</v>
      </c>
      <c r="D76" s="215">
        <v>894</v>
      </c>
      <c r="E76" s="216">
        <v>5676</v>
      </c>
      <c r="F76" s="104"/>
      <c r="G76" s="211">
        <v>705</v>
      </c>
      <c r="H76" s="211">
        <v>5098</v>
      </c>
      <c r="I76" s="107"/>
      <c r="J76" s="211">
        <v>126</v>
      </c>
      <c r="K76" s="211">
        <v>331</v>
      </c>
      <c r="L76" s="110"/>
      <c r="M76" s="211">
        <v>31</v>
      </c>
      <c r="N76" s="211">
        <v>150</v>
      </c>
      <c r="O76" s="105"/>
      <c r="P76" s="205">
        <f t="shared" si="4"/>
        <v>15.750528541226217</v>
      </c>
      <c r="Q76" s="204">
        <f t="shared" si="5"/>
        <v>13.828952530404079</v>
      </c>
      <c r="R76" s="204">
        <f t="shared" si="6"/>
        <v>38.066465256797585</v>
      </c>
      <c r="S76" s="203">
        <f t="shared" si="7"/>
        <v>20.666666666666668</v>
      </c>
      <c r="T76" s="108"/>
      <c r="U76" s="109"/>
      <c r="V76" s="109"/>
    </row>
    <row r="77" spans="1:22" x14ac:dyDescent="0.2">
      <c r="A77" s="101" t="s">
        <v>184</v>
      </c>
      <c r="B77" s="102" t="s">
        <v>185</v>
      </c>
      <c r="C77" s="103" t="s">
        <v>266</v>
      </c>
      <c r="D77" s="215">
        <v>1369</v>
      </c>
      <c r="E77" s="216">
        <v>3375</v>
      </c>
      <c r="F77" s="104"/>
      <c r="G77" s="211">
        <v>434</v>
      </c>
      <c r="H77" s="211">
        <v>1775</v>
      </c>
      <c r="I77" s="107"/>
      <c r="J77" s="211">
        <v>840</v>
      </c>
      <c r="K77" s="211">
        <v>1364</v>
      </c>
      <c r="L77" s="110"/>
      <c r="M77" s="211">
        <v>27</v>
      </c>
      <c r="N77" s="211">
        <v>99</v>
      </c>
      <c r="O77" s="105"/>
      <c r="P77" s="205">
        <f t="shared" si="4"/>
        <v>40.562962962962963</v>
      </c>
      <c r="Q77" s="204">
        <f t="shared" si="5"/>
        <v>24.450704225352112</v>
      </c>
      <c r="R77" s="204">
        <f t="shared" si="6"/>
        <v>61.583577712609973</v>
      </c>
      <c r="S77" s="203">
        <f t="shared" si="7"/>
        <v>27.27272727272727</v>
      </c>
      <c r="T77" s="108"/>
      <c r="U77" s="109"/>
      <c r="V77" s="109"/>
    </row>
    <row r="78" spans="1:22" x14ac:dyDescent="0.2">
      <c r="A78" s="101" t="s">
        <v>186</v>
      </c>
      <c r="B78" s="102" t="s">
        <v>187</v>
      </c>
      <c r="C78" s="103" t="s">
        <v>264</v>
      </c>
      <c r="D78" s="215">
        <v>1977</v>
      </c>
      <c r="E78" s="216">
        <v>7077</v>
      </c>
      <c r="F78" s="104"/>
      <c r="G78" s="211">
        <v>897</v>
      </c>
      <c r="H78" s="211">
        <v>4149</v>
      </c>
      <c r="I78" s="107"/>
      <c r="J78" s="211">
        <v>877</v>
      </c>
      <c r="K78" s="211">
        <v>2141</v>
      </c>
      <c r="L78" s="110"/>
      <c r="M78" s="211">
        <v>144</v>
      </c>
      <c r="N78" s="211">
        <v>601</v>
      </c>
      <c r="O78" s="105"/>
      <c r="P78" s="205">
        <f t="shared" si="4"/>
        <v>27.935565917761764</v>
      </c>
      <c r="Q78" s="204">
        <f t="shared" si="5"/>
        <v>21.619667389732466</v>
      </c>
      <c r="R78" s="204">
        <f t="shared" si="6"/>
        <v>40.96216721158337</v>
      </c>
      <c r="S78" s="203">
        <f t="shared" si="7"/>
        <v>23.960066555740433</v>
      </c>
      <c r="T78" s="108"/>
      <c r="U78" s="109"/>
      <c r="V78" s="109"/>
    </row>
    <row r="79" spans="1:22" x14ac:dyDescent="0.2">
      <c r="A79" s="101" t="s">
        <v>188</v>
      </c>
      <c r="B79" s="102" t="s">
        <v>189</v>
      </c>
      <c r="C79" s="103" t="s">
        <v>267</v>
      </c>
      <c r="D79" s="215">
        <v>21749</v>
      </c>
      <c r="E79" s="216">
        <v>103118</v>
      </c>
      <c r="F79" s="104"/>
      <c r="G79" s="211">
        <v>8234</v>
      </c>
      <c r="H79" s="211">
        <v>55019</v>
      </c>
      <c r="I79" s="107"/>
      <c r="J79" s="211">
        <v>8089</v>
      </c>
      <c r="K79" s="211">
        <v>20838</v>
      </c>
      <c r="L79" s="110"/>
      <c r="M79" s="211">
        <v>5636</v>
      </c>
      <c r="N79" s="211">
        <v>24344</v>
      </c>
      <c r="O79" s="105"/>
      <c r="P79" s="205">
        <f t="shared" si="4"/>
        <v>21.091371050641015</v>
      </c>
      <c r="Q79" s="204">
        <f t="shared" si="5"/>
        <v>14.965739108308037</v>
      </c>
      <c r="R79" s="204">
        <f t="shared" si="6"/>
        <v>38.818504654957295</v>
      </c>
      <c r="S79" s="203">
        <f t="shared" si="7"/>
        <v>23.151495234965495</v>
      </c>
      <c r="T79" s="108"/>
      <c r="U79" s="109"/>
      <c r="V79" s="109"/>
    </row>
    <row r="80" spans="1:22" x14ac:dyDescent="0.2">
      <c r="A80" s="101" t="s">
        <v>190</v>
      </c>
      <c r="B80" s="102" t="s">
        <v>191</v>
      </c>
      <c r="C80" s="103" t="s">
        <v>268</v>
      </c>
      <c r="D80" s="215">
        <v>1787</v>
      </c>
      <c r="E80" s="216">
        <v>5721</v>
      </c>
      <c r="F80" s="104"/>
      <c r="G80" s="211">
        <v>1480</v>
      </c>
      <c r="H80" s="211">
        <v>5198</v>
      </c>
      <c r="I80" s="107"/>
      <c r="J80" s="211">
        <v>152</v>
      </c>
      <c r="K80" s="211">
        <v>245</v>
      </c>
      <c r="L80" s="110"/>
      <c r="M80" s="211">
        <v>43</v>
      </c>
      <c r="N80" s="211">
        <v>127</v>
      </c>
      <c r="O80" s="105"/>
      <c r="P80" s="205">
        <f t="shared" si="4"/>
        <v>31.235797937423527</v>
      </c>
      <c r="Q80" s="204">
        <f t="shared" si="5"/>
        <v>28.472489419007314</v>
      </c>
      <c r="R80" s="204">
        <f t="shared" si="6"/>
        <v>62.04081632653061</v>
      </c>
      <c r="S80" s="203">
        <f t="shared" si="7"/>
        <v>33.858267716535437</v>
      </c>
      <c r="T80" s="108"/>
      <c r="U80" s="109"/>
      <c r="V80" s="109"/>
    </row>
    <row r="81" spans="1:22" x14ac:dyDescent="0.2">
      <c r="A81" s="101" t="s">
        <v>194</v>
      </c>
      <c r="B81" s="102" t="s">
        <v>195</v>
      </c>
      <c r="C81" s="103" t="s">
        <v>267</v>
      </c>
      <c r="D81" s="215">
        <v>320</v>
      </c>
      <c r="E81" s="216">
        <v>1265</v>
      </c>
      <c r="F81" s="104"/>
      <c r="G81" s="211">
        <v>269</v>
      </c>
      <c r="H81" s="211">
        <v>1157</v>
      </c>
      <c r="I81" s="107"/>
      <c r="J81" s="211">
        <v>23</v>
      </c>
      <c r="K81" s="211">
        <v>42</v>
      </c>
      <c r="L81" s="110"/>
      <c r="M81" s="211">
        <v>22</v>
      </c>
      <c r="N81" s="211">
        <v>71</v>
      </c>
      <c r="O81" s="105"/>
      <c r="P81" s="205">
        <f t="shared" si="4"/>
        <v>25.296442687747035</v>
      </c>
      <c r="Q81" s="204">
        <f t="shared" si="5"/>
        <v>23.249783923941227</v>
      </c>
      <c r="R81" s="204">
        <f t="shared" si="6"/>
        <v>54.761904761904766</v>
      </c>
      <c r="S81" s="203">
        <f t="shared" si="7"/>
        <v>30.985915492957744</v>
      </c>
      <c r="T81" s="108"/>
      <c r="U81" s="109"/>
      <c r="V81" s="109"/>
    </row>
    <row r="82" spans="1:22" x14ac:dyDescent="0.2">
      <c r="A82" s="101" t="s">
        <v>198</v>
      </c>
      <c r="B82" s="102" t="s">
        <v>199</v>
      </c>
      <c r="C82" s="103" t="s">
        <v>266</v>
      </c>
      <c r="D82" s="215">
        <v>416</v>
      </c>
      <c r="E82" s="216">
        <v>1302</v>
      </c>
      <c r="F82" s="104"/>
      <c r="G82" s="211">
        <v>202</v>
      </c>
      <c r="H82" s="211">
        <v>875</v>
      </c>
      <c r="I82" s="107"/>
      <c r="J82" s="211">
        <v>175</v>
      </c>
      <c r="K82" s="211">
        <v>276</v>
      </c>
      <c r="L82" s="110"/>
      <c r="M82" s="211">
        <v>24</v>
      </c>
      <c r="N82" s="211">
        <v>125</v>
      </c>
      <c r="O82" s="105"/>
      <c r="P82" s="205">
        <f t="shared" si="4"/>
        <v>31.95084485407066</v>
      </c>
      <c r="Q82" s="204">
        <f t="shared" si="5"/>
        <v>23.085714285714285</v>
      </c>
      <c r="R82" s="204">
        <f t="shared" si="6"/>
        <v>63.405797101449281</v>
      </c>
      <c r="S82" s="203">
        <f t="shared" si="7"/>
        <v>19.2</v>
      </c>
      <c r="T82" s="108"/>
      <c r="U82" s="109"/>
      <c r="V82" s="109"/>
    </row>
    <row r="83" spans="1:22" x14ac:dyDescent="0.2">
      <c r="A83" s="101" t="s">
        <v>202</v>
      </c>
      <c r="B83" s="102" t="s">
        <v>611</v>
      </c>
      <c r="C83" s="103" t="s">
        <v>265</v>
      </c>
      <c r="D83" s="215">
        <v>5421</v>
      </c>
      <c r="E83" s="216">
        <v>22594</v>
      </c>
      <c r="F83" s="104"/>
      <c r="G83" s="211">
        <v>4101</v>
      </c>
      <c r="H83" s="211">
        <v>19297</v>
      </c>
      <c r="I83" s="107"/>
      <c r="J83" s="211">
        <v>784</v>
      </c>
      <c r="K83" s="211">
        <v>1384</v>
      </c>
      <c r="L83" s="110"/>
      <c r="M83" s="211">
        <v>238</v>
      </c>
      <c r="N83" s="211">
        <v>833</v>
      </c>
      <c r="O83" s="105"/>
      <c r="P83" s="205">
        <f t="shared" si="4"/>
        <v>23.993095512082853</v>
      </c>
      <c r="Q83" s="204">
        <f t="shared" si="5"/>
        <v>21.25200808415816</v>
      </c>
      <c r="R83" s="204">
        <f t="shared" si="6"/>
        <v>56.647398843930638</v>
      </c>
      <c r="S83" s="203">
        <f t="shared" si="7"/>
        <v>28.571428571428569</v>
      </c>
      <c r="T83" s="108"/>
      <c r="U83" s="109"/>
      <c r="V83" s="109"/>
    </row>
    <row r="84" spans="1:22" x14ac:dyDescent="0.2">
      <c r="A84" s="101" t="s">
        <v>204</v>
      </c>
      <c r="B84" s="102" t="s">
        <v>293</v>
      </c>
      <c r="C84" s="103" t="s">
        <v>265</v>
      </c>
      <c r="D84" s="215">
        <v>1602</v>
      </c>
      <c r="E84" s="216">
        <v>5638</v>
      </c>
      <c r="F84" s="104"/>
      <c r="G84" s="211">
        <v>1357</v>
      </c>
      <c r="H84" s="211">
        <v>5119</v>
      </c>
      <c r="I84" s="107"/>
      <c r="J84" s="211">
        <v>137</v>
      </c>
      <c r="K84" s="211">
        <v>227</v>
      </c>
      <c r="L84" s="110"/>
      <c r="M84" s="211">
        <v>53</v>
      </c>
      <c r="N84" s="211">
        <v>160</v>
      </c>
      <c r="O84" s="105"/>
      <c r="P84" s="205">
        <f t="shared" si="4"/>
        <v>28.414331323164244</v>
      </c>
      <c r="Q84" s="204">
        <f t="shared" si="5"/>
        <v>26.509083805430748</v>
      </c>
      <c r="R84" s="204">
        <f t="shared" si="6"/>
        <v>60.352422907488986</v>
      </c>
      <c r="S84" s="203">
        <f t="shared" si="7"/>
        <v>33.125</v>
      </c>
      <c r="T84" s="108"/>
      <c r="U84" s="109"/>
      <c r="V84" s="109"/>
    </row>
    <row r="85" spans="1:22" x14ac:dyDescent="0.2">
      <c r="A85" s="101" t="s">
        <v>206</v>
      </c>
      <c r="B85" s="102" t="s">
        <v>294</v>
      </c>
      <c r="C85" s="103" t="s">
        <v>267</v>
      </c>
      <c r="D85" s="215">
        <v>5746</v>
      </c>
      <c r="E85" s="216">
        <v>22670</v>
      </c>
      <c r="F85" s="104"/>
      <c r="G85" s="211">
        <v>4074</v>
      </c>
      <c r="H85" s="211">
        <v>18481</v>
      </c>
      <c r="I85" s="107"/>
      <c r="J85" s="211">
        <v>513</v>
      </c>
      <c r="K85" s="211">
        <v>877</v>
      </c>
      <c r="L85" s="110"/>
      <c r="M85" s="211">
        <v>1366</v>
      </c>
      <c r="N85" s="211">
        <v>3697</v>
      </c>
      <c r="O85" s="105"/>
      <c r="P85" s="205">
        <f t="shared" si="4"/>
        <v>25.34627260696956</v>
      </c>
      <c r="Q85" s="204">
        <f t="shared" si="5"/>
        <v>22.044261674151834</v>
      </c>
      <c r="R85" s="204">
        <f t="shared" si="6"/>
        <v>58.494868871151652</v>
      </c>
      <c r="S85" s="203">
        <f t="shared" si="7"/>
        <v>36.948877468217475</v>
      </c>
      <c r="T85" s="108"/>
      <c r="U85" s="109"/>
      <c r="V85" s="109"/>
    </row>
    <row r="86" spans="1:22" x14ac:dyDescent="0.2">
      <c r="A86" s="101" t="s">
        <v>208</v>
      </c>
      <c r="B86" s="102" t="s">
        <v>209</v>
      </c>
      <c r="C86" s="103" t="s">
        <v>268</v>
      </c>
      <c r="D86" s="215">
        <v>1191</v>
      </c>
      <c r="E86" s="216">
        <v>5014</v>
      </c>
      <c r="F86" s="104"/>
      <c r="G86" s="211">
        <v>1138</v>
      </c>
      <c r="H86" s="211">
        <v>4887</v>
      </c>
      <c r="I86" s="107"/>
      <c r="J86" s="211">
        <v>6</v>
      </c>
      <c r="K86" s="211">
        <v>24</v>
      </c>
      <c r="L86" s="110"/>
      <c r="M86" s="211">
        <v>34</v>
      </c>
      <c r="N86" s="211">
        <v>83</v>
      </c>
      <c r="O86" s="105"/>
      <c r="P86" s="205">
        <f t="shared" si="4"/>
        <v>23.753490227363383</v>
      </c>
      <c r="Q86" s="204">
        <f t="shared" si="5"/>
        <v>23.286269695109475</v>
      </c>
      <c r="R86" s="204">
        <f t="shared" si="6"/>
        <v>25</v>
      </c>
      <c r="S86" s="203">
        <f t="shared" si="7"/>
        <v>40.963855421686745</v>
      </c>
      <c r="T86" s="108"/>
      <c r="U86" s="109"/>
      <c r="V86" s="109"/>
    </row>
    <row r="87" spans="1:22" x14ac:dyDescent="0.2">
      <c r="A87" s="101" t="s">
        <v>210</v>
      </c>
      <c r="B87" s="102" t="s">
        <v>211</v>
      </c>
      <c r="C87" s="103" t="s">
        <v>268</v>
      </c>
      <c r="D87" s="215">
        <v>959</v>
      </c>
      <c r="E87" s="216">
        <v>3843</v>
      </c>
      <c r="F87" s="104"/>
      <c r="G87" s="211">
        <v>910</v>
      </c>
      <c r="H87" s="211">
        <v>3735</v>
      </c>
      <c r="I87" s="107"/>
      <c r="J87" s="211">
        <v>6</v>
      </c>
      <c r="K87" s="211">
        <v>16</v>
      </c>
      <c r="L87" s="110"/>
      <c r="M87" s="211">
        <v>36</v>
      </c>
      <c r="N87" s="211">
        <v>76</v>
      </c>
      <c r="O87" s="105"/>
      <c r="P87" s="205">
        <f t="shared" si="4"/>
        <v>24.954462659380692</v>
      </c>
      <c r="Q87" s="204">
        <f t="shared" si="5"/>
        <v>24.364123159303883</v>
      </c>
      <c r="R87" s="204">
        <f t="shared" si="6"/>
        <v>37.5</v>
      </c>
      <c r="S87" s="203">
        <f t="shared" si="7"/>
        <v>47.368421052631575</v>
      </c>
      <c r="T87" s="108"/>
      <c r="U87" s="109"/>
      <c r="V87" s="109"/>
    </row>
    <row r="88" spans="1:22" x14ac:dyDescent="0.2">
      <c r="A88" s="101" t="s">
        <v>212</v>
      </c>
      <c r="B88" s="102" t="s">
        <v>213</v>
      </c>
      <c r="C88" s="103" t="s">
        <v>267</v>
      </c>
      <c r="D88" s="215">
        <v>2330</v>
      </c>
      <c r="E88" s="216">
        <v>8141</v>
      </c>
      <c r="F88" s="104"/>
      <c r="G88" s="211">
        <v>2035</v>
      </c>
      <c r="H88" s="211">
        <v>7261</v>
      </c>
      <c r="I88" s="107"/>
      <c r="J88" s="211">
        <v>66</v>
      </c>
      <c r="K88" s="211">
        <v>133</v>
      </c>
      <c r="L88" s="110"/>
      <c r="M88" s="211">
        <v>300</v>
      </c>
      <c r="N88" s="211">
        <v>869</v>
      </c>
      <c r="O88" s="105"/>
      <c r="P88" s="205">
        <f t="shared" si="4"/>
        <v>28.620562584449083</v>
      </c>
      <c r="Q88" s="204">
        <f t="shared" si="5"/>
        <v>28.026442638754993</v>
      </c>
      <c r="R88" s="204">
        <f t="shared" si="6"/>
        <v>49.624060150375939</v>
      </c>
      <c r="S88" s="203">
        <f t="shared" si="7"/>
        <v>34.522439585730723</v>
      </c>
      <c r="T88" s="108"/>
      <c r="U88" s="109"/>
      <c r="V88" s="109"/>
    </row>
    <row r="89" spans="1:22" x14ac:dyDescent="0.2">
      <c r="A89" s="101" t="s">
        <v>214</v>
      </c>
      <c r="B89" s="102" t="s">
        <v>215</v>
      </c>
      <c r="C89" s="103" t="s">
        <v>268</v>
      </c>
      <c r="D89" s="215">
        <v>1901</v>
      </c>
      <c r="E89" s="216">
        <v>5684</v>
      </c>
      <c r="F89" s="104"/>
      <c r="G89" s="211">
        <v>1714</v>
      </c>
      <c r="H89" s="211">
        <v>5361</v>
      </c>
      <c r="I89" s="107"/>
      <c r="J89" s="211">
        <v>65</v>
      </c>
      <c r="K89" s="211">
        <v>92</v>
      </c>
      <c r="L89" s="110"/>
      <c r="M89" s="211">
        <v>83</v>
      </c>
      <c r="N89" s="211">
        <v>166</v>
      </c>
      <c r="O89" s="105"/>
      <c r="P89" s="205">
        <f t="shared" si="4"/>
        <v>33.444757213230119</v>
      </c>
      <c r="Q89" s="204">
        <f t="shared" si="5"/>
        <v>31.971647080768513</v>
      </c>
      <c r="R89" s="204">
        <f t="shared" si="6"/>
        <v>70.652173913043484</v>
      </c>
      <c r="S89" s="203">
        <f t="shared" si="7"/>
        <v>50</v>
      </c>
      <c r="T89" s="108"/>
      <c r="U89" s="109"/>
      <c r="V89" s="109"/>
    </row>
    <row r="90" spans="1:22" x14ac:dyDescent="0.2">
      <c r="A90" s="101" t="s">
        <v>216</v>
      </c>
      <c r="B90" s="102" t="s">
        <v>217</v>
      </c>
      <c r="C90" s="103" t="s">
        <v>264</v>
      </c>
      <c r="D90" s="215">
        <v>1022</v>
      </c>
      <c r="E90" s="216">
        <v>3228</v>
      </c>
      <c r="F90" s="104"/>
      <c r="G90" s="211">
        <v>421</v>
      </c>
      <c r="H90" s="211">
        <v>2128</v>
      </c>
      <c r="I90" s="107"/>
      <c r="J90" s="211">
        <v>534</v>
      </c>
      <c r="K90" s="211">
        <v>937</v>
      </c>
      <c r="L90" s="110"/>
      <c r="M90" s="211">
        <v>29</v>
      </c>
      <c r="N90" s="211">
        <v>75</v>
      </c>
      <c r="O90" s="105"/>
      <c r="P90" s="205">
        <f t="shared" si="4"/>
        <v>31.660470879801732</v>
      </c>
      <c r="Q90" s="204">
        <f t="shared" si="5"/>
        <v>19.783834586466163</v>
      </c>
      <c r="R90" s="204">
        <f t="shared" si="6"/>
        <v>56.990394877267882</v>
      </c>
      <c r="S90" s="203">
        <f t="shared" si="7"/>
        <v>38.666666666666664</v>
      </c>
      <c r="T90" s="108"/>
      <c r="U90" s="109"/>
      <c r="V90" s="109"/>
    </row>
    <row r="91" spans="1:22" x14ac:dyDescent="0.2">
      <c r="A91" s="101" t="s">
        <v>218</v>
      </c>
      <c r="B91" s="102" t="s">
        <v>219</v>
      </c>
      <c r="C91" s="103" t="s">
        <v>267</v>
      </c>
      <c r="D91" s="215">
        <v>6530</v>
      </c>
      <c r="E91" s="216">
        <v>29736</v>
      </c>
      <c r="F91" s="104"/>
      <c r="G91" s="211">
        <v>3861</v>
      </c>
      <c r="H91" s="211">
        <v>21338</v>
      </c>
      <c r="I91" s="107"/>
      <c r="J91" s="211">
        <v>1756</v>
      </c>
      <c r="K91" s="211">
        <v>4503</v>
      </c>
      <c r="L91" s="110"/>
      <c r="M91" s="211">
        <v>686</v>
      </c>
      <c r="N91" s="211">
        <v>2924</v>
      </c>
      <c r="O91" s="105"/>
      <c r="P91" s="205">
        <f t="shared" si="4"/>
        <v>21.959913909066451</v>
      </c>
      <c r="Q91" s="204">
        <f t="shared" si="5"/>
        <v>18.094479332645982</v>
      </c>
      <c r="R91" s="204">
        <f t="shared" si="6"/>
        <v>38.996224739062846</v>
      </c>
      <c r="S91" s="203">
        <f t="shared" si="7"/>
        <v>23.461012311901506</v>
      </c>
      <c r="T91" s="108"/>
      <c r="U91" s="109"/>
      <c r="V91" s="109"/>
    </row>
    <row r="92" spans="1:22" x14ac:dyDescent="0.2">
      <c r="A92" s="101" t="s">
        <v>220</v>
      </c>
      <c r="B92" s="102" t="s">
        <v>221</v>
      </c>
      <c r="C92" s="103" t="s">
        <v>267</v>
      </c>
      <c r="D92" s="215">
        <v>6789</v>
      </c>
      <c r="E92" s="216">
        <v>33357</v>
      </c>
      <c r="F92" s="104"/>
      <c r="G92" s="211">
        <v>3655</v>
      </c>
      <c r="H92" s="211">
        <v>22763</v>
      </c>
      <c r="I92" s="107"/>
      <c r="J92" s="211">
        <v>2028</v>
      </c>
      <c r="K92" s="211">
        <v>5715</v>
      </c>
      <c r="L92" s="110"/>
      <c r="M92" s="211">
        <v>841</v>
      </c>
      <c r="N92" s="211">
        <v>4030</v>
      </c>
      <c r="O92" s="105"/>
      <c r="P92" s="205">
        <f t="shared" si="4"/>
        <v>20.352549689720298</v>
      </c>
      <c r="Q92" s="204">
        <f t="shared" si="5"/>
        <v>16.056758775205378</v>
      </c>
      <c r="R92" s="204">
        <f t="shared" si="6"/>
        <v>35.485564304461938</v>
      </c>
      <c r="S92" s="203">
        <f t="shared" si="7"/>
        <v>20.868486352357323</v>
      </c>
      <c r="T92" s="108"/>
      <c r="U92" s="109"/>
      <c r="V92" s="109"/>
    </row>
    <row r="93" spans="1:22" x14ac:dyDescent="0.2">
      <c r="A93" s="101" t="s">
        <v>224</v>
      </c>
      <c r="B93" s="102" t="s">
        <v>225</v>
      </c>
      <c r="C93" s="103" t="s">
        <v>264</v>
      </c>
      <c r="D93" s="215">
        <v>346</v>
      </c>
      <c r="E93" s="216">
        <v>1149</v>
      </c>
      <c r="F93" s="104"/>
      <c r="G93" s="211">
        <v>122</v>
      </c>
      <c r="H93" s="211">
        <v>613</v>
      </c>
      <c r="I93" s="107"/>
      <c r="J93" s="211">
        <v>194</v>
      </c>
      <c r="K93" s="211">
        <v>484</v>
      </c>
      <c r="L93" s="110"/>
      <c r="M93" s="211">
        <v>12</v>
      </c>
      <c r="N93" s="211">
        <v>19</v>
      </c>
      <c r="O93" s="105"/>
      <c r="P93" s="205">
        <f t="shared" si="4"/>
        <v>30.113141862489123</v>
      </c>
      <c r="Q93" s="204">
        <f t="shared" si="5"/>
        <v>19.902120717781401</v>
      </c>
      <c r="R93" s="204">
        <f t="shared" si="6"/>
        <v>40.082644628099175</v>
      </c>
      <c r="S93" s="203">
        <f t="shared" si="7"/>
        <v>63.157894736842103</v>
      </c>
      <c r="T93" s="108"/>
      <c r="U93" s="109"/>
      <c r="V93" s="109"/>
    </row>
    <row r="94" spans="1:22" x14ac:dyDescent="0.2">
      <c r="A94" s="101" t="s">
        <v>226</v>
      </c>
      <c r="B94" s="102" t="s">
        <v>227</v>
      </c>
      <c r="C94" s="103" t="s">
        <v>264</v>
      </c>
      <c r="D94" s="215">
        <v>725</v>
      </c>
      <c r="E94" s="216">
        <v>1634</v>
      </c>
      <c r="F94" s="104"/>
      <c r="G94" s="211">
        <v>174</v>
      </c>
      <c r="H94" s="211">
        <v>692</v>
      </c>
      <c r="I94" s="107"/>
      <c r="J94" s="211">
        <v>530</v>
      </c>
      <c r="K94" s="211">
        <v>881</v>
      </c>
      <c r="L94" s="110"/>
      <c r="M94" s="211">
        <v>18</v>
      </c>
      <c r="N94" s="211">
        <v>56</v>
      </c>
      <c r="O94" s="105"/>
      <c r="P94" s="205">
        <f t="shared" si="4"/>
        <v>44.369645042839657</v>
      </c>
      <c r="Q94" s="204">
        <f t="shared" si="5"/>
        <v>25.144508670520231</v>
      </c>
      <c r="R94" s="204">
        <f t="shared" si="6"/>
        <v>60.158910329171398</v>
      </c>
      <c r="S94" s="203">
        <f t="shared" si="7"/>
        <v>32.142857142857146</v>
      </c>
      <c r="T94" s="108"/>
      <c r="U94" s="109"/>
      <c r="V94" s="109"/>
    </row>
    <row r="95" spans="1:22" x14ac:dyDescent="0.2">
      <c r="A95" s="101" t="s">
        <v>228</v>
      </c>
      <c r="B95" s="102" t="s">
        <v>229</v>
      </c>
      <c r="C95" s="103" t="s">
        <v>268</v>
      </c>
      <c r="D95" s="215">
        <v>2116</v>
      </c>
      <c r="E95" s="216">
        <v>7837</v>
      </c>
      <c r="F95" s="104"/>
      <c r="G95" s="211">
        <v>1916</v>
      </c>
      <c r="H95" s="211">
        <v>7392</v>
      </c>
      <c r="I95" s="107"/>
      <c r="J95" s="211">
        <v>88</v>
      </c>
      <c r="K95" s="211">
        <v>160</v>
      </c>
      <c r="L95" s="110"/>
      <c r="M95" s="211">
        <v>19</v>
      </c>
      <c r="N95" s="211">
        <v>75</v>
      </c>
      <c r="O95" s="105"/>
      <c r="P95" s="205">
        <f t="shared" si="4"/>
        <v>27.000127599846881</v>
      </c>
      <c r="Q95" s="204">
        <f t="shared" si="5"/>
        <v>25.919913419913421</v>
      </c>
      <c r="R95" s="204">
        <f t="shared" si="6"/>
        <v>55.000000000000007</v>
      </c>
      <c r="S95" s="203">
        <f t="shared" si="7"/>
        <v>25.333333333333336</v>
      </c>
      <c r="T95" s="108"/>
      <c r="U95" s="109"/>
      <c r="V95" s="109"/>
    </row>
    <row r="96" spans="1:22" x14ac:dyDescent="0.2">
      <c r="A96" s="101" t="s">
        <v>232</v>
      </c>
      <c r="B96" s="102" t="s">
        <v>233</v>
      </c>
      <c r="C96" s="103" t="s">
        <v>267</v>
      </c>
      <c r="D96" s="215">
        <v>2070</v>
      </c>
      <c r="E96" s="216">
        <v>7925</v>
      </c>
      <c r="F96" s="104"/>
      <c r="G96" s="211">
        <v>1704</v>
      </c>
      <c r="H96" s="211">
        <v>7018</v>
      </c>
      <c r="I96" s="107"/>
      <c r="J96" s="211">
        <v>144</v>
      </c>
      <c r="K96" s="211">
        <v>291</v>
      </c>
      <c r="L96" s="110"/>
      <c r="M96" s="211">
        <v>143</v>
      </c>
      <c r="N96" s="211">
        <v>441</v>
      </c>
      <c r="O96" s="105"/>
      <c r="P96" s="205">
        <f t="shared" si="4"/>
        <v>26.119873817034701</v>
      </c>
      <c r="Q96" s="204">
        <f t="shared" si="5"/>
        <v>24.280421772584781</v>
      </c>
      <c r="R96" s="204">
        <f t="shared" si="6"/>
        <v>49.484536082474229</v>
      </c>
      <c r="S96" s="203">
        <f t="shared" si="7"/>
        <v>32.426303854875286</v>
      </c>
      <c r="T96" s="108"/>
      <c r="U96" s="109"/>
      <c r="V96" s="109"/>
    </row>
    <row r="97" spans="1:22" x14ac:dyDescent="0.2">
      <c r="A97" s="101" t="s">
        <v>234</v>
      </c>
      <c r="B97" s="102" t="s">
        <v>235</v>
      </c>
      <c r="C97" s="103" t="s">
        <v>268</v>
      </c>
      <c r="D97" s="215">
        <v>2248</v>
      </c>
      <c r="E97" s="216">
        <v>9297</v>
      </c>
      <c r="F97" s="104"/>
      <c r="G97" s="211">
        <v>2095</v>
      </c>
      <c r="H97" s="211">
        <v>8962</v>
      </c>
      <c r="I97" s="107"/>
      <c r="J97" s="211">
        <v>53</v>
      </c>
      <c r="K97" s="211">
        <v>84</v>
      </c>
      <c r="L97" s="110"/>
      <c r="M97" s="211">
        <v>79</v>
      </c>
      <c r="N97" s="211">
        <v>201</v>
      </c>
      <c r="O97" s="105"/>
      <c r="P97" s="205">
        <f t="shared" si="4"/>
        <v>24.179842960094653</v>
      </c>
      <c r="Q97" s="204">
        <f t="shared" si="5"/>
        <v>23.37647846462843</v>
      </c>
      <c r="R97" s="204">
        <f t="shared" si="6"/>
        <v>63.095238095238095</v>
      </c>
      <c r="S97" s="203">
        <f t="shared" si="7"/>
        <v>39.303482587064678</v>
      </c>
      <c r="T97" s="108"/>
      <c r="U97" s="109"/>
      <c r="V97" s="109"/>
    </row>
    <row r="98" spans="1:22" x14ac:dyDescent="0.2">
      <c r="A98" s="101" t="s">
        <v>236</v>
      </c>
      <c r="B98" s="102" t="s">
        <v>237</v>
      </c>
      <c r="C98" s="103" t="s">
        <v>266</v>
      </c>
      <c r="D98" s="215">
        <v>1006</v>
      </c>
      <c r="E98" s="216">
        <v>2739</v>
      </c>
      <c r="F98" s="104"/>
      <c r="G98" s="211">
        <v>433</v>
      </c>
      <c r="H98" s="211">
        <v>1603</v>
      </c>
      <c r="I98" s="107"/>
      <c r="J98" s="211">
        <v>458</v>
      </c>
      <c r="K98" s="211">
        <v>793</v>
      </c>
      <c r="L98" s="110"/>
      <c r="M98" s="211">
        <v>68</v>
      </c>
      <c r="N98" s="211">
        <v>302</v>
      </c>
      <c r="O98" s="105"/>
      <c r="P98" s="205">
        <f t="shared" si="4"/>
        <v>36.728733114275279</v>
      </c>
      <c r="Q98" s="204">
        <f t="shared" si="5"/>
        <v>27.011852776044915</v>
      </c>
      <c r="R98" s="204">
        <f t="shared" si="6"/>
        <v>57.755359394703653</v>
      </c>
      <c r="S98" s="203">
        <f t="shared" si="7"/>
        <v>22.516556291390728</v>
      </c>
      <c r="T98" s="108"/>
      <c r="U98" s="109"/>
      <c r="V98" s="109"/>
    </row>
    <row r="99" spans="1:22" x14ac:dyDescent="0.2">
      <c r="A99" s="101" t="s">
        <v>242</v>
      </c>
      <c r="B99" s="102" t="s">
        <v>243</v>
      </c>
      <c r="C99" s="103" t="s">
        <v>268</v>
      </c>
      <c r="D99" s="215">
        <v>2271</v>
      </c>
      <c r="E99" s="216">
        <v>7274</v>
      </c>
      <c r="F99" s="104"/>
      <c r="G99" s="211">
        <v>2128</v>
      </c>
      <c r="H99" s="211">
        <v>6976</v>
      </c>
      <c r="I99" s="107"/>
      <c r="J99" s="211">
        <v>47</v>
      </c>
      <c r="K99" s="211">
        <v>89</v>
      </c>
      <c r="L99" s="110"/>
      <c r="M99" s="211">
        <v>41</v>
      </c>
      <c r="N99" s="211">
        <v>121</v>
      </c>
      <c r="O99" s="105"/>
      <c r="P99" s="205">
        <f t="shared" si="4"/>
        <v>31.220786362386583</v>
      </c>
      <c r="Q99" s="204">
        <f t="shared" si="5"/>
        <v>30.504587155963304</v>
      </c>
      <c r="R99" s="204">
        <f t="shared" si="6"/>
        <v>52.80898876404494</v>
      </c>
      <c r="S99" s="203">
        <f t="shared" si="7"/>
        <v>33.884297520661157</v>
      </c>
      <c r="T99" s="108"/>
      <c r="U99" s="109"/>
      <c r="V99" s="109"/>
    </row>
    <row r="100" spans="1:22" x14ac:dyDescent="0.2">
      <c r="A100" s="101" t="s">
        <v>244</v>
      </c>
      <c r="B100" s="102" t="s">
        <v>245</v>
      </c>
      <c r="C100" s="103" t="s">
        <v>268</v>
      </c>
      <c r="D100" s="215">
        <v>1508</v>
      </c>
      <c r="E100" s="216">
        <v>5325</v>
      </c>
      <c r="F100" s="104"/>
      <c r="G100" s="211">
        <v>1326</v>
      </c>
      <c r="H100" s="211">
        <v>4963</v>
      </c>
      <c r="I100" s="107"/>
      <c r="J100" s="211">
        <v>94</v>
      </c>
      <c r="K100" s="211">
        <v>149</v>
      </c>
      <c r="L100" s="110"/>
      <c r="M100" s="211">
        <v>22</v>
      </c>
      <c r="N100" s="211">
        <v>83</v>
      </c>
      <c r="O100" s="105"/>
      <c r="P100" s="205">
        <f t="shared" si="4"/>
        <v>28.319248826291084</v>
      </c>
      <c r="Q100" s="204">
        <f t="shared" si="5"/>
        <v>26.717711061857745</v>
      </c>
      <c r="R100" s="204">
        <f t="shared" si="6"/>
        <v>63.087248322147651</v>
      </c>
      <c r="S100" s="203">
        <f t="shared" si="7"/>
        <v>26.506024096385545</v>
      </c>
      <c r="T100" s="108"/>
      <c r="U100" s="109"/>
      <c r="V100" s="109"/>
    </row>
    <row r="101" spans="1:22" x14ac:dyDescent="0.2">
      <c r="A101" s="101" t="s">
        <v>246</v>
      </c>
      <c r="B101" s="102" t="s">
        <v>247</v>
      </c>
      <c r="C101" s="103" t="s">
        <v>264</v>
      </c>
      <c r="D101" s="215">
        <v>3643</v>
      </c>
      <c r="E101" s="216">
        <v>18746</v>
      </c>
      <c r="F101" s="104"/>
      <c r="G101" s="211">
        <v>2415</v>
      </c>
      <c r="H101" s="211">
        <v>14197</v>
      </c>
      <c r="I101" s="107"/>
      <c r="J101" s="211">
        <v>762</v>
      </c>
      <c r="K101" s="211">
        <v>1988</v>
      </c>
      <c r="L101" s="110"/>
      <c r="M101" s="211">
        <v>268</v>
      </c>
      <c r="N101" s="211">
        <v>1170</v>
      </c>
      <c r="O101" s="105"/>
      <c r="P101" s="205">
        <f t="shared" si="4"/>
        <v>19.433479142217006</v>
      </c>
      <c r="Q101" s="204">
        <f t="shared" si="5"/>
        <v>17.010636049869689</v>
      </c>
      <c r="R101" s="204">
        <f t="shared" si="6"/>
        <v>38.329979879275655</v>
      </c>
      <c r="S101" s="203">
        <f t="shared" si="7"/>
        <v>22.905982905982906</v>
      </c>
      <c r="T101" s="108"/>
      <c r="U101" s="109"/>
      <c r="V101" s="109"/>
    </row>
    <row r="102" spans="1:22" x14ac:dyDescent="0.2">
      <c r="A102" s="101" t="s">
        <v>14</v>
      </c>
      <c r="B102" s="102" t="s">
        <v>15</v>
      </c>
      <c r="C102" s="103" t="s">
        <v>267</v>
      </c>
      <c r="D102" s="215">
        <v>6099</v>
      </c>
      <c r="E102" s="216">
        <v>21259</v>
      </c>
      <c r="F102" s="104"/>
      <c r="G102" s="211">
        <v>1819</v>
      </c>
      <c r="H102" s="211">
        <v>11110</v>
      </c>
      <c r="I102" s="107"/>
      <c r="J102" s="211">
        <v>2819</v>
      </c>
      <c r="K102" s="211">
        <v>5285</v>
      </c>
      <c r="L102" s="110"/>
      <c r="M102" s="211">
        <v>1768</v>
      </c>
      <c r="N102" s="211">
        <v>4639</v>
      </c>
      <c r="O102" s="105"/>
      <c r="P102" s="205">
        <f t="shared" si="4"/>
        <v>28.689025824356744</v>
      </c>
      <c r="Q102" s="204">
        <f t="shared" si="5"/>
        <v>16.372637263726372</v>
      </c>
      <c r="R102" s="204">
        <f t="shared" si="6"/>
        <v>53.33964049195837</v>
      </c>
      <c r="S102" s="203">
        <f t="shared" si="7"/>
        <v>38.111661996119857</v>
      </c>
      <c r="T102" s="108"/>
      <c r="U102" s="109"/>
      <c r="V102" s="109"/>
    </row>
    <row r="103" spans="1:22" x14ac:dyDescent="0.2">
      <c r="A103" s="101" t="s">
        <v>34</v>
      </c>
      <c r="B103" s="102" t="s">
        <v>35</v>
      </c>
      <c r="C103" s="103" t="s">
        <v>268</v>
      </c>
      <c r="D103" s="215">
        <v>1324</v>
      </c>
      <c r="E103" s="216">
        <v>3160</v>
      </c>
      <c r="F103" s="104"/>
      <c r="G103" s="211">
        <v>1051</v>
      </c>
      <c r="H103" s="211">
        <v>2720</v>
      </c>
      <c r="I103" s="107"/>
      <c r="J103" s="211">
        <v>138</v>
      </c>
      <c r="K103" s="211">
        <v>212</v>
      </c>
      <c r="L103" s="110"/>
      <c r="M103" s="211">
        <v>44</v>
      </c>
      <c r="N103" s="211">
        <v>67</v>
      </c>
      <c r="O103" s="105"/>
      <c r="P103" s="205">
        <f t="shared" si="4"/>
        <v>41.898734177215189</v>
      </c>
      <c r="Q103" s="204">
        <f t="shared" si="5"/>
        <v>38.639705882352942</v>
      </c>
      <c r="R103" s="204">
        <f t="shared" si="6"/>
        <v>65.094339622641513</v>
      </c>
      <c r="S103" s="203">
        <f t="shared" si="7"/>
        <v>65.671641791044777</v>
      </c>
      <c r="T103" s="108"/>
      <c r="U103" s="109"/>
      <c r="V103" s="109"/>
    </row>
    <row r="104" spans="1:22" x14ac:dyDescent="0.2">
      <c r="A104" s="101" t="s">
        <v>52</v>
      </c>
      <c r="B104" s="102" t="s">
        <v>53</v>
      </c>
      <c r="C104" s="103" t="s">
        <v>265</v>
      </c>
      <c r="D104" s="215">
        <v>2163</v>
      </c>
      <c r="E104" s="216">
        <v>5586</v>
      </c>
      <c r="F104" s="104"/>
      <c r="G104" s="211">
        <v>660</v>
      </c>
      <c r="H104" s="211">
        <v>3177</v>
      </c>
      <c r="I104" s="107"/>
      <c r="J104" s="211">
        <v>1258</v>
      </c>
      <c r="K104" s="211">
        <v>1629</v>
      </c>
      <c r="L104" s="110"/>
      <c r="M104" s="211">
        <v>160</v>
      </c>
      <c r="N104" s="211">
        <v>429</v>
      </c>
      <c r="O104" s="105"/>
      <c r="P104" s="205">
        <f t="shared" si="4"/>
        <v>38.721804511278194</v>
      </c>
      <c r="Q104" s="204">
        <f t="shared" si="5"/>
        <v>20.774315391879131</v>
      </c>
      <c r="R104" s="204">
        <f t="shared" si="6"/>
        <v>77.225291589932482</v>
      </c>
      <c r="S104" s="203">
        <f t="shared" si="7"/>
        <v>37.296037296037298</v>
      </c>
      <c r="T104" s="108"/>
      <c r="U104" s="109"/>
      <c r="V104" s="109"/>
    </row>
    <row r="105" spans="1:22" x14ac:dyDescent="0.2">
      <c r="A105" s="101" t="s">
        <v>54</v>
      </c>
      <c r="B105" s="102" t="s">
        <v>55</v>
      </c>
      <c r="C105" s="103" t="s">
        <v>264</v>
      </c>
      <c r="D105" s="215">
        <v>14601</v>
      </c>
      <c r="E105" s="216">
        <v>50056</v>
      </c>
      <c r="F105" s="104"/>
      <c r="G105" s="211">
        <v>5508</v>
      </c>
      <c r="H105" s="211">
        <v>29895</v>
      </c>
      <c r="I105" s="107"/>
      <c r="J105" s="211">
        <v>7658</v>
      </c>
      <c r="K105" s="211">
        <v>14588</v>
      </c>
      <c r="L105" s="110"/>
      <c r="M105" s="211">
        <v>917</v>
      </c>
      <c r="N105" s="211">
        <v>3205</v>
      </c>
      <c r="O105" s="105"/>
      <c r="P105" s="205">
        <f t="shared" si="4"/>
        <v>29.169330350007993</v>
      </c>
      <c r="Q105" s="204">
        <f t="shared" si="5"/>
        <v>18.424485699949823</v>
      </c>
      <c r="R105" s="204">
        <f t="shared" si="6"/>
        <v>52.495201535508642</v>
      </c>
      <c r="S105" s="203">
        <f t="shared" si="7"/>
        <v>28.611544461778472</v>
      </c>
      <c r="T105" s="108"/>
      <c r="U105" s="109"/>
      <c r="V105" s="109"/>
    </row>
    <row r="106" spans="1:22" x14ac:dyDescent="0.2">
      <c r="A106" s="101" t="s">
        <v>66</v>
      </c>
      <c r="B106" s="102" t="s">
        <v>67</v>
      </c>
      <c r="C106" s="103" t="s">
        <v>265</v>
      </c>
      <c r="D106" s="215">
        <v>4439</v>
      </c>
      <c r="E106" s="216">
        <v>7583</v>
      </c>
      <c r="F106" s="104"/>
      <c r="G106" s="211">
        <v>870</v>
      </c>
      <c r="H106" s="211">
        <v>2468</v>
      </c>
      <c r="I106" s="107"/>
      <c r="J106" s="211">
        <v>3318</v>
      </c>
      <c r="K106" s="211">
        <v>4519</v>
      </c>
      <c r="L106" s="110"/>
      <c r="M106" s="211">
        <v>139</v>
      </c>
      <c r="N106" s="211">
        <v>421</v>
      </c>
      <c r="O106" s="105"/>
      <c r="P106" s="205">
        <f t="shared" si="4"/>
        <v>58.538836871950416</v>
      </c>
      <c r="Q106" s="204">
        <f t="shared" si="5"/>
        <v>35.25121555915721</v>
      </c>
      <c r="R106" s="204">
        <f t="shared" si="6"/>
        <v>73.423323744191194</v>
      </c>
      <c r="S106" s="203">
        <f t="shared" si="7"/>
        <v>33.016627078384801</v>
      </c>
      <c r="T106" s="108"/>
      <c r="U106" s="109"/>
      <c r="V106" s="109"/>
    </row>
    <row r="107" spans="1:22" x14ac:dyDescent="0.2">
      <c r="A107" s="101" t="s">
        <v>82</v>
      </c>
      <c r="B107" s="102" t="s">
        <v>311</v>
      </c>
      <c r="C107" s="103" t="s">
        <v>264</v>
      </c>
      <c r="D107" s="215">
        <v>919</v>
      </c>
      <c r="E107" s="216">
        <v>1745</v>
      </c>
      <c r="F107" s="104"/>
      <c r="G107" s="211">
        <v>104</v>
      </c>
      <c r="H107" s="211">
        <v>535</v>
      </c>
      <c r="I107" s="107"/>
      <c r="J107" s="211">
        <v>767</v>
      </c>
      <c r="K107" s="211">
        <v>1085</v>
      </c>
      <c r="L107" s="110"/>
      <c r="M107" s="211">
        <v>17</v>
      </c>
      <c r="N107" s="211">
        <v>51</v>
      </c>
      <c r="O107" s="105"/>
      <c r="P107" s="205">
        <f t="shared" si="4"/>
        <v>52.664756446991404</v>
      </c>
      <c r="Q107" s="204">
        <f t="shared" si="5"/>
        <v>19.439252336448597</v>
      </c>
      <c r="R107" s="204">
        <f t="shared" si="6"/>
        <v>70.691244239631331</v>
      </c>
      <c r="S107" s="203">
        <f t="shared" si="7"/>
        <v>33.333333333333329</v>
      </c>
      <c r="T107" s="108"/>
      <c r="U107" s="109"/>
      <c r="V107" s="109"/>
    </row>
    <row r="108" spans="1:22" x14ac:dyDescent="0.2">
      <c r="A108" s="101" t="s">
        <v>88</v>
      </c>
      <c r="B108" s="102" t="s">
        <v>89</v>
      </c>
      <c r="C108" s="103" t="s">
        <v>267</v>
      </c>
      <c r="D108" s="215">
        <v>1818</v>
      </c>
      <c r="E108" s="216">
        <v>4129</v>
      </c>
      <c r="F108" s="104"/>
      <c r="G108" s="211">
        <v>613</v>
      </c>
      <c r="H108" s="211">
        <v>1974</v>
      </c>
      <c r="I108" s="107"/>
      <c r="J108" s="211">
        <v>857</v>
      </c>
      <c r="K108" s="211">
        <v>1294</v>
      </c>
      <c r="L108" s="110"/>
      <c r="M108" s="211">
        <v>282</v>
      </c>
      <c r="N108" s="211">
        <v>689</v>
      </c>
      <c r="O108" s="105"/>
      <c r="P108" s="205">
        <f t="shared" si="4"/>
        <v>44.030031484620977</v>
      </c>
      <c r="Q108" s="204">
        <f t="shared" si="5"/>
        <v>31.053698074974672</v>
      </c>
      <c r="R108" s="204">
        <f t="shared" si="6"/>
        <v>66.228748068006183</v>
      </c>
      <c r="S108" s="203">
        <f t="shared" si="7"/>
        <v>40.9288824383164</v>
      </c>
      <c r="T108" s="108"/>
      <c r="U108" s="109"/>
      <c r="V108" s="109"/>
    </row>
    <row r="109" spans="1:22" x14ac:dyDescent="0.2">
      <c r="A109" s="101" t="s">
        <v>90</v>
      </c>
      <c r="B109" s="102" t="s">
        <v>91</v>
      </c>
      <c r="C109" s="103" t="s">
        <v>268</v>
      </c>
      <c r="D109" s="215">
        <v>524</v>
      </c>
      <c r="E109" s="216">
        <v>1339</v>
      </c>
      <c r="F109" s="104"/>
      <c r="G109" s="211">
        <v>356</v>
      </c>
      <c r="H109" s="211">
        <v>1010</v>
      </c>
      <c r="I109" s="107"/>
      <c r="J109" s="211">
        <v>67</v>
      </c>
      <c r="K109" s="211">
        <v>104</v>
      </c>
      <c r="L109" s="110"/>
      <c r="M109" s="211">
        <v>156</v>
      </c>
      <c r="N109" s="211">
        <v>385</v>
      </c>
      <c r="O109" s="105"/>
      <c r="P109" s="205">
        <f t="shared" si="4"/>
        <v>39.133681852128454</v>
      </c>
      <c r="Q109" s="204">
        <f t="shared" si="5"/>
        <v>35.247524752475243</v>
      </c>
      <c r="R109" s="204">
        <f t="shared" si="6"/>
        <v>64.423076923076934</v>
      </c>
      <c r="S109" s="203">
        <f t="shared" si="7"/>
        <v>40.519480519480524</v>
      </c>
      <c r="T109" s="108"/>
      <c r="U109" s="109"/>
      <c r="V109" s="109"/>
    </row>
    <row r="110" spans="1:22" x14ac:dyDescent="0.2">
      <c r="A110" s="101" t="s">
        <v>106</v>
      </c>
      <c r="B110" s="102" t="s">
        <v>107</v>
      </c>
      <c r="C110" s="103" t="s">
        <v>264</v>
      </c>
      <c r="D110" s="215">
        <v>11547</v>
      </c>
      <c r="E110" s="216">
        <v>26282</v>
      </c>
      <c r="F110" s="104"/>
      <c r="G110" s="211">
        <v>2332</v>
      </c>
      <c r="H110" s="211">
        <v>9333</v>
      </c>
      <c r="I110" s="107"/>
      <c r="J110" s="211">
        <v>8024</v>
      </c>
      <c r="K110" s="211">
        <v>13815</v>
      </c>
      <c r="L110" s="110"/>
      <c r="M110" s="211">
        <v>695</v>
      </c>
      <c r="N110" s="211">
        <v>1857</v>
      </c>
      <c r="O110" s="105"/>
      <c r="P110" s="205">
        <f t="shared" si="4"/>
        <v>43.935012556122061</v>
      </c>
      <c r="Q110" s="204">
        <f t="shared" si="5"/>
        <v>24.986606664523734</v>
      </c>
      <c r="R110" s="204">
        <f t="shared" si="6"/>
        <v>58.081795150199056</v>
      </c>
      <c r="S110" s="203">
        <f t="shared" si="7"/>
        <v>37.425955842757133</v>
      </c>
      <c r="T110" s="108"/>
      <c r="U110" s="109"/>
      <c r="V110" s="109"/>
    </row>
    <row r="111" spans="1:22" x14ac:dyDescent="0.2">
      <c r="A111" s="101" t="s">
        <v>116</v>
      </c>
      <c r="B111" s="102" t="s">
        <v>117</v>
      </c>
      <c r="C111" s="103" t="s">
        <v>266</v>
      </c>
      <c r="D111" s="215">
        <v>2546</v>
      </c>
      <c r="E111" s="216">
        <v>4601</v>
      </c>
      <c r="F111" s="104"/>
      <c r="G111" s="211">
        <v>722</v>
      </c>
      <c r="H111" s="211">
        <v>1938</v>
      </c>
      <c r="I111" s="107"/>
      <c r="J111" s="211">
        <v>1574</v>
      </c>
      <c r="K111" s="211">
        <v>2141</v>
      </c>
      <c r="L111" s="110"/>
      <c r="M111" s="211">
        <v>162</v>
      </c>
      <c r="N111" s="211">
        <v>417</v>
      </c>
      <c r="O111" s="105"/>
      <c r="P111" s="205">
        <f t="shared" si="4"/>
        <v>55.335796565963925</v>
      </c>
      <c r="Q111" s="204">
        <f t="shared" si="5"/>
        <v>37.254901960784316</v>
      </c>
      <c r="R111" s="204">
        <f t="shared" si="6"/>
        <v>73.517048108360584</v>
      </c>
      <c r="S111" s="203">
        <f t="shared" si="7"/>
        <v>38.848920863309353</v>
      </c>
      <c r="T111" s="108"/>
      <c r="U111" s="109"/>
      <c r="V111" s="109"/>
    </row>
    <row r="112" spans="1:22" x14ac:dyDescent="0.2">
      <c r="A112" s="101" t="s">
        <v>138</v>
      </c>
      <c r="B112" s="102" t="s">
        <v>139</v>
      </c>
      <c r="C112" s="103" t="s">
        <v>265</v>
      </c>
      <c r="D112" s="215">
        <v>5474</v>
      </c>
      <c r="E112" s="216">
        <v>12801</v>
      </c>
      <c r="F112" s="104"/>
      <c r="G112" s="211">
        <v>1492</v>
      </c>
      <c r="H112" s="211">
        <v>6542</v>
      </c>
      <c r="I112" s="107"/>
      <c r="J112" s="211">
        <v>3493</v>
      </c>
      <c r="K112" s="211">
        <v>4881</v>
      </c>
      <c r="L112" s="110"/>
      <c r="M112" s="211">
        <v>194</v>
      </c>
      <c r="N112" s="211">
        <v>518</v>
      </c>
      <c r="O112" s="105"/>
      <c r="P112" s="205">
        <f t="shared" si="4"/>
        <v>42.762284196547142</v>
      </c>
      <c r="Q112" s="204">
        <f t="shared" si="5"/>
        <v>22.806481198410271</v>
      </c>
      <c r="R112" s="204">
        <f t="shared" si="6"/>
        <v>71.563204261421845</v>
      </c>
      <c r="S112" s="203">
        <f t="shared" si="7"/>
        <v>37.451737451737451</v>
      </c>
      <c r="T112" s="108"/>
      <c r="U112" s="109"/>
      <c r="V112" s="109"/>
    </row>
    <row r="113" spans="1:22" x14ac:dyDescent="0.2">
      <c r="A113" s="101" t="s">
        <v>142</v>
      </c>
      <c r="B113" s="102" t="s">
        <v>143</v>
      </c>
      <c r="C113" s="103" t="s">
        <v>267</v>
      </c>
      <c r="D113" s="215">
        <v>2509</v>
      </c>
      <c r="E113" s="216">
        <v>9107</v>
      </c>
      <c r="F113" s="104"/>
      <c r="G113" s="211">
        <v>1103</v>
      </c>
      <c r="H113" s="211">
        <v>5076</v>
      </c>
      <c r="I113" s="107"/>
      <c r="J113" s="211">
        <v>606</v>
      </c>
      <c r="K113" s="211">
        <v>1202</v>
      </c>
      <c r="L113" s="110"/>
      <c r="M113" s="211">
        <v>956</v>
      </c>
      <c r="N113" s="211">
        <v>3653</v>
      </c>
      <c r="O113" s="105"/>
      <c r="P113" s="205">
        <f t="shared" si="4"/>
        <v>27.550236082134621</v>
      </c>
      <c r="Q113" s="204">
        <f t="shared" si="5"/>
        <v>21.729708431836091</v>
      </c>
      <c r="R113" s="204">
        <f t="shared" si="6"/>
        <v>50.415973377703828</v>
      </c>
      <c r="S113" s="203">
        <f t="shared" si="7"/>
        <v>26.170271010128658</v>
      </c>
      <c r="T113" s="108"/>
      <c r="U113" s="109"/>
      <c r="V113" s="109"/>
    </row>
    <row r="114" spans="1:22" x14ac:dyDescent="0.2">
      <c r="A114" s="101" t="s">
        <v>144</v>
      </c>
      <c r="B114" s="102" t="s">
        <v>145</v>
      </c>
      <c r="C114" s="103" t="s">
        <v>267</v>
      </c>
      <c r="D114" s="215">
        <v>818</v>
      </c>
      <c r="E114" s="216">
        <v>3427</v>
      </c>
      <c r="F114" s="104"/>
      <c r="G114" s="211">
        <v>394</v>
      </c>
      <c r="H114" s="211">
        <v>1745</v>
      </c>
      <c r="I114" s="107"/>
      <c r="J114" s="211">
        <v>165</v>
      </c>
      <c r="K114" s="211">
        <v>437</v>
      </c>
      <c r="L114" s="110"/>
      <c r="M114" s="211">
        <v>319</v>
      </c>
      <c r="N114" s="211">
        <v>1325</v>
      </c>
      <c r="O114" s="105"/>
      <c r="P114" s="205">
        <f t="shared" si="4"/>
        <v>23.869273416982782</v>
      </c>
      <c r="Q114" s="204">
        <f t="shared" si="5"/>
        <v>22.578796561604584</v>
      </c>
      <c r="R114" s="204">
        <f t="shared" si="6"/>
        <v>37.757437070938217</v>
      </c>
      <c r="S114" s="203">
        <f t="shared" si="7"/>
        <v>24.075471698113208</v>
      </c>
      <c r="T114" s="108"/>
      <c r="U114" s="109"/>
      <c r="V114" s="109"/>
    </row>
    <row r="115" spans="1:22" x14ac:dyDescent="0.2">
      <c r="A115" s="101" t="s">
        <v>158</v>
      </c>
      <c r="B115" s="102" t="s">
        <v>159</v>
      </c>
      <c r="C115" s="103" t="s">
        <v>264</v>
      </c>
      <c r="D115" s="215">
        <v>16909</v>
      </c>
      <c r="E115" s="216">
        <v>38118</v>
      </c>
      <c r="F115" s="104"/>
      <c r="G115" s="211">
        <v>3558</v>
      </c>
      <c r="H115" s="211">
        <v>14677</v>
      </c>
      <c r="I115" s="107"/>
      <c r="J115" s="211">
        <v>11205</v>
      </c>
      <c r="K115" s="211">
        <v>17808</v>
      </c>
      <c r="L115" s="110"/>
      <c r="M115" s="211">
        <v>1543</v>
      </c>
      <c r="N115" s="211">
        <v>4095</v>
      </c>
      <c r="O115" s="105"/>
      <c r="P115" s="205">
        <f t="shared" si="4"/>
        <v>44.359620126974129</v>
      </c>
      <c r="Q115" s="204">
        <f t="shared" si="5"/>
        <v>24.242011310213261</v>
      </c>
      <c r="R115" s="204">
        <f t="shared" si="6"/>
        <v>62.921159029649601</v>
      </c>
      <c r="S115" s="203">
        <f t="shared" si="7"/>
        <v>37.680097680097681</v>
      </c>
      <c r="T115" s="108"/>
      <c r="U115" s="109"/>
      <c r="V115" s="109"/>
    </row>
    <row r="116" spans="1:22" x14ac:dyDescent="0.2">
      <c r="A116" s="101" t="s">
        <v>160</v>
      </c>
      <c r="B116" s="102" t="s">
        <v>161</v>
      </c>
      <c r="C116" s="103" t="s">
        <v>264</v>
      </c>
      <c r="D116" s="215">
        <v>20474</v>
      </c>
      <c r="E116" s="216">
        <v>42273</v>
      </c>
      <c r="F116" s="104"/>
      <c r="G116" s="211">
        <v>4007</v>
      </c>
      <c r="H116" s="211">
        <v>15462</v>
      </c>
      <c r="I116" s="107"/>
      <c r="J116" s="211">
        <v>14354</v>
      </c>
      <c r="K116" s="211">
        <v>21188</v>
      </c>
      <c r="L116" s="110"/>
      <c r="M116" s="211">
        <v>1485</v>
      </c>
      <c r="N116" s="211">
        <v>3750</v>
      </c>
      <c r="O116" s="105"/>
      <c r="P116" s="205">
        <f t="shared" si="4"/>
        <v>48.43280580985499</v>
      </c>
      <c r="Q116" s="204">
        <f t="shared" si="5"/>
        <v>25.915146811537966</v>
      </c>
      <c r="R116" s="204">
        <f t="shared" si="6"/>
        <v>67.745893902208792</v>
      </c>
      <c r="S116" s="203">
        <f t="shared" si="7"/>
        <v>39.6</v>
      </c>
      <c r="T116" s="108"/>
      <c r="U116" s="109"/>
      <c r="V116" s="109"/>
    </row>
    <row r="117" spans="1:22" x14ac:dyDescent="0.2">
      <c r="A117" s="101" t="s">
        <v>166</v>
      </c>
      <c r="B117" s="102" t="s">
        <v>167</v>
      </c>
      <c r="C117" s="103" t="s">
        <v>268</v>
      </c>
      <c r="D117" s="215">
        <v>345</v>
      </c>
      <c r="E117" s="216">
        <v>733</v>
      </c>
      <c r="F117" s="104"/>
      <c r="G117" s="211">
        <v>258</v>
      </c>
      <c r="H117" s="211">
        <v>598</v>
      </c>
      <c r="I117" s="107"/>
      <c r="J117" s="211">
        <v>39</v>
      </c>
      <c r="K117" s="211">
        <v>57</v>
      </c>
      <c r="L117" s="110"/>
      <c r="M117" s="211">
        <v>14</v>
      </c>
      <c r="N117" s="211">
        <v>18</v>
      </c>
      <c r="O117" s="105"/>
      <c r="P117" s="205">
        <f t="shared" si="4"/>
        <v>47.066848567530698</v>
      </c>
      <c r="Q117" s="204">
        <f t="shared" si="5"/>
        <v>43.143812709030101</v>
      </c>
      <c r="R117" s="204">
        <f t="shared" si="6"/>
        <v>68.421052631578945</v>
      </c>
      <c r="S117" s="203">
        <f t="shared" si="7"/>
        <v>77.777777777777786</v>
      </c>
      <c r="T117" s="108"/>
      <c r="U117" s="109"/>
      <c r="V117" s="109"/>
    </row>
    <row r="118" spans="1:22" x14ac:dyDescent="0.2">
      <c r="A118" s="101" t="s">
        <v>176</v>
      </c>
      <c r="B118" s="102" t="s">
        <v>177</v>
      </c>
      <c r="C118" s="103" t="s">
        <v>266</v>
      </c>
      <c r="D118" s="215">
        <v>3407</v>
      </c>
      <c r="E118" s="216">
        <v>4980</v>
      </c>
      <c r="F118" s="104"/>
      <c r="G118" s="211">
        <v>162</v>
      </c>
      <c r="H118" s="211">
        <v>403</v>
      </c>
      <c r="I118" s="107"/>
      <c r="J118" s="211">
        <v>3058</v>
      </c>
      <c r="K118" s="211">
        <v>4173</v>
      </c>
      <c r="L118" s="110"/>
      <c r="M118" s="211">
        <v>125</v>
      </c>
      <c r="N118" s="211">
        <v>319</v>
      </c>
      <c r="O118" s="105"/>
      <c r="P118" s="205">
        <f t="shared" si="4"/>
        <v>68.413654618473899</v>
      </c>
      <c r="Q118" s="204">
        <f t="shared" si="5"/>
        <v>40.198511166253105</v>
      </c>
      <c r="R118" s="204">
        <f t="shared" si="6"/>
        <v>73.280613467529349</v>
      </c>
      <c r="S118" s="203">
        <f t="shared" si="7"/>
        <v>39.184952978056423</v>
      </c>
      <c r="T118" s="108"/>
      <c r="U118" s="109"/>
      <c r="V118" s="109"/>
    </row>
    <row r="119" spans="1:22" x14ac:dyDescent="0.2">
      <c r="A119" s="101" t="s">
        <v>180</v>
      </c>
      <c r="B119" s="102" t="s">
        <v>181</v>
      </c>
      <c r="C119" s="103" t="s">
        <v>264</v>
      </c>
      <c r="D119" s="215">
        <v>9017</v>
      </c>
      <c r="E119" s="216">
        <v>18131</v>
      </c>
      <c r="F119" s="104"/>
      <c r="G119" s="211">
        <v>1561</v>
      </c>
      <c r="H119" s="211">
        <v>6070</v>
      </c>
      <c r="I119" s="107"/>
      <c r="J119" s="211">
        <v>6830</v>
      </c>
      <c r="K119" s="211">
        <v>10644</v>
      </c>
      <c r="L119" s="110"/>
      <c r="M119" s="211">
        <v>330</v>
      </c>
      <c r="N119" s="211">
        <v>793</v>
      </c>
      <c r="O119" s="105"/>
      <c r="P119" s="205">
        <f t="shared" si="4"/>
        <v>49.732502344051625</v>
      </c>
      <c r="Q119" s="204">
        <f t="shared" si="5"/>
        <v>25.716639209225701</v>
      </c>
      <c r="R119" s="204">
        <f t="shared" si="6"/>
        <v>64.167606163096579</v>
      </c>
      <c r="S119" s="203">
        <f t="shared" si="7"/>
        <v>41.614123581336699</v>
      </c>
      <c r="T119" s="108"/>
      <c r="U119" s="109"/>
      <c r="V119" s="109"/>
    </row>
    <row r="120" spans="1:22" x14ac:dyDescent="0.2">
      <c r="A120" s="101" t="s">
        <v>192</v>
      </c>
      <c r="B120" s="102" t="s">
        <v>193</v>
      </c>
      <c r="C120" s="103" t="s">
        <v>268</v>
      </c>
      <c r="D120" s="215">
        <v>721</v>
      </c>
      <c r="E120" s="216">
        <v>1931</v>
      </c>
      <c r="F120" s="104"/>
      <c r="G120" s="211">
        <v>509</v>
      </c>
      <c r="H120" s="211">
        <v>1578</v>
      </c>
      <c r="I120" s="107"/>
      <c r="J120" s="211">
        <v>123</v>
      </c>
      <c r="K120" s="211">
        <v>175</v>
      </c>
      <c r="L120" s="110"/>
      <c r="M120" s="211">
        <v>26</v>
      </c>
      <c r="N120" s="211">
        <v>45</v>
      </c>
      <c r="O120" s="105"/>
      <c r="P120" s="205">
        <f t="shared" si="4"/>
        <v>37.338166752977727</v>
      </c>
      <c r="Q120" s="204">
        <f t="shared" si="5"/>
        <v>32.256020278833972</v>
      </c>
      <c r="R120" s="204">
        <f t="shared" si="6"/>
        <v>70.285714285714278</v>
      </c>
      <c r="S120" s="203">
        <f t="shared" si="7"/>
        <v>57.777777777777771</v>
      </c>
      <c r="T120" s="108"/>
      <c r="U120" s="109"/>
      <c r="V120" s="109"/>
    </row>
    <row r="121" spans="1:22" x14ac:dyDescent="0.2">
      <c r="A121" s="101" t="s">
        <v>196</v>
      </c>
      <c r="B121" s="102" t="s">
        <v>312</v>
      </c>
      <c r="C121" s="103" t="s">
        <v>266</v>
      </c>
      <c r="D121" s="215">
        <v>18322</v>
      </c>
      <c r="E121" s="216">
        <v>31305</v>
      </c>
      <c r="F121" s="104"/>
      <c r="G121" s="211">
        <v>1555</v>
      </c>
      <c r="H121" s="211">
        <v>8307</v>
      </c>
      <c r="I121" s="107"/>
      <c r="J121" s="211">
        <v>15392</v>
      </c>
      <c r="K121" s="211">
        <v>19914</v>
      </c>
      <c r="L121" s="110"/>
      <c r="M121" s="211">
        <v>1145</v>
      </c>
      <c r="N121" s="211">
        <v>2711</v>
      </c>
      <c r="O121" s="105"/>
      <c r="P121" s="205">
        <f t="shared" si="4"/>
        <v>58.52739179044881</v>
      </c>
      <c r="Q121" s="204">
        <f t="shared" si="5"/>
        <v>18.719152521969423</v>
      </c>
      <c r="R121" s="204">
        <f t="shared" si="6"/>
        <v>77.292357135683446</v>
      </c>
      <c r="S121" s="203">
        <f t="shared" si="7"/>
        <v>42.235337513832533</v>
      </c>
      <c r="T121" s="108"/>
      <c r="U121" s="109"/>
      <c r="V121" s="109"/>
    </row>
    <row r="122" spans="1:22" x14ac:dyDescent="0.2">
      <c r="A122" s="101" t="s">
        <v>200</v>
      </c>
      <c r="B122" s="102" t="s">
        <v>313</v>
      </c>
      <c r="C122" s="103" t="s">
        <v>265</v>
      </c>
      <c r="D122" s="215">
        <v>8836</v>
      </c>
      <c r="E122" s="216">
        <v>17849</v>
      </c>
      <c r="F122" s="104"/>
      <c r="G122" s="211">
        <v>3165</v>
      </c>
      <c r="H122" s="211">
        <v>9224</v>
      </c>
      <c r="I122" s="107"/>
      <c r="J122" s="211">
        <v>4457</v>
      </c>
      <c r="K122" s="211">
        <v>6273</v>
      </c>
      <c r="L122" s="110"/>
      <c r="M122" s="211">
        <v>699</v>
      </c>
      <c r="N122" s="211">
        <v>1535</v>
      </c>
      <c r="O122" s="105"/>
      <c r="P122" s="205">
        <f t="shared" si="4"/>
        <v>49.5041739032999</v>
      </c>
      <c r="Q122" s="204">
        <f t="shared" si="5"/>
        <v>34.31266261925412</v>
      </c>
      <c r="R122" s="204">
        <f t="shared" si="6"/>
        <v>71.050534034752104</v>
      </c>
      <c r="S122" s="203">
        <f t="shared" si="7"/>
        <v>45.537459283387619</v>
      </c>
      <c r="T122" s="108"/>
      <c r="U122" s="109"/>
      <c r="V122" s="109"/>
    </row>
    <row r="123" spans="1:22" x14ac:dyDescent="0.2">
      <c r="A123" s="101" t="s">
        <v>222</v>
      </c>
      <c r="B123" s="102" t="s">
        <v>223</v>
      </c>
      <c r="C123" s="103" t="s">
        <v>264</v>
      </c>
      <c r="D123" s="215">
        <v>5891</v>
      </c>
      <c r="E123" s="216">
        <v>19024</v>
      </c>
      <c r="F123" s="104"/>
      <c r="G123" s="211">
        <v>1476</v>
      </c>
      <c r="H123" s="211">
        <v>9054</v>
      </c>
      <c r="I123" s="107"/>
      <c r="J123" s="211">
        <v>4058</v>
      </c>
      <c r="K123" s="211">
        <v>8404</v>
      </c>
      <c r="L123" s="110"/>
      <c r="M123" s="211">
        <v>217</v>
      </c>
      <c r="N123" s="211">
        <v>828</v>
      </c>
      <c r="O123" s="105"/>
      <c r="P123" s="205">
        <f t="shared" si="4"/>
        <v>30.966148023549202</v>
      </c>
      <c r="Q123" s="204">
        <f t="shared" si="5"/>
        <v>16.302186878727635</v>
      </c>
      <c r="R123" s="204">
        <f t="shared" si="6"/>
        <v>48.286530223703004</v>
      </c>
      <c r="S123" s="203">
        <f t="shared" si="7"/>
        <v>26.207729468599034</v>
      </c>
      <c r="T123" s="108"/>
      <c r="U123" s="109"/>
      <c r="V123" s="109"/>
    </row>
    <row r="124" spans="1:22" x14ac:dyDescent="0.2">
      <c r="A124" s="101" t="s">
        <v>230</v>
      </c>
      <c r="B124" s="102" t="s">
        <v>231</v>
      </c>
      <c r="C124" s="103" t="s">
        <v>264</v>
      </c>
      <c r="D124" s="215">
        <v>27662</v>
      </c>
      <c r="E124" s="216">
        <v>93307</v>
      </c>
      <c r="F124" s="104"/>
      <c r="G124" s="211">
        <v>12802</v>
      </c>
      <c r="H124" s="211">
        <v>57570</v>
      </c>
      <c r="I124" s="107"/>
      <c r="J124" s="211">
        <v>10389</v>
      </c>
      <c r="K124" s="211">
        <v>19927</v>
      </c>
      <c r="L124" s="110"/>
      <c r="M124" s="211">
        <v>3040</v>
      </c>
      <c r="N124" s="211">
        <v>9133</v>
      </c>
      <c r="O124" s="105"/>
      <c r="P124" s="205">
        <f t="shared" si="4"/>
        <v>29.646221612526389</v>
      </c>
      <c r="Q124" s="204">
        <f t="shared" si="5"/>
        <v>22.237276359214871</v>
      </c>
      <c r="R124" s="204">
        <f t="shared" si="6"/>
        <v>52.135293822451942</v>
      </c>
      <c r="S124" s="203">
        <f t="shared" si="7"/>
        <v>33.285886346217012</v>
      </c>
      <c r="T124" s="108"/>
      <c r="U124" s="109"/>
      <c r="V124" s="109"/>
    </row>
    <row r="125" spans="1:22" x14ac:dyDescent="0.2">
      <c r="A125" s="101" t="s">
        <v>238</v>
      </c>
      <c r="B125" s="102" t="s">
        <v>239</v>
      </c>
      <c r="C125" s="103" t="s">
        <v>264</v>
      </c>
      <c r="D125" s="215">
        <v>464</v>
      </c>
      <c r="E125" s="216">
        <v>1231</v>
      </c>
      <c r="F125" s="104"/>
      <c r="G125" s="211">
        <v>179</v>
      </c>
      <c r="H125" s="211">
        <v>722</v>
      </c>
      <c r="I125" s="107"/>
      <c r="J125" s="211">
        <v>200</v>
      </c>
      <c r="K125" s="211">
        <v>295</v>
      </c>
      <c r="L125" s="110"/>
      <c r="M125" s="211">
        <v>57</v>
      </c>
      <c r="N125" s="211">
        <v>146</v>
      </c>
      <c r="O125" s="105"/>
      <c r="P125" s="205">
        <f t="shared" si="4"/>
        <v>37.692932575142166</v>
      </c>
      <c r="Q125" s="204">
        <f t="shared" si="5"/>
        <v>24.792243767313018</v>
      </c>
      <c r="R125" s="204">
        <f t="shared" si="6"/>
        <v>67.796610169491515</v>
      </c>
      <c r="S125" s="203">
        <f t="shared" si="7"/>
        <v>39.041095890410958</v>
      </c>
      <c r="T125" s="108"/>
      <c r="U125" s="109"/>
      <c r="V125" s="109"/>
    </row>
    <row r="126" spans="1:22" x14ac:dyDescent="0.2">
      <c r="A126" s="168" t="s">
        <v>240</v>
      </c>
      <c r="B126" s="169" t="s">
        <v>241</v>
      </c>
      <c r="C126" s="111" t="s">
        <v>267</v>
      </c>
      <c r="D126" s="217">
        <v>1867</v>
      </c>
      <c r="E126" s="218">
        <v>5010</v>
      </c>
      <c r="F126" s="112"/>
      <c r="G126" s="212">
        <v>1033</v>
      </c>
      <c r="H126" s="212">
        <v>3159</v>
      </c>
      <c r="I126" s="106"/>
      <c r="J126" s="212">
        <v>355</v>
      </c>
      <c r="K126" s="212">
        <v>586</v>
      </c>
      <c r="L126" s="113"/>
      <c r="M126" s="212">
        <v>454</v>
      </c>
      <c r="N126" s="212">
        <v>1275</v>
      </c>
      <c r="O126" s="114"/>
      <c r="P126" s="206">
        <f t="shared" si="4"/>
        <v>37.265469061876253</v>
      </c>
      <c r="Q126" s="207">
        <f t="shared" si="5"/>
        <v>32.700221589110477</v>
      </c>
      <c r="R126" s="207">
        <f t="shared" si="6"/>
        <v>60.580204778156997</v>
      </c>
      <c r="S126" s="208">
        <f t="shared" si="7"/>
        <v>35.607843137254903</v>
      </c>
      <c r="T126" s="108"/>
      <c r="U126" s="109"/>
      <c r="V126" s="109"/>
    </row>
    <row r="127" spans="1:22" x14ac:dyDescent="0.2">
      <c r="A127" s="115"/>
      <c r="B127" s="116"/>
      <c r="C127" s="116"/>
      <c r="D127" s="116"/>
      <c r="E127" s="116"/>
      <c r="F127" s="116"/>
      <c r="G127" s="105"/>
      <c r="H127" s="105"/>
      <c r="I127" s="107"/>
      <c r="J127" s="105"/>
      <c r="K127" s="105"/>
      <c r="L127" s="110"/>
      <c r="M127" s="105"/>
      <c r="N127" s="105"/>
      <c r="O127" s="105"/>
      <c r="Q127" s="118"/>
      <c r="R127" s="118"/>
      <c r="S127" s="107"/>
      <c r="T127" s="108"/>
      <c r="U127" s="109"/>
      <c r="V127" s="109"/>
    </row>
    <row r="128" spans="1:22" x14ac:dyDescent="0.2">
      <c r="A128" s="115" t="s">
        <v>251</v>
      </c>
      <c r="B128" s="96"/>
      <c r="C128" s="318"/>
      <c r="D128" s="318"/>
      <c r="E128" s="318"/>
      <c r="F128" s="318"/>
      <c r="G128" s="105"/>
      <c r="H128" s="105"/>
      <c r="I128" s="107"/>
      <c r="J128" s="105"/>
      <c r="K128" s="105"/>
      <c r="L128" s="110"/>
      <c r="M128" s="105"/>
      <c r="N128" s="105"/>
      <c r="O128" s="105"/>
      <c r="Q128" s="118"/>
      <c r="R128" s="118"/>
      <c r="S128" s="107"/>
      <c r="T128" s="108"/>
      <c r="U128" s="109"/>
      <c r="V128" s="109"/>
    </row>
    <row r="129" spans="1:22" x14ac:dyDescent="0.2">
      <c r="A129" s="318" t="s">
        <v>266</v>
      </c>
      <c r="B129" s="96"/>
      <c r="C129" s="318"/>
      <c r="D129" s="320">
        <f>D10+D21+D23+D25+D27+D31+D34+D38+D43+D48+D49+D54+D56+D57+D61+D65+D68+D70+D71+D76+D77+D82+D98+D111+D118+D121</f>
        <v>85415</v>
      </c>
      <c r="E129" s="320">
        <f>E10+E21+E23+E25+E27+E31+E34+E38+E43+E48+E49+E54+E56+E57+E61+E65+E68+E70+E71+E76+E77+E82+E98+E111+E118+E121</f>
        <v>263081</v>
      </c>
      <c r="F129" s="318"/>
      <c r="G129" s="320">
        <f>G10+G21+G23+G25+G27+G31+G34+G38+G43+G48+G49+G54+G56+G57+G61+G65+G68+G70+G71+G76+G77+G82+G98+G111+G118+G121</f>
        <v>29474</v>
      </c>
      <c r="H129" s="320">
        <f>H10+H21+H23+H25+H27+H31+H34+H38+H43+H48+H49+H54+H56+H57+H61+H65+H68+H70+H71+H76+H77+H82+H98+H111+H118+H121</f>
        <v>155169</v>
      </c>
      <c r="I129" s="107"/>
      <c r="J129" s="320">
        <f>J10+J21+J23+J25+J27+J31+J34+J38+J43+J48+J49+J54+J56+J57+J61+J65+J68+J70+J71+J76+J77+J82+J98+J111+J118+J121</f>
        <v>47586</v>
      </c>
      <c r="K129" s="320">
        <f>K10+K21+K23+K25+K27+K31+K34+K38+K43+K48+K49+K54+K56+K57+K61+K65+K68+K70+K71+K76+K77+K82+K98+K111+K118+K121</f>
        <v>77872</v>
      </c>
      <c r="L129" s="110"/>
      <c r="M129" s="320">
        <f>M10+M21+M23+M25+M27+M31+M34+M38+M43+M48+M49+M54+M56+M57+M61+M65+M68+M70+M71+M76+M77+M82+M98+M111+M118+M121</f>
        <v>5871</v>
      </c>
      <c r="N129" s="320">
        <f>N10+N21+N23+N25+N27+N31+N34+N38+N43+N48+N49+N54+N56+N57+N61+N65+N68+N70+N71+N76+N77+N82+N98+N111+N118+N121</f>
        <v>18288</v>
      </c>
      <c r="O129" s="105"/>
      <c r="P129" s="321">
        <f>(D129/E129)*100</f>
        <v>32.467186912015691</v>
      </c>
      <c r="Q129" s="322">
        <f>(G129/H129)*100</f>
        <v>18.994773440571247</v>
      </c>
      <c r="R129" s="322">
        <f>(J129/K129)*100</f>
        <v>61.107972056708448</v>
      </c>
      <c r="S129" s="323">
        <f>IF(N129&lt;1,"NA", ((M129/N129)*100))</f>
        <v>32.10301837270341</v>
      </c>
      <c r="T129" s="108"/>
      <c r="U129" s="109"/>
      <c r="V129" s="109"/>
    </row>
    <row r="130" spans="1:22" x14ac:dyDescent="0.2">
      <c r="A130" s="318" t="s">
        <v>264</v>
      </c>
      <c r="B130" s="96"/>
      <c r="C130" s="318"/>
      <c r="D130" s="320">
        <f>D7+D19+D33+D42+D46+D52+D53+D63+D69+D78+D90+D93+D94+D124+D101+D105+D107+D110+D115+D116+D119+D123+D125</f>
        <v>129637</v>
      </c>
      <c r="E130" s="320">
        <f>E7+E19+E33+E42+E46+E52+E53+E63+E69+E78+E90+E93+E94+E124+E101+E105+E107+E110+E115+E116+E119+E123+E125</f>
        <v>368826</v>
      </c>
      <c r="F130" s="318"/>
      <c r="G130" s="320">
        <f>G7+G19+G33+G42+G46+G52+G53+G63+G69+G78+G90+G93+G94+G124+G101+G105+G107+G110+G115+G116+G119+G123+G125</f>
        <v>42187</v>
      </c>
      <c r="H130" s="320">
        <f>H7+H19+H33+H42+H46+H52+H53+H63+H69+H78+H90+H93+H94+H124+H101+H105+H107+H110+H115+H116+H119+H123+H125</f>
        <v>196948</v>
      </c>
      <c r="I130" s="107"/>
      <c r="J130" s="320">
        <f>J7+J19+J33+J42+J46+J52+J53+J63+J69+J78+J90+J93+J94+J124+J101+J105+J107+J110+J115+J116+J119+J123+J125</f>
        <v>72980</v>
      </c>
      <c r="K130" s="320">
        <f>K7+K19+K33+K42+K46+K52+K53+K63+K69+K78+K90+K93+K94+K124+K101+K105+K107+K110+K115+K116+K119+K123+K125</f>
        <v>125301</v>
      </c>
      <c r="L130" s="110"/>
      <c r="M130" s="320">
        <f>M7+M19+M33+M42+M46+M52+M53+M63+M69+M78+M90+M93+M94+M124+M101+M105+M107+M110+M115+M116+M119+M123+M125</f>
        <v>9659</v>
      </c>
      <c r="N130" s="320">
        <f>N7+N19+N33+N42+N46+N52+N53+N63+N69+N78+N90+N93+N94+N124+N101+N105+N107+N110+N115+N116+N119+N123+N125</f>
        <v>28855</v>
      </c>
      <c r="O130" s="105"/>
      <c r="P130" s="321">
        <f>(D130/E130)*100</f>
        <v>35.148552433939038</v>
      </c>
      <c r="Q130" s="322">
        <f>(G130/H130)*100</f>
        <v>21.420374921299022</v>
      </c>
      <c r="R130" s="322">
        <f>(J130/K130)*100</f>
        <v>58.243749052282098</v>
      </c>
      <c r="S130" s="323">
        <f>IF(N130&lt;1,"NA", ((M130/N130)*100))</f>
        <v>33.474267891180034</v>
      </c>
      <c r="T130" s="108"/>
      <c r="U130" s="109"/>
      <c r="V130" s="109"/>
    </row>
    <row r="131" spans="1:22" x14ac:dyDescent="0.2">
      <c r="A131" s="318" t="s">
        <v>267</v>
      </c>
      <c r="B131" s="96"/>
      <c r="C131" s="318"/>
      <c r="D131" s="320">
        <f>D13+D28+D30+D35+D36+D40+D45+D55+D59+D60+D62+D72+D73+D79+D81+D85+D88+D91+D92+D96+D102+D108+D113+D114+D126</f>
        <v>133285</v>
      </c>
      <c r="E131" s="320">
        <f>E13+E28+E30+E35+E36+E40+E45+E55+E59+E60+E62+E72+E73+E79+E81+E85+E88+E91+E92+E96+E102+E108+E113+E114+E126</f>
        <v>692685</v>
      </c>
      <c r="F131" s="318"/>
      <c r="G131" s="320">
        <f>G13+G28+G30+G35+G36+G40+G45+G55+G59+G60+G62+G72+G73+G79+G81+G85+G88+G91+G92+G96+G102+G108+G113+G114+G126</f>
        <v>69868</v>
      </c>
      <c r="H131" s="320">
        <f>H13+H28+H30+H35+H36+H40+H45+H55+H59+H60+H62+H72+H73+H79+H81+H85+H88+H91+H92+H96+H102+H108+H113+H114+H126</f>
        <v>443527</v>
      </c>
      <c r="I131" s="107"/>
      <c r="J131" s="320">
        <f>J13+J28+J30+J35+J36+J40+J45+J55+J59+J60+J62+J72+J73+J79+J81+J85+J88+J91+J92+J96+J102+J108+J113+J114+J126</f>
        <v>32405</v>
      </c>
      <c r="K131" s="320">
        <f>K13+K28+K30+K35+K36+K40+K45+K55+K59+K60+K62+K72+K73+K79+K81+K85+K88+K91+K92+K96+K102+K108+K113+K114+K126</f>
        <v>79293</v>
      </c>
      <c r="L131" s="110"/>
      <c r="M131" s="320">
        <f>M13+M28+M30+M35+M36+M40+M45+M55+M59+M60+M62+M72+M73+M79+M81+M85+M88+M91+M92+M96+M102+M108+M113+M114+M126</f>
        <v>29151</v>
      </c>
      <c r="N131" s="320">
        <f>N13+N28+N30+N35+N36+N40+N45+N55+N59+N60+N62+N72+N73+N79+N81+N85+N88+N91+N92+N96+N102+N108+N113+N114+N126</f>
        <v>113332</v>
      </c>
      <c r="O131" s="105"/>
      <c r="P131" s="321">
        <f>(D131/E131)*100</f>
        <v>19.241791001681861</v>
      </c>
      <c r="Q131" s="322">
        <f>(G131/H131)*100</f>
        <v>15.752817754048795</v>
      </c>
      <c r="R131" s="322">
        <f>(J131/K131)*100</f>
        <v>40.867415787017769</v>
      </c>
      <c r="S131" s="323">
        <f>IF(N131&lt;1,"NA", ((M131/N131)*100))</f>
        <v>25.721773197331732</v>
      </c>
      <c r="T131" s="108"/>
      <c r="U131" s="109"/>
      <c r="V131" s="109"/>
    </row>
    <row r="132" spans="1:22" x14ac:dyDescent="0.2">
      <c r="A132" s="318" t="s">
        <v>265</v>
      </c>
      <c r="B132" s="96"/>
      <c r="C132" s="318"/>
      <c r="D132" s="320">
        <f>D8+D9+D11+D12+D14+D15+D16+D18+D22+D26+D29+D39+D47+D50+D51+D64+D67+D75+D83+D84+D104+D106+D112+D122</f>
        <v>67810</v>
      </c>
      <c r="E132" s="320">
        <f>E8+E9+E11+E12+E14+E15+E16+E18+E22+E26+E29+E39+E47+E50+E51+E64+E67+E75+E83+E84+E104+E106+E112+E122</f>
        <v>210526</v>
      </c>
      <c r="F132" s="318"/>
      <c r="G132" s="320">
        <f>G8+G9+G11+G12+G14+G15+G16+G18+G22+G26+G29+G39+G47+G50+G51+G64+G67+G75+G83+G84+G104+G106+G112+G122</f>
        <v>36951</v>
      </c>
      <c r="H132" s="320">
        <f>H8+H9+H11+H12+H14+H15+H16+H18+H22+H26+H29+H39+H47+H50+H51+H64+H67+H75+H83+H84+H104+H106+H112+H122</f>
        <v>155662</v>
      </c>
      <c r="I132" s="107"/>
      <c r="J132" s="320">
        <f>J8+J9+J11+J12+J14+J15+J16+J18+J22+J26+J29+J39+J47+J50+J51+J64+J67+J75+J83+J84+J104+J106+J112+J122</f>
        <v>24207</v>
      </c>
      <c r="K132" s="320">
        <f>K8+K9+K11+K12+K14+K15+K16+K18+K22+K26+K29+K39+K47+K50+K51+K64+K67+K75+K83+K84+K104+K106+K112+K122</f>
        <v>37258</v>
      </c>
      <c r="L132" s="110"/>
      <c r="M132" s="320">
        <f>M8+M9+M11+M12+M14+M15+M16+M18+M22+M26+M29+M39+M47+M50+M51+M64+M67+M75+M83+M84+M104+M106+M112+M122</f>
        <v>3539</v>
      </c>
      <c r="N132" s="320">
        <f>N8+N9+N11+N12+N14+N15+N16+N18+N22+N26+N29+N39+N47+N50+N51+N64+N67+N75+N83+N84+N104+N106+N112+N122</f>
        <v>10270</v>
      </c>
      <c r="O132" s="105"/>
      <c r="P132" s="321">
        <f>(D132/E132)*100</f>
        <v>32.209798314697473</v>
      </c>
      <c r="Q132" s="322">
        <f>(G132/H132)*100</f>
        <v>23.737970731456617</v>
      </c>
      <c r="R132" s="322">
        <f>(J132/K132)*100</f>
        <v>64.971281335552106</v>
      </c>
      <c r="S132" s="323">
        <f>IF(N132&lt;1,"NA", ((M132/N132)*100))</f>
        <v>34.459591041869523</v>
      </c>
      <c r="T132" s="108"/>
      <c r="U132" s="109"/>
      <c r="V132" s="109"/>
    </row>
    <row r="133" spans="1:22" x14ac:dyDescent="0.2">
      <c r="A133" s="318" t="s">
        <v>268</v>
      </c>
      <c r="B133" s="96"/>
      <c r="C133" s="318"/>
      <c r="D133" s="320">
        <f>D17+D20+D24+D32+D37+D41+D44+D58+D66+D74+D80+D86+D87+D89+D95+D97+D99+D100+D103+D109+D117+D120</f>
        <v>28145</v>
      </c>
      <c r="E133" s="320">
        <f>E17+E20+E24+E32+E37+E41+E44+E58+E66+E74+E80+E86+E87+E89+E95+E97+E99+E100+E103+E109+E117+E120</f>
        <v>100242</v>
      </c>
      <c r="F133" s="318"/>
      <c r="G133" s="320">
        <f>G17+G20+G24+G32+G37+G41+G44+G58+G66+G74+G80+G86+G87+G89+G95+G97+G99+G100+G103+G109+G117+G120</f>
        <v>24955</v>
      </c>
      <c r="H133" s="320">
        <f>H17+H20+H24+H32+H37+H41+H44+H58+H66+H74+H80+H86+H87+H89+H95+H97+H99+H100+H103+H109+H117+H120</f>
        <v>93350</v>
      </c>
      <c r="I133" s="107"/>
      <c r="J133" s="320">
        <f>J17+J20+J24+J32+J37+J41+J44+J58+J66+J74+J80+J86+J87+J89+J95+J97+J99+J100+J103+J109+J117+J120</f>
        <v>1431</v>
      </c>
      <c r="K133" s="320">
        <f>K17+K20+K24+K32+K37+K41+K44+K58+K66+K74+K80+K86+K87+K89+K95+K97+K99+K100+K103+K109+K117+K120</f>
        <v>2353</v>
      </c>
      <c r="L133" s="110"/>
      <c r="M133" s="320">
        <f>M17+M20+M24+M32+M37+M41+M44+M58+M66+M74+M80+M86+M87+M89+M95+M97+M99+M100+M103+M109+M117+M120</f>
        <v>1039</v>
      </c>
      <c r="N133" s="320">
        <f>N17+N20+N24+N32+N37+N41+N44+N58+N66+N74+N80+N86+N87+N89+N95+N97+N99+N100+N103+N109+N117+N120</f>
        <v>2765</v>
      </c>
      <c r="O133" s="105"/>
      <c r="P133" s="321">
        <f>(D133/E133)*100</f>
        <v>28.077053530456297</v>
      </c>
      <c r="Q133" s="322">
        <f>(G133/H133)*100</f>
        <v>26.732726298875203</v>
      </c>
      <c r="R133" s="322">
        <f>(J133/K133)*100</f>
        <v>60.815979600509984</v>
      </c>
      <c r="S133" s="323">
        <f>IF(N133&lt;1,"NA", ((M133/N133)*100))</f>
        <v>37.576853526220617</v>
      </c>
      <c r="T133" s="108"/>
      <c r="U133" s="109"/>
      <c r="V133" s="109"/>
    </row>
    <row r="134" spans="1:22" x14ac:dyDescent="0.2">
      <c r="A134" s="115"/>
      <c r="B134" s="318"/>
      <c r="C134" s="318"/>
      <c r="D134" s="318"/>
      <c r="E134" s="318"/>
      <c r="F134" s="318"/>
      <c r="G134" s="105"/>
      <c r="H134" s="105"/>
      <c r="I134" s="107"/>
      <c r="J134" s="105"/>
      <c r="K134" s="105"/>
      <c r="L134" s="110"/>
      <c r="M134" s="105"/>
      <c r="N134" s="105"/>
      <c r="O134" s="105"/>
      <c r="Q134" s="118"/>
      <c r="R134" s="118"/>
      <c r="S134" s="107"/>
      <c r="T134" s="108"/>
      <c r="U134" s="109"/>
      <c r="V134" s="109"/>
    </row>
    <row r="135" spans="1:22" ht="68.25" customHeight="1" x14ac:dyDescent="0.2">
      <c r="A135" s="181"/>
      <c r="B135" s="181"/>
      <c r="C135" s="181"/>
      <c r="D135" s="2087" t="s">
        <v>627</v>
      </c>
      <c r="E135" s="2087"/>
      <c r="F135" s="2087"/>
      <c r="G135" s="2087"/>
      <c r="H135" s="2087"/>
      <c r="I135" s="2087"/>
      <c r="J135" s="2087"/>
      <c r="K135" s="2087"/>
      <c r="L135" s="2087"/>
      <c r="M135" s="2087"/>
      <c r="N135" s="119"/>
      <c r="O135" s="119"/>
      <c r="P135" s="120"/>
      <c r="Q135" s="120"/>
      <c r="R135" s="120"/>
    </row>
    <row r="136" spans="1:22" ht="18" customHeight="1" x14ac:dyDescent="0.2">
      <c r="B136" s="121"/>
      <c r="C136" s="121"/>
      <c r="D136" s="2160" t="s">
        <v>248</v>
      </c>
      <c r="E136" s="2160"/>
      <c r="F136" s="2160"/>
      <c r="G136" s="2160"/>
      <c r="H136" s="2160"/>
      <c r="I136" s="2160"/>
      <c r="J136" s="2160"/>
      <c r="K136" s="2160"/>
      <c r="L136" s="2160"/>
      <c r="M136" s="2160"/>
      <c r="N136" s="121"/>
      <c r="O136" s="121"/>
      <c r="P136" s="122"/>
      <c r="Q136" s="122"/>
      <c r="R136" s="122"/>
    </row>
    <row r="137" spans="1:22" ht="18.75" customHeight="1" x14ac:dyDescent="0.2">
      <c r="B137" s="96"/>
      <c r="C137" s="123"/>
      <c r="D137" s="124" t="s">
        <v>249</v>
      </c>
      <c r="E137" s="2161" t="s">
        <v>250</v>
      </c>
      <c r="F137" s="2161"/>
      <c r="G137" s="2161"/>
      <c r="H137" s="123"/>
    </row>
  </sheetData>
  <mergeCells count="9">
    <mergeCell ref="P4:S4"/>
    <mergeCell ref="D135:M135"/>
    <mergeCell ref="D136:M136"/>
    <mergeCell ref="E137:G137"/>
    <mergeCell ref="A1:K1"/>
    <mergeCell ref="D4:E4"/>
    <mergeCell ref="G4:H4"/>
    <mergeCell ref="J4:K4"/>
    <mergeCell ref="M4:N4"/>
  </mergeCells>
  <hyperlinks>
    <hyperlink ref="E137"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O137"/>
  <sheetViews>
    <sheetView workbookViewId="0">
      <pane xSplit="3" ySplit="5" topLeftCell="D109" activePane="bottomRight" state="frozen"/>
      <selection pane="topRight" activeCell="D1" sqref="D1"/>
      <selection pane="bottomLeft" activeCell="A5" sqref="A5"/>
      <selection pane="bottomRight" activeCell="K127" sqref="K127"/>
    </sheetView>
  </sheetViews>
  <sheetFormatPr defaultRowHeight="15.75" x14ac:dyDescent="0.25"/>
  <cols>
    <col min="1" max="1" width="9" style="270"/>
    <col min="2" max="2" width="22.375" style="270" customWidth="1"/>
    <col min="3" max="3" width="14.125" style="270" customWidth="1"/>
    <col min="4" max="4" width="12.5" style="270" customWidth="1"/>
    <col min="5" max="5" width="9" style="270"/>
    <col min="6" max="6" width="9.75" style="270" customWidth="1"/>
    <col min="7" max="10" width="9" style="270"/>
    <col min="11" max="11" width="11.875" style="270" customWidth="1"/>
    <col min="12" max="28" width="9" style="270"/>
    <col min="29" max="33" width="10.25" style="270" customWidth="1"/>
    <col min="34" max="36" width="14.875" style="270" customWidth="1"/>
    <col min="37" max="39" width="9" style="270"/>
    <col min="40" max="40" width="11.125" style="270" bestFit="1" customWidth="1"/>
    <col min="41" max="16384" width="9" style="270"/>
  </cols>
  <sheetData>
    <row r="1" spans="1:41" x14ac:dyDescent="0.25">
      <c r="A1" s="183" t="s">
        <v>1137</v>
      </c>
    </row>
    <row r="2" spans="1:41" x14ac:dyDescent="0.25">
      <c r="A2" s="183"/>
    </row>
    <row r="3" spans="1:41" x14ac:dyDescent="0.25">
      <c r="E3" s="2075" t="s">
        <v>729</v>
      </c>
      <c r="F3" s="2073"/>
      <c r="G3" s="2073"/>
      <c r="H3" s="2073"/>
      <c r="I3" s="2073"/>
      <c r="J3" s="2074"/>
      <c r="K3" s="2075" t="s">
        <v>618</v>
      </c>
      <c r="L3" s="2073"/>
      <c r="M3" s="2073"/>
      <c r="N3" s="2073"/>
      <c r="O3" s="2073"/>
      <c r="P3" s="2073"/>
      <c r="Q3" s="2075" t="s">
        <v>719</v>
      </c>
      <c r="R3" s="2073"/>
      <c r="S3" s="2073"/>
      <c r="T3" s="2073"/>
      <c r="U3" s="2073"/>
      <c r="V3" s="2074"/>
      <c r="W3" s="2075" t="s">
        <v>721</v>
      </c>
      <c r="X3" s="2073"/>
      <c r="Y3" s="2073"/>
      <c r="Z3" s="2073"/>
      <c r="AA3" s="2073"/>
      <c r="AB3" s="2074"/>
      <c r="AC3" s="2075" t="s">
        <v>730</v>
      </c>
      <c r="AD3" s="2073"/>
      <c r="AE3" s="2073"/>
      <c r="AF3" s="2073"/>
      <c r="AG3" s="2074"/>
      <c r="AH3" s="2076" t="s">
        <v>728</v>
      </c>
      <c r="AI3" s="2077"/>
      <c r="AJ3" s="2078"/>
      <c r="AK3" s="2073" t="s">
        <v>551</v>
      </c>
      <c r="AL3" s="2073"/>
      <c r="AM3" s="2073"/>
      <c r="AN3" s="2074"/>
      <c r="AO3" s="64" t="s">
        <v>731</v>
      </c>
    </row>
    <row r="4" spans="1:41" x14ac:dyDescent="0.25">
      <c r="A4" s="64" t="s">
        <v>4</v>
      </c>
      <c r="B4" s="64" t="s">
        <v>5</v>
      </c>
      <c r="C4" s="64" t="s">
        <v>251</v>
      </c>
      <c r="D4" s="64" t="s">
        <v>722</v>
      </c>
      <c r="E4" s="613" t="s">
        <v>726</v>
      </c>
      <c r="F4" s="614" t="s">
        <v>2</v>
      </c>
      <c r="G4" s="614" t="s">
        <v>445</v>
      </c>
      <c r="H4" s="614" t="s">
        <v>723</v>
      </c>
      <c r="I4" s="614" t="s">
        <v>724</v>
      </c>
      <c r="J4" s="615" t="s">
        <v>446</v>
      </c>
      <c r="K4" s="64" t="s">
        <v>726</v>
      </c>
      <c r="L4" s="614" t="s">
        <v>2</v>
      </c>
      <c r="M4" s="614" t="s">
        <v>445</v>
      </c>
      <c r="N4" s="614" t="s">
        <v>723</v>
      </c>
      <c r="O4" s="614" t="s">
        <v>724</v>
      </c>
      <c r="P4" s="614" t="s">
        <v>446</v>
      </c>
      <c r="Q4" s="613" t="s">
        <v>726</v>
      </c>
      <c r="R4" s="614" t="s">
        <v>2</v>
      </c>
      <c r="S4" s="614" t="s">
        <v>445</v>
      </c>
      <c r="T4" s="614" t="s">
        <v>723</v>
      </c>
      <c r="U4" s="614" t="s">
        <v>724</v>
      </c>
      <c r="V4" s="615" t="s">
        <v>446</v>
      </c>
      <c r="W4" s="613" t="s">
        <v>726</v>
      </c>
      <c r="X4" s="614" t="s">
        <v>2</v>
      </c>
      <c r="Y4" s="614" t="s">
        <v>445</v>
      </c>
      <c r="Z4" s="614" t="s">
        <v>723</v>
      </c>
      <c r="AA4" s="614" t="s">
        <v>724</v>
      </c>
      <c r="AB4" s="615" t="s">
        <v>446</v>
      </c>
      <c r="AC4" s="622" t="s">
        <v>2</v>
      </c>
      <c r="AD4" s="316" t="s">
        <v>445</v>
      </c>
      <c r="AE4" s="614" t="s">
        <v>723</v>
      </c>
      <c r="AF4" s="614" t="s">
        <v>724</v>
      </c>
      <c r="AG4" s="623" t="s">
        <v>446</v>
      </c>
      <c r="AH4" s="622" t="s">
        <v>7</v>
      </c>
      <c r="AI4" s="316" t="s">
        <v>6</v>
      </c>
      <c r="AJ4" s="623" t="s">
        <v>727</v>
      </c>
      <c r="AK4" s="613" t="s">
        <v>281</v>
      </c>
      <c r="AL4" s="614" t="s">
        <v>7</v>
      </c>
      <c r="AM4" s="614" t="s">
        <v>6</v>
      </c>
      <c r="AN4" s="615" t="s">
        <v>727</v>
      </c>
      <c r="AO4" s="64" t="s">
        <v>551</v>
      </c>
    </row>
    <row r="5" spans="1:41" x14ac:dyDescent="0.25">
      <c r="A5" s="609">
        <v>999</v>
      </c>
      <c r="B5" s="610" t="s">
        <v>9</v>
      </c>
      <c r="C5" s="610"/>
      <c r="D5" s="610"/>
      <c r="E5" s="616">
        <f t="shared" ref="E5" si="0">SUM(E6:E125)</f>
        <v>8326289</v>
      </c>
      <c r="F5" s="617">
        <f t="shared" ref="F5" si="1">SUM(F6:F125)</f>
        <v>5985615</v>
      </c>
      <c r="G5" s="617">
        <f t="shared" ref="G5" si="2">SUM(G6:G125)</f>
        <v>1711801</v>
      </c>
      <c r="H5" s="617">
        <f t="shared" ref="H5" si="3">SUM(H6:H125)</f>
        <v>577726</v>
      </c>
      <c r="I5" s="617">
        <f t="shared" ref="I5" si="4">SUM(I6:I125)</f>
        <v>51147</v>
      </c>
      <c r="J5" s="618">
        <f t="shared" ref="J5" si="5">SUM(J6:J125)</f>
        <v>628873</v>
      </c>
      <c r="K5" s="611">
        <f t="shared" ref="K5" si="6">SUM(K6:K125)</f>
        <v>1869115</v>
      </c>
      <c r="L5" s="617">
        <f t="shared" ref="L5" si="7">SUM(L6:L125)</f>
        <v>1275382</v>
      </c>
      <c r="M5" s="617">
        <f t="shared" ref="M5" si="8">SUM(M6:M125)</f>
        <v>440093</v>
      </c>
      <c r="N5" s="617">
        <f t="shared" ref="N5" si="9">SUM(N6:N125)</f>
        <v>140738</v>
      </c>
      <c r="O5" s="617">
        <f t="shared" ref="O5:P5" si="10">SUM(O6:O125)</f>
        <v>12902</v>
      </c>
      <c r="P5" s="617">
        <f t="shared" si="10"/>
        <v>153640</v>
      </c>
      <c r="Q5" s="616">
        <f>SUM(Q6:Q125)</f>
        <v>5310288</v>
      </c>
      <c r="R5" s="617">
        <f t="shared" ref="R5:S5" si="11">SUM(R6:R125)</f>
        <v>3792261</v>
      </c>
      <c r="S5" s="617">
        <f t="shared" si="11"/>
        <v>1096297</v>
      </c>
      <c r="T5" s="617">
        <f t="shared" ref="T5" si="12">SUM(T6:T125)</f>
        <v>387234</v>
      </c>
      <c r="U5" s="617">
        <f t="shared" ref="U5" si="13">SUM(U6:U125)</f>
        <v>34496</v>
      </c>
      <c r="V5" s="618">
        <f t="shared" ref="V5" si="14">SUM(V6:V125)</f>
        <v>421730</v>
      </c>
      <c r="W5" s="616">
        <f t="shared" ref="W5" si="15">SUM(W6:W125)</f>
        <v>1146886</v>
      </c>
      <c r="X5" s="617">
        <f t="shared" ref="X5" si="16">SUM(X6:X125)</f>
        <v>917972</v>
      </c>
      <c r="Y5" s="617">
        <f t="shared" ref="Y5" si="17">SUM(Y6:Y125)</f>
        <v>175411</v>
      </c>
      <c r="Z5" s="617">
        <f t="shared" ref="Z5" si="18">SUM(Z6:Z125)</f>
        <v>49754</v>
      </c>
      <c r="AA5" s="617">
        <f t="shared" ref="AA5" si="19">SUM(AA6:AA125)</f>
        <v>3749</v>
      </c>
      <c r="AB5" s="618">
        <f t="shared" ref="AB5" si="20">SUM(AB6:AB125)</f>
        <v>53503</v>
      </c>
      <c r="AC5" s="624">
        <f t="shared" ref="AC5" si="21">F5/E5</f>
        <v>0.71888148489681303</v>
      </c>
      <c r="AD5" s="625">
        <f t="shared" ref="AD5" si="22">G5/E5</f>
        <v>0.20558990926209744</v>
      </c>
      <c r="AE5" s="625">
        <f t="shared" ref="AE5" si="23">H5/E5</f>
        <v>6.9385773181786028E-2</v>
      </c>
      <c r="AF5" s="625">
        <f t="shared" ref="AF5" si="24">I5/E5</f>
        <v>6.1428326593035622E-3</v>
      </c>
      <c r="AG5" s="626">
        <f t="shared" ref="AG5" si="25">J5/E5</f>
        <v>7.5528605841089586E-2</v>
      </c>
      <c r="AH5" s="624">
        <f t="shared" ref="AH5" si="26">K5/E5</f>
        <v>0.22448356044331394</v>
      </c>
      <c r="AI5" s="625">
        <f t="shared" ref="AI5" si="27">Q5/E5</f>
        <v>0.63777368284958647</v>
      </c>
      <c r="AJ5" s="626">
        <f t="shared" ref="AJ5" si="28">W5/E5</f>
        <v>0.13774275670709965</v>
      </c>
      <c r="AK5" s="616">
        <f t="shared" ref="AK5:AL5" si="29">SUM(AK6:AK125)</f>
        <v>737316</v>
      </c>
      <c r="AL5" s="617">
        <f t="shared" si="29"/>
        <v>236259</v>
      </c>
      <c r="AM5" s="617">
        <f t="shared" ref="AM5" si="30">SUM(AM6:AM125)</f>
        <v>471982</v>
      </c>
      <c r="AN5" s="618">
        <f t="shared" ref="AN5" si="31">SUM(AN6:AN125)</f>
        <v>29075</v>
      </c>
      <c r="AO5" s="612">
        <f t="shared" ref="AO5" si="32">AK5/E5</f>
        <v>8.8552775432128292E-2</v>
      </c>
    </row>
    <row r="6" spans="1:41" x14ac:dyDescent="0.25">
      <c r="A6" s="270" t="s">
        <v>10</v>
      </c>
      <c r="B6" s="270" t="s">
        <v>11</v>
      </c>
      <c r="C6" s="270" t="s">
        <v>264</v>
      </c>
      <c r="D6" s="270">
        <v>2</v>
      </c>
      <c r="E6" s="619">
        <f t="shared" ref="E6:E37" si="33">SUM(F6:I6)</f>
        <v>33021</v>
      </c>
      <c r="F6" s="620">
        <f>L6+R6+X6</f>
        <v>23008</v>
      </c>
      <c r="G6" s="620">
        <f>M6+S6+Y6</f>
        <v>9485</v>
      </c>
      <c r="H6" s="620">
        <f t="shared" ref="H6:I6" si="34">N6+T6+Z6</f>
        <v>301</v>
      </c>
      <c r="I6" s="620">
        <f t="shared" si="34"/>
        <v>227</v>
      </c>
      <c r="J6" s="621">
        <f t="shared" ref="J6:J37" si="35">H6+I6</f>
        <v>528</v>
      </c>
      <c r="K6" s="271">
        <f t="shared" ref="K6:K37" si="36">SUM(L6:O6)</f>
        <v>6912</v>
      </c>
      <c r="L6" s="620">
        <v>4401</v>
      </c>
      <c r="M6" s="620">
        <v>2381</v>
      </c>
      <c r="N6" s="620">
        <v>66</v>
      </c>
      <c r="O6" s="620">
        <v>64</v>
      </c>
      <c r="P6" s="620">
        <f t="shared" ref="P6:P37" si="37">N6+O6</f>
        <v>130</v>
      </c>
      <c r="Q6" s="619">
        <f t="shared" ref="Q6:Q37" si="38">SUM(R6:U6)</f>
        <v>19091</v>
      </c>
      <c r="R6" s="620">
        <v>12933</v>
      </c>
      <c r="S6" s="620">
        <v>5821</v>
      </c>
      <c r="T6" s="620">
        <v>209</v>
      </c>
      <c r="U6" s="620">
        <v>128</v>
      </c>
      <c r="V6" s="621">
        <f t="shared" ref="V6:V37" si="39">T6+U6</f>
        <v>337</v>
      </c>
      <c r="W6" s="619">
        <f t="shared" ref="W6:W37" si="40">SUM(X6:AA6)</f>
        <v>7018</v>
      </c>
      <c r="X6" s="620">
        <v>5674</v>
      </c>
      <c r="Y6" s="620">
        <v>1283</v>
      </c>
      <c r="Z6" s="620">
        <v>26</v>
      </c>
      <c r="AA6" s="620">
        <v>35</v>
      </c>
      <c r="AB6" s="621">
        <f t="shared" ref="AB6:AB37" si="41">Z6+AA6</f>
        <v>61</v>
      </c>
      <c r="AC6" s="627">
        <f t="shared" ref="AC6:AC37" si="42">F6/E6</f>
        <v>0.69676872293389058</v>
      </c>
      <c r="AD6" s="628">
        <f t="shared" ref="AD6:AD37" si="43">G6/E6</f>
        <v>0.28724145240907301</v>
      </c>
      <c r="AE6" s="628">
        <f t="shared" ref="AE6:AE37" si="44">H6/E6</f>
        <v>9.1154114048635718E-3</v>
      </c>
      <c r="AF6" s="628">
        <f t="shared" ref="AF6:AF37" si="45">I6/E6</f>
        <v>6.8744132521728601E-3</v>
      </c>
      <c r="AG6" s="629">
        <f t="shared" ref="AG6:AG37" si="46">J6/E6</f>
        <v>1.5989824657036432E-2</v>
      </c>
      <c r="AH6" s="627">
        <f t="shared" ref="AH6:AH37" si="47">K6/E6</f>
        <v>0.20932134096484056</v>
      </c>
      <c r="AI6" s="628">
        <f t="shared" ref="AI6:AI37" si="48">Q6/E6</f>
        <v>0.5781472396353835</v>
      </c>
      <c r="AJ6" s="629">
        <f t="shared" ref="AJ6:AJ37" si="49">W6/E6</f>
        <v>0.21253141939977591</v>
      </c>
      <c r="AK6" s="619">
        <f t="shared" ref="AK6:AK37" si="50">SUM(AL6:AN6)</f>
        <v>2924</v>
      </c>
      <c r="AL6" s="620">
        <v>1276</v>
      </c>
      <c r="AM6" s="620">
        <v>1572</v>
      </c>
      <c r="AN6" s="621">
        <v>76</v>
      </c>
      <c r="AO6" s="272">
        <f t="shared" ref="AO6:AO37" si="51">AK6/E6</f>
        <v>8.8549710790103264E-2</v>
      </c>
    </row>
    <row r="7" spans="1:41" x14ac:dyDescent="0.25">
      <c r="A7" s="270" t="s">
        <v>12</v>
      </c>
      <c r="B7" s="270" t="s">
        <v>13</v>
      </c>
      <c r="C7" s="270" t="s">
        <v>265</v>
      </c>
      <c r="D7" s="270">
        <v>3</v>
      </c>
      <c r="E7" s="619">
        <f t="shared" si="33"/>
        <v>104489</v>
      </c>
      <c r="F7" s="620">
        <f t="shared" ref="F7:F70" si="52">L7+R7+X7</f>
        <v>87505</v>
      </c>
      <c r="G7" s="620">
        <f t="shared" ref="G7:G70" si="53">M7+S7+Y7</f>
        <v>11023</v>
      </c>
      <c r="H7" s="620">
        <f t="shared" ref="H7:H70" si="54">N7+T7+Z7</f>
        <v>5524</v>
      </c>
      <c r="I7" s="620">
        <f t="shared" ref="I7:I70" si="55">O7+U7+AA7</f>
        <v>437</v>
      </c>
      <c r="J7" s="621">
        <f t="shared" si="35"/>
        <v>5961</v>
      </c>
      <c r="K7" s="271">
        <f t="shared" si="36"/>
        <v>21923</v>
      </c>
      <c r="L7" s="620">
        <v>17857</v>
      </c>
      <c r="M7" s="620">
        <v>2794</v>
      </c>
      <c r="N7" s="620">
        <v>1142</v>
      </c>
      <c r="O7" s="620">
        <v>130</v>
      </c>
      <c r="P7" s="620">
        <f t="shared" si="37"/>
        <v>1272</v>
      </c>
      <c r="Q7" s="619">
        <f t="shared" si="38"/>
        <v>65312</v>
      </c>
      <c r="R7" s="620">
        <v>53901</v>
      </c>
      <c r="S7" s="620">
        <v>7035</v>
      </c>
      <c r="T7" s="620">
        <v>4097</v>
      </c>
      <c r="U7" s="620">
        <v>279</v>
      </c>
      <c r="V7" s="621">
        <f t="shared" si="39"/>
        <v>4376</v>
      </c>
      <c r="W7" s="619">
        <f t="shared" si="40"/>
        <v>17254</v>
      </c>
      <c r="X7" s="620">
        <v>15747</v>
      </c>
      <c r="Y7" s="620">
        <v>1194</v>
      </c>
      <c r="Z7" s="620">
        <v>285</v>
      </c>
      <c r="AA7" s="620">
        <v>28</v>
      </c>
      <c r="AB7" s="621">
        <f t="shared" si="41"/>
        <v>313</v>
      </c>
      <c r="AC7" s="627">
        <f t="shared" si="42"/>
        <v>0.8374565743762501</v>
      </c>
      <c r="AD7" s="628">
        <f t="shared" si="43"/>
        <v>0.10549435825780704</v>
      </c>
      <c r="AE7" s="628">
        <f t="shared" si="44"/>
        <v>5.2866808946396268E-2</v>
      </c>
      <c r="AF7" s="628">
        <f t="shared" si="45"/>
        <v>4.1822584195465549E-3</v>
      </c>
      <c r="AG7" s="629">
        <f t="shared" si="46"/>
        <v>5.7049067365942827E-2</v>
      </c>
      <c r="AH7" s="627">
        <f t="shared" si="47"/>
        <v>0.20981155911148541</v>
      </c>
      <c r="AI7" s="628">
        <f t="shared" si="48"/>
        <v>0.62506101120692126</v>
      </c>
      <c r="AJ7" s="629">
        <f t="shared" si="49"/>
        <v>0.16512742968159327</v>
      </c>
      <c r="AK7" s="619">
        <f t="shared" si="50"/>
        <v>5913</v>
      </c>
      <c r="AL7" s="620">
        <v>2036</v>
      </c>
      <c r="AM7" s="620">
        <v>3662</v>
      </c>
      <c r="AN7" s="621">
        <v>215</v>
      </c>
      <c r="AO7" s="272">
        <f t="shared" si="51"/>
        <v>5.6589688866770668E-2</v>
      </c>
    </row>
    <row r="8" spans="1:41" x14ac:dyDescent="0.25">
      <c r="A8" s="270" t="s">
        <v>14</v>
      </c>
      <c r="B8" s="270" t="s">
        <v>15</v>
      </c>
      <c r="C8" s="270" t="s">
        <v>267</v>
      </c>
      <c r="D8" s="270">
        <v>3</v>
      </c>
      <c r="E8" s="619">
        <f t="shared" si="33"/>
        <v>150575</v>
      </c>
      <c r="F8" s="620">
        <f t="shared" si="52"/>
        <v>102182</v>
      </c>
      <c r="G8" s="620">
        <f t="shared" si="53"/>
        <v>35337</v>
      </c>
      <c r="H8" s="620">
        <f t="shared" si="54"/>
        <v>11729</v>
      </c>
      <c r="I8" s="620">
        <f t="shared" si="55"/>
        <v>1327</v>
      </c>
      <c r="J8" s="621">
        <f t="shared" si="35"/>
        <v>13056</v>
      </c>
      <c r="K8" s="271">
        <f t="shared" si="36"/>
        <v>26741</v>
      </c>
      <c r="L8" s="620">
        <v>17155</v>
      </c>
      <c r="M8" s="620">
        <v>7485</v>
      </c>
      <c r="N8" s="620">
        <v>1798</v>
      </c>
      <c r="O8" s="620">
        <v>303</v>
      </c>
      <c r="P8" s="620">
        <f t="shared" si="37"/>
        <v>2101</v>
      </c>
      <c r="Q8" s="619">
        <f t="shared" si="38"/>
        <v>108602</v>
      </c>
      <c r="R8" s="620">
        <v>73399</v>
      </c>
      <c r="S8" s="620">
        <v>25301</v>
      </c>
      <c r="T8" s="620">
        <v>8941</v>
      </c>
      <c r="U8" s="620">
        <v>961</v>
      </c>
      <c r="V8" s="621">
        <f t="shared" si="39"/>
        <v>9902</v>
      </c>
      <c r="W8" s="619">
        <f t="shared" si="40"/>
        <v>15232</v>
      </c>
      <c r="X8" s="620">
        <v>11628</v>
      </c>
      <c r="Y8" s="620">
        <v>2551</v>
      </c>
      <c r="Z8" s="620">
        <v>990</v>
      </c>
      <c r="AA8" s="620">
        <v>63</v>
      </c>
      <c r="AB8" s="621">
        <f t="shared" si="41"/>
        <v>1053</v>
      </c>
      <c r="AC8" s="627">
        <f t="shared" si="42"/>
        <v>0.67861198738170347</v>
      </c>
      <c r="AD8" s="628">
        <f t="shared" si="43"/>
        <v>0.23468039183131331</v>
      </c>
      <c r="AE8" s="628">
        <f t="shared" si="44"/>
        <v>7.7894736842105267E-2</v>
      </c>
      <c r="AF8" s="628">
        <f t="shared" si="45"/>
        <v>8.8128839448779681E-3</v>
      </c>
      <c r="AG8" s="629">
        <f t="shared" si="46"/>
        <v>8.6707620786983228E-2</v>
      </c>
      <c r="AH8" s="627">
        <f t="shared" si="47"/>
        <v>0.17759256184625602</v>
      </c>
      <c r="AI8" s="628">
        <f t="shared" si="48"/>
        <v>0.72124854723559684</v>
      </c>
      <c r="AJ8" s="629">
        <f t="shared" si="49"/>
        <v>0.1011588909181471</v>
      </c>
      <c r="AK8" s="619">
        <f t="shared" si="50"/>
        <v>25057</v>
      </c>
      <c r="AL8" s="620">
        <v>6445</v>
      </c>
      <c r="AM8" s="620">
        <v>17562</v>
      </c>
      <c r="AN8" s="621">
        <v>1050</v>
      </c>
      <c r="AO8" s="272">
        <f t="shared" si="51"/>
        <v>0.16640876639548396</v>
      </c>
    </row>
    <row r="9" spans="1:41" x14ac:dyDescent="0.25">
      <c r="A9" s="270" t="s">
        <v>16</v>
      </c>
      <c r="B9" s="270" t="s">
        <v>297</v>
      </c>
      <c r="C9" s="270" t="s">
        <v>265</v>
      </c>
      <c r="D9" s="270">
        <v>2</v>
      </c>
      <c r="E9" s="619">
        <f t="shared" si="33"/>
        <v>21622</v>
      </c>
      <c r="F9" s="620">
        <f t="shared" si="52"/>
        <v>19772</v>
      </c>
      <c r="G9" s="620">
        <f t="shared" si="53"/>
        <v>1646</v>
      </c>
      <c r="H9" s="620">
        <f t="shared" si="54"/>
        <v>145</v>
      </c>
      <c r="I9" s="620">
        <f t="shared" si="55"/>
        <v>59</v>
      </c>
      <c r="J9" s="621">
        <f t="shared" si="35"/>
        <v>204</v>
      </c>
      <c r="K9" s="271">
        <f t="shared" si="36"/>
        <v>4320</v>
      </c>
      <c r="L9" s="620">
        <v>3832</v>
      </c>
      <c r="M9" s="620">
        <v>422</v>
      </c>
      <c r="N9" s="620">
        <v>54</v>
      </c>
      <c r="O9" s="620">
        <v>12</v>
      </c>
      <c r="P9" s="620">
        <f t="shared" si="37"/>
        <v>66</v>
      </c>
      <c r="Q9" s="619">
        <f t="shared" si="38"/>
        <v>12355</v>
      </c>
      <c r="R9" s="620">
        <v>11326</v>
      </c>
      <c r="S9" s="620">
        <v>920</v>
      </c>
      <c r="T9" s="620">
        <v>73</v>
      </c>
      <c r="U9" s="620">
        <v>36</v>
      </c>
      <c r="V9" s="621">
        <f t="shared" si="39"/>
        <v>109</v>
      </c>
      <c r="W9" s="619">
        <f t="shared" si="40"/>
        <v>4947</v>
      </c>
      <c r="X9" s="620">
        <v>4614</v>
      </c>
      <c r="Y9" s="620">
        <v>304</v>
      </c>
      <c r="Z9" s="620">
        <v>18</v>
      </c>
      <c r="AA9" s="620">
        <v>11</v>
      </c>
      <c r="AB9" s="621">
        <f t="shared" si="41"/>
        <v>29</v>
      </c>
      <c r="AC9" s="627">
        <f t="shared" si="42"/>
        <v>0.91443899731754696</v>
      </c>
      <c r="AD9" s="628">
        <f t="shared" si="43"/>
        <v>7.6126167792063645E-2</v>
      </c>
      <c r="AE9" s="628">
        <f t="shared" si="44"/>
        <v>6.7061326426787532E-3</v>
      </c>
      <c r="AF9" s="628">
        <f t="shared" si="45"/>
        <v>2.7287022477106649E-3</v>
      </c>
      <c r="AG9" s="629">
        <f t="shared" si="46"/>
        <v>9.434834890389418E-3</v>
      </c>
      <c r="AH9" s="627">
        <f t="shared" si="47"/>
        <v>0.19979650356118767</v>
      </c>
      <c r="AI9" s="628">
        <f t="shared" si="48"/>
        <v>0.57140875034686889</v>
      </c>
      <c r="AJ9" s="629">
        <f t="shared" si="49"/>
        <v>0.22879474609194339</v>
      </c>
      <c r="AK9" s="619">
        <f t="shared" si="50"/>
        <v>363</v>
      </c>
      <c r="AL9" s="620">
        <v>131</v>
      </c>
      <c r="AM9" s="620">
        <v>191</v>
      </c>
      <c r="AN9" s="621">
        <v>41</v>
      </c>
      <c r="AO9" s="272">
        <f t="shared" si="51"/>
        <v>1.6788456202016466E-2</v>
      </c>
    </row>
    <row r="10" spans="1:41" x14ac:dyDescent="0.25">
      <c r="A10" s="270" t="s">
        <v>18</v>
      </c>
      <c r="B10" s="270" t="s">
        <v>19</v>
      </c>
      <c r="C10" s="270" t="s">
        <v>266</v>
      </c>
      <c r="D10" s="270">
        <v>1</v>
      </c>
      <c r="E10" s="619">
        <f t="shared" si="33"/>
        <v>12855</v>
      </c>
      <c r="F10" s="620">
        <f t="shared" si="52"/>
        <v>9723</v>
      </c>
      <c r="G10" s="620">
        <f t="shared" si="53"/>
        <v>2911</v>
      </c>
      <c r="H10" s="620">
        <f t="shared" si="54"/>
        <v>150</v>
      </c>
      <c r="I10" s="620">
        <f t="shared" si="55"/>
        <v>71</v>
      </c>
      <c r="J10" s="621">
        <f t="shared" si="35"/>
        <v>221</v>
      </c>
      <c r="K10" s="271">
        <f t="shared" si="36"/>
        <v>2707</v>
      </c>
      <c r="L10" s="620">
        <v>2070</v>
      </c>
      <c r="M10" s="620">
        <v>575</v>
      </c>
      <c r="N10" s="620">
        <v>52</v>
      </c>
      <c r="O10" s="620">
        <v>10</v>
      </c>
      <c r="P10" s="620">
        <f t="shared" si="37"/>
        <v>62</v>
      </c>
      <c r="Q10" s="619">
        <f t="shared" si="38"/>
        <v>7810</v>
      </c>
      <c r="R10" s="620">
        <v>5929</v>
      </c>
      <c r="S10" s="620">
        <v>1734</v>
      </c>
      <c r="T10" s="620">
        <v>93</v>
      </c>
      <c r="U10" s="620">
        <v>54</v>
      </c>
      <c r="V10" s="621">
        <f t="shared" si="39"/>
        <v>147</v>
      </c>
      <c r="W10" s="619">
        <f t="shared" si="40"/>
        <v>2338</v>
      </c>
      <c r="X10" s="620">
        <v>1724</v>
      </c>
      <c r="Y10" s="620">
        <v>602</v>
      </c>
      <c r="Z10" s="620">
        <v>5</v>
      </c>
      <c r="AA10" s="620">
        <v>7</v>
      </c>
      <c r="AB10" s="621">
        <f t="shared" si="41"/>
        <v>12</v>
      </c>
      <c r="AC10" s="627">
        <f t="shared" si="42"/>
        <v>0.75635939323220536</v>
      </c>
      <c r="AD10" s="628">
        <f t="shared" si="43"/>
        <v>0.22644885258654221</v>
      </c>
      <c r="AE10" s="628">
        <f t="shared" si="44"/>
        <v>1.1668611435239206E-2</v>
      </c>
      <c r="AF10" s="628">
        <f t="shared" si="45"/>
        <v>5.5231427460132243E-3</v>
      </c>
      <c r="AG10" s="629">
        <f t="shared" si="46"/>
        <v>1.719175418125243E-2</v>
      </c>
      <c r="AH10" s="627">
        <f t="shared" si="47"/>
        <v>0.21057954103461687</v>
      </c>
      <c r="AI10" s="628">
        <f t="shared" si="48"/>
        <v>0.60754570206145464</v>
      </c>
      <c r="AJ10" s="629">
        <f t="shared" si="49"/>
        <v>0.18187475690392843</v>
      </c>
      <c r="AK10" s="619">
        <f t="shared" si="50"/>
        <v>402</v>
      </c>
      <c r="AL10" s="620">
        <v>131</v>
      </c>
      <c r="AM10" s="620">
        <v>254</v>
      </c>
      <c r="AN10" s="621">
        <v>17</v>
      </c>
      <c r="AO10" s="272">
        <f t="shared" si="51"/>
        <v>3.127187864644107E-2</v>
      </c>
    </row>
    <row r="11" spans="1:41" x14ac:dyDescent="0.25">
      <c r="A11" s="270" t="s">
        <v>20</v>
      </c>
      <c r="B11" s="270" t="s">
        <v>21</v>
      </c>
      <c r="C11" s="270" t="s">
        <v>265</v>
      </c>
      <c r="D11" s="270">
        <v>2</v>
      </c>
      <c r="E11" s="619">
        <f t="shared" si="33"/>
        <v>32041</v>
      </c>
      <c r="F11" s="620">
        <f t="shared" si="52"/>
        <v>25129</v>
      </c>
      <c r="G11" s="620">
        <f t="shared" si="53"/>
        <v>6401</v>
      </c>
      <c r="H11" s="620">
        <f t="shared" si="54"/>
        <v>226</v>
      </c>
      <c r="I11" s="620">
        <f t="shared" si="55"/>
        <v>285</v>
      </c>
      <c r="J11" s="621">
        <f t="shared" si="35"/>
        <v>511</v>
      </c>
      <c r="K11" s="271">
        <f t="shared" si="36"/>
        <v>6351</v>
      </c>
      <c r="L11" s="620">
        <v>4871</v>
      </c>
      <c r="M11" s="620">
        <v>1374</v>
      </c>
      <c r="N11" s="620">
        <v>59</v>
      </c>
      <c r="O11" s="620">
        <v>47</v>
      </c>
      <c r="P11" s="620">
        <f t="shared" si="37"/>
        <v>106</v>
      </c>
      <c r="Q11" s="619">
        <f t="shared" si="38"/>
        <v>19635</v>
      </c>
      <c r="R11" s="620">
        <v>15337</v>
      </c>
      <c r="S11" s="620">
        <v>3969</v>
      </c>
      <c r="T11" s="620">
        <v>147</v>
      </c>
      <c r="U11" s="620">
        <v>182</v>
      </c>
      <c r="V11" s="621">
        <f t="shared" si="39"/>
        <v>329</v>
      </c>
      <c r="W11" s="619">
        <f t="shared" si="40"/>
        <v>6055</v>
      </c>
      <c r="X11" s="620">
        <v>4921</v>
      </c>
      <c r="Y11" s="620">
        <v>1058</v>
      </c>
      <c r="Z11" s="620">
        <v>20</v>
      </c>
      <c r="AA11" s="620">
        <v>56</v>
      </c>
      <c r="AB11" s="621">
        <f t="shared" si="41"/>
        <v>76</v>
      </c>
      <c r="AC11" s="627">
        <f t="shared" si="42"/>
        <v>0.78427639586779441</v>
      </c>
      <c r="AD11" s="628">
        <f t="shared" si="43"/>
        <v>0.19977528791236229</v>
      </c>
      <c r="AE11" s="628">
        <f t="shared" si="44"/>
        <v>7.0534627508504729E-3</v>
      </c>
      <c r="AF11" s="628">
        <f t="shared" si="45"/>
        <v>8.8948534689928527E-3</v>
      </c>
      <c r="AG11" s="629">
        <f t="shared" si="46"/>
        <v>1.5948316219843325E-2</v>
      </c>
      <c r="AH11" s="627">
        <f t="shared" si="47"/>
        <v>0.19821478730376704</v>
      </c>
      <c r="AI11" s="628">
        <f t="shared" si="48"/>
        <v>0.61280858899534973</v>
      </c>
      <c r="AJ11" s="629">
        <f t="shared" si="49"/>
        <v>0.18897662370088325</v>
      </c>
      <c r="AK11" s="619">
        <f t="shared" si="50"/>
        <v>714</v>
      </c>
      <c r="AL11" s="620">
        <v>228</v>
      </c>
      <c r="AM11" s="620">
        <v>438</v>
      </c>
      <c r="AN11" s="621">
        <v>48</v>
      </c>
      <c r="AO11" s="272">
        <f t="shared" si="51"/>
        <v>2.2283948690739991E-2</v>
      </c>
    </row>
    <row r="12" spans="1:41" x14ac:dyDescent="0.25">
      <c r="A12" s="270" t="s">
        <v>22</v>
      </c>
      <c r="B12" s="270" t="s">
        <v>23</v>
      </c>
      <c r="C12" s="270" t="s">
        <v>265</v>
      </c>
      <c r="D12" s="270">
        <v>1</v>
      </c>
      <c r="E12" s="619">
        <f t="shared" si="33"/>
        <v>15279</v>
      </c>
      <c r="F12" s="620">
        <f t="shared" si="52"/>
        <v>11980</v>
      </c>
      <c r="G12" s="620">
        <f t="shared" si="53"/>
        <v>3182</v>
      </c>
      <c r="H12" s="620">
        <f t="shared" si="54"/>
        <v>72</v>
      </c>
      <c r="I12" s="620">
        <f t="shared" si="55"/>
        <v>45</v>
      </c>
      <c r="J12" s="621">
        <f t="shared" si="35"/>
        <v>117</v>
      </c>
      <c r="K12" s="271">
        <f t="shared" si="36"/>
        <v>3350</v>
      </c>
      <c r="L12" s="620">
        <v>2501</v>
      </c>
      <c r="M12" s="620">
        <v>824</v>
      </c>
      <c r="N12" s="620">
        <v>18</v>
      </c>
      <c r="O12" s="620">
        <v>7</v>
      </c>
      <c r="P12" s="620">
        <f t="shared" si="37"/>
        <v>25</v>
      </c>
      <c r="Q12" s="619">
        <f t="shared" si="38"/>
        <v>9013</v>
      </c>
      <c r="R12" s="620">
        <v>7083</v>
      </c>
      <c r="S12" s="620">
        <v>1852</v>
      </c>
      <c r="T12" s="620">
        <v>47</v>
      </c>
      <c r="U12" s="620">
        <v>31</v>
      </c>
      <c r="V12" s="621">
        <f t="shared" si="39"/>
        <v>78</v>
      </c>
      <c r="W12" s="619">
        <f t="shared" si="40"/>
        <v>2916</v>
      </c>
      <c r="X12" s="620">
        <v>2396</v>
      </c>
      <c r="Y12" s="620">
        <v>506</v>
      </c>
      <c r="Z12" s="620">
        <v>7</v>
      </c>
      <c r="AA12" s="620">
        <v>7</v>
      </c>
      <c r="AB12" s="621">
        <f t="shared" si="41"/>
        <v>14</v>
      </c>
      <c r="AC12" s="627">
        <f t="shared" si="42"/>
        <v>0.78408272792722034</v>
      </c>
      <c r="AD12" s="628">
        <f t="shared" si="43"/>
        <v>0.20825970286013482</v>
      </c>
      <c r="AE12" s="628">
        <f t="shared" si="44"/>
        <v>4.7123502847044967E-3</v>
      </c>
      <c r="AF12" s="628">
        <f t="shared" si="45"/>
        <v>2.9452189279403104E-3</v>
      </c>
      <c r="AG12" s="629">
        <f t="shared" si="46"/>
        <v>7.6575692126448066E-3</v>
      </c>
      <c r="AH12" s="627">
        <f t="shared" si="47"/>
        <v>0.21925518685777864</v>
      </c>
      <c r="AI12" s="628">
        <f t="shared" si="48"/>
        <v>0.58989462661168923</v>
      </c>
      <c r="AJ12" s="629">
        <f t="shared" si="49"/>
        <v>0.1908501865305321</v>
      </c>
      <c r="AK12" s="619">
        <f t="shared" si="50"/>
        <v>187</v>
      </c>
      <c r="AL12" s="620">
        <v>61</v>
      </c>
      <c r="AM12" s="620">
        <v>109</v>
      </c>
      <c r="AN12" s="621">
        <v>17</v>
      </c>
      <c r="AO12" s="272">
        <f t="shared" si="51"/>
        <v>1.2239020878329733E-2</v>
      </c>
    </row>
    <row r="13" spans="1:41" x14ac:dyDescent="0.25">
      <c r="A13" s="270" t="s">
        <v>24</v>
      </c>
      <c r="B13" s="270" t="s">
        <v>25</v>
      </c>
      <c r="C13" s="270" t="s">
        <v>267</v>
      </c>
      <c r="D13" s="270">
        <v>3</v>
      </c>
      <c r="E13" s="619">
        <f t="shared" si="33"/>
        <v>226908</v>
      </c>
      <c r="F13" s="620">
        <f t="shared" si="52"/>
        <v>177512</v>
      </c>
      <c r="G13" s="620">
        <f t="shared" si="53"/>
        <v>21833</v>
      </c>
      <c r="H13" s="620">
        <f t="shared" si="54"/>
        <v>25707</v>
      </c>
      <c r="I13" s="620">
        <f t="shared" si="55"/>
        <v>1856</v>
      </c>
      <c r="J13" s="621">
        <f t="shared" si="35"/>
        <v>27563</v>
      </c>
      <c r="K13" s="271">
        <f t="shared" si="36"/>
        <v>38935</v>
      </c>
      <c r="L13" s="620">
        <v>29877</v>
      </c>
      <c r="M13" s="620">
        <v>4344</v>
      </c>
      <c r="N13" s="620">
        <v>4308</v>
      </c>
      <c r="O13" s="620">
        <v>406</v>
      </c>
      <c r="P13" s="620">
        <f t="shared" si="37"/>
        <v>4714</v>
      </c>
      <c r="Q13" s="619">
        <f t="shared" si="38"/>
        <v>166930</v>
      </c>
      <c r="R13" s="620">
        <v>130484</v>
      </c>
      <c r="S13" s="620">
        <v>15543</v>
      </c>
      <c r="T13" s="620">
        <v>19565</v>
      </c>
      <c r="U13" s="620">
        <v>1338</v>
      </c>
      <c r="V13" s="621">
        <f t="shared" si="39"/>
        <v>20903</v>
      </c>
      <c r="W13" s="619">
        <f t="shared" si="40"/>
        <v>21043</v>
      </c>
      <c r="X13" s="620">
        <v>17151</v>
      </c>
      <c r="Y13" s="620">
        <v>1946</v>
      </c>
      <c r="Z13" s="620">
        <v>1834</v>
      </c>
      <c r="AA13" s="620">
        <v>112</v>
      </c>
      <c r="AB13" s="621">
        <f t="shared" si="41"/>
        <v>1946</v>
      </c>
      <c r="AC13" s="627">
        <f t="shared" si="42"/>
        <v>0.78230824827683465</v>
      </c>
      <c r="AD13" s="628">
        <f t="shared" si="43"/>
        <v>9.6219613235320037E-2</v>
      </c>
      <c r="AE13" s="628">
        <f t="shared" si="44"/>
        <v>0.11329261198371146</v>
      </c>
      <c r="AF13" s="628">
        <f t="shared" si="45"/>
        <v>8.1795265041338348E-3</v>
      </c>
      <c r="AG13" s="629">
        <f t="shared" si="46"/>
        <v>0.1214721384878453</v>
      </c>
      <c r="AH13" s="627">
        <f t="shared" si="47"/>
        <v>0.17158936661554464</v>
      </c>
      <c r="AI13" s="628">
        <f t="shared" si="48"/>
        <v>0.73567260740035612</v>
      </c>
      <c r="AJ13" s="629">
        <f t="shared" si="49"/>
        <v>9.2738025984099276E-2</v>
      </c>
      <c r="AK13" s="619">
        <f t="shared" si="50"/>
        <v>35648</v>
      </c>
      <c r="AL13" s="620">
        <v>8542</v>
      </c>
      <c r="AM13" s="620">
        <v>25202</v>
      </c>
      <c r="AN13" s="621">
        <v>1904</v>
      </c>
      <c r="AO13" s="272">
        <f t="shared" si="51"/>
        <v>0.15710331940698433</v>
      </c>
    </row>
    <row r="14" spans="1:41" x14ac:dyDescent="0.25">
      <c r="A14" s="270" t="s">
        <v>26</v>
      </c>
      <c r="B14" s="270" t="s">
        <v>686</v>
      </c>
      <c r="C14" s="270" t="s">
        <v>265</v>
      </c>
      <c r="D14" s="270">
        <v>3</v>
      </c>
      <c r="E14" s="619">
        <f t="shared" si="33"/>
        <v>119766</v>
      </c>
      <c r="F14" s="620">
        <f t="shared" si="52"/>
        <v>108882</v>
      </c>
      <c r="G14" s="620">
        <f t="shared" si="53"/>
        <v>9387</v>
      </c>
      <c r="H14" s="620">
        <f t="shared" si="54"/>
        <v>1123</v>
      </c>
      <c r="I14" s="620">
        <f t="shared" si="55"/>
        <v>374</v>
      </c>
      <c r="J14" s="621">
        <f t="shared" si="35"/>
        <v>1497</v>
      </c>
      <c r="K14" s="271">
        <f t="shared" si="36"/>
        <v>24270</v>
      </c>
      <c r="L14" s="620">
        <v>21554</v>
      </c>
      <c r="M14" s="620">
        <v>2375</v>
      </c>
      <c r="N14" s="620">
        <v>269</v>
      </c>
      <c r="O14" s="620">
        <v>72</v>
      </c>
      <c r="P14" s="620">
        <f t="shared" si="37"/>
        <v>341</v>
      </c>
      <c r="Q14" s="619">
        <f t="shared" si="38"/>
        <v>72428</v>
      </c>
      <c r="R14" s="620">
        <v>65423</v>
      </c>
      <c r="S14" s="620">
        <v>5977</v>
      </c>
      <c r="T14" s="620">
        <v>754</v>
      </c>
      <c r="U14" s="620">
        <v>274</v>
      </c>
      <c r="V14" s="621">
        <f t="shared" si="39"/>
        <v>1028</v>
      </c>
      <c r="W14" s="619">
        <f t="shared" si="40"/>
        <v>23068</v>
      </c>
      <c r="X14" s="620">
        <v>21905</v>
      </c>
      <c r="Y14" s="620">
        <v>1035</v>
      </c>
      <c r="Z14" s="620">
        <v>100</v>
      </c>
      <c r="AA14" s="620">
        <v>28</v>
      </c>
      <c r="AB14" s="621">
        <f t="shared" si="41"/>
        <v>128</v>
      </c>
      <c r="AC14" s="627">
        <f t="shared" si="42"/>
        <v>0.90912278943940683</v>
      </c>
      <c r="AD14" s="628">
        <f t="shared" si="43"/>
        <v>7.8377836781724358E-2</v>
      </c>
      <c r="AE14" s="628">
        <f t="shared" si="44"/>
        <v>9.3766177379222826E-3</v>
      </c>
      <c r="AF14" s="628">
        <f t="shared" si="45"/>
        <v>3.1227560409465122E-3</v>
      </c>
      <c r="AG14" s="629">
        <f t="shared" si="46"/>
        <v>1.2499373778868793E-2</v>
      </c>
      <c r="AH14" s="627">
        <f t="shared" si="47"/>
        <v>0.20264515805821351</v>
      </c>
      <c r="AI14" s="628">
        <f t="shared" si="48"/>
        <v>0.60474592121303206</v>
      </c>
      <c r="AJ14" s="629">
        <f t="shared" si="49"/>
        <v>0.19260892072875441</v>
      </c>
      <c r="AK14" s="619">
        <f t="shared" si="50"/>
        <v>3987</v>
      </c>
      <c r="AL14" s="620">
        <v>1458</v>
      </c>
      <c r="AM14" s="620">
        <v>2356</v>
      </c>
      <c r="AN14" s="621">
        <v>173</v>
      </c>
      <c r="AO14" s="272">
        <f t="shared" si="51"/>
        <v>3.328991533490306E-2</v>
      </c>
    </row>
    <row r="15" spans="1:41" x14ac:dyDescent="0.25">
      <c r="A15" s="270" t="s">
        <v>27</v>
      </c>
      <c r="B15" s="270" t="s">
        <v>28</v>
      </c>
      <c r="C15" s="270" t="s">
        <v>265</v>
      </c>
      <c r="D15" s="270">
        <v>1</v>
      </c>
      <c r="E15" s="619">
        <f t="shared" si="33"/>
        <v>4563</v>
      </c>
      <c r="F15" s="620">
        <f t="shared" si="52"/>
        <v>4294</v>
      </c>
      <c r="G15" s="620">
        <f t="shared" si="53"/>
        <v>244</v>
      </c>
      <c r="H15" s="620">
        <f t="shared" si="54"/>
        <v>18</v>
      </c>
      <c r="I15" s="620">
        <f t="shared" si="55"/>
        <v>7</v>
      </c>
      <c r="J15" s="621">
        <f t="shared" si="35"/>
        <v>25</v>
      </c>
      <c r="K15" s="271">
        <f t="shared" si="36"/>
        <v>731</v>
      </c>
      <c r="L15" s="620">
        <v>689</v>
      </c>
      <c r="M15" s="620">
        <v>39</v>
      </c>
      <c r="N15" s="620">
        <v>2</v>
      </c>
      <c r="O15" s="620">
        <v>1</v>
      </c>
      <c r="P15" s="620">
        <f t="shared" si="37"/>
        <v>3</v>
      </c>
      <c r="Q15" s="619">
        <f t="shared" si="38"/>
        <v>2690</v>
      </c>
      <c r="R15" s="620">
        <v>2520</v>
      </c>
      <c r="S15" s="620">
        <v>154</v>
      </c>
      <c r="T15" s="620">
        <v>11</v>
      </c>
      <c r="U15" s="620">
        <v>5</v>
      </c>
      <c r="V15" s="621">
        <f t="shared" si="39"/>
        <v>16</v>
      </c>
      <c r="W15" s="619">
        <f t="shared" si="40"/>
        <v>1142</v>
      </c>
      <c r="X15" s="620">
        <v>1085</v>
      </c>
      <c r="Y15" s="620">
        <v>51</v>
      </c>
      <c r="Z15" s="620">
        <v>5</v>
      </c>
      <c r="AA15" s="620">
        <v>1</v>
      </c>
      <c r="AB15" s="621">
        <f t="shared" si="41"/>
        <v>6</v>
      </c>
      <c r="AC15" s="627">
        <f t="shared" si="42"/>
        <v>0.94104755643217186</v>
      </c>
      <c r="AD15" s="628">
        <f t="shared" si="43"/>
        <v>5.3473591935130398E-2</v>
      </c>
      <c r="AE15" s="628">
        <f t="shared" si="44"/>
        <v>3.9447731755424065E-3</v>
      </c>
      <c r="AF15" s="628">
        <f t="shared" si="45"/>
        <v>1.5340784571553803E-3</v>
      </c>
      <c r="AG15" s="629">
        <f t="shared" si="46"/>
        <v>5.4788516326977864E-3</v>
      </c>
      <c r="AH15" s="627">
        <f t="shared" si="47"/>
        <v>0.16020162174008329</v>
      </c>
      <c r="AI15" s="628">
        <f t="shared" si="48"/>
        <v>0.58952443567828183</v>
      </c>
      <c r="AJ15" s="629">
        <f t="shared" si="49"/>
        <v>0.25027394258163488</v>
      </c>
      <c r="AK15" s="619">
        <f t="shared" si="50"/>
        <v>81</v>
      </c>
      <c r="AL15" s="620">
        <v>26</v>
      </c>
      <c r="AM15" s="620">
        <v>49</v>
      </c>
      <c r="AN15" s="621">
        <v>6</v>
      </c>
      <c r="AO15" s="272">
        <f t="shared" si="51"/>
        <v>1.7751479289940829E-2</v>
      </c>
    </row>
    <row r="16" spans="1:41" x14ac:dyDescent="0.25">
      <c r="A16" s="270" t="s">
        <v>29</v>
      </c>
      <c r="B16" s="484" t="s">
        <v>941</v>
      </c>
      <c r="C16" s="270" t="s">
        <v>265</v>
      </c>
      <c r="D16" s="270">
        <v>2</v>
      </c>
      <c r="E16" s="619">
        <f t="shared" si="33"/>
        <v>76583</v>
      </c>
      <c r="F16" s="620">
        <f t="shared" si="52"/>
        <v>69617</v>
      </c>
      <c r="G16" s="620">
        <f t="shared" si="53"/>
        <v>5695</v>
      </c>
      <c r="H16" s="620">
        <f t="shared" si="54"/>
        <v>1033</v>
      </c>
      <c r="I16" s="620">
        <f t="shared" si="55"/>
        <v>238</v>
      </c>
      <c r="J16" s="621">
        <f t="shared" si="35"/>
        <v>1271</v>
      </c>
      <c r="K16" s="271">
        <f t="shared" si="36"/>
        <v>15651</v>
      </c>
      <c r="L16" s="620">
        <v>13955</v>
      </c>
      <c r="M16" s="620">
        <v>1318</v>
      </c>
      <c r="N16" s="620">
        <v>322</v>
      </c>
      <c r="O16" s="620">
        <v>56</v>
      </c>
      <c r="P16" s="620">
        <f t="shared" si="37"/>
        <v>378</v>
      </c>
      <c r="Q16" s="619">
        <f t="shared" si="38"/>
        <v>46068</v>
      </c>
      <c r="R16" s="620">
        <v>41695</v>
      </c>
      <c r="S16" s="620">
        <v>3564</v>
      </c>
      <c r="T16" s="620">
        <v>648</v>
      </c>
      <c r="U16" s="620">
        <v>161</v>
      </c>
      <c r="V16" s="621">
        <f t="shared" si="39"/>
        <v>809</v>
      </c>
      <c r="W16" s="619">
        <f t="shared" si="40"/>
        <v>14864</v>
      </c>
      <c r="X16" s="620">
        <v>13967</v>
      </c>
      <c r="Y16" s="620">
        <v>813</v>
      </c>
      <c r="Z16" s="620">
        <v>63</v>
      </c>
      <c r="AA16" s="620">
        <v>21</v>
      </c>
      <c r="AB16" s="621">
        <f t="shared" si="41"/>
        <v>84</v>
      </c>
      <c r="AC16" s="627">
        <f t="shared" si="42"/>
        <v>0.90903986524424485</v>
      </c>
      <c r="AD16" s="628">
        <f t="shared" si="43"/>
        <v>7.4363762192653726E-2</v>
      </c>
      <c r="AE16" s="628">
        <f t="shared" si="44"/>
        <v>1.3488633247587584E-2</v>
      </c>
      <c r="AF16" s="628">
        <f t="shared" si="45"/>
        <v>3.1077393155138867E-3</v>
      </c>
      <c r="AG16" s="629">
        <f t="shared" si="46"/>
        <v>1.6596372563101473E-2</v>
      </c>
      <c r="AH16" s="627">
        <f t="shared" si="47"/>
        <v>0.20436650431557918</v>
      </c>
      <c r="AI16" s="628">
        <f t="shared" si="48"/>
        <v>0.60154342347518375</v>
      </c>
      <c r="AJ16" s="629">
        <f t="shared" si="49"/>
        <v>0.19409007220923705</v>
      </c>
      <c r="AK16" s="619">
        <f t="shared" si="50"/>
        <v>1564</v>
      </c>
      <c r="AL16" s="620">
        <v>498</v>
      </c>
      <c r="AM16" s="620">
        <v>959</v>
      </c>
      <c r="AN16" s="621">
        <v>107</v>
      </c>
      <c r="AO16" s="272">
        <f t="shared" si="51"/>
        <v>2.0422286930519829E-2</v>
      </c>
    </row>
    <row r="17" spans="1:41" x14ac:dyDescent="0.25">
      <c r="A17" s="270" t="s">
        <v>30</v>
      </c>
      <c r="B17" s="270" t="s">
        <v>31</v>
      </c>
      <c r="C17" s="270" t="s">
        <v>268</v>
      </c>
      <c r="D17" s="270">
        <v>1</v>
      </c>
      <c r="E17" s="619">
        <f t="shared" si="33"/>
        <v>6625</v>
      </c>
      <c r="F17" s="620">
        <f t="shared" si="52"/>
        <v>6335</v>
      </c>
      <c r="G17" s="620">
        <f t="shared" si="53"/>
        <v>262</v>
      </c>
      <c r="H17" s="620">
        <f t="shared" si="54"/>
        <v>23</v>
      </c>
      <c r="I17" s="620">
        <f t="shared" si="55"/>
        <v>5</v>
      </c>
      <c r="J17" s="621">
        <f t="shared" si="35"/>
        <v>28</v>
      </c>
      <c r="K17" s="271">
        <f t="shared" si="36"/>
        <v>1109</v>
      </c>
      <c r="L17" s="620">
        <v>1072</v>
      </c>
      <c r="M17" s="620">
        <v>31</v>
      </c>
      <c r="N17" s="620">
        <v>2</v>
      </c>
      <c r="O17" s="620">
        <v>4</v>
      </c>
      <c r="P17" s="620">
        <f t="shared" si="37"/>
        <v>6</v>
      </c>
      <c r="Q17" s="619">
        <f t="shared" si="38"/>
        <v>4172</v>
      </c>
      <c r="R17" s="620">
        <v>3956</v>
      </c>
      <c r="S17" s="620">
        <v>200</v>
      </c>
      <c r="T17" s="620">
        <v>15</v>
      </c>
      <c r="U17" s="620">
        <v>1</v>
      </c>
      <c r="V17" s="621">
        <f t="shared" si="39"/>
        <v>16</v>
      </c>
      <c r="W17" s="619">
        <f t="shared" si="40"/>
        <v>1344</v>
      </c>
      <c r="X17" s="620">
        <v>1307</v>
      </c>
      <c r="Y17" s="620">
        <v>31</v>
      </c>
      <c r="Z17" s="620">
        <v>6</v>
      </c>
      <c r="AA17" s="620">
        <v>0</v>
      </c>
      <c r="AB17" s="621">
        <f t="shared" si="41"/>
        <v>6</v>
      </c>
      <c r="AC17" s="627">
        <f t="shared" si="42"/>
        <v>0.95622641509433959</v>
      </c>
      <c r="AD17" s="628">
        <f t="shared" si="43"/>
        <v>3.9547169811320754E-2</v>
      </c>
      <c r="AE17" s="628">
        <f t="shared" si="44"/>
        <v>3.4716981132075471E-3</v>
      </c>
      <c r="AF17" s="628">
        <f t="shared" si="45"/>
        <v>7.5471698113207543E-4</v>
      </c>
      <c r="AG17" s="629">
        <f t="shared" si="46"/>
        <v>4.2264150943396228E-3</v>
      </c>
      <c r="AH17" s="627">
        <f t="shared" si="47"/>
        <v>0.16739622641509433</v>
      </c>
      <c r="AI17" s="628">
        <f t="shared" si="48"/>
        <v>0.62973584905660374</v>
      </c>
      <c r="AJ17" s="629">
        <f t="shared" si="49"/>
        <v>0.20286792452830188</v>
      </c>
      <c r="AK17" s="619">
        <f t="shared" si="50"/>
        <v>45</v>
      </c>
      <c r="AL17" s="620">
        <v>10</v>
      </c>
      <c r="AM17" s="620">
        <v>32</v>
      </c>
      <c r="AN17" s="621">
        <v>3</v>
      </c>
      <c r="AO17" s="272">
        <f t="shared" si="51"/>
        <v>6.7924528301886791E-3</v>
      </c>
    </row>
    <row r="18" spans="1:41" x14ac:dyDescent="0.25">
      <c r="A18" s="270" t="s">
        <v>32</v>
      </c>
      <c r="B18" s="270" t="s">
        <v>33</v>
      </c>
      <c r="C18" s="270" t="s">
        <v>265</v>
      </c>
      <c r="D18" s="270">
        <v>1</v>
      </c>
      <c r="E18" s="619">
        <f t="shared" si="33"/>
        <v>33100</v>
      </c>
      <c r="F18" s="620">
        <f t="shared" si="52"/>
        <v>31479</v>
      </c>
      <c r="G18" s="620">
        <f t="shared" si="53"/>
        <v>1254</v>
      </c>
      <c r="H18" s="620">
        <f t="shared" si="54"/>
        <v>266</v>
      </c>
      <c r="I18" s="620">
        <f t="shared" si="55"/>
        <v>101</v>
      </c>
      <c r="J18" s="621">
        <f t="shared" si="35"/>
        <v>367</v>
      </c>
      <c r="K18" s="271">
        <f t="shared" si="36"/>
        <v>6641</v>
      </c>
      <c r="L18" s="620">
        <v>6231</v>
      </c>
      <c r="M18" s="620">
        <v>315</v>
      </c>
      <c r="N18" s="620">
        <v>66</v>
      </c>
      <c r="O18" s="620">
        <v>29</v>
      </c>
      <c r="P18" s="620">
        <f t="shared" si="37"/>
        <v>95</v>
      </c>
      <c r="Q18" s="619">
        <f t="shared" si="38"/>
        <v>19862</v>
      </c>
      <c r="R18" s="620">
        <v>18893</v>
      </c>
      <c r="S18" s="620">
        <v>740</v>
      </c>
      <c r="T18" s="620">
        <v>170</v>
      </c>
      <c r="U18" s="620">
        <v>59</v>
      </c>
      <c r="V18" s="621">
        <f t="shared" si="39"/>
        <v>229</v>
      </c>
      <c r="W18" s="619">
        <f t="shared" si="40"/>
        <v>6597</v>
      </c>
      <c r="X18" s="620">
        <v>6355</v>
      </c>
      <c r="Y18" s="620">
        <v>199</v>
      </c>
      <c r="Z18" s="620">
        <v>30</v>
      </c>
      <c r="AA18" s="620">
        <v>13</v>
      </c>
      <c r="AB18" s="621">
        <f t="shared" si="41"/>
        <v>43</v>
      </c>
      <c r="AC18" s="627">
        <f t="shared" si="42"/>
        <v>0.9510271903323263</v>
      </c>
      <c r="AD18" s="628">
        <f t="shared" si="43"/>
        <v>3.7885196374622357E-2</v>
      </c>
      <c r="AE18" s="628">
        <f t="shared" si="44"/>
        <v>8.0362537764350449E-3</v>
      </c>
      <c r="AF18" s="628">
        <f t="shared" si="45"/>
        <v>3.0513595166163144E-3</v>
      </c>
      <c r="AG18" s="629">
        <f t="shared" si="46"/>
        <v>1.1087613293051359E-2</v>
      </c>
      <c r="AH18" s="627">
        <f t="shared" si="47"/>
        <v>0.2006344410876133</v>
      </c>
      <c r="AI18" s="628">
        <f t="shared" si="48"/>
        <v>0.60006042296072504</v>
      </c>
      <c r="AJ18" s="629">
        <f t="shared" si="49"/>
        <v>0.19930513595166163</v>
      </c>
      <c r="AK18" s="619">
        <f t="shared" si="50"/>
        <v>482</v>
      </c>
      <c r="AL18" s="620">
        <v>183</v>
      </c>
      <c r="AM18" s="620">
        <v>270</v>
      </c>
      <c r="AN18" s="621">
        <v>29</v>
      </c>
      <c r="AO18" s="272">
        <f t="shared" si="51"/>
        <v>1.4561933534743202E-2</v>
      </c>
    </row>
    <row r="19" spans="1:41" x14ac:dyDescent="0.25">
      <c r="A19" s="270" t="s">
        <v>34</v>
      </c>
      <c r="B19" s="270" t="s">
        <v>35</v>
      </c>
      <c r="C19" s="270" t="s">
        <v>268</v>
      </c>
      <c r="D19" s="270">
        <v>2</v>
      </c>
      <c r="E19" s="619">
        <f t="shared" si="33"/>
        <v>17184</v>
      </c>
      <c r="F19" s="620">
        <f t="shared" si="52"/>
        <v>15822</v>
      </c>
      <c r="G19" s="620">
        <f t="shared" si="53"/>
        <v>1126</v>
      </c>
      <c r="H19" s="620">
        <f t="shared" si="54"/>
        <v>175</v>
      </c>
      <c r="I19" s="620">
        <f t="shared" si="55"/>
        <v>61</v>
      </c>
      <c r="J19" s="621">
        <f t="shared" si="35"/>
        <v>236</v>
      </c>
      <c r="K19" s="271">
        <f t="shared" si="36"/>
        <v>3429</v>
      </c>
      <c r="L19" s="620">
        <v>3007</v>
      </c>
      <c r="M19" s="620">
        <v>360</v>
      </c>
      <c r="N19" s="620">
        <v>51</v>
      </c>
      <c r="O19" s="620">
        <v>11</v>
      </c>
      <c r="P19" s="620">
        <f t="shared" si="37"/>
        <v>62</v>
      </c>
      <c r="Q19" s="619">
        <f t="shared" si="38"/>
        <v>10343</v>
      </c>
      <c r="R19" s="620">
        <v>9530</v>
      </c>
      <c r="S19" s="620">
        <v>660</v>
      </c>
      <c r="T19" s="620">
        <v>107</v>
      </c>
      <c r="U19" s="620">
        <v>46</v>
      </c>
      <c r="V19" s="621">
        <f t="shared" si="39"/>
        <v>153</v>
      </c>
      <c r="W19" s="619">
        <f t="shared" si="40"/>
        <v>3412</v>
      </c>
      <c r="X19" s="620">
        <v>3285</v>
      </c>
      <c r="Y19" s="620">
        <v>106</v>
      </c>
      <c r="Z19" s="620">
        <v>17</v>
      </c>
      <c r="AA19" s="620">
        <v>4</v>
      </c>
      <c r="AB19" s="621">
        <f t="shared" si="41"/>
        <v>21</v>
      </c>
      <c r="AC19" s="627">
        <f t="shared" si="42"/>
        <v>0.92074022346368711</v>
      </c>
      <c r="AD19" s="628">
        <f t="shared" si="43"/>
        <v>6.5526070763500935E-2</v>
      </c>
      <c r="AE19" s="628">
        <f t="shared" si="44"/>
        <v>1.018389199255121E-2</v>
      </c>
      <c r="AF19" s="628">
        <f t="shared" si="45"/>
        <v>3.5498137802607078E-3</v>
      </c>
      <c r="AG19" s="629">
        <f t="shared" si="46"/>
        <v>1.3733705772811917E-2</v>
      </c>
      <c r="AH19" s="627">
        <f t="shared" si="47"/>
        <v>0.19954608938547486</v>
      </c>
      <c r="AI19" s="628">
        <f t="shared" si="48"/>
        <v>0.60189711359404097</v>
      </c>
      <c r="AJ19" s="629">
        <f t="shared" si="49"/>
        <v>0.19855679702048418</v>
      </c>
      <c r="AK19" s="619">
        <f t="shared" si="50"/>
        <v>296</v>
      </c>
      <c r="AL19" s="620">
        <v>92</v>
      </c>
      <c r="AM19" s="620">
        <v>189</v>
      </c>
      <c r="AN19" s="621">
        <v>15</v>
      </c>
      <c r="AO19" s="272">
        <f t="shared" si="51"/>
        <v>1.7225325884543761E-2</v>
      </c>
    </row>
    <row r="20" spans="1:41" x14ac:dyDescent="0.25">
      <c r="A20" s="270" t="s">
        <v>36</v>
      </c>
      <c r="B20" s="270" t="s">
        <v>37</v>
      </c>
      <c r="C20" s="270" t="s">
        <v>264</v>
      </c>
      <c r="D20" s="270">
        <v>2</v>
      </c>
      <c r="E20" s="619">
        <f t="shared" si="33"/>
        <v>16498</v>
      </c>
      <c r="F20" s="620">
        <f t="shared" si="52"/>
        <v>7158</v>
      </c>
      <c r="G20" s="620">
        <f t="shared" si="53"/>
        <v>9203</v>
      </c>
      <c r="H20" s="620">
        <f t="shared" si="54"/>
        <v>81</v>
      </c>
      <c r="I20" s="620">
        <f t="shared" si="55"/>
        <v>56</v>
      </c>
      <c r="J20" s="621">
        <f t="shared" si="35"/>
        <v>137</v>
      </c>
      <c r="K20" s="271">
        <f t="shared" si="36"/>
        <v>2917</v>
      </c>
      <c r="L20" s="620">
        <v>1164</v>
      </c>
      <c r="M20" s="620">
        <v>1721</v>
      </c>
      <c r="N20" s="620">
        <v>22</v>
      </c>
      <c r="O20" s="620">
        <v>10</v>
      </c>
      <c r="P20" s="620">
        <f t="shared" si="37"/>
        <v>32</v>
      </c>
      <c r="Q20" s="619">
        <f t="shared" si="38"/>
        <v>10420</v>
      </c>
      <c r="R20" s="620">
        <v>4285</v>
      </c>
      <c r="S20" s="620">
        <v>6046</v>
      </c>
      <c r="T20" s="620">
        <v>52</v>
      </c>
      <c r="U20" s="620">
        <v>37</v>
      </c>
      <c r="V20" s="621">
        <f t="shared" si="39"/>
        <v>89</v>
      </c>
      <c r="W20" s="619">
        <f t="shared" si="40"/>
        <v>3161</v>
      </c>
      <c r="X20" s="620">
        <v>1709</v>
      </c>
      <c r="Y20" s="620">
        <v>1436</v>
      </c>
      <c r="Z20" s="620">
        <v>7</v>
      </c>
      <c r="AA20" s="620">
        <v>9</v>
      </c>
      <c r="AB20" s="621">
        <f t="shared" si="41"/>
        <v>16</v>
      </c>
      <c r="AC20" s="627">
        <f t="shared" si="42"/>
        <v>0.4338707722148139</v>
      </c>
      <c r="AD20" s="628">
        <f t="shared" si="43"/>
        <v>0.55782519093223426</v>
      </c>
      <c r="AE20" s="628">
        <f t="shared" si="44"/>
        <v>4.9096860225481881E-3</v>
      </c>
      <c r="AF20" s="628">
        <f t="shared" si="45"/>
        <v>3.3943508304036855E-3</v>
      </c>
      <c r="AG20" s="629">
        <f t="shared" si="46"/>
        <v>8.3040368529518731E-3</v>
      </c>
      <c r="AH20" s="627">
        <f t="shared" si="47"/>
        <v>0.17680931021942053</v>
      </c>
      <c r="AI20" s="628">
        <f t="shared" si="48"/>
        <v>0.63159170808582854</v>
      </c>
      <c r="AJ20" s="629">
        <f t="shared" si="49"/>
        <v>0.19159898169475087</v>
      </c>
      <c r="AK20" s="619">
        <f t="shared" si="50"/>
        <v>345</v>
      </c>
      <c r="AL20" s="620">
        <v>110</v>
      </c>
      <c r="AM20" s="620">
        <v>216</v>
      </c>
      <c r="AN20" s="621">
        <v>19</v>
      </c>
      <c r="AO20" s="272">
        <f t="shared" si="51"/>
        <v>2.0911625651594132E-2</v>
      </c>
    </row>
    <row r="21" spans="1:41" x14ac:dyDescent="0.25">
      <c r="A21" s="270" t="s">
        <v>38</v>
      </c>
      <c r="B21" s="270" t="s">
        <v>39</v>
      </c>
      <c r="C21" s="270" t="s">
        <v>268</v>
      </c>
      <c r="D21" s="270">
        <v>2</v>
      </c>
      <c r="E21" s="619">
        <f t="shared" si="33"/>
        <v>23106</v>
      </c>
      <c r="F21" s="620">
        <f t="shared" si="52"/>
        <v>22308</v>
      </c>
      <c r="G21" s="620">
        <f t="shared" si="53"/>
        <v>695</v>
      </c>
      <c r="H21" s="620">
        <f t="shared" si="54"/>
        <v>77</v>
      </c>
      <c r="I21" s="620">
        <f t="shared" si="55"/>
        <v>26</v>
      </c>
      <c r="J21" s="621">
        <f t="shared" si="35"/>
        <v>103</v>
      </c>
      <c r="K21" s="271">
        <f t="shared" si="36"/>
        <v>4095</v>
      </c>
      <c r="L21" s="620">
        <v>3939</v>
      </c>
      <c r="M21" s="620">
        <v>137</v>
      </c>
      <c r="N21" s="620">
        <v>11</v>
      </c>
      <c r="O21" s="620">
        <v>8</v>
      </c>
      <c r="P21" s="620">
        <f t="shared" si="37"/>
        <v>19</v>
      </c>
      <c r="Q21" s="619">
        <f t="shared" si="38"/>
        <v>14524</v>
      </c>
      <c r="R21" s="620">
        <v>13906</v>
      </c>
      <c r="S21" s="620">
        <v>545</v>
      </c>
      <c r="T21" s="620">
        <v>57</v>
      </c>
      <c r="U21" s="620">
        <v>16</v>
      </c>
      <c r="V21" s="621">
        <f t="shared" si="39"/>
        <v>73</v>
      </c>
      <c r="W21" s="619">
        <f t="shared" si="40"/>
        <v>4487</v>
      </c>
      <c r="X21" s="620">
        <v>4463</v>
      </c>
      <c r="Y21" s="620">
        <v>13</v>
      </c>
      <c r="Z21" s="620">
        <v>9</v>
      </c>
      <c r="AA21" s="620">
        <v>2</v>
      </c>
      <c r="AB21" s="621">
        <f t="shared" si="41"/>
        <v>11</v>
      </c>
      <c r="AC21" s="627">
        <f t="shared" si="42"/>
        <v>0.96546351596987801</v>
      </c>
      <c r="AD21" s="628">
        <f t="shared" si="43"/>
        <v>3.0078767419717822E-2</v>
      </c>
      <c r="AE21" s="628">
        <f t="shared" si="44"/>
        <v>3.3324677572924783E-3</v>
      </c>
      <c r="AF21" s="628">
        <f t="shared" si="45"/>
        <v>1.1252488531117459E-3</v>
      </c>
      <c r="AG21" s="629">
        <f t="shared" si="46"/>
        <v>4.4577166104042242E-3</v>
      </c>
      <c r="AH21" s="627">
        <f t="shared" si="47"/>
        <v>0.17722669436509997</v>
      </c>
      <c r="AI21" s="628">
        <f t="shared" si="48"/>
        <v>0.6285813208690384</v>
      </c>
      <c r="AJ21" s="629">
        <f t="shared" si="49"/>
        <v>0.19419198476586169</v>
      </c>
      <c r="AK21" s="619">
        <f t="shared" si="50"/>
        <v>133</v>
      </c>
      <c r="AL21" s="620">
        <v>45</v>
      </c>
      <c r="AM21" s="620">
        <v>80</v>
      </c>
      <c r="AN21" s="621">
        <v>8</v>
      </c>
      <c r="AO21" s="272">
        <f t="shared" si="51"/>
        <v>5.7560806716870075E-3</v>
      </c>
    </row>
    <row r="22" spans="1:41" x14ac:dyDescent="0.25">
      <c r="A22" s="270" t="s">
        <v>40</v>
      </c>
      <c r="B22" s="270" t="s">
        <v>41</v>
      </c>
      <c r="C22" s="270" t="s">
        <v>266</v>
      </c>
      <c r="D22" s="270">
        <v>2</v>
      </c>
      <c r="E22" s="619">
        <f t="shared" si="33"/>
        <v>16913</v>
      </c>
      <c r="F22" s="620">
        <f t="shared" si="52"/>
        <v>10725</v>
      </c>
      <c r="G22" s="620">
        <f t="shared" si="53"/>
        <v>6049</v>
      </c>
      <c r="H22" s="620">
        <f t="shared" si="54"/>
        <v>81</v>
      </c>
      <c r="I22" s="620">
        <f t="shared" si="55"/>
        <v>58</v>
      </c>
      <c r="J22" s="621">
        <f t="shared" si="35"/>
        <v>139</v>
      </c>
      <c r="K22" s="271">
        <f t="shared" si="36"/>
        <v>3185</v>
      </c>
      <c r="L22" s="620">
        <v>2010</v>
      </c>
      <c r="M22" s="620">
        <v>1153</v>
      </c>
      <c r="N22" s="620">
        <v>16</v>
      </c>
      <c r="O22" s="620">
        <v>6</v>
      </c>
      <c r="P22" s="620">
        <f t="shared" si="37"/>
        <v>22</v>
      </c>
      <c r="Q22" s="619">
        <f t="shared" si="38"/>
        <v>10868</v>
      </c>
      <c r="R22" s="620">
        <v>6733</v>
      </c>
      <c r="S22" s="620">
        <v>4033</v>
      </c>
      <c r="T22" s="620">
        <v>56</v>
      </c>
      <c r="U22" s="620">
        <v>46</v>
      </c>
      <c r="V22" s="621">
        <f t="shared" si="39"/>
        <v>102</v>
      </c>
      <c r="W22" s="619">
        <f t="shared" si="40"/>
        <v>2860</v>
      </c>
      <c r="X22" s="620">
        <v>1982</v>
      </c>
      <c r="Y22" s="620">
        <v>863</v>
      </c>
      <c r="Z22" s="620">
        <v>9</v>
      </c>
      <c r="AA22" s="620">
        <v>6</v>
      </c>
      <c r="AB22" s="621">
        <f t="shared" si="41"/>
        <v>15</v>
      </c>
      <c r="AC22" s="627">
        <f t="shared" si="42"/>
        <v>0.63412759415833975</v>
      </c>
      <c r="AD22" s="628">
        <f t="shared" si="43"/>
        <v>0.35765387571690416</v>
      </c>
      <c r="AE22" s="628">
        <f t="shared" si="44"/>
        <v>4.7892153964406081E-3</v>
      </c>
      <c r="AF22" s="628">
        <f t="shared" si="45"/>
        <v>3.429314728315497E-3</v>
      </c>
      <c r="AG22" s="629">
        <f t="shared" si="46"/>
        <v>8.2185301247561047E-3</v>
      </c>
      <c r="AH22" s="627">
        <f t="shared" si="47"/>
        <v>0.18831667947732514</v>
      </c>
      <c r="AI22" s="628">
        <f t="shared" si="48"/>
        <v>0.64258262874711758</v>
      </c>
      <c r="AJ22" s="629">
        <f t="shared" si="49"/>
        <v>0.16910069177555725</v>
      </c>
      <c r="AK22" s="619">
        <f t="shared" si="50"/>
        <v>362</v>
      </c>
      <c r="AL22" s="620">
        <v>108</v>
      </c>
      <c r="AM22" s="620">
        <v>235</v>
      </c>
      <c r="AN22" s="621">
        <v>19</v>
      </c>
      <c r="AO22" s="272">
        <f t="shared" si="51"/>
        <v>2.1403653993969138E-2</v>
      </c>
    </row>
    <row r="23" spans="1:41" x14ac:dyDescent="0.25">
      <c r="A23" s="270" t="s">
        <v>42</v>
      </c>
      <c r="B23" s="270" t="s">
        <v>43</v>
      </c>
      <c r="C23" s="270" t="s">
        <v>265</v>
      </c>
      <c r="D23" s="270">
        <v>2</v>
      </c>
      <c r="E23" s="619">
        <f t="shared" si="33"/>
        <v>54885</v>
      </c>
      <c r="F23" s="620">
        <f t="shared" si="52"/>
        <v>45763</v>
      </c>
      <c r="G23" s="620">
        <f t="shared" si="53"/>
        <v>8328</v>
      </c>
      <c r="H23" s="620">
        <f t="shared" si="54"/>
        <v>622</v>
      </c>
      <c r="I23" s="620">
        <f t="shared" si="55"/>
        <v>172</v>
      </c>
      <c r="J23" s="621">
        <f t="shared" si="35"/>
        <v>794</v>
      </c>
      <c r="K23" s="271">
        <f t="shared" si="36"/>
        <v>11049</v>
      </c>
      <c r="L23" s="620">
        <v>8985</v>
      </c>
      <c r="M23" s="620">
        <v>1860</v>
      </c>
      <c r="N23" s="620">
        <v>169</v>
      </c>
      <c r="O23" s="620">
        <v>35</v>
      </c>
      <c r="P23" s="620">
        <f t="shared" si="37"/>
        <v>204</v>
      </c>
      <c r="Q23" s="619">
        <f t="shared" si="38"/>
        <v>33887</v>
      </c>
      <c r="R23" s="620">
        <v>28132</v>
      </c>
      <c r="S23" s="620">
        <v>5242</v>
      </c>
      <c r="T23" s="620">
        <v>395</v>
      </c>
      <c r="U23" s="620">
        <v>118</v>
      </c>
      <c r="V23" s="621">
        <f t="shared" si="39"/>
        <v>513</v>
      </c>
      <c r="W23" s="619">
        <f t="shared" si="40"/>
        <v>9949</v>
      </c>
      <c r="X23" s="620">
        <v>8646</v>
      </c>
      <c r="Y23" s="620">
        <v>1226</v>
      </c>
      <c r="Z23" s="620">
        <v>58</v>
      </c>
      <c r="AA23" s="620">
        <v>19</v>
      </c>
      <c r="AB23" s="621">
        <f t="shared" si="41"/>
        <v>77</v>
      </c>
      <c r="AC23" s="627">
        <f t="shared" si="42"/>
        <v>0.83379794114967665</v>
      </c>
      <c r="AD23" s="628">
        <f t="shared" si="43"/>
        <v>0.15173544684339985</v>
      </c>
      <c r="AE23" s="628">
        <f t="shared" si="44"/>
        <v>1.1332786735902342E-2</v>
      </c>
      <c r="AF23" s="628">
        <f t="shared" si="45"/>
        <v>3.1338252710212261E-3</v>
      </c>
      <c r="AG23" s="629">
        <f t="shared" si="46"/>
        <v>1.4466612006923568E-2</v>
      </c>
      <c r="AH23" s="627">
        <f t="shared" si="47"/>
        <v>0.20131183383438098</v>
      </c>
      <c r="AI23" s="628">
        <f t="shared" si="48"/>
        <v>0.61741823813428076</v>
      </c>
      <c r="AJ23" s="629">
        <f t="shared" si="49"/>
        <v>0.18126992803133826</v>
      </c>
      <c r="AK23" s="619">
        <f t="shared" si="50"/>
        <v>1211</v>
      </c>
      <c r="AL23" s="620">
        <v>364</v>
      </c>
      <c r="AM23" s="620">
        <v>796</v>
      </c>
      <c r="AN23" s="621">
        <v>51</v>
      </c>
      <c r="AO23" s="272">
        <f t="shared" si="51"/>
        <v>2.20643162977134E-2</v>
      </c>
    </row>
    <row r="24" spans="1:41" x14ac:dyDescent="0.25">
      <c r="A24" s="270" t="s">
        <v>44</v>
      </c>
      <c r="B24" s="270" t="s">
        <v>45</v>
      </c>
      <c r="C24" s="270" t="s">
        <v>266</v>
      </c>
      <c r="D24" s="270">
        <v>2</v>
      </c>
      <c r="E24" s="619">
        <f t="shared" si="33"/>
        <v>29778</v>
      </c>
      <c r="F24" s="620">
        <f t="shared" si="52"/>
        <v>20306</v>
      </c>
      <c r="G24" s="620">
        <f t="shared" si="53"/>
        <v>8839</v>
      </c>
      <c r="H24" s="620">
        <f t="shared" si="54"/>
        <v>341</v>
      </c>
      <c r="I24" s="620">
        <f t="shared" si="55"/>
        <v>292</v>
      </c>
      <c r="J24" s="621">
        <f t="shared" si="35"/>
        <v>633</v>
      </c>
      <c r="K24" s="271">
        <f t="shared" si="36"/>
        <v>6990</v>
      </c>
      <c r="L24" s="620">
        <v>4746</v>
      </c>
      <c r="M24" s="620">
        <v>2055</v>
      </c>
      <c r="N24" s="620">
        <v>91</v>
      </c>
      <c r="O24" s="620">
        <v>98</v>
      </c>
      <c r="P24" s="620">
        <f t="shared" si="37"/>
        <v>189</v>
      </c>
      <c r="Q24" s="619">
        <f t="shared" si="38"/>
        <v>18291</v>
      </c>
      <c r="R24" s="620">
        <v>12630</v>
      </c>
      <c r="S24" s="620">
        <v>5295</v>
      </c>
      <c r="T24" s="620">
        <v>214</v>
      </c>
      <c r="U24" s="620">
        <v>152</v>
      </c>
      <c r="V24" s="621">
        <f t="shared" si="39"/>
        <v>366</v>
      </c>
      <c r="W24" s="619">
        <f t="shared" si="40"/>
        <v>4497</v>
      </c>
      <c r="X24" s="620">
        <v>2930</v>
      </c>
      <c r="Y24" s="620">
        <v>1489</v>
      </c>
      <c r="Z24" s="620">
        <v>36</v>
      </c>
      <c r="AA24" s="620">
        <v>42</v>
      </c>
      <c r="AB24" s="621">
        <f t="shared" si="41"/>
        <v>78</v>
      </c>
      <c r="AC24" s="627">
        <f t="shared" si="42"/>
        <v>0.68191282154610788</v>
      </c>
      <c r="AD24" s="628">
        <f t="shared" si="43"/>
        <v>0.29682987440392233</v>
      </c>
      <c r="AE24" s="628">
        <f t="shared" si="44"/>
        <v>1.1451407079051649E-2</v>
      </c>
      <c r="AF24" s="628">
        <f t="shared" si="45"/>
        <v>9.8058969709181269E-3</v>
      </c>
      <c r="AG24" s="629">
        <f t="shared" si="46"/>
        <v>2.1257304049969776E-2</v>
      </c>
      <c r="AH24" s="627">
        <f t="shared" si="47"/>
        <v>0.23473705420108806</v>
      </c>
      <c r="AI24" s="628">
        <f t="shared" si="48"/>
        <v>0.61424541607898453</v>
      </c>
      <c r="AJ24" s="629">
        <f t="shared" si="49"/>
        <v>0.15101752971992746</v>
      </c>
      <c r="AK24" s="619">
        <f t="shared" si="50"/>
        <v>1260</v>
      </c>
      <c r="AL24" s="620">
        <v>464</v>
      </c>
      <c r="AM24" s="620">
        <v>732</v>
      </c>
      <c r="AN24" s="621">
        <v>64</v>
      </c>
      <c r="AO24" s="272">
        <f t="shared" si="51"/>
        <v>4.2313117066290547E-2</v>
      </c>
    </row>
    <row r="25" spans="1:41" x14ac:dyDescent="0.25">
      <c r="A25" s="270" t="s">
        <v>46</v>
      </c>
      <c r="B25" s="270" t="s">
        <v>47</v>
      </c>
      <c r="C25" s="270" t="s">
        <v>268</v>
      </c>
      <c r="D25" s="270">
        <v>2</v>
      </c>
      <c r="E25" s="619">
        <f t="shared" si="33"/>
        <v>29621</v>
      </c>
      <c r="F25" s="620">
        <f t="shared" si="52"/>
        <v>29103</v>
      </c>
      <c r="G25" s="620">
        <f t="shared" si="53"/>
        <v>330</v>
      </c>
      <c r="H25" s="620">
        <f t="shared" si="54"/>
        <v>96</v>
      </c>
      <c r="I25" s="620">
        <f t="shared" si="55"/>
        <v>92</v>
      </c>
      <c r="J25" s="621">
        <f t="shared" si="35"/>
        <v>188</v>
      </c>
      <c r="K25" s="271">
        <f t="shared" si="36"/>
        <v>5711</v>
      </c>
      <c r="L25" s="620">
        <v>5529</v>
      </c>
      <c r="M25" s="620">
        <v>118</v>
      </c>
      <c r="N25" s="620">
        <v>28</v>
      </c>
      <c r="O25" s="620">
        <v>36</v>
      </c>
      <c r="P25" s="620">
        <f t="shared" si="37"/>
        <v>64</v>
      </c>
      <c r="Q25" s="619">
        <f t="shared" si="38"/>
        <v>17471</v>
      </c>
      <c r="R25" s="620">
        <v>17203</v>
      </c>
      <c r="S25" s="620">
        <v>173</v>
      </c>
      <c r="T25" s="620">
        <v>51</v>
      </c>
      <c r="U25" s="620">
        <v>44</v>
      </c>
      <c r="V25" s="621">
        <f t="shared" si="39"/>
        <v>95</v>
      </c>
      <c r="W25" s="619">
        <f t="shared" si="40"/>
        <v>6439</v>
      </c>
      <c r="X25" s="620">
        <v>6371</v>
      </c>
      <c r="Y25" s="620">
        <v>39</v>
      </c>
      <c r="Z25" s="620">
        <v>17</v>
      </c>
      <c r="AA25" s="620">
        <v>12</v>
      </c>
      <c r="AB25" s="621">
        <f t="shared" si="41"/>
        <v>29</v>
      </c>
      <c r="AC25" s="627">
        <f t="shared" si="42"/>
        <v>0.98251240673846263</v>
      </c>
      <c r="AD25" s="628">
        <f t="shared" si="43"/>
        <v>1.1140744741906081E-2</v>
      </c>
      <c r="AE25" s="628">
        <f t="shared" si="44"/>
        <v>3.2409439249181326E-3</v>
      </c>
      <c r="AF25" s="628">
        <f t="shared" si="45"/>
        <v>3.1059045947132101E-3</v>
      </c>
      <c r="AG25" s="629">
        <f t="shared" si="46"/>
        <v>6.3468485196313427E-3</v>
      </c>
      <c r="AH25" s="627">
        <f t="shared" si="47"/>
        <v>0.19280240370007765</v>
      </c>
      <c r="AI25" s="628">
        <f t="shared" si="48"/>
        <v>0.58981803450254888</v>
      </c>
      <c r="AJ25" s="629">
        <f t="shared" si="49"/>
        <v>0.21737956179737347</v>
      </c>
      <c r="AK25" s="619">
        <f t="shared" si="50"/>
        <v>923</v>
      </c>
      <c r="AL25" s="620">
        <v>378</v>
      </c>
      <c r="AM25" s="620">
        <v>506</v>
      </c>
      <c r="AN25" s="621">
        <v>39</v>
      </c>
      <c r="AO25" s="272">
        <f t="shared" si="51"/>
        <v>3.1160325444785794E-2</v>
      </c>
    </row>
    <row r="26" spans="1:41" x14ac:dyDescent="0.25">
      <c r="A26" s="270" t="s">
        <v>48</v>
      </c>
      <c r="B26" s="270" t="s">
        <v>269</v>
      </c>
      <c r="C26" s="270" t="s">
        <v>266</v>
      </c>
      <c r="D26" s="270">
        <v>1</v>
      </c>
      <c r="E26" s="619">
        <f t="shared" si="33"/>
        <v>7023</v>
      </c>
      <c r="F26" s="620">
        <f t="shared" si="52"/>
        <v>3033</v>
      </c>
      <c r="G26" s="620">
        <f t="shared" si="53"/>
        <v>3432</v>
      </c>
      <c r="H26" s="620">
        <f t="shared" si="54"/>
        <v>40</v>
      </c>
      <c r="I26" s="620">
        <f t="shared" si="55"/>
        <v>518</v>
      </c>
      <c r="J26" s="621">
        <f t="shared" si="35"/>
        <v>558</v>
      </c>
      <c r="K26" s="271">
        <f t="shared" si="36"/>
        <v>1112</v>
      </c>
      <c r="L26" s="620">
        <v>482</v>
      </c>
      <c r="M26" s="620">
        <v>553</v>
      </c>
      <c r="N26" s="620">
        <v>7</v>
      </c>
      <c r="O26" s="620">
        <v>70</v>
      </c>
      <c r="P26" s="620">
        <f t="shared" si="37"/>
        <v>77</v>
      </c>
      <c r="Q26" s="619">
        <f t="shared" si="38"/>
        <v>4413</v>
      </c>
      <c r="R26" s="620">
        <v>1965</v>
      </c>
      <c r="S26" s="620">
        <v>2080</v>
      </c>
      <c r="T26" s="620">
        <v>28</v>
      </c>
      <c r="U26" s="620">
        <v>340</v>
      </c>
      <c r="V26" s="621">
        <f t="shared" si="39"/>
        <v>368</v>
      </c>
      <c r="W26" s="619">
        <f t="shared" si="40"/>
        <v>1498</v>
      </c>
      <c r="X26" s="620">
        <v>586</v>
      </c>
      <c r="Y26" s="620">
        <v>799</v>
      </c>
      <c r="Z26" s="620">
        <v>5</v>
      </c>
      <c r="AA26" s="620">
        <v>108</v>
      </c>
      <c r="AB26" s="621">
        <f t="shared" si="41"/>
        <v>113</v>
      </c>
      <c r="AC26" s="627">
        <f t="shared" si="42"/>
        <v>0.4318667236223836</v>
      </c>
      <c r="AD26" s="628">
        <f t="shared" si="43"/>
        <v>0.48868005126014524</v>
      </c>
      <c r="AE26" s="628">
        <f t="shared" si="44"/>
        <v>5.695571693008686E-3</v>
      </c>
      <c r="AF26" s="628">
        <f t="shared" si="45"/>
        <v>7.3757653424462485E-2</v>
      </c>
      <c r="AG26" s="629">
        <f t="shared" si="46"/>
        <v>7.945322511747116E-2</v>
      </c>
      <c r="AH26" s="627">
        <f t="shared" si="47"/>
        <v>0.15833689306564147</v>
      </c>
      <c r="AI26" s="628">
        <f t="shared" si="48"/>
        <v>0.62836394703118326</v>
      </c>
      <c r="AJ26" s="629">
        <f t="shared" si="49"/>
        <v>0.21329915990317527</v>
      </c>
      <c r="AK26" s="619">
        <f t="shared" si="50"/>
        <v>121</v>
      </c>
      <c r="AL26" s="620">
        <v>30</v>
      </c>
      <c r="AM26" s="620">
        <v>86</v>
      </c>
      <c r="AN26" s="621">
        <v>5</v>
      </c>
      <c r="AO26" s="272">
        <f t="shared" si="51"/>
        <v>1.7229104371351275E-2</v>
      </c>
    </row>
    <row r="27" spans="1:41" x14ac:dyDescent="0.25">
      <c r="A27" s="270" t="s">
        <v>50</v>
      </c>
      <c r="B27" s="270" t="s">
        <v>51</v>
      </c>
      <c r="C27" s="270" t="s">
        <v>265</v>
      </c>
      <c r="D27" s="270">
        <v>2</v>
      </c>
      <c r="E27" s="619">
        <f t="shared" si="33"/>
        <v>12225</v>
      </c>
      <c r="F27" s="620">
        <f t="shared" si="52"/>
        <v>8466</v>
      </c>
      <c r="G27" s="620">
        <f t="shared" si="53"/>
        <v>3675</v>
      </c>
      <c r="H27" s="620">
        <f t="shared" si="54"/>
        <v>39</v>
      </c>
      <c r="I27" s="620">
        <f t="shared" si="55"/>
        <v>45</v>
      </c>
      <c r="J27" s="621">
        <f t="shared" si="35"/>
        <v>84</v>
      </c>
      <c r="K27" s="271">
        <f t="shared" si="36"/>
        <v>2635</v>
      </c>
      <c r="L27" s="620">
        <v>1744</v>
      </c>
      <c r="M27" s="620">
        <v>869</v>
      </c>
      <c r="N27" s="620">
        <v>10</v>
      </c>
      <c r="O27" s="620">
        <v>12</v>
      </c>
      <c r="P27" s="620">
        <f t="shared" si="37"/>
        <v>22</v>
      </c>
      <c r="Q27" s="619">
        <f t="shared" si="38"/>
        <v>7126</v>
      </c>
      <c r="R27" s="620">
        <v>4926</v>
      </c>
      <c r="S27" s="620">
        <v>2155</v>
      </c>
      <c r="T27" s="620">
        <v>22</v>
      </c>
      <c r="U27" s="620">
        <v>23</v>
      </c>
      <c r="V27" s="621">
        <f t="shared" si="39"/>
        <v>45</v>
      </c>
      <c r="W27" s="619">
        <f t="shared" si="40"/>
        <v>2464</v>
      </c>
      <c r="X27" s="620">
        <v>1796</v>
      </c>
      <c r="Y27" s="620">
        <v>651</v>
      </c>
      <c r="Z27" s="620">
        <v>7</v>
      </c>
      <c r="AA27" s="620">
        <v>10</v>
      </c>
      <c r="AB27" s="621">
        <f t="shared" si="41"/>
        <v>17</v>
      </c>
      <c r="AC27" s="627">
        <f t="shared" si="42"/>
        <v>0.69251533742331284</v>
      </c>
      <c r="AD27" s="628">
        <f t="shared" si="43"/>
        <v>0.30061349693251532</v>
      </c>
      <c r="AE27" s="628">
        <f t="shared" si="44"/>
        <v>3.1901840490797546E-3</v>
      </c>
      <c r="AF27" s="628">
        <f t="shared" si="45"/>
        <v>3.6809815950920245E-3</v>
      </c>
      <c r="AG27" s="629">
        <f t="shared" si="46"/>
        <v>6.8711656441717795E-3</v>
      </c>
      <c r="AH27" s="627">
        <f t="shared" si="47"/>
        <v>0.21554192229038854</v>
      </c>
      <c r="AI27" s="628">
        <f t="shared" si="48"/>
        <v>0.58290388548057259</v>
      </c>
      <c r="AJ27" s="629">
        <f t="shared" si="49"/>
        <v>0.20155419222903886</v>
      </c>
      <c r="AK27" s="619">
        <f t="shared" si="50"/>
        <v>338</v>
      </c>
      <c r="AL27" s="620">
        <v>78</v>
      </c>
      <c r="AM27" s="620">
        <v>250</v>
      </c>
      <c r="AN27" s="621">
        <v>10</v>
      </c>
      <c r="AO27" s="272">
        <f t="shared" si="51"/>
        <v>2.7648261758691207E-2</v>
      </c>
    </row>
    <row r="28" spans="1:41" x14ac:dyDescent="0.25">
      <c r="A28" s="270" t="s">
        <v>52</v>
      </c>
      <c r="B28" s="270" t="s">
        <v>53</v>
      </c>
      <c r="C28" s="270" t="s">
        <v>265</v>
      </c>
      <c r="D28" s="270">
        <v>3</v>
      </c>
      <c r="E28" s="619">
        <f t="shared" si="33"/>
        <v>45593</v>
      </c>
      <c r="F28" s="620">
        <f t="shared" si="52"/>
        <v>32620</v>
      </c>
      <c r="G28" s="620">
        <f t="shared" si="53"/>
        <v>9247</v>
      </c>
      <c r="H28" s="620">
        <f t="shared" si="54"/>
        <v>3554</v>
      </c>
      <c r="I28" s="620">
        <f t="shared" si="55"/>
        <v>172</v>
      </c>
      <c r="J28" s="621">
        <f t="shared" si="35"/>
        <v>3726</v>
      </c>
      <c r="K28" s="271">
        <f t="shared" si="36"/>
        <v>7135</v>
      </c>
      <c r="L28" s="620">
        <v>4450</v>
      </c>
      <c r="M28" s="620">
        <v>2236</v>
      </c>
      <c r="N28" s="620">
        <v>422</v>
      </c>
      <c r="O28" s="620">
        <v>27</v>
      </c>
      <c r="P28" s="620">
        <f t="shared" si="37"/>
        <v>449</v>
      </c>
      <c r="Q28" s="619">
        <f t="shared" si="38"/>
        <v>34146</v>
      </c>
      <c r="R28" s="620">
        <v>24780</v>
      </c>
      <c r="S28" s="620">
        <v>6177</v>
      </c>
      <c r="T28" s="620">
        <v>3054</v>
      </c>
      <c r="U28" s="620">
        <v>135</v>
      </c>
      <c r="V28" s="621">
        <f t="shared" si="39"/>
        <v>3189</v>
      </c>
      <c r="W28" s="619">
        <f t="shared" si="40"/>
        <v>4312</v>
      </c>
      <c r="X28" s="620">
        <v>3390</v>
      </c>
      <c r="Y28" s="620">
        <v>834</v>
      </c>
      <c r="Z28" s="620">
        <v>78</v>
      </c>
      <c r="AA28" s="620">
        <v>10</v>
      </c>
      <c r="AB28" s="621">
        <f t="shared" si="41"/>
        <v>88</v>
      </c>
      <c r="AC28" s="627">
        <f t="shared" si="42"/>
        <v>0.71546070668743011</v>
      </c>
      <c r="AD28" s="628">
        <f t="shared" si="43"/>
        <v>0.20281622178843242</v>
      </c>
      <c r="AE28" s="628">
        <f t="shared" si="44"/>
        <v>7.7950562586361946E-2</v>
      </c>
      <c r="AF28" s="628">
        <f t="shared" si="45"/>
        <v>3.7725089377755355E-3</v>
      </c>
      <c r="AG28" s="629">
        <f t="shared" si="46"/>
        <v>8.1723071524137478E-2</v>
      </c>
      <c r="AH28" s="627">
        <f t="shared" si="47"/>
        <v>0.15649332134318863</v>
      </c>
      <c r="AI28" s="628">
        <f t="shared" si="48"/>
        <v>0.74893075691443867</v>
      </c>
      <c r="AJ28" s="629">
        <f t="shared" si="49"/>
        <v>9.4575921742372726E-2</v>
      </c>
      <c r="AK28" s="619">
        <f t="shared" si="50"/>
        <v>2217</v>
      </c>
      <c r="AL28" s="620">
        <v>591</v>
      </c>
      <c r="AM28" s="620">
        <v>1564</v>
      </c>
      <c r="AN28" s="621">
        <v>62</v>
      </c>
      <c r="AO28" s="272">
        <f t="shared" si="51"/>
        <v>4.862588555260676E-2</v>
      </c>
    </row>
    <row r="29" spans="1:41" x14ac:dyDescent="0.25">
      <c r="A29" s="270" t="s">
        <v>54</v>
      </c>
      <c r="B29" s="270" t="s">
        <v>55</v>
      </c>
      <c r="C29" s="270" t="s">
        <v>264</v>
      </c>
      <c r="D29" s="270">
        <v>3</v>
      </c>
      <c r="E29" s="619">
        <f t="shared" si="33"/>
        <v>233371</v>
      </c>
      <c r="F29" s="620">
        <f t="shared" si="52"/>
        <v>150215</v>
      </c>
      <c r="G29" s="620">
        <f t="shared" si="53"/>
        <v>72533</v>
      </c>
      <c r="H29" s="620">
        <f t="shared" si="54"/>
        <v>9346</v>
      </c>
      <c r="I29" s="620">
        <f t="shared" si="55"/>
        <v>1277</v>
      </c>
      <c r="J29" s="621">
        <f t="shared" si="35"/>
        <v>10623</v>
      </c>
      <c r="K29" s="271">
        <f t="shared" si="36"/>
        <v>57070</v>
      </c>
      <c r="L29" s="620">
        <v>35291</v>
      </c>
      <c r="M29" s="620">
        <v>19166</v>
      </c>
      <c r="N29" s="620">
        <v>2335</v>
      </c>
      <c r="O29" s="620">
        <v>278</v>
      </c>
      <c r="P29" s="620">
        <f t="shared" si="37"/>
        <v>2613</v>
      </c>
      <c r="Q29" s="619">
        <f t="shared" si="38"/>
        <v>148660</v>
      </c>
      <c r="R29" s="620">
        <v>95785</v>
      </c>
      <c r="S29" s="620">
        <v>45798</v>
      </c>
      <c r="T29" s="620">
        <v>6177</v>
      </c>
      <c r="U29" s="620">
        <v>900</v>
      </c>
      <c r="V29" s="621">
        <f t="shared" si="39"/>
        <v>7077</v>
      </c>
      <c r="W29" s="619">
        <f t="shared" si="40"/>
        <v>27641</v>
      </c>
      <c r="X29" s="620">
        <v>19139</v>
      </c>
      <c r="Y29" s="620">
        <v>7569</v>
      </c>
      <c r="Z29" s="620">
        <v>834</v>
      </c>
      <c r="AA29" s="620">
        <v>99</v>
      </c>
      <c r="AB29" s="621">
        <f t="shared" si="41"/>
        <v>933</v>
      </c>
      <c r="AC29" s="627">
        <f t="shared" si="42"/>
        <v>0.64367466394710571</v>
      </c>
      <c r="AD29" s="628">
        <f t="shared" si="43"/>
        <v>0.31080554139117544</v>
      </c>
      <c r="AE29" s="628">
        <f t="shared" si="44"/>
        <v>4.0047820851776786E-2</v>
      </c>
      <c r="AF29" s="628">
        <f t="shared" si="45"/>
        <v>5.4719738099421097E-3</v>
      </c>
      <c r="AG29" s="629">
        <f t="shared" si="46"/>
        <v>4.5519794661718897E-2</v>
      </c>
      <c r="AH29" s="627">
        <f t="shared" si="47"/>
        <v>0.24454623753594062</v>
      </c>
      <c r="AI29" s="628">
        <f t="shared" si="48"/>
        <v>0.63701145386530456</v>
      </c>
      <c r="AJ29" s="629">
        <f t="shared" si="49"/>
        <v>0.11844230859875478</v>
      </c>
      <c r="AK29" s="619">
        <f t="shared" si="50"/>
        <v>12443</v>
      </c>
      <c r="AL29" s="620">
        <v>4291</v>
      </c>
      <c r="AM29" s="620">
        <v>7693</v>
      </c>
      <c r="AN29" s="621">
        <v>459</v>
      </c>
      <c r="AO29" s="272">
        <f t="shared" si="51"/>
        <v>5.3318535722090575E-2</v>
      </c>
    </row>
    <row r="30" spans="1:41" x14ac:dyDescent="0.25">
      <c r="A30" s="270" t="s">
        <v>56</v>
      </c>
      <c r="B30" s="270" t="s">
        <v>295</v>
      </c>
      <c r="C30" s="270" t="s">
        <v>266</v>
      </c>
      <c r="D30" s="270">
        <v>3</v>
      </c>
      <c r="E30" s="619">
        <f t="shared" si="33"/>
        <v>350230</v>
      </c>
      <c r="F30" s="620">
        <f t="shared" si="52"/>
        <v>250883</v>
      </c>
      <c r="G30" s="620">
        <f t="shared" si="53"/>
        <v>83072</v>
      </c>
      <c r="H30" s="620">
        <f t="shared" si="54"/>
        <v>14053</v>
      </c>
      <c r="I30" s="620">
        <f t="shared" si="55"/>
        <v>2222</v>
      </c>
      <c r="J30" s="621">
        <f t="shared" si="35"/>
        <v>16275</v>
      </c>
      <c r="K30" s="271">
        <f t="shared" si="36"/>
        <v>85292</v>
      </c>
      <c r="L30" s="620">
        <v>58331</v>
      </c>
      <c r="M30" s="620">
        <v>22919</v>
      </c>
      <c r="N30" s="620">
        <v>3432</v>
      </c>
      <c r="O30" s="620">
        <v>610</v>
      </c>
      <c r="P30" s="620">
        <f t="shared" si="37"/>
        <v>4042</v>
      </c>
      <c r="Q30" s="619">
        <f t="shared" si="38"/>
        <v>218802</v>
      </c>
      <c r="R30" s="620">
        <v>153998</v>
      </c>
      <c r="S30" s="620">
        <v>54186</v>
      </c>
      <c r="T30" s="620">
        <v>9185</v>
      </c>
      <c r="U30" s="620">
        <v>1433</v>
      </c>
      <c r="V30" s="621">
        <f t="shared" si="39"/>
        <v>10618</v>
      </c>
      <c r="W30" s="619">
        <f t="shared" si="40"/>
        <v>46136</v>
      </c>
      <c r="X30" s="620">
        <v>38554</v>
      </c>
      <c r="Y30" s="620">
        <v>5967</v>
      </c>
      <c r="Z30" s="620">
        <v>1436</v>
      </c>
      <c r="AA30" s="620">
        <v>179</v>
      </c>
      <c r="AB30" s="621">
        <f t="shared" si="41"/>
        <v>1615</v>
      </c>
      <c r="AC30" s="627">
        <f t="shared" si="42"/>
        <v>0.71633783513691007</v>
      </c>
      <c r="AD30" s="628">
        <f t="shared" si="43"/>
        <v>0.23719270193872599</v>
      </c>
      <c r="AE30" s="628">
        <f t="shared" si="44"/>
        <v>4.0125060674413959E-2</v>
      </c>
      <c r="AF30" s="628">
        <f t="shared" si="45"/>
        <v>6.3444022499500327E-3</v>
      </c>
      <c r="AG30" s="629">
        <f t="shared" si="46"/>
        <v>4.6469462924363991E-2</v>
      </c>
      <c r="AH30" s="627">
        <f t="shared" si="47"/>
        <v>0.24353139365559776</v>
      </c>
      <c r="AI30" s="628">
        <f t="shared" si="48"/>
        <v>0.62473802929503475</v>
      </c>
      <c r="AJ30" s="629">
        <f t="shared" si="49"/>
        <v>0.13173057704936755</v>
      </c>
      <c r="AK30" s="619">
        <f t="shared" si="50"/>
        <v>27416</v>
      </c>
      <c r="AL30" s="620">
        <v>9724</v>
      </c>
      <c r="AM30" s="620">
        <v>16826</v>
      </c>
      <c r="AN30" s="621">
        <v>866</v>
      </c>
      <c r="AO30" s="272">
        <f t="shared" si="51"/>
        <v>7.8279987436827222E-2</v>
      </c>
    </row>
    <row r="31" spans="1:41" x14ac:dyDescent="0.25">
      <c r="A31" s="270" t="s">
        <v>58</v>
      </c>
      <c r="B31" s="270" t="s">
        <v>59</v>
      </c>
      <c r="C31" s="270" t="s">
        <v>267</v>
      </c>
      <c r="D31" s="270">
        <v>1</v>
      </c>
      <c r="E31" s="619">
        <f t="shared" si="33"/>
        <v>14423</v>
      </c>
      <c r="F31" s="620">
        <f t="shared" si="52"/>
        <v>13324</v>
      </c>
      <c r="G31" s="620">
        <f t="shared" si="53"/>
        <v>814</v>
      </c>
      <c r="H31" s="620">
        <f t="shared" si="54"/>
        <v>233</v>
      </c>
      <c r="I31" s="620">
        <f t="shared" si="55"/>
        <v>52</v>
      </c>
      <c r="J31" s="621">
        <f t="shared" si="35"/>
        <v>285</v>
      </c>
      <c r="K31" s="271">
        <f t="shared" si="36"/>
        <v>3084</v>
      </c>
      <c r="L31" s="620">
        <v>2801</v>
      </c>
      <c r="M31" s="620">
        <v>212</v>
      </c>
      <c r="N31" s="620">
        <v>62</v>
      </c>
      <c r="O31" s="620">
        <v>9</v>
      </c>
      <c r="P31" s="620">
        <f t="shared" si="37"/>
        <v>71</v>
      </c>
      <c r="Q31" s="619">
        <f t="shared" si="38"/>
        <v>8730</v>
      </c>
      <c r="R31" s="620">
        <v>8116</v>
      </c>
      <c r="S31" s="620">
        <v>430</v>
      </c>
      <c r="T31" s="620">
        <v>147</v>
      </c>
      <c r="U31" s="620">
        <v>37</v>
      </c>
      <c r="V31" s="621">
        <f t="shared" si="39"/>
        <v>184</v>
      </c>
      <c r="W31" s="619">
        <f t="shared" si="40"/>
        <v>2609</v>
      </c>
      <c r="X31" s="620">
        <v>2407</v>
      </c>
      <c r="Y31" s="620">
        <v>172</v>
      </c>
      <c r="Z31" s="620">
        <v>24</v>
      </c>
      <c r="AA31" s="620">
        <v>6</v>
      </c>
      <c r="AB31" s="621">
        <f t="shared" si="41"/>
        <v>30</v>
      </c>
      <c r="AC31" s="627">
        <f t="shared" si="42"/>
        <v>0.92380226027872148</v>
      </c>
      <c r="AD31" s="628">
        <f t="shared" si="43"/>
        <v>5.6437634334049781E-2</v>
      </c>
      <c r="AE31" s="628">
        <f t="shared" si="44"/>
        <v>1.6154752825348402E-2</v>
      </c>
      <c r="AF31" s="628">
        <f t="shared" si="45"/>
        <v>3.6053525618803301E-3</v>
      </c>
      <c r="AG31" s="629">
        <f t="shared" si="46"/>
        <v>1.9760105387228732E-2</v>
      </c>
      <c r="AH31" s="627">
        <f t="shared" si="47"/>
        <v>0.21382514040074879</v>
      </c>
      <c r="AI31" s="628">
        <f t="shared" si="48"/>
        <v>0.60528322817721691</v>
      </c>
      <c r="AJ31" s="629">
        <f t="shared" si="49"/>
        <v>0.18089163142203424</v>
      </c>
      <c r="AK31" s="619">
        <f t="shared" si="50"/>
        <v>640</v>
      </c>
      <c r="AL31" s="620">
        <v>248</v>
      </c>
      <c r="AM31" s="620">
        <v>353</v>
      </c>
      <c r="AN31" s="621">
        <v>39</v>
      </c>
      <c r="AO31" s="272">
        <f t="shared" si="51"/>
        <v>4.4373569992373289E-2</v>
      </c>
    </row>
    <row r="32" spans="1:41" x14ac:dyDescent="0.25">
      <c r="A32" s="270" t="s">
        <v>60</v>
      </c>
      <c r="B32" s="270" t="s">
        <v>61</v>
      </c>
      <c r="C32" s="270" t="s">
        <v>265</v>
      </c>
      <c r="D32" s="270">
        <v>1</v>
      </c>
      <c r="E32" s="619">
        <f t="shared" si="33"/>
        <v>5234</v>
      </c>
      <c r="F32" s="620">
        <f t="shared" si="52"/>
        <v>5178</v>
      </c>
      <c r="G32" s="620">
        <f t="shared" si="53"/>
        <v>30</v>
      </c>
      <c r="H32" s="620">
        <f t="shared" si="54"/>
        <v>12</v>
      </c>
      <c r="I32" s="620">
        <f t="shared" si="55"/>
        <v>14</v>
      </c>
      <c r="J32" s="621">
        <f t="shared" si="35"/>
        <v>26</v>
      </c>
      <c r="K32" s="271">
        <f t="shared" si="36"/>
        <v>1012</v>
      </c>
      <c r="L32" s="620">
        <v>996</v>
      </c>
      <c r="M32" s="620">
        <v>11</v>
      </c>
      <c r="N32" s="620">
        <v>4</v>
      </c>
      <c r="O32" s="620">
        <v>1</v>
      </c>
      <c r="P32" s="620">
        <f t="shared" si="37"/>
        <v>5</v>
      </c>
      <c r="Q32" s="619">
        <f t="shared" si="38"/>
        <v>3120</v>
      </c>
      <c r="R32" s="620">
        <v>3086</v>
      </c>
      <c r="S32" s="620">
        <v>17</v>
      </c>
      <c r="T32" s="620">
        <v>5</v>
      </c>
      <c r="U32" s="620">
        <v>12</v>
      </c>
      <c r="V32" s="621">
        <f t="shared" si="39"/>
        <v>17</v>
      </c>
      <c r="W32" s="619">
        <f t="shared" si="40"/>
        <v>1102</v>
      </c>
      <c r="X32" s="620">
        <v>1096</v>
      </c>
      <c r="Y32" s="620">
        <v>2</v>
      </c>
      <c r="Z32" s="620">
        <v>3</v>
      </c>
      <c r="AA32" s="620">
        <v>1</v>
      </c>
      <c r="AB32" s="621">
        <f t="shared" si="41"/>
        <v>4</v>
      </c>
      <c r="AC32" s="627">
        <f t="shared" si="42"/>
        <v>0.98930072602216279</v>
      </c>
      <c r="AD32" s="628">
        <f t="shared" si="43"/>
        <v>5.7317539166985097E-3</v>
      </c>
      <c r="AE32" s="628">
        <f t="shared" si="44"/>
        <v>2.2927015666794038E-3</v>
      </c>
      <c r="AF32" s="628">
        <f t="shared" si="45"/>
        <v>2.6748184944593045E-3</v>
      </c>
      <c r="AG32" s="629">
        <f t="shared" si="46"/>
        <v>4.9675200611387083E-3</v>
      </c>
      <c r="AH32" s="627">
        <f t="shared" si="47"/>
        <v>0.19335116545662973</v>
      </c>
      <c r="AI32" s="628">
        <f t="shared" si="48"/>
        <v>0.59610240733664499</v>
      </c>
      <c r="AJ32" s="629">
        <f t="shared" si="49"/>
        <v>0.21054642720672526</v>
      </c>
      <c r="AK32" s="619">
        <f t="shared" si="50"/>
        <v>50</v>
      </c>
      <c r="AL32" s="620">
        <v>18</v>
      </c>
      <c r="AM32" s="620">
        <v>28</v>
      </c>
      <c r="AN32" s="621">
        <v>4</v>
      </c>
      <c r="AO32" s="272">
        <f t="shared" si="51"/>
        <v>9.5529231944975167E-3</v>
      </c>
    </row>
    <row r="33" spans="1:41" x14ac:dyDescent="0.25">
      <c r="A33" s="270" t="s">
        <v>62</v>
      </c>
      <c r="B33" s="270" t="s">
        <v>63</v>
      </c>
      <c r="C33" s="270" t="s">
        <v>267</v>
      </c>
      <c r="D33" s="270">
        <v>2</v>
      </c>
      <c r="E33" s="619">
        <f t="shared" si="33"/>
        <v>49166</v>
      </c>
      <c r="F33" s="620">
        <f t="shared" si="52"/>
        <v>39571</v>
      </c>
      <c r="G33" s="620">
        <f t="shared" si="53"/>
        <v>8260</v>
      </c>
      <c r="H33" s="620">
        <f t="shared" si="54"/>
        <v>963</v>
      </c>
      <c r="I33" s="620">
        <f t="shared" si="55"/>
        <v>372</v>
      </c>
      <c r="J33" s="621">
        <f t="shared" si="35"/>
        <v>1335</v>
      </c>
      <c r="K33" s="271">
        <f t="shared" si="36"/>
        <v>12481</v>
      </c>
      <c r="L33" s="620">
        <v>9820</v>
      </c>
      <c r="M33" s="620">
        <v>2245</v>
      </c>
      <c r="N33" s="620">
        <v>297</v>
      </c>
      <c r="O33" s="620">
        <v>119</v>
      </c>
      <c r="P33" s="620">
        <f t="shared" si="37"/>
        <v>416</v>
      </c>
      <c r="Q33" s="619">
        <f t="shared" si="38"/>
        <v>29840</v>
      </c>
      <c r="R33" s="620">
        <v>23935</v>
      </c>
      <c r="S33" s="620">
        <v>5087</v>
      </c>
      <c r="T33" s="620">
        <v>586</v>
      </c>
      <c r="U33" s="620">
        <v>232</v>
      </c>
      <c r="V33" s="621">
        <f t="shared" si="39"/>
        <v>818</v>
      </c>
      <c r="W33" s="619">
        <f t="shared" si="40"/>
        <v>6845</v>
      </c>
      <c r="X33" s="620">
        <v>5816</v>
      </c>
      <c r="Y33" s="620">
        <v>928</v>
      </c>
      <c r="Z33" s="620">
        <v>80</v>
      </c>
      <c r="AA33" s="620">
        <v>21</v>
      </c>
      <c r="AB33" s="621">
        <f t="shared" si="41"/>
        <v>101</v>
      </c>
      <c r="AC33" s="627">
        <f t="shared" si="42"/>
        <v>0.80484481145507059</v>
      </c>
      <c r="AD33" s="628">
        <f t="shared" si="43"/>
        <v>0.1680022779969898</v>
      </c>
      <c r="AE33" s="628">
        <f t="shared" si="44"/>
        <v>1.9586706260423869E-2</v>
      </c>
      <c r="AF33" s="628">
        <f t="shared" si="45"/>
        <v>7.5662042875157629E-3</v>
      </c>
      <c r="AG33" s="629">
        <f t="shared" si="46"/>
        <v>2.7152910547939633E-2</v>
      </c>
      <c r="AH33" s="627">
        <f t="shared" si="47"/>
        <v>0.25385428954968881</v>
      </c>
      <c r="AI33" s="628">
        <f t="shared" si="48"/>
        <v>0.60692348370825366</v>
      </c>
      <c r="AJ33" s="629">
        <f t="shared" si="49"/>
        <v>0.13922222674205753</v>
      </c>
      <c r="AK33" s="619">
        <f t="shared" si="50"/>
        <v>4546</v>
      </c>
      <c r="AL33" s="620">
        <v>1719</v>
      </c>
      <c r="AM33" s="620">
        <v>2700</v>
      </c>
      <c r="AN33" s="621">
        <v>127</v>
      </c>
      <c r="AO33" s="272">
        <f t="shared" si="51"/>
        <v>9.2462270674856614E-2</v>
      </c>
    </row>
    <row r="34" spans="1:41" x14ac:dyDescent="0.25">
      <c r="A34" s="270" t="s">
        <v>64</v>
      </c>
      <c r="B34" s="270" t="s">
        <v>65</v>
      </c>
      <c r="C34" s="270" t="s">
        <v>266</v>
      </c>
      <c r="D34" s="270">
        <v>1</v>
      </c>
      <c r="E34" s="619">
        <f t="shared" si="33"/>
        <v>9827</v>
      </c>
      <c r="F34" s="620">
        <f t="shared" si="52"/>
        <v>6454</v>
      </c>
      <c r="G34" s="620">
        <f t="shared" si="53"/>
        <v>3273</v>
      </c>
      <c r="H34" s="620">
        <f t="shared" si="54"/>
        <v>42</v>
      </c>
      <c r="I34" s="620">
        <f t="shared" si="55"/>
        <v>58</v>
      </c>
      <c r="J34" s="621">
        <f t="shared" si="35"/>
        <v>100</v>
      </c>
      <c r="K34" s="271">
        <f t="shared" si="36"/>
        <v>2066</v>
      </c>
      <c r="L34" s="620">
        <v>1282</v>
      </c>
      <c r="M34" s="620">
        <v>760</v>
      </c>
      <c r="N34" s="620">
        <v>5</v>
      </c>
      <c r="O34" s="620">
        <v>19</v>
      </c>
      <c r="P34" s="620">
        <f t="shared" si="37"/>
        <v>24</v>
      </c>
      <c r="Q34" s="619">
        <f t="shared" si="38"/>
        <v>5863</v>
      </c>
      <c r="R34" s="620">
        <v>3886</v>
      </c>
      <c r="S34" s="620">
        <v>1909</v>
      </c>
      <c r="T34" s="620">
        <v>30</v>
      </c>
      <c r="U34" s="620">
        <v>38</v>
      </c>
      <c r="V34" s="621">
        <f t="shared" si="39"/>
        <v>68</v>
      </c>
      <c r="W34" s="619">
        <f t="shared" si="40"/>
        <v>1898</v>
      </c>
      <c r="X34" s="620">
        <v>1286</v>
      </c>
      <c r="Y34" s="620">
        <v>604</v>
      </c>
      <c r="Z34" s="620">
        <v>7</v>
      </c>
      <c r="AA34" s="620">
        <v>1</v>
      </c>
      <c r="AB34" s="621">
        <f t="shared" si="41"/>
        <v>8</v>
      </c>
      <c r="AC34" s="627">
        <f t="shared" si="42"/>
        <v>0.65676198229368066</v>
      </c>
      <c r="AD34" s="628">
        <f t="shared" si="43"/>
        <v>0.33306197211763511</v>
      </c>
      <c r="AE34" s="628">
        <f t="shared" si="44"/>
        <v>4.2739391472473793E-3</v>
      </c>
      <c r="AF34" s="628">
        <f t="shared" si="45"/>
        <v>5.9021064414368574E-3</v>
      </c>
      <c r="AG34" s="629">
        <f t="shared" si="46"/>
        <v>1.0176045588684237E-2</v>
      </c>
      <c r="AH34" s="627">
        <f t="shared" si="47"/>
        <v>0.21023710186221634</v>
      </c>
      <c r="AI34" s="628">
        <f t="shared" si="48"/>
        <v>0.59662155286455687</v>
      </c>
      <c r="AJ34" s="629">
        <f t="shared" si="49"/>
        <v>0.19314134527322682</v>
      </c>
      <c r="AK34" s="619">
        <f t="shared" si="50"/>
        <v>236</v>
      </c>
      <c r="AL34" s="620">
        <v>97</v>
      </c>
      <c r="AM34" s="620">
        <v>134</v>
      </c>
      <c r="AN34" s="621">
        <v>5</v>
      </c>
      <c r="AO34" s="272">
        <f t="shared" si="51"/>
        <v>2.4015467589294799E-2</v>
      </c>
    </row>
    <row r="35" spans="1:41" x14ac:dyDescent="0.25">
      <c r="A35" s="270" t="s">
        <v>66</v>
      </c>
      <c r="B35" s="270" t="s">
        <v>67</v>
      </c>
      <c r="C35" s="270" t="s">
        <v>265</v>
      </c>
      <c r="D35" s="270">
        <v>3</v>
      </c>
      <c r="E35" s="619">
        <f t="shared" si="33"/>
        <v>42444</v>
      </c>
      <c r="F35" s="620">
        <f t="shared" si="52"/>
        <v>20396</v>
      </c>
      <c r="G35" s="620">
        <f t="shared" si="53"/>
        <v>21313</v>
      </c>
      <c r="H35" s="620">
        <f t="shared" si="54"/>
        <v>576</v>
      </c>
      <c r="I35" s="620">
        <f t="shared" si="55"/>
        <v>159</v>
      </c>
      <c r="J35" s="621">
        <f t="shared" si="35"/>
        <v>735</v>
      </c>
      <c r="K35" s="271">
        <f t="shared" si="36"/>
        <v>9452</v>
      </c>
      <c r="L35" s="620">
        <v>3533</v>
      </c>
      <c r="M35" s="620">
        <v>5741</v>
      </c>
      <c r="N35" s="620">
        <v>149</v>
      </c>
      <c r="O35" s="620">
        <v>29</v>
      </c>
      <c r="P35" s="620">
        <f t="shared" si="37"/>
        <v>178</v>
      </c>
      <c r="Q35" s="619">
        <f t="shared" si="38"/>
        <v>24613</v>
      </c>
      <c r="R35" s="620">
        <v>11123</v>
      </c>
      <c r="S35" s="620">
        <v>12997</v>
      </c>
      <c r="T35" s="620">
        <v>384</v>
      </c>
      <c r="U35" s="620">
        <v>109</v>
      </c>
      <c r="V35" s="621">
        <f t="shared" si="39"/>
        <v>493</v>
      </c>
      <c r="W35" s="619">
        <f t="shared" si="40"/>
        <v>8379</v>
      </c>
      <c r="X35" s="620">
        <v>5740</v>
      </c>
      <c r="Y35" s="620">
        <v>2575</v>
      </c>
      <c r="Z35" s="620">
        <v>43</v>
      </c>
      <c r="AA35" s="620">
        <v>21</v>
      </c>
      <c r="AB35" s="621">
        <f t="shared" si="41"/>
        <v>64</v>
      </c>
      <c r="AC35" s="627">
        <f t="shared" si="42"/>
        <v>0.48053906323626427</v>
      </c>
      <c r="AD35" s="628">
        <f t="shared" si="43"/>
        <v>0.5021440015078692</v>
      </c>
      <c r="AE35" s="628">
        <f t="shared" si="44"/>
        <v>1.3570822731128074E-2</v>
      </c>
      <c r="AF35" s="628">
        <f t="shared" si="45"/>
        <v>3.746112524738479E-3</v>
      </c>
      <c r="AG35" s="629">
        <f t="shared" si="46"/>
        <v>1.7316935255866552E-2</v>
      </c>
      <c r="AH35" s="627">
        <f t="shared" si="47"/>
        <v>0.22269343134483083</v>
      </c>
      <c r="AI35" s="628">
        <f t="shared" si="48"/>
        <v>0.57989350673829043</v>
      </c>
      <c r="AJ35" s="629">
        <f t="shared" si="49"/>
        <v>0.19741306191687871</v>
      </c>
      <c r="AK35" s="619">
        <f t="shared" si="50"/>
        <v>1437</v>
      </c>
      <c r="AL35" s="620">
        <v>597</v>
      </c>
      <c r="AM35" s="620">
        <v>788</v>
      </c>
      <c r="AN35" s="621">
        <v>52</v>
      </c>
      <c r="AO35" s="272">
        <f t="shared" si="51"/>
        <v>3.3856375459428892E-2</v>
      </c>
    </row>
    <row r="36" spans="1:41" x14ac:dyDescent="0.25">
      <c r="A36" s="270" t="s">
        <v>68</v>
      </c>
      <c r="B36" s="270" t="s">
        <v>69</v>
      </c>
      <c r="C36" s="270" t="s">
        <v>268</v>
      </c>
      <c r="D36" s="270">
        <v>2</v>
      </c>
      <c r="E36" s="619">
        <f t="shared" si="33"/>
        <v>15308</v>
      </c>
      <c r="F36" s="620">
        <f t="shared" si="52"/>
        <v>15159</v>
      </c>
      <c r="G36" s="620">
        <f t="shared" si="53"/>
        <v>90</v>
      </c>
      <c r="H36" s="620">
        <f t="shared" si="54"/>
        <v>27</v>
      </c>
      <c r="I36" s="620">
        <f t="shared" si="55"/>
        <v>32</v>
      </c>
      <c r="J36" s="621">
        <f t="shared" si="35"/>
        <v>59</v>
      </c>
      <c r="K36" s="271">
        <f t="shared" si="36"/>
        <v>3150</v>
      </c>
      <c r="L36" s="620">
        <v>3108</v>
      </c>
      <c r="M36" s="620">
        <v>32</v>
      </c>
      <c r="N36" s="620">
        <v>7</v>
      </c>
      <c r="O36" s="620">
        <v>3</v>
      </c>
      <c r="P36" s="620">
        <f t="shared" si="37"/>
        <v>10</v>
      </c>
      <c r="Q36" s="619">
        <f t="shared" si="38"/>
        <v>9270</v>
      </c>
      <c r="R36" s="620">
        <v>9177</v>
      </c>
      <c r="S36" s="620">
        <v>50</v>
      </c>
      <c r="T36" s="620">
        <v>17</v>
      </c>
      <c r="U36" s="620">
        <v>26</v>
      </c>
      <c r="V36" s="621">
        <f t="shared" si="39"/>
        <v>43</v>
      </c>
      <c r="W36" s="619">
        <f t="shared" si="40"/>
        <v>2888</v>
      </c>
      <c r="X36" s="620">
        <v>2874</v>
      </c>
      <c r="Y36" s="620">
        <v>8</v>
      </c>
      <c r="Z36" s="620">
        <v>3</v>
      </c>
      <c r="AA36" s="620">
        <v>3</v>
      </c>
      <c r="AB36" s="621">
        <f t="shared" si="41"/>
        <v>6</v>
      </c>
      <c r="AC36" s="627">
        <f t="shared" si="42"/>
        <v>0.99026652730598375</v>
      </c>
      <c r="AD36" s="628">
        <f t="shared" si="43"/>
        <v>5.8792788084661611E-3</v>
      </c>
      <c r="AE36" s="628">
        <f t="shared" si="44"/>
        <v>1.7637836425398485E-3</v>
      </c>
      <c r="AF36" s="628">
        <f t="shared" si="45"/>
        <v>2.0904102430101905E-3</v>
      </c>
      <c r="AG36" s="629">
        <f t="shared" si="46"/>
        <v>3.8541938855500392E-3</v>
      </c>
      <c r="AH36" s="627">
        <f t="shared" si="47"/>
        <v>0.20577475829631564</v>
      </c>
      <c r="AI36" s="628">
        <f t="shared" si="48"/>
        <v>0.60556571727201458</v>
      </c>
      <c r="AJ36" s="629">
        <f t="shared" si="49"/>
        <v>0.18865952443166972</v>
      </c>
      <c r="AK36" s="619">
        <f t="shared" si="50"/>
        <v>136</v>
      </c>
      <c r="AL36" s="620">
        <v>44</v>
      </c>
      <c r="AM36" s="620">
        <v>83</v>
      </c>
      <c r="AN36" s="621">
        <v>9</v>
      </c>
      <c r="AO36" s="272">
        <f t="shared" si="51"/>
        <v>8.8842435327933112E-3</v>
      </c>
    </row>
    <row r="37" spans="1:41" x14ac:dyDescent="0.25">
      <c r="A37" s="270" t="s">
        <v>70</v>
      </c>
      <c r="B37" s="270" t="s">
        <v>71</v>
      </c>
      <c r="C37" s="270" t="s">
        <v>264</v>
      </c>
      <c r="D37" s="270">
        <v>2</v>
      </c>
      <c r="E37" s="619">
        <f t="shared" si="33"/>
        <v>27859</v>
      </c>
      <c r="F37" s="620">
        <f t="shared" si="52"/>
        <v>18190</v>
      </c>
      <c r="G37" s="620">
        <f t="shared" si="53"/>
        <v>9352</v>
      </c>
      <c r="H37" s="620">
        <f t="shared" si="54"/>
        <v>198</v>
      </c>
      <c r="I37" s="620">
        <f t="shared" si="55"/>
        <v>119</v>
      </c>
      <c r="J37" s="621">
        <f t="shared" si="35"/>
        <v>317</v>
      </c>
      <c r="K37" s="271">
        <f t="shared" si="36"/>
        <v>5645</v>
      </c>
      <c r="L37" s="620">
        <v>3594</v>
      </c>
      <c r="M37" s="620">
        <v>1979</v>
      </c>
      <c r="N37" s="620">
        <v>51</v>
      </c>
      <c r="O37" s="620">
        <v>21</v>
      </c>
      <c r="P37" s="620">
        <f t="shared" si="37"/>
        <v>72</v>
      </c>
      <c r="Q37" s="619">
        <f t="shared" si="38"/>
        <v>17678</v>
      </c>
      <c r="R37" s="620">
        <v>11548</v>
      </c>
      <c r="S37" s="620">
        <v>5914</v>
      </c>
      <c r="T37" s="620">
        <v>128</v>
      </c>
      <c r="U37" s="620">
        <v>88</v>
      </c>
      <c r="V37" s="621">
        <f t="shared" si="39"/>
        <v>216</v>
      </c>
      <c r="W37" s="619">
        <f t="shared" si="40"/>
        <v>4536</v>
      </c>
      <c r="X37" s="620">
        <v>3048</v>
      </c>
      <c r="Y37" s="620">
        <v>1459</v>
      </c>
      <c r="Z37" s="620">
        <v>19</v>
      </c>
      <c r="AA37" s="620">
        <v>10</v>
      </c>
      <c r="AB37" s="621">
        <f t="shared" si="41"/>
        <v>29</v>
      </c>
      <c r="AC37" s="627">
        <f t="shared" si="42"/>
        <v>0.65293083025234211</v>
      </c>
      <c r="AD37" s="628">
        <f t="shared" si="43"/>
        <v>0.33569044115007718</v>
      </c>
      <c r="AE37" s="628">
        <f t="shared" si="44"/>
        <v>7.1072184931260992E-3</v>
      </c>
      <c r="AF37" s="628">
        <f t="shared" si="45"/>
        <v>4.2715101044545744E-3</v>
      </c>
      <c r="AG37" s="629">
        <f t="shared" si="46"/>
        <v>1.1378728597580674E-2</v>
      </c>
      <c r="AH37" s="627">
        <f t="shared" si="47"/>
        <v>0.20262751713988297</v>
      </c>
      <c r="AI37" s="628">
        <f t="shared" si="48"/>
        <v>0.63455256829031914</v>
      </c>
      <c r="AJ37" s="629">
        <f t="shared" si="49"/>
        <v>0.16281991456979791</v>
      </c>
      <c r="AK37" s="619">
        <f t="shared" si="50"/>
        <v>806</v>
      </c>
      <c r="AL37" s="620">
        <v>270</v>
      </c>
      <c r="AM37" s="620">
        <v>508</v>
      </c>
      <c r="AN37" s="621">
        <v>28</v>
      </c>
      <c r="AO37" s="272">
        <f t="shared" si="51"/>
        <v>2.8931404573028466E-2</v>
      </c>
    </row>
    <row r="38" spans="1:41" x14ac:dyDescent="0.25">
      <c r="A38" s="270" t="s">
        <v>72</v>
      </c>
      <c r="B38" s="270" t="s">
        <v>73</v>
      </c>
      <c r="C38" s="270" t="s">
        <v>266</v>
      </c>
      <c r="D38" s="270">
        <v>1</v>
      </c>
      <c r="E38" s="619">
        <f t="shared" ref="E38:E69" si="56">SUM(F38:I38)</f>
        <v>11103</v>
      </c>
      <c r="F38" s="620">
        <f t="shared" si="52"/>
        <v>6490</v>
      </c>
      <c r="G38" s="620">
        <f t="shared" si="53"/>
        <v>4355</v>
      </c>
      <c r="H38" s="620">
        <f t="shared" si="54"/>
        <v>146</v>
      </c>
      <c r="I38" s="620">
        <f t="shared" si="55"/>
        <v>112</v>
      </c>
      <c r="J38" s="621">
        <f t="shared" ref="J38:J69" si="57">H38+I38</f>
        <v>258</v>
      </c>
      <c r="K38" s="271">
        <f t="shared" ref="K38:K69" si="58">SUM(L38:O38)</f>
        <v>2225</v>
      </c>
      <c r="L38" s="620">
        <v>1110</v>
      </c>
      <c r="M38" s="620">
        <v>1044</v>
      </c>
      <c r="N38" s="620">
        <v>44</v>
      </c>
      <c r="O38" s="620">
        <v>27</v>
      </c>
      <c r="P38" s="620">
        <f t="shared" ref="P38:P69" si="59">N38+O38</f>
        <v>71</v>
      </c>
      <c r="Q38" s="619">
        <f t="shared" ref="Q38:Q69" si="60">SUM(R38:U38)</f>
        <v>6612</v>
      </c>
      <c r="R38" s="620">
        <v>3803</v>
      </c>
      <c r="S38" s="620">
        <v>2649</v>
      </c>
      <c r="T38" s="620">
        <v>91</v>
      </c>
      <c r="U38" s="620">
        <v>69</v>
      </c>
      <c r="V38" s="621">
        <f t="shared" ref="V38:V69" si="61">T38+U38</f>
        <v>160</v>
      </c>
      <c r="W38" s="619">
        <f t="shared" ref="W38:W69" si="62">SUM(X38:AA38)</f>
        <v>2266</v>
      </c>
      <c r="X38" s="620">
        <v>1577</v>
      </c>
      <c r="Y38" s="620">
        <v>662</v>
      </c>
      <c r="Z38" s="620">
        <v>11</v>
      </c>
      <c r="AA38" s="620">
        <v>16</v>
      </c>
      <c r="AB38" s="621">
        <f t="shared" ref="AB38:AB69" si="63">Z38+AA38</f>
        <v>27</v>
      </c>
      <c r="AC38" s="627">
        <f t="shared" ref="AC38:AC69" si="64">F38/E38</f>
        <v>0.58452670449428079</v>
      </c>
      <c r="AD38" s="628">
        <f t="shared" ref="AD38:AD69" si="65">G38/E38</f>
        <v>0.39223633252274159</v>
      </c>
      <c r="AE38" s="628">
        <f t="shared" ref="AE38:AE69" si="66">H38/E38</f>
        <v>1.3149599207421418E-2</v>
      </c>
      <c r="AF38" s="628">
        <f t="shared" ref="AF38:AF69" si="67">I38/E38</f>
        <v>1.0087363775556156E-2</v>
      </c>
      <c r="AG38" s="629">
        <f t="shared" ref="AG38:AG69" si="68">J38/E38</f>
        <v>2.3236962982977574E-2</v>
      </c>
      <c r="AH38" s="627">
        <f t="shared" ref="AH38:AH69" si="69">K38/E38</f>
        <v>0.20039628929118256</v>
      </c>
      <c r="AI38" s="628">
        <f t="shared" ref="AI38:AI69" si="70">Q38/E38</f>
        <v>0.59551472574979736</v>
      </c>
      <c r="AJ38" s="629">
        <f t="shared" ref="AJ38:AJ69" si="71">W38/E38</f>
        <v>0.20408898495902009</v>
      </c>
      <c r="AK38" s="619">
        <f t="shared" ref="AK38:AK69" si="72">SUM(AL38:AN38)</f>
        <v>404</v>
      </c>
      <c r="AL38" s="620">
        <v>130</v>
      </c>
      <c r="AM38" s="620">
        <v>244</v>
      </c>
      <c r="AN38" s="621">
        <v>30</v>
      </c>
      <c r="AO38" s="272">
        <f t="shared" ref="AO38:AO69" si="73">AK38/E38</f>
        <v>3.6386562190398992E-2</v>
      </c>
    </row>
    <row r="39" spans="1:41" x14ac:dyDescent="0.25">
      <c r="A39" s="270" t="s">
        <v>74</v>
      </c>
      <c r="B39" s="270" t="s">
        <v>664</v>
      </c>
      <c r="C39" s="270" t="s">
        <v>267</v>
      </c>
      <c r="D39" s="270">
        <v>3</v>
      </c>
      <c r="E39" s="619">
        <f t="shared" si="56"/>
        <v>1175622</v>
      </c>
      <c r="F39" s="620">
        <f t="shared" si="52"/>
        <v>807781</v>
      </c>
      <c r="G39" s="620">
        <f t="shared" si="53"/>
        <v>121638</v>
      </c>
      <c r="H39" s="620">
        <f t="shared" si="54"/>
        <v>237530</v>
      </c>
      <c r="I39" s="620">
        <f t="shared" si="55"/>
        <v>8673</v>
      </c>
      <c r="J39" s="621">
        <f t="shared" si="57"/>
        <v>246203</v>
      </c>
      <c r="K39" s="271">
        <f t="shared" si="58"/>
        <v>280615</v>
      </c>
      <c r="L39" s="620">
        <v>187472</v>
      </c>
      <c r="M39" s="620">
        <v>33044</v>
      </c>
      <c r="N39" s="620">
        <v>57783</v>
      </c>
      <c r="O39" s="620">
        <v>2316</v>
      </c>
      <c r="P39" s="620">
        <f t="shared" si="59"/>
        <v>60099</v>
      </c>
      <c r="Q39" s="619">
        <f t="shared" si="60"/>
        <v>759183</v>
      </c>
      <c r="R39" s="620">
        <v>515861</v>
      </c>
      <c r="S39" s="620">
        <v>79799</v>
      </c>
      <c r="T39" s="620">
        <v>157544</v>
      </c>
      <c r="U39" s="620">
        <v>5979</v>
      </c>
      <c r="V39" s="621">
        <f t="shared" si="61"/>
        <v>163523</v>
      </c>
      <c r="W39" s="619">
        <f t="shared" si="62"/>
        <v>135824</v>
      </c>
      <c r="X39" s="620">
        <v>104448</v>
      </c>
      <c r="Y39" s="620">
        <v>8795</v>
      </c>
      <c r="Z39" s="620">
        <v>22203</v>
      </c>
      <c r="AA39" s="620">
        <v>378</v>
      </c>
      <c r="AB39" s="621">
        <f t="shared" si="63"/>
        <v>22581</v>
      </c>
      <c r="AC39" s="627">
        <f t="shared" si="64"/>
        <v>0.68710946205498025</v>
      </c>
      <c r="AD39" s="628">
        <f t="shared" si="65"/>
        <v>0.10346693069711183</v>
      </c>
      <c r="AE39" s="628">
        <f t="shared" si="66"/>
        <v>0.20204623594999072</v>
      </c>
      <c r="AF39" s="628">
        <f t="shared" si="67"/>
        <v>7.3773712979171881E-3</v>
      </c>
      <c r="AG39" s="629">
        <f t="shared" si="68"/>
        <v>0.20942360724790793</v>
      </c>
      <c r="AH39" s="627">
        <f t="shared" si="69"/>
        <v>0.23869492064626216</v>
      </c>
      <c r="AI39" s="628">
        <f t="shared" si="70"/>
        <v>0.64577134487105547</v>
      </c>
      <c r="AJ39" s="629">
        <f t="shared" si="71"/>
        <v>0.11553373448268237</v>
      </c>
      <c r="AK39" s="619">
        <f t="shared" si="72"/>
        <v>191766</v>
      </c>
      <c r="AL39" s="620">
        <v>58136</v>
      </c>
      <c r="AM39" s="620">
        <v>124591</v>
      </c>
      <c r="AN39" s="621">
        <v>9039</v>
      </c>
      <c r="AO39" s="272">
        <f t="shared" si="73"/>
        <v>0.16311875755982791</v>
      </c>
    </row>
    <row r="40" spans="1:41" x14ac:dyDescent="0.25">
      <c r="A40" s="270" t="s">
        <v>76</v>
      </c>
      <c r="B40" s="270" t="s">
        <v>77</v>
      </c>
      <c r="C40" s="270" t="s">
        <v>267</v>
      </c>
      <c r="D40" s="270">
        <v>2</v>
      </c>
      <c r="E40" s="619">
        <f t="shared" si="56"/>
        <v>68248</v>
      </c>
      <c r="F40" s="620">
        <f t="shared" si="52"/>
        <v>60517</v>
      </c>
      <c r="G40" s="620">
        <f t="shared" si="53"/>
        <v>6057</v>
      </c>
      <c r="H40" s="620">
        <f t="shared" si="54"/>
        <v>1336</v>
      </c>
      <c r="I40" s="620">
        <f t="shared" si="55"/>
        <v>338</v>
      </c>
      <c r="J40" s="621">
        <f t="shared" si="57"/>
        <v>1674</v>
      </c>
      <c r="K40" s="271">
        <f t="shared" si="58"/>
        <v>16338</v>
      </c>
      <c r="L40" s="620">
        <v>14286</v>
      </c>
      <c r="M40" s="620">
        <v>1615</v>
      </c>
      <c r="N40" s="620">
        <v>365</v>
      </c>
      <c r="O40" s="620">
        <v>72</v>
      </c>
      <c r="P40" s="620">
        <f t="shared" si="59"/>
        <v>437</v>
      </c>
      <c r="Q40" s="619">
        <f t="shared" si="60"/>
        <v>41725</v>
      </c>
      <c r="R40" s="620">
        <v>37147</v>
      </c>
      <c r="S40" s="620">
        <v>3529</v>
      </c>
      <c r="T40" s="620">
        <v>824</v>
      </c>
      <c r="U40" s="620">
        <v>225</v>
      </c>
      <c r="V40" s="621">
        <f t="shared" si="61"/>
        <v>1049</v>
      </c>
      <c r="W40" s="619">
        <f t="shared" si="62"/>
        <v>10185</v>
      </c>
      <c r="X40" s="620">
        <v>9084</v>
      </c>
      <c r="Y40" s="620">
        <v>913</v>
      </c>
      <c r="Z40" s="620">
        <v>147</v>
      </c>
      <c r="AA40" s="620">
        <v>41</v>
      </c>
      <c r="AB40" s="621">
        <f t="shared" si="63"/>
        <v>188</v>
      </c>
      <c r="AC40" s="627">
        <f t="shared" si="64"/>
        <v>0.88672195522213104</v>
      </c>
      <c r="AD40" s="628">
        <f t="shared" si="65"/>
        <v>8.874985347555972E-2</v>
      </c>
      <c r="AE40" s="628">
        <f t="shared" si="66"/>
        <v>1.9575665220958854E-2</v>
      </c>
      <c r="AF40" s="628">
        <f t="shared" si="67"/>
        <v>4.9525260813503696E-3</v>
      </c>
      <c r="AG40" s="629">
        <f t="shared" si="68"/>
        <v>2.4528191302309224E-2</v>
      </c>
      <c r="AH40" s="627">
        <f t="shared" si="69"/>
        <v>0.23939163052397139</v>
      </c>
      <c r="AI40" s="628">
        <f t="shared" si="70"/>
        <v>0.61137322705427266</v>
      </c>
      <c r="AJ40" s="629">
        <f t="shared" si="71"/>
        <v>0.14923514242175595</v>
      </c>
      <c r="AK40" s="619">
        <f t="shared" si="72"/>
        <v>4882</v>
      </c>
      <c r="AL40" s="620">
        <v>1830</v>
      </c>
      <c r="AM40" s="620">
        <v>2886</v>
      </c>
      <c r="AN40" s="621">
        <v>166</v>
      </c>
      <c r="AO40" s="272">
        <f t="shared" si="73"/>
        <v>7.1533231743054745E-2</v>
      </c>
    </row>
    <row r="41" spans="1:41" x14ac:dyDescent="0.25">
      <c r="A41" s="270" t="s">
        <v>78</v>
      </c>
      <c r="B41" s="270" t="s">
        <v>79</v>
      </c>
      <c r="C41" s="270" t="s">
        <v>268</v>
      </c>
      <c r="D41" s="270">
        <v>1</v>
      </c>
      <c r="E41" s="619">
        <f t="shared" si="56"/>
        <v>15578</v>
      </c>
      <c r="F41" s="620">
        <f t="shared" si="52"/>
        <v>15074</v>
      </c>
      <c r="G41" s="620">
        <f t="shared" si="53"/>
        <v>369</v>
      </c>
      <c r="H41" s="620">
        <f t="shared" si="54"/>
        <v>101</v>
      </c>
      <c r="I41" s="620">
        <f t="shared" si="55"/>
        <v>34</v>
      </c>
      <c r="J41" s="621">
        <f t="shared" si="57"/>
        <v>135</v>
      </c>
      <c r="K41" s="271">
        <f t="shared" si="58"/>
        <v>3187</v>
      </c>
      <c r="L41" s="620">
        <v>3090</v>
      </c>
      <c r="M41" s="620">
        <v>81</v>
      </c>
      <c r="N41" s="620">
        <v>13</v>
      </c>
      <c r="O41" s="620">
        <v>3</v>
      </c>
      <c r="P41" s="620">
        <f t="shared" si="59"/>
        <v>16</v>
      </c>
      <c r="Q41" s="619">
        <f t="shared" si="60"/>
        <v>9210</v>
      </c>
      <c r="R41" s="620">
        <v>8880</v>
      </c>
      <c r="S41" s="620">
        <v>220</v>
      </c>
      <c r="T41" s="620">
        <v>84</v>
      </c>
      <c r="U41" s="620">
        <v>26</v>
      </c>
      <c r="V41" s="621">
        <f t="shared" si="61"/>
        <v>110</v>
      </c>
      <c r="W41" s="619">
        <f t="shared" si="62"/>
        <v>3181</v>
      </c>
      <c r="X41" s="620">
        <v>3104</v>
      </c>
      <c r="Y41" s="620">
        <v>68</v>
      </c>
      <c r="Z41" s="620">
        <v>4</v>
      </c>
      <c r="AA41" s="620">
        <v>5</v>
      </c>
      <c r="AB41" s="621">
        <f t="shared" si="63"/>
        <v>9</v>
      </c>
      <c r="AC41" s="627">
        <f t="shared" si="64"/>
        <v>0.96764668121710107</v>
      </c>
      <c r="AD41" s="628">
        <f t="shared" si="65"/>
        <v>2.3687251251765309E-2</v>
      </c>
      <c r="AE41" s="628">
        <f t="shared" si="66"/>
        <v>6.4835023751444341E-3</v>
      </c>
      <c r="AF41" s="628">
        <f t="shared" si="67"/>
        <v>2.1825651559892155E-3</v>
      </c>
      <c r="AG41" s="629">
        <f t="shared" si="68"/>
        <v>8.6660675311336505E-3</v>
      </c>
      <c r="AH41" s="627">
        <f t="shared" si="69"/>
        <v>0.20458338682757735</v>
      </c>
      <c r="AI41" s="628">
        <f t="shared" si="70"/>
        <v>0.59121838490178458</v>
      </c>
      <c r="AJ41" s="629">
        <f t="shared" si="71"/>
        <v>0.20419822827063808</v>
      </c>
      <c r="AK41" s="619">
        <f t="shared" si="72"/>
        <v>432</v>
      </c>
      <c r="AL41" s="620">
        <v>150</v>
      </c>
      <c r="AM41" s="620">
        <v>258</v>
      </c>
      <c r="AN41" s="621">
        <v>24</v>
      </c>
      <c r="AO41" s="272">
        <f t="shared" si="73"/>
        <v>2.7731416099627679E-2</v>
      </c>
    </row>
    <row r="42" spans="1:41" x14ac:dyDescent="0.25">
      <c r="A42" s="270" t="s">
        <v>80</v>
      </c>
      <c r="B42" s="270" t="s">
        <v>81</v>
      </c>
      <c r="C42" s="270" t="s">
        <v>266</v>
      </c>
      <c r="D42" s="270">
        <v>2</v>
      </c>
      <c r="E42" s="619">
        <f t="shared" si="56"/>
        <v>26092</v>
      </c>
      <c r="F42" s="620">
        <f t="shared" si="52"/>
        <v>21544</v>
      </c>
      <c r="G42" s="620">
        <f t="shared" si="53"/>
        <v>4236</v>
      </c>
      <c r="H42" s="620">
        <f t="shared" si="54"/>
        <v>242</v>
      </c>
      <c r="I42" s="620">
        <f t="shared" si="55"/>
        <v>70</v>
      </c>
      <c r="J42" s="621">
        <f t="shared" si="57"/>
        <v>312</v>
      </c>
      <c r="K42" s="271">
        <f t="shared" si="58"/>
        <v>5542</v>
      </c>
      <c r="L42" s="620">
        <v>4560</v>
      </c>
      <c r="M42" s="620">
        <v>911</v>
      </c>
      <c r="N42" s="620">
        <v>51</v>
      </c>
      <c r="O42" s="620">
        <v>20</v>
      </c>
      <c r="P42" s="620">
        <f t="shared" si="59"/>
        <v>71</v>
      </c>
      <c r="Q42" s="619">
        <f t="shared" si="60"/>
        <v>15775</v>
      </c>
      <c r="R42" s="620">
        <v>12770</v>
      </c>
      <c r="S42" s="620">
        <v>2787</v>
      </c>
      <c r="T42" s="620">
        <v>171</v>
      </c>
      <c r="U42" s="620">
        <v>47</v>
      </c>
      <c r="V42" s="621">
        <f t="shared" si="61"/>
        <v>218</v>
      </c>
      <c r="W42" s="619">
        <f t="shared" si="62"/>
        <v>4775</v>
      </c>
      <c r="X42" s="620">
        <v>4214</v>
      </c>
      <c r="Y42" s="620">
        <v>538</v>
      </c>
      <c r="Z42" s="620">
        <v>20</v>
      </c>
      <c r="AA42" s="620">
        <v>3</v>
      </c>
      <c r="AB42" s="621">
        <f t="shared" si="63"/>
        <v>23</v>
      </c>
      <c r="AC42" s="627">
        <f t="shared" si="64"/>
        <v>0.82569369921815117</v>
      </c>
      <c r="AD42" s="628">
        <f t="shared" si="65"/>
        <v>0.16234861260156369</v>
      </c>
      <c r="AE42" s="628">
        <f t="shared" si="66"/>
        <v>9.2748735244519397E-3</v>
      </c>
      <c r="AF42" s="628">
        <f t="shared" si="67"/>
        <v>2.6828146558332054E-3</v>
      </c>
      <c r="AG42" s="629">
        <f t="shared" si="68"/>
        <v>1.1957688180285145E-2</v>
      </c>
      <c r="AH42" s="627">
        <f t="shared" si="69"/>
        <v>0.21240226889468036</v>
      </c>
      <c r="AI42" s="628">
        <f t="shared" si="70"/>
        <v>0.60459144565384026</v>
      </c>
      <c r="AJ42" s="629">
        <f t="shared" si="71"/>
        <v>0.18300628545147937</v>
      </c>
      <c r="AK42" s="619">
        <f t="shared" si="72"/>
        <v>822</v>
      </c>
      <c r="AL42" s="620">
        <v>261</v>
      </c>
      <c r="AM42" s="620">
        <v>493</v>
      </c>
      <c r="AN42" s="621">
        <v>68</v>
      </c>
      <c r="AO42" s="272">
        <f t="shared" si="73"/>
        <v>3.1503909244212785E-2</v>
      </c>
    </row>
    <row r="43" spans="1:41" x14ac:dyDescent="0.25">
      <c r="A43" s="270" t="s">
        <v>82</v>
      </c>
      <c r="B43" s="270" t="s">
        <v>311</v>
      </c>
      <c r="C43" s="270" t="s">
        <v>264</v>
      </c>
      <c r="D43" s="270">
        <v>2</v>
      </c>
      <c r="E43" s="619">
        <f t="shared" si="56"/>
        <v>8526</v>
      </c>
      <c r="F43" s="620">
        <f t="shared" si="52"/>
        <v>3401</v>
      </c>
      <c r="G43" s="620">
        <f t="shared" si="53"/>
        <v>4997</v>
      </c>
      <c r="H43" s="620">
        <f t="shared" si="54"/>
        <v>86</v>
      </c>
      <c r="I43" s="620">
        <f t="shared" si="55"/>
        <v>42</v>
      </c>
      <c r="J43" s="621">
        <f t="shared" si="57"/>
        <v>128</v>
      </c>
      <c r="K43" s="271">
        <f t="shared" si="58"/>
        <v>2236</v>
      </c>
      <c r="L43" s="620">
        <v>692</v>
      </c>
      <c r="M43" s="620">
        <v>1510</v>
      </c>
      <c r="N43" s="620">
        <v>21</v>
      </c>
      <c r="O43" s="620">
        <v>13</v>
      </c>
      <c r="P43" s="620">
        <f t="shared" si="59"/>
        <v>34</v>
      </c>
      <c r="Q43" s="619">
        <f t="shared" si="60"/>
        <v>4802</v>
      </c>
      <c r="R43" s="620">
        <v>1839</v>
      </c>
      <c r="S43" s="620">
        <v>2876</v>
      </c>
      <c r="T43" s="620">
        <v>61</v>
      </c>
      <c r="U43" s="620">
        <v>26</v>
      </c>
      <c r="V43" s="621">
        <f t="shared" si="61"/>
        <v>87</v>
      </c>
      <c r="W43" s="619">
        <f t="shared" si="62"/>
        <v>1488</v>
      </c>
      <c r="X43" s="620">
        <v>870</v>
      </c>
      <c r="Y43" s="620">
        <v>611</v>
      </c>
      <c r="Z43" s="620">
        <v>4</v>
      </c>
      <c r="AA43" s="620">
        <v>3</v>
      </c>
      <c r="AB43" s="621">
        <f t="shared" si="63"/>
        <v>7</v>
      </c>
      <c r="AC43" s="627">
        <f t="shared" si="64"/>
        <v>0.39889749003049496</v>
      </c>
      <c r="AD43" s="628">
        <f t="shared" si="65"/>
        <v>0.586089608257096</v>
      </c>
      <c r="AE43" s="628">
        <f t="shared" si="66"/>
        <v>1.0086793338024865E-2</v>
      </c>
      <c r="AF43" s="628">
        <f t="shared" si="67"/>
        <v>4.9261083743842365E-3</v>
      </c>
      <c r="AG43" s="629">
        <f t="shared" si="68"/>
        <v>1.5012901712409101E-2</v>
      </c>
      <c r="AH43" s="627">
        <f t="shared" si="69"/>
        <v>0.26225662678864647</v>
      </c>
      <c r="AI43" s="628">
        <f t="shared" si="70"/>
        <v>0.56321839080459768</v>
      </c>
      <c r="AJ43" s="629">
        <f t="shared" si="71"/>
        <v>0.17452498240675582</v>
      </c>
      <c r="AK43" s="619">
        <f t="shared" si="72"/>
        <v>198</v>
      </c>
      <c r="AL43" s="620">
        <v>80</v>
      </c>
      <c r="AM43" s="620">
        <v>109</v>
      </c>
      <c r="AN43" s="621">
        <v>9</v>
      </c>
      <c r="AO43" s="272">
        <f t="shared" si="73"/>
        <v>2.322308233638283E-2</v>
      </c>
    </row>
    <row r="44" spans="1:41" x14ac:dyDescent="0.25">
      <c r="A44" s="270" t="s">
        <v>84</v>
      </c>
      <c r="B44" s="270" t="s">
        <v>308</v>
      </c>
      <c r="C44" s="270" t="s">
        <v>265</v>
      </c>
      <c r="D44" s="270">
        <v>2</v>
      </c>
      <c r="E44" s="619">
        <f t="shared" si="56"/>
        <v>56358</v>
      </c>
      <c r="F44" s="620">
        <f t="shared" si="52"/>
        <v>50799</v>
      </c>
      <c r="G44" s="620">
        <f t="shared" si="53"/>
        <v>5001</v>
      </c>
      <c r="H44" s="620">
        <f t="shared" si="54"/>
        <v>299</v>
      </c>
      <c r="I44" s="620">
        <f t="shared" si="55"/>
        <v>259</v>
      </c>
      <c r="J44" s="621">
        <f t="shared" si="57"/>
        <v>558</v>
      </c>
      <c r="K44" s="271">
        <f t="shared" si="58"/>
        <v>11101</v>
      </c>
      <c r="L44" s="620">
        <v>9884</v>
      </c>
      <c r="M44" s="620">
        <v>1091</v>
      </c>
      <c r="N44" s="620">
        <v>60</v>
      </c>
      <c r="O44" s="620">
        <v>66</v>
      </c>
      <c r="P44" s="620">
        <f t="shared" si="59"/>
        <v>126</v>
      </c>
      <c r="Q44" s="619">
        <f t="shared" si="60"/>
        <v>33527</v>
      </c>
      <c r="R44" s="620">
        <v>30002</v>
      </c>
      <c r="S44" s="620">
        <v>3155</v>
      </c>
      <c r="T44" s="620">
        <v>196</v>
      </c>
      <c r="U44" s="620">
        <v>174</v>
      </c>
      <c r="V44" s="621">
        <f t="shared" si="61"/>
        <v>370</v>
      </c>
      <c r="W44" s="619">
        <f t="shared" si="62"/>
        <v>11730</v>
      </c>
      <c r="X44" s="620">
        <v>10913</v>
      </c>
      <c r="Y44" s="620">
        <v>755</v>
      </c>
      <c r="Z44" s="620">
        <v>43</v>
      </c>
      <c r="AA44" s="620">
        <v>19</v>
      </c>
      <c r="AB44" s="621">
        <f t="shared" si="63"/>
        <v>62</v>
      </c>
      <c r="AC44" s="627">
        <f t="shared" si="64"/>
        <v>0.90136271691685299</v>
      </c>
      <c r="AD44" s="628">
        <f t="shared" si="65"/>
        <v>8.8736292984137127E-2</v>
      </c>
      <c r="AE44" s="628">
        <f t="shared" si="66"/>
        <v>5.3053692466020798E-3</v>
      </c>
      <c r="AF44" s="628">
        <f t="shared" si="67"/>
        <v>4.5956208524078213E-3</v>
      </c>
      <c r="AG44" s="629">
        <f t="shared" si="68"/>
        <v>9.9009900990099011E-3</v>
      </c>
      <c r="AH44" s="627">
        <f t="shared" si="69"/>
        <v>0.19697292309876149</v>
      </c>
      <c r="AI44" s="628">
        <f t="shared" si="70"/>
        <v>0.59489336030377227</v>
      </c>
      <c r="AJ44" s="629">
        <f t="shared" si="71"/>
        <v>0.20813371659746621</v>
      </c>
      <c r="AK44" s="619">
        <f t="shared" si="72"/>
        <v>1533</v>
      </c>
      <c r="AL44" s="620">
        <v>603</v>
      </c>
      <c r="AM44" s="620">
        <v>855</v>
      </c>
      <c r="AN44" s="621">
        <v>75</v>
      </c>
      <c r="AO44" s="272">
        <f t="shared" si="73"/>
        <v>2.7201107207494944E-2</v>
      </c>
    </row>
    <row r="45" spans="1:41" x14ac:dyDescent="0.25">
      <c r="A45" s="270" t="s">
        <v>86</v>
      </c>
      <c r="B45" s="270" t="s">
        <v>87</v>
      </c>
      <c r="C45" s="270" t="s">
        <v>267</v>
      </c>
      <c r="D45" s="270">
        <v>2</v>
      </c>
      <c r="E45" s="619">
        <f t="shared" si="56"/>
        <v>82377</v>
      </c>
      <c r="F45" s="620">
        <f t="shared" si="52"/>
        <v>76197</v>
      </c>
      <c r="G45" s="620">
        <f t="shared" si="53"/>
        <v>4345</v>
      </c>
      <c r="H45" s="620">
        <f t="shared" si="54"/>
        <v>1456</v>
      </c>
      <c r="I45" s="620">
        <f t="shared" si="55"/>
        <v>379</v>
      </c>
      <c r="J45" s="621">
        <f t="shared" si="57"/>
        <v>1835</v>
      </c>
      <c r="K45" s="271">
        <f t="shared" si="58"/>
        <v>19398</v>
      </c>
      <c r="L45" s="620">
        <v>17505</v>
      </c>
      <c r="M45" s="620">
        <v>1433</v>
      </c>
      <c r="N45" s="620">
        <v>343</v>
      </c>
      <c r="O45" s="620">
        <v>117</v>
      </c>
      <c r="P45" s="620">
        <f t="shared" si="59"/>
        <v>460</v>
      </c>
      <c r="Q45" s="619">
        <f t="shared" si="60"/>
        <v>50461</v>
      </c>
      <c r="R45" s="620">
        <v>46651</v>
      </c>
      <c r="S45" s="620">
        <v>2611</v>
      </c>
      <c r="T45" s="620">
        <v>977</v>
      </c>
      <c r="U45" s="620">
        <v>222</v>
      </c>
      <c r="V45" s="621">
        <f t="shared" si="61"/>
        <v>1199</v>
      </c>
      <c r="W45" s="619">
        <f t="shared" si="62"/>
        <v>12518</v>
      </c>
      <c r="X45" s="620">
        <v>12041</v>
      </c>
      <c r="Y45" s="620">
        <v>301</v>
      </c>
      <c r="Z45" s="620">
        <v>136</v>
      </c>
      <c r="AA45" s="620">
        <v>40</v>
      </c>
      <c r="AB45" s="621">
        <f t="shared" si="63"/>
        <v>176</v>
      </c>
      <c r="AC45" s="627">
        <f t="shared" si="64"/>
        <v>0.92497905968899086</v>
      </c>
      <c r="AD45" s="628">
        <f t="shared" si="65"/>
        <v>5.2745305121575194E-2</v>
      </c>
      <c r="AE45" s="628">
        <f t="shared" si="66"/>
        <v>1.7674836422787915E-2</v>
      </c>
      <c r="AF45" s="628">
        <f t="shared" si="67"/>
        <v>4.6007987666460302E-3</v>
      </c>
      <c r="AG45" s="629">
        <f t="shared" si="68"/>
        <v>2.2275635189433943E-2</v>
      </c>
      <c r="AH45" s="627">
        <f t="shared" si="69"/>
        <v>0.23547834953931315</v>
      </c>
      <c r="AI45" s="628">
        <f t="shared" si="70"/>
        <v>0.61256175874333851</v>
      </c>
      <c r="AJ45" s="629">
        <f t="shared" si="71"/>
        <v>0.15195989171734828</v>
      </c>
      <c r="AK45" s="619">
        <f t="shared" si="72"/>
        <v>6128</v>
      </c>
      <c r="AL45" s="620">
        <v>2300</v>
      </c>
      <c r="AM45" s="620">
        <v>3620</v>
      </c>
      <c r="AN45" s="621">
        <v>208</v>
      </c>
      <c r="AO45" s="272">
        <f t="shared" si="73"/>
        <v>7.4389696153052423E-2</v>
      </c>
    </row>
    <row r="46" spans="1:41" x14ac:dyDescent="0.25">
      <c r="A46" s="270" t="s">
        <v>88</v>
      </c>
      <c r="B46" s="270" t="s">
        <v>89</v>
      </c>
      <c r="C46" s="270" t="s">
        <v>267</v>
      </c>
      <c r="D46" s="270">
        <v>2</v>
      </c>
      <c r="E46" s="619">
        <f t="shared" si="56"/>
        <v>28350</v>
      </c>
      <c r="F46" s="620">
        <f t="shared" si="52"/>
        <v>19884</v>
      </c>
      <c r="G46" s="620">
        <f t="shared" si="53"/>
        <v>7180</v>
      </c>
      <c r="H46" s="620">
        <f t="shared" si="54"/>
        <v>1054</v>
      </c>
      <c r="I46" s="620">
        <f t="shared" si="55"/>
        <v>232</v>
      </c>
      <c r="J46" s="621">
        <f t="shared" si="57"/>
        <v>1286</v>
      </c>
      <c r="K46" s="271">
        <f t="shared" si="58"/>
        <v>5758</v>
      </c>
      <c r="L46" s="620">
        <v>3529</v>
      </c>
      <c r="M46" s="620">
        <v>1942</v>
      </c>
      <c r="N46" s="620">
        <v>243</v>
      </c>
      <c r="O46" s="620">
        <v>44</v>
      </c>
      <c r="P46" s="620">
        <f t="shared" si="59"/>
        <v>287</v>
      </c>
      <c r="Q46" s="619">
        <f t="shared" si="60"/>
        <v>19732</v>
      </c>
      <c r="R46" s="620">
        <v>14086</v>
      </c>
      <c r="S46" s="620">
        <v>4715</v>
      </c>
      <c r="T46" s="620">
        <v>752</v>
      </c>
      <c r="U46" s="620">
        <v>179</v>
      </c>
      <c r="V46" s="621">
        <f t="shared" si="61"/>
        <v>931</v>
      </c>
      <c r="W46" s="619">
        <f t="shared" si="62"/>
        <v>2860</v>
      </c>
      <c r="X46" s="620">
        <v>2269</v>
      </c>
      <c r="Y46" s="620">
        <v>523</v>
      </c>
      <c r="Z46" s="620">
        <v>59</v>
      </c>
      <c r="AA46" s="620">
        <v>9</v>
      </c>
      <c r="AB46" s="621">
        <f t="shared" si="63"/>
        <v>68</v>
      </c>
      <c r="AC46" s="627">
        <f t="shared" si="64"/>
        <v>0.70137566137566143</v>
      </c>
      <c r="AD46" s="628">
        <f t="shared" si="65"/>
        <v>0.25326278659611995</v>
      </c>
      <c r="AE46" s="628">
        <f t="shared" si="66"/>
        <v>3.7178130511463847E-2</v>
      </c>
      <c r="AF46" s="628">
        <f t="shared" si="67"/>
        <v>8.1834215167548505E-3</v>
      </c>
      <c r="AG46" s="629">
        <f t="shared" si="68"/>
        <v>4.5361552028218698E-2</v>
      </c>
      <c r="AH46" s="627">
        <f t="shared" si="69"/>
        <v>0.20310405643738977</v>
      </c>
      <c r="AI46" s="628">
        <f t="shared" si="70"/>
        <v>0.69601410934744268</v>
      </c>
      <c r="AJ46" s="629">
        <f t="shared" si="71"/>
        <v>0.10088183421516755</v>
      </c>
      <c r="AK46" s="619">
        <f t="shared" si="72"/>
        <v>3088</v>
      </c>
      <c r="AL46" s="620">
        <v>1143</v>
      </c>
      <c r="AM46" s="620">
        <v>1853</v>
      </c>
      <c r="AN46" s="621">
        <v>92</v>
      </c>
      <c r="AO46" s="272">
        <f t="shared" si="73"/>
        <v>0.10892416225749559</v>
      </c>
    </row>
    <row r="47" spans="1:41" x14ac:dyDescent="0.25">
      <c r="A47" s="270" t="s">
        <v>90</v>
      </c>
      <c r="B47" s="270" t="s">
        <v>91</v>
      </c>
      <c r="C47" s="270" t="s">
        <v>268</v>
      </c>
      <c r="D47" s="270">
        <v>1</v>
      </c>
      <c r="E47" s="619">
        <f t="shared" si="56"/>
        <v>7014</v>
      </c>
      <c r="F47" s="620">
        <f t="shared" si="52"/>
        <v>6373</v>
      </c>
      <c r="G47" s="620">
        <f t="shared" si="53"/>
        <v>551</v>
      </c>
      <c r="H47" s="620">
        <f t="shared" si="54"/>
        <v>62</v>
      </c>
      <c r="I47" s="620">
        <f t="shared" si="55"/>
        <v>28</v>
      </c>
      <c r="J47" s="621">
        <f t="shared" si="57"/>
        <v>90</v>
      </c>
      <c r="K47" s="271">
        <f t="shared" si="58"/>
        <v>1679</v>
      </c>
      <c r="L47" s="620">
        <v>1469</v>
      </c>
      <c r="M47" s="620">
        <v>189</v>
      </c>
      <c r="N47" s="620">
        <v>12</v>
      </c>
      <c r="O47" s="620">
        <v>9</v>
      </c>
      <c r="P47" s="620">
        <f t="shared" si="59"/>
        <v>21</v>
      </c>
      <c r="Q47" s="619">
        <f t="shared" si="60"/>
        <v>3932</v>
      </c>
      <c r="R47" s="620">
        <v>3580</v>
      </c>
      <c r="S47" s="620">
        <v>292</v>
      </c>
      <c r="T47" s="620">
        <v>45</v>
      </c>
      <c r="U47" s="620">
        <v>15</v>
      </c>
      <c r="V47" s="621">
        <f t="shared" si="61"/>
        <v>60</v>
      </c>
      <c r="W47" s="619">
        <f t="shared" si="62"/>
        <v>1403</v>
      </c>
      <c r="X47" s="620">
        <v>1324</v>
      </c>
      <c r="Y47" s="620">
        <v>70</v>
      </c>
      <c r="Z47" s="620">
        <v>5</v>
      </c>
      <c r="AA47" s="620">
        <v>4</v>
      </c>
      <c r="AB47" s="621">
        <f t="shared" si="63"/>
        <v>9</v>
      </c>
      <c r="AC47" s="627">
        <f t="shared" si="64"/>
        <v>0.90861134873110916</v>
      </c>
      <c r="AD47" s="628">
        <f t="shared" si="65"/>
        <v>7.8557171371542625E-2</v>
      </c>
      <c r="AE47" s="628">
        <f t="shared" si="66"/>
        <v>8.8394639292842889E-3</v>
      </c>
      <c r="AF47" s="628">
        <f t="shared" si="67"/>
        <v>3.9920159680638719E-3</v>
      </c>
      <c r="AG47" s="629">
        <f t="shared" si="68"/>
        <v>1.2831479897348161E-2</v>
      </c>
      <c r="AH47" s="627">
        <f t="shared" si="69"/>
        <v>0.23937838608497292</v>
      </c>
      <c r="AI47" s="628">
        <f t="shared" si="70"/>
        <v>0.56059309951525516</v>
      </c>
      <c r="AJ47" s="629">
        <f t="shared" si="71"/>
        <v>0.20002851439977187</v>
      </c>
      <c r="AK47" s="619">
        <f t="shared" si="72"/>
        <v>1030</v>
      </c>
      <c r="AL47" s="620">
        <v>509</v>
      </c>
      <c r="AM47" s="620">
        <v>497</v>
      </c>
      <c r="AN47" s="621">
        <v>24</v>
      </c>
      <c r="AO47" s="272">
        <f t="shared" si="73"/>
        <v>0.14684915882520672</v>
      </c>
    </row>
    <row r="48" spans="1:41" x14ac:dyDescent="0.25">
      <c r="A48" s="270" t="s">
        <v>92</v>
      </c>
      <c r="B48" s="270" t="s">
        <v>93</v>
      </c>
      <c r="C48" s="270" t="s">
        <v>268</v>
      </c>
      <c r="D48" s="270">
        <v>2</v>
      </c>
      <c r="E48" s="619">
        <f t="shared" si="56"/>
        <v>16815</v>
      </c>
      <c r="F48" s="620">
        <f t="shared" si="52"/>
        <v>16352</v>
      </c>
      <c r="G48" s="620">
        <f t="shared" si="53"/>
        <v>341</v>
      </c>
      <c r="H48" s="620">
        <f t="shared" si="54"/>
        <v>90</v>
      </c>
      <c r="I48" s="620">
        <f t="shared" si="55"/>
        <v>32</v>
      </c>
      <c r="J48" s="621">
        <f t="shared" si="57"/>
        <v>122</v>
      </c>
      <c r="K48" s="271">
        <f t="shared" si="58"/>
        <v>3489</v>
      </c>
      <c r="L48" s="620">
        <v>3370</v>
      </c>
      <c r="M48" s="620">
        <v>97</v>
      </c>
      <c r="N48" s="620">
        <v>17</v>
      </c>
      <c r="O48" s="620">
        <v>5</v>
      </c>
      <c r="P48" s="620">
        <f t="shared" si="59"/>
        <v>22</v>
      </c>
      <c r="Q48" s="619">
        <f t="shared" si="60"/>
        <v>9971</v>
      </c>
      <c r="R48" s="620">
        <v>9714</v>
      </c>
      <c r="S48" s="620">
        <v>173</v>
      </c>
      <c r="T48" s="620">
        <v>59</v>
      </c>
      <c r="U48" s="620">
        <v>25</v>
      </c>
      <c r="V48" s="621">
        <f t="shared" si="61"/>
        <v>84</v>
      </c>
      <c r="W48" s="619">
        <f t="shared" si="62"/>
        <v>3355</v>
      </c>
      <c r="X48" s="620">
        <v>3268</v>
      </c>
      <c r="Y48" s="620">
        <v>71</v>
      </c>
      <c r="Z48" s="620">
        <v>14</v>
      </c>
      <c r="AA48" s="620">
        <v>2</v>
      </c>
      <c r="AB48" s="621">
        <f t="shared" si="63"/>
        <v>16</v>
      </c>
      <c r="AC48" s="627">
        <f t="shared" si="64"/>
        <v>0.97246506095747842</v>
      </c>
      <c r="AD48" s="628">
        <f t="shared" si="65"/>
        <v>2.0279512340172466E-2</v>
      </c>
      <c r="AE48" s="628">
        <f t="shared" si="66"/>
        <v>5.3523639607493305E-3</v>
      </c>
      <c r="AF48" s="628">
        <f t="shared" si="67"/>
        <v>1.9030627415997621E-3</v>
      </c>
      <c r="AG48" s="629">
        <f t="shared" si="68"/>
        <v>7.2554267023490927E-3</v>
      </c>
      <c r="AH48" s="627">
        <f t="shared" si="69"/>
        <v>0.20749330954504908</v>
      </c>
      <c r="AI48" s="628">
        <f t="shared" si="70"/>
        <v>0.59298245614035083</v>
      </c>
      <c r="AJ48" s="629">
        <f t="shared" si="71"/>
        <v>0.19952423431460006</v>
      </c>
      <c r="AK48" s="619">
        <f t="shared" si="72"/>
        <v>270</v>
      </c>
      <c r="AL48" s="620">
        <v>71</v>
      </c>
      <c r="AM48" s="620">
        <v>175</v>
      </c>
      <c r="AN48" s="621">
        <v>24</v>
      </c>
      <c r="AO48" s="272">
        <f t="shared" si="73"/>
        <v>1.6057091882247992E-2</v>
      </c>
    </row>
    <row r="49" spans="1:41" x14ac:dyDescent="0.25">
      <c r="A49" s="270" t="s">
        <v>94</v>
      </c>
      <c r="B49" s="270" t="s">
        <v>95</v>
      </c>
      <c r="C49" s="270" t="s">
        <v>264</v>
      </c>
      <c r="D49" s="270">
        <v>2</v>
      </c>
      <c r="E49" s="619">
        <f t="shared" si="56"/>
        <v>37141</v>
      </c>
      <c r="F49" s="620">
        <f t="shared" si="52"/>
        <v>33106</v>
      </c>
      <c r="G49" s="620">
        <f t="shared" si="53"/>
        <v>3360</v>
      </c>
      <c r="H49" s="620">
        <f t="shared" si="54"/>
        <v>478</v>
      </c>
      <c r="I49" s="620">
        <f t="shared" si="55"/>
        <v>197</v>
      </c>
      <c r="J49" s="621">
        <f t="shared" si="57"/>
        <v>675</v>
      </c>
      <c r="K49" s="271">
        <f t="shared" si="58"/>
        <v>7597</v>
      </c>
      <c r="L49" s="620">
        <v>6758</v>
      </c>
      <c r="M49" s="620">
        <v>689</v>
      </c>
      <c r="N49" s="620">
        <v>102</v>
      </c>
      <c r="O49" s="620">
        <v>48</v>
      </c>
      <c r="P49" s="620">
        <f t="shared" si="59"/>
        <v>150</v>
      </c>
      <c r="Q49" s="619">
        <f t="shared" si="60"/>
        <v>23044</v>
      </c>
      <c r="R49" s="620">
        <v>20575</v>
      </c>
      <c r="S49" s="620">
        <v>2021</v>
      </c>
      <c r="T49" s="620">
        <v>321</v>
      </c>
      <c r="U49" s="620">
        <v>127</v>
      </c>
      <c r="V49" s="621">
        <f t="shared" si="61"/>
        <v>448</v>
      </c>
      <c r="W49" s="619">
        <f t="shared" si="62"/>
        <v>6500</v>
      </c>
      <c r="X49" s="620">
        <v>5773</v>
      </c>
      <c r="Y49" s="620">
        <v>650</v>
      </c>
      <c r="Z49" s="620">
        <v>55</v>
      </c>
      <c r="AA49" s="620">
        <v>22</v>
      </c>
      <c r="AB49" s="621">
        <f t="shared" si="63"/>
        <v>77</v>
      </c>
      <c r="AC49" s="627">
        <f t="shared" si="64"/>
        <v>0.89135995261301526</v>
      </c>
      <c r="AD49" s="628">
        <f t="shared" si="65"/>
        <v>9.0466061764626696E-2</v>
      </c>
      <c r="AE49" s="628">
        <f t="shared" si="66"/>
        <v>1.2869874262943917E-2</v>
      </c>
      <c r="AF49" s="628">
        <f t="shared" si="67"/>
        <v>5.3041113594141246E-3</v>
      </c>
      <c r="AG49" s="629">
        <f t="shared" si="68"/>
        <v>1.817398562235804E-2</v>
      </c>
      <c r="AH49" s="627">
        <f t="shared" si="69"/>
        <v>0.20454484262674671</v>
      </c>
      <c r="AI49" s="628">
        <f t="shared" si="70"/>
        <v>0.62044640693573139</v>
      </c>
      <c r="AJ49" s="629">
        <f t="shared" si="71"/>
        <v>0.17500875043752187</v>
      </c>
      <c r="AK49" s="619">
        <f t="shared" si="72"/>
        <v>1220</v>
      </c>
      <c r="AL49" s="620">
        <v>364</v>
      </c>
      <c r="AM49" s="620">
        <v>764</v>
      </c>
      <c r="AN49" s="621">
        <v>92</v>
      </c>
      <c r="AO49" s="272">
        <f t="shared" si="73"/>
        <v>3.2847796235965641E-2</v>
      </c>
    </row>
    <row r="50" spans="1:41" x14ac:dyDescent="0.25">
      <c r="A50" s="270" t="s">
        <v>96</v>
      </c>
      <c r="B50" s="270" t="s">
        <v>97</v>
      </c>
      <c r="C50" s="270" t="s">
        <v>266</v>
      </c>
      <c r="D50" s="270">
        <v>1</v>
      </c>
      <c r="E50" s="619">
        <f t="shared" si="56"/>
        <v>21936</v>
      </c>
      <c r="F50" s="620">
        <f t="shared" si="52"/>
        <v>17562</v>
      </c>
      <c r="G50" s="620">
        <f t="shared" si="53"/>
        <v>4003</v>
      </c>
      <c r="H50" s="620">
        <f t="shared" si="54"/>
        <v>313</v>
      </c>
      <c r="I50" s="620">
        <f t="shared" si="55"/>
        <v>58</v>
      </c>
      <c r="J50" s="621">
        <f t="shared" si="57"/>
        <v>371</v>
      </c>
      <c r="K50" s="271">
        <f t="shared" si="58"/>
        <v>4189</v>
      </c>
      <c r="L50" s="620">
        <v>3418</v>
      </c>
      <c r="M50" s="620">
        <v>697</v>
      </c>
      <c r="N50" s="620">
        <v>64</v>
      </c>
      <c r="O50" s="620">
        <v>10</v>
      </c>
      <c r="P50" s="620">
        <f t="shared" si="59"/>
        <v>74</v>
      </c>
      <c r="Q50" s="619">
        <f t="shared" si="60"/>
        <v>13490</v>
      </c>
      <c r="R50" s="620">
        <v>10696</v>
      </c>
      <c r="S50" s="620">
        <v>2547</v>
      </c>
      <c r="T50" s="620">
        <v>209</v>
      </c>
      <c r="U50" s="620">
        <v>38</v>
      </c>
      <c r="V50" s="621">
        <f t="shared" si="61"/>
        <v>247</v>
      </c>
      <c r="W50" s="619">
        <f t="shared" si="62"/>
        <v>4257</v>
      </c>
      <c r="X50" s="620">
        <v>3448</v>
      </c>
      <c r="Y50" s="620">
        <v>759</v>
      </c>
      <c r="Z50" s="620">
        <v>40</v>
      </c>
      <c r="AA50" s="620">
        <v>10</v>
      </c>
      <c r="AB50" s="621">
        <f t="shared" si="63"/>
        <v>50</v>
      </c>
      <c r="AC50" s="627">
        <f t="shared" si="64"/>
        <v>0.80060175054704596</v>
      </c>
      <c r="AD50" s="628">
        <f t="shared" si="65"/>
        <v>0.18248541210795041</v>
      </c>
      <c r="AE50" s="628">
        <f t="shared" si="66"/>
        <v>1.4268781911013859E-2</v>
      </c>
      <c r="AF50" s="628">
        <f t="shared" si="67"/>
        <v>2.6440554339897883E-3</v>
      </c>
      <c r="AG50" s="629">
        <f t="shared" si="68"/>
        <v>1.6912837345003647E-2</v>
      </c>
      <c r="AH50" s="627">
        <f t="shared" si="69"/>
        <v>0.19096462436177972</v>
      </c>
      <c r="AI50" s="628">
        <f t="shared" si="70"/>
        <v>0.61497082421590077</v>
      </c>
      <c r="AJ50" s="629">
        <f t="shared" si="71"/>
        <v>0.19406455142231949</v>
      </c>
      <c r="AK50" s="619">
        <f t="shared" si="72"/>
        <v>520</v>
      </c>
      <c r="AL50" s="620">
        <v>168</v>
      </c>
      <c r="AM50" s="620">
        <v>325</v>
      </c>
      <c r="AN50" s="621">
        <v>27</v>
      </c>
      <c r="AO50" s="272">
        <f t="shared" si="73"/>
        <v>2.3705324580598104E-2</v>
      </c>
    </row>
    <row r="51" spans="1:41" x14ac:dyDescent="0.25">
      <c r="A51" s="270" t="s">
        <v>98</v>
      </c>
      <c r="B51" s="270" t="s">
        <v>99</v>
      </c>
      <c r="C51" s="270" t="s">
        <v>268</v>
      </c>
      <c r="D51" s="270">
        <v>2</v>
      </c>
      <c r="E51" s="619">
        <f t="shared" si="56"/>
        <v>15093</v>
      </c>
      <c r="F51" s="620">
        <f t="shared" si="52"/>
        <v>14605</v>
      </c>
      <c r="G51" s="620">
        <f t="shared" si="53"/>
        <v>417</v>
      </c>
      <c r="H51" s="620">
        <f t="shared" si="54"/>
        <v>34</v>
      </c>
      <c r="I51" s="620">
        <f t="shared" si="55"/>
        <v>37</v>
      </c>
      <c r="J51" s="621">
        <f t="shared" si="57"/>
        <v>71</v>
      </c>
      <c r="K51" s="271">
        <f t="shared" si="58"/>
        <v>2709</v>
      </c>
      <c r="L51" s="620">
        <v>2607</v>
      </c>
      <c r="M51" s="620">
        <v>93</v>
      </c>
      <c r="N51" s="620">
        <v>4</v>
      </c>
      <c r="O51" s="620">
        <v>5</v>
      </c>
      <c r="P51" s="620">
        <f t="shared" si="59"/>
        <v>9</v>
      </c>
      <c r="Q51" s="619">
        <f t="shared" si="60"/>
        <v>8815</v>
      </c>
      <c r="R51" s="620">
        <v>8508</v>
      </c>
      <c r="S51" s="620">
        <v>252</v>
      </c>
      <c r="T51" s="620">
        <v>27</v>
      </c>
      <c r="U51" s="620">
        <v>28</v>
      </c>
      <c r="V51" s="621">
        <f t="shared" si="61"/>
        <v>55</v>
      </c>
      <c r="W51" s="619">
        <f t="shared" si="62"/>
        <v>3569</v>
      </c>
      <c r="X51" s="620">
        <v>3490</v>
      </c>
      <c r="Y51" s="620">
        <v>72</v>
      </c>
      <c r="Z51" s="620">
        <v>3</v>
      </c>
      <c r="AA51" s="620">
        <v>4</v>
      </c>
      <c r="AB51" s="621">
        <f t="shared" si="63"/>
        <v>7</v>
      </c>
      <c r="AC51" s="627">
        <f t="shared" si="64"/>
        <v>0.96766713045782815</v>
      </c>
      <c r="AD51" s="628">
        <f t="shared" si="65"/>
        <v>2.7628702047306698E-2</v>
      </c>
      <c r="AE51" s="628">
        <f t="shared" si="66"/>
        <v>2.2526999271185316E-3</v>
      </c>
      <c r="AF51" s="628">
        <f t="shared" si="67"/>
        <v>2.4514675677466376E-3</v>
      </c>
      <c r="AG51" s="629">
        <f t="shared" si="68"/>
        <v>4.7041674948651692E-3</v>
      </c>
      <c r="AH51" s="627">
        <f t="shared" si="69"/>
        <v>0.17948717948717949</v>
      </c>
      <c r="AI51" s="628">
        <f t="shared" si="70"/>
        <v>0.58404558404558404</v>
      </c>
      <c r="AJ51" s="629">
        <f t="shared" si="71"/>
        <v>0.23646723646723647</v>
      </c>
      <c r="AK51" s="619">
        <f t="shared" si="72"/>
        <v>455</v>
      </c>
      <c r="AL51" s="620">
        <v>185</v>
      </c>
      <c r="AM51" s="620">
        <v>255</v>
      </c>
      <c r="AN51" s="621">
        <v>15</v>
      </c>
      <c r="AO51" s="272">
        <f t="shared" si="73"/>
        <v>3.0146425495262703E-2</v>
      </c>
    </row>
    <row r="52" spans="1:41" x14ac:dyDescent="0.25">
      <c r="A52" s="270" t="s">
        <v>100</v>
      </c>
      <c r="B52" s="270" t="s">
        <v>101</v>
      </c>
      <c r="C52" s="270" t="s">
        <v>267</v>
      </c>
      <c r="D52" s="270">
        <v>1</v>
      </c>
      <c r="E52" s="619">
        <f t="shared" si="56"/>
        <v>19031</v>
      </c>
      <c r="F52" s="620">
        <f t="shared" si="52"/>
        <v>17127</v>
      </c>
      <c r="G52" s="620">
        <f t="shared" si="53"/>
        <v>1485</v>
      </c>
      <c r="H52" s="620">
        <f t="shared" si="54"/>
        <v>356</v>
      </c>
      <c r="I52" s="620">
        <f t="shared" si="55"/>
        <v>63</v>
      </c>
      <c r="J52" s="621">
        <f t="shared" si="57"/>
        <v>419</v>
      </c>
      <c r="K52" s="271">
        <f t="shared" si="58"/>
        <v>4617</v>
      </c>
      <c r="L52" s="620">
        <v>4038</v>
      </c>
      <c r="M52" s="620">
        <v>468</v>
      </c>
      <c r="N52" s="620">
        <v>98</v>
      </c>
      <c r="O52" s="620">
        <v>13</v>
      </c>
      <c r="P52" s="620">
        <f t="shared" si="59"/>
        <v>111</v>
      </c>
      <c r="Q52" s="619">
        <f t="shared" si="60"/>
        <v>11419</v>
      </c>
      <c r="R52" s="620">
        <v>10281</v>
      </c>
      <c r="S52" s="620">
        <v>876</v>
      </c>
      <c r="T52" s="620">
        <v>219</v>
      </c>
      <c r="U52" s="620">
        <v>43</v>
      </c>
      <c r="V52" s="621">
        <f t="shared" si="61"/>
        <v>262</v>
      </c>
      <c r="W52" s="619">
        <f t="shared" si="62"/>
        <v>2995</v>
      </c>
      <c r="X52" s="620">
        <v>2808</v>
      </c>
      <c r="Y52" s="620">
        <v>141</v>
      </c>
      <c r="Z52" s="620">
        <v>39</v>
      </c>
      <c r="AA52" s="620">
        <v>7</v>
      </c>
      <c r="AB52" s="621">
        <f t="shared" si="63"/>
        <v>46</v>
      </c>
      <c r="AC52" s="627">
        <f t="shared" si="64"/>
        <v>0.89995270873837419</v>
      </c>
      <c r="AD52" s="628">
        <f t="shared" si="65"/>
        <v>7.8030581682518002E-2</v>
      </c>
      <c r="AE52" s="628">
        <f t="shared" si="66"/>
        <v>1.8706321265303978E-2</v>
      </c>
      <c r="AF52" s="628">
        <f t="shared" si="67"/>
        <v>3.3103883138037938E-3</v>
      </c>
      <c r="AG52" s="629">
        <f t="shared" si="68"/>
        <v>2.2016709579107771E-2</v>
      </c>
      <c r="AH52" s="627">
        <f t="shared" si="69"/>
        <v>0.24260417214019231</v>
      </c>
      <c r="AI52" s="628">
        <f t="shared" si="70"/>
        <v>0.6000210183385003</v>
      </c>
      <c r="AJ52" s="629">
        <f t="shared" si="71"/>
        <v>0.15737480952130734</v>
      </c>
      <c r="AK52" s="619">
        <f t="shared" si="72"/>
        <v>953</v>
      </c>
      <c r="AL52" s="620">
        <v>364</v>
      </c>
      <c r="AM52" s="620">
        <v>555</v>
      </c>
      <c r="AN52" s="621">
        <v>34</v>
      </c>
      <c r="AO52" s="272">
        <f t="shared" si="73"/>
        <v>5.0076191477063735E-2</v>
      </c>
    </row>
    <row r="53" spans="1:41" x14ac:dyDescent="0.25">
      <c r="A53" s="270" t="s">
        <v>102</v>
      </c>
      <c r="B53" s="270" t="s">
        <v>103</v>
      </c>
      <c r="C53" s="270" t="s">
        <v>264</v>
      </c>
      <c r="D53" s="270">
        <v>2</v>
      </c>
      <c r="E53" s="619">
        <f t="shared" si="56"/>
        <v>17143</v>
      </c>
      <c r="F53" s="620">
        <f t="shared" si="52"/>
        <v>6423</v>
      </c>
      <c r="G53" s="620">
        <f t="shared" si="53"/>
        <v>10508</v>
      </c>
      <c r="H53" s="620">
        <f t="shared" si="54"/>
        <v>147</v>
      </c>
      <c r="I53" s="620">
        <f t="shared" si="55"/>
        <v>65</v>
      </c>
      <c r="J53" s="621">
        <f t="shared" si="57"/>
        <v>212</v>
      </c>
      <c r="K53" s="271">
        <f t="shared" si="58"/>
        <v>3348</v>
      </c>
      <c r="L53" s="620">
        <v>1031</v>
      </c>
      <c r="M53" s="620">
        <v>2268</v>
      </c>
      <c r="N53" s="620">
        <v>33</v>
      </c>
      <c r="O53" s="620">
        <v>16</v>
      </c>
      <c r="P53" s="620">
        <f t="shared" si="59"/>
        <v>49</v>
      </c>
      <c r="Q53" s="619">
        <f t="shared" si="60"/>
        <v>11078</v>
      </c>
      <c r="R53" s="620">
        <v>4017</v>
      </c>
      <c r="S53" s="620">
        <v>6917</v>
      </c>
      <c r="T53" s="620">
        <v>100</v>
      </c>
      <c r="U53" s="620">
        <v>44</v>
      </c>
      <c r="V53" s="621">
        <f t="shared" si="61"/>
        <v>144</v>
      </c>
      <c r="W53" s="619">
        <f t="shared" si="62"/>
        <v>2717</v>
      </c>
      <c r="X53" s="620">
        <v>1375</v>
      </c>
      <c r="Y53" s="620">
        <v>1323</v>
      </c>
      <c r="Z53" s="620">
        <v>14</v>
      </c>
      <c r="AA53" s="620">
        <v>5</v>
      </c>
      <c r="AB53" s="621">
        <f t="shared" si="63"/>
        <v>19</v>
      </c>
      <c r="AC53" s="627">
        <f t="shared" si="64"/>
        <v>0.37467187773435223</v>
      </c>
      <c r="AD53" s="628">
        <f t="shared" si="65"/>
        <v>0.61296155865367785</v>
      </c>
      <c r="AE53" s="628">
        <f t="shared" si="66"/>
        <v>8.5749285422621474E-3</v>
      </c>
      <c r="AF53" s="628">
        <f t="shared" si="67"/>
        <v>3.7916350697077524E-3</v>
      </c>
      <c r="AG53" s="629">
        <f t="shared" si="68"/>
        <v>1.2366563611969901E-2</v>
      </c>
      <c r="AH53" s="627">
        <f t="shared" si="69"/>
        <v>0.19529837251356238</v>
      </c>
      <c r="AI53" s="628">
        <f t="shared" si="70"/>
        <v>0.64621128157265351</v>
      </c>
      <c r="AJ53" s="629">
        <f t="shared" si="71"/>
        <v>0.15849034591378405</v>
      </c>
      <c r="AK53" s="619">
        <f t="shared" si="72"/>
        <v>541</v>
      </c>
      <c r="AL53" s="620">
        <v>187</v>
      </c>
      <c r="AM53" s="620">
        <v>340</v>
      </c>
      <c r="AN53" s="621">
        <v>14</v>
      </c>
      <c r="AO53" s="272">
        <f t="shared" si="73"/>
        <v>3.1558070349413755E-2</v>
      </c>
    </row>
    <row r="54" spans="1:41" x14ac:dyDescent="0.25">
      <c r="A54" s="270" t="s">
        <v>104</v>
      </c>
      <c r="B54" s="270" t="s">
        <v>650</v>
      </c>
      <c r="C54" s="270" t="s">
        <v>265</v>
      </c>
      <c r="D54" s="270">
        <v>2</v>
      </c>
      <c r="E54" s="619">
        <f t="shared" si="56"/>
        <v>35200</v>
      </c>
      <c r="F54" s="620">
        <f t="shared" si="52"/>
        <v>21736</v>
      </c>
      <c r="G54" s="620">
        <f t="shared" si="53"/>
        <v>13117</v>
      </c>
      <c r="H54" s="620">
        <f t="shared" si="54"/>
        <v>213</v>
      </c>
      <c r="I54" s="620">
        <f t="shared" si="55"/>
        <v>134</v>
      </c>
      <c r="J54" s="621">
        <f t="shared" si="57"/>
        <v>347</v>
      </c>
      <c r="K54" s="271">
        <f t="shared" si="58"/>
        <v>7309</v>
      </c>
      <c r="L54" s="620">
        <v>4262</v>
      </c>
      <c r="M54" s="620">
        <v>2969</v>
      </c>
      <c r="N54" s="620">
        <v>43</v>
      </c>
      <c r="O54" s="620">
        <v>35</v>
      </c>
      <c r="P54" s="620">
        <f t="shared" si="59"/>
        <v>78</v>
      </c>
      <c r="Q54" s="619">
        <f t="shared" si="60"/>
        <v>20131</v>
      </c>
      <c r="R54" s="620">
        <v>12276</v>
      </c>
      <c r="S54" s="620">
        <v>7642</v>
      </c>
      <c r="T54" s="620">
        <v>137</v>
      </c>
      <c r="U54" s="620">
        <v>76</v>
      </c>
      <c r="V54" s="621">
        <f t="shared" si="61"/>
        <v>213</v>
      </c>
      <c r="W54" s="619">
        <f t="shared" si="62"/>
        <v>7760</v>
      </c>
      <c r="X54" s="620">
        <v>5198</v>
      </c>
      <c r="Y54" s="620">
        <v>2506</v>
      </c>
      <c r="Z54" s="620">
        <v>33</v>
      </c>
      <c r="AA54" s="620">
        <v>23</v>
      </c>
      <c r="AB54" s="621">
        <f t="shared" si="63"/>
        <v>56</v>
      </c>
      <c r="AC54" s="627">
        <f t="shared" si="64"/>
        <v>0.61750000000000005</v>
      </c>
      <c r="AD54" s="628">
        <f t="shared" si="65"/>
        <v>0.37264204545454543</v>
      </c>
      <c r="AE54" s="628">
        <f t="shared" si="66"/>
        <v>6.0511363636363636E-3</v>
      </c>
      <c r="AF54" s="628">
        <f t="shared" si="67"/>
        <v>3.8068181818181816E-3</v>
      </c>
      <c r="AG54" s="629">
        <f t="shared" si="68"/>
        <v>9.8579545454545447E-3</v>
      </c>
      <c r="AH54" s="627">
        <f t="shared" si="69"/>
        <v>0.20764204545454545</v>
      </c>
      <c r="AI54" s="628">
        <f t="shared" si="70"/>
        <v>0.57190340909090909</v>
      </c>
      <c r="AJ54" s="629">
        <f t="shared" si="71"/>
        <v>0.22045454545454546</v>
      </c>
      <c r="AK54" s="619">
        <f t="shared" si="72"/>
        <v>682</v>
      </c>
      <c r="AL54" s="620">
        <v>232</v>
      </c>
      <c r="AM54" s="620">
        <v>390</v>
      </c>
      <c r="AN54" s="621">
        <v>60</v>
      </c>
      <c r="AO54" s="272">
        <f t="shared" si="73"/>
        <v>1.9375E-2</v>
      </c>
    </row>
    <row r="55" spans="1:41" x14ac:dyDescent="0.25">
      <c r="A55" s="270" t="s">
        <v>106</v>
      </c>
      <c r="B55" s="270" t="s">
        <v>107</v>
      </c>
      <c r="C55" s="270" t="s">
        <v>264</v>
      </c>
      <c r="D55" s="270">
        <v>3</v>
      </c>
      <c r="E55" s="619">
        <f t="shared" si="56"/>
        <v>136879</v>
      </c>
      <c r="F55" s="620">
        <f t="shared" si="52"/>
        <v>60881</v>
      </c>
      <c r="G55" s="620">
        <f t="shared" si="53"/>
        <v>70946</v>
      </c>
      <c r="H55" s="620">
        <f t="shared" si="54"/>
        <v>4118</v>
      </c>
      <c r="I55" s="620">
        <f t="shared" si="55"/>
        <v>934</v>
      </c>
      <c r="J55" s="621">
        <f t="shared" si="57"/>
        <v>5052</v>
      </c>
      <c r="K55" s="271">
        <f t="shared" si="58"/>
        <v>29768</v>
      </c>
      <c r="L55" s="620">
        <v>11478</v>
      </c>
      <c r="M55" s="620">
        <v>17241</v>
      </c>
      <c r="N55" s="620">
        <v>836</v>
      </c>
      <c r="O55" s="620">
        <v>213</v>
      </c>
      <c r="P55" s="620">
        <f t="shared" si="59"/>
        <v>1049</v>
      </c>
      <c r="Q55" s="619">
        <f t="shared" si="60"/>
        <v>88368</v>
      </c>
      <c r="R55" s="620">
        <v>39765</v>
      </c>
      <c r="S55" s="620">
        <v>45184</v>
      </c>
      <c r="T55" s="620">
        <v>2784</v>
      </c>
      <c r="U55" s="620">
        <v>635</v>
      </c>
      <c r="V55" s="621">
        <f t="shared" si="61"/>
        <v>3419</v>
      </c>
      <c r="W55" s="619">
        <f t="shared" si="62"/>
        <v>18743</v>
      </c>
      <c r="X55" s="620">
        <v>9638</v>
      </c>
      <c r="Y55" s="620">
        <v>8521</v>
      </c>
      <c r="Z55" s="620">
        <v>498</v>
      </c>
      <c r="AA55" s="620">
        <v>86</v>
      </c>
      <c r="AB55" s="621">
        <f t="shared" si="63"/>
        <v>584</v>
      </c>
      <c r="AC55" s="627">
        <f t="shared" si="64"/>
        <v>0.44477969593582656</v>
      </c>
      <c r="AD55" s="628">
        <f t="shared" si="65"/>
        <v>0.51831179362794877</v>
      </c>
      <c r="AE55" s="628">
        <f t="shared" si="66"/>
        <v>3.008496555351807E-2</v>
      </c>
      <c r="AF55" s="628">
        <f t="shared" si="67"/>
        <v>6.8235448827066239E-3</v>
      </c>
      <c r="AG55" s="629">
        <f t="shared" si="68"/>
        <v>3.6908510436224694E-2</v>
      </c>
      <c r="AH55" s="627">
        <f t="shared" si="69"/>
        <v>0.21747674953791304</v>
      </c>
      <c r="AI55" s="628">
        <f t="shared" si="70"/>
        <v>0.64559209228588754</v>
      </c>
      <c r="AJ55" s="629">
        <f t="shared" si="71"/>
        <v>0.13693115817619941</v>
      </c>
      <c r="AK55" s="619">
        <f t="shared" si="72"/>
        <v>7315</v>
      </c>
      <c r="AL55" s="620">
        <v>2272</v>
      </c>
      <c r="AM55" s="620">
        <v>4731</v>
      </c>
      <c r="AN55" s="621">
        <v>312</v>
      </c>
      <c r="AO55" s="272">
        <f t="shared" si="73"/>
        <v>5.3441360617771903E-2</v>
      </c>
    </row>
    <row r="56" spans="1:41" x14ac:dyDescent="0.25">
      <c r="A56" s="270" t="s">
        <v>108</v>
      </c>
      <c r="B56" s="270" t="s">
        <v>109</v>
      </c>
      <c r="C56" s="270" t="s">
        <v>266</v>
      </c>
      <c r="D56" s="270">
        <v>2</v>
      </c>
      <c r="E56" s="619">
        <f t="shared" si="56"/>
        <v>101918</v>
      </c>
      <c r="F56" s="620">
        <f t="shared" si="52"/>
        <v>89399</v>
      </c>
      <c r="G56" s="620">
        <f t="shared" si="53"/>
        <v>10179</v>
      </c>
      <c r="H56" s="620">
        <f t="shared" si="54"/>
        <v>1846</v>
      </c>
      <c r="I56" s="620">
        <f t="shared" si="55"/>
        <v>494</v>
      </c>
      <c r="J56" s="621">
        <f t="shared" si="57"/>
        <v>2340</v>
      </c>
      <c r="K56" s="271">
        <f t="shared" si="58"/>
        <v>23180</v>
      </c>
      <c r="L56" s="620">
        <v>20196</v>
      </c>
      <c r="M56" s="620">
        <v>2355</v>
      </c>
      <c r="N56" s="620">
        <v>496</v>
      </c>
      <c r="O56" s="620">
        <v>133</v>
      </c>
      <c r="P56" s="620">
        <f t="shared" si="59"/>
        <v>629</v>
      </c>
      <c r="Q56" s="619">
        <f t="shared" si="60"/>
        <v>62769</v>
      </c>
      <c r="R56" s="620">
        <v>54976</v>
      </c>
      <c r="S56" s="620">
        <v>6284</v>
      </c>
      <c r="T56" s="620">
        <v>1191</v>
      </c>
      <c r="U56" s="620">
        <v>318</v>
      </c>
      <c r="V56" s="621">
        <f t="shared" si="61"/>
        <v>1509</v>
      </c>
      <c r="W56" s="619">
        <f t="shared" si="62"/>
        <v>15969</v>
      </c>
      <c r="X56" s="620">
        <v>14227</v>
      </c>
      <c r="Y56" s="620">
        <v>1540</v>
      </c>
      <c r="Z56" s="620">
        <v>159</v>
      </c>
      <c r="AA56" s="620">
        <v>43</v>
      </c>
      <c r="AB56" s="621">
        <f t="shared" si="63"/>
        <v>202</v>
      </c>
      <c r="AC56" s="627">
        <f t="shared" si="64"/>
        <v>0.87716595694577992</v>
      </c>
      <c r="AD56" s="628">
        <f t="shared" si="65"/>
        <v>9.9874408838477993E-2</v>
      </c>
      <c r="AE56" s="628">
        <f t="shared" si="66"/>
        <v>1.8112600325752074E-2</v>
      </c>
      <c r="AF56" s="628">
        <f t="shared" si="67"/>
        <v>4.847033889989992E-3</v>
      </c>
      <c r="AG56" s="629">
        <f t="shared" si="68"/>
        <v>2.2959634215742066E-2</v>
      </c>
      <c r="AH56" s="627">
        <f t="shared" si="69"/>
        <v>0.22743774406876116</v>
      </c>
      <c r="AI56" s="628">
        <f t="shared" si="70"/>
        <v>0.61587747012304006</v>
      </c>
      <c r="AJ56" s="629">
        <f t="shared" si="71"/>
        <v>0.15668478580819875</v>
      </c>
      <c r="AK56" s="619">
        <f t="shared" si="72"/>
        <v>2663</v>
      </c>
      <c r="AL56" s="620">
        <v>892</v>
      </c>
      <c r="AM56" s="620">
        <v>1665</v>
      </c>
      <c r="AN56" s="621">
        <v>106</v>
      </c>
      <c r="AO56" s="272">
        <f t="shared" si="73"/>
        <v>2.6128848682273983E-2</v>
      </c>
    </row>
    <row r="57" spans="1:41" x14ac:dyDescent="0.25">
      <c r="A57" s="270" t="s">
        <v>110</v>
      </c>
      <c r="B57" s="270" t="s">
        <v>111</v>
      </c>
      <c r="C57" s="270" t="s">
        <v>266</v>
      </c>
      <c r="D57" s="270">
        <v>3</v>
      </c>
      <c r="E57" s="619">
        <f t="shared" si="56"/>
        <v>321924</v>
      </c>
      <c r="F57" s="620">
        <f t="shared" si="52"/>
        <v>194297</v>
      </c>
      <c r="G57" s="620">
        <f t="shared" si="53"/>
        <v>99659</v>
      </c>
      <c r="H57" s="620">
        <f t="shared" si="54"/>
        <v>26567</v>
      </c>
      <c r="I57" s="620">
        <f t="shared" si="55"/>
        <v>1401</v>
      </c>
      <c r="J57" s="621">
        <f t="shared" si="57"/>
        <v>27968</v>
      </c>
      <c r="K57" s="271">
        <f t="shared" si="58"/>
        <v>75395</v>
      </c>
      <c r="L57" s="620">
        <v>41515</v>
      </c>
      <c r="M57" s="620">
        <v>26280</v>
      </c>
      <c r="N57" s="620">
        <v>7254</v>
      </c>
      <c r="O57" s="620">
        <v>346</v>
      </c>
      <c r="P57" s="620">
        <f t="shared" si="59"/>
        <v>7600</v>
      </c>
      <c r="Q57" s="619">
        <f t="shared" si="60"/>
        <v>202188</v>
      </c>
      <c r="R57" s="620">
        <v>120113</v>
      </c>
      <c r="S57" s="620">
        <v>63501</v>
      </c>
      <c r="T57" s="620">
        <v>17673</v>
      </c>
      <c r="U57" s="620">
        <v>901</v>
      </c>
      <c r="V57" s="621">
        <f t="shared" si="61"/>
        <v>18574</v>
      </c>
      <c r="W57" s="619">
        <f t="shared" si="62"/>
        <v>44341</v>
      </c>
      <c r="X57" s="620">
        <v>32669</v>
      </c>
      <c r="Y57" s="620">
        <v>9878</v>
      </c>
      <c r="Z57" s="620">
        <v>1640</v>
      </c>
      <c r="AA57" s="620">
        <v>154</v>
      </c>
      <c r="AB57" s="621">
        <f t="shared" si="63"/>
        <v>1794</v>
      </c>
      <c r="AC57" s="627">
        <f t="shared" si="64"/>
        <v>0.60354928492439208</v>
      </c>
      <c r="AD57" s="628">
        <f t="shared" si="65"/>
        <v>0.30957306693505299</v>
      </c>
      <c r="AE57" s="628">
        <f t="shared" si="66"/>
        <v>8.2525689293125079E-2</v>
      </c>
      <c r="AF57" s="628">
        <f t="shared" si="67"/>
        <v>4.3519588474298281E-3</v>
      </c>
      <c r="AG57" s="629">
        <f t="shared" si="68"/>
        <v>8.6877648140554917E-2</v>
      </c>
      <c r="AH57" s="627">
        <f t="shared" si="69"/>
        <v>0.23420124004423404</v>
      </c>
      <c r="AI57" s="628">
        <f t="shared" si="70"/>
        <v>0.62806128154471241</v>
      </c>
      <c r="AJ57" s="629">
        <f t="shared" si="71"/>
        <v>0.13773747841105355</v>
      </c>
      <c r="AK57" s="619">
        <f t="shared" si="72"/>
        <v>17461</v>
      </c>
      <c r="AL57" s="620">
        <v>6008</v>
      </c>
      <c r="AM57" s="620">
        <v>10779</v>
      </c>
      <c r="AN57" s="621">
        <v>674</v>
      </c>
      <c r="AO57" s="272">
        <f t="shared" si="73"/>
        <v>5.4239509946446988E-2</v>
      </c>
    </row>
    <row r="58" spans="1:41" x14ac:dyDescent="0.25">
      <c r="A58" s="270" t="s">
        <v>112</v>
      </c>
      <c r="B58" s="270" t="s">
        <v>113</v>
      </c>
      <c r="C58" s="270" t="s">
        <v>265</v>
      </c>
      <c r="D58" s="270">
        <v>3</v>
      </c>
      <c r="E58" s="619">
        <f t="shared" si="56"/>
        <v>65792</v>
      </c>
      <c r="F58" s="620">
        <f t="shared" si="52"/>
        <v>46810</v>
      </c>
      <c r="G58" s="620">
        <f t="shared" si="53"/>
        <v>18238</v>
      </c>
      <c r="H58" s="620">
        <f t="shared" si="54"/>
        <v>510</v>
      </c>
      <c r="I58" s="620">
        <f t="shared" si="55"/>
        <v>234</v>
      </c>
      <c r="J58" s="621">
        <f t="shared" si="57"/>
        <v>744</v>
      </c>
      <c r="K58" s="271">
        <f t="shared" si="58"/>
        <v>13524</v>
      </c>
      <c r="L58" s="620">
        <v>9094</v>
      </c>
      <c r="M58" s="620">
        <v>4232</v>
      </c>
      <c r="N58" s="620">
        <v>138</v>
      </c>
      <c r="O58" s="620">
        <v>60</v>
      </c>
      <c r="P58" s="620">
        <f t="shared" si="59"/>
        <v>198</v>
      </c>
      <c r="Q58" s="619">
        <f t="shared" si="60"/>
        <v>38137</v>
      </c>
      <c r="R58" s="620">
        <v>26700</v>
      </c>
      <c r="S58" s="620">
        <v>10965</v>
      </c>
      <c r="T58" s="620">
        <v>319</v>
      </c>
      <c r="U58" s="620">
        <v>153</v>
      </c>
      <c r="V58" s="621">
        <f t="shared" si="61"/>
        <v>472</v>
      </c>
      <c r="W58" s="619">
        <f t="shared" si="62"/>
        <v>14131</v>
      </c>
      <c r="X58" s="620">
        <v>11016</v>
      </c>
      <c r="Y58" s="620">
        <v>3041</v>
      </c>
      <c r="Z58" s="620">
        <v>53</v>
      </c>
      <c r="AA58" s="620">
        <v>21</v>
      </c>
      <c r="AB58" s="621">
        <f t="shared" si="63"/>
        <v>74</v>
      </c>
      <c r="AC58" s="627">
        <f t="shared" si="64"/>
        <v>0.7114846789883269</v>
      </c>
      <c r="AD58" s="628">
        <f t="shared" si="65"/>
        <v>0.27720695525291827</v>
      </c>
      <c r="AE58" s="628">
        <f t="shared" si="66"/>
        <v>7.7517023346303504E-3</v>
      </c>
      <c r="AF58" s="628">
        <f t="shared" si="67"/>
        <v>3.5566634241245136E-3</v>
      </c>
      <c r="AG58" s="629">
        <f t="shared" si="68"/>
        <v>1.1308365758754864E-2</v>
      </c>
      <c r="AH58" s="627">
        <f t="shared" si="69"/>
        <v>0.20555690661478598</v>
      </c>
      <c r="AI58" s="628">
        <f t="shared" si="70"/>
        <v>0.57966014105058361</v>
      </c>
      <c r="AJ58" s="629">
        <f t="shared" si="71"/>
        <v>0.21478295233463035</v>
      </c>
      <c r="AK58" s="619">
        <f t="shared" si="72"/>
        <v>3475</v>
      </c>
      <c r="AL58" s="620">
        <v>1545</v>
      </c>
      <c r="AM58" s="620">
        <v>1847</v>
      </c>
      <c r="AN58" s="621">
        <v>83</v>
      </c>
      <c r="AO58" s="272">
        <f t="shared" si="73"/>
        <v>5.2817971789883268E-2</v>
      </c>
    </row>
    <row r="59" spans="1:41" x14ac:dyDescent="0.25">
      <c r="A59" s="270" t="s">
        <v>114</v>
      </c>
      <c r="B59" s="270" t="s">
        <v>115</v>
      </c>
      <c r="C59" s="270" t="s">
        <v>265</v>
      </c>
      <c r="D59" s="270">
        <v>1</v>
      </c>
      <c r="E59" s="619">
        <f t="shared" si="56"/>
        <v>2248</v>
      </c>
      <c r="F59" s="620">
        <f t="shared" si="52"/>
        <v>2211</v>
      </c>
      <c r="G59" s="620">
        <f t="shared" si="53"/>
        <v>21</v>
      </c>
      <c r="H59" s="620">
        <f t="shared" si="54"/>
        <v>9</v>
      </c>
      <c r="I59" s="620">
        <f t="shared" si="55"/>
        <v>7</v>
      </c>
      <c r="J59" s="621">
        <f t="shared" si="57"/>
        <v>16</v>
      </c>
      <c r="K59" s="271">
        <f t="shared" si="58"/>
        <v>299</v>
      </c>
      <c r="L59" s="620">
        <v>292</v>
      </c>
      <c r="M59" s="620">
        <v>5</v>
      </c>
      <c r="N59" s="620">
        <v>2</v>
      </c>
      <c r="O59" s="620">
        <v>0</v>
      </c>
      <c r="P59" s="620">
        <f t="shared" si="59"/>
        <v>2</v>
      </c>
      <c r="Q59" s="619">
        <f t="shared" si="60"/>
        <v>1288</v>
      </c>
      <c r="R59" s="620">
        <v>1270</v>
      </c>
      <c r="S59" s="620">
        <v>12</v>
      </c>
      <c r="T59" s="620">
        <v>5</v>
      </c>
      <c r="U59" s="620">
        <v>1</v>
      </c>
      <c r="V59" s="621">
        <f t="shared" si="61"/>
        <v>6</v>
      </c>
      <c r="W59" s="619">
        <f t="shared" si="62"/>
        <v>661</v>
      </c>
      <c r="X59" s="620">
        <v>649</v>
      </c>
      <c r="Y59" s="620">
        <v>4</v>
      </c>
      <c r="Z59" s="620">
        <v>2</v>
      </c>
      <c r="AA59" s="620">
        <v>6</v>
      </c>
      <c r="AB59" s="621">
        <f t="shared" si="63"/>
        <v>8</v>
      </c>
      <c r="AC59" s="627">
        <f t="shared" si="64"/>
        <v>0.98354092526690395</v>
      </c>
      <c r="AD59" s="628">
        <f t="shared" si="65"/>
        <v>9.341637010676156E-3</v>
      </c>
      <c r="AE59" s="628">
        <f t="shared" si="66"/>
        <v>4.0035587188612101E-3</v>
      </c>
      <c r="AF59" s="628">
        <f t="shared" si="67"/>
        <v>3.1138790035587188E-3</v>
      </c>
      <c r="AG59" s="629">
        <f t="shared" si="68"/>
        <v>7.1174377224199285E-3</v>
      </c>
      <c r="AH59" s="627">
        <f t="shared" si="69"/>
        <v>0.13300711743772242</v>
      </c>
      <c r="AI59" s="628">
        <f t="shared" si="70"/>
        <v>0.57295373665480431</v>
      </c>
      <c r="AJ59" s="629">
        <f t="shared" si="71"/>
        <v>0.29403914590747332</v>
      </c>
      <c r="AK59" s="619">
        <f t="shared" si="72"/>
        <v>33</v>
      </c>
      <c r="AL59" s="620">
        <v>7</v>
      </c>
      <c r="AM59" s="620">
        <v>19</v>
      </c>
      <c r="AN59" s="621">
        <v>7</v>
      </c>
      <c r="AO59" s="272">
        <f t="shared" si="73"/>
        <v>1.4679715302491103E-2</v>
      </c>
    </row>
    <row r="60" spans="1:41" x14ac:dyDescent="0.25">
      <c r="A60" s="270" t="s">
        <v>116</v>
      </c>
      <c r="B60" s="270" t="s">
        <v>117</v>
      </c>
      <c r="C60" s="270" t="s">
        <v>266</v>
      </c>
      <c r="D60" s="270">
        <v>2</v>
      </c>
      <c r="E60" s="619">
        <f t="shared" si="56"/>
        <v>22196</v>
      </c>
      <c r="F60" s="620">
        <f t="shared" si="52"/>
        <v>12619</v>
      </c>
      <c r="G60" s="620">
        <f t="shared" si="53"/>
        <v>9104</v>
      </c>
      <c r="H60" s="620">
        <f t="shared" si="54"/>
        <v>347</v>
      </c>
      <c r="I60" s="620">
        <f t="shared" si="55"/>
        <v>126</v>
      </c>
      <c r="J60" s="621">
        <f t="shared" si="57"/>
        <v>473</v>
      </c>
      <c r="K60" s="271">
        <f t="shared" si="58"/>
        <v>5615</v>
      </c>
      <c r="L60" s="620">
        <v>2629</v>
      </c>
      <c r="M60" s="620">
        <v>2866</v>
      </c>
      <c r="N60" s="620">
        <v>97</v>
      </c>
      <c r="O60" s="620">
        <v>23</v>
      </c>
      <c r="P60" s="620">
        <f t="shared" si="59"/>
        <v>120</v>
      </c>
      <c r="Q60" s="619">
        <f t="shared" si="60"/>
        <v>13092</v>
      </c>
      <c r="R60" s="620">
        <v>7363</v>
      </c>
      <c r="S60" s="620">
        <v>5436</v>
      </c>
      <c r="T60" s="620">
        <v>204</v>
      </c>
      <c r="U60" s="620">
        <v>89</v>
      </c>
      <c r="V60" s="621">
        <f t="shared" si="61"/>
        <v>293</v>
      </c>
      <c r="W60" s="619">
        <f t="shared" si="62"/>
        <v>3489</v>
      </c>
      <c r="X60" s="620">
        <v>2627</v>
      </c>
      <c r="Y60" s="620">
        <v>802</v>
      </c>
      <c r="Z60" s="620">
        <v>46</v>
      </c>
      <c r="AA60" s="620">
        <v>14</v>
      </c>
      <c r="AB60" s="621">
        <f t="shared" si="63"/>
        <v>60</v>
      </c>
      <c r="AC60" s="627">
        <f t="shared" si="64"/>
        <v>0.56852586051540821</v>
      </c>
      <c r="AD60" s="628">
        <f t="shared" si="65"/>
        <v>0.41016399351234456</v>
      </c>
      <c r="AE60" s="628">
        <f t="shared" si="66"/>
        <v>1.5633447468012256E-2</v>
      </c>
      <c r="AF60" s="628">
        <f t="shared" si="67"/>
        <v>5.6766985042349975E-3</v>
      </c>
      <c r="AG60" s="629">
        <f t="shared" si="68"/>
        <v>2.1310145972247251E-2</v>
      </c>
      <c r="AH60" s="627">
        <f t="shared" si="69"/>
        <v>0.25297350874031355</v>
      </c>
      <c r="AI60" s="628">
        <f t="shared" si="70"/>
        <v>0.58983600648765544</v>
      </c>
      <c r="AJ60" s="629">
        <f t="shared" si="71"/>
        <v>0.15719048477203099</v>
      </c>
      <c r="AK60" s="619">
        <f t="shared" si="72"/>
        <v>1588</v>
      </c>
      <c r="AL60" s="620">
        <v>538</v>
      </c>
      <c r="AM60" s="620">
        <v>975</v>
      </c>
      <c r="AN60" s="621">
        <v>75</v>
      </c>
      <c r="AO60" s="272">
        <f t="shared" si="73"/>
        <v>7.1544422418453782E-2</v>
      </c>
    </row>
    <row r="61" spans="1:41" x14ac:dyDescent="0.25">
      <c r="A61" s="270" t="s">
        <v>118</v>
      </c>
      <c r="B61" s="270" t="s">
        <v>119</v>
      </c>
      <c r="C61" s="270" t="s">
        <v>264</v>
      </c>
      <c r="D61" s="270">
        <v>2</v>
      </c>
      <c r="E61" s="619">
        <f t="shared" si="56"/>
        <v>36007</v>
      </c>
      <c r="F61" s="620">
        <f t="shared" si="52"/>
        <v>26528</v>
      </c>
      <c r="G61" s="620">
        <f t="shared" si="53"/>
        <v>8828</v>
      </c>
      <c r="H61" s="620">
        <f t="shared" si="54"/>
        <v>488</v>
      </c>
      <c r="I61" s="620">
        <f t="shared" si="55"/>
        <v>163</v>
      </c>
      <c r="J61" s="621">
        <f t="shared" si="57"/>
        <v>651</v>
      </c>
      <c r="K61" s="271">
        <f t="shared" si="58"/>
        <v>7594</v>
      </c>
      <c r="L61" s="620">
        <v>5377</v>
      </c>
      <c r="M61" s="620">
        <v>2052</v>
      </c>
      <c r="N61" s="620">
        <v>136</v>
      </c>
      <c r="O61" s="620">
        <v>29</v>
      </c>
      <c r="P61" s="620">
        <f t="shared" si="59"/>
        <v>165</v>
      </c>
      <c r="Q61" s="619">
        <f t="shared" si="60"/>
        <v>22188</v>
      </c>
      <c r="R61" s="620">
        <v>16496</v>
      </c>
      <c r="S61" s="620">
        <v>5271</v>
      </c>
      <c r="T61" s="620">
        <v>309</v>
      </c>
      <c r="U61" s="620">
        <v>112</v>
      </c>
      <c r="V61" s="621">
        <f t="shared" si="61"/>
        <v>421</v>
      </c>
      <c r="W61" s="619">
        <f t="shared" si="62"/>
        <v>6225</v>
      </c>
      <c r="X61" s="620">
        <v>4655</v>
      </c>
      <c r="Y61" s="620">
        <v>1505</v>
      </c>
      <c r="Z61" s="620">
        <v>43</v>
      </c>
      <c r="AA61" s="620">
        <v>22</v>
      </c>
      <c r="AB61" s="621">
        <f t="shared" si="63"/>
        <v>65</v>
      </c>
      <c r="AC61" s="627">
        <f t="shared" si="64"/>
        <v>0.73674563279362348</v>
      </c>
      <c r="AD61" s="628">
        <f t="shared" si="65"/>
        <v>0.24517454939317354</v>
      </c>
      <c r="AE61" s="628">
        <f t="shared" si="66"/>
        <v>1.3552920265503929E-2</v>
      </c>
      <c r="AF61" s="628">
        <f t="shared" si="67"/>
        <v>4.5268975476990582E-3</v>
      </c>
      <c r="AG61" s="629">
        <f t="shared" si="68"/>
        <v>1.8079817813202989E-2</v>
      </c>
      <c r="AH61" s="627">
        <f t="shared" si="69"/>
        <v>0.21090343544310827</v>
      </c>
      <c r="AI61" s="628">
        <f t="shared" si="70"/>
        <v>0.61621351403893687</v>
      </c>
      <c r="AJ61" s="629">
        <f t="shared" si="71"/>
        <v>0.17288305051795483</v>
      </c>
      <c r="AK61" s="619">
        <f t="shared" si="72"/>
        <v>983</v>
      </c>
      <c r="AL61" s="620">
        <v>340</v>
      </c>
      <c r="AM61" s="620">
        <v>592</v>
      </c>
      <c r="AN61" s="621">
        <v>51</v>
      </c>
      <c r="AO61" s="272">
        <f t="shared" si="73"/>
        <v>2.7300247174160581E-2</v>
      </c>
    </row>
    <row r="62" spans="1:41" x14ac:dyDescent="0.25">
      <c r="A62" s="270" t="s">
        <v>120</v>
      </c>
      <c r="B62" s="270" t="s">
        <v>121</v>
      </c>
      <c r="C62" s="270" t="s">
        <v>264</v>
      </c>
      <c r="D62" s="270">
        <v>2</v>
      </c>
      <c r="E62" s="619">
        <f t="shared" si="56"/>
        <v>72583</v>
      </c>
      <c r="F62" s="620">
        <f t="shared" si="52"/>
        <v>59568</v>
      </c>
      <c r="G62" s="620">
        <f t="shared" si="53"/>
        <v>10406</v>
      </c>
      <c r="H62" s="620">
        <f t="shared" si="54"/>
        <v>2318</v>
      </c>
      <c r="I62" s="620">
        <f t="shared" si="55"/>
        <v>291</v>
      </c>
      <c r="J62" s="621">
        <f t="shared" si="57"/>
        <v>2609</v>
      </c>
      <c r="K62" s="271">
        <f t="shared" si="58"/>
        <v>15225</v>
      </c>
      <c r="L62" s="620">
        <v>11774</v>
      </c>
      <c r="M62" s="620">
        <v>2732</v>
      </c>
      <c r="N62" s="620">
        <v>637</v>
      </c>
      <c r="O62" s="620">
        <v>82</v>
      </c>
      <c r="P62" s="620">
        <f t="shared" si="59"/>
        <v>719</v>
      </c>
      <c r="Q62" s="619">
        <f t="shared" si="60"/>
        <v>40795</v>
      </c>
      <c r="R62" s="620">
        <v>32838</v>
      </c>
      <c r="S62" s="620">
        <v>6331</v>
      </c>
      <c r="T62" s="620">
        <v>1448</v>
      </c>
      <c r="U62" s="620">
        <v>178</v>
      </c>
      <c r="V62" s="621">
        <f t="shared" si="61"/>
        <v>1626</v>
      </c>
      <c r="W62" s="619">
        <f t="shared" si="62"/>
        <v>16563</v>
      </c>
      <c r="X62" s="620">
        <v>14956</v>
      </c>
      <c r="Y62" s="620">
        <v>1343</v>
      </c>
      <c r="Z62" s="620">
        <v>233</v>
      </c>
      <c r="AA62" s="620">
        <v>31</v>
      </c>
      <c r="AB62" s="621">
        <f t="shared" si="63"/>
        <v>264</v>
      </c>
      <c r="AC62" s="627">
        <f t="shared" si="64"/>
        <v>0.82068803989914996</v>
      </c>
      <c r="AD62" s="628">
        <f t="shared" si="65"/>
        <v>0.14336690409600045</v>
      </c>
      <c r="AE62" s="628">
        <f t="shared" si="66"/>
        <v>3.1935852747888627E-2</v>
      </c>
      <c r="AF62" s="628">
        <f t="shared" si="67"/>
        <v>4.0092032569609961E-3</v>
      </c>
      <c r="AG62" s="629">
        <f t="shared" si="68"/>
        <v>3.5945056004849624E-2</v>
      </c>
      <c r="AH62" s="627">
        <f t="shared" si="69"/>
        <v>0.20975986112450573</v>
      </c>
      <c r="AI62" s="628">
        <f t="shared" si="70"/>
        <v>0.56204620916743586</v>
      </c>
      <c r="AJ62" s="629">
        <f t="shared" si="71"/>
        <v>0.22819392970805835</v>
      </c>
      <c r="AK62" s="619">
        <f t="shared" si="72"/>
        <v>3993</v>
      </c>
      <c r="AL62" s="620">
        <v>1398</v>
      </c>
      <c r="AM62" s="620">
        <v>2404</v>
      </c>
      <c r="AN62" s="621">
        <v>191</v>
      </c>
      <c r="AO62" s="272">
        <f t="shared" si="73"/>
        <v>5.501288180427924E-2</v>
      </c>
    </row>
    <row r="63" spans="1:41" x14ac:dyDescent="0.25">
      <c r="A63" s="270" t="s">
        <v>122</v>
      </c>
      <c r="B63" s="270" t="s">
        <v>271</v>
      </c>
      <c r="C63" s="270" t="s">
        <v>266</v>
      </c>
      <c r="D63" s="270">
        <v>1</v>
      </c>
      <c r="E63" s="619">
        <f t="shared" si="56"/>
        <v>7175</v>
      </c>
      <c r="F63" s="620">
        <f t="shared" si="52"/>
        <v>4979</v>
      </c>
      <c r="G63" s="620">
        <f t="shared" si="53"/>
        <v>2026</v>
      </c>
      <c r="H63" s="620">
        <f t="shared" si="54"/>
        <v>38</v>
      </c>
      <c r="I63" s="620">
        <f t="shared" si="55"/>
        <v>132</v>
      </c>
      <c r="J63" s="621">
        <f t="shared" si="57"/>
        <v>170</v>
      </c>
      <c r="K63" s="271">
        <f t="shared" si="58"/>
        <v>1345</v>
      </c>
      <c r="L63" s="620">
        <v>895</v>
      </c>
      <c r="M63" s="620">
        <v>416</v>
      </c>
      <c r="N63" s="620">
        <v>14</v>
      </c>
      <c r="O63" s="620">
        <v>20</v>
      </c>
      <c r="P63" s="620">
        <f t="shared" si="59"/>
        <v>34</v>
      </c>
      <c r="Q63" s="619">
        <f t="shared" si="60"/>
        <v>4350</v>
      </c>
      <c r="R63" s="620">
        <v>3057</v>
      </c>
      <c r="S63" s="620">
        <v>1191</v>
      </c>
      <c r="T63" s="620">
        <v>15</v>
      </c>
      <c r="U63" s="620">
        <v>87</v>
      </c>
      <c r="V63" s="621">
        <f t="shared" si="61"/>
        <v>102</v>
      </c>
      <c r="W63" s="619">
        <f t="shared" si="62"/>
        <v>1480</v>
      </c>
      <c r="X63" s="620">
        <v>1027</v>
      </c>
      <c r="Y63" s="620">
        <v>419</v>
      </c>
      <c r="Z63" s="620">
        <v>9</v>
      </c>
      <c r="AA63" s="620">
        <v>25</v>
      </c>
      <c r="AB63" s="621">
        <f t="shared" si="63"/>
        <v>34</v>
      </c>
      <c r="AC63" s="627">
        <f t="shared" si="64"/>
        <v>0.6939372822299652</v>
      </c>
      <c r="AD63" s="628">
        <f t="shared" si="65"/>
        <v>0.28236933797909408</v>
      </c>
      <c r="AE63" s="628">
        <f t="shared" si="66"/>
        <v>5.2961672473867596E-3</v>
      </c>
      <c r="AF63" s="628">
        <f t="shared" si="67"/>
        <v>1.8397212543554007E-2</v>
      </c>
      <c r="AG63" s="629">
        <f t="shared" si="68"/>
        <v>2.3693379790940768E-2</v>
      </c>
      <c r="AH63" s="627">
        <f t="shared" si="69"/>
        <v>0.18745644599303135</v>
      </c>
      <c r="AI63" s="628">
        <f t="shared" si="70"/>
        <v>0.60627177700348434</v>
      </c>
      <c r="AJ63" s="629">
        <f t="shared" si="71"/>
        <v>0.20627177700348431</v>
      </c>
      <c r="AK63" s="619">
        <f t="shared" si="72"/>
        <v>224</v>
      </c>
      <c r="AL63" s="620">
        <v>91</v>
      </c>
      <c r="AM63" s="620">
        <v>127</v>
      </c>
      <c r="AN63" s="621">
        <v>6</v>
      </c>
      <c r="AO63" s="272">
        <f t="shared" si="73"/>
        <v>3.1219512195121951E-2</v>
      </c>
    </row>
    <row r="64" spans="1:41" x14ac:dyDescent="0.25">
      <c r="A64" s="270" t="s">
        <v>124</v>
      </c>
      <c r="B64" s="270" t="s">
        <v>125</v>
      </c>
      <c r="C64" s="270" t="s">
        <v>267</v>
      </c>
      <c r="D64" s="270">
        <v>1</v>
      </c>
      <c r="E64" s="619">
        <f t="shared" si="56"/>
        <v>25371</v>
      </c>
      <c r="F64" s="620">
        <f t="shared" si="52"/>
        <v>20045</v>
      </c>
      <c r="G64" s="620">
        <f t="shared" si="53"/>
        <v>4646</v>
      </c>
      <c r="H64" s="620">
        <f t="shared" si="54"/>
        <v>513</v>
      </c>
      <c r="I64" s="620">
        <f t="shared" si="55"/>
        <v>167</v>
      </c>
      <c r="J64" s="621">
        <f t="shared" si="57"/>
        <v>680</v>
      </c>
      <c r="K64" s="271">
        <f t="shared" si="58"/>
        <v>6656</v>
      </c>
      <c r="L64" s="620">
        <v>5167</v>
      </c>
      <c r="M64" s="620">
        <v>1279</v>
      </c>
      <c r="N64" s="620">
        <v>157</v>
      </c>
      <c r="O64" s="620">
        <v>53</v>
      </c>
      <c r="P64" s="620">
        <f t="shared" si="59"/>
        <v>210</v>
      </c>
      <c r="Q64" s="619">
        <f t="shared" si="60"/>
        <v>15753</v>
      </c>
      <c r="R64" s="620">
        <v>12500</v>
      </c>
      <c r="S64" s="620">
        <v>2835</v>
      </c>
      <c r="T64" s="620">
        <v>314</v>
      </c>
      <c r="U64" s="620">
        <v>104</v>
      </c>
      <c r="V64" s="621">
        <f t="shared" si="61"/>
        <v>418</v>
      </c>
      <c r="W64" s="619">
        <f t="shared" si="62"/>
        <v>2962</v>
      </c>
      <c r="X64" s="620">
        <v>2378</v>
      </c>
      <c r="Y64" s="620">
        <v>532</v>
      </c>
      <c r="Z64" s="620">
        <v>42</v>
      </c>
      <c r="AA64" s="620">
        <v>10</v>
      </c>
      <c r="AB64" s="621">
        <f t="shared" si="63"/>
        <v>52</v>
      </c>
      <c r="AC64" s="627">
        <f t="shared" si="64"/>
        <v>0.7900752828032005</v>
      </c>
      <c r="AD64" s="628">
        <f t="shared" si="65"/>
        <v>0.1831224626542115</v>
      </c>
      <c r="AE64" s="628">
        <f t="shared" si="66"/>
        <v>2.0219936147570061E-2</v>
      </c>
      <c r="AF64" s="628">
        <f t="shared" si="67"/>
        <v>6.5823183950179335E-3</v>
      </c>
      <c r="AG64" s="629">
        <f t="shared" si="68"/>
        <v>2.6802254542587993E-2</v>
      </c>
      <c r="AH64" s="627">
        <f t="shared" si="69"/>
        <v>0.26234677387568484</v>
      </c>
      <c r="AI64" s="628">
        <f t="shared" si="70"/>
        <v>0.62090575854321861</v>
      </c>
      <c r="AJ64" s="629">
        <f t="shared" si="71"/>
        <v>0.11674746758109653</v>
      </c>
      <c r="AK64" s="619">
        <f t="shared" si="72"/>
        <v>1105</v>
      </c>
      <c r="AL64" s="620">
        <v>383</v>
      </c>
      <c r="AM64" s="620">
        <v>681</v>
      </c>
      <c r="AN64" s="621">
        <v>41</v>
      </c>
      <c r="AO64" s="272">
        <f t="shared" si="73"/>
        <v>4.3553663631705493E-2</v>
      </c>
    </row>
    <row r="65" spans="1:41" x14ac:dyDescent="0.25">
      <c r="A65" s="270" t="s">
        <v>126</v>
      </c>
      <c r="B65" s="270" t="s">
        <v>127</v>
      </c>
      <c r="C65" s="270" t="s">
        <v>266</v>
      </c>
      <c r="D65" s="270">
        <v>1</v>
      </c>
      <c r="E65" s="619">
        <f t="shared" si="56"/>
        <v>16186</v>
      </c>
      <c r="F65" s="620">
        <f t="shared" si="52"/>
        <v>12803</v>
      </c>
      <c r="G65" s="620">
        <f t="shared" si="53"/>
        <v>2976</v>
      </c>
      <c r="H65" s="620">
        <f t="shared" si="54"/>
        <v>167</v>
      </c>
      <c r="I65" s="620">
        <f t="shared" si="55"/>
        <v>240</v>
      </c>
      <c r="J65" s="621">
        <f t="shared" si="57"/>
        <v>407</v>
      </c>
      <c r="K65" s="271">
        <f t="shared" si="58"/>
        <v>3803</v>
      </c>
      <c r="L65" s="620">
        <v>3012</v>
      </c>
      <c r="M65" s="620">
        <v>682</v>
      </c>
      <c r="N65" s="620">
        <v>56</v>
      </c>
      <c r="O65" s="620">
        <v>53</v>
      </c>
      <c r="P65" s="620">
        <f t="shared" si="59"/>
        <v>109</v>
      </c>
      <c r="Q65" s="619">
        <f t="shared" si="60"/>
        <v>10051</v>
      </c>
      <c r="R65" s="620">
        <v>7998</v>
      </c>
      <c r="S65" s="620">
        <v>1804</v>
      </c>
      <c r="T65" s="620">
        <v>94</v>
      </c>
      <c r="U65" s="620">
        <v>155</v>
      </c>
      <c r="V65" s="621">
        <f t="shared" si="61"/>
        <v>249</v>
      </c>
      <c r="W65" s="619">
        <f t="shared" si="62"/>
        <v>2332</v>
      </c>
      <c r="X65" s="620">
        <v>1793</v>
      </c>
      <c r="Y65" s="620">
        <v>490</v>
      </c>
      <c r="Z65" s="620">
        <v>17</v>
      </c>
      <c r="AA65" s="620">
        <v>32</v>
      </c>
      <c r="AB65" s="621">
        <f t="shared" si="63"/>
        <v>49</v>
      </c>
      <c r="AC65" s="627">
        <f t="shared" si="64"/>
        <v>0.79099221549487209</v>
      </c>
      <c r="AD65" s="628">
        <f t="shared" si="65"/>
        <v>0.1838625973063141</v>
      </c>
      <c r="AE65" s="628">
        <f t="shared" si="66"/>
        <v>1.0317558383788459E-2</v>
      </c>
      <c r="AF65" s="628">
        <f t="shared" si="67"/>
        <v>1.4827628815025331E-2</v>
      </c>
      <c r="AG65" s="629">
        <f t="shared" si="68"/>
        <v>2.5145187198813791E-2</v>
      </c>
      <c r="AH65" s="627">
        <f t="shared" si="69"/>
        <v>0.23495613493142223</v>
      </c>
      <c r="AI65" s="628">
        <f t="shared" si="70"/>
        <v>0.62096873841591493</v>
      </c>
      <c r="AJ65" s="629">
        <f t="shared" si="71"/>
        <v>0.14407512665266278</v>
      </c>
      <c r="AK65" s="619">
        <f t="shared" si="72"/>
        <v>412</v>
      </c>
      <c r="AL65" s="620">
        <v>167</v>
      </c>
      <c r="AM65" s="620">
        <v>231</v>
      </c>
      <c r="AN65" s="621">
        <v>14</v>
      </c>
      <c r="AO65" s="272">
        <f t="shared" si="73"/>
        <v>2.5454096132460149E-2</v>
      </c>
    </row>
    <row r="66" spans="1:41" x14ac:dyDescent="0.25">
      <c r="A66" s="270" t="s">
        <v>128</v>
      </c>
      <c r="B66" s="270" t="s">
        <v>129</v>
      </c>
      <c r="C66" s="270" t="s">
        <v>266</v>
      </c>
      <c r="D66" s="270">
        <v>1</v>
      </c>
      <c r="E66" s="619">
        <f t="shared" si="56"/>
        <v>11044</v>
      </c>
      <c r="F66" s="620">
        <f t="shared" si="52"/>
        <v>7787</v>
      </c>
      <c r="G66" s="620">
        <f t="shared" si="53"/>
        <v>3148</v>
      </c>
      <c r="H66" s="620">
        <f t="shared" si="54"/>
        <v>84</v>
      </c>
      <c r="I66" s="620">
        <f t="shared" si="55"/>
        <v>25</v>
      </c>
      <c r="J66" s="621">
        <f t="shared" si="57"/>
        <v>109</v>
      </c>
      <c r="K66" s="271">
        <f t="shared" si="58"/>
        <v>1652</v>
      </c>
      <c r="L66" s="620">
        <v>904</v>
      </c>
      <c r="M66" s="620">
        <v>726</v>
      </c>
      <c r="N66" s="620">
        <v>20</v>
      </c>
      <c r="O66" s="620">
        <v>2</v>
      </c>
      <c r="P66" s="620">
        <f t="shared" si="59"/>
        <v>22</v>
      </c>
      <c r="Q66" s="619">
        <f t="shared" si="60"/>
        <v>5507</v>
      </c>
      <c r="R66" s="620">
        <v>3580</v>
      </c>
      <c r="S66" s="620">
        <v>1863</v>
      </c>
      <c r="T66" s="620">
        <v>46</v>
      </c>
      <c r="U66" s="620">
        <v>18</v>
      </c>
      <c r="V66" s="621">
        <f t="shared" si="61"/>
        <v>64</v>
      </c>
      <c r="W66" s="619">
        <f t="shared" si="62"/>
        <v>3885</v>
      </c>
      <c r="X66" s="620">
        <v>3303</v>
      </c>
      <c r="Y66" s="620">
        <v>559</v>
      </c>
      <c r="Z66" s="620">
        <v>18</v>
      </c>
      <c r="AA66" s="620">
        <v>5</v>
      </c>
      <c r="AB66" s="621">
        <f t="shared" si="63"/>
        <v>23</v>
      </c>
      <c r="AC66" s="627">
        <f t="shared" si="64"/>
        <v>0.70508873596523003</v>
      </c>
      <c r="AD66" s="628">
        <f t="shared" si="65"/>
        <v>0.28504165157551614</v>
      </c>
      <c r="AE66" s="628">
        <f t="shared" si="66"/>
        <v>7.6059398768562117E-3</v>
      </c>
      <c r="AF66" s="628">
        <f t="shared" si="67"/>
        <v>2.2636725823976822E-3</v>
      </c>
      <c r="AG66" s="629">
        <f t="shared" si="68"/>
        <v>9.8696124592538934E-3</v>
      </c>
      <c r="AH66" s="627">
        <f t="shared" si="69"/>
        <v>0.14958348424483883</v>
      </c>
      <c r="AI66" s="628">
        <f t="shared" si="70"/>
        <v>0.49864179645056139</v>
      </c>
      <c r="AJ66" s="629">
        <f t="shared" si="71"/>
        <v>0.3517747193045998</v>
      </c>
      <c r="AK66" s="619">
        <f t="shared" si="72"/>
        <v>178</v>
      </c>
      <c r="AL66" s="620">
        <v>59</v>
      </c>
      <c r="AM66" s="620">
        <v>82</v>
      </c>
      <c r="AN66" s="621">
        <v>37</v>
      </c>
      <c r="AO66" s="272">
        <f t="shared" si="73"/>
        <v>1.6117348786671495E-2</v>
      </c>
    </row>
    <row r="67" spans="1:41" x14ac:dyDescent="0.25">
      <c r="A67" s="270" t="s">
        <v>130</v>
      </c>
      <c r="B67" s="270" t="s">
        <v>131</v>
      </c>
      <c r="C67" s="270" t="s">
        <v>268</v>
      </c>
      <c r="D67" s="270">
        <v>2</v>
      </c>
      <c r="E67" s="619">
        <f t="shared" si="56"/>
        <v>24951</v>
      </c>
      <c r="F67" s="620">
        <f t="shared" si="52"/>
        <v>23633</v>
      </c>
      <c r="G67" s="620">
        <f t="shared" si="53"/>
        <v>1116</v>
      </c>
      <c r="H67" s="620">
        <f t="shared" si="54"/>
        <v>96</v>
      </c>
      <c r="I67" s="620">
        <f t="shared" si="55"/>
        <v>106</v>
      </c>
      <c r="J67" s="621">
        <f t="shared" si="57"/>
        <v>202</v>
      </c>
      <c r="K67" s="271">
        <f t="shared" si="58"/>
        <v>4817</v>
      </c>
      <c r="L67" s="620">
        <v>4712</v>
      </c>
      <c r="M67" s="620">
        <v>84</v>
      </c>
      <c r="N67" s="620">
        <v>10</v>
      </c>
      <c r="O67" s="620">
        <v>11</v>
      </c>
      <c r="P67" s="620">
        <f t="shared" si="59"/>
        <v>21</v>
      </c>
      <c r="Q67" s="619">
        <f t="shared" si="60"/>
        <v>15431</v>
      </c>
      <c r="R67" s="620">
        <v>14262</v>
      </c>
      <c r="S67" s="620">
        <v>1008</v>
      </c>
      <c r="T67" s="620">
        <v>74</v>
      </c>
      <c r="U67" s="620">
        <v>87</v>
      </c>
      <c r="V67" s="621">
        <f t="shared" si="61"/>
        <v>161</v>
      </c>
      <c r="W67" s="619">
        <f t="shared" si="62"/>
        <v>4703</v>
      </c>
      <c r="X67" s="620">
        <v>4659</v>
      </c>
      <c r="Y67" s="620">
        <v>24</v>
      </c>
      <c r="Z67" s="620">
        <v>12</v>
      </c>
      <c r="AA67" s="620">
        <v>8</v>
      </c>
      <c r="AB67" s="621">
        <f t="shared" si="63"/>
        <v>20</v>
      </c>
      <c r="AC67" s="627">
        <f t="shared" si="64"/>
        <v>0.94717646587311133</v>
      </c>
      <c r="AD67" s="628">
        <f t="shared" si="65"/>
        <v>4.472766622580257E-2</v>
      </c>
      <c r="AE67" s="628">
        <f t="shared" si="66"/>
        <v>3.8475411807142E-3</v>
      </c>
      <c r="AF67" s="628">
        <f t="shared" si="67"/>
        <v>4.248326720371929E-3</v>
      </c>
      <c r="AG67" s="629">
        <f t="shared" si="68"/>
        <v>8.095867901086129E-3</v>
      </c>
      <c r="AH67" s="627">
        <f t="shared" si="69"/>
        <v>0.19305839445312814</v>
      </c>
      <c r="AI67" s="628">
        <f t="shared" si="70"/>
        <v>0.61845216624584187</v>
      </c>
      <c r="AJ67" s="629">
        <f t="shared" si="71"/>
        <v>0.18848943930103002</v>
      </c>
      <c r="AK67" s="619">
        <f t="shared" si="72"/>
        <v>448</v>
      </c>
      <c r="AL67" s="620">
        <v>79</v>
      </c>
      <c r="AM67" s="620">
        <v>356</v>
      </c>
      <c r="AN67" s="621">
        <v>13</v>
      </c>
      <c r="AO67" s="272">
        <f t="shared" si="73"/>
        <v>1.7955192176666267E-2</v>
      </c>
    </row>
    <row r="68" spans="1:41" x14ac:dyDescent="0.25">
      <c r="A68" s="270" t="s">
        <v>132</v>
      </c>
      <c r="B68" s="270" t="s">
        <v>133</v>
      </c>
      <c r="C68" s="270" t="s">
        <v>267</v>
      </c>
      <c r="D68" s="270">
        <v>3</v>
      </c>
      <c r="E68" s="619">
        <f t="shared" si="56"/>
        <v>363050</v>
      </c>
      <c r="F68" s="620">
        <f t="shared" si="52"/>
        <v>263590</v>
      </c>
      <c r="G68" s="620">
        <f t="shared" si="53"/>
        <v>30621</v>
      </c>
      <c r="H68" s="620">
        <f t="shared" si="54"/>
        <v>66878</v>
      </c>
      <c r="I68" s="620">
        <f t="shared" si="55"/>
        <v>1961</v>
      </c>
      <c r="J68" s="621">
        <f t="shared" si="57"/>
        <v>68839</v>
      </c>
      <c r="K68" s="271">
        <f t="shared" si="58"/>
        <v>106602</v>
      </c>
      <c r="L68" s="620">
        <v>75930</v>
      </c>
      <c r="M68" s="620">
        <v>9297</v>
      </c>
      <c r="N68" s="620">
        <v>20686</v>
      </c>
      <c r="O68" s="620">
        <v>689</v>
      </c>
      <c r="P68" s="620">
        <f t="shared" si="59"/>
        <v>21375</v>
      </c>
      <c r="Q68" s="619">
        <f t="shared" si="60"/>
        <v>227859</v>
      </c>
      <c r="R68" s="620">
        <v>165044</v>
      </c>
      <c r="S68" s="620">
        <v>19413</v>
      </c>
      <c r="T68" s="620">
        <v>42230</v>
      </c>
      <c r="U68" s="620">
        <v>1172</v>
      </c>
      <c r="V68" s="621">
        <f t="shared" si="61"/>
        <v>43402</v>
      </c>
      <c r="W68" s="619">
        <f t="shared" si="62"/>
        <v>28589</v>
      </c>
      <c r="X68" s="620">
        <v>22616</v>
      </c>
      <c r="Y68" s="620">
        <v>1911</v>
      </c>
      <c r="Z68" s="620">
        <v>3962</v>
      </c>
      <c r="AA68" s="620">
        <v>100</v>
      </c>
      <c r="AB68" s="621">
        <f t="shared" si="63"/>
        <v>4062</v>
      </c>
      <c r="AC68" s="627">
        <f t="shared" si="64"/>
        <v>0.72604324473213055</v>
      </c>
      <c r="AD68" s="628">
        <f t="shared" si="65"/>
        <v>8.4343754303814897E-2</v>
      </c>
      <c r="AE68" s="628">
        <f t="shared" si="66"/>
        <v>0.18421154111003993</v>
      </c>
      <c r="AF68" s="628">
        <f t="shared" si="67"/>
        <v>5.4014598540145986E-3</v>
      </c>
      <c r="AG68" s="629">
        <f t="shared" si="68"/>
        <v>0.18961300096405453</v>
      </c>
      <c r="AH68" s="627">
        <f t="shared" si="69"/>
        <v>0.29362897672496902</v>
      </c>
      <c r="AI68" s="628">
        <f t="shared" si="70"/>
        <v>0.62762429417435617</v>
      </c>
      <c r="AJ68" s="629">
        <f t="shared" si="71"/>
        <v>7.8746729100674845E-2</v>
      </c>
      <c r="AK68" s="619">
        <f t="shared" si="72"/>
        <v>48823</v>
      </c>
      <c r="AL68" s="620">
        <v>16451</v>
      </c>
      <c r="AM68" s="620">
        <v>30491</v>
      </c>
      <c r="AN68" s="621">
        <v>1881</v>
      </c>
      <c r="AO68" s="272">
        <f t="shared" si="73"/>
        <v>0.13448009915989534</v>
      </c>
    </row>
    <row r="69" spans="1:41" x14ac:dyDescent="0.25">
      <c r="A69" s="270" t="s">
        <v>134</v>
      </c>
      <c r="B69" s="270" t="s">
        <v>135</v>
      </c>
      <c r="C69" s="270" t="s">
        <v>267</v>
      </c>
      <c r="D69" s="270">
        <v>2</v>
      </c>
      <c r="E69" s="619">
        <f t="shared" si="56"/>
        <v>34348</v>
      </c>
      <c r="F69" s="620">
        <f t="shared" si="52"/>
        <v>27858</v>
      </c>
      <c r="G69" s="620">
        <f t="shared" si="53"/>
        <v>6094</v>
      </c>
      <c r="H69" s="620">
        <f t="shared" si="54"/>
        <v>238</v>
      </c>
      <c r="I69" s="620">
        <f t="shared" si="55"/>
        <v>158</v>
      </c>
      <c r="J69" s="621">
        <f t="shared" si="57"/>
        <v>396</v>
      </c>
      <c r="K69" s="271">
        <f t="shared" si="58"/>
        <v>7198</v>
      </c>
      <c r="L69" s="620">
        <v>5751</v>
      </c>
      <c r="M69" s="620">
        <v>1357</v>
      </c>
      <c r="N69" s="620">
        <v>61</v>
      </c>
      <c r="O69" s="620">
        <v>29</v>
      </c>
      <c r="P69" s="620">
        <f t="shared" si="59"/>
        <v>90</v>
      </c>
      <c r="Q69" s="619">
        <f t="shared" si="60"/>
        <v>21112</v>
      </c>
      <c r="R69" s="620">
        <v>17142</v>
      </c>
      <c r="S69" s="620">
        <v>3704</v>
      </c>
      <c r="T69" s="620">
        <v>157</v>
      </c>
      <c r="U69" s="620">
        <v>109</v>
      </c>
      <c r="V69" s="621">
        <f t="shared" si="61"/>
        <v>266</v>
      </c>
      <c r="W69" s="619">
        <f t="shared" si="62"/>
        <v>6038</v>
      </c>
      <c r="X69" s="620">
        <v>4965</v>
      </c>
      <c r="Y69" s="620">
        <v>1033</v>
      </c>
      <c r="Z69" s="620">
        <v>20</v>
      </c>
      <c r="AA69" s="620">
        <v>20</v>
      </c>
      <c r="AB69" s="621">
        <f t="shared" si="63"/>
        <v>40</v>
      </c>
      <c r="AC69" s="627">
        <f t="shared" si="64"/>
        <v>0.81105158961220447</v>
      </c>
      <c r="AD69" s="628">
        <f t="shared" si="65"/>
        <v>0.17741935483870969</v>
      </c>
      <c r="AE69" s="628">
        <f t="shared" si="66"/>
        <v>6.9290788401071383E-3</v>
      </c>
      <c r="AF69" s="628">
        <f t="shared" si="67"/>
        <v>4.5999767089786887E-3</v>
      </c>
      <c r="AG69" s="629">
        <f t="shared" si="68"/>
        <v>1.1529055549085827E-2</v>
      </c>
      <c r="AH69" s="627">
        <f t="shared" si="69"/>
        <v>0.2095609642482823</v>
      </c>
      <c r="AI69" s="628">
        <f t="shared" si="70"/>
        <v>0.61465005240479798</v>
      </c>
      <c r="AJ69" s="629">
        <f t="shared" si="71"/>
        <v>0.17578898334691975</v>
      </c>
      <c r="AK69" s="619">
        <f t="shared" si="72"/>
        <v>873</v>
      </c>
      <c r="AL69" s="620">
        <v>314</v>
      </c>
      <c r="AM69" s="620">
        <v>498</v>
      </c>
      <c r="AN69" s="621">
        <v>61</v>
      </c>
      <c r="AO69" s="272">
        <f t="shared" si="73"/>
        <v>2.541632700593921E-2</v>
      </c>
    </row>
    <row r="70" spans="1:41" x14ac:dyDescent="0.25">
      <c r="A70" s="270" t="s">
        <v>136</v>
      </c>
      <c r="B70" s="270" t="s">
        <v>137</v>
      </c>
      <c r="C70" s="270" t="s">
        <v>266</v>
      </c>
      <c r="D70" s="270">
        <v>1</v>
      </c>
      <c r="E70" s="619">
        <f t="shared" ref="E70:E101" si="74">SUM(F70:I70)</f>
        <v>12466</v>
      </c>
      <c r="F70" s="620">
        <f t="shared" si="52"/>
        <v>7987</v>
      </c>
      <c r="G70" s="620">
        <f t="shared" si="53"/>
        <v>4362</v>
      </c>
      <c r="H70" s="620">
        <f t="shared" si="54"/>
        <v>62</v>
      </c>
      <c r="I70" s="620">
        <f t="shared" si="55"/>
        <v>55</v>
      </c>
      <c r="J70" s="621">
        <f t="shared" ref="J70:J101" si="75">H70+I70</f>
        <v>117</v>
      </c>
      <c r="K70" s="271">
        <f t="shared" ref="K70:K101" si="76">SUM(L70:O70)</f>
        <v>2329</v>
      </c>
      <c r="L70" s="620">
        <v>1478</v>
      </c>
      <c r="M70" s="620">
        <v>828</v>
      </c>
      <c r="N70" s="620">
        <v>13</v>
      </c>
      <c r="O70" s="620">
        <v>10</v>
      </c>
      <c r="P70" s="620">
        <f t="shared" ref="P70:P101" si="77">N70+O70</f>
        <v>23</v>
      </c>
      <c r="Q70" s="619">
        <f t="shared" ref="Q70:Q101" si="78">SUM(R70:U70)</f>
        <v>7685</v>
      </c>
      <c r="R70" s="620">
        <v>4835</v>
      </c>
      <c r="S70" s="620">
        <v>2766</v>
      </c>
      <c r="T70" s="620">
        <v>48</v>
      </c>
      <c r="U70" s="620">
        <v>36</v>
      </c>
      <c r="V70" s="621">
        <f t="shared" ref="V70:V101" si="79">T70+U70</f>
        <v>84</v>
      </c>
      <c r="W70" s="619">
        <f t="shared" ref="W70:W101" si="80">SUM(X70:AA70)</f>
        <v>2452</v>
      </c>
      <c r="X70" s="620">
        <v>1674</v>
      </c>
      <c r="Y70" s="620">
        <v>768</v>
      </c>
      <c r="Z70" s="620">
        <v>1</v>
      </c>
      <c r="AA70" s="620">
        <v>9</v>
      </c>
      <c r="AB70" s="621">
        <f t="shared" ref="AB70:AB101" si="81">Z70+AA70</f>
        <v>10</v>
      </c>
      <c r="AC70" s="627">
        <f t="shared" ref="AC70:AC101" si="82">F70/E70</f>
        <v>0.64070271137493984</v>
      </c>
      <c r="AD70" s="628">
        <f t="shared" ref="AD70:AD101" si="83">G70/E70</f>
        <v>0.34991175998716512</v>
      </c>
      <c r="AE70" s="628">
        <f t="shared" ref="AE70:AE101" si="84">H70/E70</f>
        <v>4.9735279961495267E-3</v>
      </c>
      <c r="AF70" s="628">
        <f t="shared" ref="AF70:AF101" si="85">I70/E70</f>
        <v>4.4120006417455483E-3</v>
      </c>
      <c r="AG70" s="629">
        <f t="shared" ref="AG70:AG101" si="86">J70/E70</f>
        <v>9.3855286378950742E-3</v>
      </c>
      <c r="AH70" s="627">
        <f t="shared" ref="AH70:AH101" si="87">K70/E70</f>
        <v>0.18682817262955237</v>
      </c>
      <c r="AI70" s="628">
        <f t="shared" ref="AI70:AI101" si="88">Q70/E70</f>
        <v>0.61647681694208245</v>
      </c>
      <c r="AJ70" s="629">
        <f t="shared" ref="AJ70:AJ101" si="89">W70/E70</f>
        <v>0.19669501042836515</v>
      </c>
      <c r="AK70" s="619">
        <f t="shared" ref="AK70:AK101" si="90">SUM(AL70:AN70)</f>
        <v>524</v>
      </c>
      <c r="AL70" s="620">
        <v>171</v>
      </c>
      <c r="AM70" s="620">
        <v>330</v>
      </c>
      <c r="AN70" s="621">
        <v>23</v>
      </c>
      <c r="AO70" s="272">
        <f t="shared" ref="AO70:AO101" si="91">AK70/E70</f>
        <v>4.2034333386812131E-2</v>
      </c>
    </row>
    <row r="71" spans="1:41" x14ac:dyDescent="0.25">
      <c r="A71" s="270" t="s">
        <v>138</v>
      </c>
      <c r="B71" s="270" t="s">
        <v>139</v>
      </c>
      <c r="C71" s="270" t="s">
        <v>265</v>
      </c>
      <c r="D71" s="270">
        <v>3</v>
      </c>
      <c r="E71" s="619">
        <f t="shared" si="74"/>
        <v>79047</v>
      </c>
      <c r="F71" s="620">
        <f t="shared" ref="F71:F125" si="92">L71+R71+X71</f>
        <v>52644</v>
      </c>
      <c r="G71" s="620">
        <f t="shared" ref="G71:G125" si="93">M71+S71+Y71</f>
        <v>23354</v>
      </c>
      <c r="H71" s="620">
        <f t="shared" ref="H71:H125" si="94">N71+T71+Z71</f>
        <v>2680</v>
      </c>
      <c r="I71" s="620">
        <f t="shared" ref="I71:I125" si="95">O71+U71+AA71</f>
        <v>369</v>
      </c>
      <c r="J71" s="621">
        <f t="shared" si="75"/>
        <v>3049</v>
      </c>
      <c r="K71" s="271">
        <f t="shared" si="76"/>
        <v>15777</v>
      </c>
      <c r="L71" s="620">
        <v>8715</v>
      </c>
      <c r="M71" s="620">
        <v>6381</v>
      </c>
      <c r="N71" s="620">
        <v>603</v>
      </c>
      <c r="O71" s="620">
        <v>78</v>
      </c>
      <c r="P71" s="620">
        <f t="shared" si="77"/>
        <v>681</v>
      </c>
      <c r="Q71" s="619">
        <f t="shared" si="78"/>
        <v>52170</v>
      </c>
      <c r="R71" s="620">
        <v>35435</v>
      </c>
      <c r="S71" s="620">
        <v>14507</v>
      </c>
      <c r="T71" s="620">
        <v>1966</v>
      </c>
      <c r="U71" s="620">
        <v>262</v>
      </c>
      <c r="V71" s="621">
        <f t="shared" si="79"/>
        <v>2228</v>
      </c>
      <c r="W71" s="619">
        <f t="shared" si="80"/>
        <v>11100</v>
      </c>
      <c r="X71" s="620">
        <v>8494</v>
      </c>
      <c r="Y71" s="620">
        <v>2466</v>
      </c>
      <c r="Z71" s="620">
        <v>111</v>
      </c>
      <c r="AA71" s="620">
        <v>29</v>
      </c>
      <c r="AB71" s="621">
        <f t="shared" si="81"/>
        <v>140</v>
      </c>
      <c r="AC71" s="627">
        <f t="shared" si="82"/>
        <v>0.66598352878667122</v>
      </c>
      <c r="AD71" s="628">
        <f t="shared" si="83"/>
        <v>0.29544448239654891</v>
      </c>
      <c r="AE71" s="628">
        <f t="shared" si="84"/>
        <v>3.3903879970144345E-2</v>
      </c>
      <c r="AF71" s="628">
        <f t="shared" si="85"/>
        <v>4.6681088466355462E-3</v>
      </c>
      <c r="AG71" s="629">
        <f t="shared" si="86"/>
        <v>3.8571988816779888E-2</v>
      </c>
      <c r="AH71" s="627">
        <f t="shared" si="87"/>
        <v>0.19959011727200274</v>
      </c>
      <c r="AI71" s="628">
        <f t="shared" si="88"/>
        <v>0.65998709628448893</v>
      </c>
      <c r="AJ71" s="629">
        <f t="shared" si="89"/>
        <v>0.14042278644350828</v>
      </c>
      <c r="AK71" s="619">
        <f t="shared" si="90"/>
        <v>2647</v>
      </c>
      <c r="AL71" s="620">
        <v>647</v>
      </c>
      <c r="AM71" s="620">
        <v>1902</v>
      </c>
      <c r="AN71" s="621">
        <v>98</v>
      </c>
      <c r="AO71" s="272">
        <f t="shared" si="91"/>
        <v>3.3486406821258238E-2</v>
      </c>
    </row>
    <row r="72" spans="1:41" x14ac:dyDescent="0.25">
      <c r="A72" s="270" t="s">
        <v>140</v>
      </c>
      <c r="B72" s="270" t="s">
        <v>141</v>
      </c>
      <c r="C72" s="270" t="s">
        <v>267</v>
      </c>
      <c r="D72" s="270">
        <v>1</v>
      </c>
      <c r="E72" s="619">
        <f t="shared" si="74"/>
        <v>13157</v>
      </c>
      <c r="F72" s="620">
        <f t="shared" si="92"/>
        <v>11653</v>
      </c>
      <c r="G72" s="620">
        <f t="shared" si="93"/>
        <v>1386</v>
      </c>
      <c r="H72" s="620">
        <f t="shared" si="94"/>
        <v>84</v>
      </c>
      <c r="I72" s="620">
        <f t="shared" si="95"/>
        <v>34</v>
      </c>
      <c r="J72" s="621">
        <f t="shared" si="75"/>
        <v>118</v>
      </c>
      <c r="K72" s="271">
        <f t="shared" si="76"/>
        <v>2768</v>
      </c>
      <c r="L72" s="620">
        <v>2427</v>
      </c>
      <c r="M72" s="620">
        <v>321</v>
      </c>
      <c r="N72" s="620">
        <v>19</v>
      </c>
      <c r="O72" s="620">
        <v>1</v>
      </c>
      <c r="P72" s="620">
        <f t="shared" si="77"/>
        <v>20</v>
      </c>
      <c r="Q72" s="619">
        <f t="shared" si="78"/>
        <v>7691</v>
      </c>
      <c r="R72" s="620">
        <v>6807</v>
      </c>
      <c r="S72" s="620">
        <v>799</v>
      </c>
      <c r="T72" s="620">
        <v>56</v>
      </c>
      <c r="U72" s="620">
        <v>29</v>
      </c>
      <c r="V72" s="621">
        <f t="shared" si="79"/>
        <v>85</v>
      </c>
      <c r="W72" s="619">
        <f t="shared" si="80"/>
        <v>2698</v>
      </c>
      <c r="X72" s="620">
        <v>2419</v>
      </c>
      <c r="Y72" s="620">
        <v>266</v>
      </c>
      <c r="Z72" s="620">
        <v>9</v>
      </c>
      <c r="AA72" s="620">
        <v>4</v>
      </c>
      <c r="AB72" s="621">
        <f t="shared" si="81"/>
        <v>13</v>
      </c>
      <c r="AC72" s="627">
        <f t="shared" si="82"/>
        <v>0.88568822679942238</v>
      </c>
      <c r="AD72" s="628">
        <f t="shared" si="83"/>
        <v>0.10534316333510679</v>
      </c>
      <c r="AE72" s="628">
        <f t="shared" si="84"/>
        <v>6.3844341415216239E-3</v>
      </c>
      <c r="AF72" s="628">
        <f t="shared" si="85"/>
        <v>2.5841757239492284E-3</v>
      </c>
      <c r="AG72" s="629">
        <f t="shared" si="86"/>
        <v>8.9686098654708519E-3</v>
      </c>
      <c r="AH72" s="627">
        <f t="shared" si="87"/>
        <v>0.21038230599680779</v>
      </c>
      <c r="AI72" s="628">
        <f t="shared" si="88"/>
        <v>0.58455574979098579</v>
      </c>
      <c r="AJ72" s="629">
        <f t="shared" si="89"/>
        <v>0.20506194421220644</v>
      </c>
      <c r="AK72" s="619">
        <f t="shared" si="90"/>
        <v>278</v>
      </c>
      <c r="AL72" s="620">
        <v>107</v>
      </c>
      <c r="AM72" s="620">
        <v>152</v>
      </c>
      <c r="AN72" s="621">
        <v>19</v>
      </c>
      <c r="AO72" s="272">
        <f t="shared" si="91"/>
        <v>2.1129436801702515E-2</v>
      </c>
    </row>
    <row r="73" spans="1:41" x14ac:dyDescent="0.25">
      <c r="A73" s="270" t="s">
        <v>142</v>
      </c>
      <c r="B73" s="270" t="s">
        <v>143</v>
      </c>
      <c r="C73" s="270" t="s">
        <v>267</v>
      </c>
      <c r="D73" s="270">
        <v>2</v>
      </c>
      <c r="E73" s="619">
        <f t="shared" si="74"/>
        <v>42081</v>
      </c>
      <c r="F73" s="620">
        <f t="shared" si="92"/>
        <v>31799</v>
      </c>
      <c r="G73" s="620">
        <f t="shared" si="93"/>
        <v>6852</v>
      </c>
      <c r="H73" s="620">
        <f t="shared" si="94"/>
        <v>2850</v>
      </c>
      <c r="I73" s="620">
        <f t="shared" si="95"/>
        <v>580</v>
      </c>
      <c r="J73" s="621">
        <f t="shared" si="75"/>
        <v>3430</v>
      </c>
      <c r="K73" s="271">
        <f t="shared" si="76"/>
        <v>11349</v>
      </c>
      <c r="L73" s="620">
        <v>8389</v>
      </c>
      <c r="M73" s="620">
        <v>2113</v>
      </c>
      <c r="N73" s="620">
        <v>648</v>
      </c>
      <c r="O73" s="620">
        <v>199</v>
      </c>
      <c r="P73" s="620">
        <f t="shared" si="77"/>
        <v>847</v>
      </c>
      <c r="Q73" s="619">
        <f t="shared" si="78"/>
        <v>27297</v>
      </c>
      <c r="R73" s="620">
        <v>20626</v>
      </c>
      <c r="S73" s="620">
        <v>4349</v>
      </c>
      <c r="T73" s="620">
        <v>1950</v>
      </c>
      <c r="U73" s="620">
        <v>372</v>
      </c>
      <c r="V73" s="621">
        <f t="shared" si="79"/>
        <v>2322</v>
      </c>
      <c r="W73" s="619">
        <f t="shared" si="80"/>
        <v>3435</v>
      </c>
      <c r="X73" s="620">
        <v>2784</v>
      </c>
      <c r="Y73" s="620">
        <v>390</v>
      </c>
      <c r="Z73" s="620">
        <v>252</v>
      </c>
      <c r="AA73" s="620">
        <v>9</v>
      </c>
      <c r="AB73" s="621">
        <f t="shared" si="81"/>
        <v>261</v>
      </c>
      <c r="AC73" s="627">
        <f t="shared" si="82"/>
        <v>0.75566170005465649</v>
      </c>
      <c r="AD73" s="628">
        <f t="shared" si="83"/>
        <v>0.16282883011335281</v>
      </c>
      <c r="AE73" s="628">
        <f t="shared" si="84"/>
        <v>6.7726527411420837E-2</v>
      </c>
      <c r="AF73" s="628">
        <f t="shared" si="85"/>
        <v>1.3782942420569853E-2</v>
      </c>
      <c r="AG73" s="629">
        <f t="shared" si="86"/>
        <v>8.1509469831990686E-2</v>
      </c>
      <c r="AH73" s="627">
        <f t="shared" si="87"/>
        <v>0.26969416126042633</v>
      </c>
      <c r="AI73" s="628">
        <f t="shared" si="88"/>
        <v>0.64867755043844011</v>
      </c>
      <c r="AJ73" s="629">
        <f t="shared" si="89"/>
        <v>8.1628288301133528E-2</v>
      </c>
      <c r="AK73" s="619">
        <f t="shared" si="90"/>
        <v>14179</v>
      </c>
      <c r="AL73" s="620">
        <v>5067</v>
      </c>
      <c r="AM73" s="620">
        <v>8793</v>
      </c>
      <c r="AN73" s="621">
        <v>319</v>
      </c>
      <c r="AO73" s="272">
        <f t="shared" si="91"/>
        <v>0.33694541479527579</v>
      </c>
    </row>
    <row r="74" spans="1:41" x14ac:dyDescent="0.25">
      <c r="A74" s="270" t="s">
        <v>144</v>
      </c>
      <c r="B74" s="270" t="s">
        <v>145</v>
      </c>
      <c r="C74" s="270" t="s">
        <v>267</v>
      </c>
      <c r="D74" s="270">
        <v>1</v>
      </c>
      <c r="E74" s="619">
        <f t="shared" si="74"/>
        <v>15174</v>
      </c>
      <c r="F74" s="620">
        <f t="shared" si="92"/>
        <v>10815</v>
      </c>
      <c r="G74" s="620">
        <f t="shared" si="93"/>
        <v>2442</v>
      </c>
      <c r="H74" s="620">
        <f t="shared" si="94"/>
        <v>1712</v>
      </c>
      <c r="I74" s="620">
        <f t="shared" si="95"/>
        <v>205</v>
      </c>
      <c r="J74" s="621">
        <f t="shared" si="75"/>
        <v>1917</v>
      </c>
      <c r="K74" s="271">
        <f t="shared" si="76"/>
        <v>3774</v>
      </c>
      <c r="L74" s="620">
        <v>2738</v>
      </c>
      <c r="M74" s="620">
        <v>647</v>
      </c>
      <c r="N74" s="620">
        <v>344</v>
      </c>
      <c r="O74" s="620">
        <v>45</v>
      </c>
      <c r="P74" s="620">
        <f t="shared" si="77"/>
        <v>389</v>
      </c>
      <c r="Q74" s="619">
        <f t="shared" si="78"/>
        <v>10265</v>
      </c>
      <c r="R74" s="620">
        <v>7257</v>
      </c>
      <c r="S74" s="620">
        <v>1639</v>
      </c>
      <c r="T74" s="620">
        <v>1216</v>
      </c>
      <c r="U74" s="620">
        <v>153</v>
      </c>
      <c r="V74" s="621">
        <f t="shared" si="79"/>
        <v>1369</v>
      </c>
      <c r="W74" s="619">
        <f t="shared" si="80"/>
        <v>1135</v>
      </c>
      <c r="X74" s="620">
        <v>820</v>
      </c>
      <c r="Y74" s="620">
        <v>156</v>
      </c>
      <c r="Z74" s="620">
        <v>152</v>
      </c>
      <c r="AA74" s="620">
        <v>7</v>
      </c>
      <c r="AB74" s="621">
        <f t="shared" si="81"/>
        <v>159</v>
      </c>
      <c r="AC74" s="627">
        <f t="shared" si="82"/>
        <v>0.71273230525899567</v>
      </c>
      <c r="AD74" s="628">
        <f t="shared" si="83"/>
        <v>0.16093317516805061</v>
      </c>
      <c r="AE74" s="628">
        <f t="shared" si="84"/>
        <v>0.11282456834058258</v>
      </c>
      <c r="AF74" s="628">
        <f t="shared" si="85"/>
        <v>1.3509951232371161E-2</v>
      </c>
      <c r="AG74" s="629">
        <f t="shared" si="86"/>
        <v>0.12633451957295375</v>
      </c>
      <c r="AH74" s="627">
        <f t="shared" si="87"/>
        <v>0.2487149070778964</v>
      </c>
      <c r="AI74" s="628">
        <f t="shared" si="88"/>
        <v>0.67648609463556086</v>
      </c>
      <c r="AJ74" s="629">
        <f t="shared" si="89"/>
        <v>7.4798998286542767E-2</v>
      </c>
      <c r="AK74" s="619">
        <f t="shared" si="90"/>
        <v>5391</v>
      </c>
      <c r="AL74" s="620">
        <v>1747</v>
      </c>
      <c r="AM74" s="620">
        <v>3489</v>
      </c>
      <c r="AN74" s="621">
        <v>155</v>
      </c>
      <c r="AO74" s="272">
        <f t="shared" si="91"/>
        <v>0.3552787663107948</v>
      </c>
    </row>
    <row r="75" spans="1:41" x14ac:dyDescent="0.25">
      <c r="A75" s="270" t="s">
        <v>146</v>
      </c>
      <c r="B75" s="270" t="s">
        <v>147</v>
      </c>
      <c r="C75" s="270" t="s">
        <v>264</v>
      </c>
      <c r="D75" s="270">
        <v>1</v>
      </c>
      <c r="E75" s="619">
        <f t="shared" si="74"/>
        <v>8836</v>
      </c>
      <c r="F75" s="620">
        <f t="shared" si="92"/>
        <v>7881</v>
      </c>
      <c r="G75" s="620">
        <f t="shared" si="93"/>
        <v>844</v>
      </c>
      <c r="H75" s="620">
        <f t="shared" si="94"/>
        <v>87</v>
      </c>
      <c r="I75" s="620">
        <f t="shared" si="95"/>
        <v>24</v>
      </c>
      <c r="J75" s="621">
        <f t="shared" si="75"/>
        <v>111</v>
      </c>
      <c r="K75" s="271">
        <f t="shared" si="76"/>
        <v>1497</v>
      </c>
      <c r="L75" s="620">
        <v>1326</v>
      </c>
      <c r="M75" s="620">
        <v>146</v>
      </c>
      <c r="N75" s="620">
        <v>24</v>
      </c>
      <c r="O75" s="620">
        <v>1</v>
      </c>
      <c r="P75" s="620">
        <f t="shared" si="77"/>
        <v>25</v>
      </c>
      <c r="Q75" s="619">
        <f t="shared" si="78"/>
        <v>4843</v>
      </c>
      <c r="R75" s="620">
        <v>4297</v>
      </c>
      <c r="S75" s="620">
        <v>475</v>
      </c>
      <c r="T75" s="620">
        <v>52</v>
      </c>
      <c r="U75" s="620">
        <v>19</v>
      </c>
      <c r="V75" s="621">
        <f t="shared" si="79"/>
        <v>71</v>
      </c>
      <c r="W75" s="619">
        <f t="shared" si="80"/>
        <v>2496</v>
      </c>
      <c r="X75" s="620">
        <v>2258</v>
      </c>
      <c r="Y75" s="620">
        <v>223</v>
      </c>
      <c r="Z75" s="620">
        <v>11</v>
      </c>
      <c r="AA75" s="620">
        <v>4</v>
      </c>
      <c r="AB75" s="621">
        <f t="shared" si="81"/>
        <v>15</v>
      </c>
      <c r="AC75" s="627">
        <f t="shared" si="82"/>
        <v>0.89191942055228612</v>
      </c>
      <c r="AD75" s="628">
        <f t="shared" si="83"/>
        <v>9.5518334087822537E-2</v>
      </c>
      <c r="AE75" s="628">
        <f t="shared" si="84"/>
        <v>9.8460842009959262E-3</v>
      </c>
      <c r="AF75" s="628">
        <f t="shared" si="85"/>
        <v>2.716161158895428E-3</v>
      </c>
      <c r="AG75" s="629">
        <f t="shared" si="86"/>
        <v>1.2562245359891354E-2</v>
      </c>
      <c r="AH75" s="627">
        <f t="shared" si="87"/>
        <v>0.16942055228610231</v>
      </c>
      <c r="AI75" s="628">
        <f t="shared" si="88"/>
        <v>0.54809868718877319</v>
      </c>
      <c r="AJ75" s="629">
        <f t="shared" si="89"/>
        <v>0.2824807605251245</v>
      </c>
      <c r="AK75" s="619">
        <f t="shared" si="90"/>
        <v>185</v>
      </c>
      <c r="AL75" s="620">
        <v>76</v>
      </c>
      <c r="AM75" s="620">
        <v>94</v>
      </c>
      <c r="AN75" s="621">
        <v>15</v>
      </c>
      <c r="AO75" s="272">
        <f t="shared" si="91"/>
        <v>2.0937075599818923E-2</v>
      </c>
    </row>
    <row r="76" spans="1:41" x14ac:dyDescent="0.25">
      <c r="A76" s="270" t="s">
        <v>148</v>
      </c>
      <c r="B76" s="270" t="s">
        <v>149</v>
      </c>
      <c r="C76" s="270" t="s">
        <v>265</v>
      </c>
      <c r="D76" s="270">
        <v>2</v>
      </c>
      <c r="E76" s="619">
        <f t="shared" si="74"/>
        <v>31192</v>
      </c>
      <c r="F76" s="620">
        <f t="shared" si="92"/>
        <v>19612</v>
      </c>
      <c r="G76" s="620">
        <f t="shared" si="93"/>
        <v>11143</v>
      </c>
      <c r="H76" s="620">
        <f t="shared" si="94"/>
        <v>334</v>
      </c>
      <c r="I76" s="620">
        <f t="shared" si="95"/>
        <v>103</v>
      </c>
      <c r="J76" s="621">
        <f t="shared" si="75"/>
        <v>437</v>
      </c>
      <c r="K76" s="271">
        <f t="shared" si="76"/>
        <v>5961</v>
      </c>
      <c r="L76" s="620">
        <v>3345</v>
      </c>
      <c r="M76" s="620">
        <v>2487</v>
      </c>
      <c r="N76" s="620">
        <v>106</v>
      </c>
      <c r="O76" s="620">
        <v>23</v>
      </c>
      <c r="P76" s="620">
        <f t="shared" si="77"/>
        <v>129</v>
      </c>
      <c r="Q76" s="619">
        <f t="shared" si="78"/>
        <v>17794</v>
      </c>
      <c r="R76" s="620">
        <v>11021</v>
      </c>
      <c r="S76" s="620">
        <v>6530</v>
      </c>
      <c r="T76" s="620">
        <v>187</v>
      </c>
      <c r="U76" s="620">
        <v>56</v>
      </c>
      <c r="V76" s="621">
        <f t="shared" si="79"/>
        <v>243</v>
      </c>
      <c r="W76" s="619">
        <f t="shared" si="80"/>
        <v>7437</v>
      </c>
      <c r="X76" s="620">
        <v>5246</v>
      </c>
      <c r="Y76" s="620">
        <v>2126</v>
      </c>
      <c r="Z76" s="620">
        <v>41</v>
      </c>
      <c r="AA76" s="620">
        <v>24</v>
      </c>
      <c r="AB76" s="621">
        <f t="shared" si="81"/>
        <v>65</v>
      </c>
      <c r="AC76" s="627">
        <f t="shared" si="82"/>
        <v>0.62875096178507306</v>
      </c>
      <c r="AD76" s="628">
        <f t="shared" si="83"/>
        <v>0.35723903565016674</v>
      </c>
      <c r="AE76" s="628">
        <f t="shared" si="84"/>
        <v>1.070787381379841E-2</v>
      </c>
      <c r="AF76" s="628">
        <f t="shared" si="85"/>
        <v>3.302128750961785E-3</v>
      </c>
      <c r="AG76" s="629">
        <f t="shared" si="86"/>
        <v>1.4010002564760196E-2</v>
      </c>
      <c r="AH76" s="627">
        <f t="shared" si="87"/>
        <v>0.19110669402410874</v>
      </c>
      <c r="AI76" s="628">
        <f t="shared" si="88"/>
        <v>0.57046678635547576</v>
      </c>
      <c r="AJ76" s="629">
        <f t="shared" si="89"/>
        <v>0.2384265196204155</v>
      </c>
      <c r="AK76" s="619">
        <f t="shared" si="90"/>
        <v>830</v>
      </c>
      <c r="AL76" s="620">
        <v>262</v>
      </c>
      <c r="AM76" s="620">
        <v>500</v>
      </c>
      <c r="AN76" s="621">
        <v>68</v>
      </c>
      <c r="AO76" s="272">
        <f t="shared" si="91"/>
        <v>2.6609387022313413E-2</v>
      </c>
    </row>
    <row r="77" spans="1:41" x14ac:dyDescent="0.25">
      <c r="A77" s="270" t="s">
        <v>150</v>
      </c>
      <c r="B77" s="270" t="s">
        <v>151</v>
      </c>
      <c r="C77" s="270" t="s">
        <v>266</v>
      </c>
      <c r="D77" s="270">
        <v>1</v>
      </c>
      <c r="E77" s="619">
        <f t="shared" si="74"/>
        <v>10696</v>
      </c>
      <c r="F77" s="620">
        <f t="shared" si="92"/>
        <v>8616</v>
      </c>
      <c r="G77" s="620">
        <f t="shared" si="93"/>
        <v>1976</v>
      </c>
      <c r="H77" s="620">
        <f t="shared" si="94"/>
        <v>61</v>
      </c>
      <c r="I77" s="620">
        <f t="shared" si="95"/>
        <v>43</v>
      </c>
      <c r="J77" s="621">
        <f t="shared" si="75"/>
        <v>104</v>
      </c>
      <c r="K77" s="271">
        <f t="shared" si="76"/>
        <v>1673</v>
      </c>
      <c r="L77" s="620">
        <v>1303</v>
      </c>
      <c r="M77" s="620">
        <v>348</v>
      </c>
      <c r="N77" s="620">
        <v>13</v>
      </c>
      <c r="O77" s="620">
        <v>9</v>
      </c>
      <c r="P77" s="620">
        <f t="shared" si="77"/>
        <v>22</v>
      </c>
      <c r="Q77" s="619">
        <f t="shared" si="78"/>
        <v>5918</v>
      </c>
      <c r="R77" s="620">
        <v>4679</v>
      </c>
      <c r="S77" s="620">
        <v>1173</v>
      </c>
      <c r="T77" s="620">
        <v>36</v>
      </c>
      <c r="U77" s="620">
        <v>30</v>
      </c>
      <c r="V77" s="621">
        <f t="shared" si="79"/>
        <v>66</v>
      </c>
      <c r="W77" s="619">
        <f t="shared" si="80"/>
        <v>3105</v>
      </c>
      <c r="X77" s="620">
        <v>2634</v>
      </c>
      <c r="Y77" s="620">
        <v>455</v>
      </c>
      <c r="Z77" s="620">
        <v>12</v>
      </c>
      <c r="AA77" s="620">
        <v>4</v>
      </c>
      <c r="AB77" s="621">
        <f t="shared" si="81"/>
        <v>16</v>
      </c>
      <c r="AC77" s="627">
        <f t="shared" si="82"/>
        <v>0.80553477935676887</v>
      </c>
      <c r="AD77" s="628">
        <f t="shared" si="83"/>
        <v>0.18474195961106957</v>
      </c>
      <c r="AE77" s="628">
        <f t="shared" si="84"/>
        <v>5.7030665669409123E-3</v>
      </c>
      <c r="AF77" s="628">
        <f t="shared" si="85"/>
        <v>4.0201944652206436E-3</v>
      </c>
      <c r="AG77" s="629">
        <f t="shared" si="86"/>
        <v>9.7232610321615551E-3</v>
      </c>
      <c r="AH77" s="627">
        <f t="shared" si="87"/>
        <v>0.15641361256544503</v>
      </c>
      <c r="AI77" s="628">
        <f t="shared" si="88"/>
        <v>0.55329094988780858</v>
      </c>
      <c r="AJ77" s="629">
        <f t="shared" si="89"/>
        <v>0.29029543754674647</v>
      </c>
      <c r="AK77" s="619">
        <f t="shared" si="90"/>
        <v>233</v>
      </c>
      <c r="AL77" s="620">
        <v>65</v>
      </c>
      <c r="AM77" s="620">
        <v>151</v>
      </c>
      <c r="AN77" s="621">
        <v>17</v>
      </c>
      <c r="AO77" s="272">
        <f t="shared" si="91"/>
        <v>2.1783844427823485E-2</v>
      </c>
    </row>
    <row r="78" spans="1:41" x14ac:dyDescent="0.25">
      <c r="A78" s="270" t="s">
        <v>152</v>
      </c>
      <c r="B78" s="270" t="s">
        <v>153</v>
      </c>
      <c r="C78" s="270" t="s">
        <v>268</v>
      </c>
      <c r="D78" s="270">
        <v>2</v>
      </c>
      <c r="E78" s="619">
        <f t="shared" si="74"/>
        <v>97244</v>
      </c>
      <c r="F78" s="620">
        <f t="shared" si="92"/>
        <v>86256</v>
      </c>
      <c r="G78" s="620">
        <f t="shared" si="93"/>
        <v>4561</v>
      </c>
      <c r="H78" s="620">
        <f t="shared" si="94"/>
        <v>6112</v>
      </c>
      <c r="I78" s="620">
        <f t="shared" si="95"/>
        <v>315</v>
      </c>
      <c r="J78" s="621">
        <f t="shared" si="75"/>
        <v>6427</v>
      </c>
      <c r="K78" s="271">
        <f t="shared" si="76"/>
        <v>15557</v>
      </c>
      <c r="L78" s="620">
        <v>13736</v>
      </c>
      <c r="M78" s="620">
        <v>860</v>
      </c>
      <c r="N78" s="620">
        <v>904</v>
      </c>
      <c r="O78" s="620">
        <v>57</v>
      </c>
      <c r="P78" s="620">
        <f t="shared" si="77"/>
        <v>961</v>
      </c>
      <c r="Q78" s="619">
        <f t="shared" si="78"/>
        <v>71000</v>
      </c>
      <c r="R78" s="620">
        <v>62328</v>
      </c>
      <c r="S78" s="620">
        <v>3400</v>
      </c>
      <c r="T78" s="620">
        <v>5030</v>
      </c>
      <c r="U78" s="620">
        <v>242</v>
      </c>
      <c r="V78" s="621">
        <f t="shared" si="79"/>
        <v>5272</v>
      </c>
      <c r="W78" s="619">
        <f t="shared" si="80"/>
        <v>10687</v>
      </c>
      <c r="X78" s="620">
        <v>10192</v>
      </c>
      <c r="Y78" s="620">
        <v>301</v>
      </c>
      <c r="Z78" s="620">
        <v>178</v>
      </c>
      <c r="AA78" s="620">
        <v>16</v>
      </c>
      <c r="AB78" s="621">
        <f t="shared" si="81"/>
        <v>194</v>
      </c>
      <c r="AC78" s="627">
        <f t="shared" si="82"/>
        <v>0.88700588211097853</v>
      </c>
      <c r="AD78" s="628">
        <f t="shared" si="83"/>
        <v>4.6902636666529551E-2</v>
      </c>
      <c r="AE78" s="628">
        <f t="shared" si="84"/>
        <v>6.285220681995804E-2</v>
      </c>
      <c r="AF78" s="628">
        <f t="shared" si="85"/>
        <v>3.2392744025338325E-3</v>
      </c>
      <c r="AG78" s="629">
        <f t="shared" si="86"/>
        <v>6.609148122249188E-2</v>
      </c>
      <c r="AH78" s="627">
        <f t="shared" si="87"/>
        <v>0.15997902184196455</v>
      </c>
      <c r="AI78" s="628">
        <f t="shared" si="88"/>
        <v>0.73012216692032417</v>
      </c>
      <c r="AJ78" s="629">
        <f t="shared" si="89"/>
        <v>0.10989881123771132</v>
      </c>
      <c r="AK78" s="619">
        <f t="shared" si="90"/>
        <v>2942</v>
      </c>
      <c r="AL78" s="620">
        <v>601</v>
      </c>
      <c r="AM78" s="620">
        <v>2253</v>
      </c>
      <c r="AN78" s="621">
        <v>88</v>
      </c>
      <c r="AO78" s="272">
        <f t="shared" si="91"/>
        <v>3.0253794578585826E-2</v>
      </c>
    </row>
    <row r="79" spans="1:41" x14ac:dyDescent="0.25">
      <c r="A79" s="270" t="s">
        <v>154</v>
      </c>
      <c r="B79" s="270" t="s">
        <v>155</v>
      </c>
      <c r="C79" s="270" t="s">
        <v>265</v>
      </c>
      <c r="D79" s="270">
        <v>1</v>
      </c>
      <c r="E79" s="619">
        <f t="shared" si="74"/>
        <v>14850</v>
      </c>
      <c r="F79" s="620">
        <f t="shared" si="92"/>
        <v>12699</v>
      </c>
      <c r="G79" s="620">
        <f t="shared" si="93"/>
        <v>1974</v>
      </c>
      <c r="H79" s="620">
        <f t="shared" si="94"/>
        <v>103</v>
      </c>
      <c r="I79" s="620">
        <f t="shared" si="95"/>
        <v>74</v>
      </c>
      <c r="J79" s="621">
        <f t="shared" si="75"/>
        <v>177</v>
      </c>
      <c r="K79" s="271">
        <f t="shared" si="76"/>
        <v>2787</v>
      </c>
      <c r="L79" s="620">
        <v>2321</v>
      </c>
      <c r="M79" s="620">
        <v>422</v>
      </c>
      <c r="N79" s="620">
        <v>27</v>
      </c>
      <c r="O79" s="620">
        <v>17</v>
      </c>
      <c r="P79" s="620">
        <f t="shared" si="77"/>
        <v>44</v>
      </c>
      <c r="Q79" s="619">
        <f t="shared" si="78"/>
        <v>8544</v>
      </c>
      <c r="R79" s="620">
        <v>7307</v>
      </c>
      <c r="S79" s="620">
        <v>1116</v>
      </c>
      <c r="T79" s="620">
        <v>67</v>
      </c>
      <c r="U79" s="620">
        <v>54</v>
      </c>
      <c r="V79" s="621">
        <f t="shared" si="79"/>
        <v>121</v>
      </c>
      <c r="W79" s="619">
        <f t="shared" si="80"/>
        <v>3519</v>
      </c>
      <c r="X79" s="620">
        <v>3071</v>
      </c>
      <c r="Y79" s="620">
        <v>436</v>
      </c>
      <c r="Z79" s="620">
        <v>9</v>
      </c>
      <c r="AA79" s="620">
        <v>3</v>
      </c>
      <c r="AB79" s="621">
        <f t="shared" si="81"/>
        <v>12</v>
      </c>
      <c r="AC79" s="627">
        <f t="shared" si="82"/>
        <v>0.85515151515151511</v>
      </c>
      <c r="AD79" s="628">
        <f t="shared" si="83"/>
        <v>0.13292929292929292</v>
      </c>
      <c r="AE79" s="628">
        <f t="shared" si="84"/>
        <v>6.9360269360269362E-3</v>
      </c>
      <c r="AF79" s="628">
        <f t="shared" si="85"/>
        <v>4.9831649831649834E-3</v>
      </c>
      <c r="AG79" s="629">
        <f t="shared" si="86"/>
        <v>1.191919191919192E-2</v>
      </c>
      <c r="AH79" s="627">
        <f t="shared" si="87"/>
        <v>0.18767676767676766</v>
      </c>
      <c r="AI79" s="628">
        <f t="shared" si="88"/>
        <v>0.57535353535353539</v>
      </c>
      <c r="AJ79" s="629">
        <f t="shared" si="89"/>
        <v>0.23696969696969697</v>
      </c>
      <c r="AK79" s="619">
        <f t="shared" si="90"/>
        <v>514</v>
      </c>
      <c r="AL79" s="620">
        <v>185</v>
      </c>
      <c r="AM79" s="620">
        <v>296</v>
      </c>
      <c r="AN79" s="621">
        <v>33</v>
      </c>
      <c r="AO79" s="272">
        <f t="shared" si="91"/>
        <v>3.4612794612794616E-2</v>
      </c>
    </row>
    <row r="80" spans="1:41" x14ac:dyDescent="0.25">
      <c r="A80" s="270" t="s">
        <v>156</v>
      </c>
      <c r="B80" s="270" t="s">
        <v>157</v>
      </c>
      <c r="C80" s="270" t="s">
        <v>266</v>
      </c>
      <c r="D80" s="270">
        <v>1</v>
      </c>
      <c r="E80" s="619">
        <f t="shared" si="74"/>
        <v>20021</v>
      </c>
      <c r="F80" s="620">
        <f t="shared" si="92"/>
        <v>16669</v>
      </c>
      <c r="G80" s="620">
        <f t="shared" si="93"/>
        <v>2879</v>
      </c>
      <c r="H80" s="620">
        <f t="shared" si="94"/>
        <v>261</v>
      </c>
      <c r="I80" s="620">
        <f t="shared" si="95"/>
        <v>212</v>
      </c>
      <c r="J80" s="621">
        <f t="shared" si="75"/>
        <v>473</v>
      </c>
      <c r="K80" s="271">
        <f t="shared" si="76"/>
        <v>4175</v>
      </c>
      <c r="L80" s="620">
        <v>3497</v>
      </c>
      <c r="M80" s="620">
        <v>563</v>
      </c>
      <c r="N80" s="620">
        <v>75</v>
      </c>
      <c r="O80" s="620">
        <v>40</v>
      </c>
      <c r="P80" s="620">
        <f t="shared" si="77"/>
        <v>115</v>
      </c>
      <c r="Q80" s="619">
        <f t="shared" si="78"/>
        <v>12828</v>
      </c>
      <c r="R80" s="620">
        <v>10651</v>
      </c>
      <c r="S80" s="620">
        <v>1876</v>
      </c>
      <c r="T80" s="620">
        <v>157</v>
      </c>
      <c r="U80" s="620">
        <v>144</v>
      </c>
      <c r="V80" s="621">
        <f t="shared" si="79"/>
        <v>301</v>
      </c>
      <c r="W80" s="619">
        <f t="shared" si="80"/>
        <v>3018</v>
      </c>
      <c r="X80" s="620">
        <v>2521</v>
      </c>
      <c r="Y80" s="620">
        <v>440</v>
      </c>
      <c r="Z80" s="620">
        <v>29</v>
      </c>
      <c r="AA80" s="620">
        <v>28</v>
      </c>
      <c r="AB80" s="621">
        <f t="shared" si="81"/>
        <v>57</v>
      </c>
      <c r="AC80" s="627">
        <f t="shared" si="82"/>
        <v>0.83257579541481441</v>
      </c>
      <c r="AD80" s="628">
        <f t="shared" si="83"/>
        <v>0.14379901103840967</v>
      </c>
      <c r="AE80" s="628">
        <f t="shared" si="84"/>
        <v>1.3036311872533839E-2</v>
      </c>
      <c r="AF80" s="628">
        <f t="shared" si="85"/>
        <v>1.0588881674242046E-2</v>
      </c>
      <c r="AG80" s="629">
        <f t="shared" si="86"/>
        <v>2.3625193546775884E-2</v>
      </c>
      <c r="AH80" s="627">
        <f t="shared" si="87"/>
        <v>0.20853104240547427</v>
      </c>
      <c r="AI80" s="628">
        <f t="shared" si="88"/>
        <v>0.64072723640177809</v>
      </c>
      <c r="AJ80" s="629">
        <f t="shared" si="89"/>
        <v>0.15074172119274762</v>
      </c>
      <c r="AK80" s="619">
        <f t="shared" si="90"/>
        <v>511</v>
      </c>
      <c r="AL80" s="620">
        <v>152</v>
      </c>
      <c r="AM80" s="620">
        <v>329</v>
      </c>
      <c r="AN80" s="621">
        <v>30</v>
      </c>
      <c r="AO80" s="272">
        <f t="shared" si="91"/>
        <v>2.5523200639328704E-2</v>
      </c>
    </row>
    <row r="81" spans="1:41" x14ac:dyDescent="0.25">
      <c r="A81" s="270" t="s">
        <v>158</v>
      </c>
      <c r="B81" s="270" t="s">
        <v>159</v>
      </c>
      <c r="C81" s="270" t="s">
        <v>264</v>
      </c>
      <c r="D81" s="270">
        <v>3</v>
      </c>
      <c r="E81" s="619">
        <f t="shared" si="74"/>
        <v>182965</v>
      </c>
      <c r="F81" s="620">
        <f t="shared" si="92"/>
        <v>95730</v>
      </c>
      <c r="G81" s="620">
        <f t="shared" si="93"/>
        <v>78658</v>
      </c>
      <c r="H81" s="620">
        <f t="shared" si="94"/>
        <v>7258</v>
      </c>
      <c r="I81" s="620">
        <f t="shared" si="95"/>
        <v>1319</v>
      </c>
      <c r="J81" s="621">
        <f t="shared" si="75"/>
        <v>8577</v>
      </c>
      <c r="K81" s="271">
        <f t="shared" si="76"/>
        <v>42974</v>
      </c>
      <c r="L81" s="620">
        <v>18683</v>
      </c>
      <c r="M81" s="620">
        <v>22447</v>
      </c>
      <c r="N81" s="620">
        <v>1541</v>
      </c>
      <c r="O81" s="620">
        <v>303</v>
      </c>
      <c r="P81" s="620">
        <f t="shared" si="77"/>
        <v>1844</v>
      </c>
      <c r="Q81" s="619">
        <f t="shared" si="78"/>
        <v>118719</v>
      </c>
      <c r="R81" s="620">
        <v>63112</v>
      </c>
      <c r="S81" s="620">
        <v>49778</v>
      </c>
      <c r="T81" s="620">
        <v>4925</v>
      </c>
      <c r="U81" s="620">
        <v>904</v>
      </c>
      <c r="V81" s="621">
        <f t="shared" si="79"/>
        <v>5829</v>
      </c>
      <c r="W81" s="619">
        <f t="shared" si="80"/>
        <v>21272</v>
      </c>
      <c r="X81" s="620">
        <v>13935</v>
      </c>
      <c r="Y81" s="620">
        <v>6433</v>
      </c>
      <c r="Z81" s="620">
        <v>792</v>
      </c>
      <c r="AA81" s="620">
        <v>112</v>
      </c>
      <c r="AB81" s="621">
        <f t="shared" si="81"/>
        <v>904</v>
      </c>
      <c r="AC81" s="627">
        <f t="shared" si="82"/>
        <v>0.52321482250703688</v>
      </c>
      <c r="AD81" s="628">
        <f t="shared" si="83"/>
        <v>0.42990735933101959</v>
      </c>
      <c r="AE81" s="628">
        <f t="shared" si="84"/>
        <v>3.9668789112671819E-2</v>
      </c>
      <c r="AF81" s="628">
        <f t="shared" si="85"/>
        <v>7.2090290492717183E-3</v>
      </c>
      <c r="AG81" s="629">
        <f t="shared" si="86"/>
        <v>4.6877818161943544E-2</v>
      </c>
      <c r="AH81" s="627">
        <f t="shared" si="87"/>
        <v>0.23487552264094225</v>
      </c>
      <c r="AI81" s="628">
        <f t="shared" si="88"/>
        <v>0.64886180417019645</v>
      </c>
      <c r="AJ81" s="629">
        <f t="shared" si="89"/>
        <v>0.11626267318886126</v>
      </c>
      <c r="AK81" s="619">
        <f t="shared" si="90"/>
        <v>15515</v>
      </c>
      <c r="AL81" s="620">
        <v>5014</v>
      </c>
      <c r="AM81" s="620">
        <v>9952</v>
      </c>
      <c r="AN81" s="621">
        <v>549</v>
      </c>
      <c r="AO81" s="272">
        <f t="shared" si="91"/>
        <v>8.4797638892684393E-2</v>
      </c>
    </row>
    <row r="82" spans="1:41" x14ac:dyDescent="0.25">
      <c r="A82" s="270" t="s">
        <v>160</v>
      </c>
      <c r="B82" s="270" t="s">
        <v>161</v>
      </c>
      <c r="C82" s="270" t="s">
        <v>264</v>
      </c>
      <c r="D82" s="270">
        <v>3</v>
      </c>
      <c r="E82" s="619">
        <f t="shared" si="74"/>
        <v>245428</v>
      </c>
      <c r="F82" s="620">
        <f t="shared" si="92"/>
        <v>123797</v>
      </c>
      <c r="G82" s="620">
        <f t="shared" si="93"/>
        <v>108720</v>
      </c>
      <c r="H82" s="620">
        <f t="shared" si="94"/>
        <v>10914</v>
      </c>
      <c r="I82" s="620">
        <f t="shared" si="95"/>
        <v>1997</v>
      </c>
      <c r="J82" s="621">
        <f t="shared" si="75"/>
        <v>12911</v>
      </c>
      <c r="K82" s="271">
        <f t="shared" si="76"/>
        <v>49895</v>
      </c>
      <c r="L82" s="620">
        <v>20261</v>
      </c>
      <c r="M82" s="620">
        <v>27278</v>
      </c>
      <c r="N82" s="620">
        <v>1970</v>
      </c>
      <c r="O82" s="620">
        <v>386</v>
      </c>
      <c r="P82" s="620">
        <f t="shared" si="77"/>
        <v>2356</v>
      </c>
      <c r="Q82" s="619">
        <f t="shared" si="78"/>
        <v>171132</v>
      </c>
      <c r="R82" s="620">
        <v>89511</v>
      </c>
      <c r="S82" s="620">
        <v>72290</v>
      </c>
      <c r="T82" s="620">
        <v>7838</v>
      </c>
      <c r="U82" s="620">
        <v>1493</v>
      </c>
      <c r="V82" s="621">
        <f t="shared" si="79"/>
        <v>9331</v>
      </c>
      <c r="W82" s="619">
        <f t="shared" si="80"/>
        <v>24401</v>
      </c>
      <c r="X82" s="620">
        <v>14025</v>
      </c>
      <c r="Y82" s="620">
        <v>9152</v>
      </c>
      <c r="Z82" s="620">
        <v>1106</v>
      </c>
      <c r="AA82" s="620">
        <v>118</v>
      </c>
      <c r="AB82" s="621">
        <f t="shared" si="81"/>
        <v>1224</v>
      </c>
      <c r="AC82" s="627">
        <f t="shared" si="82"/>
        <v>0.50441269944749578</v>
      </c>
      <c r="AD82" s="628">
        <f t="shared" si="83"/>
        <v>0.44298124093420471</v>
      </c>
      <c r="AE82" s="628">
        <f t="shared" si="84"/>
        <v>4.4469253711882914E-2</v>
      </c>
      <c r="AF82" s="628">
        <f t="shared" si="85"/>
        <v>8.1368059064165464E-3</v>
      </c>
      <c r="AG82" s="629">
        <f t="shared" si="86"/>
        <v>5.2606059618299464E-2</v>
      </c>
      <c r="AH82" s="627">
        <f t="shared" si="87"/>
        <v>0.20329791221865476</v>
      </c>
      <c r="AI82" s="628">
        <f t="shared" si="88"/>
        <v>0.69727985396939229</v>
      </c>
      <c r="AJ82" s="629">
        <f t="shared" si="89"/>
        <v>9.942223381195299E-2</v>
      </c>
      <c r="AK82" s="619">
        <f t="shared" si="90"/>
        <v>18289</v>
      </c>
      <c r="AL82" s="620">
        <v>4598</v>
      </c>
      <c r="AM82" s="620">
        <v>13195</v>
      </c>
      <c r="AN82" s="621">
        <v>496</v>
      </c>
      <c r="AO82" s="272">
        <f t="shared" si="91"/>
        <v>7.4518799810942518E-2</v>
      </c>
    </row>
    <row r="83" spans="1:41" x14ac:dyDescent="0.25">
      <c r="A83" s="270" t="s">
        <v>162</v>
      </c>
      <c r="B83" s="270" t="s">
        <v>163</v>
      </c>
      <c r="C83" s="270" t="s">
        <v>264</v>
      </c>
      <c r="D83" s="270">
        <v>2</v>
      </c>
      <c r="E83" s="619">
        <f t="shared" si="74"/>
        <v>12121</v>
      </c>
      <c r="F83" s="620">
        <f t="shared" si="92"/>
        <v>7564</v>
      </c>
      <c r="G83" s="620">
        <f t="shared" si="93"/>
        <v>4383</v>
      </c>
      <c r="H83" s="620">
        <f t="shared" si="94"/>
        <v>134</v>
      </c>
      <c r="I83" s="620">
        <f t="shared" si="95"/>
        <v>40</v>
      </c>
      <c r="J83" s="621">
        <f t="shared" si="75"/>
        <v>174</v>
      </c>
      <c r="K83" s="271">
        <f t="shared" si="76"/>
        <v>2418</v>
      </c>
      <c r="L83" s="620">
        <v>1379</v>
      </c>
      <c r="M83" s="620">
        <v>998</v>
      </c>
      <c r="N83" s="620">
        <v>31</v>
      </c>
      <c r="O83" s="620">
        <v>10</v>
      </c>
      <c r="P83" s="620">
        <f t="shared" si="77"/>
        <v>41</v>
      </c>
      <c r="Q83" s="619">
        <f t="shared" si="78"/>
        <v>6745</v>
      </c>
      <c r="R83" s="620">
        <v>4143</v>
      </c>
      <c r="S83" s="620">
        <v>2494</v>
      </c>
      <c r="T83" s="620">
        <v>86</v>
      </c>
      <c r="U83" s="620">
        <v>22</v>
      </c>
      <c r="V83" s="621">
        <f t="shared" si="79"/>
        <v>108</v>
      </c>
      <c r="W83" s="619">
        <f t="shared" si="80"/>
        <v>2958</v>
      </c>
      <c r="X83" s="620">
        <v>2042</v>
      </c>
      <c r="Y83" s="620">
        <v>891</v>
      </c>
      <c r="Z83" s="620">
        <v>17</v>
      </c>
      <c r="AA83" s="620">
        <v>8</v>
      </c>
      <c r="AB83" s="621">
        <f t="shared" si="81"/>
        <v>25</v>
      </c>
      <c r="AC83" s="627">
        <f t="shared" si="82"/>
        <v>0.6240409207161125</v>
      </c>
      <c r="AD83" s="628">
        <f t="shared" si="83"/>
        <v>0.36160382806699115</v>
      </c>
      <c r="AE83" s="628">
        <f t="shared" si="84"/>
        <v>1.1055193465885653E-2</v>
      </c>
      <c r="AF83" s="628">
        <f t="shared" si="85"/>
        <v>3.3000577510106429E-3</v>
      </c>
      <c r="AG83" s="629">
        <f t="shared" si="86"/>
        <v>1.4355251216896295E-2</v>
      </c>
      <c r="AH83" s="627">
        <f t="shared" si="87"/>
        <v>0.19948849104859334</v>
      </c>
      <c r="AI83" s="628">
        <f t="shared" si="88"/>
        <v>0.55647223826416958</v>
      </c>
      <c r="AJ83" s="629">
        <f t="shared" si="89"/>
        <v>0.24403927068723702</v>
      </c>
      <c r="AK83" s="619">
        <f t="shared" si="90"/>
        <v>1031</v>
      </c>
      <c r="AL83" s="620">
        <v>420</v>
      </c>
      <c r="AM83" s="620">
        <v>573</v>
      </c>
      <c r="AN83" s="621">
        <v>38</v>
      </c>
      <c r="AO83" s="272">
        <f t="shared" si="91"/>
        <v>8.5058988532299318E-2</v>
      </c>
    </row>
    <row r="84" spans="1:41" x14ac:dyDescent="0.25">
      <c r="A84" s="270" t="s">
        <v>164</v>
      </c>
      <c r="B84" s="270" t="s">
        <v>165</v>
      </c>
      <c r="C84" s="270" t="s">
        <v>266</v>
      </c>
      <c r="D84" s="270">
        <v>1</v>
      </c>
      <c r="E84" s="619">
        <f t="shared" si="74"/>
        <v>12251</v>
      </c>
      <c r="F84" s="620">
        <f t="shared" si="92"/>
        <v>9068</v>
      </c>
      <c r="G84" s="620">
        <f t="shared" si="93"/>
        <v>3104</v>
      </c>
      <c r="H84" s="620">
        <f t="shared" si="94"/>
        <v>54</v>
      </c>
      <c r="I84" s="620">
        <f t="shared" si="95"/>
        <v>25</v>
      </c>
      <c r="J84" s="621">
        <f t="shared" si="75"/>
        <v>79</v>
      </c>
      <c r="K84" s="271">
        <f t="shared" si="76"/>
        <v>1945</v>
      </c>
      <c r="L84" s="620">
        <v>1186</v>
      </c>
      <c r="M84" s="620">
        <v>744</v>
      </c>
      <c r="N84" s="620">
        <v>11</v>
      </c>
      <c r="O84" s="620">
        <v>4</v>
      </c>
      <c r="P84" s="620">
        <f t="shared" si="77"/>
        <v>15</v>
      </c>
      <c r="Q84" s="619">
        <f t="shared" si="78"/>
        <v>6107</v>
      </c>
      <c r="R84" s="620">
        <v>4306</v>
      </c>
      <c r="S84" s="620">
        <v>1752</v>
      </c>
      <c r="T84" s="620">
        <v>34</v>
      </c>
      <c r="U84" s="620">
        <v>15</v>
      </c>
      <c r="V84" s="621">
        <f t="shared" si="79"/>
        <v>49</v>
      </c>
      <c r="W84" s="619">
        <f t="shared" si="80"/>
        <v>4199</v>
      </c>
      <c r="X84" s="620">
        <v>3576</v>
      </c>
      <c r="Y84" s="620">
        <v>608</v>
      </c>
      <c r="Z84" s="620">
        <v>9</v>
      </c>
      <c r="AA84" s="620">
        <v>6</v>
      </c>
      <c r="AB84" s="621">
        <f t="shared" si="81"/>
        <v>15</v>
      </c>
      <c r="AC84" s="627">
        <f t="shared" si="82"/>
        <v>0.74018447473675619</v>
      </c>
      <c r="AD84" s="628">
        <f t="shared" si="83"/>
        <v>0.25336707207574893</v>
      </c>
      <c r="AE84" s="628">
        <f t="shared" si="84"/>
        <v>4.4078034446167662E-3</v>
      </c>
      <c r="AF84" s="628">
        <f t="shared" si="85"/>
        <v>2.0406497428781326E-3</v>
      </c>
      <c r="AG84" s="629">
        <f t="shared" si="86"/>
        <v>6.4484531874948988E-3</v>
      </c>
      <c r="AH84" s="627">
        <f t="shared" si="87"/>
        <v>0.15876254999591871</v>
      </c>
      <c r="AI84" s="628">
        <f t="shared" si="88"/>
        <v>0.49848991919027019</v>
      </c>
      <c r="AJ84" s="629">
        <f t="shared" si="89"/>
        <v>0.3427475308138111</v>
      </c>
      <c r="AK84" s="619">
        <f t="shared" si="90"/>
        <v>445</v>
      </c>
      <c r="AL84" s="620">
        <v>121</v>
      </c>
      <c r="AM84" s="620">
        <v>297</v>
      </c>
      <c r="AN84" s="621">
        <v>27</v>
      </c>
      <c r="AO84" s="272">
        <f t="shared" si="91"/>
        <v>3.6323565423230758E-2</v>
      </c>
    </row>
    <row r="85" spans="1:41" x14ac:dyDescent="0.25">
      <c r="A85" s="270" t="s">
        <v>166</v>
      </c>
      <c r="B85" s="270" t="s">
        <v>167</v>
      </c>
      <c r="C85" s="270" t="s">
        <v>268</v>
      </c>
      <c r="D85" s="270">
        <v>1</v>
      </c>
      <c r="E85" s="619">
        <f t="shared" si="74"/>
        <v>4031</v>
      </c>
      <c r="F85" s="620">
        <f t="shared" si="92"/>
        <v>3640</v>
      </c>
      <c r="G85" s="620">
        <f t="shared" si="93"/>
        <v>315</v>
      </c>
      <c r="H85" s="620">
        <f t="shared" si="94"/>
        <v>63</v>
      </c>
      <c r="I85" s="620">
        <f t="shared" si="95"/>
        <v>13</v>
      </c>
      <c r="J85" s="621">
        <f t="shared" si="75"/>
        <v>76</v>
      </c>
      <c r="K85" s="271">
        <f t="shared" si="76"/>
        <v>923</v>
      </c>
      <c r="L85" s="620">
        <v>809</v>
      </c>
      <c r="M85" s="620">
        <v>106</v>
      </c>
      <c r="N85" s="620">
        <v>7</v>
      </c>
      <c r="O85" s="620">
        <v>1</v>
      </c>
      <c r="P85" s="620">
        <f t="shared" si="77"/>
        <v>8</v>
      </c>
      <c r="Q85" s="619">
        <f t="shared" si="78"/>
        <v>2513</v>
      </c>
      <c r="R85" s="620">
        <v>2273</v>
      </c>
      <c r="S85" s="620">
        <v>181</v>
      </c>
      <c r="T85" s="620">
        <v>48</v>
      </c>
      <c r="U85" s="620">
        <v>11</v>
      </c>
      <c r="V85" s="621">
        <f t="shared" si="79"/>
        <v>59</v>
      </c>
      <c r="W85" s="619">
        <f t="shared" si="80"/>
        <v>595</v>
      </c>
      <c r="X85" s="620">
        <v>558</v>
      </c>
      <c r="Y85" s="620">
        <v>28</v>
      </c>
      <c r="Z85" s="620">
        <v>8</v>
      </c>
      <c r="AA85" s="620">
        <v>1</v>
      </c>
      <c r="AB85" s="621">
        <f t="shared" si="81"/>
        <v>9</v>
      </c>
      <c r="AC85" s="627">
        <f t="shared" si="82"/>
        <v>0.90300173654180105</v>
      </c>
      <c r="AD85" s="628">
        <f t="shared" si="83"/>
        <v>7.8144381046886632E-2</v>
      </c>
      <c r="AE85" s="628">
        <f t="shared" si="84"/>
        <v>1.5628876209377324E-2</v>
      </c>
      <c r="AF85" s="628">
        <f t="shared" si="85"/>
        <v>3.2250062019350038E-3</v>
      </c>
      <c r="AG85" s="629">
        <f t="shared" si="86"/>
        <v>1.885388241131233E-2</v>
      </c>
      <c r="AH85" s="627">
        <f t="shared" si="87"/>
        <v>0.22897544033738526</v>
      </c>
      <c r="AI85" s="628">
        <f t="shared" si="88"/>
        <v>0.62341850657405107</v>
      </c>
      <c r="AJ85" s="629">
        <f t="shared" si="89"/>
        <v>0.14760605308856364</v>
      </c>
      <c r="AK85" s="619">
        <f t="shared" si="90"/>
        <v>132</v>
      </c>
      <c r="AL85" s="620">
        <v>32</v>
      </c>
      <c r="AM85" s="620">
        <v>95</v>
      </c>
      <c r="AN85" s="621">
        <v>5</v>
      </c>
      <c r="AO85" s="272">
        <f t="shared" si="91"/>
        <v>3.2746216819647733E-2</v>
      </c>
    </row>
    <row r="86" spans="1:41" x14ac:dyDescent="0.25">
      <c r="A86" s="270" t="s">
        <v>168</v>
      </c>
      <c r="B86" s="270" t="s">
        <v>169</v>
      </c>
      <c r="C86" s="270" t="s">
        <v>266</v>
      </c>
      <c r="D86" s="270">
        <v>1</v>
      </c>
      <c r="E86" s="619">
        <f t="shared" si="74"/>
        <v>15579</v>
      </c>
      <c r="F86" s="620">
        <f t="shared" si="92"/>
        <v>9121</v>
      </c>
      <c r="G86" s="620">
        <f t="shared" si="93"/>
        <v>6261</v>
      </c>
      <c r="H86" s="620">
        <f t="shared" si="94"/>
        <v>81</v>
      </c>
      <c r="I86" s="620">
        <f t="shared" si="95"/>
        <v>116</v>
      </c>
      <c r="J86" s="621">
        <f t="shared" si="75"/>
        <v>197</v>
      </c>
      <c r="K86" s="271">
        <f t="shared" si="76"/>
        <v>3174</v>
      </c>
      <c r="L86" s="620">
        <v>1851</v>
      </c>
      <c r="M86" s="620">
        <v>1269</v>
      </c>
      <c r="N86" s="620">
        <v>20</v>
      </c>
      <c r="O86" s="620">
        <v>34</v>
      </c>
      <c r="P86" s="620">
        <f t="shared" si="77"/>
        <v>54</v>
      </c>
      <c r="Q86" s="619">
        <f t="shared" si="78"/>
        <v>9548</v>
      </c>
      <c r="R86" s="620">
        <v>5441</v>
      </c>
      <c r="S86" s="620">
        <v>3977</v>
      </c>
      <c r="T86" s="620">
        <v>55</v>
      </c>
      <c r="U86" s="620">
        <v>75</v>
      </c>
      <c r="V86" s="621">
        <f t="shared" si="79"/>
        <v>130</v>
      </c>
      <c r="W86" s="619">
        <f t="shared" si="80"/>
        <v>2857</v>
      </c>
      <c r="X86" s="620">
        <v>1829</v>
      </c>
      <c r="Y86" s="620">
        <v>1015</v>
      </c>
      <c r="Z86" s="620">
        <v>6</v>
      </c>
      <c r="AA86" s="620">
        <v>7</v>
      </c>
      <c r="AB86" s="621">
        <f t="shared" si="81"/>
        <v>13</v>
      </c>
      <c r="AC86" s="627">
        <f t="shared" si="82"/>
        <v>0.58546761666345726</v>
      </c>
      <c r="AD86" s="628">
        <f t="shared" si="83"/>
        <v>0.40188715578663586</v>
      </c>
      <c r="AE86" s="628">
        <f t="shared" si="84"/>
        <v>5.1993067590987872E-3</v>
      </c>
      <c r="AF86" s="628">
        <f t="shared" si="85"/>
        <v>7.4459207908081394E-3</v>
      </c>
      <c r="AG86" s="629">
        <f t="shared" si="86"/>
        <v>1.2645227549906926E-2</v>
      </c>
      <c r="AH86" s="627">
        <f t="shared" si="87"/>
        <v>0.20373579818987098</v>
      </c>
      <c r="AI86" s="628">
        <f t="shared" si="88"/>
        <v>0.61287630785031133</v>
      </c>
      <c r="AJ86" s="629">
        <f t="shared" si="89"/>
        <v>0.18338789395981769</v>
      </c>
      <c r="AK86" s="619">
        <f t="shared" si="90"/>
        <v>620</v>
      </c>
      <c r="AL86" s="620">
        <v>207</v>
      </c>
      <c r="AM86" s="620">
        <v>387</v>
      </c>
      <c r="AN86" s="621">
        <v>26</v>
      </c>
      <c r="AO86" s="272">
        <f t="shared" si="91"/>
        <v>3.979716284742281E-2</v>
      </c>
    </row>
    <row r="87" spans="1:41" x14ac:dyDescent="0.25">
      <c r="A87" s="270" t="s">
        <v>170</v>
      </c>
      <c r="B87" s="270" t="s">
        <v>171</v>
      </c>
      <c r="C87" s="270" t="s">
        <v>267</v>
      </c>
      <c r="D87" s="270">
        <v>2</v>
      </c>
      <c r="E87" s="619">
        <f t="shared" si="74"/>
        <v>35026</v>
      </c>
      <c r="F87" s="620">
        <f t="shared" si="92"/>
        <v>29428</v>
      </c>
      <c r="G87" s="620">
        <f t="shared" si="93"/>
        <v>4943</v>
      </c>
      <c r="H87" s="620">
        <f t="shared" si="94"/>
        <v>497</v>
      </c>
      <c r="I87" s="620">
        <f t="shared" si="95"/>
        <v>158</v>
      </c>
      <c r="J87" s="621">
        <f t="shared" si="75"/>
        <v>655</v>
      </c>
      <c r="K87" s="271">
        <f t="shared" si="76"/>
        <v>7685</v>
      </c>
      <c r="L87" s="620">
        <v>6285</v>
      </c>
      <c r="M87" s="620">
        <v>1239</v>
      </c>
      <c r="N87" s="620">
        <v>130</v>
      </c>
      <c r="O87" s="620">
        <v>31</v>
      </c>
      <c r="P87" s="620">
        <f t="shared" si="77"/>
        <v>161</v>
      </c>
      <c r="Q87" s="619">
        <f t="shared" si="78"/>
        <v>20436</v>
      </c>
      <c r="R87" s="620">
        <v>16992</v>
      </c>
      <c r="S87" s="620">
        <v>3020</v>
      </c>
      <c r="T87" s="620">
        <v>312</v>
      </c>
      <c r="U87" s="620">
        <v>112</v>
      </c>
      <c r="V87" s="621">
        <f t="shared" si="79"/>
        <v>424</v>
      </c>
      <c r="W87" s="619">
        <f t="shared" si="80"/>
        <v>6905</v>
      </c>
      <c r="X87" s="620">
        <v>6151</v>
      </c>
      <c r="Y87" s="620">
        <v>684</v>
      </c>
      <c r="Z87" s="620">
        <v>55</v>
      </c>
      <c r="AA87" s="620">
        <v>15</v>
      </c>
      <c r="AB87" s="621">
        <f t="shared" si="81"/>
        <v>70</v>
      </c>
      <c r="AC87" s="627">
        <f t="shared" si="82"/>
        <v>0.84017586935419408</v>
      </c>
      <c r="AD87" s="628">
        <f t="shared" si="83"/>
        <v>0.14112373665277222</v>
      </c>
      <c r="AE87" s="628">
        <f t="shared" si="84"/>
        <v>1.4189459258836292E-2</v>
      </c>
      <c r="AF87" s="628">
        <f t="shared" si="85"/>
        <v>4.5109347341974531E-3</v>
      </c>
      <c r="AG87" s="629">
        <f t="shared" si="86"/>
        <v>1.8700393993033745E-2</v>
      </c>
      <c r="AH87" s="627">
        <f t="shared" si="87"/>
        <v>0.21940843944498373</v>
      </c>
      <c r="AI87" s="628">
        <f t="shared" si="88"/>
        <v>0.58345229258265285</v>
      </c>
      <c r="AJ87" s="629">
        <f t="shared" si="89"/>
        <v>0.19713926797236339</v>
      </c>
      <c r="AK87" s="619">
        <f t="shared" si="90"/>
        <v>1505</v>
      </c>
      <c r="AL87" s="620">
        <v>535</v>
      </c>
      <c r="AM87" s="620">
        <v>893</v>
      </c>
      <c r="AN87" s="621">
        <v>77</v>
      </c>
      <c r="AO87" s="272">
        <f t="shared" si="91"/>
        <v>4.296808085422258E-2</v>
      </c>
    </row>
    <row r="88" spans="1:41" x14ac:dyDescent="0.25">
      <c r="A88" s="270" t="s">
        <v>172</v>
      </c>
      <c r="B88" s="270" t="s">
        <v>173</v>
      </c>
      <c r="C88" s="270" t="s">
        <v>267</v>
      </c>
      <c r="D88" s="270">
        <v>2</v>
      </c>
      <c r="E88" s="619">
        <f t="shared" si="74"/>
        <v>23848</v>
      </c>
      <c r="F88" s="620">
        <f t="shared" si="92"/>
        <v>23059</v>
      </c>
      <c r="G88" s="620">
        <f t="shared" si="93"/>
        <v>609</v>
      </c>
      <c r="H88" s="620">
        <f t="shared" si="94"/>
        <v>125</v>
      </c>
      <c r="I88" s="620">
        <f t="shared" si="95"/>
        <v>55</v>
      </c>
      <c r="J88" s="621">
        <f t="shared" si="75"/>
        <v>180</v>
      </c>
      <c r="K88" s="271">
        <f t="shared" si="76"/>
        <v>4847</v>
      </c>
      <c r="L88" s="620">
        <v>4632</v>
      </c>
      <c r="M88" s="620">
        <v>177</v>
      </c>
      <c r="N88" s="620">
        <v>28</v>
      </c>
      <c r="O88" s="620">
        <v>10</v>
      </c>
      <c r="P88" s="620">
        <f t="shared" si="77"/>
        <v>38</v>
      </c>
      <c r="Q88" s="619">
        <f t="shared" si="78"/>
        <v>14287</v>
      </c>
      <c r="R88" s="620">
        <v>13838</v>
      </c>
      <c r="S88" s="620">
        <v>327</v>
      </c>
      <c r="T88" s="620">
        <v>86</v>
      </c>
      <c r="U88" s="620">
        <v>36</v>
      </c>
      <c r="V88" s="621">
        <f t="shared" si="79"/>
        <v>122</v>
      </c>
      <c r="W88" s="619">
        <f t="shared" si="80"/>
        <v>4714</v>
      </c>
      <c r="X88" s="620">
        <v>4589</v>
      </c>
      <c r="Y88" s="620">
        <v>105</v>
      </c>
      <c r="Z88" s="620">
        <v>11</v>
      </c>
      <c r="AA88" s="620">
        <v>9</v>
      </c>
      <c r="AB88" s="621">
        <f t="shared" si="81"/>
        <v>20</v>
      </c>
      <c r="AC88" s="627">
        <f t="shared" si="82"/>
        <v>0.96691546460919153</v>
      </c>
      <c r="AD88" s="628">
        <f t="shared" si="83"/>
        <v>2.5536732640053673E-2</v>
      </c>
      <c r="AE88" s="628">
        <f t="shared" si="84"/>
        <v>5.2415296880241533E-3</v>
      </c>
      <c r="AF88" s="628">
        <f t="shared" si="85"/>
        <v>2.3062730627306273E-3</v>
      </c>
      <c r="AG88" s="629">
        <f t="shared" si="86"/>
        <v>7.5478027507547805E-3</v>
      </c>
      <c r="AH88" s="627">
        <f t="shared" si="87"/>
        <v>0.20324555518282456</v>
      </c>
      <c r="AI88" s="628">
        <f t="shared" si="88"/>
        <v>0.59908587722240858</v>
      </c>
      <c r="AJ88" s="629">
        <f t="shared" si="89"/>
        <v>0.19766856759476686</v>
      </c>
      <c r="AK88" s="619">
        <f t="shared" si="90"/>
        <v>463</v>
      </c>
      <c r="AL88" s="620">
        <v>177</v>
      </c>
      <c r="AM88" s="620">
        <v>254</v>
      </c>
      <c r="AN88" s="621">
        <v>32</v>
      </c>
      <c r="AO88" s="272">
        <f t="shared" si="91"/>
        <v>1.9414625964441462E-2</v>
      </c>
    </row>
    <row r="89" spans="1:41" x14ac:dyDescent="0.25">
      <c r="A89" s="270" t="s">
        <v>174</v>
      </c>
      <c r="B89" s="270" t="s">
        <v>175</v>
      </c>
      <c r="C89" s="270" t="s">
        <v>268</v>
      </c>
      <c r="D89" s="270">
        <v>2</v>
      </c>
      <c r="E89" s="619">
        <f t="shared" si="74"/>
        <v>18264</v>
      </c>
      <c r="F89" s="620">
        <f t="shared" si="92"/>
        <v>16965</v>
      </c>
      <c r="G89" s="620">
        <f t="shared" si="93"/>
        <v>1148</v>
      </c>
      <c r="H89" s="620">
        <f t="shared" si="94"/>
        <v>68</v>
      </c>
      <c r="I89" s="620">
        <f t="shared" si="95"/>
        <v>83</v>
      </c>
      <c r="J89" s="621">
        <f t="shared" si="75"/>
        <v>151</v>
      </c>
      <c r="K89" s="271">
        <f t="shared" si="76"/>
        <v>3313</v>
      </c>
      <c r="L89" s="620">
        <v>3016</v>
      </c>
      <c r="M89" s="620">
        <v>258</v>
      </c>
      <c r="N89" s="620">
        <v>21</v>
      </c>
      <c r="O89" s="620">
        <v>18</v>
      </c>
      <c r="P89" s="620">
        <f t="shared" si="77"/>
        <v>39</v>
      </c>
      <c r="Q89" s="619">
        <f t="shared" si="78"/>
        <v>10533</v>
      </c>
      <c r="R89" s="620">
        <v>9765</v>
      </c>
      <c r="S89" s="620">
        <v>683</v>
      </c>
      <c r="T89" s="620">
        <v>34</v>
      </c>
      <c r="U89" s="620">
        <v>51</v>
      </c>
      <c r="V89" s="621">
        <f t="shared" si="79"/>
        <v>85</v>
      </c>
      <c r="W89" s="619">
        <f t="shared" si="80"/>
        <v>4418</v>
      </c>
      <c r="X89" s="620">
        <v>4184</v>
      </c>
      <c r="Y89" s="620">
        <v>207</v>
      </c>
      <c r="Z89" s="620">
        <v>13</v>
      </c>
      <c r="AA89" s="620">
        <v>14</v>
      </c>
      <c r="AB89" s="621">
        <f t="shared" si="81"/>
        <v>27</v>
      </c>
      <c r="AC89" s="627">
        <f t="shared" si="82"/>
        <v>0.92887647831800257</v>
      </c>
      <c r="AD89" s="628">
        <f t="shared" si="83"/>
        <v>6.2855891371003073E-2</v>
      </c>
      <c r="AE89" s="628">
        <f t="shared" si="84"/>
        <v>3.7231712658782304E-3</v>
      </c>
      <c r="AF89" s="628">
        <f t="shared" si="85"/>
        <v>4.5444590451160756E-3</v>
      </c>
      <c r="AG89" s="629">
        <f t="shared" si="86"/>
        <v>8.2676303109943065E-3</v>
      </c>
      <c r="AH89" s="627">
        <f t="shared" si="87"/>
        <v>0.18139509417433203</v>
      </c>
      <c r="AI89" s="628">
        <f t="shared" si="88"/>
        <v>0.57670827858081475</v>
      </c>
      <c r="AJ89" s="629">
        <f t="shared" si="89"/>
        <v>0.24189662724485325</v>
      </c>
      <c r="AK89" s="619">
        <f t="shared" si="90"/>
        <v>505</v>
      </c>
      <c r="AL89" s="620">
        <v>193</v>
      </c>
      <c r="AM89" s="620">
        <v>280</v>
      </c>
      <c r="AN89" s="621">
        <v>32</v>
      </c>
      <c r="AO89" s="272">
        <f t="shared" si="91"/>
        <v>2.7650021901007446E-2</v>
      </c>
    </row>
    <row r="90" spans="1:41" x14ac:dyDescent="0.25">
      <c r="A90" s="270" t="s">
        <v>176</v>
      </c>
      <c r="B90" s="270" t="s">
        <v>177</v>
      </c>
      <c r="C90" s="270" t="s">
        <v>266</v>
      </c>
      <c r="D90" s="270">
        <v>3</v>
      </c>
      <c r="E90" s="619">
        <f t="shared" si="74"/>
        <v>32701</v>
      </c>
      <c r="F90" s="620">
        <f t="shared" si="92"/>
        <v>6220</v>
      </c>
      <c r="G90" s="620">
        <f t="shared" si="93"/>
        <v>25831</v>
      </c>
      <c r="H90" s="620">
        <f t="shared" si="94"/>
        <v>476</v>
      </c>
      <c r="I90" s="620">
        <f t="shared" si="95"/>
        <v>174</v>
      </c>
      <c r="J90" s="621">
        <f t="shared" si="75"/>
        <v>650</v>
      </c>
      <c r="K90" s="271">
        <f t="shared" si="76"/>
        <v>7217</v>
      </c>
      <c r="L90" s="620">
        <v>1244</v>
      </c>
      <c r="M90" s="620">
        <v>5816</v>
      </c>
      <c r="N90" s="620">
        <v>105</v>
      </c>
      <c r="O90" s="620">
        <v>52</v>
      </c>
      <c r="P90" s="620">
        <f t="shared" si="77"/>
        <v>157</v>
      </c>
      <c r="Q90" s="619">
        <f t="shared" si="78"/>
        <v>20496</v>
      </c>
      <c r="R90" s="620">
        <v>3724</v>
      </c>
      <c r="S90" s="620">
        <v>16362</v>
      </c>
      <c r="T90" s="620">
        <v>307</v>
      </c>
      <c r="U90" s="620">
        <v>103</v>
      </c>
      <c r="V90" s="621">
        <f t="shared" si="79"/>
        <v>410</v>
      </c>
      <c r="W90" s="619">
        <f t="shared" si="80"/>
        <v>4988</v>
      </c>
      <c r="X90" s="620">
        <v>1252</v>
      </c>
      <c r="Y90" s="620">
        <v>3653</v>
      </c>
      <c r="Z90" s="620">
        <v>64</v>
      </c>
      <c r="AA90" s="620">
        <v>19</v>
      </c>
      <c r="AB90" s="621">
        <f t="shared" si="81"/>
        <v>83</v>
      </c>
      <c r="AC90" s="627">
        <f t="shared" si="82"/>
        <v>0.19020825051221676</v>
      </c>
      <c r="AD90" s="628">
        <f t="shared" si="83"/>
        <v>0.78991468150821076</v>
      </c>
      <c r="AE90" s="628">
        <f t="shared" si="84"/>
        <v>1.4556129781963854E-2</v>
      </c>
      <c r="AF90" s="628">
        <f t="shared" si="85"/>
        <v>5.3209381976086359E-3</v>
      </c>
      <c r="AG90" s="629">
        <f t="shared" si="86"/>
        <v>1.9877067979572491E-2</v>
      </c>
      <c r="AH90" s="627">
        <f t="shared" si="87"/>
        <v>0.22069661478242256</v>
      </c>
      <c r="AI90" s="628">
        <f t="shared" si="88"/>
        <v>0.62676982355279653</v>
      </c>
      <c r="AJ90" s="629">
        <f t="shared" si="89"/>
        <v>0.15253356166478088</v>
      </c>
      <c r="AK90" s="619">
        <f t="shared" si="90"/>
        <v>1428</v>
      </c>
      <c r="AL90" s="620">
        <v>495</v>
      </c>
      <c r="AM90" s="620">
        <v>883</v>
      </c>
      <c r="AN90" s="621">
        <v>50</v>
      </c>
      <c r="AO90" s="272">
        <f t="shared" si="91"/>
        <v>4.366838934589156E-2</v>
      </c>
    </row>
    <row r="91" spans="1:41" x14ac:dyDescent="0.25">
      <c r="A91" s="270" t="s">
        <v>178</v>
      </c>
      <c r="B91" s="270" t="s">
        <v>179</v>
      </c>
      <c r="C91" s="270" t="s">
        <v>265</v>
      </c>
      <c r="D91" s="270">
        <v>2</v>
      </c>
      <c r="E91" s="619">
        <f t="shared" si="74"/>
        <v>62383</v>
      </c>
      <c r="F91" s="620">
        <f t="shared" si="92"/>
        <v>48064</v>
      </c>
      <c r="G91" s="620">
        <f t="shared" si="93"/>
        <v>13797</v>
      </c>
      <c r="H91" s="620">
        <f t="shared" si="94"/>
        <v>348</v>
      </c>
      <c r="I91" s="620">
        <f t="shared" si="95"/>
        <v>174</v>
      </c>
      <c r="J91" s="621">
        <f t="shared" si="75"/>
        <v>522</v>
      </c>
      <c r="K91" s="271">
        <f t="shared" si="76"/>
        <v>12385</v>
      </c>
      <c r="L91" s="620">
        <v>9547</v>
      </c>
      <c r="M91" s="620">
        <v>2706</v>
      </c>
      <c r="N91" s="620">
        <v>85</v>
      </c>
      <c r="O91" s="620">
        <v>47</v>
      </c>
      <c r="P91" s="620">
        <f t="shared" si="77"/>
        <v>132</v>
      </c>
      <c r="Q91" s="619">
        <f t="shared" si="78"/>
        <v>37514</v>
      </c>
      <c r="R91" s="620">
        <v>28664</v>
      </c>
      <c r="S91" s="620">
        <v>8506</v>
      </c>
      <c r="T91" s="620">
        <v>238</v>
      </c>
      <c r="U91" s="620">
        <v>106</v>
      </c>
      <c r="V91" s="621">
        <f t="shared" si="79"/>
        <v>344</v>
      </c>
      <c r="W91" s="619">
        <f t="shared" si="80"/>
        <v>12484</v>
      </c>
      <c r="X91" s="620">
        <v>9853</v>
      </c>
      <c r="Y91" s="620">
        <v>2585</v>
      </c>
      <c r="Z91" s="620">
        <v>25</v>
      </c>
      <c r="AA91" s="620">
        <v>21</v>
      </c>
      <c r="AB91" s="621">
        <f t="shared" si="81"/>
        <v>46</v>
      </c>
      <c r="AC91" s="627">
        <f t="shared" si="82"/>
        <v>0.77046631293781964</v>
      </c>
      <c r="AD91" s="628">
        <f t="shared" si="83"/>
        <v>0.22116602279467162</v>
      </c>
      <c r="AE91" s="628">
        <f t="shared" si="84"/>
        <v>5.5784428450058512E-3</v>
      </c>
      <c r="AF91" s="628">
        <f t="shared" si="85"/>
        <v>2.7892214225029256E-3</v>
      </c>
      <c r="AG91" s="629">
        <f t="shared" si="86"/>
        <v>8.3676642675087759E-3</v>
      </c>
      <c r="AH91" s="627">
        <f t="shared" si="87"/>
        <v>0.19853165125114214</v>
      </c>
      <c r="AI91" s="628">
        <f t="shared" si="88"/>
        <v>0.60134972668836062</v>
      </c>
      <c r="AJ91" s="629">
        <f t="shared" si="89"/>
        <v>0.20011862206049724</v>
      </c>
      <c r="AK91" s="619">
        <f t="shared" si="90"/>
        <v>1515</v>
      </c>
      <c r="AL91" s="620">
        <v>551</v>
      </c>
      <c r="AM91" s="620">
        <v>879</v>
      </c>
      <c r="AN91" s="621">
        <v>85</v>
      </c>
      <c r="AO91" s="272">
        <f t="shared" si="91"/>
        <v>2.4285462385585817E-2</v>
      </c>
    </row>
    <row r="92" spans="1:41" x14ac:dyDescent="0.25">
      <c r="A92" s="270" t="s">
        <v>180</v>
      </c>
      <c r="B92" s="270" t="s">
        <v>181</v>
      </c>
      <c r="C92" s="270" t="s">
        <v>264</v>
      </c>
      <c r="D92" s="270">
        <v>3</v>
      </c>
      <c r="E92" s="619">
        <f t="shared" si="74"/>
        <v>96004</v>
      </c>
      <c r="F92" s="620">
        <f t="shared" si="92"/>
        <v>41017</v>
      </c>
      <c r="G92" s="620">
        <f t="shared" si="93"/>
        <v>52643</v>
      </c>
      <c r="H92" s="620">
        <f t="shared" si="94"/>
        <v>1717</v>
      </c>
      <c r="I92" s="620">
        <f t="shared" si="95"/>
        <v>627</v>
      </c>
      <c r="J92" s="621">
        <f t="shared" si="75"/>
        <v>2344</v>
      </c>
      <c r="K92" s="271">
        <f t="shared" si="76"/>
        <v>22498</v>
      </c>
      <c r="L92" s="620">
        <v>7758</v>
      </c>
      <c r="M92" s="620">
        <v>14196</v>
      </c>
      <c r="N92" s="620">
        <v>394</v>
      </c>
      <c r="O92" s="620">
        <v>150</v>
      </c>
      <c r="P92" s="620">
        <f t="shared" si="77"/>
        <v>544</v>
      </c>
      <c r="Q92" s="619">
        <f t="shared" si="78"/>
        <v>60183</v>
      </c>
      <c r="R92" s="620">
        <v>26158</v>
      </c>
      <c r="S92" s="620">
        <v>32459</v>
      </c>
      <c r="T92" s="620">
        <v>1149</v>
      </c>
      <c r="U92" s="620">
        <v>417</v>
      </c>
      <c r="V92" s="621">
        <f t="shared" si="79"/>
        <v>1566</v>
      </c>
      <c r="W92" s="619">
        <f t="shared" si="80"/>
        <v>13323</v>
      </c>
      <c r="X92" s="620">
        <v>7101</v>
      </c>
      <c r="Y92" s="620">
        <v>5988</v>
      </c>
      <c r="Z92" s="620">
        <v>174</v>
      </c>
      <c r="AA92" s="620">
        <v>60</v>
      </c>
      <c r="AB92" s="621">
        <f t="shared" si="81"/>
        <v>234</v>
      </c>
      <c r="AC92" s="627">
        <f t="shared" si="82"/>
        <v>0.4272426148910462</v>
      </c>
      <c r="AD92" s="628">
        <f t="shared" si="83"/>
        <v>0.54834173576100997</v>
      </c>
      <c r="AE92" s="628">
        <f t="shared" si="84"/>
        <v>1.7884671472021999E-2</v>
      </c>
      <c r="AF92" s="628">
        <f t="shared" si="85"/>
        <v>6.5309778759218362E-3</v>
      </c>
      <c r="AG92" s="629">
        <f t="shared" si="86"/>
        <v>2.4415649347943835E-2</v>
      </c>
      <c r="AH92" s="627">
        <f t="shared" si="87"/>
        <v>0.23434440231657014</v>
      </c>
      <c r="AI92" s="628">
        <f t="shared" si="88"/>
        <v>0.62688012999458353</v>
      </c>
      <c r="AJ92" s="629">
        <f t="shared" si="89"/>
        <v>0.1387754676888463</v>
      </c>
      <c r="AK92" s="619">
        <f t="shared" si="90"/>
        <v>3797</v>
      </c>
      <c r="AL92" s="620">
        <v>1068</v>
      </c>
      <c r="AM92" s="620">
        <v>2594</v>
      </c>
      <c r="AN92" s="621">
        <v>135</v>
      </c>
      <c r="AO92" s="272">
        <f t="shared" si="91"/>
        <v>3.9550435398525062E-2</v>
      </c>
    </row>
    <row r="93" spans="1:41" x14ac:dyDescent="0.25">
      <c r="A93" s="270" t="s">
        <v>182</v>
      </c>
      <c r="B93" s="270" t="s">
        <v>183</v>
      </c>
      <c r="C93" s="270" t="s">
        <v>266</v>
      </c>
      <c r="D93" s="270">
        <v>1</v>
      </c>
      <c r="E93" s="619">
        <f t="shared" si="74"/>
        <v>28449</v>
      </c>
      <c r="F93" s="620">
        <f t="shared" si="92"/>
        <v>24446</v>
      </c>
      <c r="G93" s="620">
        <f t="shared" si="93"/>
        <v>3705</v>
      </c>
      <c r="H93" s="620">
        <f t="shared" si="94"/>
        <v>204</v>
      </c>
      <c r="I93" s="620">
        <f t="shared" si="95"/>
        <v>94</v>
      </c>
      <c r="J93" s="621">
        <f t="shared" si="75"/>
        <v>298</v>
      </c>
      <c r="K93" s="271">
        <f t="shared" si="76"/>
        <v>5476</v>
      </c>
      <c r="L93" s="620">
        <v>4844</v>
      </c>
      <c r="M93" s="620">
        <v>563</v>
      </c>
      <c r="N93" s="620">
        <v>53</v>
      </c>
      <c r="O93" s="620">
        <v>16</v>
      </c>
      <c r="P93" s="620">
        <f t="shared" si="77"/>
        <v>69</v>
      </c>
      <c r="Q93" s="619">
        <f t="shared" si="78"/>
        <v>18498</v>
      </c>
      <c r="R93" s="620">
        <v>15689</v>
      </c>
      <c r="S93" s="620">
        <v>2613</v>
      </c>
      <c r="T93" s="620">
        <v>130</v>
      </c>
      <c r="U93" s="620">
        <v>66</v>
      </c>
      <c r="V93" s="621">
        <f t="shared" si="79"/>
        <v>196</v>
      </c>
      <c r="W93" s="619">
        <f t="shared" si="80"/>
        <v>4475</v>
      </c>
      <c r="X93" s="620">
        <v>3913</v>
      </c>
      <c r="Y93" s="620">
        <v>529</v>
      </c>
      <c r="Z93" s="620">
        <v>21</v>
      </c>
      <c r="AA93" s="620">
        <v>12</v>
      </c>
      <c r="AB93" s="621">
        <f t="shared" si="81"/>
        <v>33</v>
      </c>
      <c r="AC93" s="627">
        <f t="shared" si="82"/>
        <v>0.85929206650497381</v>
      </c>
      <c r="AD93" s="628">
        <f t="shared" si="83"/>
        <v>0.13023304861330803</v>
      </c>
      <c r="AE93" s="628">
        <f t="shared" si="84"/>
        <v>7.170726563323843E-3</v>
      </c>
      <c r="AF93" s="628">
        <f t="shared" si="85"/>
        <v>3.3041583183943198E-3</v>
      </c>
      <c r="AG93" s="629">
        <f t="shared" si="86"/>
        <v>1.0474884881718162E-2</v>
      </c>
      <c r="AH93" s="627">
        <f t="shared" si="87"/>
        <v>0.19248479735667334</v>
      </c>
      <c r="AI93" s="628">
        <f t="shared" si="88"/>
        <v>0.65021617631551198</v>
      </c>
      <c r="AJ93" s="629">
        <f t="shared" si="89"/>
        <v>0.15729902632781467</v>
      </c>
      <c r="AK93" s="619">
        <f t="shared" si="90"/>
        <v>570</v>
      </c>
      <c r="AL93" s="620">
        <v>174</v>
      </c>
      <c r="AM93" s="620">
        <v>367</v>
      </c>
      <c r="AN93" s="621">
        <v>29</v>
      </c>
      <c r="AO93" s="272">
        <f t="shared" si="91"/>
        <v>2.0035853632816618E-2</v>
      </c>
    </row>
    <row r="94" spans="1:41" x14ac:dyDescent="0.25">
      <c r="A94" s="270" t="s">
        <v>184</v>
      </c>
      <c r="B94" s="270" t="s">
        <v>185</v>
      </c>
      <c r="C94" s="270" t="s">
        <v>266</v>
      </c>
      <c r="D94" s="270">
        <v>2</v>
      </c>
      <c r="E94" s="619">
        <f t="shared" si="74"/>
        <v>23074</v>
      </c>
      <c r="F94" s="620">
        <f t="shared" si="92"/>
        <v>14946</v>
      </c>
      <c r="G94" s="620">
        <f t="shared" si="93"/>
        <v>7728</v>
      </c>
      <c r="H94" s="620">
        <f t="shared" si="94"/>
        <v>316</v>
      </c>
      <c r="I94" s="620">
        <f t="shared" si="95"/>
        <v>84</v>
      </c>
      <c r="J94" s="621">
        <f t="shared" si="75"/>
        <v>400</v>
      </c>
      <c r="K94" s="271">
        <f t="shared" si="76"/>
        <v>3804</v>
      </c>
      <c r="L94" s="620">
        <v>2034</v>
      </c>
      <c r="M94" s="620">
        <v>1679</v>
      </c>
      <c r="N94" s="620">
        <v>79</v>
      </c>
      <c r="O94" s="620">
        <v>12</v>
      </c>
      <c r="P94" s="620">
        <f t="shared" si="77"/>
        <v>91</v>
      </c>
      <c r="Q94" s="619">
        <f t="shared" si="78"/>
        <v>15711</v>
      </c>
      <c r="R94" s="620">
        <v>10538</v>
      </c>
      <c r="S94" s="620">
        <v>4887</v>
      </c>
      <c r="T94" s="620">
        <v>222</v>
      </c>
      <c r="U94" s="620">
        <v>64</v>
      </c>
      <c r="V94" s="621">
        <f t="shared" si="79"/>
        <v>286</v>
      </c>
      <c r="W94" s="619">
        <f t="shared" si="80"/>
        <v>3559</v>
      </c>
      <c r="X94" s="620">
        <v>2374</v>
      </c>
      <c r="Y94" s="620">
        <v>1162</v>
      </c>
      <c r="Z94" s="620">
        <v>15</v>
      </c>
      <c r="AA94" s="620">
        <v>8</v>
      </c>
      <c r="AB94" s="621">
        <f t="shared" si="81"/>
        <v>23</v>
      </c>
      <c r="AC94" s="627">
        <f t="shared" si="82"/>
        <v>0.64774204732599461</v>
      </c>
      <c r="AD94" s="628">
        <f t="shared" si="83"/>
        <v>0.33492242350697754</v>
      </c>
      <c r="AE94" s="628">
        <f t="shared" si="84"/>
        <v>1.3695068041951981E-2</v>
      </c>
      <c r="AF94" s="628">
        <f t="shared" si="85"/>
        <v>3.6404611250758431E-3</v>
      </c>
      <c r="AG94" s="629">
        <f t="shared" si="86"/>
        <v>1.7335529167027824E-2</v>
      </c>
      <c r="AH94" s="627">
        <f t="shared" si="87"/>
        <v>0.1648608823784346</v>
      </c>
      <c r="AI94" s="628">
        <f t="shared" si="88"/>
        <v>0.68089624685793537</v>
      </c>
      <c r="AJ94" s="629">
        <f t="shared" si="89"/>
        <v>0.15424287076363005</v>
      </c>
      <c r="AK94" s="619">
        <f t="shared" si="90"/>
        <v>566</v>
      </c>
      <c r="AL94" s="620">
        <v>152</v>
      </c>
      <c r="AM94" s="620">
        <v>379</v>
      </c>
      <c r="AN94" s="621">
        <v>35</v>
      </c>
      <c r="AO94" s="272">
        <f t="shared" si="91"/>
        <v>2.4529773771344372E-2</v>
      </c>
    </row>
    <row r="95" spans="1:41" x14ac:dyDescent="0.25">
      <c r="A95" s="270" t="s">
        <v>186</v>
      </c>
      <c r="B95" s="270" t="s">
        <v>187</v>
      </c>
      <c r="C95" s="270" t="s">
        <v>264</v>
      </c>
      <c r="D95" s="270">
        <v>2</v>
      </c>
      <c r="E95" s="619">
        <f t="shared" si="74"/>
        <v>37333</v>
      </c>
      <c r="F95" s="620">
        <f t="shared" si="92"/>
        <v>23533</v>
      </c>
      <c r="G95" s="620">
        <f t="shared" si="93"/>
        <v>12542</v>
      </c>
      <c r="H95" s="620">
        <f t="shared" si="94"/>
        <v>948</v>
      </c>
      <c r="I95" s="620">
        <f t="shared" si="95"/>
        <v>310</v>
      </c>
      <c r="J95" s="621">
        <f t="shared" si="75"/>
        <v>1258</v>
      </c>
      <c r="K95" s="271">
        <f t="shared" si="76"/>
        <v>7904</v>
      </c>
      <c r="L95" s="620">
        <v>4941</v>
      </c>
      <c r="M95" s="620">
        <v>2690</v>
      </c>
      <c r="N95" s="620">
        <v>208</v>
      </c>
      <c r="O95" s="620">
        <v>65</v>
      </c>
      <c r="P95" s="620">
        <f t="shared" si="77"/>
        <v>273</v>
      </c>
      <c r="Q95" s="619">
        <f t="shared" si="78"/>
        <v>24782</v>
      </c>
      <c r="R95" s="620">
        <v>15128</v>
      </c>
      <c r="S95" s="620">
        <v>8793</v>
      </c>
      <c r="T95" s="620">
        <v>631</v>
      </c>
      <c r="U95" s="620">
        <v>230</v>
      </c>
      <c r="V95" s="621">
        <f t="shared" si="79"/>
        <v>861</v>
      </c>
      <c r="W95" s="619">
        <f t="shared" si="80"/>
        <v>4647</v>
      </c>
      <c r="X95" s="620">
        <v>3464</v>
      </c>
      <c r="Y95" s="620">
        <v>1059</v>
      </c>
      <c r="Z95" s="620">
        <v>109</v>
      </c>
      <c r="AA95" s="620">
        <v>15</v>
      </c>
      <c r="AB95" s="621">
        <f t="shared" si="81"/>
        <v>124</v>
      </c>
      <c r="AC95" s="627">
        <f t="shared" si="82"/>
        <v>0.63035384244502179</v>
      </c>
      <c r="AD95" s="628">
        <f t="shared" si="83"/>
        <v>0.33594942811989392</v>
      </c>
      <c r="AE95" s="628">
        <f t="shared" si="84"/>
        <v>2.5393083866820241E-2</v>
      </c>
      <c r="AF95" s="628">
        <f t="shared" si="85"/>
        <v>8.3036455682640019E-3</v>
      </c>
      <c r="AG95" s="629">
        <f t="shared" si="86"/>
        <v>3.3696729435084241E-2</v>
      </c>
      <c r="AH95" s="627">
        <f t="shared" si="87"/>
        <v>0.21171617603728604</v>
      </c>
      <c r="AI95" s="628">
        <f t="shared" si="88"/>
        <v>0.66380949829909197</v>
      </c>
      <c r="AJ95" s="629">
        <f t="shared" si="89"/>
        <v>0.124474325663622</v>
      </c>
      <c r="AK95" s="619">
        <f t="shared" si="90"/>
        <v>2825</v>
      </c>
      <c r="AL95" s="620">
        <v>842</v>
      </c>
      <c r="AM95" s="620">
        <v>1903</v>
      </c>
      <c r="AN95" s="621">
        <v>80</v>
      </c>
      <c r="AO95" s="272">
        <f t="shared" si="91"/>
        <v>7.5670318484986468E-2</v>
      </c>
    </row>
    <row r="96" spans="1:41" x14ac:dyDescent="0.25">
      <c r="A96" s="270" t="s">
        <v>188</v>
      </c>
      <c r="B96" s="270" t="s">
        <v>189</v>
      </c>
      <c r="C96" s="270" t="s">
        <v>267</v>
      </c>
      <c r="D96" s="270">
        <v>3</v>
      </c>
      <c r="E96" s="619">
        <f t="shared" si="74"/>
        <v>446094</v>
      </c>
      <c r="F96" s="620">
        <f t="shared" si="92"/>
        <v>296224</v>
      </c>
      <c r="G96" s="620">
        <f t="shared" si="93"/>
        <v>101962</v>
      </c>
      <c r="H96" s="620">
        <f t="shared" si="94"/>
        <v>42341</v>
      </c>
      <c r="I96" s="620">
        <f t="shared" si="95"/>
        <v>5567</v>
      </c>
      <c r="J96" s="621">
        <f t="shared" si="75"/>
        <v>47908</v>
      </c>
      <c r="K96" s="271">
        <f t="shared" si="76"/>
        <v>125131</v>
      </c>
      <c r="L96" s="620">
        <v>81189</v>
      </c>
      <c r="M96" s="620">
        <v>30729</v>
      </c>
      <c r="N96" s="620">
        <v>11443</v>
      </c>
      <c r="O96" s="620">
        <v>1770</v>
      </c>
      <c r="P96" s="620">
        <f t="shared" si="77"/>
        <v>13213</v>
      </c>
      <c r="Q96" s="619">
        <f t="shared" si="78"/>
        <v>284007</v>
      </c>
      <c r="R96" s="620">
        <v>187333</v>
      </c>
      <c r="S96" s="620">
        <v>65755</v>
      </c>
      <c r="T96" s="620">
        <v>27342</v>
      </c>
      <c r="U96" s="620">
        <v>3577</v>
      </c>
      <c r="V96" s="621">
        <f t="shared" si="79"/>
        <v>30919</v>
      </c>
      <c r="W96" s="619">
        <f t="shared" si="80"/>
        <v>36956</v>
      </c>
      <c r="X96" s="620">
        <v>27702</v>
      </c>
      <c r="Y96" s="620">
        <v>5478</v>
      </c>
      <c r="Z96" s="620">
        <v>3556</v>
      </c>
      <c r="AA96" s="620">
        <v>220</v>
      </c>
      <c r="AB96" s="621">
        <f t="shared" si="81"/>
        <v>3776</v>
      </c>
      <c r="AC96" s="627">
        <f t="shared" si="82"/>
        <v>0.66403941770120201</v>
      </c>
      <c r="AD96" s="628">
        <f t="shared" si="83"/>
        <v>0.22856617663541764</v>
      </c>
      <c r="AE96" s="628">
        <f t="shared" si="84"/>
        <v>9.4914973077423151E-2</v>
      </c>
      <c r="AF96" s="628">
        <f t="shared" si="85"/>
        <v>1.2479432585957221E-2</v>
      </c>
      <c r="AG96" s="629">
        <f t="shared" si="86"/>
        <v>0.10739440566338036</v>
      </c>
      <c r="AH96" s="627">
        <f t="shared" si="87"/>
        <v>0.28050366066344762</v>
      </c>
      <c r="AI96" s="628">
        <f t="shared" si="88"/>
        <v>0.63665281308423782</v>
      </c>
      <c r="AJ96" s="629">
        <f t="shared" si="89"/>
        <v>8.2843526252314531E-2</v>
      </c>
      <c r="AK96" s="619">
        <f t="shared" si="90"/>
        <v>98130</v>
      </c>
      <c r="AL96" s="620">
        <v>33363</v>
      </c>
      <c r="AM96" s="620">
        <v>61825</v>
      </c>
      <c r="AN96" s="621">
        <v>2942</v>
      </c>
      <c r="AO96" s="272">
        <f t="shared" si="91"/>
        <v>0.2199760588575502</v>
      </c>
    </row>
    <row r="97" spans="1:41" x14ac:dyDescent="0.25">
      <c r="A97" s="270" t="s">
        <v>190</v>
      </c>
      <c r="B97" s="270" t="s">
        <v>191</v>
      </c>
      <c r="C97" s="270" t="s">
        <v>268</v>
      </c>
      <c r="D97" s="270">
        <v>2</v>
      </c>
      <c r="E97" s="619">
        <f t="shared" si="74"/>
        <v>34322</v>
      </c>
      <c r="F97" s="620">
        <f t="shared" si="92"/>
        <v>31989</v>
      </c>
      <c r="G97" s="620">
        <f t="shared" si="93"/>
        <v>2024</v>
      </c>
      <c r="H97" s="620">
        <f t="shared" si="94"/>
        <v>237</v>
      </c>
      <c r="I97" s="620">
        <f t="shared" si="95"/>
        <v>72</v>
      </c>
      <c r="J97" s="621">
        <f t="shared" si="75"/>
        <v>309</v>
      </c>
      <c r="K97" s="271">
        <f t="shared" si="76"/>
        <v>6322</v>
      </c>
      <c r="L97" s="620">
        <v>5756</v>
      </c>
      <c r="M97" s="620">
        <v>502</v>
      </c>
      <c r="N97" s="620">
        <v>49</v>
      </c>
      <c r="O97" s="620">
        <v>15</v>
      </c>
      <c r="P97" s="620">
        <f t="shared" si="77"/>
        <v>64</v>
      </c>
      <c r="Q97" s="619">
        <f t="shared" si="78"/>
        <v>20931</v>
      </c>
      <c r="R97" s="620">
        <v>19484</v>
      </c>
      <c r="S97" s="620">
        <v>1245</v>
      </c>
      <c r="T97" s="620">
        <v>158</v>
      </c>
      <c r="U97" s="620">
        <v>44</v>
      </c>
      <c r="V97" s="621">
        <f t="shared" si="79"/>
        <v>202</v>
      </c>
      <c r="W97" s="619">
        <f t="shared" si="80"/>
        <v>7069</v>
      </c>
      <c r="X97" s="620">
        <v>6749</v>
      </c>
      <c r="Y97" s="620">
        <v>277</v>
      </c>
      <c r="Z97" s="620">
        <v>30</v>
      </c>
      <c r="AA97" s="620">
        <v>13</v>
      </c>
      <c r="AB97" s="621">
        <f t="shared" si="81"/>
        <v>43</v>
      </c>
      <c r="AC97" s="627">
        <f t="shared" si="82"/>
        <v>0.93202610570479572</v>
      </c>
      <c r="AD97" s="628">
        <f t="shared" si="83"/>
        <v>5.8970922440417226E-2</v>
      </c>
      <c r="AE97" s="628">
        <f t="shared" si="84"/>
        <v>6.905192005127906E-3</v>
      </c>
      <c r="AF97" s="628">
        <f t="shared" si="85"/>
        <v>2.0977798496591106E-3</v>
      </c>
      <c r="AG97" s="629">
        <f t="shared" si="86"/>
        <v>9.0029718547870174E-3</v>
      </c>
      <c r="AH97" s="627">
        <f t="shared" si="87"/>
        <v>0.18419672513256805</v>
      </c>
      <c r="AI97" s="628">
        <f t="shared" si="88"/>
        <v>0.60984208379465066</v>
      </c>
      <c r="AJ97" s="629">
        <f t="shared" si="89"/>
        <v>0.2059611910727813</v>
      </c>
      <c r="AK97" s="619">
        <f t="shared" si="90"/>
        <v>503</v>
      </c>
      <c r="AL97" s="620">
        <v>177</v>
      </c>
      <c r="AM97" s="620">
        <v>289</v>
      </c>
      <c r="AN97" s="621">
        <v>37</v>
      </c>
      <c r="AO97" s="272">
        <f t="shared" si="91"/>
        <v>1.465532311636851E-2</v>
      </c>
    </row>
    <row r="98" spans="1:41" x14ac:dyDescent="0.25">
      <c r="A98" s="270" t="s">
        <v>192</v>
      </c>
      <c r="B98" s="270" t="s">
        <v>193</v>
      </c>
      <c r="C98" s="270" t="s">
        <v>268</v>
      </c>
      <c r="D98" s="270">
        <v>1</v>
      </c>
      <c r="E98" s="619">
        <f t="shared" si="74"/>
        <v>17646</v>
      </c>
      <c r="F98" s="620">
        <f t="shared" si="92"/>
        <v>15382</v>
      </c>
      <c r="G98" s="620">
        <f t="shared" si="93"/>
        <v>1772</v>
      </c>
      <c r="H98" s="620">
        <f t="shared" si="94"/>
        <v>460</v>
      </c>
      <c r="I98" s="620">
        <f t="shared" si="95"/>
        <v>32</v>
      </c>
      <c r="J98" s="621">
        <f t="shared" si="75"/>
        <v>492</v>
      </c>
      <c r="K98" s="271">
        <f t="shared" si="76"/>
        <v>2346</v>
      </c>
      <c r="L98" s="620">
        <v>1940</v>
      </c>
      <c r="M98" s="620">
        <v>352</v>
      </c>
      <c r="N98" s="620">
        <v>54</v>
      </c>
      <c r="O98" s="620">
        <v>0</v>
      </c>
      <c r="P98" s="620">
        <f t="shared" si="77"/>
        <v>54</v>
      </c>
      <c r="Q98" s="619">
        <f t="shared" si="78"/>
        <v>13907</v>
      </c>
      <c r="R98" s="620">
        <v>12178</v>
      </c>
      <c r="S98" s="620">
        <v>1316</v>
      </c>
      <c r="T98" s="620">
        <v>386</v>
      </c>
      <c r="U98" s="620">
        <v>27</v>
      </c>
      <c r="V98" s="621">
        <f t="shared" si="79"/>
        <v>413</v>
      </c>
      <c r="W98" s="619">
        <f t="shared" si="80"/>
        <v>1393</v>
      </c>
      <c r="X98" s="620">
        <v>1264</v>
      </c>
      <c r="Y98" s="620">
        <v>104</v>
      </c>
      <c r="Z98" s="620">
        <v>20</v>
      </c>
      <c r="AA98" s="620">
        <v>5</v>
      </c>
      <c r="AB98" s="621">
        <f t="shared" si="81"/>
        <v>25</v>
      </c>
      <c r="AC98" s="627">
        <f t="shared" si="82"/>
        <v>0.87169896860478291</v>
      </c>
      <c r="AD98" s="628">
        <f t="shared" si="83"/>
        <v>0.10041935849484303</v>
      </c>
      <c r="AE98" s="628">
        <f t="shared" si="84"/>
        <v>2.6068230760512297E-2</v>
      </c>
      <c r="AF98" s="628">
        <f t="shared" si="85"/>
        <v>1.813442139861725E-3</v>
      </c>
      <c r="AG98" s="629">
        <f t="shared" si="86"/>
        <v>2.7881672900374022E-2</v>
      </c>
      <c r="AH98" s="627">
        <f t="shared" si="87"/>
        <v>0.13294797687861271</v>
      </c>
      <c r="AI98" s="628">
        <f t="shared" si="88"/>
        <v>0.78811061997053156</v>
      </c>
      <c r="AJ98" s="629">
        <f t="shared" si="89"/>
        <v>7.8941403150855724E-2</v>
      </c>
      <c r="AK98" s="619">
        <f t="shared" si="90"/>
        <v>566</v>
      </c>
      <c r="AL98" s="620">
        <v>101</v>
      </c>
      <c r="AM98" s="620">
        <v>456</v>
      </c>
      <c r="AN98" s="621">
        <v>9</v>
      </c>
      <c r="AO98" s="272">
        <f t="shared" si="91"/>
        <v>3.2075257848804259E-2</v>
      </c>
    </row>
    <row r="99" spans="1:41" x14ac:dyDescent="0.25">
      <c r="A99" s="270" t="s">
        <v>194</v>
      </c>
      <c r="B99" s="270" t="s">
        <v>195</v>
      </c>
      <c r="C99" s="270" t="s">
        <v>267</v>
      </c>
      <c r="D99" s="270">
        <v>1</v>
      </c>
      <c r="E99" s="619">
        <f t="shared" si="74"/>
        <v>7361</v>
      </c>
      <c r="F99" s="620">
        <f t="shared" si="92"/>
        <v>6875</v>
      </c>
      <c r="G99" s="620">
        <f t="shared" si="93"/>
        <v>404</v>
      </c>
      <c r="H99" s="620">
        <f t="shared" si="94"/>
        <v>64</v>
      </c>
      <c r="I99" s="620">
        <f t="shared" si="95"/>
        <v>18</v>
      </c>
      <c r="J99" s="621">
        <f t="shared" si="75"/>
        <v>82</v>
      </c>
      <c r="K99" s="271">
        <f t="shared" si="76"/>
        <v>1297</v>
      </c>
      <c r="L99" s="620">
        <v>1186</v>
      </c>
      <c r="M99" s="620">
        <v>102</v>
      </c>
      <c r="N99" s="620">
        <v>6</v>
      </c>
      <c r="O99" s="620">
        <v>3</v>
      </c>
      <c r="P99" s="620">
        <f t="shared" si="77"/>
        <v>9</v>
      </c>
      <c r="Q99" s="619">
        <f t="shared" si="78"/>
        <v>4310</v>
      </c>
      <c r="R99" s="620">
        <v>4043</v>
      </c>
      <c r="S99" s="620">
        <v>213</v>
      </c>
      <c r="T99" s="620">
        <v>41</v>
      </c>
      <c r="U99" s="620">
        <v>13</v>
      </c>
      <c r="V99" s="621">
        <f t="shared" si="79"/>
        <v>54</v>
      </c>
      <c r="W99" s="619">
        <f t="shared" si="80"/>
        <v>1754</v>
      </c>
      <c r="X99" s="620">
        <v>1646</v>
      </c>
      <c r="Y99" s="620">
        <v>89</v>
      </c>
      <c r="Z99" s="620">
        <v>17</v>
      </c>
      <c r="AA99" s="620">
        <v>2</v>
      </c>
      <c r="AB99" s="621">
        <f t="shared" si="81"/>
        <v>19</v>
      </c>
      <c r="AC99" s="627">
        <f t="shared" si="82"/>
        <v>0.93397636190734956</v>
      </c>
      <c r="AD99" s="628">
        <f t="shared" si="83"/>
        <v>5.4883847303355521E-2</v>
      </c>
      <c r="AE99" s="628">
        <f t="shared" si="84"/>
        <v>8.6944708599375076E-3</v>
      </c>
      <c r="AF99" s="628">
        <f t="shared" si="85"/>
        <v>2.4453199293574244E-3</v>
      </c>
      <c r="AG99" s="629">
        <f t="shared" si="86"/>
        <v>1.1139790789294933E-2</v>
      </c>
      <c r="AH99" s="627">
        <f t="shared" si="87"/>
        <v>0.17619888602092107</v>
      </c>
      <c r="AI99" s="628">
        <f t="shared" si="88"/>
        <v>0.58551827197391659</v>
      </c>
      <c r="AJ99" s="629">
        <f t="shared" si="89"/>
        <v>0.23828284200516234</v>
      </c>
      <c r="AK99" s="619">
        <f t="shared" si="90"/>
        <v>251</v>
      </c>
      <c r="AL99" s="620">
        <v>70</v>
      </c>
      <c r="AM99" s="620">
        <v>158</v>
      </c>
      <c r="AN99" s="621">
        <v>23</v>
      </c>
      <c r="AO99" s="272">
        <f t="shared" si="91"/>
        <v>3.4098627903817416E-2</v>
      </c>
    </row>
    <row r="100" spans="1:41" x14ac:dyDescent="0.25">
      <c r="A100" s="270" t="s">
        <v>196</v>
      </c>
      <c r="B100" s="270" t="s">
        <v>312</v>
      </c>
      <c r="C100" s="270" t="s">
        <v>266</v>
      </c>
      <c r="D100" s="270">
        <v>3</v>
      </c>
      <c r="E100" s="619">
        <f t="shared" si="74"/>
        <v>217853</v>
      </c>
      <c r="F100" s="620">
        <f t="shared" si="92"/>
        <v>98977</v>
      </c>
      <c r="G100" s="620">
        <f t="shared" si="93"/>
        <v>110919</v>
      </c>
      <c r="H100" s="620">
        <f t="shared" si="94"/>
        <v>6329</v>
      </c>
      <c r="I100" s="620">
        <f t="shared" si="95"/>
        <v>1628</v>
      </c>
      <c r="J100" s="621">
        <f t="shared" si="75"/>
        <v>7957</v>
      </c>
      <c r="K100" s="271">
        <f t="shared" si="76"/>
        <v>40178</v>
      </c>
      <c r="L100" s="620">
        <v>13430</v>
      </c>
      <c r="M100" s="620">
        <v>25489</v>
      </c>
      <c r="N100" s="620">
        <v>916</v>
      </c>
      <c r="O100" s="620">
        <v>343</v>
      </c>
      <c r="P100" s="620">
        <f t="shared" si="77"/>
        <v>1259</v>
      </c>
      <c r="Q100" s="619">
        <f t="shared" si="78"/>
        <v>152800</v>
      </c>
      <c r="R100" s="620">
        <v>73615</v>
      </c>
      <c r="S100" s="620">
        <v>72887</v>
      </c>
      <c r="T100" s="620">
        <v>5140</v>
      </c>
      <c r="U100" s="620">
        <v>1158</v>
      </c>
      <c r="V100" s="621">
        <f t="shared" si="79"/>
        <v>6298</v>
      </c>
      <c r="W100" s="619">
        <f t="shared" si="80"/>
        <v>24875</v>
      </c>
      <c r="X100" s="620">
        <v>11932</v>
      </c>
      <c r="Y100" s="620">
        <v>12543</v>
      </c>
      <c r="Z100" s="620">
        <v>273</v>
      </c>
      <c r="AA100" s="620">
        <v>127</v>
      </c>
      <c r="AB100" s="621">
        <f t="shared" si="81"/>
        <v>400</v>
      </c>
      <c r="AC100" s="627">
        <f t="shared" si="82"/>
        <v>0.45432929544233958</v>
      </c>
      <c r="AD100" s="628">
        <f t="shared" si="83"/>
        <v>0.50914607556471569</v>
      </c>
      <c r="AE100" s="628">
        <f t="shared" si="84"/>
        <v>2.9051699999540975E-2</v>
      </c>
      <c r="AF100" s="628">
        <f t="shared" si="85"/>
        <v>7.4729289934038091E-3</v>
      </c>
      <c r="AG100" s="629">
        <f t="shared" si="86"/>
        <v>3.6524628992944785E-2</v>
      </c>
      <c r="AH100" s="627">
        <f t="shared" si="87"/>
        <v>0.18442711369593257</v>
      </c>
      <c r="AI100" s="628">
        <f t="shared" si="88"/>
        <v>0.70139038709588575</v>
      </c>
      <c r="AJ100" s="629">
        <f t="shared" si="89"/>
        <v>0.11418249920818166</v>
      </c>
      <c r="AK100" s="619">
        <f t="shared" si="90"/>
        <v>14346</v>
      </c>
      <c r="AL100" s="620">
        <v>4293</v>
      </c>
      <c r="AM100" s="620">
        <v>9665</v>
      </c>
      <c r="AN100" s="621">
        <v>388</v>
      </c>
      <c r="AO100" s="272">
        <f t="shared" si="91"/>
        <v>6.5851744065952733E-2</v>
      </c>
    </row>
    <row r="101" spans="1:41" x14ac:dyDescent="0.25">
      <c r="A101" s="270" t="s">
        <v>198</v>
      </c>
      <c r="B101" s="270" t="s">
        <v>199</v>
      </c>
      <c r="C101" s="270" t="s">
        <v>266</v>
      </c>
      <c r="D101" s="270">
        <v>1</v>
      </c>
      <c r="E101" s="619">
        <f t="shared" si="74"/>
        <v>8902</v>
      </c>
      <c r="F101" s="620">
        <f t="shared" si="92"/>
        <v>6042</v>
      </c>
      <c r="G101" s="620">
        <f t="shared" si="93"/>
        <v>2755</v>
      </c>
      <c r="H101" s="620">
        <f t="shared" si="94"/>
        <v>64</v>
      </c>
      <c r="I101" s="620">
        <f t="shared" si="95"/>
        <v>41</v>
      </c>
      <c r="J101" s="621">
        <f t="shared" si="75"/>
        <v>105</v>
      </c>
      <c r="K101" s="271">
        <f t="shared" si="76"/>
        <v>1525</v>
      </c>
      <c r="L101" s="620">
        <v>1055</v>
      </c>
      <c r="M101" s="620">
        <v>448</v>
      </c>
      <c r="N101" s="620">
        <v>12</v>
      </c>
      <c r="O101" s="620">
        <v>10</v>
      </c>
      <c r="P101" s="620">
        <f t="shared" si="77"/>
        <v>22</v>
      </c>
      <c r="Q101" s="619">
        <f t="shared" si="78"/>
        <v>5637</v>
      </c>
      <c r="R101" s="620">
        <v>3659</v>
      </c>
      <c r="S101" s="620">
        <v>1907</v>
      </c>
      <c r="T101" s="620">
        <v>45</v>
      </c>
      <c r="U101" s="620">
        <v>26</v>
      </c>
      <c r="V101" s="621">
        <f t="shared" si="79"/>
        <v>71</v>
      </c>
      <c r="W101" s="619">
        <f t="shared" si="80"/>
        <v>1740</v>
      </c>
      <c r="X101" s="620">
        <v>1328</v>
      </c>
      <c r="Y101" s="620">
        <v>400</v>
      </c>
      <c r="Z101" s="620">
        <v>7</v>
      </c>
      <c r="AA101" s="620">
        <v>5</v>
      </c>
      <c r="AB101" s="621">
        <f t="shared" si="81"/>
        <v>12</v>
      </c>
      <c r="AC101" s="627">
        <f t="shared" si="82"/>
        <v>0.67872388227364633</v>
      </c>
      <c r="AD101" s="628">
        <f t="shared" si="83"/>
        <v>0.30948101550213436</v>
      </c>
      <c r="AE101" s="628">
        <f t="shared" si="84"/>
        <v>7.1893956414288921E-3</v>
      </c>
      <c r="AF101" s="628">
        <f t="shared" si="85"/>
        <v>4.6057065827903839E-3</v>
      </c>
      <c r="AG101" s="629">
        <f t="shared" si="86"/>
        <v>1.1795102224219277E-2</v>
      </c>
      <c r="AH101" s="627">
        <f t="shared" si="87"/>
        <v>0.17130981801842282</v>
      </c>
      <c r="AI101" s="628">
        <f t="shared" si="88"/>
        <v>0.63322848798022913</v>
      </c>
      <c r="AJ101" s="629">
        <f t="shared" si="89"/>
        <v>0.19546169400134802</v>
      </c>
      <c r="AK101" s="619">
        <f t="shared" si="90"/>
        <v>575</v>
      </c>
      <c r="AL101" s="620">
        <v>150</v>
      </c>
      <c r="AM101" s="620">
        <v>408</v>
      </c>
      <c r="AN101" s="621">
        <v>17</v>
      </c>
      <c r="AO101" s="272">
        <f t="shared" si="91"/>
        <v>6.4592226465962702E-2</v>
      </c>
    </row>
    <row r="102" spans="1:41" x14ac:dyDescent="0.25">
      <c r="A102" s="270" t="s">
        <v>200</v>
      </c>
      <c r="B102" s="270" t="s">
        <v>313</v>
      </c>
      <c r="C102" s="270" t="s">
        <v>265</v>
      </c>
      <c r="D102" s="270">
        <v>3</v>
      </c>
      <c r="E102" s="619">
        <f t="shared" ref="E102:E125" si="96">SUM(F102:I102)</f>
        <v>99428</v>
      </c>
      <c r="F102" s="620">
        <f t="shared" si="92"/>
        <v>66263</v>
      </c>
      <c r="G102" s="620">
        <f t="shared" si="93"/>
        <v>30201</v>
      </c>
      <c r="H102" s="620">
        <f t="shared" si="94"/>
        <v>2546</v>
      </c>
      <c r="I102" s="620">
        <f t="shared" si="95"/>
        <v>418</v>
      </c>
      <c r="J102" s="621">
        <f t="shared" ref="J102:J125" si="97">H102+I102</f>
        <v>2964</v>
      </c>
      <c r="K102" s="271">
        <f t="shared" ref="K102:K125" si="98">SUM(L102:O102)</f>
        <v>21936</v>
      </c>
      <c r="L102" s="620">
        <v>12530</v>
      </c>
      <c r="M102" s="620">
        <v>8661</v>
      </c>
      <c r="N102" s="620">
        <v>660</v>
      </c>
      <c r="O102" s="620">
        <v>85</v>
      </c>
      <c r="P102" s="620">
        <f t="shared" ref="P102:P125" si="99">N102+O102</f>
        <v>745</v>
      </c>
      <c r="Q102" s="619">
        <f t="shared" ref="Q102:Q125" si="100">SUM(R102:U102)</f>
        <v>62722</v>
      </c>
      <c r="R102" s="620">
        <v>42429</v>
      </c>
      <c r="S102" s="620">
        <v>18292</v>
      </c>
      <c r="T102" s="620">
        <v>1699</v>
      </c>
      <c r="U102" s="620">
        <v>302</v>
      </c>
      <c r="V102" s="621">
        <f t="shared" ref="V102:V125" si="101">T102+U102</f>
        <v>2001</v>
      </c>
      <c r="W102" s="619">
        <f t="shared" ref="W102:W125" si="102">SUM(X102:AA102)</f>
        <v>14770</v>
      </c>
      <c r="X102" s="620">
        <v>11304</v>
      </c>
      <c r="Y102" s="620">
        <v>3248</v>
      </c>
      <c r="Z102" s="620">
        <v>187</v>
      </c>
      <c r="AA102" s="620">
        <v>31</v>
      </c>
      <c r="AB102" s="621">
        <f t="shared" ref="AB102:AB125" si="103">Z102+AA102</f>
        <v>218</v>
      </c>
      <c r="AC102" s="627">
        <f t="shared" ref="AC102:AC125" si="104">F102/E102</f>
        <v>0.6664420485175202</v>
      </c>
      <c r="AD102" s="628">
        <f t="shared" ref="AD102:AD125" si="105">G102/E102</f>
        <v>0.30374743533008808</v>
      </c>
      <c r="AE102" s="628">
        <f t="shared" ref="AE102:AE125" si="106">H102/E102</f>
        <v>2.5606469002695417E-2</v>
      </c>
      <c r="AF102" s="628">
        <f t="shared" ref="AF102:AF125" si="107">I102/E102</f>
        <v>4.204047149696263E-3</v>
      </c>
      <c r="AG102" s="629">
        <f t="shared" ref="AG102:AG125" si="108">J102/E102</f>
        <v>2.9810516152391681E-2</v>
      </c>
      <c r="AH102" s="627">
        <f t="shared" ref="AH102:AH125" si="109">K102/E102</f>
        <v>0.22062195759745745</v>
      </c>
      <c r="AI102" s="628">
        <f t="shared" ref="AI102:AI125" si="110">Q102/E102</f>
        <v>0.63082833809389705</v>
      </c>
      <c r="AJ102" s="629">
        <f t="shared" ref="AJ102:AJ125" si="111">W102/E102</f>
        <v>0.14854970430864545</v>
      </c>
      <c r="AK102" s="619">
        <f t="shared" ref="AK102:AK125" si="112">SUM(AL102:AN102)</f>
        <v>5881</v>
      </c>
      <c r="AL102" s="620">
        <v>2042</v>
      </c>
      <c r="AM102" s="620">
        <v>3659</v>
      </c>
      <c r="AN102" s="621">
        <v>180</v>
      </c>
      <c r="AO102" s="272">
        <f t="shared" ref="AO102:AO125" si="113">AK102/E102</f>
        <v>5.9148328438669184E-2</v>
      </c>
    </row>
    <row r="103" spans="1:41" x14ac:dyDescent="0.25">
      <c r="A103" s="270" t="s">
        <v>202</v>
      </c>
      <c r="B103" s="270" t="s">
        <v>203</v>
      </c>
      <c r="C103" s="270" t="s">
        <v>265</v>
      </c>
      <c r="D103" s="270">
        <v>3</v>
      </c>
      <c r="E103" s="619">
        <f t="shared" si="96"/>
        <v>119268</v>
      </c>
      <c r="F103" s="620">
        <f t="shared" si="92"/>
        <v>107299</v>
      </c>
      <c r="G103" s="620">
        <f t="shared" si="93"/>
        <v>7943</v>
      </c>
      <c r="H103" s="620">
        <f t="shared" si="94"/>
        <v>3752</v>
      </c>
      <c r="I103" s="620">
        <f t="shared" si="95"/>
        <v>274</v>
      </c>
      <c r="J103" s="621">
        <f t="shared" si="97"/>
        <v>4026</v>
      </c>
      <c r="K103" s="271">
        <f t="shared" si="98"/>
        <v>24569</v>
      </c>
      <c r="L103" s="620">
        <v>21210</v>
      </c>
      <c r="M103" s="620">
        <v>2232</v>
      </c>
      <c r="N103" s="620">
        <v>1071</v>
      </c>
      <c r="O103" s="620">
        <v>56</v>
      </c>
      <c r="P103" s="620">
        <f t="shared" si="99"/>
        <v>1127</v>
      </c>
      <c r="Q103" s="619">
        <f t="shared" si="100"/>
        <v>71955</v>
      </c>
      <c r="R103" s="620">
        <v>64506</v>
      </c>
      <c r="S103" s="620">
        <v>4845</v>
      </c>
      <c r="T103" s="620">
        <v>2412</v>
      </c>
      <c r="U103" s="620">
        <v>192</v>
      </c>
      <c r="V103" s="621">
        <f t="shared" si="101"/>
        <v>2604</v>
      </c>
      <c r="W103" s="619">
        <f t="shared" si="102"/>
        <v>22744</v>
      </c>
      <c r="X103" s="620">
        <v>21583</v>
      </c>
      <c r="Y103" s="620">
        <v>866</v>
      </c>
      <c r="Z103" s="620">
        <v>269</v>
      </c>
      <c r="AA103" s="620">
        <v>26</v>
      </c>
      <c r="AB103" s="621">
        <f t="shared" si="103"/>
        <v>295</v>
      </c>
      <c r="AC103" s="627">
        <f t="shared" si="104"/>
        <v>0.89964617500083843</v>
      </c>
      <c r="AD103" s="628">
        <f t="shared" si="105"/>
        <v>6.6597913941711107E-2</v>
      </c>
      <c r="AE103" s="628">
        <f t="shared" si="106"/>
        <v>3.1458563906496297E-2</v>
      </c>
      <c r="AF103" s="628">
        <f t="shared" si="107"/>
        <v>2.2973471509541536E-3</v>
      </c>
      <c r="AG103" s="629">
        <f t="shared" si="108"/>
        <v>3.3755911057450447E-2</v>
      </c>
      <c r="AH103" s="627">
        <f t="shared" si="109"/>
        <v>0.20599825602844016</v>
      </c>
      <c r="AI103" s="628">
        <f t="shared" si="110"/>
        <v>0.60330516148505886</v>
      </c>
      <c r="AJ103" s="629">
        <f t="shared" si="111"/>
        <v>0.19069658248650098</v>
      </c>
      <c r="AK103" s="619">
        <f t="shared" si="112"/>
        <v>3354</v>
      </c>
      <c r="AL103" s="620">
        <v>1223</v>
      </c>
      <c r="AM103" s="620">
        <v>1975</v>
      </c>
      <c r="AN103" s="621">
        <v>156</v>
      </c>
      <c r="AO103" s="272">
        <f t="shared" si="113"/>
        <v>2.8121541402555589E-2</v>
      </c>
    </row>
    <row r="104" spans="1:41" x14ac:dyDescent="0.25">
      <c r="A104" s="270" t="s">
        <v>204</v>
      </c>
      <c r="B104" s="270" t="s">
        <v>205</v>
      </c>
      <c r="C104" s="270" t="s">
        <v>265</v>
      </c>
      <c r="D104" s="270">
        <v>2</v>
      </c>
      <c r="E104" s="619">
        <f t="shared" si="96"/>
        <v>36241</v>
      </c>
      <c r="F104" s="620">
        <f t="shared" si="92"/>
        <v>33661</v>
      </c>
      <c r="G104" s="620">
        <f t="shared" si="93"/>
        <v>1882</v>
      </c>
      <c r="H104" s="620">
        <f t="shared" si="94"/>
        <v>468</v>
      </c>
      <c r="I104" s="620">
        <f t="shared" si="95"/>
        <v>230</v>
      </c>
      <c r="J104" s="621">
        <f t="shared" si="97"/>
        <v>698</v>
      </c>
      <c r="K104" s="271">
        <f t="shared" si="98"/>
        <v>6217</v>
      </c>
      <c r="L104" s="620">
        <v>5651</v>
      </c>
      <c r="M104" s="620">
        <v>419</v>
      </c>
      <c r="N104" s="620">
        <v>83</v>
      </c>
      <c r="O104" s="620">
        <v>64</v>
      </c>
      <c r="P104" s="620">
        <f t="shared" si="99"/>
        <v>147</v>
      </c>
      <c r="Q104" s="619">
        <f t="shared" si="100"/>
        <v>22416</v>
      </c>
      <c r="R104" s="620">
        <v>20756</v>
      </c>
      <c r="S104" s="620">
        <v>1162</v>
      </c>
      <c r="T104" s="620">
        <v>363</v>
      </c>
      <c r="U104" s="620">
        <v>135</v>
      </c>
      <c r="V104" s="621">
        <f t="shared" si="101"/>
        <v>498</v>
      </c>
      <c r="W104" s="619">
        <f t="shared" si="102"/>
        <v>7608</v>
      </c>
      <c r="X104" s="620">
        <v>7254</v>
      </c>
      <c r="Y104" s="620">
        <v>301</v>
      </c>
      <c r="Z104" s="620">
        <v>22</v>
      </c>
      <c r="AA104" s="620">
        <v>31</v>
      </c>
      <c r="AB104" s="621">
        <f t="shared" si="103"/>
        <v>53</v>
      </c>
      <c r="AC104" s="627">
        <f t="shared" si="104"/>
        <v>0.92880991142628511</v>
      </c>
      <c r="AD104" s="628">
        <f t="shared" si="105"/>
        <v>5.1930134378190447E-2</v>
      </c>
      <c r="AE104" s="628">
        <f t="shared" si="106"/>
        <v>1.2913550950580834E-2</v>
      </c>
      <c r="AF104" s="628">
        <f t="shared" si="107"/>
        <v>6.346403244943572E-3</v>
      </c>
      <c r="AG104" s="629">
        <f t="shared" si="108"/>
        <v>1.9259954195524405E-2</v>
      </c>
      <c r="AH104" s="627">
        <f t="shared" si="109"/>
        <v>0.17154603901658344</v>
      </c>
      <c r="AI104" s="628">
        <f t="shared" si="110"/>
        <v>0.61852597886371785</v>
      </c>
      <c r="AJ104" s="629">
        <f t="shared" si="111"/>
        <v>0.20992798211969868</v>
      </c>
      <c r="AK104" s="619">
        <f t="shared" si="112"/>
        <v>805</v>
      </c>
      <c r="AL104" s="620">
        <v>229</v>
      </c>
      <c r="AM104" s="620">
        <v>521</v>
      </c>
      <c r="AN104" s="621">
        <v>55</v>
      </c>
      <c r="AO104" s="272">
        <f t="shared" si="113"/>
        <v>2.2212411357302501E-2</v>
      </c>
    </row>
    <row r="105" spans="1:41" x14ac:dyDescent="0.25">
      <c r="A105" s="270" t="s">
        <v>206</v>
      </c>
      <c r="B105" s="270" t="s">
        <v>207</v>
      </c>
      <c r="C105" s="270" t="s">
        <v>267</v>
      </c>
      <c r="D105" s="270">
        <v>3</v>
      </c>
      <c r="E105" s="619">
        <f t="shared" si="96"/>
        <v>130649</v>
      </c>
      <c r="F105" s="620">
        <f t="shared" si="92"/>
        <v>119967</v>
      </c>
      <c r="G105" s="620">
        <f t="shared" si="93"/>
        <v>6784</v>
      </c>
      <c r="H105" s="620">
        <f t="shared" si="94"/>
        <v>3060</v>
      </c>
      <c r="I105" s="620">
        <f t="shared" si="95"/>
        <v>838</v>
      </c>
      <c r="J105" s="621">
        <f t="shared" si="97"/>
        <v>3898</v>
      </c>
      <c r="K105" s="271">
        <f t="shared" si="98"/>
        <v>26017</v>
      </c>
      <c r="L105" s="620">
        <v>23426</v>
      </c>
      <c r="M105" s="620">
        <v>1807</v>
      </c>
      <c r="N105" s="620">
        <v>557</v>
      </c>
      <c r="O105" s="620">
        <v>227</v>
      </c>
      <c r="P105" s="620">
        <f t="shared" si="99"/>
        <v>784</v>
      </c>
      <c r="Q105" s="619">
        <f t="shared" si="100"/>
        <v>86328</v>
      </c>
      <c r="R105" s="620">
        <v>78752</v>
      </c>
      <c r="S105" s="620">
        <v>4644</v>
      </c>
      <c r="T105" s="620">
        <v>2363</v>
      </c>
      <c r="U105" s="620">
        <v>569</v>
      </c>
      <c r="V105" s="621">
        <f t="shared" si="101"/>
        <v>2932</v>
      </c>
      <c r="W105" s="619">
        <f t="shared" si="102"/>
        <v>18304</v>
      </c>
      <c r="X105" s="620">
        <v>17789</v>
      </c>
      <c r="Y105" s="620">
        <v>333</v>
      </c>
      <c r="Z105" s="620">
        <v>140</v>
      </c>
      <c r="AA105" s="620">
        <v>42</v>
      </c>
      <c r="AB105" s="621">
        <f t="shared" si="103"/>
        <v>182</v>
      </c>
      <c r="AC105" s="627">
        <f t="shared" si="104"/>
        <v>0.9182389455717227</v>
      </c>
      <c r="AD105" s="628">
        <f t="shared" si="105"/>
        <v>5.192538787131934E-2</v>
      </c>
      <c r="AE105" s="628">
        <f t="shared" si="106"/>
        <v>2.3421534033938263E-2</v>
      </c>
      <c r="AF105" s="628">
        <f t="shared" si="107"/>
        <v>6.4141325230196939E-3</v>
      </c>
      <c r="AG105" s="629">
        <f t="shared" si="108"/>
        <v>2.9835666556957956E-2</v>
      </c>
      <c r="AH105" s="627">
        <f t="shared" si="109"/>
        <v>0.19913661796110188</v>
      </c>
      <c r="AI105" s="628">
        <f t="shared" si="110"/>
        <v>0.66076280721628178</v>
      </c>
      <c r="AJ105" s="629">
        <f t="shared" si="111"/>
        <v>0.14010057482261631</v>
      </c>
      <c r="AK105" s="619">
        <f t="shared" si="112"/>
        <v>14470</v>
      </c>
      <c r="AL105" s="620">
        <v>4976</v>
      </c>
      <c r="AM105" s="620">
        <v>9153</v>
      </c>
      <c r="AN105" s="621">
        <v>341</v>
      </c>
      <c r="AO105" s="272">
        <f t="shared" si="113"/>
        <v>0.1107547704153878</v>
      </c>
    </row>
    <row r="106" spans="1:41" x14ac:dyDescent="0.25">
      <c r="A106" s="270" t="s">
        <v>208</v>
      </c>
      <c r="B106" s="270" t="s">
        <v>209</v>
      </c>
      <c r="C106" s="270" t="s">
        <v>268</v>
      </c>
      <c r="D106" s="270">
        <v>2</v>
      </c>
      <c r="E106" s="619">
        <f t="shared" si="96"/>
        <v>28023</v>
      </c>
      <c r="F106" s="620">
        <f t="shared" si="92"/>
        <v>27536</v>
      </c>
      <c r="G106" s="620">
        <f t="shared" si="93"/>
        <v>348</v>
      </c>
      <c r="H106" s="620">
        <f t="shared" si="94"/>
        <v>72</v>
      </c>
      <c r="I106" s="620">
        <f t="shared" si="95"/>
        <v>67</v>
      </c>
      <c r="J106" s="621">
        <f t="shared" si="97"/>
        <v>139</v>
      </c>
      <c r="K106" s="271">
        <f t="shared" si="98"/>
        <v>5512</v>
      </c>
      <c r="L106" s="620">
        <v>5388</v>
      </c>
      <c r="M106" s="620">
        <v>100</v>
      </c>
      <c r="N106" s="620">
        <v>12</v>
      </c>
      <c r="O106" s="620">
        <v>12</v>
      </c>
      <c r="P106" s="620">
        <f t="shared" si="99"/>
        <v>24</v>
      </c>
      <c r="Q106" s="619">
        <f t="shared" si="100"/>
        <v>17237</v>
      </c>
      <c r="R106" s="620">
        <v>16952</v>
      </c>
      <c r="S106" s="620">
        <v>190</v>
      </c>
      <c r="T106" s="620">
        <v>52</v>
      </c>
      <c r="U106" s="620">
        <v>43</v>
      </c>
      <c r="V106" s="621">
        <f t="shared" si="101"/>
        <v>95</v>
      </c>
      <c r="W106" s="619">
        <f t="shared" si="102"/>
        <v>5274</v>
      </c>
      <c r="X106" s="620">
        <v>5196</v>
      </c>
      <c r="Y106" s="620">
        <v>58</v>
      </c>
      <c r="Z106" s="620">
        <v>8</v>
      </c>
      <c r="AA106" s="620">
        <v>12</v>
      </c>
      <c r="AB106" s="621">
        <f t="shared" si="103"/>
        <v>20</v>
      </c>
      <c r="AC106" s="627">
        <f t="shared" si="104"/>
        <v>0.98262141812082937</v>
      </c>
      <c r="AD106" s="628">
        <f t="shared" si="105"/>
        <v>1.241837062413018E-2</v>
      </c>
      <c r="AE106" s="628">
        <f t="shared" si="106"/>
        <v>2.5693180601648645E-3</v>
      </c>
      <c r="AF106" s="628">
        <f t="shared" si="107"/>
        <v>2.390893194875638E-3</v>
      </c>
      <c r="AG106" s="629">
        <f t="shared" si="108"/>
        <v>4.9602112550405026E-3</v>
      </c>
      <c r="AH106" s="627">
        <f t="shared" si="109"/>
        <v>0.19669557149484351</v>
      </c>
      <c r="AI106" s="628">
        <f t="shared" si="110"/>
        <v>0.61510188059808013</v>
      </c>
      <c r="AJ106" s="629">
        <f t="shared" si="111"/>
        <v>0.18820254790707633</v>
      </c>
      <c r="AK106" s="619">
        <f t="shared" si="112"/>
        <v>314</v>
      </c>
      <c r="AL106" s="620">
        <v>107</v>
      </c>
      <c r="AM106" s="620">
        <v>184</v>
      </c>
      <c r="AN106" s="621">
        <v>23</v>
      </c>
      <c r="AO106" s="272">
        <f t="shared" si="113"/>
        <v>1.1205081540163437E-2</v>
      </c>
    </row>
    <row r="107" spans="1:41" x14ac:dyDescent="0.25">
      <c r="A107" s="270" t="s">
        <v>210</v>
      </c>
      <c r="B107" s="270" t="s">
        <v>211</v>
      </c>
      <c r="C107" s="270" t="s">
        <v>268</v>
      </c>
      <c r="D107" s="270">
        <v>2</v>
      </c>
      <c r="E107" s="619">
        <f t="shared" si="96"/>
        <v>22384</v>
      </c>
      <c r="F107" s="620">
        <f t="shared" si="92"/>
        <v>22040</v>
      </c>
      <c r="G107" s="620">
        <f t="shared" si="93"/>
        <v>216</v>
      </c>
      <c r="H107" s="620">
        <f t="shared" si="94"/>
        <v>66</v>
      </c>
      <c r="I107" s="620">
        <f t="shared" si="95"/>
        <v>62</v>
      </c>
      <c r="J107" s="621">
        <f t="shared" si="97"/>
        <v>128</v>
      </c>
      <c r="K107" s="271">
        <f t="shared" si="98"/>
        <v>4226</v>
      </c>
      <c r="L107" s="620">
        <v>4123</v>
      </c>
      <c r="M107" s="620">
        <v>65</v>
      </c>
      <c r="N107" s="620">
        <v>30</v>
      </c>
      <c r="O107" s="620">
        <v>8</v>
      </c>
      <c r="P107" s="620">
        <f t="shared" si="99"/>
        <v>38</v>
      </c>
      <c r="Q107" s="619">
        <f t="shared" si="100"/>
        <v>13354</v>
      </c>
      <c r="R107" s="620">
        <v>13155</v>
      </c>
      <c r="S107" s="620">
        <v>122</v>
      </c>
      <c r="T107" s="620">
        <v>32</v>
      </c>
      <c r="U107" s="620">
        <v>45</v>
      </c>
      <c r="V107" s="621">
        <f t="shared" si="101"/>
        <v>77</v>
      </c>
      <c r="W107" s="619">
        <f t="shared" si="102"/>
        <v>4804</v>
      </c>
      <c r="X107" s="620">
        <v>4762</v>
      </c>
      <c r="Y107" s="620">
        <v>29</v>
      </c>
      <c r="Z107" s="620">
        <v>4</v>
      </c>
      <c r="AA107" s="620">
        <v>9</v>
      </c>
      <c r="AB107" s="621">
        <f t="shared" si="103"/>
        <v>13</v>
      </c>
      <c r="AC107" s="627">
        <f t="shared" si="104"/>
        <v>0.98463187991422441</v>
      </c>
      <c r="AD107" s="628">
        <f t="shared" si="105"/>
        <v>9.6497498213009292E-3</v>
      </c>
      <c r="AE107" s="628">
        <f t="shared" si="106"/>
        <v>2.9485346676197282E-3</v>
      </c>
      <c r="AF107" s="628">
        <f t="shared" si="107"/>
        <v>2.7698355968548962E-3</v>
      </c>
      <c r="AG107" s="629">
        <f t="shared" si="108"/>
        <v>5.7183702644746249E-3</v>
      </c>
      <c r="AH107" s="627">
        <f t="shared" si="109"/>
        <v>0.18879556826304503</v>
      </c>
      <c r="AI107" s="628">
        <f t="shared" si="110"/>
        <v>0.59658684774839166</v>
      </c>
      <c r="AJ107" s="629">
        <f t="shared" si="111"/>
        <v>0.21461758398856326</v>
      </c>
      <c r="AK107" s="619">
        <f t="shared" si="112"/>
        <v>285</v>
      </c>
      <c r="AL107" s="620">
        <v>111</v>
      </c>
      <c r="AM107" s="620">
        <v>157</v>
      </c>
      <c r="AN107" s="621">
        <v>17</v>
      </c>
      <c r="AO107" s="272">
        <f t="shared" si="113"/>
        <v>1.2732308791994282E-2</v>
      </c>
    </row>
    <row r="108" spans="1:41" x14ac:dyDescent="0.25">
      <c r="A108" s="270" t="s">
        <v>212</v>
      </c>
      <c r="B108" s="270" t="s">
        <v>213</v>
      </c>
      <c r="C108" s="270" t="s">
        <v>267</v>
      </c>
      <c r="D108" s="270">
        <v>2</v>
      </c>
      <c r="E108" s="619">
        <f t="shared" si="96"/>
        <v>43021</v>
      </c>
      <c r="F108" s="620">
        <f t="shared" si="92"/>
        <v>41225</v>
      </c>
      <c r="G108" s="620">
        <f t="shared" si="93"/>
        <v>1235</v>
      </c>
      <c r="H108" s="620">
        <f t="shared" si="94"/>
        <v>365</v>
      </c>
      <c r="I108" s="620">
        <f t="shared" si="95"/>
        <v>196</v>
      </c>
      <c r="J108" s="621">
        <f t="shared" si="97"/>
        <v>561</v>
      </c>
      <c r="K108" s="271">
        <f t="shared" si="98"/>
        <v>9240</v>
      </c>
      <c r="L108" s="620">
        <v>8724</v>
      </c>
      <c r="M108" s="620">
        <v>373</v>
      </c>
      <c r="N108" s="620">
        <v>87</v>
      </c>
      <c r="O108" s="620">
        <v>56</v>
      </c>
      <c r="P108" s="620">
        <f t="shared" si="99"/>
        <v>143</v>
      </c>
      <c r="Q108" s="619">
        <f t="shared" si="100"/>
        <v>25080</v>
      </c>
      <c r="R108" s="620">
        <v>23992</v>
      </c>
      <c r="S108" s="620">
        <v>733</v>
      </c>
      <c r="T108" s="620">
        <v>240</v>
      </c>
      <c r="U108" s="620">
        <v>115</v>
      </c>
      <c r="V108" s="621">
        <f t="shared" si="101"/>
        <v>355</v>
      </c>
      <c r="W108" s="619">
        <f t="shared" si="102"/>
        <v>8701</v>
      </c>
      <c r="X108" s="620">
        <v>8509</v>
      </c>
      <c r="Y108" s="620">
        <v>129</v>
      </c>
      <c r="Z108" s="620">
        <v>38</v>
      </c>
      <c r="AA108" s="620">
        <v>25</v>
      </c>
      <c r="AB108" s="621">
        <f t="shared" si="103"/>
        <v>63</v>
      </c>
      <c r="AC108" s="627">
        <f t="shared" si="104"/>
        <v>0.95825294623555934</v>
      </c>
      <c r="AD108" s="628">
        <f t="shared" si="105"/>
        <v>2.8706910578554658E-2</v>
      </c>
      <c r="AE108" s="628">
        <f t="shared" si="106"/>
        <v>8.4842286325283005E-3</v>
      </c>
      <c r="AF108" s="628">
        <f t="shared" si="107"/>
        <v>4.555914553357663E-3</v>
      </c>
      <c r="AG108" s="629">
        <f t="shared" si="108"/>
        <v>1.3040143185885963E-2</v>
      </c>
      <c r="AH108" s="627">
        <f t="shared" si="109"/>
        <v>0.2147788289440041</v>
      </c>
      <c r="AI108" s="628">
        <f t="shared" si="110"/>
        <v>0.58297110713372535</v>
      </c>
      <c r="AJ108" s="629">
        <f t="shared" si="111"/>
        <v>0.20225006392227052</v>
      </c>
      <c r="AK108" s="619">
        <f t="shared" si="112"/>
        <v>2924</v>
      </c>
      <c r="AL108" s="620">
        <v>1141</v>
      </c>
      <c r="AM108" s="620">
        <v>1700</v>
      </c>
      <c r="AN108" s="621">
        <v>83</v>
      </c>
      <c r="AO108" s="272">
        <f t="shared" si="113"/>
        <v>6.7966806908254102E-2</v>
      </c>
    </row>
    <row r="109" spans="1:41" x14ac:dyDescent="0.25">
      <c r="A109" s="270" t="s">
        <v>214</v>
      </c>
      <c r="B109" s="270" t="s">
        <v>215</v>
      </c>
      <c r="C109" s="270" t="s">
        <v>268</v>
      </c>
      <c r="D109" s="270">
        <v>2</v>
      </c>
      <c r="E109" s="619">
        <f t="shared" si="96"/>
        <v>31555</v>
      </c>
      <c r="F109" s="620">
        <f t="shared" si="92"/>
        <v>30507</v>
      </c>
      <c r="G109" s="620">
        <f t="shared" si="93"/>
        <v>857</v>
      </c>
      <c r="H109" s="620">
        <f t="shared" si="94"/>
        <v>137</v>
      </c>
      <c r="I109" s="620">
        <f t="shared" si="95"/>
        <v>54</v>
      </c>
      <c r="J109" s="621">
        <f t="shared" si="97"/>
        <v>191</v>
      </c>
      <c r="K109" s="271">
        <f t="shared" si="98"/>
        <v>6328</v>
      </c>
      <c r="L109" s="620">
        <v>6098</v>
      </c>
      <c r="M109" s="620">
        <v>189</v>
      </c>
      <c r="N109" s="620">
        <v>39</v>
      </c>
      <c r="O109" s="620">
        <v>2</v>
      </c>
      <c r="P109" s="620">
        <f t="shared" si="99"/>
        <v>41</v>
      </c>
      <c r="Q109" s="619">
        <f t="shared" si="100"/>
        <v>18920</v>
      </c>
      <c r="R109" s="620">
        <v>18197</v>
      </c>
      <c r="S109" s="620">
        <v>600</v>
      </c>
      <c r="T109" s="620">
        <v>83</v>
      </c>
      <c r="U109" s="620">
        <v>40</v>
      </c>
      <c r="V109" s="621">
        <f t="shared" si="101"/>
        <v>123</v>
      </c>
      <c r="W109" s="619">
        <f t="shared" si="102"/>
        <v>6307</v>
      </c>
      <c r="X109" s="620">
        <v>6212</v>
      </c>
      <c r="Y109" s="620">
        <v>68</v>
      </c>
      <c r="Z109" s="620">
        <v>15</v>
      </c>
      <c r="AA109" s="620">
        <v>12</v>
      </c>
      <c r="AB109" s="621">
        <f t="shared" si="103"/>
        <v>27</v>
      </c>
      <c r="AC109" s="627">
        <f t="shared" si="104"/>
        <v>0.96678814767865628</v>
      </c>
      <c r="AD109" s="628">
        <f t="shared" si="105"/>
        <v>2.7158928854381238E-2</v>
      </c>
      <c r="AE109" s="628">
        <f t="shared" si="106"/>
        <v>4.3416257328474095E-3</v>
      </c>
      <c r="AF109" s="628">
        <f t="shared" si="107"/>
        <v>1.7112977341150373E-3</v>
      </c>
      <c r="AG109" s="629">
        <f t="shared" si="108"/>
        <v>6.0529234669624461E-3</v>
      </c>
      <c r="AH109" s="627">
        <f t="shared" si="109"/>
        <v>0.20053874187925844</v>
      </c>
      <c r="AI109" s="628">
        <f t="shared" si="110"/>
        <v>0.59958802091586116</v>
      </c>
      <c r="AJ109" s="629">
        <f t="shared" si="111"/>
        <v>0.19987323720488037</v>
      </c>
      <c r="AK109" s="619">
        <f t="shared" si="112"/>
        <v>573</v>
      </c>
      <c r="AL109" s="620">
        <v>207</v>
      </c>
      <c r="AM109" s="620">
        <v>336</v>
      </c>
      <c r="AN109" s="621">
        <v>30</v>
      </c>
      <c r="AO109" s="272">
        <f t="shared" si="113"/>
        <v>1.8158770400887338E-2</v>
      </c>
    </row>
    <row r="110" spans="1:41" x14ac:dyDescent="0.25">
      <c r="A110" s="270" t="s">
        <v>216</v>
      </c>
      <c r="B110" s="270" t="s">
        <v>217</v>
      </c>
      <c r="C110" s="270" t="s">
        <v>264</v>
      </c>
      <c r="D110" s="270">
        <v>2</v>
      </c>
      <c r="E110" s="619">
        <f t="shared" si="96"/>
        <v>18059</v>
      </c>
      <c r="F110" s="620">
        <f t="shared" si="92"/>
        <v>11236</v>
      </c>
      <c r="G110" s="620">
        <f t="shared" si="93"/>
        <v>6668</v>
      </c>
      <c r="H110" s="620">
        <f t="shared" si="94"/>
        <v>74</v>
      </c>
      <c r="I110" s="620">
        <f t="shared" si="95"/>
        <v>81</v>
      </c>
      <c r="J110" s="621">
        <f t="shared" si="97"/>
        <v>155</v>
      </c>
      <c r="K110" s="271">
        <f t="shared" si="98"/>
        <v>3429</v>
      </c>
      <c r="L110" s="620">
        <v>2096</v>
      </c>
      <c r="M110" s="620">
        <v>1300</v>
      </c>
      <c r="N110" s="620">
        <v>18</v>
      </c>
      <c r="O110" s="620">
        <v>15</v>
      </c>
      <c r="P110" s="620">
        <f t="shared" si="99"/>
        <v>33</v>
      </c>
      <c r="Q110" s="619">
        <f t="shared" si="100"/>
        <v>11380</v>
      </c>
      <c r="R110" s="620">
        <v>7050</v>
      </c>
      <c r="S110" s="620">
        <v>4221</v>
      </c>
      <c r="T110" s="620">
        <v>53</v>
      </c>
      <c r="U110" s="620">
        <v>56</v>
      </c>
      <c r="V110" s="621">
        <f t="shared" si="101"/>
        <v>109</v>
      </c>
      <c r="W110" s="619">
        <f t="shared" si="102"/>
        <v>3250</v>
      </c>
      <c r="X110" s="620">
        <v>2090</v>
      </c>
      <c r="Y110" s="620">
        <v>1147</v>
      </c>
      <c r="Z110" s="620">
        <v>3</v>
      </c>
      <c r="AA110" s="620">
        <v>10</v>
      </c>
      <c r="AB110" s="621">
        <f t="shared" si="103"/>
        <v>13</v>
      </c>
      <c r="AC110" s="627">
        <f t="shared" si="104"/>
        <v>0.62218284511877731</v>
      </c>
      <c r="AD110" s="628">
        <f t="shared" si="105"/>
        <v>0.36923417686472121</v>
      </c>
      <c r="AE110" s="628">
        <f t="shared" si="106"/>
        <v>4.0976798272329583E-3</v>
      </c>
      <c r="AF110" s="628">
        <f t="shared" si="107"/>
        <v>4.4852981892685084E-3</v>
      </c>
      <c r="AG110" s="629">
        <f t="shared" si="108"/>
        <v>8.5829780165014666E-3</v>
      </c>
      <c r="AH110" s="627">
        <f t="shared" si="109"/>
        <v>0.18987762334570021</v>
      </c>
      <c r="AI110" s="628">
        <f t="shared" si="110"/>
        <v>0.63015670856636585</v>
      </c>
      <c r="AJ110" s="629">
        <f t="shared" si="111"/>
        <v>0.17996566808793399</v>
      </c>
      <c r="AK110" s="619">
        <f t="shared" si="112"/>
        <v>243</v>
      </c>
      <c r="AL110" s="620">
        <v>76</v>
      </c>
      <c r="AM110" s="620">
        <v>152</v>
      </c>
      <c r="AN110" s="621">
        <v>15</v>
      </c>
      <c r="AO110" s="272">
        <f t="shared" si="113"/>
        <v>1.3455894567805526E-2</v>
      </c>
    </row>
    <row r="111" spans="1:41" x14ac:dyDescent="0.25">
      <c r="A111" s="270" t="s">
        <v>218</v>
      </c>
      <c r="B111" s="270" t="s">
        <v>219</v>
      </c>
      <c r="C111" s="270" t="s">
        <v>267</v>
      </c>
      <c r="D111" s="270">
        <v>2</v>
      </c>
      <c r="E111" s="619">
        <f t="shared" si="96"/>
        <v>129188</v>
      </c>
      <c r="F111" s="620">
        <f t="shared" si="92"/>
        <v>102112</v>
      </c>
      <c r="G111" s="620">
        <f t="shared" si="93"/>
        <v>22130</v>
      </c>
      <c r="H111" s="620">
        <f t="shared" si="94"/>
        <v>4248</v>
      </c>
      <c r="I111" s="620">
        <f t="shared" si="95"/>
        <v>698</v>
      </c>
      <c r="J111" s="621">
        <f t="shared" si="97"/>
        <v>4946</v>
      </c>
      <c r="K111" s="271">
        <f t="shared" si="98"/>
        <v>33093</v>
      </c>
      <c r="L111" s="620">
        <v>25477</v>
      </c>
      <c r="M111" s="620">
        <v>6254</v>
      </c>
      <c r="N111" s="620">
        <v>1183</v>
      </c>
      <c r="O111" s="620">
        <v>179</v>
      </c>
      <c r="P111" s="620">
        <f t="shared" si="99"/>
        <v>1362</v>
      </c>
      <c r="Q111" s="619">
        <f t="shared" si="100"/>
        <v>80315</v>
      </c>
      <c r="R111" s="620">
        <v>63201</v>
      </c>
      <c r="S111" s="620">
        <v>13912</v>
      </c>
      <c r="T111" s="620">
        <v>2725</v>
      </c>
      <c r="U111" s="620">
        <v>477</v>
      </c>
      <c r="V111" s="621">
        <f t="shared" si="101"/>
        <v>3202</v>
      </c>
      <c r="W111" s="619">
        <f t="shared" si="102"/>
        <v>15780</v>
      </c>
      <c r="X111" s="620">
        <v>13434</v>
      </c>
      <c r="Y111" s="620">
        <v>1964</v>
      </c>
      <c r="Z111" s="620">
        <v>340</v>
      </c>
      <c r="AA111" s="620">
        <v>42</v>
      </c>
      <c r="AB111" s="621">
        <f t="shared" si="103"/>
        <v>382</v>
      </c>
      <c r="AC111" s="627">
        <f t="shared" si="104"/>
        <v>0.79041397033780225</v>
      </c>
      <c r="AD111" s="628">
        <f t="shared" si="105"/>
        <v>0.17130074000681178</v>
      </c>
      <c r="AE111" s="628">
        <f t="shared" si="106"/>
        <v>3.2882311050561969E-2</v>
      </c>
      <c r="AF111" s="628">
        <f t="shared" si="107"/>
        <v>5.4029786048239775E-3</v>
      </c>
      <c r="AG111" s="629">
        <f t="shared" si="108"/>
        <v>3.8285289655385947E-2</v>
      </c>
      <c r="AH111" s="627">
        <f t="shared" si="109"/>
        <v>0.25616156299346687</v>
      </c>
      <c r="AI111" s="628">
        <f t="shared" si="110"/>
        <v>0.62169086912097093</v>
      </c>
      <c r="AJ111" s="629">
        <f t="shared" si="111"/>
        <v>0.12214756788556212</v>
      </c>
      <c r="AK111" s="619">
        <f t="shared" si="112"/>
        <v>11214</v>
      </c>
      <c r="AL111" s="620">
        <v>4048</v>
      </c>
      <c r="AM111" s="620">
        <v>6797</v>
      </c>
      <c r="AN111" s="621">
        <v>369</v>
      </c>
      <c r="AO111" s="272">
        <f t="shared" si="113"/>
        <v>8.6803727900424191E-2</v>
      </c>
    </row>
    <row r="112" spans="1:41" x14ac:dyDescent="0.25">
      <c r="A112" s="270" t="s">
        <v>220</v>
      </c>
      <c r="B112" s="270" t="s">
        <v>221</v>
      </c>
      <c r="C112" s="270" t="s">
        <v>267</v>
      </c>
      <c r="D112" s="270">
        <v>2</v>
      </c>
      <c r="E112" s="619">
        <f t="shared" si="96"/>
        <v>139992</v>
      </c>
      <c r="F112" s="620">
        <f t="shared" si="92"/>
        <v>106286</v>
      </c>
      <c r="G112" s="620">
        <f t="shared" si="93"/>
        <v>26849</v>
      </c>
      <c r="H112" s="620">
        <f t="shared" si="94"/>
        <v>5725</v>
      </c>
      <c r="I112" s="620">
        <f t="shared" si="95"/>
        <v>1132</v>
      </c>
      <c r="J112" s="621">
        <f t="shared" si="97"/>
        <v>6857</v>
      </c>
      <c r="K112" s="271">
        <f t="shared" si="98"/>
        <v>37524</v>
      </c>
      <c r="L112" s="620">
        <v>27725</v>
      </c>
      <c r="M112" s="620">
        <v>7912</v>
      </c>
      <c r="N112" s="620">
        <v>1588</v>
      </c>
      <c r="O112" s="620">
        <v>299</v>
      </c>
      <c r="P112" s="620">
        <f t="shared" si="99"/>
        <v>1887</v>
      </c>
      <c r="Q112" s="619">
        <f t="shared" si="100"/>
        <v>89719</v>
      </c>
      <c r="R112" s="620">
        <v>67731</v>
      </c>
      <c r="S112" s="620">
        <v>17521</v>
      </c>
      <c r="T112" s="620">
        <v>3720</v>
      </c>
      <c r="U112" s="620">
        <v>747</v>
      </c>
      <c r="V112" s="621">
        <f t="shared" si="101"/>
        <v>4467</v>
      </c>
      <c r="W112" s="619">
        <f t="shared" si="102"/>
        <v>12749</v>
      </c>
      <c r="X112" s="620">
        <v>10830</v>
      </c>
      <c r="Y112" s="620">
        <v>1416</v>
      </c>
      <c r="Z112" s="620">
        <v>417</v>
      </c>
      <c r="AA112" s="620">
        <v>86</v>
      </c>
      <c r="AB112" s="621">
        <f t="shared" si="103"/>
        <v>503</v>
      </c>
      <c r="AC112" s="627">
        <f t="shared" si="104"/>
        <v>0.75922909880564604</v>
      </c>
      <c r="AD112" s="628">
        <f t="shared" si="105"/>
        <v>0.19178953083033315</v>
      </c>
      <c r="AE112" s="628">
        <f t="shared" si="106"/>
        <v>4.089519401108635E-2</v>
      </c>
      <c r="AF112" s="628">
        <f t="shared" si="107"/>
        <v>8.086176352934453E-3</v>
      </c>
      <c r="AG112" s="629">
        <f t="shared" si="108"/>
        <v>4.8981370364020803E-2</v>
      </c>
      <c r="AH112" s="627">
        <f t="shared" si="109"/>
        <v>0.26804388822218411</v>
      </c>
      <c r="AI112" s="628">
        <f t="shared" si="110"/>
        <v>0.64088662209269098</v>
      </c>
      <c r="AJ112" s="629">
        <f t="shared" si="111"/>
        <v>9.1069489685124863E-2</v>
      </c>
      <c r="AK112" s="619">
        <f t="shared" si="112"/>
        <v>15765</v>
      </c>
      <c r="AL112" s="620">
        <v>5568</v>
      </c>
      <c r="AM112" s="620">
        <v>9662</v>
      </c>
      <c r="AN112" s="621">
        <v>535</v>
      </c>
      <c r="AO112" s="272">
        <f t="shared" si="113"/>
        <v>0.11261357791873822</v>
      </c>
    </row>
    <row r="113" spans="1:41" x14ac:dyDescent="0.25">
      <c r="A113" s="270" t="s">
        <v>222</v>
      </c>
      <c r="B113" s="270" t="s">
        <v>223</v>
      </c>
      <c r="C113" s="270" t="s">
        <v>264</v>
      </c>
      <c r="D113" s="270">
        <v>3</v>
      </c>
      <c r="E113" s="619">
        <f t="shared" si="96"/>
        <v>86806</v>
      </c>
      <c r="F113" s="620">
        <f t="shared" si="92"/>
        <v>46232</v>
      </c>
      <c r="G113" s="620">
        <f t="shared" si="93"/>
        <v>38247</v>
      </c>
      <c r="H113" s="620">
        <f t="shared" si="94"/>
        <v>1929</v>
      </c>
      <c r="I113" s="620">
        <f t="shared" si="95"/>
        <v>398</v>
      </c>
      <c r="J113" s="621">
        <f t="shared" si="97"/>
        <v>2327</v>
      </c>
      <c r="K113" s="271">
        <f t="shared" si="98"/>
        <v>21651</v>
      </c>
      <c r="L113" s="620">
        <v>10265</v>
      </c>
      <c r="M113" s="620">
        <v>10732</v>
      </c>
      <c r="N113" s="620">
        <v>554</v>
      </c>
      <c r="O113" s="620">
        <v>100</v>
      </c>
      <c r="P113" s="620">
        <f t="shared" si="99"/>
        <v>654</v>
      </c>
      <c r="Q113" s="619">
        <f t="shared" si="100"/>
        <v>53899</v>
      </c>
      <c r="R113" s="620">
        <v>28821</v>
      </c>
      <c r="S113" s="620">
        <v>23636</v>
      </c>
      <c r="T113" s="620">
        <v>1190</v>
      </c>
      <c r="U113" s="620">
        <v>252</v>
      </c>
      <c r="V113" s="621">
        <f t="shared" si="101"/>
        <v>1442</v>
      </c>
      <c r="W113" s="619">
        <f t="shared" si="102"/>
        <v>11256</v>
      </c>
      <c r="X113" s="620">
        <v>7146</v>
      </c>
      <c r="Y113" s="620">
        <v>3879</v>
      </c>
      <c r="Z113" s="620">
        <v>185</v>
      </c>
      <c r="AA113" s="620">
        <v>46</v>
      </c>
      <c r="AB113" s="621">
        <f t="shared" si="103"/>
        <v>231</v>
      </c>
      <c r="AC113" s="627">
        <f t="shared" si="104"/>
        <v>0.53258991313964477</v>
      </c>
      <c r="AD113" s="628">
        <f t="shared" si="105"/>
        <v>0.44060318411169735</v>
      </c>
      <c r="AE113" s="628">
        <f t="shared" si="106"/>
        <v>2.2221966223532934E-2</v>
      </c>
      <c r="AF113" s="628">
        <f t="shared" si="107"/>
        <v>4.5849365251249916E-3</v>
      </c>
      <c r="AG113" s="629">
        <f t="shared" si="108"/>
        <v>2.6806902748657928E-2</v>
      </c>
      <c r="AH113" s="627">
        <f t="shared" si="109"/>
        <v>0.24941824297859594</v>
      </c>
      <c r="AI113" s="628">
        <f t="shared" si="110"/>
        <v>0.62091330092389929</v>
      </c>
      <c r="AJ113" s="629">
        <f t="shared" si="111"/>
        <v>0.12966845609750477</v>
      </c>
      <c r="AK113" s="619">
        <f t="shared" si="112"/>
        <v>3231</v>
      </c>
      <c r="AL113" s="620">
        <v>1121</v>
      </c>
      <c r="AM113" s="620">
        <v>1997</v>
      </c>
      <c r="AN113" s="621">
        <v>113</v>
      </c>
      <c r="AO113" s="272">
        <f t="shared" si="113"/>
        <v>3.7220929428841323E-2</v>
      </c>
    </row>
    <row r="114" spans="1:41" x14ac:dyDescent="0.25">
      <c r="A114" s="270" t="s">
        <v>224</v>
      </c>
      <c r="B114" s="270" t="s">
        <v>225</v>
      </c>
      <c r="C114" s="270" t="s">
        <v>264</v>
      </c>
      <c r="D114" s="270">
        <v>2</v>
      </c>
      <c r="E114" s="619">
        <f t="shared" si="96"/>
        <v>6790</v>
      </c>
      <c r="F114" s="620">
        <f t="shared" si="92"/>
        <v>3683</v>
      </c>
      <c r="G114" s="620">
        <f t="shared" si="93"/>
        <v>3046</v>
      </c>
      <c r="H114" s="620">
        <f t="shared" si="94"/>
        <v>32</v>
      </c>
      <c r="I114" s="620">
        <f t="shared" si="95"/>
        <v>29</v>
      </c>
      <c r="J114" s="621">
        <f t="shared" si="97"/>
        <v>61</v>
      </c>
      <c r="K114" s="271">
        <f t="shared" si="98"/>
        <v>1239</v>
      </c>
      <c r="L114" s="620">
        <v>654</v>
      </c>
      <c r="M114" s="620">
        <v>580</v>
      </c>
      <c r="N114" s="620">
        <v>3</v>
      </c>
      <c r="O114" s="620">
        <v>2</v>
      </c>
      <c r="P114" s="620">
        <f t="shared" si="99"/>
        <v>5</v>
      </c>
      <c r="Q114" s="619">
        <f t="shared" si="100"/>
        <v>4252</v>
      </c>
      <c r="R114" s="620">
        <v>2346</v>
      </c>
      <c r="S114" s="620">
        <v>1860</v>
      </c>
      <c r="T114" s="620">
        <v>26</v>
      </c>
      <c r="U114" s="620">
        <v>20</v>
      </c>
      <c r="V114" s="621">
        <f t="shared" si="101"/>
        <v>46</v>
      </c>
      <c r="W114" s="619">
        <f t="shared" si="102"/>
        <v>1299</v>
      </c>
      <c r="X114" s="620">
        <v>683</v>
      </c>
      <c r="Y114" s="620">
        <v>606</v>
      </c>
      <c r="Z114" s="620">
        <v>3</v>
      </c>
      <c r="AA114" s="620">
        <v>7</v>
      </c>
      <c r="AB114" s="621">
        <f t="shared" si="103"/>
        <v>10</v>
      </c>
      <c r="AC114" s="627">
        <f t="shared" si="104"/>
        <v>0.54241531664212073</v>
      </c>
      <c r="AD114" s="628">
        <f t="shared" si="105"/>
        <v>0.44860088365243006</v>
      </c>
      <c r="AE114" s="628">
        <f t="shared" si="106"/>
        <v>4.7128129602356404E-3</v>
      </c>
      <c r="AF114" s="628">
        <f t="shared" si="107"/>
        <v>4.2709867452135489E-3</v>
      </c>
      <c r="AG114" s="629">
        <f t="shared" si="108"/>
        <v>8.9837997054491893E-3</v>
      </c>
      <c r="AH114" s="627">
        <f t="shared" si="109"/>
        <v>0.1824742268041237</v>
      </c>
      <c r="AI114" s="628">
        <f t="shared" si="110"/>
        <v>0.62621502209131075</v>
      </c>
      <c r="AJ114" s="629">
        <f t="shared" si="111"/>
        <v>0.19131075110456552</v>
      </c>
      <c r="AK114" s="619">
        <f t="shared" si="112"/>
        <v>118</v>
      </c>
      <c r="AL114" s="620">
        <v>35</v>
      </c>
      <c r="AM114" s="620">
        <v>74</v>
      </c>
      <c r="AN114" s="621">
        <v>9</v>
      </c>
      <c r="AO114" s="272">
        <f t="shared" si="113"/>
        <v>1.7378497790868926E-2</v>
      </c>
    </row>
    <row r="115" spans="1:41" x14ac:dyDescent="0.25">
      <c r="A115" s="270" t="s">
        <v>226</v>
      </c>
      <c r="B115" s="270" t="s">
        <v>227</v>
      </c>
      <c r="C115" s="270" t="s">
        <v>264</v>
      </c>
      <c r="D115" s="270">
        <v>2</v>
      </c>
      <c r="E115" s="619">
        <f t="shared" si="96"/>
        <v>11767</v>
      </c>
      <c r="F115" s="620">
        <f t="shared" si="92"/>
        <v>4823</v>
      </c>
      <c r="G115" s="620">
        <f t="shared" si="93"/>
        <v>6840</v>
      </c>
      <c r="H115" s="620">
        <f t="shared" si="94"/>
        <v>55</v>
      </c>
      <c r="I115" s="620">
        <f t="shared" si="95"/>
        <v>49</v>
      </c>
      <c r="J115" s="621">
        <f t="shared" si="97"/>
        <v>104</v>
      </c>
      <c r="K115" s="271">
        <f t="shared" si="98"/>
        <v>1879</v>
      </c>
      <c r="L115" s="620">
        <v>782</v>
      </c>
      <c r="M115" s="620">
        <v>1075</v>
      </c>
      <c r="N115" s="620">
        <v>13</v>
      </c>
      <c r="O115" s="620">
        <v>9</v>
      </c>
      <c r="P115" s="620">
        <f t="shared" si="99"/>
        <v>22</v>
      </c>
      <c r="Q115" s="619">
        <f t="shared" si="100"/>
        <v>7980</v>
      </c>
      <c r="R115" s="620">
        <v>3120</v>
      </c>
      <c r="S115" s="620">
        <v>4785</v>
      </c>
      <c r="T115" s="620">
        <v>37</v>
      </c>
      <c r="U115" s="620">
        <v>38</v>
      </c>
      <c r="V115" s="621">
        <f t="shared" si="101"/>
        <v>75</v>
      </c>
      <c r="W115" s="619">
        <f t="shared" si="102"/>
        <v>1908</v>
      </c>
      <c r="X115" s="620">
        <v>921</v>
      </c>
      <c r="Y115" s="620">
        <v>980</v>
      </c>
      <c r="Z115" s="620">
        <v>5</v>
      </c>
      <c r="AA115" s="620">
        <v>2</v>
      </c>
      <c r="AB115" s="621">
        <f t="shared" si="103"/>
        <v>7</v>
      </c>
      <c r="AC115" s="627">
        <f t="shared" si="104"/>
        <v>0.40987507436049969</v>
      </c>
      <c r="AD115" s="628">
        <f t="shared" si="105"/>
        <v>0.58128664910342487</v>
      </c>
      <c r="AE115" s="628">
        <f t="shared" si="106"/>
        <v>4.6740885527322175E-3</v>
      </c>
      <c r="AF115" s="628">
        <f t="shared" si="107"/>
        <v>4.1641879833432477E-3</v>
      </c>
      <c r="AG115" s="629">
        <f t="shared" si="108"/>
        <v>8.8382765360754661E-3</v>
      </c>
      <c r="AH115" s="627">
        <f t="shared" si="109"/>
        <v>0.15968386164697884</v>
      </c>
      <c r="AI115" s="628">
        <f t="shared" si="110"/>
        <v>0.67816775728732892</v>
      </c>
      <c r="AJ115" s="629">
        <f t="shared" si="111"/>
        <v>0.16214838106569218</v>
      </c>
      <c r="AK115" s="619">
        <f t="shared" si="112"/>
        <v>326</v>
      </c>
      <c r="AL115" s="620">
        <v>92</v>
      </c>
      <c r="AM115" s="620">
        <v>232</v>
      </c>
      <c r="AN115" s="621">
        <v>2</v>
      </c>
      <c r="AO115" s="272">
        <f t="shared" si="113"/>
        <v>2.7704597603467322E-2</v>
      </c>
    </row>
    <row r="116" spans="1:41" x14ac:dyDescent="0.25">
      <c r="A116" s="270" t="s">
        <v>228</v>
      </c>
      <c r="B116" s="270" t="s">
        <v>229</v>
      </c>
      <c r="C116" s="270" t="s">
        <v>268</v>
      </c>
      <c r="D116" s="270">
        <v>2</v>
      </c>
      <c r="E116" s="619">
        <f t="shared" si="96"/>
        <v>43452</v>
      </c>
      <c r="F116" s="620">
        <f t="shared" si="92"/>
        <v>41376</v>
      </c>
      <c r="G116" s="620">
        <f t="shared" si="93"/>
        <v>1645</v>
      </c>
      <c r="H116" s="620">
        <f t="shared" si="94"/>
        <v>352</v>
      </c>
      <c r="I116" s="620">
        <f t="shared" si="95"/>
        <v>79</v>
      </c>
      <c r="J116" s="621">
        <f t="shared" si="97"/>
        <v>431</v>
      </c>
      <c r="K116" s="271">
        <f t="shared" si="98"/>
        <v>8497</v>
      </c>
      <c r="L116" s="620">
        <v>8076</v>
      </c>
      <c r="M116" s="620">
        <v>331</v>
      </c>
      <c r="N116" s="620">
        <v>72</v>
      </c>
      <c r="O116" s="620">
        <v>18</v>
      </c>
      <c r="P116" s="620">
        <f t="shared" si="99"/>
        <v>90</v>
      </c>
      <c r="Q116" s="619">
        <f t="shared" si="100"/>
        <v>26593</v>
      </c>
      <c r="R116" s="620">
        <v>25193</v>
      </c>
      <c r="S116" s="620">
        <v>1144</v>
      </c>
      <c r="T116" s="620">
        <v>204</v>
      </c>
      <c r="U116" s="620">
        <v>52</v>
      </c>
      <c r="V116" s="621">
        <f t="shared" si="101"/>
        <v>256</v>
      </c>
      <c r="W116" s="619">
        <f t="shared" si="102"/>
        <v>8362</v>
      </c>
      <c r="X116" s="620">
        <v>8107</v>
      </c>
      <c r="Y116" s="620">
        <v>170</v>
      </c>
      <c r="Z116" s="620">
        <v>76</v>
      </c>
      <c r="AA116" s="620">
        <v>9</v>
      </c>
      <c r="AB116" s="621">
        <f t="shared" si="103"/>
        <v>85</v>
      </c>
      <c r="AC116" s="627">
        <f t="shared" si="104"/>
        <v>0.95222314277823805</v>
      </c>
      <c r="AD116" s="628">
        <f t="shared" si="105"/>
        <v>3.7857866151155301E-2</v>
      </c>
      <c r="AE116" s="628">
        <f t="shared" si="106"/>
        <v>8.1008929393353579E-3</v>
      </c>
      <c r="AF116" s="628">
        <f t="shared" si="107"/>
        <v>1.8180981312712879E-3</v>
      </c>
      <c r="AG116" s="629">
        <f t="shared" si="108"/>
        <v>9.9189910706066458E-3</v>
      </c>
      <c r="AH116" s="627">
        <f t="shared" si="109"/>
        <v>0.19554911166344471</v>
      </c>
      <c r="AI116" s="628">
        <f t="shared" si="110"/>
        <v>0.61200865322654885</v>
      </c>
      <c r="AJ116" s="629">
        <f t="shared" si="111"/>
        <v>0.19244223511000644</v>
      </c>
      <c r="AK116" s="619">
        <f t="shared" si="112"/>
        <v>393</v>
      </c>
      <c r="AL116" s="620">
        <v>124</v>
      </c>
      <c r="AM116" s="620">
        <v>243</v>
      </c>
      <c r="AN116" s="621">
        <v>26</v>
      </c>
      <c r="AO116" s="272">
        <f t="shared" si="113"/>
        <v>9.044462855564761E-3</v>
      </c>
    </row>
    <row r="117" spans="1:41" x14ac:dyDescent="0.25">
      <c r="A117" s="270" t="s">
        <v>230</v>
      </c>
      <c r="B117" s="270" t="s">
        <v>231</v>
      </c>
      <c r="C117" s="270" t="s">
        <v>264</v>
      </c>
      <c r="D117" s="270">
        <v>3</v>
      </c>
      <c r="E117" s="619">
        <f t="shared" si="96"/>
        <v>450980</v>
      </c>
      <c r="F117" s="620">
        <f t="shared" si="92"/>
        <v>317686</v>
      </c>
      <c r="G117" s="620">
        <f t="shared" si="93"/>
        <v>95798</v>
      </c>
      <c r="H117" s="620">
        <f t="shared" si="94"/>
        <v>34879</v>
      </c>
      <c r="I117" s="620">
        <f t="shared" si="95"/>
        <v>2617</v>
      </c>
      <c r="J117" s="621">
        <f t="shared" si="97"/>
        <v>37496</v>
      </c>
      <c r="K117" s="271">
        <f t="shared" si="98"/>
        <v>102990</v>
      </c>
      <c r="L117" s="620">
        <v>68240</v>
      </c>
      <c r="M117" s="620">
        <v>26567</v>
      </c>
      <c r="N117" s="620">
        <v>7574</v>
      </c>
      <c r="O117" s="620">
        <v>609</v>
      </c>
      <c r="P117" s="620">
        <f t="shared" si="99"/>
        <v>8183</v>
      </c>
      <c r="Q117" s="619">
        <f t="shared" si="100"/>
        <v>292497</v>
      </c>
      <c r="R117" s="620">
        <v>205891</v>
      </c>
      <c r="S117" s="620">
        <v>62062</v>
      </c>
      <c r="T117" s="620">
        <v>22731</v>
      </c>
      <c r="U117" s="620">
        <v>1813</v>
      </c>
      <c r="V117" s="621">
        <f t="shared" si="101"/>
        <v>24544</v>
      </c>
      <c r="W117" s="619">
        <f t="shared" si="102"/>
        <v>55493</v>
      </c>
      <c r="X117" s="620">
        <v>43555</v>
      </c>
      <c r="Y117" s="620">
        <v>7169</v>
      </c>
      <c r="Z117" s="620">
        <v>4574</v>
      </c>
      <c r="AA117" s="620">
        <v>195</v>
      </c>
      <c r="AB117" s="621">
        <f t="shared" si="103"/>
        <v>4769</v>
      </c>
      <c r="AC117" s="627">
        <f t="shared" si="104"/>
        <v>0.70443478646503166</v>
      </c>
      <c r="AD117" s="628">
        <f t="shared" si="105"/>
        <v>0.21242183688855382</v>
      </c>
      <c r="AE117" s="628">
        <f t="shared" si="106"/>
        <v>7.7340458556920483E-2</v>
      </c>
      <c r="AF117" s="628">
        <f t="shared" si="107"/>
        <v>5.802918089493991E-3</v>
      </c>
      <c r="AG117" s="629">
        <f t="shared" si="108"/>
        <v>8.3143376646414469E-2</v>
      </c>
      <c r="AH117" s="627">
        <f t="shared" si="109"/>
        <v>0.22836932901680784</v>
      </c>
      <c r="AI117" s="628">
        <f t="shared" si="110"/>
        <v>0.64858086833118989</v>
      </c>
      <c r="AJ117" s="629">
        <f t="shared" si="111"/>
        <v>0.1230498026520023</v>
      </c>
      <c r="AK117" s="619">
        <f t="shared" si="112"/>
        <v>34869</v>
      </c>
      <c r="AL117" s="620">
        <v>11024</v>
      </c>
      <c r="AM117" s="620">
        <v>22370</v>
      </c>
      <c r="AN117" s="621">
        <v>1475</v>
      </c>
      <c r="AO117" s="272">
        <f t="shared" si="113"/>
        <v>7.7318284624595321E-2</v>
      </c>
    </row>
    <row r="118" spans="1:41" x14ac:dyDescent="0.25">
      <c r="A118" s="270" t="s">
        <v>232</v>
      </c>
      <c r="B118" s="270" t="s">
        <v>233</v>
      </c>
      <c r="C118" s="270" t="s">
        <v>267</v>
      </c>
      <c r="D118" s="270">
        <v>2</v>
      </c>
      <c r="E118" s="619">
        <f t="shared" si="96"/>
        <v>38987</v>
      </c>
      <c r="F118" s="620">
        <f t="shared" si="92"/>
        <v>36077</v>
      </c>
      <c r="G118" s="620">
        <f t="shared" si="93"/>
        <v>2171</v>
      </c>
      <c r="H118" s="620">
        <f t="shared" si="94"/>
        <v>552</v>
      </c>
      <c r="I118" s="620">
        <f t="shared" si="95"/>
        <v>187</v>
      </c>
      <c r="J118" s="621">
        <f t="shared" si="97"/>
        <v>739</v>
      </c>
      <c r="K118" s="271">
        <f t="shared" si="98"/>
        <v>8801</v>
      </c>
      <c r="L118" s="620">
        <v>8001</v>
      </c>
      <c r="M118" s="620">
        <v>608</v>
      </c>
      <c r="N118" s="620">
        <v>141</v>
      </c>
      <c r="O118" s="620">
        <v>51</v>
      </c>
      <c r="P118" s="620">
        <f t="shared" si="99"/>
        <v>192</v>
      </c>
      <c r="Q118" s="619">
        <f t="shared" si="100"/>
        <v>24516</v>
      </c>
      <c r="R118" s="620">
        <v>22726</v>
      </c>
      <c r="S118" s="620">
        <v>1304</v>
      </c>
      <c r="T118" s="620">
        <v>368</v>
      </c>
      <c r="U118" s="620">
        <v>118</v>
      </c>
      <c r="V118" s="621">
        <f t="shared" si="101"/>
        <v>486</v>
      </c>
      <c r="W118" s="619">
        <f t="shared" si="102"/>
        <v>5670</v>
      </c>
      <c r="X118" s="620">
        <v>5350</v>
      </c>
      <c r="Y118" s="620">
        <v>259</v>
      </c>
      <c r="Z118" s="620">
        <v>43</v>
      </c>
      <c r="AA118" s="620">
        <v>18</v>
      </c>
      <c r="AB118" s="621">
        <f t="shared" si="103"/>
        <v>61</v>
      </c>
      <c r="AC118" s="627">
        <f t="shared" si="104"/>
        <v>0.92535973529638083</v>
      </c>
      <c r="AD118" s="628">
        <f t="shared" si="105"/>
        <v>5.5685228409469822E-2</v>
      </c>
      <c r="AE118" s="628">
        <f t="shared" si="106"/>
        <v>1.4158565675738066E-2</v>
      </c>
      <c r="AF118" s="628">
        <f t="shared" si="107"/>
        <v>4.7964706184112655E-3</v>
      </c>
      <c r="AG118" s="629">
        <f t="shared" si="108"/>
        <v>1.8955036294149331E-2</v>
      </c>
      <c r="AH118" s="627">
        <f t="shared" si="109"/>
        <v>0.22574191397132379</v>
      </c>
      <c r="AI118" s="628">
        <f t="shared" si="110"/>
        <v>0.62882499294636673</v>
      </c>
      <c r="AJ118" s="629">
        <f t="shared" si="111"/>
        <v>0.14543309308230948</v>
      </c>
      <c r="AK118" s="619">
        <f t="shared" si="112"/>
        <v>1617</v>
      </c>
      <c r="AL118" s="620">
        <v>559</v>
      </c>
      <c r="AM118" s="620">
        <v>972</v>
      </c>
      <c r="AN118" s="621">
        <v>86</v>
      </c>
      <c r="AO118" s="272">
        <f t="shared" si="113"/>
        <v>4.1475363582732704E-2</v>
      </c>
    </row>
    <row r="119" spans="1:41" x14ac:dyDescent="0.25">
      <c r="A119" s="270" t="s">
        <v>234</v>
      </c>
      <c r="B119" s="270" t="s">
        <v>235</v>
      </c>
      <c r="C119" s="270" t="s">
        <v>268</v>
      </c>
      <c r="D119" s="270">
        <v>2</v>
      </c>
      <c r="E119" s="619">
        <f t="shared" si="96"/>
        <v>54729</v>
      </c>
      <c r="F119" s="620">
        <f t="shared" si="92"/>
        <v>53353</v>
      </c>
      <c r="G119" s="620">
        <f t="shared" si="93"/>
        <v>912</v>
      </c>
      <c r="H119" s="620">
        <f t="shared" si="94"/>
        <v>340</v>
      </c>
      <c r="I119" s="620">
        <f t="shared" si="95"/>
        <v>124</v>
      </c>
      <c r="J119" s="621">
        <f t="shared" si="97"/>
        <v>464</v>
      </c>
      <c r="K119" s="271">
        <f t="shared" si="98"/>
        <v>10447</v>
      </c>
      <c r="L119" s="620">
        <v>10056</v>
      </c>
      <c r="M119" s="620">
        <v>258</v>
      </c>
      <c r="N119" s="620">
        <v>107</v>
      </c>
      <c r="O119" s="620">
        <v>26</v>
      </c>
      <c r="P119" s="620">
        <f t="shared" si="99"/>
        <v>133</v>
      </c>
      <c r="Q119" s="619">
        <f t="shared" si="100"/>
        <v>33196</v>
      </c>
      <c r="R119" s="620">
        <v>32363</v>
      </c>
      <c r="S119" s="620">
        <v>533</v>
      </c>
      <c r="T119" s="620">
        <v>213</v>
      </c>
      <c r="U119" s="620">
        <v>87</v>
      </c>
      <c r="V119" s="621">
        <f t="shared" si="101"/>
        <v>300</v>
      </c>
      <c r="W119" s="619">
        <f t="shared" si="102"/>
        <v>11086</v>
      </c>
      <c r="X119" s="620">
        <v>10934</v>
      </c>
      <c r="Y119" s="620">
        <v>121</v>
      </c>
      <c r="Z119" s="620">
        <v>20</v>
      </c>
      <c r="AA119" s="620">
        <v>11</v>
      </c>
      <c r="AB119" s="621">
        <f t="shared" si="103"/>
        <v>31</v>
      </c>
      <c r="AC119" s="627">
        <f t="shared" si="104"/>
        <v>0.97485793637742335</v>
      </c>
      <c r="AD119" s="628">
        <f t="shared" si="105"/>
        <v>1.6663925889382227E-2</v>
      </c>
      <c r="AE119" s="628">
        <f t="shared" si="106"/>
        <v>6.2124285113924977E-3</v>
      </c>
      <c r="AF119" s="628">
        <f t="shared" si="107"/>
        <v>2.2657092218019699E-3</v>
      </c>
      <c r="AG119" s="629">
        <f t="shared" si="108"/>
        <v>8.4781377331944671E-3</v>
      </c>
      <c r="AH119" s="627">
        <f t="shared" si="109"/>
        <v>0.19088600193681596</v>
      </c>
      <c r="AI119" s="628">
        <f t="shared" si="110"/>
        <v>0.60655228489466284</v>
      </c>
      <c r="AJ119" s="629">
        <f t="shared" si="111"/>
        <v>0.20256171316852126</v>
      </c>
      <c r="AK119" s="619">
        <f t="shared" si="112"/>
        <v>791</v>
      </c>
      <c r="AL119" s="620">
        <v>249</v>
      </c>
      <c r="AM119" s="620">
        <v>475</v>
      </c>
      <c r="AN119" s="621">
        <v>67</v>
      </c>
      <c r="AO119" s="272">
        <f t="shared" si="113"/>
        <v>1.4453032213269016E-2</v>
      </c>
    </row>
    <row r="120" spans="1:41" x14ac:dyDescent="0.25">
      <c r="A120" s="270" t="s">
        <v>236</v>
      </c>
      <c r="B120" s="270" t="s">
        <v>237</v>
      </c>
      <c r="C120" s="270" t="s">
        <v>266</v>
      </c>
      <c r="D120" s="270">
        <v>2</v>
      </c>
      <c r="E120" s="619">
        <f t="shared" si="96"/>
        <v>17477</v>
      </c>
      <c r="F120" s="620">
        <f t="shared" si="92"/>
        <v>12206</v>
      </c>
      <c r="G120" s="620">
        <f t="shared" si="93"/>
        <v>4973</v>
      </c>
      <c r="H120" s="620">
        <f t="shared" si="94"/>
        <v>161</v>
      </c>
      <c r="I120" s="620">
        <f t="shared" si="95"/>
        <v>137</v>
      </c>
      <c r="J120" s="621">
        <f t="shared" si="97"/>
        <v>298</v>
      </c>
      <c r="K120" s="271">
        <f t="shared" si="98"/>
        <v>3238</v>
      </c>
      <c r="L120" s="620">
        <v>2028</v>
      </c>
      <c r="M120" s="620">
        <v>1140</v>
      </c>
      <c r="N120" s="620">
        <v>39</v>
      </c>
      <c r="O120" s="620">
        <v>31</v>
      </c>
      <c r="P120" s="620">
        <f t="shared" si="99"/>
        <v>70</v>
      </c>
      <c r="Q120" s="619">
        <f t="shared" si="100"/>
        <v>10095</v>
      </c>
      <c r="R120" s="620">
        <v>7025</v>
      </c>
      <c r="S120" s="620">
        <v>2892</v>
      </c>
      <c r="T120" s="620">
        <v>95</v>
      </c>
      <c r="U120" s="620">
        <v>83</v>
      </c>
      <c r="V120" s="621">
        <f t="shared" si="101"/>
        <v>178</v>
      </c>
      <c r="W120" s="619">
        <f t="shared" si="102"/>
        <v>4144</v>
      </c>
      <c r="X120" s="620">
        <v>3153</v>
      </c>
      <c r="Y120" s="620">
        <v>941</v>
      </c>
      <c r="Z120" s="620">
        <v>27</v>
      </c>
      <c r="AA120" s="620">
        <v>23</v>
      </c>
      <c r="AB120" s="621">
        <f t="shared" si="103"/>
        <v>50</v>
      </c>
      <c r="AC120" s="627">
        <f t="shared" si="104"/>
        <v>0.69840361618126678</v>
      </c>
      <c r="AD120" s="628">
        <f t="shared" si="105"/>
        <v>0.28454540252903815</v>
      </c>
      <c r="AE120" s="628">
        <f t="shared" si="106"/>
        <v>9.2121073410768445E-3</v>
      </c>
      <c r="AF120" s="628">
        <f t="shared" si="107"/>
        <v>7.8388739486181837E-3</v>
      </c>
      <c r="AG120" s="629">
        <f t="shared" si="108"/>
        <v>1.7050981289695028E-2</v>
      </c>
      <c r="AH120" s="627">
        <f t="shared" si="109"/>
        <v>0.18527207186588088</v>
      </c>
      <c r="AI120" s="628">
        <f t="shared" si="110"/>
        <v>0.57761629570292383</v>
      </c>
      <c r="AJ120" s="629">
        <f t="shared" si="111"/>
        <v>0.23711163243119529</v>
      </c>
      <c r="AK120" s="619">
        <f t="shared" si="112"/>
        <v>1070</v>
      </c>
      <c r="AL120" s="620">
        <v>327</v>
      </c>
      <c r="AM120" s="620">
        <v>694</v>
      </c>
      <c r="AN120" s="621">
        <v>49</v>
      </c>
      <c r="AO120" s="272">
        <f t="shared" si="113"/>
        <v>6.1223322080448589E-2</v>
      </c>
    </row>
    <row r="121" spans="1:41" x14ac:dyDescent="0.25">
      <c r="A121" s="270" t="s">
        <v>238</v>
      </c>
      <c r="B121" s="270" t="s">
        <v>239</v>
      </c>
      <c r="C121" s="270" t="s">
        <v>264</v>
      </c>
      <c r="D121" s="270">
        <v>1</v>
      </c>
      <c r="E121" s="619">
        <f t="shared" si="96"/>
        <v>14691</v>
      </c>
      <c r="F121" s="620">
        <f t="shared" si="92"/>
        <v>11305</v>
      </c>
      <c r="G121" s="620">
        <f t="shared" si="93"/>
        <v>2291</v>
      </c>
      <c r="H121" s="620">
        <f t="shared" si="94"/>
        <v>1046</v>
      </c>
      <c r="I121" s="620">
        <f t="shared" si="95"/>
        <v>49</v>
      </c>
      <c r="J121" s="621">
        <f t="shared" si="97"/>
        <v>1095</v>
      </c>
      <c r="K121" s="271">
        <f t="shared" si="98"/>
        <v>1552</v>
      </c>
      <c r="L121" s="620">
        <v>1003</v>
      </c>
      <c r="M121" s="620">
        <v>425</v>
      </c>
      <c r="N121" s="620">
        <v>120</v>
      </c>
      <c r="O121" s="620">
        <v>4</v>
      </c>
      <c r="P121" s="620">
        <f t="shared" si="99"/>
        <v>124</v>
      </c>
      <c r="Q121" s="619">
        <f t="shared" si="100"/>
        <v>10821</v>
      </c>
      <c r="R121" s="620">
        <v>8283</v>
      </c>
      <c r="S121" s="620">
        <v>1610</v>
      </c>
      <c r="T121" s="620">
        <v>886</v>
      </c>
      <c r="U121" s="620">
        <v>42</v>
      </c>
      <c r="V121" s="621">
        <f t="shared" si="101"/>
        <v>928</v>
      </c>
      <c r="W121" s="619">
        <f t="shared" si="102"/>
        <v>2318</v>
      </c>
      <c r="X121" s="620">
        <v>2019</v>
      </c>
      <c r="Y121" s="620">
        <v>256</v>
      </c>
      <c r="Z121" s="620">
        <v>40</v>
      </c>
      <c r="AA121" s="620">
        <v>3</v>
      </c>
      <c r="AB121" s="621">
        <f t="shared" si="103"/>
        <v>43</v>
      </c>
      <c r="AC121" s="627">
        <f t="shared" si="104"/>
        <v>0.76951875297801375</v>
      </c>
      <c r="AD121" s="628">
        <f t="shared" si="105"/>
        <v>0.15594581716697298</v>
      </c>
      <c r="AE121" s="628">
        <f t="shared" si="106"/>
        <v>7.1200054455108575E-2</v>
      </c>
      <c r="AF121" s="628">
        <f t="shared" si="107"/>
        <v>3.3353753999047038E-3</v>
      </c>
      <c r="AG121" s="629">
        <f t="shared" si="108"/>
        <v>7.4535429855013269E-2</v>
      </c>
      <c r="AH121" s="627">
        <f t="shared" si="109"/>
        <v>0.10564291062555306</v>
      </c>
      <c r="AI121" s="628">
        <f t="shared" si="110"/>
        <v>0.7365734122932408</v>
      </c>
      <c r="AJ121" s="629">
        <f t="shared" si="111"/>
        <v>0.15778367708120619</v>
      </c>
      <c r="AK121" s="619">
        <f t="shared" si="112"/>
        <v>1038</v>
      </c>
      <c r="AL121" s="620">
        <v>191</v>
      </c>
      <c r="AM121" s="620">
        <v>822</v>
      </c>
      <c r="AN121" s="621">
        <v>25</v>
      </c>
      <c r="AO121" s="272">
        <f t="shared" si="113"/>
        <v>7.0655503369409844E-2</v>
      </c>
    </row>
    <row r="122" spans="1:41" x14ac:dyDescent="0.25">
      <c r="A122" s="270" t="s">
        <v>240</v>
      </c>
      <c r="B122" s="270" t="s">
        <v>241</v>
      </c>
      <c r="C122" s="270" t="s">
        <v>267</v>
      </c>
      <c r="D122" s="270">
        <v>2</v>
      </c>
      <c r="E122" s="619">
        <f t="shared" si="96"/>
        <v>27543</v>
      </c>
      <c r="F122" s="620">
        <f t="shared" si="92"/>
        <v>22932</v>
      </c>
      <c r="G122" s="620">
        <f t="shared" si="93"/>
        <v>3574</v>
      </c>
      <c r="H122" s="620">
        <f t="shared" si="94"/>
        <v>799</v>
      </c>
      <c r="I122" s="620">
        <f t="shared" si="95"/>
        <v>238</v>
      </c>
      <c r="J122" s="621">
        <f t="shared" si="97"/>
        <v>1037</v>
      </c>
      <c r="K122" s="271">
        <f t="shared" si="98"/>
        <v>6206</v>
      </c>
      <c r="L122" s="620">
        <v>4921</v>
      </c>
      <c r="M122" s="620">
        <v>997</v>
      </c>
      <c r="N122" s="620">
        <v>218</v>
      </c>
      <c r="O122" s="620">
        <v>70</v>
      </c>
      <c r="P122" s="620">
        <f t="shared" si="99"/>
        <v>288</v>
      </c>
      <c r="Q122" s="619">
        <f t="shared" si="100"/>
        <v>17309</v>
      </c>
      <c r="R122" s="620">
        <v>14375</v>
      </c>
      <c r="S122" s="620">
        <v>2251</v>
      </c>
      <c r="T122" s="620">
        <v>522</v>
      </c>
      <c r="U122" s="620">
        <v>161</v>
      </c>
      <c r="V122" s="621">
        <f t="shared" si="101"/>
        <v>683</v>
      </c>
      <c r="W122" s="619">
        <f t="shared" si="102"/>
        <v>4028</v>
      </c>
      <c r="X122" s="620">
        <v>3636</v>
      </c>
      <c r="Y122" s="620">
        <v>326</v>
      </c>
      <c r="Z122" s="620">
        <v>59</v>
      </c>
      <c r="AA122" s="620">
        <v>7</v>
      </c>
      <c r="AB122" s="621">
        <f t="shared" si="103"/>
        <v>66</v>
      </c>
      <c r="AC122" s="627">
        <f t="shared" si="104"/>
        <v>0.83258904258795341</v>
      </c>
      <c r="AD122" s="628">
        <f t="shared" si="105"/>
        <v>0.12976073775550956</v>
      </c>
      <c r="AE122" s="628">
        <f t="shared" si="106"/>
        <v>2.9009185637003956E-2</v>
      </c>
      <c r="AF122" s="628">
        <f t="shared" si="107"/>
        <v>8.6410340195330945E-3</v>
      </c>
      <c r="AG122" s="629">
        <f t="shared" si="108"/>
        <v>3.7650219656537053E-2</v>
      </c>
      <c r="AH122" s="627">
        <f t="shared" si="109"/>
        <v>0.22532040808916967</v>
      </c>
      <c r="AI122" s="628">
        <f t="shared" si="110"/>
        <v>0.62843553716007694</v>
      </c>
      <c r="AJ122" s="629">
        <f t="shared" si="111"/>
        <v>0.14624405475075336</v>
      </c>
      <c r="AK122" s="619">
        <f t="shared" si="112"/>
        <v>4519</v>
      </c>
      <c r="AL122" s="620">
        <v>1794</v>
      </c>
      <c r="AM122" s="620">
        <v>2608</v>
      </c>
      <c r="AN122" s="621">
        <v>117</v>
      </c>
      <c r="AO122" s="272">
        <f t="shared" si="113"/>
        <v>0.16407072577424392</v>
      </c>
    </row>
    <row r="123" spans="1:41" x14ac:dyDescent="0.25">
      <c r="A123" s="270" t="s">
        <v>242</v>
      </c>
      <c r="B123" s="270" t="s">
        <v>243</v>
      </c>
      <c r="C123" s="270" t="s">
        <v>268</v>
      </c>
      <c r="D123" s="270">
        <v>3</v>
      </c>
      <c r="E123" s="619">
        <f t="shared" si="96"/>
        <v>39935</v>
      </c>
      <c r="F123" s="620">
        <f t="shared" si="92"/>
        <v>37384</v>
      </c>
      <c r="G123" s="620">
        <f t="shared" si="93"/>
        <v>2302</v>
      </c>
      <c r="H123" s="620">
        <f t="shared" si="94"/>
        <v>183</v>
      </c>
      <c r="I123" s="620">
        <f t="shared" si="95"/>
        <v>66</v>
      </c>
      <c r="J123" s="621">
        <f t="shared" si="97"/>
        <v>249</v>
      </c>
      <c r="K123" s="271">
        <f t="shared" si="98"/>
        <v>7992</v>
      </c>
      <c r="L123" s="620">
        <v>7672</v>
      </c>
      <c r="M123" s="620">
        <v>269</v>
      </c>
      <c r="N123" s="620">
        <v>44</v>
      </c>
      <c r="O123" s="620">
        <v>7</v>
      </c>
      <c r="P123" s="620">
        <f t="shared" si="99"/>
        <v>51</v>
      </c>
      <c r="Q123" s="619">
        <f t="shared" si="100"/>
        <v>25590</v>
      </c>
      <c r="R123" s="620">
        <v>23481</v>
      </c>
      <c r="S123" s="620">
        <v>1954</v>
      </c>
      <c r="T123" s="620">
        <v>107</v>
      </c>
      <c r="U123" s="620">
        <v>48</v>
      </c>
      <c r="V123" s="621">
        <f t="shared" si="101"/>
        <v>155</v>
      </c>
      <c r="W123" s="619">
        <f t="shared" si="102"/>
        <v>6353</v>
      </c>
      <c r="X123" s="620">
        <v>6231</v>
      </c>
      <c r="Y123" s="620">
        <v>79</v>
      </c>
      <c r="Z123" s="620">
        <v>32</v>
      </c>
      <c r="AA123" s="620">
        <v>11</v>
      </c>
      <c r="AB123" s="621">
        <f t="shared" si="103"/>
        <v>43</v>
      </c>
      <c r="AC123" s="627">
        <f t="shared" si="104"/>
        <v>0.93612119694503571</v>
      </c>
      <c r="AD123" s="628">
        <f t="shared" si="105"/>
        <v>5.7643670965318645E-2</v>
      </c>
      <c r="AE123" s="628">
        <f t="shared" si="106"/>
        <v>4.5824464755227241E-3</v>
      </c>
      <c r="AF123" s="628">
        <f t="shared" si="107"/>
        <v>1.6526856141229499E-3</v>
      </c>
      <c r="AG123" s="629">
        <f t="shared" si="108"/>
        <v>6.2351320896456746E-3</v>
      </c>
      <c r="AH123" s="627">
        <f t="shared" si="109"/>
        <v>0.20012520345561538</v>
      </c>
      <c r="AI123" s="628">
        <f t="shared" si="110"/>
        <v>0.64079128583948919</v>
      </c>
      <c r="AJ123" s="629">
        <f t="shared" si="111"/>
        <v>0.15908351070489546</v>
      </c>
      <c r="AK123" s="619">
        <f t="shared" si="112"/>
        <v>483</v>
      </c>
      <c r="AL123" s="620">
        <v>127</v>
      </c>
      <c r="AM123" s="620">
        <v>324</v>
      </c>
      <c r="AN123" s="621">
        <v>32</v>
      </c>
      <c r="AO123" s="272">
        <f t="shared" si="113"/>
        <v>1.2094653812445224E-2</v>
      </c>
    </row>
    <row r="124" spans="1:41" x14ac:dyDescent="0.25">
      <c r="A124" s="270" t="s">
        <v>244</v>
      </c>
      <c r="B124" s="270" t="s">
        <v>245</v>
      </c>
      <c r="C124" s="270" t="s">
        <v>268</v>
      </c>
      <c r="D124" s="270">
        <v>2</v>
      </c>
      <c r="E124" s="619">
        <f t="shared" si="96"/>
        <v>29121</v>
      </c>
      <c r="F124" s="620">
        <f t="shared" si="92"/>
        <v>27901</v>
      </c>
      <c r="G124" s="620">
        <f t="shared" si="93"/>
        <v>977</v>
      </c>
      <c r="H124" s="620">
        <f t="shared" si="94"/>
        <v>193</v>
      </c>
      <c r="I124" s="620">
        <f t="shared" si="95"/>
        <v>50</v>
      </c>
      <c r="J124" s="621">
        <f t="shared" si="97"/>
        <v>243</v>
      </c>
      <c r="K124" s="271">
        <f t="shared" si="98"/>
        <v>5863</v>
      </c>
      <c r="L124" s="620">
        <v>5525</v>
      </c>
      <c r="M124" s="620">
        <v>286</v>
      </c>
      <c r="N124" s="620">
        <v>42</v>
      </c>
      <c r="O124" s="620">
        <v>10</v>
      </c>
      <c r="P124" s="620">
        <f t="shared" si="99"/>
        <v>52</v>
      </c>
      <c r="Q124" s="619">
        <f t="shared" si="100"/>
        <v>17533</v>
      </c>
      <c r="R124" s="620">
        <v>16841</v>
      </c>
      <c r="S124" s="620">
        <v>534</v>
      </c>
      <c r="T124" s="620">
        <v>124</v>
      </c>
      <c r="U124" s="620">
        <v>34</v>
      </c>
      <c r="V124" s="621">
        <f t="shared" si="101"/>
        <v>158</v>
      </c>
      <c r="W124" s="619">
        <f t="shared" si="102"/>
        <v>5725</v>
      </c>
      <c r="X124" s="620">
        <v>5535</v>
      </c>
      <c r="Y124" s="620">
        <v>157</v>
      </c>
      <c r="Z124" s="620">
        <v>27</v>
      </c>
      <c r="AA124" s="620">
        <v>6</v>
      </c>
      <c r="AB124" s="621">
        <f t="shared" si="103"/>
        <v>33</v>
      </c>
      <c r="AC124" s="627">
        <f t="shared" si="104"/>
        <v>0.95810583427766904</v>
      </c>
      <c r="AD124" s="628">
        <f t="shared" si="105"/>
        <v>3.3549672057965045E-2</v>
      </c>
      <c r="AE124" s="628">
        <f t="shared" si="106"/>
        <v>6.6275196593523576E-3</v>
      </c>
      <c r="AF124" s="628">
        <f t="shared" si="107"/>
        <v>1.716974005013564E-3</v>
      </c>
      <c r="AG124" s="629">
        <f t="shared" si="108"/>
        <v>8.3444936643659214E-3</v>
      </c>
      <c r="AH124" s="627">
        <f t="shared" si="109"/>
        <v>0.20133237182789052</v>
      </c>
      <c r="AI124" s="628">
        <f t="shared" si="110"/>
        <v>0.60207410459805644</v>
      </c>
      <c r="AJ124" s="629">
        <f t="shared" si="111"/>
        <v>0.19659352357405308</v>
      </c>
      <c r="AK124" s="619">
        <f t="shared" si="112"/>
        <v>327</v>
      </c>
      <c r="AL124" s="620">
        <v>106</v>
      </c>
      <c r="AM124" s="620">
        <v>194</v>
      </c>
      <c r="AN124" s="621">
        <v>27</v>
      </c>
      <c r="AO124" s="272">
        <f t="shared" si="113"/>
        <v>1.1229009992788709E-2</v>
      </c>
    </row>
    <row r="125" spans="1:41" x14ac:dyDescent="0.25">
      <c r="A125" s="270" t="s">
        <v>246</v>
      </c>
      <c r="B125" s="270" t="s">
        <v>247</v>
      </c>
      <c r="C125" s="270" t="s">
        <v>264</v>
      </c>
      <c r="D125" s="270">
        <v>2</v>
      </c>
      <c r="E125" s="619">
        <f t="shared" si="96"/>
        <v>78390</v>
      </c>
      <c r="F125" s="620">
        <f t="shared" si="92"/>
        <v>63736</v>
      </c>
      <c r="G125" s="620">
        <f t="shared" si="93"/>
        <v>9627</v>
      </c>
      <c r="H125" s="620">
        <f t="shared" si="94"/>
        <v>4615</v>
      </c>
      <c r="I125" s="620">
        <f t="shared" si="95"/>
        <v>412</v>
      </c>
      <c r="J125" s="621">
        <f t="shared" si="97"/>
        <v>5027</v>
      </c>
      <c r="K125" s="271">
        <f t="shared" si="98"/>
        <v>18604</v>
      </c>
      <c r="L125" s="620">
        <v>14726</v>
      </c>
      <c r="M125" s="620">
        <v>2460</v>
      </c>
      <c r="N125" s="620">
        <v>1321</v>
      </c>
      <c r="O125" s="620">
        <v>97</v>
      </c>
      <c r="P125" s="620">
        <f t="shared" si="99"/>
        <v>1418</v>
      </c>
      <c r="Q125" s="619">
        <f t="shared" si="100"/>
        <v>47922</v>
      </c>
      <c r="R125" s="620">
        <v>38825</v>
      </c>
      <c r="S125" s="620">
        <v>5948</v>
      </c>
      <c r="T125" s="620">
        <v>2872</v>
      </c>
      <c r="U125" s="620">
        <v>277</v>
      </c>
      <c r="V125" s="621">
        <f t="shared" si="101"/>
        <v>3149</v>
      </c>
      <c r="W125" s="619">
        <f t="shared" si="102"/>
        <v>11864</v>
      </c>
      <c r="X125" s="620">
        <v>10185</v>
      </c>
      <c r="Y125" s="620">
        <v>1219</v>
      </c>
      <c r="Z125" s="620">
        <v>422</v>
      </c>
      <c r="AA125" s="620">
        <v>38</v>
      </c>
      <c r="AB125" s="621">
        <f t="shared" si="103"/>
        <v>460</v>
      </c>
      <c r="AC125" s="627">
        <f t="shared" si="104"/>
        <v>0.81306289067483095</v>
      </c>
      <c r="AD125" s="628">
        <f t="shared" si="105"/>
        <v>0.12280903176425564</v>
      </c>
      <c r="AE125" s="628">
        <f t="shared" si="106"/>
        <v>5.887230514096186E-2</v>
      </c>
      <c r="AF125" s="628">
        <f t="shared" si="107"/>
        <v>5.2557724199515246E-3</v>
      </c>
      <c r="AG125" s="629">
        <f t="shared" si="108"/>
        <v>6.4128077560913377E-2</v>
      </c>
      <c r="AH125" s="627">
        <f t="shared" si="109"/>
        <v>0.23732618956499554</v>
      </c>
      <c r="AI125" s="628">
        <f t="shared" si="110"/>
        <v>0.61132797550707996</v>
      </c>
      <c r="AJ125" s="629">
        <f t="shared" si="111"/>
        <v>0.15134583492792447</v>
      </c>
      <c r="AK125" s="619">
        <f t="shared" si="112"/>
        <v>4114</v>
      </c>
      <c r="AL125" s="620">
        <v>1419</v>
      </c>
      <c r="AM125" s="620">
        <v>2549</v>
      </c>
      <c r="AN125" s="621">
        <v>146</v>
      </c>
      <c r="AO125" s="272">
        <f t="shared" si="113"/>
        <v>5.2481183824467405E-2</v>
      </c>
    </row>
    <row r="126" spans="1:41" x14ac:dyDescent="0.25">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620"/>
      <c r="AD126" s="620"/>
      <c r="AE126" s="620"/>
      <c r="AF126" s="620"/>
      <c r="AG126" s="620"/>
      <c r="AH126" s="620"/>
      <c r="AI126" s="620"/>
      <c r="AJ126" s="621"/>
      <c r="AK126" s="271"/>
      <c r="AL126" s="271"/>
      <c r="AM126" s="271"/>
    </row>
    <row r="127" spans="1:41" x14ac:dyDescent="0.25">
      <c r="A127" s="270" t="s">
        <v>266</v>
      </c>
      <c r="E127" s="1164">
        <f>F127+G127+J127</f>
        <v>1365669</v>
      </c>
      <c r="F127" s="1164">
        <f t="shared" ref="F127:I128" si="114">L127+R127+X127</f>
        <v>882902</v>
      </c>
      <c r="G127" s="1164">
        <f t="shared" si="114"/>
        <v>421755</v>
      </c>
      <c r="H127" s="1164">
        <f t="shared" si="114"/>
        <v>52526</v>
      </c>
      <c r="I127" s="1164">
        <f t="shared" si="114"/>
        <v>8486</v>
      </c>
      <c r="J127" s="1164">
        <f>H127+I127</f>
        <v>61012</v>
      </c>
      <c r="K127" s="1164">
        <f>L127+M127+P127</f>
        <v>299032</v>
      </c>
      <c r="L127" s="271">
        <v>181110</v>
      </c>
      <c r="M127" s="271">
        <v>102879</v>
      </c>
      <c r="N127" s="271">
        <v>13035</v>
      </c>
      <c r="O127" s="271">
        <v>2008</v>
      </c>
      <c r="P127" s="1164">
        <f>N127+O127</f>
        <v>15043</v>
      </c>
      <c r="Q127" s="1164">
        <f>R127+S127+V127</f>
        <v>865204</v>
      </c>
      <c r="R127" s="271">
        <v>553659</v>
      </c>
      <c r="S127" s="271">
        <v>270391</v>
      </c>
      <c r="T127" s="271">
        <v>35569</v>
      </c>
      <c r="U127" s="271">
        <v>5585</v>
      </c>
      <c r="V127" s="1164">
        <f>T127+U127</f>
        <v>41154</v>
      </c>
      <c r="W127" s="1164">
        <f>X127+Y127+AB127</f>
        <v>201433</v>
      </c>
      <c r="X127" s="271">
        <v>148133</v>
      </c>
      <c r="Y127" s="271">
        <v>48485</v>
      </c>
      <c r="Z127" s="271">
        <v>3922</v>
      </c>
      <c r="AA127" s="271">
        <v>893</v>
      </c>
      <c r="AB127" s="1164">
        <f>Z127+AA127</f>
        <v>4815</v>
      </c>
      <c r="AC127" s="1165">
        <f t="shared" ref="AC127" si="115">F127/E127</f>
        <v>0.64649779705038335</v>
      </c>
      <c r="AD127" s="1166">
        <f t="shared" ref="AD127" si="116">G127/E127</f>
        <v>0.30882666297616773</v>
      </c>
      <c r="AE127" s="1166">
        <f t="shared" ref="AE127" si="117">H127/E127</f>
        <v>3.8461735603575978E-2</v>
      </c>
      <c r="AF127" s="1166">
        <f t="shared" ref="AF127" si="118">I127/E127</f>
        <v>6.2138043698729342E-3</v>
      </c>
      <c r="AG127" s="1167">
        <f t="shared" ref="AG127" si="119">J127/E127</f>
        <v>4.4675539973448912E-2</v>
      </c>
      <c r="AH127" s="1165">
        <f t="shared" ref="AH127" si="120">K127/E127</f>
        <v>0.21896374597358512</v>
      </c>
      <c r="AI127" s="1166">
        <f t="shared" ref="AI127" si="121">Q127/E127</f>
        <v>0.63353858072490477</v>
      </c>
      <c r="AJ127" s="1167">
        <f t="shared" ref="AJ127" si="122">W127/E127</f>
        <v>0.14749767330151009</v>
      </c>
      <c r="AK127" s="1164">
        <f>AL127+AM127+AN127</f>
        <v>74957</v>
      </c>
      <c r="AL127" s="271">
        <v>25175</v>
      </c>
      <c r="AM127" s="271">
        <v>47078</v>
      </c>
      <c r="AN127" s="271">
        <v>2704</v>
      </c>
      <c r="AO127" s="1168">
        <f t="shared" ref="AO127:AO131" si="123">AK127/E127</f>
        <v>5.4886652622267912E-2</v>
      </c>
    </row>
    <row r="128" spans="1:41" x14ac:dyDescent="0.25">
      <c r="A128" s="270" t="s">
        <v>264</v>
      </c>
      <c r="E128" s="1164">
        <f t="shared" ref="E128:E131" si="124">F128+G128+J128</f>
        <v>1869198</v>
      </c>
      <c r="F128" s="1164">
        <f t="shared" si="114"/>
        <v>1146701</v>
      </c>
      <c r="G128" s="1164">
        <f t="shared" si="114"/>
        <v>629925</v>
      </c>
      <c r="H128" s="1164">
        <f t="shared" si="114"/>
        <v>81249</v>
      </c>
      <c r="I128" s="1164">
        <f t="shared" si="114"/>
        <v>11323</v>
      </c>
      <c r="J128" s="1164">
        <f>H128+I128</f>
        <v>92572</v>
      </c>
      <c r="K128" s="1164">
        <f>L128+M128+P128</f>
        <v>416842</v>
      </c>
      <c r="L128" s="271">
        <v>233674</v>
      </c>
      <c r="M128" s="271">
        <v>162633</v>
      </c>
      <c r="N128" s="271">
        <v>18010</v>
      </c>
      <c r="O128" s="271">
        <v>2525</v>
      </c>
      <c r="P128" s="1164">
        <f>N128+O128</f>
        <v>20535</v>
      </c>
      <c r="Q128" s="1164">
        <f>R128+S128+V128</f>
        <v>1201279</v>
      </c>
      <c r="R128" s="271">
        <v>736766</v>
      </c>
      <c r="S128" s="271">
        <v>402590</v>
      </c>
      <c r="T128" s="271">
        <v>54065</v>
      </c>
      <c r="U128" s="271">
        <v>7858</v>
      </c>
      <c r="V128" s="1164">
        <f>T128+U128</f>
        <v>61923</v>
      </c>
      <c r="W128" s="1164">
        <f t="shared" ref="W128:W131" si="125">X128+Y128+AB128</f>
        <v>251077</v>
      </c>
      <c r="X128" s="271">
        <v>176261</v>
      </c>
      <c r="Y128" s="271">
        <v>64702</v>
      </c>
      <c r="Z128" s="271">
        <v>9174</v>
      </c>
      <c r="AA128" s="271">
        <v>940</v>
      </c>
      <c r="AB128" s="1164">
        <f t="shared" ref="AB128:AB131" si="126">Z128+AA128</f>
        <v>10114</v>
      </c>
      <c r="AC128" s="1165">
        <f t="shared" ref="AC128:AC131" si="127">F128/E128</f>
        <v>0.61347219502695804</v>
      </c>
      <c r="AD128" s="1166">
        <f t="shared" ref="AD128:AD131" si="128">G128/E128</f>
        <v>0.33700282153094535</v>
      </c>
      <c r="AE128" s="1166">
        <f t="shared" ref="AE128:AE131" si="129">H128/E128</f>
        <v>4.3467305229301548E-2</v>
      </c>
      <c r="AF128" s="1166">
        <f t="shared" ref="AF128:AF131" si="130">I128/E128</f>
        <v>6.0576782127950059E-3</v>
      </c>
      <c r="AG128" s="1167">
        <f t="shared" ref="AG128:AG131" si="131">J128/E128</f>
        <v>4.9524983442096555E-2</v>
      </c>
      <c r="AH128" s="1165">
        <f t="shared" ref="AH128:AH131" si="132">K128/E128</f>
        <v>0.22300580248855392</v>
      </c>
      <c r="AI128" s="1166">
        <f t="shared" ref="AI128:AI131" si="133">Q128/E128</f>
        <v>0.64267081389986502</v>
      </c>
      <c r="AJ128" s="1167">
        <f t="shared" ref="AJ128:AJ131" si="134">W128/E128</f>
        <v>0.134323383611581</v>
      </c>
      <c r="AK128" s="1164">
        <f t="shared" ref="AK128:AK131" si="135">AL128+AM128+AN128</f>
        <v>116349</v>
      </c>
      <c r="AL128" s="271">
        <v>36564</v>
      </c>
      <c r="AM128" s="271">
        <v>75436</v>
      </c>
      <c r="AN128" s="271">
        <v>4349</v>
      </c>
      <c r="AO128" s="1168">
        <f t="shared" si="123"/>
        <v>6.2245412203522581E-2</v>
      </c>
    </row>
    <row r="129" spans="1:41" x14ac:dyDescent="0.25">
      <c r="A129" s="270" t="s">
        <v>267</v>
      </c>
      <c r="E129" s="1164">
        <f t="shared" si="124"/>
        <v>3329590</v>
      </c>
      <c r="F129" s="1164">
        <f t="shared" ref="F129:F131" si="136">L129+R129+X129</f>
        <v>2464040</v>
      </c>
      <c r="G129" s="1164">
        <f t="shared" ref="G129:G131" si="137">M129+S129+Y129</f>
        <v>429651</v>
      </c>
      <c r="H129" s="1164">
        <f t="shared" ref="H129:H131" si="138">N129+T129+Z129</f>
        <v>410415</v>
      </c>
      <c r="I129" s="1164">
        <f t="shared" ref="I129:I131" si="139">O129+U129+AA129</f>
        <v>25484</v>
      </c>
      <c r="J129" s="1164">
        <f t="shared" ref="J129:J131" si="140">H129+I129</f>
        <v>435899</v>
      </c>
      <c r="K129" s="1164">
        <f t="shared" ref="K129:K131" si="141">L129+M129+P129</f>
        <v>806155</v>
      </c>
      <c r="L129" s="271">
        <v>578451</v>
      </c>
      <c r="M129" s="271">
        <v>118000</v>
      </c>
      <c r="N129" s="271">
        <v>102593</v>
      </c>
      <c r="O129" s="271">
        <v>7111</v>
      </c>
      <c r="P129" s="1164">
        <f t="shared" ref="P129:P131" si="142">N129+O129</f>
        <v>109704</v>
      </c>
      <c r="Q129" s="1164">
        <f t="shared" ref="Q129:Q131" si="143">R129+S129+V129</f>
        <v>2152906</v>
      </c>
      <c r="R129" s="271">
        <v>1582319</v>
      </c>
      <c r="S129" s="271">
        <v>280310</v>
      </c>
      <c r="T129" s="271">
        <v>273197</v>
      </c>
      <c r="U129" s="271">
        <v>17080</v>
      </c>
      <c r="V129" s="1164">
        <f t="shared" ref="V129:V131" si="144">T129+U129</f>
        <v>290277</v>
      </c>
      <c r="W129" s="1164">
        <f t="shared" si="125"/>
        <v>370529</v>
      </c>
      <c r="X129" s="271">
        <v>303270</v>
      </c>
      <c r="Y129" s="271">
        <v>31341</v>
      </c>
      <c r="Z129" s="271">
        <v>34625</v>
      </c>
      <c r="AA129" s="271">
        <v>1293</v>
      </c>
      <c r="AB129" s="1164">
        <f t="shared" si="126"/>
        <v>35918</v>
      </c>
      <c r="AC129" s="1165">
        <f t="shared" si="127"/>
        <v>0.74004306836577471</v>
      </c>
      <c r="AD129" s="1166">
        <f t="shared" si="128"/>
        <v>0.12904021215825373</v>
      </c>
      <c r="AE129" s="1166">
        <f t="shared" si="129"/>
        <v>0.12326292426394841</v>
      </c>
      <c r="AF129" s="1166">
        <f t="shared" si="130"/>
        <v>7.6537952120231019E-3</v>
      </c>
      <c r="AG129" s="1167">
        <f t="shared" si="131"/>
        <v>0.13091671947597153</v>
      </c>
      <c r="AH129" s="1165">
        <f t="shared" si="132"/>
        <v>0.24211839896203435</v>
      </c>
      <c r="AI129" s="1166">
        <f t="shared" si="133"/>
        <v>0.64659792947480021</v>
      </c>
      <c r="AJ129" s="1167">
        <f t="shared" si="134"/>
        <v>0.11128367156316543</v>
      </c>
      <c r="AK129" s="1164">
        <f t="shared" si="135"/>
        <v>494215</v>
      </c>
      <c r="AL129" s="271">
        <v>157027</v>
      </c>
      <c r="AM129" s="271">
        <v>317448</v>
      </c>
      <c r="AN129" s="271">
        <v>19740</v>
      </c>
      <c r="AO129" s="1168">
        <f t="shared" si="123"/>
        <v>0.14843118822437598</v>
      </c>
    </row>
    <row r="130" spans="1:41" x14ac:dyDescent="0.25">
      <c r="A130" s="270" t="s">
        <v>265</v>
      </c>
      <c r="E130" s="1164">
        <f t="shared" si="124"/>
        <v>1169831</v>
      </c>
      <c r="F130" s="1164">
        <f t="shared" si="136"/>
        <v>932879</v>
      </c>
      <c r="G130" s="1164">
        <f t="shared" si="137"/>
        <v>208096</v>
      </c>
      <c r="H130" s="1164">
        <f t="shared" si="138"/>
        <v>24472</v>
      </c>
      <c r="I130" s="1164">
        <f t="shared" si="139"/>
        <v>4384</v>
      </c>
      <c r="J130" s="1164">
        <f t="shared" si="140"/>
        <v>28856</v>
      </c>
      <c r="K130" s="1164">
        <f t="shared" si="141"/>
        <v>236385</v>
      </c>
      <c r="L130" s="271">
        <v>178049</v>
      </c>
      <c r="M130" s="271">
        <v>51783</v>
      </c>
      <c r="N130" s="271">
        <v>5564</v>
      </c>
      <c r="O130" s="271">
        <v>989</v>
      </c>
      <c r="P130" s="1164">
        <f t="shared" si="142"/>
        <v>6553</v>
      </c>
      <c r="Q130" s="1164">
        <f t="shared" si="143"/>
        <v>716453</v>
      </c>
      <c r="R130" s="271">
        <v>568591</v>
      </c>
      <c r="S130" s="271">
        <v>127531</v>
      </c>
      <c r="T130" s="271">
        <v>17396</v>
      </c>
      <c r="U130" s="271">
        <v>2935</v>
      </c>
      <c r="V130" s="1164">
        <f t="shared" si="144"/>
        <v>20331</v>
      </c>
      <c r="W130" s="1164">
        <f t="shared" si="125"/>
        <v>216993</v>
      </c>
      <c r="X130" s="271">
        <v>186239</v>
      </c>
      <c r="Y130" s="271">
        <v>28782</v>
      </c>
      <c r="Z130" s="271">
        <v>1512</v>
      </c>
      <c r="AA130" s="271">
        <v>460</v>
      </c>
      <c r="AB130" s="1164">
        <f t="shared" si="126"/>
        <v>1972</v>
      </c>
      <c r="AC130" s="1165">
        <f t="shared" si="127"/>
        <v>0.79744766551749779</v>
      </c>
      <c r="AD130" s="1166">
        <f t="shared" si="128"/>
        <v>0.17788552363546528</v>
      </c>
      <c r="AE130" s="1166">
        <f t="shared" si="129"/>
        <v>2.0919260987270812E-2</v>
      </c>
      <c r="AF130" s="1166">
        <f t="shared" si="130"/>
        <v>3.7475498597660689E-3</v>
      </c>
      <c r="AG130" s="1167">
        <f t="shared" si="131"/>
        <v>2.4666810847036879E-2</v>
      </c>
      <c r="AH130" s="1165">
        <f t="shared" si="132"/>
        <v>0.20206764908777422</v>
      </c>
      <c r="AI130" s="1166">
        <f t="shared" si="133"/>
        <v>0.61244145521874527</v>
      </c>
      <c r="AJ130" s="1167">
        <f t="shared" si="134"/>
        <v>0.18549089569348051</v>
      </c>
      <c r="AK130" s="1164">
        <f t="shared" si="135"/>
        <v>39813</v>
      </c>
      <c r="AL130" s="271">
        <v>13795</v>
      </c>
      <c r="AM130" s="271">
        <v>24303</v>
      </c>
      <c r="AN130" s="271">
        <v>1715</v>
      </c>
      <c r="AO130" s="1168">
        <f t="shared" si="123"/>
        <v>3.403312102346407E-2</v>
      </c>
    </row>
    <row r="131" spans="1:41" x14ac:dyDescent="0.25">
      <c r="A131" s="270" t="s">
        <v>268</v>
      </c>
      <c r="E131" s="1164">
        <f t="shared" si="124"/>
        <v>592001</v>
      </c>
      <c r="F131" s="1164">
        <f t="shared" si="136"/>
        <v>559093</v>
      </c>
      <c r="G131" s="1164">
        <f t="shared" si="137"/>
        <v>22374</v>
      </c>
      <c r="H131" s="1164">
        <f t="shared" si="138"/>
        <v>9064</v>
      </c>
      <c r="I131" s="1164">
        <f t="shared" si="139"/>
        <v>1470</v>
      </c>
      <c r="J131" s="1164">
        <f t="shared" si="140"/>
        <v>10534</v>
      </c>
      <c r="K131" s="1164">
        <f t="shared" si="141"/>
        <v>110701</v>
      </c>
      <c r="L131" s="271">
        <v>104098</v>
      </c>
      <c r="M131" s="271">
        <v>4798</v>
      </c>
      <c r="N131" s="271">
        <v>1536</v>
      </c>
      <c r="O131" s="271">
        <v>269</v>
      </c>
      <c r="P131" s="1164">
        <f t="shared" si="142"/>
        <v>1805</v>
      </c>
      <c r="Q131" s="1164">
        <f t="shared" si="143"/>
        <v>374446</v>
      </c>
      <c r="R131" s="271">
        <v>350926</v>
      </c>
      <c r="S131" s="271">
        <v>15475</v>
      </c>
      <c r="T131" s="271">
        <v>7007</v>
      </c>
      <c r="U131" s="271">
        <v>1038</v>
      </c>
      <c r="V131" s="1164">
        <f t="shared" si="144"/>
        <v>8045</v>
      </c>
      <c r="W131" s="1164">
        <f t="shared" si="125"/>
        <v>106854</v>
      </c>
      <c r="X131" s="271">
        <v>104069</v>
      </c>
      <c r="Y131" s="271">
        <v>2101</v>
      </c>
      <c r="Z131" s="271">
        <v>521</v>
      </c>
      <c r="AA131" s="271">
        <v>163</v>
      </c>
      <c r="AB131" s="1164">
        <f t="shared" si="126"/>
        <v>684</v>
      </c>
      <c r="AC131" s="1165">
        <f t="shared" si="127"/>
        <v>0.94441225606037826</v>
      </c>
      <c r="AD131" s="1166">
        <f t="shared" si="128"/>
        <v>3.7793855077947504E-2</v>
      </c>
      <c r="AE131" s="1166">
        <f t="shared" si="129"/>
        <v>1.5310784947998399E-2</v>
      </c>
      <c r="AF131" s="1166">
        <f t="shared" si="130"/>
        <v>2.4831039136758216E-3</v>
      </c>
      <c r="AG131" s="1167">
        <f t="shared" si="131"/>
        <v>1.7793888861674219E-2</v>
      </c>
      <c r="AH131" s="1165">
        <f t="shared" si="132"/>
        <v>0.1869946165631477</v>
      </c>
      <c r="AI131" s="1166">
        <f t="shared" si="133"/>
        <v>0.63250906670765761</v>
      </c>
      <c r="AJ131" s="1167">
        <f t="shared" si="134"/>
        <v>0.18049631672919472</v>
      </c>
      <c r="AK131" s="1164">
        <f t="shared" si="135"/>
        <v>11982</v>
      </c>
      <c r="AL131" s="271">
        <v>3698</v>
      </c>
      <c r="AM131" s="271">
        <v>7717</v>
      </c>
      <c r="AN131" s="271">
        <v>567</v>
      </c>
      <c r="AO131" s="1168">
        <f t="shared" si="123"/>
        <v>2.0239830675961697E-2</v>
      </c>
    </row>
    <row r="134" spans="1:41" x14ac:dyDescent="0.25">
      <c r="A134" s="1163" t="s">
        <v>875</v>
      </c>
    </row>
    <row r="136" spans="1:41" x14ac:dyDescent="0.25">
      <c r="A136" s="414" t="s">
        <v>248</v>
      </c>
      <c r="B136" s="414"/>
    </row>
    <row r="137" spans="1:41" x14ac:dyDescent="0.25">
      <c r="A137" s="415" t="s">
        <v>249</v>
      </c>
      <c r="B137" s="416" t="s">
        <v>250</v>
      </c>
    </row>
  </sheetData>
  <autoFilter ref="A4:D125"/>
  <sortState ref="A6:AO125">
    <sortCondition ref="B6:B125"/>
  </sortState>
  <mergeCells count="7">
    <mergeCell ref="AK3:AN3"/>
    <mergeCell ref="E3:J3"/>
    <mergeCell ref="AC3:AG3"/>
    <mergeCell ref="AH3:AJ3"/>
    <mergeCell ref="K3:P3"/>
    <mergeCell ref="Q3:V3"/>
    <mergeCell ref="W3:AB3"/>
  </mergeCells>
  <hyperlinks>
    <hyperlink ref="B137" r:id="rId1"/>
  </hyperlinks>
  <pageMargins left="0.7" right="0.7" top="0.75" bottom="0.75" header="0.3" footer="0.3"/>
  <pageSetup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8"/>
  <sheetViews>
    <sheetView workbookViewId="0">
      <pane ySplit="6" topLeftCell="A7" activePane="bottomLeft" state="frozen"/>
      <selection pane="bottomLeft" activeCell="A129" sqref="A129:A133"/>
    </sheetView>
  </sheetViews>
  <sheetFormatPr defaultRowHeight="12.75" x14ac:dyDescent="0.2"/>
  <cols>
    <col min="1" max="1" width="7.625" style="222" customWidth="1"/>
    <col min="2" max="2" width="26.375" style="220" customWidth="1"/>
    <col min="3" max="3" width="9.25" style="220" customWidth="1"/>
    <col min="4" max="4" width="1.75" style="220" customWidth="1"/>
    <col min="5" max="7" width="10.875" style="221" customWidth="1"/>
    <col min="8" max="8" width="1.375" style="221" customWidth="1"/>
    <col min="9" max="10" width="13.5" style="222" customWidth="1"/>
    <col min="11" max="11" width="2.625" style="222" customWidth="1"/>
    <col min="12" max="14" width="10.375" style="222" customWidth="1"/>
    <col min="15" max="15" width="2.125" style="222" customWidth="1"/>
    <col min="16" max="17" width="10.375" style="222" customWidth="1"/>
    <col min="18" max="16384" width="9" style="222"/>
  </cols>
  <sheetData>
    <row r="1" spans="1:17" ht="15.75" x14ac:dyDescent="0.25">
      <c r="A1" s="64" t="s">
        <v>642</v>
      </c>
    </row>
    <row r="3" spans="1:17" x14ac:dyDescent="0.2">
      <c r="B3" s="222"/>
      <c r="C3" s="222"/>
      <c r="D3" s="222"/>
    </row>
    <row r="4" spans="1:17" ht="44.25" customHeight="1" x14ac:dyDescent="0.2">
      <c r="E4" s="2163" t="s">
        <v>643</v>
      </c>
      <c r="F4" s="2163"/>
      <c r="G4" s="2163"/>
      <c r="H4" s="167"/>
      <c r="I4" s="2163" t="s">
        <v>644</v>
      </c>
      <c r="J4" s="2163"/>
      <c r="L4" s="2163" t="s">
        <v>651</v>
      </c>
      <c r="M4" s="2163"/>
      <c r="N4" s="2163"/>
      <c r="O4" s="167"/>
      <c r="P4" s="2163" t="s">
        <v>652</v>
      </c>
      <c r="Q4" s="2163"/>
    </row>
    <row r="5" spans="1:17" x14ac:dyDescent="0.2">
      <c r="A5" s="223" t="s">
        <v>4</v>
      </c>
      <c r="B5" s="224" t="s">
        <v>645</v>
      </c>
      <c r="C5" s="224" t="s">
        <v>251</v>
      </c>
      <c r="D5" s="225"/>
      <c r="E5" s="178" t="s">
        <v>281</v>
      </c>
      <c r="F5" s="179" t="s">
        <v>638</v>
      </c>
      <c r="G5" s="177" t="s">
        <v>646</v>
      </c>
      <c r="H5" s="167"/>
      <c r="I5" s="178" t="s">
        <v>638</v>
      </c>
      <c r="J5" s="177" t="s">
        <v>646</v>
      </c>
      <c r="L5" s="178" t="s">
        <v>281</v>
      </c>
      <c r="M5" s="179" t="s">
        <v>638</v>
      </c>
      <c r="N5" s="177" t="s">
        <v>646</v>
      </c>
      <c r="O5" s="167"/>
      <c r="P5" s="178" t="s">
        <v>638</v>
      </c>
      <c r="Q5" s="177" t="s">
        <v>646</v>
      </c>
    </row>
    <row r="6" spans="1:17" x14ac:dyDescent="0.2">
      <c r="A6" s="226" t="s">
        <v>8</v>
      </c>
      <c r="B6" s="227" t="s">
        <v>9</v>
      </c>
      <c r="C6" s="227"/>
      <c r="D6" s="228"/>
      <c r="E6" s="229">
        <v>1688168</v>
      </c>
      <c r="F6" s="230">
        <v>1534844</v>
      </c>
      <c r="G6" s="231">
        <v>153324</v>
      </c>
      <c r="H6" s="167"/>
      <c r="I6" s="232">
        <f>F6/E6</f>
        <v>0.90917728567298994</v>
      </c>
      <c r="J6" s="233">
        <f>G6/E6</f>
        <v>9.0822714327010112E-2</v>
      </c>
      <c r="K6" s="65"/>
      <c r="L6" s="229">
        <v>698173</v>
      </c>
      <c r="M6" s="230">
        <v>644610</v>
      </c>
      <c r="N6" s="231">
        <v>53563</v>
      </c>
      <c r="O6" s="234"/>
      <c r="P6" s="232">
        <f>M6/L6</f>
        <v>0.92328119248381135</v>
      </c>
      <c r="Q6" s="233">
        <f>N6/L6</f>
        <v>7.6718807516188675E-2</v>
      </c>
    </row>
    <row r="7" spans="1:17" x14ac:dyDescent="0.2">
      <c r="A7" s="235" t="s">
        <v>10</v>
      </c>
      <c r="B7" s="236" t="s">
        <v>11</v>
      </c>
      <c r="C7" s="237" t="s">
        <v>264</v>
      </c>
      <c r="D7" s="237"/>
      <c r="E7" s="238">
        <v>7353</v>
      </c>
      <c r="F7" s="239">
        <v>6603</v>
      </c>
      <c r="G7" s="240">
        <v>750</v>
      </c>
      <c r="I7" s="241">
        <f t="shared" ref="I7:I70" si="0">F7/E7</f>
        <v>0.89800081599347203</v>
      </c>
      <c r="J7" s="242">
        <f t="shared" ref="J7:J70" si="1">G7/E7</f>
        <v>0.10199918400652795</v>
      </c>
      <c r="L7" s="243">
        <v>2269</v>
      </c>
      <c r="M7" s="243">
        <v>1955</v>
      </c>
      <c r="N7" s="243">
        <v>314</v>
      </c>
      <c r="P7" s="244">
        <f t="shared" ref="P7:P70" si="2">M7/L7</f>
        <v>0.86161304539444694</v>
      </c>
      <c r="Q7" s="244">
        <f t="shared" ref="Q7:Q70" si="3">N7/L7</f>
        <v>0.13838695460555311</v>
      </c>
    </row>
    <row r="8" spans="1:17" x14ac:dyDescent="0.2">
      <c r="A8" s="235" t="s">
        <v>12</v>
      </c>
      <c r="B8" s="236" t="s">
        <v>13</v>
      </c>
      <c r="C8" s="237" t="s">
        <v>265</v>
      </c>
      <c r="D8" s="237"/>
      <c r="E8" s="238">
        <v>21565</v>
      </c>
      <c r="F8" s="239">
        <v>19600</v>
      </c>
      <c r="G8" s="240">
        <v>1965</v>
      </c>
      <c r="I8" s="241">
        <f t="shared" si="0"/>
        <v>0.90888012984001854</v>
      </c>
      <c r="J8" s="242">
        <f t="shared" si="1"/>
        <v>9.111987015998145E-2</v>
      </c>
      <c r="L8" s="243">
        <v>8644</v>
      </c>
      <c r="M8" s="243">
        <v>8018</v>
      </c>
      <c r="N8" s="243">
        <v>626</v>
      </c>
      <c r="P8" s="244">
        <f t="shared" si="2"/>
        <v>0.92757982415548357</v>
      </c>
      <c r="Q8" s="244">
        <f t="shared" si="3"/>
        <v>7.2420175844516432E-2</v>
      </c>
    </row>
    <row r="9" spans="1:17" x14ac:dyDescent="0.2">
      <c r="A9" s="235" t="s">
        <v>16</v>
      </c>
      <c r="B9" s="236" t="s">
        <v>297</v>
      </c>
      <c r="C9" s="237" t="s">
        <v>265</v>
      </c>
      <c r="D9" s="237"/>
      <c r="E9" s="238">
        <v>5221</v>
      </c>
      <c r="F9" s="239">
        <v>4691</v>
      </c>
      <c r="G9" s="240">
        <v>530</v>
      </c>
      <c r="I9" s="241">
        <f t="shared" si="0"/>
        <v>0.89848687990806364</v>
      </c>
      <c r="J9" s="242">
        <f t="shared" si="1"/>
        <v>0.10151312009193642</v>
      </c>
      <c r="L9" s="243">
        <v>1779</v>
      </c>
      <c r="M9" s="243">
        <v>1555</v>
      </c>
      <c r="N9" s="243">
        <v>224</v>
      </c>
      <c r="P9" s="244">
        <f t="shared" si="2"/>
        <v>0.87408656548622821</v>
      </c>
      <c r="Q9" s="244">
        <f t="shared" si="3"/>
        <v>0.12591343451377179</v>
      </c>
    </row>
    <row r="10" spans="1:17" x14ac:dyDescent="0.2">
      <c r="A10" s="235" t="s">
        <v>18</v>
      </c>
      <c r="B10" s="236" t="s">
        <v>19</v>
      </c>
      <c r="C10" s="237" t="s">
        <v>266</v>
      </c>
      <c r="D10" s="237"/>
      <c r="E10" s="238">
        <v>3038</v>
      </c>
      <c r="F10" s="239">
        <v>2770</v>
      </c>
      <c r="G10" s="240">
        <v>268</v>
      </c>
      <c r="I10" s="241">
        <f t="shared" si="0"/>
        <v>0.91178406846609616</v>
      </c>
      <c r="J10" s="242">
        <f t="shared" si="1"/>
        <v>8.8215931533903891E-2</v>
      </c>
      <c r="L10" s="243">
        <v>1040</v>
      </c>
      <c r="M10" s="243">
        <v>937</v>
      </c>
      <c r="N10" s="243">
        <v>103</v>
      </c>
      <c r="P10" s="244">
        <f t="shared" si="2"/>
        <v>0.90096153846153848</v>
      </c>
      <c r="Q10" s="244">
        <f t="shared" si="3"/>
        <v>9.9038461538461534E-2</v>
      </c>
    </row>
    <row r="11" spans="1:17" x14ac:dyDescent="0.2">
      <c r="A11" s="235" t="s">
        <v>20</v>
      </c>
      <c r="B11" s="236" t="s">
        <v>21</v>
      </c>
      <c r="C11" s="237" t="s">
        <v>265</v>
      </c>
      <c r="D11" s="237"/>
      <c r="E11" s="238">
        <v>7187</v>
      </c>
      <c r="F11" s="239">
        <v>6499</v>
      </c>
      <c r="G11" s="240">
        <v>688</v>
      </c>
      <c r="I11" s="241">
        <f t="shared" si="0"/>
        <v>0.90427160150271324</v>
      </c>
      <c r="J11" s="242">
        <f t="shared" si="1"/>
        <v>9.5728398497286774E-2</v>
      </c>
      <c r="L11" s="243">
        <v>2536</v>
      </c>
      <c r="M11" s="243">
        <v>2238</v>
      </c>
      <c r="N11" s="243">
        <v>298</v>
      </c>
      <c r="P11" s="244">
        <f t="shared" si="2"/>
        <v>0.88249211356466872</v>
      </c>
      <c r="Q11" s="244">
        <f t="shared" si="3"/>
        <v>0.11750788643533124</v>
      </c>
    </row>
    <row r="12" spans="1:17" x14ac:dyDescent="0.2">
      <c r="A12" s="235" t="s">
        <v>22</v>
      </c>
      <c r="B12" s="236" t="s">
        <v>23</v>
      </c>
      <c r="C12" s="237" t="s">
        <v>265</v>
      </c>
      <c r="D12" s="237"/>
      <c r="E12" s="238">
        <v>3614</v>
      </c>
      <c r="F12" s="239">
        <v>3301</v>
      </c>
      <c r="G12" s="240">
        <v>313</v>
      </c>
      <c r="I12" s="241">
        <f t="shared" si="0"/>
        <v>0.91339236303265081</v>
      </c>
      <c r="J12" s="242">
        <f t="shared" si="1"/>
        <v>8.6607636967349202E-2</v>
      </c>
      <c r="L12" s="243">
        <v>1230</v>
      </c>
      <c r="M12" s="243">
        <v>1092</v>
      </c>
      <c r="N12" s="243">
        <v>138</v>
      </c>
      <c r="P12" s="244">
        <f t="shared" si="2"/>
        <v>0.8878048780487805</v>
      </c>
      <c r="Q12" s="244">
        <f t="shared" si="3"/>
        <v>0.11219512195121951</v>
      </c>
    </row>
    <row r="13" spans="1:17" x14ac:dyDescent="0.2">
      <c r="A13" s="235" t="s">
        <v>24</v>
      </c>
      <c r="B13" s="236" t="s">
        <v>25</v>
      </c>
      <c r="C13" s="237" t="s">
        <v>267</v>
      </c>
      <c r="D13" s="237"/>
      <c r="E13" s="238">
        <v>38502</v>
      </c>
      <c r="F13" s="239">
        <v>33218</v>
      </c>
      <c r="G13" s="240">
        <v>5284</v>
      </c>
      <c r="I13" s="241">
        <f t="shared" si="0"/>
        <v>0.86276037608435929</v>
      </c>
      <c r="J13" s="242">
        <f t="shared" si="1"/>
        <v>0.13723962391564073</v>
      </c>
      <c r="L13" s="243">
        <v>14733</v>
      </c>
      <c r="M13" s="243">
        <v>14228</v>
      </c>
      <c r="N13" s="243">
        <v>505</v>
      </c>
      <c r="P13" s="244">
        <f t="shared" si="2"/>
        <v>0.96572320640738474</v>
      </c>
      <c r="Q13" s="244">
        <f t="shared" si="3"/>
        <v>3.4276793592615221E-2</v>
      </c>
    </row>
    <row r="14" spans="1:17" x14ac:dyDescent="0.2">
      <c r="A14" s="235" t="s">
        <v>26</v>
      </c>
      <c r="B14" s="236" t="s">
        <v>686</v>
      </c>
      <c r="C14" s="237" t="s">
        <v>265</v>
      </c>
      <c r="D14" s="237"/>
      <c r="E14" s="238">
        <v>27621</v>
      </c>
      <c r="F14" s="239">
        <v>24834</v>
      </c>
      <c r="G14" s="240">
        <v>2787</v>
      </c>
      <c r="I14" s="241">
        <f t="shared" si="0"/>
        <v>0.89909851200173785</v>
      </c>
      <c r="J14" s="242">
        <f t="shared" si="1"/>
        <v>0.10090148799826219</v>
      </c>
      <c r="L14" s="243">
        <v>9620</v>
      </c>
      <c r="M14" s="243">
        <v>8571</v>
      </c>
      <c r="N14" s="243">
        <v>1049</v>
      </c>
      <c r="P14" s="244">
        <f t="shared" si="2"/>
        <v>0.89095634095634091</v>
      </c>
      <c r="Q14" s="244">
        <f t="shared" si="3"/>
        <v>0.10904365904365905</v>
      </c>
    </row>
    <row r="15" spans="1:17" x14ac:dyDescent="0.2">
      <c r="A15" s="235" t="s">
        <v>27</v>
      </c>
      <c r="B15" s="236" t="s">
        <v>28</v>
      </c>
      <c r="C15" s="237" t="s">
        <v>265</v>
      </c>
      <c r="D15" s="237"/>
      <c r="E15" s="238">
        <v>1205</v>
      </c>
      <c r="F15" s="239">
        <v>1090</v>
      </c>
      <c r="G15" s="240">
        <v>115</v>
      </c>
      <c r="I15" s="241">
        <f t="shared" si="0"/>
        <v>0.9045643153526971</v>
      </c>
      <c r="J15" s="242">
        <f t="shared" si="1"/>
        <v>9.5435684647302899E-2</v>
      </c>
      <c r="L15" s="243">
        <v>355</v>
      </c>
      <c r="M15" s="243">
        <v>322</v>
      </c>
      <c r="N15" s="243">
        <v>33</v>
      </c>
      <c r="P15" s="244">
        <f t="shared" si="2"/>
        <v>0.90704225352112677</v>
      </c>
      <c r="Q15" s="244">
        <f t="shared" si="3"/>
        <v>9.295774647887324E-2</v>
      </c>
    </row>
    <row r="16" spans="1:17" x14ac:dyDescent="0.2">
      <c r="A16" s="235" t="s">
        <v>29</v>
      </c>
      <c r="B16" s="236" t="s">
        <v>610</v>
      </c>
      <c r="C16" s="237" t="s">
        <v>265</v>
      </c>
      <c r="D16" s="237"/>
      <c r="E16" s="238">
        <v>19414</v>
      </c>
      <c r="F16" s="239">
        <v>18072</v>
      </c>
      <c r="G16" s="240">
        <v>1342</v>
      </c>
      <c r="I16" s="241">
        <f t="shared" si="0"/>
        <v>0.93087462655815389</v>
      </c>
      <c r="J16" s="242">
        <f t="shared" si="1"/>
        <v>6.9125373441846091E-2</v>
      </c>
      <c r="L16" s="243">
        <v>6823</v>
      </c>
      <c r="M16" s="243">
        <v>6351</v>
      </c>
      <c r="N16" s="243">
        <v>472</v>
      </c>
      <c r="P16" s="244">
        <f t="shared" si="2"/>
        <v>0.93082221896526451</v>
      </c>
      <c r="Q16" s="244">
        <f t="shared" si="3"/>
        <v>6.9177781034735458E-2</v>
      </c>
    </row>
    <row r="17" spans="1:17" x14ac:dyDescent="0.2">
      <c r="A17" s="235" t="s">
        <v>30</v>
      </c>
      <c r="B17" s="236" t="s">
        <v>31</v>
      </c>
      <c r="C17" s="237" t="s">
        <v>268</v>
      </c>
      <c r="D17" s="237"/>
      <c r="E17" s="238">
        <v>1613</v>
      </c>
      <c r="F17" s="239">
        <v>1499</v>
      </c>
      <c r="G17" s="240">
        <v>114</v>
      </c>
      <c r="I17" s="241">
        <f t="shared" si="0"/>
        <v>0.92932424054556728</v>
      </c>
      <c r="J17" s="242">
        <f t="shared" si="1"/>
        <v>7.0675759454432732E-2</v>
      </c>
      <c r="L17" s="243">
        <v>486</v>
      </c>
      <c r="M17" s="243">
        <v>451</v>
      </c>
      <c r="N17" s="243">
        <v>35</v>
      </c>
      <c r="P17" s="244">
        <f t="shared" si="2"/>
        <v>0.92798353909465026</v>
      </c>
      <c r="Q17" s="244">
        <f t="shared" si="3"/>
        <v>7.2016460905349799E-2</v>
      </c>
    </row>
    <row r="18" spans="1:17" x14ac:dyDescent="0.2">
      <c r="A18" s="235" t="s">
        <v>32</v>
      </c>
      <c r="B18" s="236" t="s">
        <v>33</v>
      </c>
      <c r="C18" s="237" t="s">
        <v>265</v>
      </c>
      <c r="D18" s="237"/>
      <c r="E18" s="238">
        <v>8784</v>
      </c>
      <c r="F18" s="239">
        <v>8271</v>
      </c>
      <c r="G18" s="240">
        <v>513</v>
      </c>
      <c r="I18" s="241">
        <f t="shared" si="0"/>
        <v>0.94159836065573765</v>
      </c>
      <c r="J18" s="242">
        <f t="shared" si="1"/>
        <v>5.8401639344262297E-2</v>
      </c>
      <c r="L18" s="243">
        <v>3140</v>
      </c>
      <c r="M18" s="243">
        <v>2972</v>
      </c>
      <c r="N18" s="243">
        <v>168</v>
      </c>
      <c r="P18" s="244">
        <f t="shared" si="2"/>
        <v>0.94649681528662422</v>
      </c>
      <c r="Q18" s="244">
        <f t="shared" si="3"/>
        <v>5.3503184713375798E-2</v>
      </c>
    </row>
    <row r="19" spans="1:17" x14ac:dyDescent="0.2">
      <c r="A19" s="235" t="s">
        <v>36</v>
      </c>
      <c r="B19" s="236" t="s">
        <v>37</v>
      </c>
      <c r="C19" s="237" t="s">
        <v>264</v>
      </c>
      <c r="D19" s="237"/>
      <c r="E19" s="238">
        <v>3029</v>
      </c>
      <c r="F19" s="239">
        <v>2666</v>
      </c>
      <c r="G19" s="240">
        <v>363</v>
      </c>
      <c r="I19" s="241">
        <f t="shared" si="0"/>
        <v>0.88015846814130072</v>
      </c>
      <c r="J19" s="242">
        <f t="shared" si="1"/>
        <v>0.11984153185869924</v>
      </c>
      <c r="L19" s="243">
        <v>913</v>
      </c>
      <c r="M19" s="243">
        <v>741</v>
      </c>
      <c r="N19" s="243">
        <v>172</v>
      </c>
      <c r="P19" s="244">
        <f t="shared" si="2"/>
        <v>0.81161007667031759</v>
      </c>
      <c r="Q19" s="244">
        <f t="shared" si="3"/>
        <v>0.18838992332968238</v>
      </c>
    </row>
    <row r="20" spans="1:17" x14ac:dyDescent="0.2">
      <c r="A20" s="235" t="s">
        <v>38</v>
      </c>
      <c r="B20" s="236" t="s">
        <v>39</v>
      </c>
      <c r="C20" s="237" t="s">
        <v>268</v>
      </c>
      <c r="D20" s="237"/>
      <c r="E20" s="238">
        <v>5701</v>
      </c>
      <c r="F20" s="239">
        <v>5346</v>
      </c>
      <c r="G20" s="240">
        <v>355</v>
      </c>
      <c r="I20" s="241">
        <f t="shared" si="0"/>
        <v>0.9377302227679355</v>
      </c>
      <c r="J20" s="242">
        <f t="shared" si="1"/>
        <v>6.2269777232064553E-2</v>
      </c>
      <c r="L20" s="243">
        <v>1790</v>
      </c>
      <c r="M20" s="243">
        <v>1644</v>
      </c>
      <c r="N20" s="243">
        <v>146</v>
      </c>
      <c r="P20" s="244">
        <f t="shared" si="2"/>
        <v>0.91843575418994416</v>
      </c>
      <c r="Q20" s="244">
        <f t="shared" si="3"/>
        <v>8.1564245810055863E-2</v>
      </c>
    </row>
    <row r="21" spans="1:17" x14ac:dyDescent="0.2">
      <c r="A21" s="235" t="s">
        <v>40</v>
      </c>
      <c r="B21" s="236" t="s">
        <v>41</v>
      </c>
      <c r="C21" s="237" t="s">
        <v>266</v>
      </c>
      <c r="D21" s="237"/>
      <c r="E21" s="238">
        <v>3271</v>
      </c>
      <c r="F21" s="239">
        <v>2867</v>
      </c>
      <c r="G21" s="240">
        <v>404</v>
      </c>
      <c r="I21" s="241">
        <f t="shared" si="0"/>
        <v>0.87649036991745644</v>
      </c>
      <c r="J21" s="242">
        <f t="shared" si="1"/>
        <v>0.12350963008254356</v>
      </c>
      <c r="L21" s="243">
        <v>1127</v>
      </c>
      <c r="M21" s="243">
        <v>949</v>
      </c>
      <c r="N21" s="243">
        <v>178</v>
      </c>
      <c r="P21" s="244">
        <f t="shared" si="2"/>
        <v>0.84205856255545697</v>
      </c>
      <c r="Q21" s="244">
        <f t="shared" si="3"/>
        <v>0.15794143744454303</v>
      </c>
    </row>
    <row r="22" spans="1:17" x14ac:dyDescent="0.2">
      <c r="A22" s="235" t="s">
        <v>42</v>
      </c>
      <c r="B22" s="236" t="s">
        <v>43</v>
      </c>
      <c r="C22" s="237" t="s">
        <v>265</v>
      </c>
      <c r="D22" s="237"/>
      <c r="E22" s="238">
        <v>12666</v>
      </c>
      <c r="F22" s="239">
        <v>11598</v>
      </c>
      <c r="G22" s="240">
        <v>1068</v>
      </c>
      <c r="I22" s="241">
        <f t="shared" si="0"/>
        <v>0.91567977261961153</v>
      </c>
      <c r="J22" s="242">
        <f t="shared" si="1"/>
        <v>8.4320227380388441E-2</v>
      </c>
      <c r="L22" s="243">
        <v>4621</v>
      </c>
      <c r="M22" s="243">
        <v>4181</v>
      </c>
      <c r="N22" s="243">
        <v>440</v>
      </c>
      <c r="P22" s="244">
        <f t="shared" si="2"/>
        <v>0.90478251460722792</v>
      </c>
      <c r="Q22" s="244">
        <f t="shared" si="3"/>
        <v>9.5217485392772125E-2</v>
      </c>
    </row>
    <row r="23" spans="1:17" x14ac:dyDescent="0.2">
      <c r="A23" s="235" t="s">
        <v>44</v>
      </c>
      <c r="B23" s="236" t="s">
        <v>45</v>
      </c>
      <c r="C23" s="237" t="s">
        <v>266</v>
      </c>
      <c r="D23" s="237"/>
      <c r="E23" s="238">
        <v>6213</v>
      </c>
      <c r="F23" s="239">
        <v>5487</v>
      </c>
      <c r="G23" s="240">
        <v>726</v>
      </c>
      <c r="I23" s="241">
        <f t="shared" si="0"/>
        <v>0.88314823756639305</v>
      </c>
      <c r="J23" s="242">
        <f t="shared" si="1"/>
        <v>0.11685176243360695</v>
      </c>
      <c r="L23" s="243">
        <v>2422</v>
      </c>
      <c r="M23" s="243">
        <v>2104</v>
      </c>
      <c r="N23" s="243">
        <v>318</v>
      </c>
      <c r="P23" s="244">
        <f t="shared" si="2"/>
        <v>0.86870355078447559</v>
      </c>
      <c r="Q23" s="244">
        <f t="shared" si="3"/>
        <v>0.13129644921552436</v>
      </c>
    </row>
    <row r="24" spans="1:17" x14ac:dyDescent="0.2">
      <c r="A24" s="235" t="s">
        <v>46</v>
      </c>
      <c r="B24" s="236" t="s">
        <v>47</v>
      </c>
      <c r="C24" s="237" t="s">
        <v>268</v>
      </c>
      <c r="D24" s="237"/>
      <c r="E24" s="238">
        <v>7489</v>
      </c>
      <c r="F24" s="239">
        <v>6888</v>
      </c>
      <c r="G24" s="240">
        <v>601</v>
      </c>
      <c r="I24" s="241">
        <f t="shared" si="0"/>
        <v>0.91974896514888504</v>
      </c>
      <c r="J24" s="242">
        <f t="shared" si="1"/>
        <v>8.0251034851114969E-2</v>
      </c>
      <c r="L24" s="243">
        <v>2421</v>
      </c>
      <c r="M24" s="243">
        <v>2165</v>
      </c>
      <c r="N24" s="243">
        <v>256</v>
      </c>
      <c r="P24" s="244">
        <f t="shared" si="2"/>
        <v>0.89425857083849647</v>
      </c>
      <c r="Q24" s="244">
        <f t="shared" si="3"/>
        <v>0.10574142916150352</v>
      </c>
    </row>
    <row r="25" spans="1:17" x14ac:dyDescent="0.2">
      <c r="A25" s="235" t="s">
        <v>48</v>
      </c>
      <c r="B25" s="236" t="s">
        <v>269</v>
      </c>
      <c r="C25" s="237" t="s">
        <v>266</v>
      </c>
      <c r="D25" s="237"/>
      <c r="E25" s="238">
        <v>1642</v>
      </c>
      <c r="F25" s="239">
        <v>1485</v>
      </c>
      <c r="G25" s="240">
        <v>157</v>
      </c>
      <c r="I25" s="241">
        <f t="shared" si="0"/>
        <v>0.90438489646772224</v>
      </c>
      <c r="J25" s="242">
        <f t="shared" si="1"/>
        <v>9.5615103532277715E-2</v>
      </c>
      <c r="L25" s="243">
        <v>444</v>
      </c>
      <c r="M25" s="243">
        <v>392</v>
      </c>
      <c r="N25" s="243">
        <v>52</v>
      </c>
      <c r="P25" s="244">
        <f t="shared" si="2"/>
        <v>0.88288288288288286</v>
      </c>
      <c r="Q25" s="244">
        <f t="shared" si="3"/>
        <v>0.11711711711711711</v>
      </c>
    </row>
    <row r="26" spans="1:17" x14ac:dyDescent="0.2">
      <c r="A26" s="235" t="s">
        <v>50</v>
      </c>
      <c r="B26" s="236" t="s">
        <v>51</v>
      </c>
      <c r="C26" s="237" t="s">
        <v>265</v>
      </c>
      <c r="D26" s="237"/>
      <c r="E26" s="238">
        <v>2715</v>
      </c>
      <c r="F26" s="239">
        <v>2463</v>
      </c>
      <c r="G26" s="240">
        <v>252</v>
      </c>
      <c r="I26" s="241">
        <f t="shared" si="0"/>
        <v>0.90718232044198899</v>
      </c>
      <c r="J26" s="242">
        <f t="shared" si="1"/>
        <v>9.2817679558011054E-2</v>
      </c>
      <c r="L26" s="243">
        <v>903</v>
      </c>
      <c r="M26" s="243">
        <v>811</v>
      </c>
      <c r="N26" s="243">
        <v>92</v>
      </c>
      <c r="P26" s="244">
        <f t="shared" si="2"/>
        <v>0.89811738648947947</v>
      </c>
      <c r="Q26" s="244">
        <f t="shared" si="3"/>
        <v>0.10188261351052048</v>
      </c>
    </row>
    <row r="27" spans="1:17" x14ac:dyDescent="0.2">
      <c r="A27" s="235" t="s">
        <v>56</v>
      </c>
      <c r="B27" s="236" t="s">
        <v>295</v>
      </c>
      <c r="C27" s="237" t="s">
        <v>266</v>
      </c>
      <c r="D27" s="237"/>
      <c r="E27" s="238">
        <v>75033</v>
      </c>
      <c r="F27" s="239">
        <v>69143</v>
      </c>
      <c r="G27" s="240">
        <v>5890</v>
      </c>
      <c r="I27" s="241">
        <f t="shared" si="0"/>
        <v>0.92150120613596687</v>
      </c>
      <c r="J27" s="242">
        <f t="shared" si="1"/>
        <v>7.8498793864033162E-2</v>
      </c>
      <c r="L27" s="243">
        <v>33204</v>
      </c>
      <c r="M27" s="243">
        <v>30858</v>
      </c>
      <c r="N27" s="243">
        <v>2346</v>
      </c>
      <c r="P27" s="244">
        <f t="shared" si="2"/>
        <v>0.9293458619443441</v>
      </c>
      <c r="Q27" s="244">
        <f t="shared" si="3"/>
        <v>7.0654138055655943E-2</v>
      </c>
    </row>
    <row r="28" spans="1:17" x14ac:dyDescent="0.2">
      <c r="A28" s="235" t="s">
        <v>58</v>
      </c>
      <c r="B28" s="236" t="s">
        <v>59</v>
      </c>
      <c r="C28" s="237" t="s">
        <v>267</v>
      </c>
      <c r="D28" s="237"/>
      <c r="E28" s="238">
        <v>3385</v>
      </c>
      <c r="F28" s="239">
        <v>3091</v>
      </c>
      <c r="G28" s="240">
        <v>294</v>
      </c>
      <c r="I28" s="241">
        <f t="shared" si="0"/>
        <v>0.91314623338257017</v>
      </c>
      <c r="J28" s="242">
        <f t="shared" si="1"/>
        <v>8.6853766617429842E-2</v>
      </c>
      <c r="L28" s="243">
        <v>1282</v>
      </c>
      <c r="M28" s="243">
        <v>1196</v>
      </c>
      <c r="N28" s="243">
        <v>86</v>
      </c>
      <c r="P28" s="244">
        <f t="shared" si="2"/>
        <v>0.93291731669266775</v>
      </c>
      <c r="Q28" s="244">
        <f t="shared" si="3"/>
        <v>6.7082683307332289E-2</v>
      </c>
    </row>
    <row r="29" spans="1:17" x14ac:dyDescent="0.2">
      <c r="A29" s="235" t="s">
        <v>60</v>
      </c>
      <c r="B29" s="236" t="s">
        <v>61</v>
      </c>
      <c r="C29" s="237" t="s">
        <v>265</v>
      </c>
      <c r="D29" s="237"/>
      <c r="E29" s="238">
        <v>1331</v>
      </c>
      <c r="F29" s="239">
        <v>1222</v>
      </c>
      <c r="G29" s="240">
        <v>109</v>
      </c>
      <c r="I29" s="241">
        <f t="shared" si="0"/>
        <v>0.91810668670172801</v>
      </c>
      <c r="J29" s="242">
        <f t="shared" si="1"/>
        <v>8.1893313298271972E-2</v>
      </c>
      <c r="L29" s="243">
        <v>444</v>
      </c>
      <c r="M29" s="243">
        <v>410</v>
      </c>
      <c r="N29" s="243">
        <v>34</v>
      </c>
      <c r="P29" s="244">
        <f t="shared" si="2"/>
        <v>0.92342342342342343</v>
      </c>
      <c r="Q29" s="244">
        <f t="shared" si="3"/>
        <v>7.6576576576576572E-2</v>
      </c>
    </row>
    <row r="30" spans="1:17" x14ac:dyDescent="0.2">
      <c r="A30" s="235" t="s">
        <v>62</v>
      </c>
      <c r="B30" s="236" t="s">
        <v>63</v>
      </c>
      <c r="C30" s="237" t="s">
        <v>267</v>
      </c>
      <c r="D30" s="237"/>
      <c r="E30" s="238">
        <v>10145</v>
      </c>
      <c r="F30" s="239">
        <v>9169</v>
      </c>
      <c r="G30" s="240">
        <v>976</v>
      </c>
      <c r="I30" s="241">
        <f t="shared" si="0"/>
        <v>0.90379497289305077</v>
      </c>
      <c r="J30" s="242">
        <f t="shared" si="1"/>
        <v>9.620502710694924E-2</v>
      </c>
      <c r="L30" s="243">
        <v>4330</v>
      </c>
      <c r="M30" s="243">
        <v>3917</v>
      </c>
      <c r="N30" s="243">
        <v>413</v>
      </c>
      <c r="P30" s="244">
        <f t="shared" si="2"/>
        <v>0.90461893764434176</v>
      </c>
      <c r="Q30" s="244">
        <f t="shared" si="3"/>
        <v>9.53810623556582E-2</v>
      </c>
    </row>
    <row r="31" spans="1:17" x14ac:dyDescent="0.2">
      <c r="A31" s="235" t="s">
        <v>64</v>
      </c>
      <c r="B31" s="236" t="s">
        <v>65</v>
      </c>
      <c r="C31" s="237" t="s">
        <v>266</v>
      </c>
      <c r="D31" s="237"/>
      <c r="E31" s="238">
        <v>2180</v>
      </c>
      <c r="F31" s="239">
        <v>1954</v>
      </c>
      <c r="G31" s="240">
        <v>226</v>
      </c>
      <c r="I31" s="241">
        <f t="shared" si="0"/>
        <v>0.89633027522935782</v>
      </c>
      <c r="J31" s="242">
        <f t="shared" si="1"/>
        <v>0.10366972477064221</v>
      </c>
      <c r="L31" s="243">
        <v>747</v>
      </c>
      <c r="M31" s="243">
        <v>654</v>
      </c>
      <c r="N31" s="243">
        <v>93</v>
      </c>
      <c r="P31" s="244">
        <f t="shared" si="2"/>
        <v>0.87550200803212852</v>
      </c>
      <c r="Q31" s="244">
        <f t="shared" si="3"/>
        <v>0.12449799196787148</v>
      </c>
    </row>
    <row r="32" spans="1:17" x14ac:dyDescent="0.2">
      <c r="A32" s="235" t="s">
        <v>68</v>
      </c>
      <c r="B32" s="236" t="s">
        <v>69</v>
      </c>
      <c r="C32" s="237" t="s">
        <v>268</v>
      </c>
      <c r="D32" s="237"/>
      <c r="E32" s="238">
        <v>3825</v>
      </c>
      <c r="F32" s="239">
        <v>3568</v>
      </c>
      <c r="G32" s="240">
        <v>257</v>
      </c>
      <c r="I32" s="241">
        <f t="shared" si="0"/>
        <v>0.93281045751633984</v>
      </c>
      <c r="J32" s="242">
        <f t="shared" si="1"/>
        <v>6.7189542483660131E-2</v>
      </c>
      <c r="L32" s="243">
        <v>1341</v>
      </c>
      <c r="M32" s="243">
        <v>1233</v>
      </c>
      <c r="N32" s="243">
        <v>108</v>
      </c>
      <c r="P32" s="244">
        <f t="shared" si="2"/>
        <v>0.91946308724832215</v>
      </c>
      <c r="Q32" s="244">
        <f t="shared" si="3"/>
        <v>8.0536912751677847E-2</v>
      </c>
    </row>
    <row r="33" spans="1:17" x14ac:dyDescent="0.2">
      <c r="A33" s="235" t="s">
        <v>70</v>
      </c>
      <c r="B33" s="236" t="s">
        <v>71</v>
      </c>
      <c r="C33" s="237" t="s">
        <v>264</v>
      </c>
      <c r="D33" s="237"/>
      <c r="E33" s="238">
        <v>6031</v>
      </c>
      <c r="F33" s="239">
        <v>5383</v>
      </c>
      <c r="G33" s="240">
        <v>648</v>
      </c>
      <c r="I33" s="241">
        <f t="shared" si="0"/>
        <v>0.89255513181893553</v>
      </c>
      <c r="J33" s="242">
        <f t="shared" si="1"/>
        <v>0.1074448681810645</v>
      </c>
      <c r="L33" s="243">
        <v>2234</v>
      </c>
      <c r="M33" s="243">
        <v>1975</v>
      </c>
      <c r="N33" s="243">
        <v>259</v>
      </c>
      <c r="P33" s="244">
        <f t="shared" si="2"/>
        <v>0.88406445837063563</v>
      </c>
      <c r="Q33" s="244">
        <f t="shared" si="3"/>
        <v>0.11593554162936437</v>
      </c>
    </row>
    <row r="34" spans="1:17" x14ac:dyDescent="0.2">
      <c r="A34" s="235" t="s">
        <v>72</v>
      </c>
      <c r="B34" s="236" t="s">
        <v>73</v>
      </c>
      <c r="C34" s="237" t="s">
        <v>266</v>
      </c>
      <c r="D34" s="237"/>
      <c r="E34" s="238">
        <v>2428</v>
      </c>
      <c r="F34" s="239">
        <v>2093</v>
      </c>
      <c r="G34" s="240">
        <v>335</v>
      </c>
      <c r="I34" s="241">
        <f t="shared" si="0"/>
        <v>0.86202635914332781</v>
      </c>
      <c r="J34" s="242">
        <f t="shared" si="1"/>
        <v>0.13797364085667216</v>
      </c>
      <c r="L34" s="243">
        <v>766</v>
      </c>
      <c r="M34" s="243">
        <v>641</v>
      </c>
      <c r="N34" s="243">
        <v>125</v>
      </c>
      <c r="P34" s="244">
        <f t="shared" si="2"/>
        <v>0.83681462140992169</v>
      </c>
      <c r="Q34" s="244">
        <f t="shared" si="3"/>
        <v>0.16318537859007834</v>
      </c>
    </row>
    <row r="35" spans="1:17" x14ac:dyDescent="0.2">
      <c r="A35" s="235" t="s">
        <v>74</v>
      </c>
      <c r="B35" s="236" t="s">
        <v>609</v>
      </c>
      <c r="C35" s="237" t="s">
        <v>267</v>
      </c>
      <c r="D35" s="237"/>
      <c r="E35" s="238">
        <v>246380</v>
      </c>
      <c r="F35" s="239">
        <v>231762</v>
      </c>
      <c r="G35" s="240">
        <v>14618</v>
      </c>
      <c r="I35" s="241">
        <f t="shared" si="0"/>
        <v>0.94066888546148231</v>
      </c>
      <c r="J35" s="242">
        <f t="shared" si="1"/>
        <v>5.9331114538517735E-2</v>
      </c>
      <c r="L35" s="243">
        <v>116691</v>
      </c>
      <c r="M35" s="243">
        <v>112931</v>
      </c>
      <c r="N35" s="243">
        <v>3760</v>
      </c>
      <c r="P35" s="244">
        <f t="shared" si="2"/>
        <v>0.96777814912889593</v>
      </c>
      <c r="Q35" s="244">
        <f t="shared" si="3"/>
        <v>3.2221850871104026E-2</v>
      </c>
    </row>
    <row r="36" spans="1:17" x14ac:dyDescent="0.2">
      <c r="A36" s="235" t="s">
        <v>76</v>
      </c>
      <c r="B36" s="236" t="s">
        <v>77</v>
      </c>
      <c r="C36" s="237" t="s">
        <v>267</v>
      </c>
      <c r="D36" s="237"/>
      <c r="E36" s="238">
        <v>15535</v>
      </c>
      <c r="F36" s="239">
        <v>14399</v>
      </c>
      <c r="G36" s="240">
        <v>1136</v>
      </c>
      <c r="I36" s="241">
        <f t="shared" si="0"/>
        <v>0.92687479884132606</v>
      </c>
      <c r="J36" s="242">
        <f t="shared" si="1"/>
        <v>7.3125201158673964E-2</v>
      </c>
      <c r="L36" s="243">
        <v>6485</v>
      </c>
      <c r="M36" s="243">
        <v>6125</v>
      </c>
      <c r="N36" s="243">
        <v>360</v>
      </c>
      <c r="P36" s="244">
        <f t="shared" si="2"/>
        <v>0.94448727833461832</v>
      </c>
      <c r="Q36" s="244">
        <f t="shared" si="3"/>
        <v>5.5512721665381647E-2</v>
      </c>
    </row>
    <row r="37" spans="1:17" x14ac:dyDescent="0.2">
      <c r="A37" s="235" t="s">
        <v>78</v>
      </c>
      <c r="B37" s="236" t="s">
        <v>79</v>
      </c>
      <c r="C37" s="237" t="s">
        <v>268</v>
      </c>
      <c r="D37" s="237"/>
      <c r="E37" s="238">
        <v>3869</v>
      </c>
      <c r="F37" s="239">
        <v>3548</v>
      </c>
      <c r="G37" s="240">
        <v>321</v>
      </c>
      <c r="I37" s="241">
        <f t="shared" si="0"/>
        <v>0.91703282501938488</v>
      </c>
      <c r="J37" s="242">
        <f t="shared" si="1"/>
        <v>8.2967174980615149E-2</v>
      </c>
      <c r="L37" s="243">
        <v>1322</v>
      </c>
      <c r="M37" s="243">
        <v>1210</v>
      </c>
      <c r="N37" s="243">
        <v>112</v>
      </c>
      <c r="P37" s="244">
        <f t="shared" si="2"/>
        <v>0.91527987897125562</v>
      </c>
      <c r="Q37" s="244">
        <f t="shared" si="3"/>
        <v>8.4720121028744322E-2</v>
      </c>
    </row>
    <row r="38" spans="1:17" x14ac:dyDescent="0.2">
      <c r="A38" s="235" t="s">
        <v>80</v>
      </c>
      <c r="B38" s="236" t="s">
        <v>81</v>
      </c>
      <c r="C38" s="237" t="s">
        <v>266</v>
      </c>
      <c r="D38" s="237"/>
      <c r="E38" s="238">
        <v>6232</v>
      </c>
      <c r="F38" s="239">
        <v>5755</v>
      </c>
      <c r="G38" s="240">
        <v>477</v>
      </c>
      <c r="I38" s="241">
        <f t="shared" si="0"/>
        <v>0.92345956354300385</v>
      </c>
      <c r="J38" s="242">
        <f t="shared" si="1"/>
        <v>7.6540436456996153E-2</v>
      </c>
      <c r="L38" s="243">
        <v>2395</v>
      </c>
      <c r="M38" s="243">
        <v>2200</v>
      </c>
      <c r="N38" s="243">
        <v>195</v>
      </c>
      <c r="P38" s="244">
        <f t="shared" si="2"/>
        <v>0.91858037578288099</v>
      </c>
      <c r="Q38" s="244">
        <f t="shared" si="3"/>
        <v>8.1419624217118999E-2</v>
      </c>
    </row>
    <row r="39" spans="1:17" x14ac:dyDescent="0.2">
      <c r="A39" s="235" t="s">
        <v>84</v>
      </c>
      <c r="B39" s="236" t="s">
        <v>308</v>
      </c>
      <c r="C39" s="237" t="s">
        <v>265</v>
      </c>
      <c r="D39" s="237"/>
      <c r="E39" s="238">
        <v>13879</v>
      </c>
      <c r="F39" s="239">
        <v>12622</v>
      </c>
      <c r="G39" s="240">
        <v>1257</v>
      </c>
      <c r="I39" s="241">
        <f t="shared" si="0"/>
        <v>0.90943151523885002</v>
      </c>
      <c r="J39" s="242">
        <f t="shared" si="1"/>
        <v>9.0568484761149939E-2</v>
      </c>
      <c r="L39" s="243">
        <v>4374</v>
      </c>
      <c r="M39" s="243">
        <v>3876</v>
      </c>
      <c r="N39" s="243">
        <v>498</v>
      </c>
      <c r="P39" s="244">
        <f t="shared" si="2"/>
        <v>0.88614540466392322</v>
      </c>
      <c r="Q39" s="244">
        <f t="shared" si="3"/>
        <v>0.11385459533607682</v>
      </c>
    </row>
    <row r="40" spans="1:17" x14ac:dyDescent="0.2">
      <c r="A40" s="235" t="s">
        <v>86</v>
      </c>
      <c r="B40" s="236" t="s">
        <v>87</v>
      </c>
      <c r="C40" s="237" t="s">
        <v>267</v>
      </c>
      <c r="D40" s="237"/>
      <c r="E40" s="238">
        <v>18784</v>
      </c>
      <c r="F40" s="239">
        <v>16992</v>
      </c>
      <c r="G40" s="240">
        <v>1792</v>
      </c>
      <c r="I40" s="241">
        <f t="shared" si="0"/>
        <v>0.90459965928449748</v>
      </c>
      <c r="J40" s="242">
        <f t="shared" si="1"/>
        <v>9.540034071550256E-2</v>
      </c>
      <c r="L40" s="243">
        <v>7847</v>
      </c>
      <c r="M40" s="243">
        <v>7146</v>
      </c>
      <c r="N40" s="243">
        <v>701</v>
      </c>
      <c r="P40" s="244">
        <f t="shared" si="2"/>
        <v>0.9106664967503505</v>
      </c>
      <c r="Q40" s="244">
        <f t="shared" si="3"/>
        <v>8.9333503249649546E-2</v>
      </c>
    </row>
    <row r="41" spans="1:17" x14ac:dyDescent="0.2">
      <c r="A41" s="235" t="s">
        <v>92</v>
      </c>
      <c r="B41" s="236" t="s">
        <v>93</v>
      </c>
      <c r="C41" s="237" t="s">
        <v>268</v>
      </c>
      <c r="D41" s="237"/>
      <c r="E41" s="238">
        <v>4201</v>
      </c>
      <c r="F41" s="239">
        <v>3785</v>
      </c>
      <c r="G41" s="240">
        <v>416</v>
      </c>
      <c r="I41" s="241">
        <f t="shared" si="0"/>
        <v>0.90097595810521303</v>
      </c>
      <c r="J41" s="242">
        <f t="shared" si="1"/>
        <v>9.902404189478696E-2</v>
      </c>
      <c r="L41" s="243">
        <v>1456</v>
      </c>
      <c r="M41" s="243">
        <v>1284</v>
      </c>
      <c r="N41" s="243">
        <v>172</v>
      </c>
      <c r="P41" s="244">
        <f t="shared" si="2"/>
        <v>0.88186813186813184</v>
      </c>
      <c r="Q41" s="244">
        <f t="shared" si="3"/>
        <v>0.11813186813186813</v>
      </c>
    </row>
    <row r="42" spans="1:17" x14ac:dyDescent="0.2">
      <c r="A42" s="235" t="s">
        <v>94</v>
      </c>
      <c r="B42" s="236" t="s">
        <v>95</v>
      </c>
      <c r="C42" s="237" t="s">
        <v>264</v>
      </c>
      <c r="D42" s="237"/>
      <c r="E42" s="238">
        <v>9117</v>
      </c>
      <c r="F42" s="239">
        <v>8306</v>
      </c>
      <c r="G42" s="240">
        <v>811</v>
      </c>
      <c r="I42" s="241">
        <f t="shared" si="0"/>
        <v>0.9110452999890315</v>
      </c>
      <c r="J42" s="242">
        <f t="shared" si="1"/>
        <v>8.8954700010968515E-2</v>
      </c>
      <c r="L42" s="243">
        <v>3312</v>
      </c>
      <c r="M42" s="243">
        <v>3009</v>
      </c>
      <c r="N42" s="243">
        <v>303</v>
      </c>
      <c r="P42" s="244">
        <f t="shared" si="2"/>
        <v>0.90851449275362317</v>
      </c>
      <c r="Q42" s="244">
        <f t="shared" si="3"/>
        <v>9.1485507246376815E-2</v>
      </c>
    </row>
    <row r="43" spans="1:17" x14ac:dyDescent="0.2">
      <c r="A43" s="235" t="s">
        <v>96</v>
      </c>
      <c r="B43" s="236" t="s">
        <v>97</v>
      </c>
      <c r="C43" s="237" t="s">
        <v>266</v>
      </c>
      <c r="D43" s="237"/>
      <c r="E43" s="238">
        <v>5533</v>
      </c>
      <c r="F43" s="239">
        <v>5256</v>
      </c>
      <c r="G43" s="240">
        <v>277</v>
      </c>
      <c r="I43" s="241">
        <f t="shared" si="0"/>
        <v>0.94993674317729981</v>
      </c>
      <c r="J43" s="242">
        <f t="shared" si="1"/>
        <v>5.0063256822700165E-2</v>
      </c>
      <c r="L43" s="243">
        <v>1877</v>
      </c>
      <c r="M43" s="243">
        <v>1797</v>
      </c>
      <c r="N43" s="243">
        <v>80</v>
      </c>
      <c r="P43" s="244">
        <f t="shared" si="2"/>
        <v>0.95737879595098563</v>
      </c>
      <c r="Q43" s="244">
        <f t="shared" si="3"/>
        <v>4.2621204049014386E-2</v>
      </c>
    </row>
    <row r="44" spans="1:17" x14ac:dyDescent="0.2">
      <c r="A44" s="235" t="s">
        <v>98</v>
      </c>
      <c r="B44" s="236" t="s">
        <v>99</v>
      </c>
      <c r="C44" s="237" t="s">
        <v>268</v>
      </c>
      <c r="D44" s="237"/>
      <c r="E44" s="238">
        <v>3931</v>
      </c>
      <c r="F44" s="239">
        <v>3633</v>
      </c>
      <c r="G44" s="240">
        <v>298</v>
      </c>
      <c r="I44" s="241">
        <f t="shared" si="0"/>
        <v>0.92419231747646913</v>
      </c>
      <c r="J44" s="242">
        <f t="shared" si="1"/>
        <v>7.5807682523530914E-2</v>
      </c>
      <c r="L44" s="243">
        <v>1146</v>
      </c>
      <c r="M44" s="243">
        <v>1021</v>
      </c>
      <c r="N44" s="243">
        <v>125</v>
      </c>
      <c r="P44" s="244">
        <f t="shared" si="2"/>
        <v>0.89092495636998259</v>
      </c>
      <c r="Q44" s="244">
        <f t="shared" si="3"/>
        <v>0.10907504363001745</v>
      </c>
    </row>
    <row r="45" spans="1:17" x14ac:dyDescent="0.2">
      <c r="A45" s="235" t="s">
        <v>100</v>
      </c>
      <c r="B45" s="236" t="s">
        <v>101</v>
      </c>
      <c r="C45" s="237" t="s">
        <v>267</v>
      </c>
      <c r="D45" s="237"/>
      <c r="E45" s="238">
        <v>4414</v>
      </c>
      <c r="F45" s="239">
        <v>4003</v>
      </c>
      <c r="G45" s="240">
        <v>411</v>
      </c>
      <c r="I45" s="241">
        <f t="shared" si="0"/>
        <v>0.90688717716357048</v>
      </c>
      <c r="J45" s="242">
        <f t="shared" si="1"/>
        <v>9.3112822836429548E-2</v>
      </c>
      <c r="L45" s="243">
        <v>1796</v>
      </c>
      <c r="M45" s="243">
        <v>1628</v>
      </c>
      <c r="N45" s="243">
        <v>168</v>
      </c>
      <c r="P45" s="244">
        <f t="shared" si="2"/>
        <v>0.90645879732739421</v>
      </c>
      <c r="Q45" s="244">
        <f t="shared" si="3"/>
        <v>9.3541202672605794E-2</v>
      </c>
    </row>
    <row r="46" spans="1:17" x14ac:dyDescent="0.2">
      <c r="A46" s="235" t="s">
        <v>102</v>
      </c>
      <c r="B46" s="236" t="s">
        <v>282</v>
      </c>
      <c r="C46" s="237" t="s">
        <v>264</v>
      </c>
      <c r="D46" s="237"/>
      <c r="E46" s="238">
        <v>2719</v>
      </c>
      <c r="F46" s="239">
        <v>2329</v>
      </c>
      <c r="G46" s="240">
        <v>390</v>
      </c>
      <c r="I46" s="241">
        <f t="shared" si="0"/>
        <v>0.85656491357116582</v>
      </c>
      <c r="J46" s="242">
        <f t="shared" si="1"/>
        <v>0.14343508642883412</v>
      </c>
      <c r="L46" s="243">
        <v>902</v>
      </c>
      <c r="M46" s="243">
        <v>709</v>
      </c>
      <c r="N46" s="243">
        <v>193</v>
      </c>
      <c r="P46" s="244">
        <f t="shared" si="2"/>
        <v>0.78603104212860309</v>
      </c>
      <c r="Q46" s="244">
        <f t="shared" si="3"/>
        <v>0.21396895787139689</v>
      </c>
    </row>
    <row r="47" spans="1:17" x14ac:dyDescent="0.2">
      <c r="A47" s="235" t="s">
        <v>104</v>
      </c>
      <c r="B47" s="236" t="s">
        <v>602</v>
      </c>
      <c r="C47" s="237" t="s">
        <v>265</v>
      </c>
      <c r="D47" s="237"/>
      <c r="E47" s="238">
        <v>7601</v>
      </c>
      <c r="F47" s="239">
        <v>6980</v>
      </c>
      <c r="G47" s="240">
        <v>621</v>
      </c>
      <c r="I47" s="241">
        <f t="shared" si="0"/>
        <v>0.91830022365478225</v>
      </c>
      <c r="J47" s="242">
        <f t="shared" si="1"/>
        <v>8.1699776345217731E-2</v>
      </c>
      <c r="L47" s="243">
        <v>2470</v>
      </c>
      <c r="M47" s="243">
        <v>2191</v>
      </c>
      <c r="N47" s="243">
        <v>279</v>
      </c>
      <c r="P47" s="244">
        <f t="shared" si="2"/>
        <v>0.8870445344129555</v>
      </c>
      <c r="Q47" s="244">
        <f t="shared" si="3"/>
        <v>0.11295546558704453</v>
      </c>
    </row>
    <row r="48" spans="1:17" x14ac:dyDescent="0.2">
      <c r="A48" s="235" t="s">
        <v>108</v>
      </c>
      <c r="B48" s="236" t="s">
        <v>109</v>
      </c>
      <c r="C48" s="237" t="s">
        <v>266</v>
      </c>
      <c r="D48" s="237"/>
      <c r="E48" s="238">
        <v>24235</v>
      </c>
      <c r="F48" s="239">
        <v>22810</v>
      </c>
      <c r="G48" s="240">
        <v>1425</v>
      </c>
      <c r="I48" s="241">
        <f t="shared" si="0"/>
        <v>0.94120074272746024</v>
      </c>
      <c r="J48" s="242">
        <f t="shared" si="1"/>
        <v>5.8799257272539714E-2</v>
      </c>
      <c r="L48" s="243">
        <v>10521</v>
      </c>
      <c r="M48" s="243">
        <v>10021</v>
      </c>
      <c r="N48" s="243">
        <v>500</v>
      </c>
      <c r="P48" s="244">
        <f t="shared" si="2"/>
        <v>0.95247600038019198</v>
      </c>
      <c r="Q48" s="244">
        <f t="shared" si="3"/>
        <v>4.7523999619808001E-2</v>
      </c>
    </row>
    <row r="49" spans="1:17" x14ac:dyDescent="0.2">
      <c r="A49" s="235" t="s">
        <v>110</v>
      </c>
      <c r="B49" s="236" t="s">
        <v>111</v>
      </c>
      <c r="C49" s="237" t="s">
        <v>266</v>
      </c>
      <c r="D49" s="237"/>
      <c r="E49" s="238">
        <v>63078</v>
      </c>
      <c r="F49" s="239">
        <v>56537</v>
      </c>
      <c r="G49" s="240">
        <v>6541</v>
      </c>
      <c r="I49" s="241">
        <f t="shared" si="0"/>
        <v>0.89630298994895208</v>
      </c>
      <c r="J49" s="242">
        <f t="shared" si="1"/>
        <v>0.10369701005104791</v>
      </c>
      <c r="L49" s="243">
        <v>27549</v>
      </c>
      <c r="M49" s="243">
        <v>25239</v>
      </c>
      <c r="N49" s="243">
        <v>2310</v>
      </c>
      <c r="P49" s="244">
        <f t="shared" si="2"/>
        <v>0.91614940651203314</v>
      </c>
      <c r="Q49" s="244">
        <f t="shared" si="3"/>
        <v>8.385059348796689E-2</v>
      </c>
    </row>
    <row r="50" spans="1:17" x14ac:dyDescent="0.2">
      <c r="A50" s="235" t="s">
        <v>112</v>
      </c>
      <c r="B50" s="236" t="s">
        <v>300</v>
      </c>
      <c r="C50" s="237" t="s">
        <v>265</v>
      </c>
      <c r="D50" s="237"/>
      <c r="E50" s="238">
        <v>14517</v>
      </c>
      <c r="F50" s="239">
        <v>13130</v>
      </c>
      <c r="G50" s="240">
        <v>1387</v>
      </c>
      <c r="I50" s="241">
        <f t="shared" si="0"/>
        <v>0.90445684370048907</v>
      </c>
      <c r="J50" s="242">
        <f t="shared" si="1"/>
        <v>9.554315629951092E-2</v>
      </c>
      <c r="L50" s="243">
        <v>4598</v>
      </c>
      <c r="M50" s="243">
        <v>3985</v>
      </c>
      <c r="N50" s="243">
        <v>613</v>
      </c>
      <c r="P50" s="244">
        <f t="shared" si="2"/>
        <v>0.86668116572422793</v>
      </c>
      <c r="Q50" s="244">
        <f t="shared" si="3"/>
        <v>0.13331883427577207</v>
      </c>
    </row>
    <row r="51" spans="1:17" x14ac:dyDescent="0.2">
      <c r="A51" s="235" t="s">
        <v>114</v>
      </c>
      <c r="B51" s="236" t="s">
        <v>115</v>
      </c>
      <c r="C51" s="237" t="s">
        <v>265</v>
      </c>
      <c r="D51" s="237"/>
      <c r="E51" s="238">
        <v>667</v>
      </c>
      <c r="F51" s="239">
        <v>621</v>
      </c>
      <c r="G51" s="240">
        <v>46</v>
      </c>
      <c r="I51" s="241">
        <f t="shared" si="0"/>
        <v>0.93103448275862066</v>
      </c>
      <c r="J51" s="242">
        <f t="shared" si="1"/>
        <v>6.8965517241379309E-2</v>
      </c>
      <c r="L51" s="243">
        <v>157</v>
      </c>
      <c r="M51" s="243">
        <v>144</v>
      </c>
      <c r="N51" s="243">
        <v>13</v>
      </c>
      <c r="P51" s="244">
        <f t="shared" si="2"/>
        <v>0.91719745222929938</v>
      </c>
      <c r="Q51" s="244">
        <f t="shared" si="3"/>
        <v>8.2802547770700632E-2</v>
      </c>
    </row>
    <row r="52" spans="1:17" x14ac:dyDescent="0.2">
      <c r="A52" s="235" t="s">
        <v>118</v>
      </c>
      <c r="B52" s="236" t="s">
        <v>119</v>
      </c>
      <c r="C52" s="237" t="s">
        <v>264</v>
      </c>
      <c r="D52" s="237"/>
      <c r="E52" s="238">
        <v>8522</v>
      </c>
      <c r="F52" s="239">
        <v>7966</v>
      </c>
      <c r="G52" s="240">
        <v>556</v>
      </c>
      <c r="I52" s="241">
        <f t="shared" si="0"/>
        <v>0.9347570992724713</v>
      </c>
      <c r="J52" s="242">
        <f t="shared" si="1"/>
        <v>6.5242900727528752E-2</v>
      </c>
      <c r="L52" s="243">
        <v>3096</v>
      </c>
      <c r="M52" s="243">
        <v>2886</v>
      </c>
      <c r="N52" s="243">
        <v>210</v>
      </c>
      <c r="P52" s="244">
        <f t="shared" si="2"/>
        <v>0.93217054263565891</v>
      </c>
      <c r="Q52" s="244">
        <f t="shared" si="3"/>
        <v>6.7829457364341081E-2</v>
      </c>
    </row>
    <row r="53" spans="1:17" x14ac:dyDescent="0.2">
      <c r="A53" s="235" t="s">
        <v>120</v>
      </c>
      <c r="B53" s="236" t="s">
        <v>121</v>
      </c>
      <c r="C53" s="237" t="s">
        <v>264</v>
      </c>
      <c r="D53" s="237"/>
      <c r="E53" s="238">
        <v>17151</v>
      </c>
      <c r="F53" s="239">
        <v>16192</v>
      </c>
      <c r="G53" s="240">
        <v>959</v>
      </c>
      <c r="I53" s="241">
        <f t="shared" si="0"/>
        <v>0.94408489300915399</v>
      </c>
      <c r="J53" s="242">
        <f t="shared" si="1"/>
        <v>5.5915106990846015E-2</v>
      </c>
      <c r="L53" s="243">
        <v>5736</v>
      </c>
      <c r="M53" s="243">
        <v>5418</v>
      </c>
      <c r="N53" s="243">
        <v>318</v>
      </c>
      <c r="P53" s="244">
        <f t="shared" si="2"/>
        <v>0.94456066945606698</v>
      </c>
      <c r="Q53" s="244">
        <f t="shared" si="3"/>
        <v>5.5439330543933053E-2</v>
      </c>
    </row>
    <row r="54" spans="1:17" x14ac:dyDescent="0.2">
      <c r="A54" s="235" t="s">
        <v>122</v>
      </c>
      <c r="B54" s="236" t="s">
        <v>271</v>
      </c>
      <c r="C54" s="237" t="s">
        <v>266</v>
      </c>
      <c r="D54" s="237"/>
      <c r="E54" s="238">
        <v>1580</v>
      </c>
      <c r="F54" s="239">
        <v>1427</v>
      </c>
      <c r="G54" s="240">
        <v>153</v>
      </c>
      <c r="I54" s="241">
        <f t="shared" si="0"/>
        <v>0.90316455696202536</v>
      </c>
      <c r="J54" s="242">
        <f t="shared" si="1"/>
        <v>9.6835443037974686E-2</v>
      </c>
      <c r="L54" s="243">
        <v>513</v>
      </c>
      <c r="M54" s="243">
        <v>449</v>
      </c>
      <c r="N54" s="243">
        <v>64</v>
      </c>
      <c r="P54" s="244">
        <f t="shared" si="2"/>
        <v>0.87524366471734893</v>
      </c>
      <c r="Q54" s="244">
        <f t="shared" si="3"/>
        <v>0.12475633528265107</v>
      </c>
    </row>
    <row r="55" spans="1:17" x14ac:dyDescent="0.2">
      <c r="A55" s="235" t="s">
        <v>124</v>
      </c>
      <c r="B55" s="236" t="s">
        <v>125</v>
      </c>
      <c r="C55" s="237" t="s">
        <v>267</v>
      </c>
      <c r="D55" s="237"/>
      <c r="E55" s="238">
        <v>5512</v>
      </c>
      <c r="F55" s="239">
        <v>5032</v>
      </c>
      <c r="G55" s="240">
        <v>480</v>
      </c>
      <c r="I55" s="241">
        <f t="shared" si="0"/>
        <v>0.91291727140783741</v>
      </c>
      <c r="J55" s="242">
        <f t="shared" si="1"/>
        <v>8.7082728592162553E-2</v>
      </c>
      <c r="L55" s="243">
        <v>2485</v>
      </c>
      <c r="M55" s="243">
        <v>2298</v>
      </c>
      <c r="N55" s="243">
        <v>187</v>
      </c>
      <c r="P55" s="244">
        <f t="shared" si="2"/>
        <v>0.92474849094567402</v>
      </c>
      <c r="Q55" s="244">
        <f t="shared" si="3"/>
        <v>7.5251509054325955E-2</v>
      </c>
    </row>
    <row r="56" spans="1:17" x14ac:dyDescent="0.2">
      <c r="A56" s="235" t="s">
        <v>126</v>
      </c>
      <c r="B56" s="236" t="s">
        <v>127</v>
      </c>
      <c r="C56" s="237" t="s">
        <v>266</v>
      </c>
      <c r="D56" s="237"/>
      <c r="E56" s="238">
        <v>3882</v>
      </c>
      <c r="F56" s="239">
        <v>3561</v>
      </c>
      <c r="G56" s="240">
        <v>321</v>
      </c>
      <c r="I56" s="241">
        <f t="shared" si="0"/>
        <v>0.91731066460587329</v>
      </c>
      <c r="J56" s="242">
        <f t="shared" si="1"/>
        <v>8.2689335394126734E-2</v>
      </c>
      <c r="L56" s="243">
        <v>1605</v>
      </c>
      <c r="M56" s="243">
        <v>1483</v>
      </c>
      <c r="N56" s="243">
        <v>122</v>
      </c>
      <c r="P56" s="244">
        <f t="shared" si="2"/>
        <v>0.92398753894080998</v>
      </c>
      <c r="Q56" s="244">
        <f t="shared" si="3"/>
        <v>7.6012461059190031E-2</v>
      </c>
    </row>
    <row r="57" spans="1:17" x14ac:dyDescent="0.2">
      <c r="A57" s="235" t="s">
        <v>128</v>
      </c>
      <c r="B57" s="236" t="s">
        <v>129</v>
      </c>
      <c r="C57" s="237" t="s">
        <v>266</v>
      </c>
      <c r="D57" s="237"/>
      <c r="E57" s="238">
        <v>2835</v>
      </c>
      <c r="F57" s="239">
        <v>2584</v>
      </c>
      <c r="G57" s="240">
        <v>251</v>
      </c>
      <c r="I57" s="241">
        <f t="shared" si="0"/>
        <v>0.91146384479717812</v>
      </c>
      <c r="J57" s="242">
        <f t="shared" si="1"/>
        <v>8.8536155202821876E-2</v>
      </c>
      <c r="L57" s="243">
        <v>587</v>
      </c>
      <c r="M57" s="243">
        <v>498</v>
      </c>
      <c r="N57" s="243">
        <v>89</v>
      </c>
      <c r="P57" s="244">
        <f t="shared" si="2"/>
        <v>0.848381601362862</v>
      </c>
      <c r="Q57" s="244">
        <f t="shared" si="3"/>
        <v>0.151618398637138</v>
      </c>
    </row>
    <row r="58" spans="1:17" x14ac:dyDescent="0.2">
      <c r="A58" s="235" t="s">
        <v>130</v>
      </c>
      <c r="B58" s="236" t="s">
        <v>131</v>
      </c>
      <c r="C58" s="237" t="s">
        <v>268</v>
      </c>
      <c r="D58" s="237"/>
      <c r="E58" s="238">
        <v>5554</v>
      </c>
      <c r="F58" s="239">
        <v>5116</v>
      </c>
      <c r="G58" s="240">
        <v>438</v>
      </c>
      <c r="I58" s="241">
        <f t="shared" si="0"/>
        <v>0.92113791861721284</v>
      </c>
      <c r="J58" s="242">
        <f t="shared" si="1"/>
        <v>7.8862081382787177E-2</v>
      </c>
      <c r="L58" s="243">
        <v>1970</v>
      </c>
      <c r="M58" s="243">
        <v>1793</v>
      </c>
      <c r="N58" s="243">
        <v>177</v>
      </c>
      <c r="P58" s="244">
        <f t="shared" si="2"/>
        <v>0.91015228426395944</v>
      </c>
      <c r="Q58" s="244">
        <f t="shared" si="3"/>
        <v>8.9847715736040612E-2</v>
      </c>
    </row>
    <row r="59" spans="1:17" x14ac:dyDescent="0.2">
      <c r="A59" s="235" t="s">
        <v>132</v>
      </c>
      <c r="B59" s="236" t="s">
        <v>133</v>
      </c>
      <c r="C59" s="237" t="s">
        <v>267</v>
      </c>
      <c r="D59" s="237"/>
      <c r="E59" s="238">
        <v>72122</v>
      </c>
      <c r="F59" s="239">
        <v>68056</v>
      </c>
      <c r="G59" s="240">
        <v>4066</v>
      </c>
      <c r="I59" s="241">
        <f t="shared" si="0"/>
        <v>0.94362330495549207</v>
      </c>
      <c r="J59" s="242">
        <f t="shared" si="1"/>
        <v>5.6376695044507916E-2</v>
      </c>
      <c r="L59" s="243">
        <v>42139</v>
      </c>
      <c r="M59" s="243">
        <v>40889</v>
      </c>
      <c r="N59" s="243">
        <v>1250</v>
      </c>
      <c r="P59" s="244">
        <f t="shared" si="2"/>
        <v>0.97033626806521278</v>
      </c>
      <c r="Q59" s="244">
        <f t="shared" si="3"/>
        <v>2.9663731934787253E-2</v>
      </c>
    </row>
    <row r="60" spans="1:17" x14ac:dyDescent="0.2">
      <c r="A60" s="235" t="s">
        <v>134</v>
      </c>
      <c r="B60" s="236" t="s">
        <v>135</v>
      </c>
      <c r="C60" s="237" t="s">
        <v>267</v>
      </c>
      <c r="D60" s="237"/>
      <c r="E60" s="238">
        <v>8200</v>
      </c>
      <c r="F60" s="239">
        <v>7362</v>
      </c>
      <c r="G60" s="240">
        <v>838</v>
      </c>
      <c r="I60" s="241">
        <f t="shared" si="0"/>
        <v>0.89780487804878051</v>
      </c>
      <c r="J60" s="242">
        <f t="shared" si="1"/>
        <v>0.10219512195121951</v>
      </c>
      <c r="L60" s="243">
        <v>2829</v>
      </c>
      <c r="M60" s="243">
        <v>2514</v>
      </c>
      <c r="N60" s="243">
        <v>315</v>
      </c>
      <c r="P60" s="244">
        <f t="shared" si="2"/>
        <v>0.88865323435843058</v>
      </c>
      <c r="Q60" s="244">
        <f t="shared" si="3"/>
        <v>0.11134676564156946</v>
      </c>
    </row>
    <row r="61" spans="1:17" x14ac:dyDescent="0.2">
      <c r="A61" s="235" t="s">
        <v>136</v>
      </c>
      <c r="B61" s="236" t="s">
        <v>137</v>
      </c>
      <c r="C61" s="237" t="s">
        <v>266</v>
      </c>
      <c r="D61" s="237"/>
      <c r="E61" s="238">
        <v>2533</v>
      </c>
      <c r="F61" s="239">
        <v>2294</v>
      </c>
      <c r="G61" s="240">
        <v>239</v>
      </c>
      <c r="I61" s="241">
        <f t="shared" si="0"/>
        <v>0.90564547966837738</v>
      </c>
      <c r="J61" s="242">
        <f t="shared" si="1"/>
        <v>9.4354520331622588E-2</v>
      </c>
      <c r="L61" s="243">
        <v>820</v>
      </c>
      <c r="M61" s="243">
        <v>714</v>
      </c>
      <c r="N61" s="243">
        <v>106</v>
      </c>
      <c r="P61" s="244">
        <f t="shared" si="2"/>
        <v>0.87073170731707317</v>
      </c>
      <c r="Q61" s="244">
        <f t="shared" si="3"/>
        <v>0.12926829268292683</v>
      </c>
    </row>
    <row r="62" spans="1:17" x14ac:dyDescent="0.2">
      <c r="A62" s="235" t="s">
        <v>140</v>
      </c>
      <c r="B62" s="236" t="s">
        <v>141</v>
      </c>
      <c r="C62" s="237" t="s">
        <v>267</v>
      </c>
      <c r="D62" s="237"/>
      <c r="E62" s="238">
        <v>3275</v>
      </c>
      <c r="F62" s="239">
        <v>3038</v>
      </c>
      <c r="G62" s="240">
        <v>237</v>
      </c>
      <c r="I62" s="241">
        <f t="shared" si="0"/>
        <v>0.92763358778625959</v>
      </c>
      <c r="J62" s="242">
        <f t="shared" si="1"/>
        <v>7.2366412213740461E-2</v>
      </c>
      <c r="L62" s="243">
        <v>1155</v>
      </c>
      <c r="M62" s="243">
        <v>1059</v>
      </c>
      <c r="N62" s="243">
        <v>96</v>
      </c>
      <c r="P62" s="244">
        <f t="shared" si="2"/>
        <v>0.91688311688311686</v>
      </c>
      <c r="Q62" s="244">
        <f t="shared" si="3"/>
        <v>8.3116883116883117E-2</v>
      </c>
    </row>
    <row r="63" spans="1:17" x14ac:dyDescent="0.2">
      <c r="A63" s="235" t="s">
        <v>146</v>
      </c>
      <c r="B63" s="236" t="s">
        <v>147</v>
      </c>
      <c r="C63" s="237" t="s">
        <v>264</v>
      </c>
      <c r="D63" s="237"/>
      <c r="E63" s="238">
        <v>2330</v>
      </c>
      <c r="F63" s="239">
        <v>2197</v>
      </c>
      <c r="G63" s="240">
        <v>133</v>
      </c>
      <c r="I63" s="241">
        <f t="shared" si="0"/>
        <v>0.94291845493562232</v>
      </c>
      <c r="J63" s="242">
        <f t="shared" si="1"/>
        <v>5.7081545064377681E-2</v>
      </c>
      <c r="L63" s="243">
        <v>638</v>
      </c>
      <c r="M63" s="243">
        <v>601</v>
      </c>
      <c r="N63" s="243">
        <v>37</v>
      </c>
      <c r="P63" s="244">
        <f t="shared" si="2"/>
        <v>0.94200626959247646</v>
      </c>
      <c r="Q63" s="244">
        <f t="shared" si="3"/>
        <v>5.7993730407523508E-2</v>
      </c>
    </row>
    <row r="64" spans="1:17" x14ac:dyDescent="0.2">
      <c r="A64" s="235" t="s">
        <v>148</v>
      </c>
      <c r="B64" s="236" t="s">
        <v>149</v>
      </c>
      <c r="C64" s="237" t="s">
        <v>265</v>
      </c>
      <c r="D64" s="237"/>
      <c r="E64" s="238">
        <v>6861</v>
      </c>
      <c r="F64" s="239">
        <v>6186</v>
      </c>
      <c r="G64" s="240">
        <v>675</v>
      </c>
      <c r="I64" s="241">
        <f t="shared" si="0"/>
        <v>0.90161783996501965</v>
      </c>
      <c r="J64" s="242">
        <f t="shared" si="1"/>
        <v>9.838216003498032E-2</v>
      </c>
      <c r="L64" s="243">
        <v>1992</v>
      </c>
      <c r="M64" s="243">
        <v>1717</v>
      </c>
      <c r="N64" s="243">
        <v>275</v>
      </c>
      <c r="P64" s="244">
        <f t="shared" si="2"/>
        <v>0.86194779116465858</v>
      </c>
      <c r="Q64" s="244">
        <f t="shared" si="3"/>
        <v>0.13805220883534136</v>
      </c>
    </row>
    <row r="65" spans="1:17" x14ac:dyDescent="0.2">
      <c r="A65" s="235" t="s">
        <v>150</v>
      </c>
      <c r="B65" s="236" t="s">
        <v>151</v>
      </c>
      <c r="C65" s="237" t="s">
        <v>266</v>
      </c>
      <c r="D65" s="237"/>
      <c r="E65" s="238">
        <v>2747</v>
      </c>
      <c r="F65" s="239">
        <v>2538</v>
      </c>
      <c r="G65" s="240">
        <v>209</v>
      </c>
      <c r="I65" s="241">
        <f t="shared" si="0"/>
        <v>0.92391700036403346</v>
      </c>
      <c r="J65" s="242">
        <f t="shared" si="1"/>
        <v>7.6082999635966514E-2</v>
      </c>
      <c r="L65" s="243">
        <v>658</v>
      </c>
      <c r="M65" s="243">
        <v>585</v>
      </c>
      <c r="N65" s="243">
        <v>73</v>
      </c>
      <c r="P65" s="244">
        <f t="shared" si="2"/>
        <v>0.88905775075987847</v>
      </c>
      <c r="Q65" s="244">
        <f t="shared" si="3"/>
        <v>0.11094224924012158</v>
      </c>
    </row>
    <row r="66" spans="1:17" x14ac:dyDescent="0.2">
      <c r="A66" s="235" t="s">
        <v>152</v>
      </c>
      <c r="B66" s="236" t="s">
        <v>153</v>
      </c>
      <c r="C66" s="237" t="s">
        <v>268</v>
      </c>
      <c r="D66" s="237"/>
      <c r="E66" s="238">
        <v>16873</v>
      </c>
      <c r="F66" s="239">
        <v>14910</v>
      </c>
      <c r="G66" s="240">
        <v>1963</v>
      </c>
      <c r="I66" s="241">
        <f t="shared" si="0"/>
        <v>0.88366028566348609</v>
      </c>
      <c r="J66" s="242">
        <f t="shared" si="1"/>
        <v>0.11633971433651395</v>
      </c>
      <c r="L66" s="243">
        <v>6218</v>
      </c>
      <c r="M66" s="243">
        <v>5687</v>
      </c>
      <c r="N66" s="243">
        <v>531</v>
      </c>
      <c r="P66" s="244">
        <f t="shared" si="2"/>
        <v>0.91460276616275327</v>
      </c>
      <c r="Q66" s="244">
        <f t="shared" si="3"/>
        <v>8.5397233837246705E-2</v>
      </c>
    </row>
    <row r="67" spans="1:17" x14ac:dyDescent="0.2">
      <c r="A67" s="235" t="s">
        <v>154</v>
      </c>
      <c r="B67" s="236" t="s">
        <v>155</v>
      </c>
      <c r="C67" s="237" t="s">
        <v>265</v>
      </c>
      <c r="D67" s="237"/>
      <c r="E67" s="238">
        <v>3674</v>
      </c>
      <c r="F67" s="239">
        <v>3298</v>
      </c>
      <c r="G67" s="240">
        <v>376</v>
      </c>
      <c r="I67" s="241">
        <f t="shared" si="0"/>
        <v>0.89765922700054435</v>
      </c>
      <c r="J67" s="242">
        <f t="shared" si="1"/>
        <v>0.10234077299945564</v>
      </c>
      <c r="L67" s="243">
        <v>1100</v>
      </c>
      <c r="M67" s="243">
        <v>953</v>
      </c>
      <c r="N67" s="243">
        <v>147</v>
      </c>
      <c r="P67" s="244">
        <f t="shared" si="2"/>
        <v>0.86636363636363634</v>
      </c>
      <c r="Q67" s="244">
        <f t="shared" si="3"/>
        <v>0.13363636363636364</v>
      </c>
    </row>
    <row r="68" spans="1:17" x14ac:dyDescent="0.2">
      <c r="A68" s="235" t="s">
        <v>156</v>
      </c>
      <c r="B68" s="236" t="s">
        <v>157</v>
      </c>
      <c r="C68" s="237" t="s">
        <v>266</v>
      </c>
      <c r="D68" s="237"/>
      <c r="E68" s="238">
        <v>4793</v>
      </c>
      <c r="F68" s="239">
        <v>4456</v>
      </c>
      <c r="G68" s="240">
        <v>337</v>
      </c>
      <c r="I68" s="241">
        <f t="shared" si="0"/>
        <v>0.92968912998122266</v>
      </c>
      <c r="J68" s="242">
        <f t="shared" si="1"/>
        <v>7.031087001877738E-2</v>
      </c>
      <c r="L68" s="243">
        <v>1749</v>
      </c>
      <c r="M68" s="243">
        <v>1625</v>
      </c>
      <c r="N68" s="243">
        <v>124</v>
      </c>
      <c r="P68" s="244">
        <f t="shared" si="2"/>
        <v>0.9291023441966838</v>
      </c>
      <c r="Q68" s="244">
        <f t="shared" si="3"/>
        <v>7.0897655803316181E-2</v>
      </c>
    </row>
    <row r="69" spans="1:17" x14ac:dyDescent="0.2">
      <c r="A69" s="235" t="s">
        <v>162</v>
      </c>
      <c r="B69" s="236" t="s">
        <v>163</v>
      </c>
      <c r="C69" s="237" t="s">
        <v>264</v>
      </c>
      <c r="D69" s="237"/>
      <c r="E69" s="238">
        <v>2588</v>
      </c>
      <c r="F69" s="239">
        <v>2305</v>
      </c>
      <c r="G69" s="240">
        <v>283</v>
      </c>
      <c r="I69" s="241">
        <f t="shared" si="0"/>
        <v>0.89064914992272026</v>
      </c>
      <c r="J69" s="242">
        <f t="shared" si="1"/>
        <v>0.10935085007727975</v>
      </c>
      <c r="L69" s="243">
        <v>711</v>
      </c>
      <c r="M69" s="243">
        <v>599</v>
      </c>
      <c r="N69" s="243">
        <v>112</v>
      </c>
      <c r="P69" s="244">
        <f t="shared" si="2"/>
        <v>0.84247538677918421</v>
      </c>
      <c r="Q69" s="244">
        <f t="shared" si="3"/>
        <v>0.15752461322081576</v>
      </c>
    </row>
    <row r="70" spans="1:17" x14ac:dyDescent="0.2">
      <c r="A70" s="235" t="s">
        <v>164</v>
      </c>
      <c r="B70" s="236" t="s">
        <v>165</v>
      </c>
      <c r="C70" s="237" t="s">
        <v>266</v>
      </c>
      <c r="D70" s="237"/>
      <c r="E70" s="238">
        <v>3261</v>
      </c>
      <c r="F70" s="239">
        <v>3009</v>
      </c>
      <c r="G70" s="240">
        <v>252</v>
      </c>
      <c r="I70" s="241">
        <f t="shared" si="0"/>
        <v>0.92272309107635697</v>
      </c>
      <c r="J70" s="242">
        <f t="shared" si="1"/>
        <v>7.7276908923643056E-2</v>
      </c>
      <c r="L70" s="243">
        <v>657</v>
      </c>
      <c r="M70" s="243">
        <v>584</v>
      </c>
      <c r="N70" s="243">
        <v>73</v>
      </c>
      <c r="P70" s="244">
        <f t="shared" si="2"/>
        <v>0.88888888888888884</v>
      </c>
      <c r="Q70" s="244">
        <f t="shared" si="3"/>
        <v>0.1111111111111111</v>
      </c>
    </row>
    <row r="71" spans="1:17" x14ac:dyDescent="0.2">
      <c r="A71" s="235" t="s">
        <v>168</v>
      </c>
      <c r="B71" s="236" t="s">
        <v>169</v>
      </c>
      <c r="C71" s="237" t="s">
        <v>266</v>
      </c>
      <c r="D71" s="237"/>
      <c r="E71" s="238">
        <v>2872</v>
      </c>
      <c r="F71" s="239">
        <v>2555</v>
      </c>
      <c r="G71" s="240">
        <v>317</v>
      </c>
      <c r="I71" s="241">
        <f t="shared" ref="I71:I126" si="4">F71/E71</f>
        <v>0.88962395543175488</v>
      </c>
      <c r="J71" s="242">
        <f t="shared" ref="J71:J126" si="5">G71/E71</f>
        <v>0.11037604456824512</v>
      </c>
      <c r="L71" s="243">
        <v>1023</v>
      </c>
      <c r="M71" s="243">
        <v>879</v>
      </c>
      <c r="N71" s="243">
        <v>144</v>
      </c>
      <c r="P71" s="244">
        <f t="shared" ref="P71:P126" si="6">M71/L71</f>
        <v>0.85923753665689151</v>
      </c>
      <c r="Q71" s="244">
        <f t="shared" ref="Q71:Q126" si="7">N71/L71</f>
        <v>0.14076246334310852</v>
      </c>
    </row>
    <row r="72" spans="1:17" x14ac:dyDescent="0.2">
      <c r="A72" s="235" t="s">
        <v>170</v>
      </c>
      <c r="B72" s="236" t="s">
        <v>171</v>
      </c>
      <c r="C72" s="237" t="s">
        <v>267</v>
      </c>
      <c r="D72" s="237"/>
      <c r="E72" s="238">
        <v>8029</v>
      </c>
      <c r="F72" s="239">
        <v>7323</v>
      </c>
      <c r="G72" s="240">
        <v>706</v>
      </c>
      <c r="I72" s="241">
        <f t="shared" si="4"/>
        <v>0.91206875077842819</v>
      </c>
      <c r="J72" s="242">
        <f t="shared" si="5"/>
        <v>8.7931249221571806E-2</v>
      </c>
      <c r="L72" s="243">
        <v>2859</v>
      </c>
      <c r="M72" s="243">
        <v>2581</v>
      </c>
      <c r="N72" s="243">
        <v>278</v>
      </c>
      <c r="P72" s="244">
        <f t="shared" si="6"/>
        <v>0.90276320391745368</v>
      </c>
      <c r="Q72" s="244">
        <f t="shared" si="7"/>
        <v>9.7236796082546345E-2</v>
      </c>
    </row>
    <row r="73" spans="1:17" x14ac:dyDescent="0.2">
      <c r="A73" s="235" t="s">
        <v>172</v>
      </c>
      <c r="B73" s="236" t="s">
        <v>173</v>
      </c>
      <c r="C73" s="237" t="s">
        <v>267</v>
      </c>
      <c r="D73" s="237"/>
      <c r="E73" s="238">
        <v>5801</v>
      </c>
      <c r="F73" s="239">
        <v>5126</v>
      </c>
      <c r="G73" s="240">
        <v>675</v>
      </c>
      <c r="I73" s="241">
        <f t="shared" si="4"/>
        <v>0.88364075159455269</v>
      </c>
      <c r="J73" s="242">
        <f t="shared" si="5"/>
        <v>0.11635924840544734</v>
      </c>
      <c r="L73" s="243">
        <v>2042</v>
      </c>
      <c r="M73" s="243">
        <v>1748</v>
      </c>
      <c r="N73" s="243">
        <v>294</v>
      </c>
      <c r="P73" s="244">
        <f t="shared" si="6"/>
        <v>0.85602350636630753</v>
      </c>
      <c r="Q73" s="244">
        <f t="shared" si="7"/>
        <v>0.14397649363369247</v>
      </c>
    </row>
    <row r="74" spans="1:17" x14ac:dyDescent="0.2">
      <c r="A74" s="235" t="s">
        <v>174</v>
      </c>
      <c r="B74" s="236" t="s">
        <v>175</v>
      </c>
      <c r="C74" s="237" t="s">
        <v>268</v>
      </c>
      <c r="D74" s="237"/>
      <c r="E74" s="238">
        <v>4631</v>
      </c>
      <c r="F74" s="239">
        <v>4305</v>
      </c>
      <c r="G74" s="240">
        <v>326</v>
      </c>
      <c r="I74" s="241">
        <f t="shared" si="4"/>
        <v>0.92960483696825735</v>
      </c>
      <c r="J74" s="242">
        <f t="shared" si="5"/>
        <v>7.0395163031742605E-2</v>
      </c>
      <c r="L74" s="243">
        <v>1404</v>
      </c>
      <c r="M74" s="243">
        <v>1272</v>
      </c>
      <c r="N74" s="243">
        <v>132</v>
      </c>
      <c r="P74" s="244">
        <f t="shared" si="6"/>
        <v>0.90598290598290598</v>
      </c>
      <c r="Q74" s="244">
        <f t="shared" si="7"/>
        <v>9.4017094017094016E-2</v>
      </c>
    </row>
    <row r="75" spans="1:17" x14ac:dyDescent="0.2">
      <c r="A75" s="235" t="s">
        <v>178</v>
      </c>
      <c r="B75" s="236" t="s">
        <v>179</v>
      </c>
      <c r="C75" s="237" t="s">
        <v>265</v>
      </c>
      <c r="D75" s="237"/>
      <c r="E75" s="238">
        <v>14710</v>
      </c>
      <c r="F75" s="239">
        <v>13591</v>
      </c>
      <c r="G75" s="240">
        <v>1119</v>
      </c>
      <c r="I75" s="241">
        <f t="shared" si="4"/>
        <v>0.92392929979605709</v>
      </c>
      <c r="J75" s="242">
        <f t="shared" si="5"/>
        <v>7.6070700203942895E-2</v>
      </c>
      <c r="L75" s="243">
        <v>4922</v>
      </c>
      <c r="M75" s="243">
        <v>4454</v>
      </c>
      <c r="N75" s="243">
        <v>468</v>
      </c>
      <c r="P75" s="244">
        <f t="shared" si="6"/>
        <v>0.90491670052824058</v>
      </c>
      <c r="Q75" s="244">
        <f t="shared" si="7"/>
        <v>9.5083299471759447E-2</v>
      </c>
    </row>
    <row r="76" spans="1:17" x14ac:dyDescent="0.2">
      <c r="A76" s="235" t="s">
        <v>182</v>
      </c>
      <c r="B76" s="236" t="s">
        <v>183</v>
      </c>
      <c r="C76" s="237" t="s">
        <v>266</v>
      </c>
      <c r="D76" s="237"/>
      <c r="E76" s="238">
        <v>6742</v>
      </c>
      <c r="F76" s="239">
        <v>6381</v>
      </c>
      <c r="G76" s="240">
        <v>361</v>
      </c>
      <c r="I76" s="241">
        <f t="shared" si="4"/>
        <v>0.94645505784633643</v>
      </c>
      <c r="J76" s="242">
        <f t="shared" si="5"/>
        <v>5.3544942153663601E-2</v>
      </c>
      <c r="L76" s="243">
        <v>2714</v>
      </c>
      <c r="M76" s="243">
        <v>2587</v>
      </c>
      <c r="N76" s="243">
        <v>127</v>
      </c>
      <c r="P76" s="244">
        <f t="shared" si="6"/>
        <v>0.95320560058953574</v>
      </c>
      <c r="Q76" s="244">
        <f t="shared" si="7"/>
        <v>4.679439941046426E-2</v>
      </c>
    </row>
    <row r="77" spans="1:17" x14ac:dyDescent="0.2">
      <c r="A77" s="235" t="s">
        <v>184</v>
      </c>
      <c r="B77" s="236" t="s">
        <v>185</v>
      </c>
      <c r="C77" s="237" t="s">
        <v>266</v>
      </c>
      <c r="D77" s="237"/>
      <c r="E77" s="238">
        <v>3707</v>
      </c>
      <c r="F77" s="239">
        <v>3275</v>
      </c>
      <c r="G77" s="240">
        <v>432</v>
      </c>
      <c r="I77" s="241">
        <f t="shared" si="4"/>
        <v>0.88346371729161044</v>
      </c>
      <c r="J77" s="242">
        <f t="shared" si="5"/>
        <v>0.11653628270838953</v>
      </c>
      <c r="L77" s="243">
        <v>1279</v>
      </c>
      <c r="M77" s="243">
        <v>1098</v>
      </c>
      <c r="N77" s="243">
        <v>181</v>
      </c>
      <c r="P77" s="244">
        <f t="shared" si="6"/>
        <v>0.85848318999218143</v>
      </c>
      <c r="Q77" s="244">
        <f t="shared" si="7"/>
        <v>0.1415168100078186</v>
      </c>
    </row>
    <row r="78" spans="1:17" x14ac:dyDescent="0.2">
      <c r="A78" s="235" t="s">
        <v>186</v>
      </c>
      <c r="B78" s="236" t="s">
        <v>187</v>
      </c>
      <c r="C78" s="237" t="s">
        <v>264</v>
      </c>
      <c r="D78" s="237"/>
      <c r="E78" s="238">
        <v>7326</v>
      </c>
      <c r="F78" s="239">
        <v>6849</v>
      </c>
      <c r="G78" s="240">
        <v>477</v>
      </c>
      <c r="I78" s="241">
        <f t="shared" si="4"/>
        <v>0.93488943488943488</v>
      </c>
      <c r="J78" s="242">
        <f t="shared" si="5"/>
        <v>6.5110565110565108E-2</v>
      </c>
      <c r="L78" s="243">
        <v>2939</v>
      </c>
      <c r="M78" s="243">
        <v>2743</v>
      </c>
      <c r="N78" s="243">
        <v>196</v>
      </c>
      <c r="P78" s="244">
        <f t="shared" si="6"/>
        <v>0.93331064988091184</v>
      </c>
      <c r="Q78" s="244">
        <f t="shared" si="7"/>
        <v>6.6689350119088123E-2</v>
      </c>
    </row>
    <row r="79" spans="1:17" x14ac:dyDescent="0.2">
      <c r="A79" s="235" t="s">
        <v>188</v>
      </c>
      <c r="B79" s="236" t="s">
        <v>189</v>
      </c>
      <c r="C79" s="237" t="s">
        <v>267</v>
      </c>
      <c r="D79" s="237"/>
      <c r="E79" s="238">
        <v>84487</v>
      </c>
      <c r="F79" s="239">
        <v>78037</v>
      </c>
      <c r="G79" s="240">
        <v>6450</v>
      </c>
      <c r="I79" s="241">
        <f t="shared" si="4"/>
        <v>0.92365689396001749</v>
      </c>
      <c r="J79" s="242">
        <f t="shared" si="5"/>
        <v>7.6343106039982483E-2</v>
      </c>
      <c r="L79" s="243">
        <v>44548</v>
      </c>
      <c r="M79" s="243">
        <v>41816</v>
      </c>
      <c r="N79" s="243">
        <v>2732</v>
      </c>
      <c r="P79" s="244">
        <f t="shared" si="6"/>
        <v>0.93867289216126426</v>
      </c>
      <c r="Q79" s="244">
        <f t="shared" si="7"/>
        <v>6.1327107838735746E-2</v>
      </c>
    </row>
    <row r="80" spans="1:17" x14ac:dyDescent="0.2">
      <c r="A80" s="235" t="s">
        <v>190</v>
      </c>
      <c r="B80" s="236" t="s">
        <v>191</v>
      </c>
      <c r="C80" s="237" t="s">
        <v>268</v>
      </c>
      <c r="D80" s="237"/>
      <c r="E80" s="238">
        <v>8123</v>
      </c>
      <c r="F80" s="239">
        <v>7332</v>
      </c>
      <c r="G80" s="240">
        <v>791</v>
      </c>
      <c r="I80" s="241">
        <f t="shared" si="4"/>
        <v>0.90262218392219629</v>
      </c>
      <c r="J80" s="242">
        <f t="shared" si="5"/>
        <v>9.7377816077803769E-2</v>
      </c>
      <c r="L80" s="243">
        <v>2499</v>
      </c>
      <c r="M80" s="243">
        <v>2197</v>
      </c>
      <c r="N80" s="243">
        <v>302</v>
      </c>
      <c r="P80" s="244">
        <f t="shared" si="6"/>
        <v>0.87915166066426575</v>
      </c>
      <c r="Q80" s="244">
        <f t="shared" si="7"/>
        <v>0.1208483393357343</v>
      </c>
    </row>
    <row r="81" spans="1:17" x14ac:dyDescent="0.2">
      <c r="A81" s="235" t="s">
        <v>194</v>
      </c>
      <c r="B81" s="236" t="s">
        <v>195</v>
      </c>
      <c r="C81" s="237" t="s">
        <v>267</v>
      </c>
      <c r="D81" s="237"/>
      <c r="E81" s="238">
        <v>1838</v>
      </c>
      <c r="F81" s="239">
        <v>1685</v>
      </c>
      <c r="G81" s="240">
        <v>153</v>
      </c>
      <c r="I81" s="241">
        <f t="shared" si="4"/>
        <v>0.91675734494015237</v>
      </c>
      <c r="J81" s="242">
        <f t="shared" si="5"/>
        <v>8.3242655059847667E-2</v>
      </c>
      <c r="L81" s="243">
        <v>573</v>
      </c>
      <c r="M81" s="243">
        <v>521</v>
      </c>
      <c r="N81" s="243">
        <v>52</v>
      </c>
      <c r="P81" s="244">
        <f t="shared" si="6"/>
        <v>0.90924956369982546</v>
      </c>
      <c r="Q81" s="244">
        <f t="shared" si="7"/>
        <v>9.0750436300174514E-2</v>
      </c>
    </row>
    <row r="82" spans="1:17" x14ac:dyDescent="0.2">
      <c r="A82" s="235" t="s">
        <v>198</v>
      </c>
      <c r="B82" s="236" t="s">
        <v>199</v>
      </c>
      <c r="C82" s="237" t="s">
        <v>266</v>
      </c>
      <c r="D82" s="237"/>
      <c r="E82" s="238">
        <v>1629</v>
      </c>
      <c r="F82" s="239">
        <v>1480</v>
      </c>
      <c r="G82" s="240">
        <v>149</v>
      </c>
      <c r="I82" s="241">
        <f t="shared" si="4"/>
        <v>0.9085328422344997</v>
      </c>
      <c r="J82" s="242">
        <f t="shared" si="5"/>
        <v>9.1467157765500309E-2</v>
      </c>
      <c r="L82" s="243">
        <v>553</v>
      </c>
      <c r="M82" s="243">
        <v>488</v>
      </c>
      <c r="N82" s="243">
        <v>65</v>
      </c>
      <c r="P82" s="244">
        <f t="shared" si="6"/>
        <v>0.88245931283905965</v>
      </c>
      <c r="Q82" s="244">
        <f t="shared" si="7"/>
        <v>0.11754068716094032</v>
      </c>
    </row>
    <row r="83" spans="1:17" x14ac:dyDescent="0.2">
      <c r="A83" s="235" t="s">
        <v>202</v>
      </c>
      <c r="B83" s="236" t="s">
        <v>611</v>
      </c>
      <c r="C83" s="237" t="s">
        <v>265</v>
      </c>
      <c r="D83" s="237"/>
      <c r="E83" s="238">
        <v>27391</v>
      </c>
      <c r="F83" s="239">
        <v>25544</v>
      </c>
      <c r="G83" s="240">
        <v>1847</v>
      </c>
      <c r="I83" s="241">
        <f t="shared" si="4"/>
        <v>0.93256909203753058</v>
      </c>
      <c r="J83" s="242">
        <f t="shared" si="5"/>
        <v>6.7430907962469422E-2</v>
      </c>
      <c r="L83" s="243">
        <v>10136</v>
      </c>
      <c r="M83" s="243">
        <v>9529</v>
      </c>
      <c r="N83" s="243">
        <v>607</v>
      </c>
      <c r="P83" s="244">
        <f t="shared" si="6"/>
        <v>0.94011444356748219</v>
      </c>
      <c r="Q83" s="244">
        <f t="shared" si="7"/>
        <v>5.9885556432517757E-2</v>
      </c>
    </row>
    <row r="84" spans="1:17" x14ac:dyDescent="0.2">
      <c r="A84" s="235" t="s">
        <v>204</v>
      </c>
      <c r="B84" s="236" t="s">
        <v>293</v>
      </c>
      <c r="C84" s="237" t="s">
        <v>265</v>
      </c>
      <c r="D84" s="237"/>
      <c r="E84" s="238">
        <v>7830</v>
      </c>
      <c r="F84" s="239">
        <v>7065</v>
      </c>
      <c r="G84" s="240">
        <v>765</v>
      </c>
      <c r="I84" s="241">
        <f t="shared" si="4"/>
        <v>0.9022988505747126</v>
      </c>
      <c r="J84" s="242">
        <f t="shared" si="5"/>
        <v>9.7701149425287362E-2</v>
      </c>
      <c r="L84" s="243">
        <v>2523</v>
      </c>
      <c r="M84" s="243">
        <v>2233</v>
      </c>
      <c r="N84" s="243">
        <v>290</v>
      </c>
      <c r="P84" s="244">
        <f t="shared" si="6"/>
        <v>0.88505747126436785</v>
      </c>
      <c r="Q84" s="244">
        <f t="shared" si="7"/>
        <v>0.11494252873563218</v>
      </c>
    </row>
    <row r="85" spans="1:17" x14ac:dyDescent="0.2">
      <c r="A85" s="235" t="s">
        <v>206</v>
      </c>
      <c r="B85" s="236" t="s">
        <v>294</v>
      </c>
      <c r="C85" s="237" t="s">
        <v>267</v>
      </c>
      <c r="D85" s="237"/>
      <c r="E85" s="238">
        <v>24868</v>
      </c>
      <c r="F85" s="239">
        <v>22377</v>
      </c>
      <c r="G85" s="240">
        <v>2491</v>
      </c>
      <c r="I85" s="241">
        <f t="shared" si="4"/>
        <v>0.89983110825156831</v>
      </c>
      <c r="J85" s="242">
        <f t="shared" si="5"/>
        <v>0.10016889174843172</v>
      </c>
      <c r="L85" s="243">
        <v>9709</v>
      </c>
      <c r="M85" s="243">
        <v>8763</v>
      </c>
      <c r="N85" s="243">
        <v>946</v>
      </c>
      <c r="P85" s="244">
        <f t="shared" si="6"/>
        <v>0.90256463075496962</v>
      </c>
      <c r="Q85" s="244">
        <f t="shared" si="7"/>
        <v>9.7435369245030379E-2</v>
      </c>
    </row>
    <row r="86" spans="1:17" x14ac:dyDescent="0.2">
      <c r="A86" s="235" t="s">
        <v>208</v>
      </c>
      <c r="B86" s="236" t="s">
        <v>209</v>
      </c>
      <c r="C86" s="237" t="s">
        <v>268</v>
      </c>
      <c r="D86" s="237"/>
      <c r="E86" s="238">
        <v>7121</v>
      </c>
      <c r="F86" s="239">
        <v>6663</v>
      </c>
      <c r="G86" s="240">
        <v>458</v>
      </c>
      <c r="I86" s="241">
        <f t="shared" si="4"/>
        <v>0.9356831905631231</v>
      </c>
      <c r="J86" s="242">
        <f t="shared" si="5"/>
        <v>6.4316809436876843E-2</v>
      </c>
      <c r="L86" s="243">
        <v>2435</v>
      </c>
      <c r="M86" s="243">
        <v>2264</v>
      </c>
      <c r="N86" s="243">
        <v>171</v>
      </c>
      <c r="P86" s="244">
        <f t="shared" si="6"/>
        <v>0.92977412731006159</v>
      </c>
      <c r="Q86" s="244">
        <f t="shared" si="7"/>
        <v>7.0225872689938393E-2</v>
      </c>
    </row>
    <row r="87" spans="1:17" x14ac:dyDescent="0.2">
      <c r="A87" s="235" t="s">
        <v>210</v>
      </c>
      <c r="B87" s="236" t="s">
        <v>211</v>
      </c>
      <c r="C87" s="237" t="s">
        <v>268</v>
      </c>
      <c r="D87" s="237"/>
      <c r="E87" s="238">
        <v>5615</v>
      </c>
      <c r="F87" s="239">
        <v>5267</v>
      </c>
      <c r="G87" s="240">
        <v>348</v>
      </c>
      <c r="I87" s="241">
        <f t="shared" si="4"/>
        <v>0.93802315227070343</v>
      </c>
      <c r="J87" s="242">
        <f t="shared" si="5"/>
        <v>6.1976847729296528E-2</v>
      </c>
      <c r="L87" s="243">
        <v>1805</v>
      </c>
      <c r="M87" s="243">
        <v>1674</v>
      </c>
      <c r="N87" s="243">
        <v>131</v>
      </c>
      <c r="P87" s="244">
        <f t="shared" si="6"/>
        <v>0.92742382271468149</v>
      </c>
      <c r="Q87" s="244">
        <f t="shared" si="7"/>
        <v>7.2576177285318566E-2</v>
      </c>
    </row>
    <row r="88" spans="1:17" x14ac:dyDescent="0.2">
      <c r="A88" s="235" t="s">
        <v>212</v>
      </c>
      <c r="B88" s="236" t="s">
        <v>213</v>
      </c>
      <c r="C88" s="237" t="s">
        <v>267</v>
      </c>
      <c r="D88" s="237"/>
      <c r="E88" s="238">
        <v>10226</v>
      </c>
      <c r="F88" s="239">
        <v>9052</v>
      </c>
      <c r="G88" s="240">
        <v>1174</v>
      </c>
      <c r="I88" s="241">
        <f t="shared" si="4"/>
        <v>0.88519460199491495</v>
      </c>
      <c r="J88" s="242">
        <f t="shared" si="5"/>
        <v>0.11480539800508507</v>
      </c>
      <c r="L88" s="243">
        <v>3535</v>
      </c>
      <c r="M88" s="243">
        <v>3074</v>
      </c>
      <c r="N88" s="243">
        <v>461</v>
      </c>
      <c r="P88" s="244">
        <f t="shared" si="6"/>
        <v>0.86958981612446962</v>
      </c>
      <c r="Q88" s="244">
        <f t="shared" si="7"/>
        <v>0.13041018387553041</v>
      </c>
    </row>
    <row r="89" spans="1:17" x14ac:dyDescent="0.2">
      <c r="A89" s="235" t="s">
        <v>214</v>
      </c>
      <c r="B89" s="236" t="s">
        <v>215</v>
      </c>
      <c r="C89" s="237" t="s">
        <v>268</v>
      </c>
      <c r="D89" s="237"/>
      <c r="E89" s="238">
        <v>7375</v>
      </c>
      <c r="F89" s="239">
        <v>6640</v>
      </c>
      <c r="G89" s="240">
        <v>735</v>
      </c>
      <c r="I89" s="241">
        <f t="shared" si="4"/>
        <v>0.90033898305084747</v>
      </c>
      <c r="J89" s="242">
        <f t="shared" si="5"/>
        <v>9.9661016949152539E-2</v>
      </c>
      <c r="L89" s="243">
        <v>2466</v>
      </c>
      <c r="M89" s="243">
        <v>2168</v>
      </c>
      <c r="N89" s="243">
        <v>298</v>
      </c>
      <c r="P89" s="244">
        <f t="shared" si="6"/>
        <v>0.87915652879156525</v>
      </c>
      <c r="Q89" s="244">
        <f t="shared" si="7"/>
        <v>0.12084347120843471</v>
      </c>
    </row>
    <row r="90" spans="1:17" x14ac:dyDescent="0.2">
      <c r="A90" s="235" t="s">
        <v>216</v>
      </c>
      <c r="B90" s="236" t="s">
        <v>217</v>
      </c>
      <c r="C90" s="237" t="s">
        <v>264</v>
      </c>
      <c r="D90" s="237"/>
      <c r="E90" s="238">
        <v>3804</v>
      </c>
      <c r="F90" s="239">
        <v>3501</v>
      </c>
      <c r="G90" s="240">
        <v>303</v>
      </c>
      <c r="I90" s="241">
        <f t="shared" si="4"/>
        <v>0.92034700315457418</v>
      </c>
      <c r="J90" s="242">
        <f t="shared" si="5"/>
        <v>7.9652996845425872E-2</v>
      </c>
      <c r="L90" s="243">
        <v>1348</v>
      </c>
      <c r="M90" s="243">
        <v>1235</v>
      </c>
      <c r="N90" s="243">
        <v>113</v>
      </c>
      <c r="P90" s="244">
        <f t="shared" si="6"/>
        <v>0.91617210682492578</v>
      </c>
      <c r="Q90" s="244">
        <f t="shared" si="7"/>
        <v>8.3827893175074178E-2</v>
      </c>
    </row>
    <row r="91" spans="1:17" x14ac:dyDescent="0.2">
      <c r="A91" s="235" t="s">
        <v>218</v>
      </c>
      <c r="B91" s="236" t="s">
        <v>219</v>
      </c>
      <c r="C91" s="237" t="s">
        <v>267</v>
      </c>
      <c r="D91" s="237"/>
      <c r="E91" s="238">
        <v>27740</v>
      </c>
      <c r="F91" s="239">
        <v>25473</v>
      </c>
      <c r="G91" s="240">
        <v>2267</v>
      </c>
      <c r="I91" s="241">
        <f t="shared" si="4"/>
        <v>0.91827685652487379</v>
      </c>
      <c r="J91" s="242">
        <f t="shared" si="5"/>
        <v>8.1723143475126173E-2</v>
      </c>
      <c r="L91" s="243">
        <v>12842</v>
      </c>
      <c r="M91" s="243">
        <v>11937</v>
      </c>
      <c r="N91" s="243">
        <v>905</v>
      </c>
      <c r="P91" s="244">
        <f t="shared" si="6"/>
        <v>0.92952811088615483</v>
      </c>
      <c r="Q91" s="244">
        <f t="shared" si="7"/>
        <v>7.0471889113845193E-2</v>
      </c>
    </row>
    <row r="92" spans="1:17" x14ac:dyDescent="0.2">
      <c r="A92" s="235" t="s">
        <v>220</v>
      </c>
      <c r="B92" s="236" t="s">
        <v>221</v>
      </c>
      <c r="C92" s="237" t="s">
        <v>267</v>
      </c>
      <c r="D92" s="237"/>
      <c r="E92" s="238">
        <v>28707</v>
      </c>
      <c r="F92" s="239">
        <v>26742</v>
      </c>
      <c r="G92" s="240">
        <v>1965</v>
      </c>
      <c r="I92" s="241">
        <f t="shared" si="4"/>
        <v>0.93154979621695055</v>
      </c>
      <c r="J92" s="242">
        <f t="shared" si="5"/>
        <v>6.8450203783049432E-2</v>
      </c>
      <c r="L92" s="243">
        <v>14418</v>
      </c>
      <c r="M92" s="243">
        <v>13579</v>
      </c>
      <c r="N92" s="243">
        <v>839</v>
      </c>
      <c r="P92" s="244">
        <f t="shared" si="6"/>
        <v>0.94180885004855042</v>
      </c>
      <c r="Q92" s="244">
        <f t="shared" si="7"/>
        <v>5.8191149951449576E-2</v>
      </c>
    </row>
    <row r="93" spans="1:17" x14ac:dyDescent="0.2">
      <c r="A93" s="235" t="s">
        <v>224</v>
      </c>
      <c r="B93" s="236" t="s">
        <v>225</v>
      </c>
      <c r="C93" s="237" t="s">
        <v>264</v>
      </c>
      <c r="D93" s="237"/>
      <c r="E93" s="238">
        <v>1585</v>
      </c>
      <c r="F93" s="239">
        <v>1455</v>
      </c>
      <c r="G93" s="240">
        <v>130</v>
      </c>
      <c r="I93" s="241">
        <f t="shared" si="4"/>
        <v>0.917981072555205</v>
      </c>
      <c r="J93" s="242">
        <f t="shared" si="5"/>
        <v>8.2018927444794956E-2</v>
      </c>
      <c r="L93" s="243">
        <v>492</v>
      </c>
      <c r="M93" s="243">
        <v>446</v>
      </c>
      <c r="N93" s="243">
        <v>46</v>
      </c>
      <c r="P93" s="244">
        <f t="shared" si="6"/>
        <v>0.9065040650406504</v>
      </c>
      <c r="Q93" s="244">
        <f t="shared" si="7"/>
        <v>9.3495934959349589E-2</v>
      </c>
    </row>
    <row r="94" spans="1:17" x14ac:dyDescent="0.2">
      <c r="A94" s="235" t="s">
        <v>226</v>
      </c>
      <c r="B94" s="236" t="s">
        <v>227</v>
      </c>
      <c r="C94" s="237" t="s">
        <v>264</v>
      </c>
      <c r="D94" s="237"/>
      <c r="E94" s="238">
        <v>1927</v>
      </c>
      <c r="F94" s="239">
        <v>1700</v>
      </c>
      <c r="G94" s="240">
        <v>227</v>
      </c>
      <c r="I94" s="241">
        <f t="shared" si="4"/>
        <v>0.8822003113648158</v>
      </c>
      <c r="J94" s="242">
        <f t="shared" si="5"/>
        <v>0.11779968863518422</v>
      </c>
      <c r="L94" s="243">
        <v>596</v>
      </c>
      <c r="M94" s="243">
        <v>516</v>
      </c>
      <c r="N94" s="243">
        <v>80</v>
      </c>
      <c r="P94" s="244">
        <f t="shared" si="6"/>
        <v>0.86577181208053688</v>
      </c>
      <c r="Q94" s="244">
        <f t="shared" si="7"/>
        <v>0.13422818791946309</v>
      </c>
    </row>
    <row r="95" spans="1:17" x14ac:dyDescent="0.2">
      <c r="A95" s="235" t="s">
        <v>228</v>
      </c>
      <c r="B95" s="236" t="s">
        <v>229</v>
      </c>
      <c r="C95" s="237" t="s">
        <v>268</v>
      </c>
      <c r="D95" s="237"/>
      <c r="E95" s="238">
        <v>10694</v>
      </c>
      <c r="F95" s="239">
        <v>9927</v>
      </c>
      <c r="G95" s="240">
        <v>767</v>
      </c>
      <c r="I95" s="241">
        <f t="shared" si="4"/>
        <v>0.92827753880680752</v>
      </c>
      <c r="J95" s="242">
        <f t="shared" si="5"/>
        <v>7.1722461193192449E-2</v>
      </c>
      <c r="L95" s="243">
        <v>3630</v>
      </c>
      <c r="M95" s="243">
        <v>3309</v>
      </c>
      <c r="N95" s="243">
        <v>321</v>
      </c>
      <c r="P95" s="244">
        <f t="shared" si="6"/>
        <v>0.9115702479338843</v>
      </c>
      <c r="Q95" s="244">
        <f t="shared" si="7"/>
        <v>8.8429752066115697E-2</v>
      </c>
    </row>
    <row r="96" spans="1:17" x14ac:dyDescent="0.2">
      <c r="A96" s="235" t="s">
        <v>232</v>
      </c>
      <c r="B96" s="236" t="s">
        <v>233</v>
      </c>
      <c r="C96" s="237" t="s">
        <v>267</v>
      </c>
      <c r="D96" s="237"/>
      <c r="E96" s="238">
        <v>8466</v>
      </c>
      <c r="F96" s="239">
        <v>7448</v>
      </c>
      <c r="G96" s="240">
        <v>1018</v>
      </c>
      <c r="I96" s="241">
        <f t="shared" si="4"/>
        <v>0.87975431136309945</v>
      </c>
      <c r="J96" s="242">
        <f t="shared" si="5"/>
        <v>0.12024568863690055</v>
      </c>
      <c r="L96" s="243">
        <v>3365</v>
      </c>
      <c r="M96" s="243">
        <v>2964</v>
      </c>
      <c r="N96" s="243">
        <v>401</v>
      </c>
      <c r="P96" s="244">
        <f t="shared" si="6"/>
        <v>0.88083209509658245</v>
      </c>
      <c r="Q96" s="244">
        <f t="shared" si="7"/>
        <v>0.11916790490341754</v>
      </c>
    </row>
    <row r="97" spans="1:17" x14ac:dyDescent="0.2">
      <c r="A97" s="235" t="s">
        <v>234</v>
      </c>
      <c r="B97" s="236" t="s">
        <v>235</v>
      </c>
      <c r="C97" s="237" t="s">
        <v>268</v>
      </c>
      <c r="D97" s="237"/>
      <c r="E97" s="238">
        <v>13451</v>
      </c>
      <c r="F97" s="239">
        <v>12472</v>
      </c>
      <c r="G97" s="240">
        <v>979</v>
      </c>
      <c r="I97" s="241">
        <f t="shared" si="4"/>
        <v>0.92721730726340046</v>
      </c>
      <c r="J97" s="242">
        <f t="shared" si="5"/>
        <v>7.2782692736599514E-2</v>
      </c>
      <c r="L97" s="243">
        <v>4316</v>
      </c>
      <c r="M97" s="243">
        <v>3992</v>
      </c>
      <c r="N97" s="243">
        <v>324</v>
      </c>
      <c r="P97" s="244">
        <f t="shared" si="6"/>
        <v>0.92493049119555149</v>
      </c>
      <c r="Q97" s="244">
        <f t="shared" si="7"/>
        <v>7.506950880444857E-2</v>
      </c>
    </row>
    <row r="98" spans="1:17" x14ac:dyDescent="0.2">
      <c r="A98" s="235" t="s">
        <v>236</v>
      </c>
      <c r="B98" s="236" t="s">
        <v>237</v>
      </c>
      <c r="C98" s="237" t="s">
        <v>266</v>
      </c>
      <c r="D98" s="237"/>
      <c r="E98" s="238">
        <v>3942</v>
      </c>
      <c r="F98" s="239">
        <v>3509</v>
      </c>
      <c r="G98" s="240">
        <v>433</v>
      </c>
      <c r="I98" s="241">
        <f t="shared" si="4"/>
        <v>0.89015728056823951</v>
      </c>
      <c r="J98" s="242">
        <f t="shared" si="5"/>
        <v>0.10984271943176052</v>
      </c>
      <c r="L98" s="243">
        <v>1096</v>
      </c>
      <c r="M98" s="243">
        <v>949</v>
      </c>
      <c r="N98" s="243">
        <v>147</v>
      </c>
      <c r="P98" s="244">
        <f t="shared" si="6"/>
        <v>0.86587591240875916</v>
      </c>
      <c r="Q98" s="244">
        <f t="shared" si="7"/>
        <v>0.13412408759124086</v>
      </c>
    </row>
    <row r="99" spans="1:17" x14ac:dyDescent="0.2">
      <c r="A99" s="235" t="s">
        <v>242</v>
      </c>
      <c r="B99" s="236" t="s">
        <v>243</v>
      </c>
      <c r="C99" s="237" t="s">
        <v>268</v>
      </c>
      <c r="D99" s="237"/>
      <c r="E99" s="238">
        <v>8806</v>
      </c>
      <c r="F99" s="239">
        <v>8036</v>
      </c>
      <c r="G99" s="240">
        <v>770</v>
      </c>
      <c r="I99" s="241">
        <f t="shared" si="4"/>
        <v>0.91255961844197142</v>
      </c>
      <c r="J99" s="242">
        <f t="shared" si="5"/>
        <v>8.7440381558028621E-2</v>
      </c>
      <c r="L99" s="243">
        <v>3189</v>
      </c>
      <c r="M99" s="243">
        <v>2847</v>
      </c>
      <c r="N99" s="243">
        <v>342</v>
      </c>
      <c r="P99" s="244">
        <f t="shared" si="6"/>
        <v>0.89275634995296327</v>
      </c>
      <c r="Q99" s="244">
        <f t="shared" si="7"/>
        <v>0.10724365004703669</v>
      </c>
    </row>
    <row r="100" spans="1:17" x14ac:dyDescent="0.2">
      <c r="A100" s="235" t="s">
        <v>244</v>
      </c>
      <c r="B100" s="236" t="s">
        <v>245</v>
      </c>
      <c r="C100" s="237" t="s">
        <v>268</v>
      </c>
      <c r="D100" s="237"/>
      <c r="E100" s="238">
        <v>7017</v>
      </c>
      <c r="F100" s="239">
        <v>6427</v>
      </c>
      <c r="G100" s="240">
        <v>590</v>
      </c>
      <c r="I100" s="241">
        <f t="shared" si="4"/>
        <v>0.91591848368248541</v>
      </c>
      <c r="J100" s="242">
        <f t="shared" si="5"/>
        <v>8.4081516317514607E-2</v>
      </c>
      <c r="L100" s="243">
        <v>2359</v>
      </c>
      <c r="M100" s="243">
        <v>2122</v>
      </c>
      <c r="N100" s="243">
        <v>237</v>
      </c>
      <c r="P100" s="244">
        <f t="shared" si="6"/>
        <v>0.89953370072064431</v>
      </c>
      <c r="Q100" s="244">
        <f t="shared" si="7"/>
        <v>0.10046629927935566</v>
      </c>
    </row>
    <row r="101" spans="1:17" x14ac:dyDescent="0.2">
      <c r="A101" s="235" t="s">
        <v>246</v>
      </c>
      <c r="B101" s="236" t="s">
        <v>247</v>
      </c>
      <c r="C101" s="237" t="s">
        <v>264</v>
      </c>
      <c r="D101" s="237"/>
      <c r="E101" s="238">
        <v>19258</v>
      </c>
      <c r="F101" s="239">
        <v>18334</v>
      </c>
      <c r="G101" s="240">
        <v>924</v>
      </c>
      <c r="I101" s="241">
        <f t="shared" si="4"/>
        <v>0.95201993976529231</v>
      </c>
      <c r="J101" s="242">
        <f t="shared" si="5"/>
        <v>4.7980060234707654E-2</v>
      </c>
      <c r="L101" s="243">
        <v>8546</v>
      </c>
      <c r="M101" s="243">
        <v>8213</v>
      </c>
      <c r="N101" s="243">
        <v>333</v>
      </c>
      <c r="P101" s="244">
        <f t="shared" si="6"/>
        <v>0.96103440205944302</v>
      </c>
      <c r="Q101" s="244">
        <f t="shared" si="7"/>
        <v>3.8965597940556984E-2</v>
      </c>
    </row>
    <row r="102" spans="1:17" x14ac:dyDescent="0.2">
      <c r="A102" s="235" t="s">
        <v>14</v>
      </c>
      <c r="B102" s="236" t="s">
        <v>15</v>
      </c>
      <c r="C102" s="237" t="s">
        <v>267</v>
      </c>
      <c r="D102" s="237"/>
      <c r="E102" s="238">
        <v>26684</v>
      </c>
      <c r="F102" s="239">
        <v>22819</v>
      </c>
      <c r="G102" s="240">
        <v>3865</v>
      </c>
      <c r="I102" s="241">
        <f t="shared" si="4"/>
        <v>0.85515664817868386</v>
      </c>
      <c r="J102" s="242">
        <f t="shared" si="5"/>
        <v>0.14484335182131614</v>
      </c>
      <c r="L102" s="243">
        <v>9744</v>
      </c>
      <c r="M102" s="243">
        <v>8972</v>
      </c>
      <c r="N102" s="243">
        <v>772</v>
      </c>
      <c r="P102" s="244">
        <f t="shared" si="6"/>
        <v>0.92077175697865354</v>
      </c>
      <c r="Q102" s="244">
        <f t="shared" si="7"/>
        <v>7.922824302134647E-2</v>
      </c>
    </row>
    <row r="103" spans="1:17" x14ac:dyDescent="0.2">
      <c r="A103" s="235" t="s">
        <v>34</v>
      </c>
      <c r="B103" s="236" t="s">
        <v>35</v>
      </c>
      <c r="C103" s="237" t="s">
        <v>268</v>
      </c>
      <c r="D103" s="237"/>
      <c r="E103" s="238">
        <v>3682</v>
      </c>
      <c r="F103" s="239">
        <v>3261</v>
      </c>
      <c r="G103" s="240">
        <v>421</v>
      </c>
      <c r="I103" s="241">
        <f t="shared" si="4"/>
        <v>0.88565996740901687</v>
      </c>
      <c r="J103" s="242">
        <f t="shared" si="5"/>
        <v>0.11434003259098316</v>
      </c>
      <c r="L103" s="243">
        <v>1243</v>
      </c>
      <c r="M103" s="243">
        <v>1037</v>
      </c>
      <c r="N103" s="243">
        <v>206</v>
      </c>
      <c r="P103" s="244">
        <f t="shared" si="6"/>
        <v>0.83427192276749795</v>
      </c>
      <c r="Q103" s="244">
        <f t="shared" si="7"/>
        <v>0.16572807723250202</v>
      </c>
    </row>
    <row r="104" spans="1:17" x14ac:dyDescent="0.2">
      <c r="A104" s="235" t="s">
        <v>52</v>
      </c>
      <c r="B104" s="236" t="s">
        <v>53</v>
      </c>
      <c r="C104" s="237" t="s">
        <v>265</v>
      </c>
      <c r="D104" s="237"/>
      <c r="E104" s="238">
        <v>6044</v>
      </c>
      <c r="F104" s="239">
        <v>4996</v>
      </c>
      <c r="G104" s="240">
        <v>1048</v>
      </c>
      <c r="I104" s="241">
        <f t="shared" si="4"/>
        <v>0.82660489741892784</v>
      </c>
      <c r="J104" s="242">
        <f t="shared" si="5"/>
        <v>0.17339510258107213</v>
      </c>
      <c r="L104" s="243">
        <v>2127</v>
      </c>
      <c r="M104" s="243">
        <v>1907</v>
      </c>
      <c r="N104" s="243">
        <v>220</v>
      </c>
      <c r="P104" s="244">
        <f t="shared" si="6"/>
        <v>0.89656793606017871</v>
      </c>
      <c r="Q104" s="244">
        <f t="shared" si="7"/>
        <v>0.10343206393982135</v>
      </c>
    </row>
    <row r="105" spans="1:17" x14ac:dyDescent="0.2">
      <c r="A105" s="235" t="s">
        <v>54</v>
      </c>
      <c r="B105" s="236" t="s">
        <v>55</v>
      </c>
      <c r="C105" s="237" t="s">
        <v>264</v>
      </c>
      <c r="D105" s="237"/>
      <c r="E105" s="238">
        <v>47445</v>
      </c>
      <c r="F105" s="239">
        <v>43872</v>
      </c>
      <c r="G105" s="240">
        <v>3573</v>
      </c>
      <c r="I105" s="241">
        <f t="shared" si="4"/>
        <v>0.92469174834018342</v>
      </c>
      <c r="J105" s="242">
        <f t="shared" si="5"/>
        <v>7.5308251659816625E-2</v>
      </c>
      <c r="L105" s="243">
        <v>20777</v>
      </c>
      <c r="M105" s="243">
        <v>19371</v>
      </c>
      <c r="N105" s="243">
        <v>1406</v>
      </c>
      <c r="P105" s="244">
        <f t="shared" si="6"/>
        <v>0.93232901766376286</v>
      </c>
      <c r="Q105" s="244">
        <f t="shared" si="7"/>
        <v>6.7670982336237182E-2</v>
      </c>
    </row>
    <row r="106" spans="1:17" x14ac:dyDescent="0.2">
      <c r="A106" s="235" t="s">
        <v>66</v>
      </c>
      <c r="B106" s="236" t="s">
        <v>67</v>
      </c>
      <c r="C106" s="237" t="s">
        <v>265</v>
      </c>
      <c r="D106" s="237"/>
      <c r="E106" s="238">
        <v>7064</v>
      </c>
      <c r="F106" s="239">
        <v>6212</v>
      </c>
      <c r="G106" s="240">
        <v>852</v>
      </c>
      <c r="I106" s="241">
        <f t="shared" si="4"/>
        <v>0.87938844847112119</v>
      </c>
      <c r="J106" s="242">
        <f t="shared" si="5"/>
        <v>0.12061155152887883</v>
      </c>
      <c r="L106" s="243">
        <v>2114</v>
      </c>
      <c r="M106" s="243">
        <v>1728</v>
      </c>
      <c r="N106" s="243">
        <v>386</v>
      </c>
      <c r="P106" s="244">
        <f t="shared" si="6"/>
        <v>0.81740775780510877</v>
      </c>
      <c r="Q106" s="244">
        <f t="shared" si="7"/>
        <v>0.1825922421948912</v>
      </c>
    </row>
    <row r="107" spans="1:17" x14ac:dyDescent="0.2">
      <c r="A107" s="235" t="s">
        <v>82</v>
      </c>
      <c r="B107" s="236" t="s">
        <v>311</v>
      </c>
      <c r="C107" s="237" t="s">
        <v>264</v>
      </c>
      <c r="D107" s="237"/>
      <c r="E107" s="238">
        <v>1509</v>
      </c>
      <c r="F107" s="239">
        <v>1349</v>
      </c>
      <c r="G107" s="240">
        <v>160</v>
      </c>
      <c r="I107" s="241">
        <f t="shared" si="4"/>
        <v>0.8939695162359178</v>
      </c>
      <c r="J107" s="242">
        <f t="shared" si="5"/>
        <v>0.10603048376408217</v>
      </c>
      <c r="L107" s="243">
        <v>507</v>
      </c>
      <c r="M107" s="243">
        <v>438</v>
      </c>
      <c r="N107" s="243">
        <v>69</v>
      </c>
      <c r="P107" s="244">
        <f t="shared" si="6"/>
        <v>0.86390532544378695</v>
      </c>
      <c r="Q107" s="244">
        <f t="shared" si="7"/>
        <v>0.13609467455621302</v>
      </c>
    </row>
    <row r="108" spans="1:17" x14ac:dyDescent="0.2">
      <c r="A108" s="235" t="s">
        <v>88</v>
      </c>
      <c r="B108" s="236" t="s">
        <v>89</v>
      </c>
      <c r="C108" s="237" t="s">
        <v>267</v>
      </c>
      <c r="D108" s="237"/>
      <c r="E108" s="238">
        <v>3709</v>
      </c>
      <c r="F108" s="239">
        <v>3044</v>
      </c>
      <c r="G108" s="240">
        <v>665</v>
      </c>
      <c r="I108" s="241">
        <f t="shared" si="4"/>
        <v>0.82070638986249667</v>
      </c>
      <c r="J108" s="242">
        <f t="shared" si="5"/>
        <v>0.17929361013750336</v>
      </c>
      <c r="L108" s="243">
        <v>1483</v>
      </c>
      <c r="M108" s="243">
        <v>1250</v>
      </c>
      <c r="N108" s="243">
        <v>233</v>
      </c>
      <c r="P108" s="244">
        <f t="shared" si="6"/>
        <v>0.84288604180714766</v>
      </c>
      <c r="Q108" s="244">
        <f t="shared" si="7"/>
        <v>0.15711395819285232</v>
      </c>
    </row>
    <row r="109" spans="1:17" x14ac:dyDescent="0.2">
      <c r="A109" s="235" t="s">
        <v>90</v>
      </c>
      <c r="B109" s="236" t="s">
        <v>91</v>
      </c>
      <c r="C109" s="237" t="s">
        <v>268</v>
      </c>
      <c r="D109" s="237"/>
      <c r="E109" s="238">
        <v>1355</v>
      </c>
      <c r="F109" s="239">
        <v>1218</v>
      </c>
      <c r="G109" s="240">
        <v>137</v>
      </c>
      <c r="I109" s="241">
        <f t="shared" si="4"/>
        <v>0.89889298892988934</v>
      </c>
      <c r="J109" s="242">
        <f t="shared" si="5"/>
        <v>0.10110701107011071</v>
      </c>
      <c r="L109" s="243">
        <v>489</v>
      </c>
      <c r="M109" s="243">
        <v>432</v>
      </c>
      <c r="N109" s="243">
        <v>57</v>
      </c>
      <c r="P109" s="244">
        <f t="shared" si="6"/>
        <v>0.8834355828220859</v>
      </c>
      <c r="Q109" s="244">
        <f t="shared" si="7"/>
        <v>0.1165644171779141</v>
      </c>
    </row>
    <row r="110" spans="1:17" x14ac:dyDescent="0.2">
      <c r="A110" s="235" t="s">
        <v>106</v>
      </c>
      <c r="B110" s="236" t="s">
        <v>107</v>
      </c>
      <c r="C110" s="237" t="s">
        <v>264</v>
      </c>
      <c r="D110" s="237"/>
      <c r="E110" s="238">
        <v>25384</v>
      </c>
      <c r="F110" s="239">
        <v>22545</v>
      </c>
      <c r="G110" s="240">
        <v>2839</v>
      </c>
      <c r="I110" s="241">
        <f t="shared" si="4"/>
        <v>0.88815789473684215</v>
      </c>
      <c r="J110" s="242">
        <f t="shared" si="5"/>
        <v>0.1118421052631579</v>
      </c>
      <c r="L110" s="243">
        <v>9354</v>
      </c>
      <c r="M110" s="243">
        <v>8280</v>
      </c>
      <c r="N110" s="243">
        <v>1074</v>
      </c>
      <c r="P110" s="244">
        <f t="shared" si="6"/>
        <v>0.88518280949326489</v>
      </c>
      <c r="Q110" s="244">
        <f t="shared" si="7"/>
        <v>0.11481719050673508</v>
      </c>
    </row>
    <row r="111" spans="1:17" x14ac:dyDescent="0.2">
      <c r="A111" s="235" t="s">
        <v>116</v>
      </c>
      <c r="B111" s="236" t="s">
        <v>117</v>
      </c>
      <c r="C111" s="237" t="s">
        <v>266</v>
      </c>
      <c r="D111" s="237"/>
      <c r="E111" s="238">
        <v>3847</v>
      </c>
      <c r="F111" s="239">
        <v>3220</v>
      </c>
      <c r="G111" s="240">
        <v>627</v>
      </c>
      <c r="I111" s="241">
        <f t="shared" si="4"/>
        <v>0.8370158565115674</v>
      </c>
      <c r="J111" s="242">
        <f t="shared" si="5"/>
        <v>0.16298414348843254</v>
      </c>
      <c r="L111" s="243">
        <v>1388</v>
      </c>
      <c r="M111" s="243">
        <v>1087</v>
      </c>
      <c r="N111" s="243">
        <v>301</v>
      </c>
      <c r="P111" s="244">
        <f t="shared" si="6"/>
        <v>0.7831412103746398</v>
      </c>
      <c r="Q111" s="244">
        <f t="shared" si="7"/>
        <v>0.21685878962536023</v>
      </c>
    </row>
    <row r="112" spans="1:17" x14ac:dyDescent="0.2">
      <c r="A112" s="235" t="s">
        <v>138</v>
      </c>
      <c r="B112" s="236" t="s">
        <v>139</v>
      </c>
      <c r="C112" s="237" t="s">
        <v>265</v>
      </c>
      <c r="D112" s="237"/>
      <c r="E112" s="238">
        <v>11948</v>
      </c>
      <c r="F112" s="239">
        <v>10598</v>
      </c>
      <c r="G112" s="240">
        <v>1350</v>
      </c>
      <c r="I112" s="241">
        <f t="shared" si="4"/>
        <v>0.88701037830599261</v>
      </c>
      <c r="J112" s="242">
        <f t="shared" si="5"/>
        <v>0.11298962169400736</v>
      </c>
      <c r="L112" s="243">
        <v>4394</v>
      </c>
      <c r="M112" s="243">
        <v>3862</v>
      </c>
      <c r="N112" s="243">
        <v>532</v>
      </c>
      <c r="P112" s="244">
        <f t="shared" si="6"/>
        <v>0.87892580791989072</v>
      </c>
      <c r="Q112" s="244">
        <f t="shared" si="7"/>
        <v>0.12107419208010924</v>
      </c>
    </row>
    <row r="113" spans="1:17" x14ac:dyDescent="0.2">
      <c r="A113" s="235" t="s">
        <v>142</v>
      </c>
      <c r="B113" s="236" t="s">
        <v>143</v>
      </c>
      <c r="C113" s="237" t="s">
        <v>267</v>
      </c>
      <c r="D113" s="237"/>
      <c r="E113" s="238">
        <v>7239</v>
      </c>
      <c r="F113" s="239">
        <v>6439</v>
      </c>
      <c r="G113" s="240">
        <v>800</v>
      </c>
      <c r="I113" s="241">
        <f t="shared" si="4"/>
        <v>0.88948749827324214</v>
      </c>
      <c r="J113" s="242">
        <f t="shared" si="5"/>
        <v>0.11051250172675783</v>
      </c>
      <c r="L113" s="243">
        <v>3701</v>
      </c>
      <c r="M113" s="243">
        <v>3336</v>
      </c>
      <c r="N113" s="243">
        <v>365</v>
      </c>
      <c r="P113" s="244">
        <f t="shared" si="6"/>
        <v>0.90137800594433937</v>
      </c>
      <c r="Q113" s="244">
        <f t="shared" si="7"/>
        <v>9.8621994055660633E-2</v>
      </c>
    </row>
    <row r="114" spans="1:17" x14ac:dyDescent="0.2">
      <c r="A114" s="235" t="s">
        <v>144</v>
      </c>
      <c r="B114" s="236" t="s">
        <v>145</v>
      </c>
      <c r="C114" s="237" t="s">
        <v>267</v>
      </c>
      <c r="D114" s="237"/>
      <c r="E114" s="238">
        <v>2654</v>
      </c>
      <c r="F114" s="239">
        <v>2314</v>
      </c>
      <c r="G114" s="240">
        <v>340</v>
      </c>
      <c r="I114" s="241">
        <f t="shared" si="4"/>
        <v>0.87189148455162024</v>
      </c>
      <c r="J114" s="242">
        <f t="shared" si="5"/>
        <v>0.12810851544837981</v>
      </c>
      <c r="L114" s="243">
        <v>1470</v>
      </c>
      <c r="M114" s="243">
        <v>1327</v>
      </c>
      <c r="N114" s="243">
        <v>143</v>
      </c>
      <c r="P114" s="244">
        <f t="shared" si="6"/>
        <v>0.90272108843537413</v>
      </c>
      <c r="Q114" s="244">
        <f t="shared" si="7"/>
        <v>9.7278911564625856E-2</v>
      </c>
    </row>
    <row r="115" spans="1:17" x14ac:dyDescent="0.2">
      <c r="A115" s="235" t="s">
        <v>158</v>
      </c>
      <c r="B115" s="236" t="s">
        <v>159</v>
      </c>
      <c r="C115" s="237" t="s">
        <v>264</v>
      </c>
      <c r="D115" s="237"/>
      <c r="E115" s="238">
        <v>32304</v>
      </c>
      <c r="F115" s="239">
        <v>28003</v>
      </c>
      <c r="G115" s="240">
        <v>4301</v>
      </c>
      <c r="I115" s="241">
        <f t="shared" si="4"/>
        <v>0.86685859336305104</v>
      </c>
      <c r="J115" s="242">
        <f t="shared" si="5"/>
        <v>0.13314140663694898</v>
      </c>
      <c r="L115" s="243">
        <v>13357</v>
      </c>
      <c r="M115" s="243">
        <v>11608</v>
      </c>
      <c r="N115" s="243">
        <v>1749</v>
      </c>
      <c r="P115" s="244">
        <f t="shared" si="6"/>
        <v>0.86905742307404354</v>
      </c>
      <c r="Q115" s="244">
        <f t="shared" si="7"/>
        <v>0.13094257692595643</v>
      </c>
    </row>
    <row r="116" spans="1:17" x14ac:dyDescent="0.2">
      <c r="A116" s="235" t="s">
        <v>160</v>
      </c>
      <c r="B116" s="236" t="s">
        <v>161</v>
      </c>
      <c r="C116" s="237" t="s">
        <v>264</v>
      </c>
      <c r="D116" s="237"/>
      <c r="E116" s="238">
        <v>35173</v>
      </c>
      <c r="F116" s="239">
        <v>29572</v>
      </c>
      <c r="G116" s="240">
        <v>5601</v>
      </c>
      <c r="I116" s="241">
        <f t="shared" si="4"/>
        <v>0.84075853637733489</v>
      </c>
      <c r="J116" s="242">
        <f t="shared" si="5"/>
        <v>0.15924146362266511</v>
      </c>
      <c r="L116" s="243">
        <v>13805</v>
      </c>
      <c r="M116" s="243">
        <v>11821</v>
      </c>
      <c r="N116" s="243">
        <v>1984</v>
      </c>
      <c r="P116" s="244">
        <f t="shared" si="6"/>
        <v>0.856283955088736</v>
      </c>
      <c r="Q116" s="244">
        <f t="shared" si="7"/>
        <v>0.14371604491126402</v>
      </c>
    </row>
    <row r="117" spans="1:17" x14ac:dyDescent="0.2">
      <c r="A117" s="235" t="s">
        <v>166</v>
      </c>
      <c r="B117" s="236" t="s">
        <v>167</v>
      </c>
      <c r="C117" s="237" t="s">
        <v>268</v>
      </c>
      <c r="D117" s="237"/>
      <c r="E117" s="238">
        <v>747</v>
      </c>
      <c r="F117" s="239">
        <v>648</v>
      </c>
      <c r="G117" s="240">
        <v>99</v>
      </c>
      <c r="I117" s="241">
        <f t="shared" si="4"/>
        <v>0.86746987951807231</v>
      </c>
      <c r="J117" s="242">
        <f t="shared" si="5"/>
        <v>0.13253012048192772</v>
      </c>
      <c r="L117" s="243">
        <v>270</v>
      </c>
      <c r="M117" s="243">
        <v>229</v>
      </c>
      <c r="N117" s="243">
        <v>41</v>
      </c>
      <c r="P117" s="244">
        <f t="shared" si="6"/>
        <v>0.8481481481481481</v>
      </c>
      <c r="Q117" s="244">
        <f t="shared" si="7"/>
        <v>0.15185185185185185</v>
      </c>
    </row>
    <row r="118" spans="1:17" x14ac:dyDescent="0.2">
      <c r="A118" s="235" t="s">
        <v>176</v>
      </c>
      <c r="B118" s="236" t="s">
        <v>177</v>
      </c>
      <c r="C118" s="237" t="s">
        <v>266</v>
      </c>
      <c r="D118" s="237"/>
      <c r="E118" s="238">
        <v>4395</v>
      </c>
      <c r="F118" s="239">
        <v>3408</v>
      </c>
      <c r="G118" s="240">
        <v>987</v>
      </c>
      <c r="I118" s="241">
        <f t="shared" si="4"/>
        <v>0.7754266211604095</v>
      </c>
      <c r="J118" s="242">
        <f t="shared" si="5"/>
        <v>0.22457337883959044</v>
      </c>
      <c r="L118" s="243">
        <v>1322</v>
      </c>
      <c r="M118" s="243">
        <v>895</v>
      </c>
      <c r="N118" s="243">
        <v>427</v>
      </c>
      <c r="P118" s="244">
        <f t="shared" si="6"/>
        <v>0.67700453857791221</v>
      </c>
      <c r="Q118" s="244">
        <f t="shared" si="7"/>
        <v>0.32299546142208774</v>
      </c>
    </row>
    <row r="119" spans="1:17" x14ac:dyDescent="0.2">
      <c r="A119" s="235" t="s">
        <v>180</v>
      </c>
      <c r="B119" s="236" t="s">
        <v>181</v>
      </c>
      <c r="C119" s="237" t="s">
        <v>264</v>
      </c>
      <c r="D119" s="237"/>
      <c r="E119" s="238">
        <v>16082</v>
      </c>
      <c r="F119" s="239">
        <v>13929</v>
      </c>
      <c r="G119" s="240">
        <v>2153</v>
      </c>
      <c r="I119" s="241">
        <f t="shared" si="4"/>
        <v>0.86612361646561375</v>
      </c>
      <c r="J119" s="242">
        <f t="shared" si="5"/>
        <v>0.13387638353438627</v>
      </c>
      <c r="L119" s="243">
        <v>5886</v>
      </c>
      <c r="M119" s="243">
        <v>5014</v>
      </c>
      <c r="N119" s="243">
        <v>872</v>
      </c>
      <c r="P119" s="244">
        <f t="shared" si="6"/>
        <v>0.85185185185185186</v>
      </c>
      <c r="Q119" s="244">
        <f t="shared" si="7"/>
        <v>0.14814814814814814</v>
      </c>
    </row>
    <row r="120" spans="1:17" x14ac:dyDescent="0.2">
      <c r="A120" s="235" t="s">
        <v>192</v>
      </c>
      <c r="B120" s="236" t="s">
        <v>193</v>
      </c>
      <c r="C120" s="237" t="s">
        <v>268</v>
      </c>
      <c r="D120" s="237"/>
      <c r="E120" s="238">
        <v>2056</v>
      </c>
      <c r="F120" s="239">
        <v>1742</v>
      </c>
      <c r="G120" s="240">
        <v>314</v>
      </c>
      <c r="I120" s="241">
        <f t="shared" si="4"/>
        <v>0.84727626459143968</v>
      </c>
      <c r="J120" s="242">
        <f t="shared" si="5"/>
        <v>0.15272373540856032</v>
      </c>
      <c r="L120" s="243">
        <v>738</v>
      </c>
      <c r="M120" s="243">
        <v>646</v>
      </c>
      <c r="N120" s="243">
        <v>92</v>
      </c>
      <c r="P120" s="244">
        <f t="shared" si="6"/>
        <v>0.87533875338753386</v>
      </c>
      <c r="Q120" s="244">
        <f t="shared" si="7"/>
        <v>0.12466124661246612</v>
      </c>
    </row>
    <row r="121" spans="1:17" x14ac:dyDescent="0.2">
      <c r="A121" s="235" t="s">
        <v>196</v>
      </c>
      <c r="B121" s="236" t="s">
        <v>312</v>
      </c>
      <c r="C121" s="237" t="s">
        <v>266</v>
      </c>
      <c r="D121" s="237"/>
      <c r="E121" s="238">
        <v>27273</v>
      </c>
      <c r="F121" s="239">
        <v>20914</v>
      </c>
      <c r="G121" s="240">
        <v>6359</v>
      </c>
      <c r="I121" s="241">
        <f t="shared" si="4"/>
        <v>0.76683899827668389</v>
      </c>
      <c r="J121" s="242">
        <f t="shared" si="5"/>
        <v>0.23316100172331611</v>
      </c>
      <c r="L121" s="243">
        <v>9095</v>
      </c>
      <c r="M121" s="243">
        <v>7239</v>
      </c>
      <c r="N121" s="243">
        <v>1856</v>
      </c>
      <c r="P121" s="244">
        <f t="shared" si="6"/>
        <v>0.79593183067619566</v>
      </c>
      <c r="Q121" s="244">
        <f t="shared" si="7"/>
        <v>0.20406816932380428</v>
      </c>
    </row>
    <row r="122" spans="1:17" x14ac:dyDescent="0.2">
      <c r="A122" s="235" t="s">
        <v>200</v>
      </c>
      <c r="B122" s="236" t="s">
        <v>313</v>
      </c>
      <c r="C122" s="237" t="s">
        <v>265</v>
      </c>
      <c r="D122" s="237"/>
      <c r="E122" s="238">
        <v>17064</v>
      </c>
      <c r="F122" s="239">
        <v>14014</v>
      </c>
      <c r="G122" s="240">
        <v>3050</v>
      </c>
      <c r="I122" s="241">
        <f t="shared" si="4"/>
        <v>0.82126113455227379</v>
      </c>
      <c r="J122" s="242">
        <f t="shared" si="5"/>
        <v>0.17873886544772621</v>
      </c>
      <c r="L122" s="243">
        <v>6061</v>
      </c>
      <c r="M122" s="243">
        <v>4916</v>
      </c>
      <c r="N122" s="243">
        <v>1145</v>
      </c>
      <c r="P122" s="244">
        <f t="shared" si="6"/>
        <v>0.81108727932684377</v>
      </c>
      <c r="Q122" s="244">
        <f t="shared" si="7"/>
        <v>0.18891272067315623</v>
      </c>
    </row>
    <row r="123" spans="1:17" x14ac:dyDescent="0.2">
      <c r="A123" s="235" t="s">
        <v>222</v>
      </c>
      <c r="B123" s="236" t="s">
        <v>223</v>
      </c>
      <c r="C123" s="237" t="s">
        <v>264</v>
      </c>
      <c r="D123" s="237"/>
      <c r="E123" s="238">
        <v>18140</v>
      </c>
      <c r="F123" s="239">
        <v>16818</v>
      </c>
      <c r="G123" s="240">
        <v>1322</v>
      </c>
      <c r="I123" s="241">
        <f t="shared" si="4"/>
        <v>0.92712238147739801</v>
      </c>
      <c r="J123" s="242">
        <f t="shared" si="5"/>
        <v>7.2877618522601981E-2</v>
      </c>
      <c r="L123" s="243">
        <v>7711</v>
      </c>
      <c r="M123" s="243">
        <v>7175</v>
      </c>
      <c r="N123" s="243">
        <v>536</v>
      </c>
      <c r="P123" s="244">
        <f t="shared" si="6"/>
        <v>0.93048891194397609</v>
      </c>
      <c r="Q123" s="244">
        <f t="shared" si="7"/>
        <v>6.9511088056023865E-2</v>
      </c>
    </row>
    <row r="124" spans="1:17" x14ac:dyDescent="0.2">
      <c r="A124" s="235" t="s">
        <v>230</v>
      </c>
      <c r="B124" s="236" t="s">
        <v>231</v>
      </c>
      <c r="C124" s="237" t="s">
        <v>264</v>
      </c>
      <c r="D124" s="237"/>
      <c r="E124" s="238">
        <v>92701</v>
      </c>
      <c r="F124" s="239">
        <v>83732</v>
      </c>
      <c r="G124" s="240">
        <v>8969</v>
      </c>
      <c r="I124" s="241">
        <f t="shared" si="4"/>
        <v>0.90324807715127131</v>
      </c>
      <c r="J124" s="242">
        <f t="shared" si="5"/>
        <v>9.6751922848728703E-2</v>
      </c>
      <c r="L124" s="243">
        <v>39373</v>
      </c>
      <c r="M124" s="243">
        <v>36360</v>
      </c>
      <c r="N124" s="243">
        <v>3013</v>
      </c>
      <c r="P124" s="244">
        <f t="shared" si="6"/>
        <v>0.92347547811952357</v>
      </c>
      <c r="Q124" s="244">
        <f t="shared" si="7"/>
        <v>7.6524521880476468E-2</v>
      </c>
    </row>
    <row r="125" spans="1:17" x14ac:dyDescent="0.2">
      <c r="A125" s="235" t="s">
        <v>238</v>
      </c>
      <c r="B125" s="236" t="s">
        <v>239</v>
      </c>
      <c r="C125" s="237" t="s">
        <v>264</v>
      </c>
      <c r="D125" s="237"/>
      <c r="E125" s="238">
        <v>1929</v>
      </c>
      <c r="F125" s="239">
        <v>1680</v>
      </c>
      <c r="G125" s="240">
        <v>249</v>
      </c>
      <c r="I125" s="241">
        <f t="shared" si="4"/>
        <v>0.87091757387247282</v>
      </c>
      <c r="J125" s="242">
        <f t="shared" si="5"/>
        <v>0.12908242612752721</v>
      </c>
      <c r="L125" s="243">
        <v>484</v>
      </c>
      <c r="M125" s="243">
        <v>439</v>
      </c>
      <c r="N125" s="243">
        <v>45</v>
      </c>
      <c r="P125" s="244">
        <f t="shared" si="6"/>
        <v>0.90702479338842978</v>
      </c>
      <c r="Q125" s="244">
        <f t="shared" si="7"/>
        <v>9.2975206611570244E-2</v>
      </c>
    </row>
    <row r="126" spans="1:17" x14ac:dyDescent="0.2">
      <c r="A126" s="245" t="s">
        <v>240</v>
      </c>
      <c r="B126" s="246" t="s">
        <v>241</v>
      </c>
      <c r="C126" s="247" t="s">
        <v>267</v>
      </c>
      <c r="D126" s="237"/>
      <c r="E126" s="248">
        <v>4836</v>
      </c>
      <c r="F126" s="249">
        <v>4060</v>
      </c>
      <c r="G126" s="250">
        <v>776</v>
      </c>
      <c r="I126" s="251">
        <f t="shared" si="4"/>
        <v>0.8395368072787428</v>
      </c>
      <c r="J126" s="252">
        <f t="shared" si="5"/>
        <v>0.16046319272125723</v>
      </c>
      <c r="L126" s="243">
        <v>1919</v>
      </c>
      <c r="M126" s="243">
        <v>1614</v>
      </c>
      <c r="N126" s="243">
        <v>305</v>
      </c>
      <c r="P126" s="244">
        <f t="shared" si="6"/>
        <v>0.84106305367378842</v>
      </c>
      <c r="Q126" s="244">
        <f t="shared" si="7"/>
        <v>0.15893694632621158</v>
      </c>
    </row>
    <row r="127" spans="1:17" x14ac:dyDescent="0.2">
      <c r="A127" s="235"/>
      <c r="B127" s="236"/>
      <c r="C127" s="237"/>
      <c r="D127" s="237"/>
      <c r="E127" s="304"/>
      <c r="F127" s="304"/>
      <c r="G127" s="304"/>
      <c r="I127" s="305"/>
      <c r="J127" s="305"/>
      <c r="L127" s="243"/>
      <c r="M127" s="243"/>
      <c r="N127" s="243"/>
      <c r="P127" s="244"/>
      <c r="Q127" s="244"/>
    </row>
    <row r="128" spans="1:17" x14ac:dyDescent="0.2">
      <c r="A128" s="306" t="s">
        <v>725</v>
      </c>
      <c r="B128" s="236"/>
      <c r="C128" s="237"/>
      <c r="D128" s="237"/>
      <c r="E128" s="304"/>
      <c r="F128" s="304"/>
      <c r="G128" s="304"/>
      <c r="I128" s="305"/>
      <c r="J128" s="305"/>
      <c r="L128" s="243"/>
      <c r="M128" s="243"/>
      <c r="N128" s="243"/>
      <c r="P128" s="244"/>
      <c r="Q128" s="244"/>
    </row>
    <row r="129" spans="1:17" x14ac:dyDescent="0.2">
      <c r="A129" s="235" t="s">
        <v>266</v>
      </c>
      <c r="C129" s="237"/>
      <c r="D129" s="237"/>
      <c r="E129" s="304">
        <f>E10+E21+E23+E25+E27+E31+E34+E38+E43+E48+E49+E54+E56+E57+E61+E65+E68+E70+E71+E76+E77+E82+E98+E111+E118+E121</f>
        <v>268921</v>
      </c>
      <c r="F129" s="304">
        <f>F10+F21+F23+F25+F27+F31+F34+F38+F43+F48+F49+F54+F56+F57+F61+F65+F68+F70+F71+F76+F77+F82+F98+F111+F118+F121</f>
        <v>240768</v>
      </c>
      <c r="G129" s="304">
        <f>G10+G21+G23+G25+G27+G31+G34+G38+G43+G48+G49+G54+G56+G57+G61+G65+G68+G70+G71+G76+G77+G82+G98+G111+G118+G121</f>
        <v>28153</v>
      </c>
      <c r="I129" s="305">
        <f>F129/E129</f>
        <v>0.89531126241535619</v>
      </c>
      <c r="J129" s="305">
        <f>G129/E129</f>
        <v>0.10468873758464382</v>
      </c>
      <c r="L129" s="243">
        <f>L10+L21+L23+L25+L27+L31+L34+L38+L43+L48+L49+L54+L56+L57+L61+L65+L68+L70+L71+L76+L77+L82+L98+L111+L118+L121</f>
        <v>107151</v>
      </c>
      <c r="M129" s="243">
        <f>M10+M21+M23+M25+M27+M31+M34+M38+M43+M48+M49+M54+M56+M57+M61+M65+M68+M70+M71+M76+M77+M82+M98+M111+M118+M121</f>
        <v>96952</v>
      </c>
      <c r="N129" s="243">
        <f>N10+N21+N23+N25+N27+N31+N34+N38+N43+N48+N49+N54+N56+N57+N61+N65+N68+N70+N71+N76+N77+N82+N98+N111+N118+N121</f>
        <v>10199</v>
      </c>
      <c r="P129" s="244">
        <f>M129/L129</f>
        <v>0.90481656727422044</v>
      </c>
      <c r="Q129" s="244">
        <f>N129/L129</f>
        <v>9.5183432725779504E-2</v>
      </c>
    </row>
    <row r="130" spans="1:17" x14ac:dyDescent="0.2">
      <c r="A130" s="235" t="s">
        <v>264</v>
      </c>
      <c r="C130" s="237"/>
      <c r="D130" s="237"/>
      <c r="E130" s="304">
        <f>E7+E19+E33+E42+E46+E52+E53+E63+E69+E78+E90+E93+E94+E124+E101+E105+E107+E110+E115+E116+E119+E123+E125</f>
        <v>363407</v>
      </c>
      <c r="F130" s="304">
        <f>F7+F19+F33+F42+F46+F52+F53+F63+F69+F78+F90+F93+F94+F124+F101+F105+F107+F110+F115+F116+F119+F123+F125</f>
        <v>327286</v>
      </c>
      <c r="G130" s="304">
        <f>G7+G19+G33+G42+G46+G52+G53+G63+G69+G78+G90+G93+G94+G124+G101+G105+G107+G110+G115+G116+G119+G123+G125</f>
        <v>36121</v>
      </c>
      <c r="I130" s="305">
        <f>F130/E130</f>
        <v>0.90060455632390135</v>
      </c>
      <c r="J130" s="305">
        <f>G130/E130</f>
        <v>9.9395443676098705E-2</v>
      </c>
      <c r="L130" s="243">
        <f>L7+L19+L33+L42+L46+L52+L53+L63+L69+L78+L90+L93+L94+L124+L101+L105+L107+L110+L115+L116+L119+L123+L125</f>
        <v>144986</v>
      </c>
      <c r="M130" s="243">
        <f>M7+M19+M33+M42+M46+M52+M53+M63+M69+M78+M90+M93+M94+M124+M101+M105+M107+M110+M115+M116+M119+M123+M125</f>
        <v>131552</v>
      </c>
      <c r="N130" s="243">
        <f>N7+N19+N33+N42+N46+N52+N53+N63+N69+N78+N90+N93+N94+N124+N101+N105+N107+N110+N115+N116+N119+N123+N125</f>
        <v>13434</v>
      </c>
      <c r="P130" s="244">
        <f>M130/L130</f>
        <v>0.90734277792338569</v>
      </c>
      <c r="Q130" s="244">
        <f>N130/L130</f>
        <v>9.2657222076614296E-2</v>
      </c>
    </row>
    <row r="131" spans="1:17" x14ac:dyDescent="0.2">
      <c r="A131" s="235" t="s">
        <v>267</v>
      </c>
      <c r="C131" s="237"/>
      <c r="D131" s="237"/>
      <c r="E131" s="304">
        <f>E13+E28+E30+E35+E36+E40+E45+E55+E59+E60+E62+E72+E73+E79+E81+E85+E88+E91+E92+E96+E102+E108+E113+E114+E126</f>
        <v>671538</v>
      </c>
      <c r="F131" s="304">
        <f>F13+F28+F30+F35+F36+F40+F45+F55+F59+F60+F62+F72+F73+F79+F81+F85+F88+F91+F92+F96+F102+F108+F113+F114+F126</f>
        <v>618061</v>
      </c>
      <c r="G131" s="304">
        <f>G13+G28+G30+G35+G36+G40+G45+G55+G59+G60+G62+G72+G73+G79+G81+G85+G88+G91+G92+G96+G102+G108+G113+G114+G126</f>
        <v>53477</v>
      </c>
      <c r="I131" s="305">
        <f>F131/E131</f>
        <v>0.92036638284058381</v>
      </c>
      <c r="J131" s="305">
        <f>G131/E131</f>
        <v>7.9633617159416151E-2</v>
      </c>
      <c r="L131" s="243">
        <f>L13+L28+L30+L35+L36+L40+L45+L55+L59+L60+L62+L72+L73+L79+L81+L85+L88+L91+L92+L96+L102+L108+L113+L114+L126</f>
        <v>313980</v>
      </c>
      <c r="M131" s="243">
        <f>M13+M28+M30+M35+M36+M40+M45+M55+M59+M60+M62+M72+M73+M79+M81+M85+M88+M91+M92+M96+M102+M108+M113+M114+M126</f>
        <v>297413</v>
      </c>
      <c r="N131" s="243">
        <f>N13+N28+N30+N35+N36+N40+N45+N55+N59+N60+N62+N72+N73+N79+N81+N85+N88+N91+N92+N96+N102+N108+N113+N114+N126</f>
        <v>16567</v>
      </c>
      <c r="P131" s="244">
        <f>M131/L131</f>
        <v>0.94723549270654184</v>
      </c>
      <c r="Q131" s="244">
        <f>N131/L131</f>
        <v>5.2764507293458184E-2</v>
      </c>
    </row>
    <row r="132" spans="1:17" x14ac:dyDescent="0.2">
      <c r="A132" s="235" t="s">
        <v>265</v>
      </c>
      <c r="C132" s="237"/>
      <c r="D132" s="237"/>
      <c r="E132" s="304">
        <f>E8+E9+E11+E12+E14+E15+E16+E18+E22+E26+E29+E39+E47+E50+E51+E64+E67+E75+E83+E84+E104+E106+E112+E122</f>
        <v>250573</v>
      </c>
      <c r="F132" s="304">
        <f>F8+F9+F11+F12+F14+F15+F16+F18+F22+F26+F29+F39+F47+F50+F51+F64+F67+F75+F83+F84+F104+F106+F112+F122</f>
        <v>226498</v>
      </c>
      <c r="G132" s="304">
        <f>G8+G9+G11+G12+G14+G15+G16+G18+G22+G26+G29+G39+G47+G50+G51+G64+G67+G75+G83+G84+G104+G106+G112+G122</f>
        <v>24075</v>
      </c>
      <c r="I132" s="305">
        <f>F132/E132</f>
        <v>0.90392021486752361</v>
      </c>
      <c r="J132" s="305">
        <f>G132/E132</f>
        <v>9.6079785132476364E-2</v>
      </c>
      <c r="L132" s="243">
        <f>L8+L9+L11+L12+L14+L15+L16+L18+L22+L26+L29+L39+L47+L50+L51+L64+L67+L75+L83+L84+L104+L106+L112+L122</f>
        <v>87063</v>
      </c>
      <c r="M132" s="243">
        <f>M8+M9+M11+M12+M14+M15+M16+M18+M22+M26+M29+M39+M47+M50+M51+M64+M67+M75+M83+M84+M104+M106+M112+M122</f>
        <v>78016</v>
      </c>
      <c r="N132" s="243">
        <f>N8+N9+N11+N12+N14+N15+N16+N18+N22+N26+N29+N39+N47+N50+N51+N64+N67+N75+N83+N84+N104+N106+N112+N122</f>
        <v>9047</v>
      </c>
      <c r="P132" s="244">
        <f>M132/L132</f>
        <v>0.89608674178468462</v>
      </c>
      <c r="Q132" s="244">
        <f>N132/L132</f>
        <v>0.10391325821531534</v>
      </c>
    </row>
    <row r="133" spans="1:17" x14ac:dyDescent="0.2">
      <c r="A133" s="235" t="s">
        <v>268</v>
      </c>
      <c r="C133" s="237"/>
      <c r="D133" s="237"/>
      <c r="E133" s="304">
        <f>E17+E20+E24+E32+E37+E41+E44+E58+E66+E74+E80+E86+E87+E89+E95+E97+E99+E100+E103+E109+E117+E120</f>
        <v>133729</v>
      </c>
      <c r="F133" s="304">
        <f>F17+F20+F24+F32+F37+F41+F44+F58+F66+F74+F80+F86+F87+F89+F95+F97+F99+F100+F103+F109+F117+F120</f>
        <v>122231</v>
      </c>
      <c r="G133" s="304">
        <f>G17+G20+G24+G32+G37+G41+G44+G58+G66+G74+G80+G86+G87+G89+G95+G97+G99+G100+G103+G109+G117+G120</f>
        <v>11498</v>
      </c>
      <c r="I133" s="305">
        <f>F133/E133</f>
        <v>0.91402014521906239</v>
      </c>
      <c r="J133" s="305">
        <f>G133/E133</f>
        <v>8.5979854780937573E-2</v>
      </c>
      <c r="L133" s="243">
        <f>L17+L20+L24+L32+L37+L41+L44+L58+L66+L74+L80+L86+L87+L89+L95+L97+L99+L100+L103+L109+L117+L120</f>
        <v>44993</v>
      </c>
      <c r="M133" s="243">
        <f>M17+M20+M24+M32+M37+M41+M44+M58+M66+M74+M80+M86+M87+M89+M95+M97+M99+M100+M103+M109+M117+M120</f>
        <v>40677</v>
      </c>
      <c r="N133" s="243">
        <f>N17+N20+N24+N32+N37+N41+N44+N58+N66+N74+N80+N86+N87+N89+N95+N97+N99+N100+N103+N109+N117+N120</f>
        <v>4316</v>
      </c>
      <c r="P133" s="244">
        <f>M133/L133</f>
        <v>0.90407396706154286</v>
      </c>
      <c r="Q133" s="244">
        <f>N133/L133</f>
        <v>9.5926032938457098E-2</v>
      </c>
    </row>
    <row r="134" spans="1:17" x14ac:dyDescent="0.2">
      <c r="A134" s="235"/>
      <c r="B134" s="236"/>
      <c r="C134" s="237"/>
      <c r="D134" s="237"/>
      <c r="E134" s="304"/>
      <c r="F134" s="304"/>
      <c r="G134" s="304"/>
      <c r="I134" s="305"/>
      <c r="J134" s="305"/>
      <c r="L134" s="243"/>
      <c r="M134" s="243"/>
      <c r="N134" s="243"/>
      <c r="P134" s="244"/>
      <c r="Q134" s="244"/>
    </row>
    <row r="135" spans="1:17" x14ac:dyDescent="0.2">
      <c r="A135" s="253" t="s">
        <v>647</v>
      </c>
      <c r="B135" s="254"/>
      <c r="C135" s="254"/>
      <c r="D135" s="254"/>
      <c r="E135" s="222"/>
      <c r="F135" s="222"/>
      <c r="G135" s="222"/>
      <c r="H135" s="222"/>
    </row>
    <row r="136" spans="1:17" x14ac:dyDescent="0.2">
      <c r="A136" s="254"/>
      <c r="B136" s="254"/>
      <c r="C136" s="254"/>
      <c r="D136" s="254"/>
      <c r="E136" s="222"/>
      <c r="F136" s="222"/>
      <c r="G136" s="222"/>
      <c r="H136" s="222"/>
    </row>
    <row r="137" spans="1:17" x14ac:dyDescent="0.2">
      <c r="A137" s="222" t="s">
        <v>248</v>
      </c>
      <c r="B137" s="255"/>
      <c r="C137" s="255"/>
      <c r="D137" s="255"/>
      <c r="E137" s="222"/>
      <c r="F137" s="222"/>
      <c r="G137" s="222"/>
      <c r="H137" s="222"/>
    </row>
    <row r="138" spans="1:17" x14ac:dyDescent="0.2">
      <c r="A138" s="222" t="s">
        <v>249</v>
      </c>
      <c r="B138" s="170" t="s">
        <v>250</v>
      </c>
      <c r="C138" s="256"/>
      <c r="D138" s="256"/>
      <c r="E138" s="222"/>
      <c r="F138" s="222"/>
      <c r="G138" s="222"/>
      <c r="H138" s="222"/>
    </row>
  </sheetData>
  <mergeCells count="4">
    <mergeCell ref="E4:G4"/>
    <mergeCell ref="I4:J4"/>
    <mergeCell ref="L4:N4"/>
    <mergeCell ref="P4:Q4"/>
  </mergeCells>
  <hyperlinks>
    <hyperlink ref="B138" r:id="rId1"/>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4" topLeftCell="A5" activePane="bottomLeft" state="frozen"/>
      <selection pane="bottomLeft" activeCell="B15" sqref="B15"/>
    </sheetView>
  </sheetViews>
  <sheetFormatPr defaultRowHeight="15.75" x14ac:dyDescent="0.25"/>
  <cols>
    <col min="1" max="1" width="9.125" style="850" customWidth="1"/>
    <col min="2" max="2" width="29.75" style="850" customWidth="1"/>
    <col min="3" max="3" width="12.5" style="850" customWidth="1"/>
    <col min="4" max="10" width="5.875" style="850" customWidth="1"/>
    <col min="11" max="16384" width="9" style="850"/>
  </cols>
  <sheetData>
    <row r="1" spans="1:10" x14ac:dyDescent="0.25">
      <c r="A1" s="867" t="s">
        <v>288</v>
      </c>
      <c r="B1" s="868"/>
      <c r="C1" s="868"/>
      <c r="D1" s="868"/>
      <c r="E1" s="868"/>
      <c r="F1" s="868"/>
      <c r="G1" s="868"/>
      <c r="H1" s="868"/>
      <c r="I1" s="868"/>
      <c r="J1" s="868"/>
    </row>
    <row r="2" spans="1:10" x14ac:dyDescent="0.25">
      <c r="A2" s="865"/>
      <c r="B2" s="866"/>
      <c r="C2" s="866"/>
      <c r="D2" s="866"/>
      <c r="E2" s="866"/>
      <c r="F2" s="866"/>
      <c r="G2" s="866"/>
      <c r="H2" s="866"/>
      <c r="I2" s="866"/>
      <c r="J2" s="866"/>
    </row>
    <row r="3" spans="1:10" s="852" customFormat="1" ht="18" x14ac:dyDescent="0.25">
      <c r="A3" s="861" t="s">
        <v>4</v>
      </c>
      <c r="B3" s="864" t="s">
        <v>5</v>
      </c>
      <c r="C3" s="861" t="s">
        <v>251</v>
      </c>
      <c r="D3" s="862" t="s">
        <v>274</v>
      </c>
      <c r="E3" s="862" t="s">
        <v>275</v>
      </c>
      <c r="F3" s="862" t="s">
        <v>276</v>
      </c>
      <c r="G3" s="862" t="s">
        <v>277</v>
      </c>
      <c r="H3" s="862" t="s">
        <v>278</v>
      </c>
      <c r="I3" s="862" t="s">
        <v>279</v>
      </c>
      <c r="J3" s="862" t="s">
        <v>806</v>
      </c>
    </row>
    <row r="4" spans="1:10" s="852" customFormat="1" x14ac:dyDescent="0.25">
      <c r="A4" s="870">
        <v>999</v>
      </c>
      <c r="B4" s="869" t="s">
        <v>9</v>
      </c>
      <c r="C4" s="870"/>
      <c r="D4" s="871">
        <v>0.46586525895923542</v>
      </c>
      <c r="E4" s="871">
        <v>0.51433899357406598</v>
      </c>
      <c r="F4" s="871">
        <v>0.52770533252457774</v>
      </c>
      <c r="G4" s="871">
        <v>0.48474833730191313</v>
      </c>
      <c r="H4" s="871">
        <v>0.54354690633463587</v>
      </c>
      <c r="I4" s="871">
        <v>0.65914620694302894</v>
      </c>
      <c r="J4" s="871">
        <v>0.74632806565018006</v>
      </c>
    </row>
    <row r="5" spans="1:10" ht="16.5" customHeight="1" x14ac:dyDescent="0.25">
      <c r="A5" s="872" t="s">
        <v>10</v>
      </c>
      <c r="B5" s="873" t="s">
        <v>11</v>
      </c>
      <c r="C5" s="873" t="s">
        <v>264</v>
      </c>
      <c r="D5" s="874">
        <v>0.45034688609228785</v>
      </c>
      <c r="E5" s="874">
        <v>0.41541191654119164</v>
      </c>
      <c r="F5" s="874">
        <v>0.49280769390208512</v>
      </c>
      <c r="G5" s="874">
        <v>0.44929031790861035</v>
      </c>
      <c r="H5" s="874">
        <v>0.41868038512365491</v>
      </c>
      <c r="I5" s="874">
        <v>0.48250582090491473</v>
      </c>
      <c r="J5" s="874">
        <v>0.54831036435718328</v>
      </c>
    </row>
    <row r="6" spans="1:10" ht="16.5" customHeight="1" x14ac:dyDescent="0.25">
      <c r="A6" s="872" t="s">
        <v>12</v>
      </c>
      <c r="B6" s="873" t="s">
        <v>13</v>
      </c>
      <c r="C6" s="873" t="s">
        <v>265</v>
      </c>
      <c r="D6" s="874">
        <v>0.28974198918019145</v>
      </c>
      <c r="E6" s="874">
        <v>0.36215757106609897</v>
      </c>
      <c r="F6" s="874">
        <v>0.36683244379750929</v>
      </c>
      <c r="G6" s="874">
        <v>0.29816299888101455</v>
      </c>
      <c r="H6" s="874">
        <v>0.4403373425667193</v>
      </c>
      <c r="I6" s="874">
        <v>0.5727736605515733</v>
      </c>
      <c r="J6" s="874">
        <v>0.66737941926861866</v>
      </c>
    </row>
    <row r="7" spans="1:10" ht="16.5" customHeight="1" x14ac:dyDescent="0.25">
      <c r="A7" s="872" t="s">
        <v>16</v>
      </c>
      <c r="B7" s="873" t="s">
        <v>289</v>
      </c>
      <c r="C7" s="873" t="s">
        <v>265</v>
      </c>
      <c r="D7" s="874">
        <v>0.62072503419972636</v>
      </c>
      <c r="E7" s="874">
        <v>0.66097366694780246</v>
      </c>
      <c r="F7" s="874">
        <v>0.63330286410725167</v>
      </c>
      <c r="G7" s="874">
        <v>0.62403965303593556</v>
      </c>
      <c r="H7" s="874">
        <v>0.79528931381336521</v>
      </c>
      <c r="I7" s="874">
        <v>0.75589098532494758</v>
      </c>
      <c r="J7" s="874">
        <v>0.8105157232704403</v>
      </c>
    </row>
    <row r="8" spans="1:10" ht="16.5" customHeight="1" x14ac:dyDescent="0.25">
      <c r="A8" s="872" t="s">
        <v>18</v>
      </c>
      <c r="B8" s="873" t="s">
        <v>19</v>
      </c>
      <c r="C8" s="873" t="s">
        <v>266</v>
      </c>
      <c r="D8" s="874">
        <v>0.54383460236886638</v>
      </c>
      <c r="E8" s="874">
        <v>0.64199873497786208</v>
      </c>
      <c r="F8" s="874">
        <v>0.69769330734243018</v>
      </c>
      <c r="G8" s="874">
        <v>0.62956827309236951</v>
      </c>
      <c r="H8" s="874">
        <v>0.72102102102102106</v>
      </c>
      <c r="I8" s="874">
        <v>1.0326826826826827</v>
      </c>
      <c r="J8" s="874">
        <v>1.1711711711711712</v>
      </c>
    </row>
    <row r="9" spans="1:10" ht="16.5" customHeight="1" x14ac:dyDescent="0.25">
      <c r="A9" s="872" t="s">
        <v>20</v>
      </c>
      <c r="B9" s="873" t="s">
        <v>21</v>
      </c>
      <c r="C9" s="873" t="s">
        <v>265</v>
      </c>
      <c r="D9" s="874">
        <v>0.53661899897854959</v>
      </c>
      <c r="E9" s="874">
        <v>0.59540025146689024</v>
      </c>
      <c r="F9" s="874">
        <v>0.56495648034815726</v>
      </c>
      <c r="G9" s="874">
        <v>0.49520328212721326</v>
      </c>
      <c r="H9" s="874">
        <v>0.51880858023526455</v>
      </c>
      <c r="I9" s="874">
        <v>0.64603384286343335</v>
      </c>
      <c r="J9" s="874">
        <v>0.73221362521230415</v>
      </c>
    </row>
    <row r="10" spans="1:10" ht="16.5" customHeight="1" x14ac:dyDescent="0.25">
      <c r="A10" s="872" t="s">
        <v>22</v>
      </c>
      <c r="B10" s="873" t="s">
        <v>23</v>
      </c>
      <c r="C10" s="873" t="s">
        <v>265</v>
      </c>
      <c r="D10" s="874">
        <v>0.61866638200967838</v>
      </c>
      <c r="E10" s="874">
        <v>0.68785181804351136</v>
      </c>
      <c r="F10" s="874">
        <v>0.62509960159362554</v>
      </c>
      <c r="G10" s="874">
        <v>0.62384844946152851</v>
      </c>
      <c r="H10" s="874">
        <v>0.69308385579937304</v>
      </c>
      <c r="I10" s="874">
        <v>0.80005877742946707</v>
      </c>
      <c r="J10" s="874">
        <v>0.9050156739811912</v>
      </c>
    </row>
    <row r="11" spans="1:10" ht="16.5" customHeight="1" x14ac:dyDescent="0.25">
      <c r="A11" s="872" t="s">
        <v>24</v>
      </c>
      <c r="B11" s="873" t="s">
        <v>25</v>
      </c>
      <c r="C11" s="873" t="s">
        <v>267</v>
      </c>
      <c r="D11" s="874">
        <v>0.20834828216561599</v>
      </c>
      <c r="E11" s="874">
        <v>0.20396186766439445</v>
      </c>
      <c r="F11" s="874">
        <v>0.20425436229537686</v>
      </c>
      <c r="G11" s="874">
        <v>0.19807410157147656</v>
      </c>
      <c r="H11" s="874">
        <v>0.21975252874174062</v>
      </c>
      <c r="I11" s="874">
        <v>0.27225824166090945</v>
      </c>
      <c r="J11" s="874">
        <v>0.31860551628846256</v>
      </c>
    </row>
    <row r="12" spans="1:10" ht="16.5" customHeight="1" x14ac:dyDescent="0.25">
      <c r="A12" s="872" t="s">
        <v>26</v>
      </c>
      <c r="B12" s="875" t="s">
        <v>686</v>
      </c>
      <c r="C12" s="873" t="s">
        <v>265</v>
      </c>
      <c r="D12" s="874">
        <v>0.47039166039371338</v>
      </c>
      <c r="E12" s="874">
        <v>0.52842846727345427</v>
      </c>
      <c r="F12" s="874">
        <v>0.51882973369220331</v>
      </c>
      <c r="G12" s="874">
        <v>0.50106524898950677</v>
      </c>
      <c r="H12" s="874">
        <v>0.67554376786319814</v>
      </c>
      <c r="I12" s="874">
        <v>0.74325394311775517</v>
      </c>
      <c r="J12" s="874">
        <v>0.83376195603977954</v>
      </c>
    </row>
    <row r="13" spans="1:10" ht="16.5" customHeight="1" x14ac:dyDescent="0.25">
      <c r="A13" s="872" t="s">
        <v>27</v>
      </c>
      <c r="B13" s="873" t="s">
        <v>28</v>
      </c>
      <c r="C13" s="873" t="s">
        <v>265</v>
      </c>
      <c r="D13" s="874">
        <v>0.30604288499025339</v>
      </c>
      <c r="E13" s="874">
        <v>0.31868898186889821</v>
      </c>
      <c r="F13" s="874">
        <v>0.33193407960199006</v>
      </c>
      <c r="G13" s="874">
        <v>0.35159010600706714</v>
      </c>
      <c r="H13" s="874">
        <v>0.45288624787775894</v>
      </c>
      <c r="I13" s="874">
        <v>0.55333899264289754</v>
      </c>
      <c r="J13" s="874">
        <v>0.59932088285229201</v>
      </c>
    </row>
    <row r="14" spans="1:10" ht="16.5" customHeight="1" x14ac:dyDescent="0.25">
      <c r="A14" s="872" t="s">
        <v>29</v>
      </c>
      <c r="B14" s="873" t="s">
        <v>941</v>
      </c>
      <c r="C14" s="873" t="s">
        <v>265</v>
      </c>
      <c r="D14" s="874">
        <v>0.41019570707070707</v>
      </c>
      <c r="E14" s="874">
        <v>0.46042944785276074</v>
      </c>
      <c r="F14" s="874">
        <v>0.48036295766817566</v>
      </c>
      <c r="G14" s="874">
        <v>0.41342153436511897</v>
      </c>
      <c r="H14" s="874">
        <v>0.55485123452817642</v>
      </c>
      <c r="I14" s="874">
        <v>0.64231493468282919</v>
      </c>
      <c r="J14" s="874">
        <v>0.74007296692950453</v>
      </c>
    </row>
    <row r="15" spans="1:10" ht="16.5" customHeight="1" x14ac:dyDescent="0.25">
      <c r="A15" s="872" t="s">
        <v>30</v>
      </c>
      <c r="B15" s="873" t="s">
        <v>31</v>
      </c>
      <c r="C15" s="873" t="s">
        <v>268</v>
      </c>
      <c r="D15" s="874">
        <v>0.41518136335209505</v>
      </c>
      <c r="E15" s="874">
        <v>0.39920919128618321</v>
      </c>
      <c r="F15" s="874">
        <v>0.46311600857055402</v>
      </c>
      <c r="G15" s="874">
        <v>0.4013104013104013</v>
      </c>
      <c r="H15" s="874">
        <v>0.39938370846730975</v>
      </c>
      <c r="I15" s="874">
        <v>0.41579581993569131</v>
      </c>
      <c r="J15" s="874">
        <v>0.47877813504823152</v>
      </c>
    </row>
    <row r="16" spans="1:10" ht="16.5" customHeight="1" x14ac:dyDescent="0.25">
      <c r="A16" s="872" t="s">
        <v>32</v>
      </c>
      <c r="B16" s="873" t="s">
        <v>33</v>
      </c>
      <c r="C16" s="873" t="s">
        <v>265</v>
      </c>
      <c r="D16" s="874">
        <v>0.29975908080059305</v>
      </c>
      <c r="E16" s="874">
        <v>0.32346189164370981</v>
      </c>
      <c r="F16" s="874">
        <v>0.31836191218498311</v>
      </c>
      <c r="G16" s="874">
        <v>0.31581740976645434</v>
      </c>
      <c r="H16" s="874">
        <v>0.34562989752863171</v>
      </c>
      <c r="I16" s="874">
        <v>0.47510548523206753</v>
      </c>
      <c r="J16" s="874">
        <v>0.56810126582278486</v>
      </c>
    </row>
    <row r="17" spans="1:10" ht="16.5" customHeight="1" x14ac:dyDescent="0.25">
      <c r="A17" s="872" t="s">
        <v>36</v>
      </c>
      <c r="B17" s="873" t="s">
        <v>37</v>
      </c>
      <c r="C17" s="873" t="s">
        <v>264</v>
      </c>
      <c r="D17" s="874">
        <v>0.62984946236559136</v>
      </c>
      <c r="E17" s="874">
        <v>0.64689051586299751</v>
      </c>
      <c r="F17" s="874">
        <v>0.70859442993907751</v>
      </c>
      <c r="G17" s="874">
        <v>0.61184065327742221</v>
      </c>
      <c r="H17" s="874">
        <v>0.66252915068080942</v>
      </c>
      <c r="I17" s="874">
        <v>0.75161739261265326</v>
      </c>
      <c r="J17" s="874">
        <v>0.81313473256601221</v>
      </c>
    </row>
    <row r="18" spans="1:10" ht="16.5" customHeight="1" x14ac:dyDescent="0.25">
      <c r="A18" s="872" t="s">
        <v>38</v>
      </c>
      <c r="B18" s="873" t="s">
        <v>39</v>
      </c>
      <c r="C18" s="873" t="s">
        <v>268</v>
      </c>
      <c r="D18" s="874">
        <v>0.63551368896415472</v>
      </c>
      <c r="E18" s="874">
        <v>0.54313809059912321</v>
      </c>
      <c r="F18" s="874">
        <v>0.60614453325854256</v>
      </c>
      <c r="G18" s="874">
        <v>0.59252760621373757</v>
      </c>
      <c r="H18" s="874">
        <v>0.60020406226271827</v>
      </c>
      <c r="I18" s="874">
        <v>0.63570140470766889</v>
      </c>
      <c r="J18" s="874">
        <v>0.66289863325740317</v>
      </c>
    </row>
    <row r="19" spans="1:10" ht="16.5" customHeight="1" x14ac:dyDescent="0.25">
      <c r="A19" s="872" t="s">
        <v>40</v>
      </c>
      <c r="B19" s="873" t="s">
        <v>41</v>
      </c>
      <c r="C19" s="873" t="s">
        <v>266</v>
      </c>
      <c r="D19" s="874">
        <v>0.54798572406375279</v>
      </c>
      <c r="E19" s="874">
        <v>0.51311605723370435</v>
      </c>
      <c r="F19" s="874">
        <v>0.6006150249059673</v>
      </c>
      <c r="G19" s="874">
        <v>0.53811708169506334</v>
      </c>
      <c r="H19" s="874">
        <v>0.60386139526310945</v>
      </c>
      <c r="I19" s="874">
        <v>0.75218873836512767</v>
      </c>
      <c r="J19" s="874">
        <v>0.84672380425767213</v>
      </c>
    </row>
    <row r="20" spans="1:10" ht="16.5" customHeight="1" x14ac:dyDescent="0.25">
      <c r="A20" s="872" t="s">
        <v>42</v>
      </c>
      <c r="B20" s="873" t="s">
        <v>43</v>
      </c>
      <c r="C20" s="873" t="s">
        <v>265</v>
      </c>
      <c r="D20" s="874">
        <v>0.54</v>
      </c>
      <c r="E20" s="874">
        <v>0.61437543767507008</v>
      </c>
      <c r="F20" s="874">
        <v>0.57307846678707608</v>
      </c>
      <c r="G20" s="874">
        <v>0.55848873126644549</v>
      </c>
      <c r="H20" s="874">
        <v>0.58974802181762309</v>
      </c>
      <c r="I20" s="874">
        <v>0.72430283475455171</v>
      </c>
      <c r="J20" s="874">
        <v>0.81011753860336488</v>
      </c>
    </row>
    <row r="21" spans="1:10" ht="16.5" customHeight="1" x14ac:dyDescent="0.25">
      <c r="A21" s="872" t="s">
        <v>44</v>
      </c>
      <c r="B21" s="873" t="s">
        <v>45</v>
      </c>
      <c r="C21" s="873" t="s">
        <v>266</v>
      </c>
      <c r="D21" s="874">
        <v>0.6696306094454243</v>
      </c>
      <c r="E21" s="874">
        <v>0.73873735825927056</v>
      </c>
      <c r="F21" s="874">
        <v>0.74314377898769912</v>
      </c>
      <c r="G21" s="874">
        <v>0.76818438116718357</v>
      </c>
      <c r="H21" s="874">
        <v>0.90231884057971012</v>
      </c>
      <c r="I21" s="874">
        <v>1.1741062801932367</v>
      </c>
      <c r="J21" s="874">
        <v>1.2823188405797101</v>
      </c>
    </row>
    <row r="22" spans="1:10" ht="16.5" customHeight="1" x14ac:dyDescent="0.25">
      <c r="A22" s="872" t="s">
        <v>46</v>
      </c>
      <c r="B22" s="873" t="s">
        <v>47</v>
      </c>
      <c r="C22" s="873" t="s">
        <v>268</v>
      </c>
      <c r="D22" s="874">
        <v>0.57748118953780003</v>
      </c>
      <c r="E22" s="874">
        <v>0.5329052969502408</v>
      </c>
      <c r="F22" s="874">
        <v>0.63190779496511984</v>
      </c>
      <c r="G22" s="874">
        <v>0.63223894208846332</v>
      </c>
      <c r="H22" s="874">
        <v>0.64257060333761229</v>
      </c>
      <c r="I22" s="874">
        <v>0.75583012409071459</v>
      </c>
      <c r="J22" s="874">
        <v>0.83080872913992299</v>
      </c>
    </row>
    <row r="23" spans="1:10" ht="16.5" customHeight="1" x14ac:dyDescent="0.25">
      <c r="A23" s="872" t="s">
        <v>48</v>
      </c>
      <c r="B23" s="873" t="s">
        <v>269</v>
      </c>
      <c r="C23" s="873" t="s">
        <v>266</v>
      </c>
      <c r="D23" s="874">
        <v>0.49942301351796903</v>
      </c>
      <c r="E23" s="874">
        <v>0.52976774615636246</v>
      </c>
      <c r="F23" s="874">
        <v>0.57137004260898061</v>
      </c>
      <c r="G23" s="874">
        <v>0.56529680365296808</v>
      </c>
      <c r="H23" s="874">
        <v>0.61650120336943437</v>
      </c>
      <c r="I23" s="874">
        <v>0.76022864019253911</v>
      </c>
      <c r="J23" s="874">
        <v>0.85451263537906141</v>
      </c>
    </row>
    <row r="24" spans="1:10" ht="16.5" customHeight="1" x14ac:dyDescent="0.25">
      <c r="A24" s="872" t="s">
        <v>50</v>
      </c>
      <c r="B24" s="873" t="s">
        <v>51</v>
      </c>
      <c r="C24" s="873" t="s">
        <v>265</v>
      </c>
      <c r="D24" s="874">
        <v>0.53851461548111901</v>
      </c>
      <c r="E24" s="874">
        <v>0.546844894026975</v>
      </c>
      <c r="F24" s="874">
        <v>0.58021452722397104</v>
      </c>
      <c r="G24" s="874">
        <v>0.53463681278250819</v>
      </c>
      <c r="H24" s="874">
        <v>0.65291975091058629</v>
      </c>
      <c r="I24" s="874">
        <v>0.76362942074961815</v>
      </c>
      <c r="J24" s="874">
        <v>0.79689813182939728</v>
      </c>
    </row>
    <row r="25" spans="1:10" ht="16.5" customHeight="1" x14ac:dyDescent="0.25">
      <c r="A25" s="872" t="s">
        <v>56</v>
      </c>
      <c r="B25" s="873" t="s">
        <v>295</v>
      </c>
      <c r="C25" s="873" t="s">
        <v>266</v>
      </c>
      <c r="D25" s="874">
        <v>0.42259082341095616</v>
      </c>
      <c r="E25" s="874">
        <v>0.51769905743894185</v>
      </c>
      <c r="F25" s="874">
        <v>0.59980428423950449</v>
      </c>
      <c r="G25" s="874">
        <v>0.53899600648945467</v>
      </c>
      <c r="H25" s="874">
        <v>0.65745087280781966</v>
      </c>
      <c r="I25" s="874">
        <v>0.86218112161508387</v>
      </c>
      <c r="J25" s="874">
        <v>1.021684383948535</v>
      </c>
    </row>
    <row r="26" spans="1:10" ht="16.5" customHeight="1" x14ac:dyDescent="0.25">
      <c r="A26" s="872" t="s">
        <v>58</v>
      </c>
      <c r="B26" s="873" t="s">
        <v>59</v>
      </c>
      <c r="C26" s="873" t="s">
        <v>267</v>
      </c>
      <c r="D26" s="874">
        <v>0.26273623664749385</v>
      </c>
      <c r="E26" s="874">
        <v>0.26749311294765843</v>
      </c>
      <c r="F26" s="874">
        <v>0.31091814754981151</v>
      </c>
      <c r="G26" s="874">
        <v>0.32128125805620006</v>
      </c>
      <c r="H26" s="874">
        <v>0.32996859578286225</v>
      </c>
      <c r="I26" s="874">
        <v>0.44599596231493943</v>
      </c>
      <c r="J26" s="874">
        <v>0.50107671601615078</v>
      </c>
    </row>
    <row r="27" spans="1:10" ht="16.5" customHeight="1" x14ac:dyDescent="0.25">
      <c r="A27" s="872" t="s">
        <v>60</v>
      </c>
      <c r="B27" s="873" t="s">
        <v>61</v>
      </c>
      <c r="C27" s="873" t="s">
        <v>265</v>
      </c>
      <c r="D27" s="874">
        <v>0.419157947184853</v>
      </c>
      <c r="E27" s="874">
        <v>0.45292439372325249</v>
      </c>
      <c r="F27" s="874">
        <v>0.46559945504087191</v>
      </c>
      <c r="G27" s="874">
        <v>0.45931244560487378</v>
      </c>
      <c r="H27" s="874">
        <v>0.47545219638242892</v>
      </c>
      <c r="I27" s="874">
        <v>0.64804048234280798</v>
      </c>
      <c r="J27" s="874">
        <v>0.68682170542635657</v>
      </c>
    </row>
    <row r="28" spans="1:10" ht="16.5" customHeight="1" x14ac:dyDescent="0.25">
      <c r="A28" s="872" t="s">
        <v>62</v>
      </c>
      <c r="B28" s="873" t="s">
        <v>63</v>
      </c>
      <c r="C28" s="873" t="s">
        <v>267</v>
      </c>
      <c r="D28" s="874">
        <v>0.38213125406107862</v>
      </c>
      <c r="E28" s="874">
        <v>0.42691159508786214</v>
      </c>
      <c r="F28" s="874">
        <v>0.45232248823409044</v>
      </c>
      <c r="G28" s="874">
        <v>0.47933333333333333</v>
      </c>
      <c r="H28" s="874">
        <v>0.61356440312584204</v>
      </c>
      <c r="I28" s="874">
        <v>0.89283548908649957</v>
      </c>
      <c r="J28" s="874">
        <v>1.0588520614389652</v>
      </c>
    </row>
    <row r="29" spans="1:10" ht="16.5" customHeight="1" x14ac:dyDescent="0.25">
      <c r="A29" s="872" t="s">
        <v>64</v>
      </c>
      <c r="B29" s="873" t="s">
        <v>65</v>
      </c>
      <c r="C29" s="873" t="s">
        <v>266</v>
      </c>
      <c r="D29" s="874">
        <v>0.65049415992812221</v>
      </c>
      <c r="E29" s="874">
        <v>0.64267103714910068</v>
      </c>
      <c r="F29" s="874">
        <v>0.67856517935258098</v>
      </c>
      <c r="G29" s="874">
        <v>0.64125722543352603</v>
      </c>
      <c r="H29" s="874">
        <v>0.70461095100864557</v>
      </c>
      <c r="I29" s="874">
        <v>0.87307877041306436</v>
      </c>
      <c r="J29" s="874">
        <v>0.94380403458213258</v>
      </c>
    </row>
    <row r="30" spans="1:10" ht="16.5" customHeight="1" x14ac:dyDescent="0.25">
      <c r="A30" s="872" t="s">
        <v>68</v>
      </c>
      <c r="B30" s="873" t="s">
        <v>69</v>
      </c>
      <c r="C30" s="873" t="s">
        <v>268</v>
      </c>
      <c r="D30" s="874">
        <v>0.63736176935229072</v>
      </c>
      <c r="E30" s="874">
        <v>0.56630824372759858</v>
      </c>
      <c r="F30" s="874">
        <v>0.65258724428399517</v>
      </c>
      <c r="G30" s="874">
        <v>0.55255913539967372</v>
      </c>
      <c r="H30" s="874">
        <v>0.55871133305590237</v>
      </c>
      <c r="I30" s="874">
        <v>0.60682827021778329</v>
      </c>
      <c r="J30" s="874">
        <v>0.64565126924677485</v>
      </c>
    </row>
    <row r="31" spans="1:10" ht="16.5" customHeight="1" x14ac:dyDescent="0.25">
      <c r="A31" s="872" t="s">
        <v>70</v>
      </c>
      <c r="B31" s="873" t="s">
        <v>71</v>
      </c>
      <c r="C31" s="873" t="s">
        <v>264</v>
      </c>
      <c r="D31" s="874">
        <v>0.68108209304502476</v>
      </c>
      <c r="E31" s="874">
        <v>0.80683540466808124</v>
      </c>
      <c r="F31" s="874">
        <v>0.73746766568548749</v>
      </c>
      <c r="G31" s="874">
        <v>0.68707653701380178</v>
      </c>
      <c r="H31" s="874">
        <v>0.75497225778915922</v>
      </c>
      <c r="I31" s="874">
        <v>0.94291506615450282</v>
      </c>
      <c r="J31" s="874">
        <v>1.0813316261203585</v>
      </c>
    </row>
    <row r="32" spans="1:10" ht="16.5" customHeight="1" x14ac:dyDescent="0.25">
      <c r="A32" s="872" t="s">
        <v>72</v>
      </c>
      <c r="B32" s="873" t="s">
        <v>73</v>
      </c>
      <c r="C32" s="873" t="s">
        <v>266</v>
      </c>
      <c r="D32" s="874">
        <v>0.7468507751937985</v>
      </c>
      <c r="E32" s="874">
        <v>0.79479655712050079</v>
      </c>
      <c r="F32" s="874">
        <v>0.80371112383132992</v>
      </c>
      <c r="G32" s="874">
        <v>0.80954916577919778</v>
      </c>
      <c r="H32" s="874">
        <v>0.8646156497759393</v>
      </c>
      <c r="I32" s="874">
        <v>1.0512754222681835</v>
      </c>
      <c r="J32" s="874">
        <v>1.1600827300930714</v>
      </c>
    </row>
    <row r="33" spans="1:10" ht="16.5" customHeight="1" x14ac:dyDescent="0.25">
      <c r="A33" s="872" t="s">
        <v>74</v>
      </c>
      <c r="B33" s="873" t="s">
        <v>290</v>
      </c>
      <c r="C33" s="873" t="s">
        <v>267</v>
      </c>
      <c r="D33" s="874">
        <v>0.22789937768203655</v>
      </c>
      <c r="E33" s="874">
        <v>0.27073690798474659</v>
      </c>
      <c r="F33" s="874">
        <v>0.26392918528704024</v>
      </c>
      <c r="G33" s="874">
        <v>0.2674672735564918</v>
      </c>
      <c r="H33" s="874">
        <v>0.32990066014825237</v>
      </c>
      <c r="I33" s="874">
        <v>0.42057192157767492</v>
      </c>
      <c r="J33" s="874">
        <v>0.50337846606393566</v>
      </c>
    </row>
    <row r="34" spans="1:10" ht="16.5" customHeight="1" x14ac:dyDescent="0.25">
      <c r="A34" s="872" t="s">
        <v>76</v>
      </c>
      <c r="B34" s="873" t="s">
        <v>77</v>
      </c>
      <c r="C34" s="873" t="s">
        <v>267</v>
      </c>
      <c r="D34" s="874">
        <v>0.30197351907630521</v>
      </c>
      <c r="E34" s="874">
        <v>0.38968432919954904</v>
      </c>
      <c r="F34" s="874">
        <v>0.37904883407753914</v>
      </c>
      <c r="G34" s="874">
        <v>0.3783305642729678</v>
      </c>
      <c r="H34" s="874">
        <v>0.47087991345113595</v>
      </c>
      <c r="I34" s="874">
        <v>0.61717153504026923</v>
      </c>
      <c r="J34" s="874">
        <v>0.71381175622069959</v>
      </c>
    </row>
    <row r="35" spans="1:10" ht="16.5" customHeight="1" x14ac:dyDescent="0.25">
      <c r="A35" s="872" t="s">
        <v>78</v>
      </c>
      <c r="B35" s="873" t="s">
        <v>79</v>
      </c>
      <c r="C35" s="873" t="s">
        <v>268</v>
      </c>
      <c r="D35" s="874">
        <v>0.46488908476568236</v>
      </c>
      <c r="E35" s="874">
        <v>0.4847810734463277</v>
      </c>
      <c r="F35" s="874">
        <v>0.44654913728432111</v>
      </c>
      <c r="G35" s="874">
        <v>0.45091575091575092</v>
      </c>
      <c r="H35" s="874">
        <v>0.5319577601778519</v>
      </c>
      <c r="I35" s="874">
        <v>0.66805613450048629</v>
      </c>
      <c r="J35" s="874">
        <v>0.786494372655273</v>
      </c>
    </row>
    <row r="36" spans="1:10" ht="16.5" customHeight="1" x14ac:dyDescent="0.25">
      <c r="A36" s="872" t="s">
        <v>80</v>
      </c>
      <c r="B36" s="873" t="s">
        <v>81</v>
      </c>
      <c r="C36" s="873" t="s">
        <v>266</v>
      </c>
      <c r="D36" s="874">
        <v>0.31521220791607057</v>
      </c>
      <c r="E36" s="874">
        <v>0.28280324934600026</v>
      </c>
      <c r="F36" s="874">
        <v>0.34771181199752627</v>
      </c>
      <c r="G36" s="874">
        <v>0.32341024584535094</v>
      </c>
      <c r="H36" s="874">
        <v>0.3794756554307116</v>
      </c>
      <c r="I36" s="874">
        <v>0.54580524344569292</v>
      </c>
      <c r="J36" s="874">
        <v>0.65734831460674159</v>
      </c>
    </row>
    <row r="37" spans="1:10" ht="16.5" customHeight="1" x14ac:dyDescent="0.25">
      <c r="A37" s="872" t="s">
        <v>84</v>
      </c>
      <c r="B37" s="873" t="s">
        <v>85</v>
      </c>
      <c r="C37" s="873" t="s">
        <v>265</v>
      </c>
      <c r="D37" s="874">
        <v>0.54455090600964673</v>
      </c>
      <c r="E37" s="874">
        <v>0.66176184216931988</v>
      </c>
      <c r="F37" s="874">
        <v>0.66591475163306546</v>
      </c>
      <c r="G37" s="874">
        <v>0.61595736106073429</v>
      </c>
      <c r="H37" s="874">
        <v>0.65246797703180215</v>
      </c>
      <c r="I37" s="874">
        <v>0.7977123822143698</v>
      </c>
      <c r="J37" s="874">
        <v>0.86515017667844518</v>
      </c>
    </row>
    <row r="38" spans="1:10" ht="16.5" customHeight="1" x14ac:dyDescent="0.25">
      <c r="A38" s="872" t="s">
        <v>86</v>
      </c>
      <c r="B38" s="873" t="s">
        <v>87</v>
      </c>
      <c r="C38" s="873" t="s">
        <v>267</v>
      </c>
      <c r="D38" s="874">
        <v>0.34761946798493409</v>
      </c>
      <c r="E38" s="874">
        <v>0.38027426160337552</v>
      </c>
      <c r="F38" s="874">
        <v>0.36097152428810719</v>
      </c>
      <c r="G38" s="874">
        <v>0.40743167807387992</v>
      </c>
      <c r="H38" s="874">
        <v>0.50113402061855672</v>
      </c>
      <c r="I38" s="874">
        <v>0.7163802978235968</v>
      </c>
      <c r="J38" s="874">
        <v>0.85569759450171823</v>
      </c>
    </row>
    <row r="39" spans="1:10" ht="16.5" customHeight="1" x14ac:dyDescent="0.25">
      <c r="A39" s="872" t="s">
        <v>92</v>
      </c>
      <c r="B39" s="873" t="s">
        <v>93</v>
      </c>
      <c r="C39" s="873" t="s">
        <v>268</v>
      </c>
      <c r="D39" s="874">
        <v>0.55524605385329617</v>
      </c>
      <c r="E39" s="874">
        <v>0.56483516483516483</v>
      </c>
      <c r="F39" s="874">
        <v>0.59449869791666665</v>
      </c>
      <c r="G39" s="874">
        <v>0.58280367231638419</v>
      </c>
      <c r="H39" s="874">
        <v>0.60637454710144922</v>
      </c>
      <c r="I39" s="874">
        <v>0.72342051630434778</v>
      </c>
      <c r="J39" s="874">
        <v>0.81032608695652175</v>
      </c>
    </row>
    <row r="40" spans="1:10" ht="16.5" customHeight="1" x14ac:dyDescent="0.25">
      <c r="A40" s="872" t="s">
        <v>94</v>
      </c>
      <c r="B40" s="873" t="s">
        <v>95</v>
      </c>
      <c r="C40" s="873" t="s">
        <v>264</v>
      </c>
      <c r="D40" s="874">
        <v>0.38352983208288677</v>
      </c>
      <c r="E40" s="874">
        <v>0.46572688914461069</v>
      </c>
      <c r="F40" s="874">
        <v>0.42652073104200766</v>
      </c>
      <c r="G40" s="874">
        <v>0.47151120751988429</v>
      </c>
      <c r="H40" s="874">
        <v>0.51505477635894215</v>
      </c>
      <c r="I40" s="874">
        <v>0.70129439676226357</v>
      </c>
      <c r="J40" s="874">
        <v>0.82558090851999166</v>
      </c>
    </row>
    <row r="41" spans="1:10" ht="16.5" customHeight="1" x14ac:dyDescent="0.25">
      <c r="A41" s="872" t="s">
        <v>96</v>
      </c>
      <c r="B41" s="873" t="s">
        <v>97</v>
      </c>
      <c r="C41" s="873" t="s">
        <v>266</v>
      </c>
      <c r="D41" s="874">
        <v>0.34383202099737531</v>
      </c>
      <c r="E41" s="874">
        <v>0.39076075439711805</v>
      </c>
      <c r="F41" s="874">
        <v>0.35978169605373633</v>
      </c>
      <c r="G41" s="874">
        <v>0.25571165034766569</v>
      </c>
      <c r="H41" s="874">
        <v>0.44202472042377872</v>
      </c>
      <c r="I41" s="874">
        <v>0.59510496370413968</v>
      </c>
      <c r="J41" s="874">
        <v>0.69864626250735729</v>
      </c>
    </row>
    <row r="42" spans="1:10" ht="16.5" customHeight="1" x14ac:dyDescent="0.25">
      <c r="A42" s="872" t="s">
        <v>98</v>
      </c>
      <c r="B42" s="873" t="s">
        <v>99</v>
      </c>
      <c r="C42" s="873" t="s">
        <v>268</v>
      </c>
      <c r="D42" s="874">
        <v>0.55992171032821436</v>
      </c>
      <c r="E42" s="874">
        <v>0.54519616065604326</v>
      </c>
      <c r="F42" s="874">
        <v>0.59518960333624282</v>
      </c>
      <c r="G42" s="874">
        <v>0.51073216777476815</v>
      </c>
      <c r="H42" s="874">
        <v>0.57500436071864647</v>
      </c>
      <c r="I42" s="874">
        <v>0.64226844583987441</v>
      </c>
      <c r="J42" s="874">
        <v>0.69539508110936687</v>
      </c>
    </row>
    <row r="43" spans="1:10" ht="16.5" customHeight="1" x14ac:dyDescent="0.25">
      <c r="A43" s="872" t="s">
        <v>100</v>
      </c>
      <c r="B43" s="873" t="s">
        <v>101</v>
      </c>
      <c r="C43" s="873" t="s">
        <v>267</v>
      </c>
      <c r="D43" s="874">
        <v>0.49800762300762302</v>
      </c>
      <c r="E43" s="874">
        <v>0.5680686220254566</v>
      </c>
      <c r="F43" s="874">
        <v>0.56412024269167127</v>
      </c>
      <c r="G43" s="874">
        <v>0.52823147172462237</v>
      </c>
      <c r="H43" s="874">
        <v>0.61614025192705391</v>
      </c>
      <c r="I43" s="874">
        <v>0.8715454032712916</v>
      </c>
      <c r="J43" s="874">
        <v>1.0486181613085166</v>
      </c>
    </row>
    <row r="44" spans="1:10" ht="16.5" customHeight="1" x14ac:dyDescent="0.25">
      <c r="A44" s="872" t="s">
        <v>102</v>
      </c>
      <c r="B44" s="873" t="s">
        <v>103</v>
      </c>
      <c r="C44" s="873" t="s">
        <v>264</v>
      </c>
      <c r="D44" s="874">
        <v>0.54634988323687683</v>
      </c>
      <c r="E44" s="874">
        <v>0.60678147499513524</v>
      </c>
      <c r="F44" s="874">
        <v>0.66488756048961006</v>
      </c>
      <c r="G44" s="874">
        <v>0.63596157101743689</v>
      </c>
      <c r="H44" s="874">
        <v>0.77053073269700745</v>
      </c>
      <c r="I44" s="874">
        <v>0.73525714285714283</v>
      </c>
      <c r="J44" s="874">
        <v>0.81421714285714286</v>
      </c>
    </row>
    <row r="45" spans="1:10" ht="16.5" customHeight="1" x14ac:dyDescent="0.25">
      <c r="A45" s="872" t="s">
        <v>104</v>
      </c>
      <c r="B45" s="873" t="s">
        <v>105</v>
      </c>
      <c r="C45" s="873" t="s">
        <v>265</v>
      </c>
      <c r="D45" s="874">
        <v>0.55333744095296777</v>
      </c>
      <c r="E45" s="874">
        <v>0.65888139790864064</v>
      </c>
      <c r="F45" s="874">
        <v>0.57568685488767457</v>
      </c>
      <c r="G45" s="874">
        <v>0.5659284951974386</v>
      </c>
      <c r="H45" s="874">
        <v>0.60348223643789078</v>
      </c>
      <c r="I45" s="874">
        <v>0.68521630705844083</v>
      </c>
      <c r="J45" s="874">
        <v>0.727854277350103</v>
      </c>
    </row>
    <row r="46" spans="1:10" ht="16.5" customHeight="1" x14ac:dyDescent="0.25">
      <c r="A46" s="872" t="s">
        <v>108</v>
      </c>
      <c r="B46" s="873" t="s">
        <v>109</v>
      </c>
      <c r="C46" s="873" t="s">
        <v>266</v>
      </c>
      <c r="D46" s="874">
        <v>0.34209212778094694</v>
      </c>
      <c r="E46" s="874">
        <v>0.42799555184876287</v>
      </c>
      <c r="F46" s="874">
        <v>0.4947381530605891</v>
      </c>
      <c r="G46" s="874">
        <v>0.38194249320970308</v>
      </c>
      <c r="H46" s="874">
        <v>0.51615508885298866</v>
      </c>
      <c r="I46" s="874">
        <v>0.68275444264943452</v>
      </c>
      <c r="J46" s="874">
        <v>0.79987075928917606</v>
      </c>
    </row>
    <row r="47" spans="1:10" ht="16.5" customHeight="1" x14ac:dyDescent="0.25">
      <c r="A47" s="872" t="s">
        <v>110</v>
      </c>
      <c r="B47" s="873" t="s">
        <v>111</v>
      </c>
      <c r="C47" s="873" t="s">
        <v>266</v>
      </c>
      <c r="D47" s="874">
        <v>0.42148109528930017</v>
      </c>
      <c r="E47" s="874">
        <v>0.50962638200533739</v>
      </c>
      <c r="F47" s="874">
        <v>0.52768534391000865</v>
      </c>
      <c r="G47" s="874">
        <v>0.45286276972257106</v>
      </c>
      <c r="H47" s="874">
        <v>0.52185204272390129</v>
      </c>
      <c r="I47" s="874">
        <v>0.70806428795181942</v>
      </c>
      <c r="J47" s="874">
        <v>0.85082002000788193</v>
      </c>
    </row>
    <row r="48" spans="1:10" ht="16.5" customHeight="1" x14ac:dyDescent="0.25">
      <c r="A48" s="872" t="s">
        <v>112</v>
      </c>
      <c r="B48" s="873" t="s">
        <v>291</v>
      </c>
      <c r="C48" s="873" t="s">
        <v>265</v>
      </c>
      <c r="D48" s="874">
        <v>0.60370395916678166</v>
      </c>
      <c r="E48" s="874">
        <v>0.63152583271316776</v>
      </c>
      <c r="F48" s="874">
        <v>0.68898120403159901</v>
      </c>
      <c r="G48" s="874">
        <v>0.62113096999467365</v>
      </c>
      <c r="H48" s="874">
        <v>0.81689184483599131</v>
      </c>
      <c r="I48" s="874">
        <v>0.85080807470917363</v>
      </c>
      <c r="J48" s="874">
        <v>0.90632773819587009</v>
      </c>
    </row>
    <row r="49" spans="1:10" ht="16.5" customHeight="1" x14ac:dyDescent="0.25">
      <c r="A49" s="872" t="s">
        <v>114</v>
      </c>
      <c r="B49" s="873" t="s">
        <v>115</v>
      </c>
      <c r="C49" s="873" t="s">
        <v>265</v>
      </c>
      <c r="D49" s="874">
        <v>0.31288076588337688</v>
      </c>
      <c r="E49" s="874">
        <v>0.34752198241406873</v>
      </c>
      <c r="F49" s="874">
        <v>0.33352402745995424</v>
      </c>
      <c r="G49" s="874">
        <v>0.30121145374449337</v>
      </c>
      <c r="H49" s="874">
        <v>0.34859154929577463</v>
      </c>
      <c r="I49" s="874">
        <v>0.39632237871674492</v>
      </c>
      <c r="J49" s="874">
        <v>0.40375586854460094</v>
      </c>
    </row>
    <row r="50" spans="1:10" ht="16.5" customHeight="1" x14ac:dyDescent="0.25">
      <c r="A50" s="872" t="s">
        <v>118</v>
      </c>
      <c r="B50" s="873" t="s">
        <v>270</v>
      </c>
      <c r="C50" s="873" t="s">
        <v>264</v>
      </c>
      <c r="D50" s="874">
        <v>0.54821442226810435</v>
      </c>
      <c r="E50" s="874">
        <v>0.63340886874611213</v>
      </c>
      <c r="F50" s="874">
        <v>0.64290390154490706</v>
      </c>
      <c r="G50" s="874">
        <v>0.57824382129277563</v>
      </c>
      <c r="H50" s="874">
        <v>0.71734594210619784</v>
      </c>
      <c r="I50" s="874">
        <v>0.86734150239744268</v>
      </c>
      <c r="J50" s="874">
        <v>0.97639850825785823</v>
      </c>
    </row>
    <row r="51" spans="1:10" ht="16.5" customHeight="1" x14ac:dyDescent="0.25">
      <c r="A51" s="872" t="s">
        <v>120</v>
      </c>
      <c r="B51" s="873" t="s">
        <v>121</v>
      </c>
      <c r="C51" s="873" t="s">
        <v>264</v>
      </c>
      <c r="D51" s="874">
        <v>0.36924056135121708</v>
      </c>
      <c r="E51" s="874">
        <v>0.47360897294919729</v>
      </c>
      <c r="F51" s="874">
        <v>0.42863222680547369</v>
      </c>
      <c r="G51" s="874">
        <v>0.42326583801122697</v>
      </c>
      <c r="H51" s="874">
        <v>0.49310616505810517</v>
      </c>
      <c r="I51" s="874">
        <v>0.66371216597728322</v>
      </c>
      <c r="J51" s="874">
        <v>0.77340949379554857</v>
      </c>
    </row>
    <row r="52" spans="1:10" ht="16.5" customHeight="1" x14ac:dyDescent="0.25">
      <c r="A52" s="872" t="s">
        <v>122</v>
      </c>
      <c r="B52" s="873" t="s">
        <v>271</v>
      </c>
      <c r="C52" s="873" t="s">
        <v>266</v>
      </c>
      <c r="D52" s="874">
        <v>0.63043478260869568</v>
      </c>
      <c r="E52" s="874">
        <v>0.57482566248256628</v>
      </c>
      <c r="F52" s="874">
        <v>0.64423359811709324</v>
      </c>
      <c r="G52" s="874">
        <v>0.57591514143094846</v>
      </c>
      <c r="H52" s="874">
        <v>0.63792354474370117</v>
      </c>
      <c r="I52" s="874">
        <v>0.76122212568780767</v>
      </c>
      <c r="J52" s="874">
        <v>0.87350130321459596</v>
      </c>
    </row>
    <row r="53" spans="1:10" ht="16.5" customHeight="1" x14ac:dyDescent="0.25">
      <c r="A53" s="872" t="s">
        <v>124</v>
      </c>
      <c r="B53" s="873" t="s">
        <v>125</v>
      </c>
      <c r="C53" s="873" t="s">
        <v>267</v>
      </c>
      <c r="D53" s="874">
        <v>0.55162280701754385</v>
      </c>
      <c r="E53" s="874">
        <v>0.65107300441235461</v>
      </c>
      <c r="F53" s="874">
        <v>0.65636486747920297</v>
      </c>
      <c r="G53" s="874">
        <v>0.61343630626141832</v>
      </c>
      <c r="H53" s="874">
        <v>0.7824291427577813</v>
      </c>
      <c r="I53" s="874">
        <v>1.0382976873587202</v>
      </c>
      <c r="J53" s="874">
        <v>1.2200312989045383</v>
      </c>
    </row>
    <row r="54" spans="1:10" ht="16.5" customHeight="1" x14ac:dyDescent="0.25">
      <c r="A54" s="872" t="s">
        <v>126</v>
      </c>
      <c r="B54" s="873" t="s">
        <v>127</v>
      </c>
      <c r="C54" s="873" t="s">
        <v>266</v>
      </c>
      <c r="D54" s="874">
        <v>0.51124708624708626</v>
      </c>
      <c r="E54" s="874">
        <v>0.62792174796747968</v>
      </c>
      <c r="F54" s="874">
        <v>0.59643605870020966</v>
      </c>
      <c r="G54" s="874">
        <v>0.60179324894514763</v>
      </c>
      <c r="H54" s="874">
        <v>0.6783863368669022</v>
      </c>
      <c r="I54" s="874">
        <v>0.95441696113074204</v>
      </c>
      <c r="J54" s="874">
        <v>1.125512367491166</v>
      </c>
    </row>
    <row r="55" spans="1:10" ht="16.5" customHeight="1" x14ac:dyDescent="0.25">
      <c r="A55" s="872" t="s">
        <v>128</v>
      </c>
      <c r="B55" s="873" t="s">
        <v>129</v>
      </c>
      <c r="C55" s="873" t="s">
        <v>266</v>
      </c>
      <c r="D55" s="874">
        <v>0.61568231532895845</v>
      </c>
      <c r="E55" s="874">
        <v>0.64562541583499666</v>
      </c>
      <c r="F55" s="874">
        <v>0.60898066207800716</v>
      </c>
      <c r="G55" s="874">
        <v>0.57010582010582012</v>
      </c>
      <c r="H55" s="874">
        <v>0.58965402528276778</v>
      </c>
      <c r="I55" s="874">
        <v>0.69357119095143049</v>
      </c>
      <c r="J55" s="874">
        <v>0.77035928143712573</v>
      </c>
    </row>
    <row r="56" spans="1:10" ht="16.5" customHeight="1" x14ac:dyDescent="0.25">
      <c r="A56" s="872" t="s">
        <v>130</v>
      </c>
      <c r="B56" s="873" t="s">
        <v>131</v>
      </c>
      <c r="C56" s="873" t="s">
        <v>268</v>
      </c>
      <c r="D56" s="874">
        <v>0.69147133578085285</v>
      </c>
      <c r="E56" s="874">
        <v>0.60752919483712353</v>
      </c>
      <c r="F56" s="874">
        <v>0.69933426769446394</v>
      </c>
      <c r="G56" s="874">
        <v>0.64706768211350629</v>
      </c>
      <c r="H56" s="874">
        <v>0.69349276725334763</v>
      </c>
      <c r="I56" s="874">
        <v>0.7495857405168167</v>
      </c>
      <c r="J56" s="874">
        <v>0.79575440010748355</v>
      </c>
    </row>
    <row r="57" spans="1:10" ht="16.5" customHeight="1" x14ac:dyDescent="0.25">
      <c r="A57" s="872" t="s">
        <v>132</v>
      </c>
      <c r="B57" s="873" t="s">
        <v>133</v>
      </c>
      <c r="C57" s="873" t="s">
        <v>267</v>
      </c>
      <c r="D57" s="874">
        <v>0.23964927745278736</v>
      </c>
      <c r="E57" s="874">
        <v>0.36041326808047852</v>
      </c>
      <c r="F57" s="874">
        <v>0.32113666603307356</v>
      </c>
      <c r="G57" s="874">
        <v>0.29947829947829946</v>
      </c>
      <c r="H57" s="874">
        <v>0.34582491582491581</v>
      </c>
      <c r="I57" s="874">
        <v>0.48074074074074075</v>
      </c>
      <c r="J57" s="874">
        <v>0.57452929292929289</v>
      </c>
    </row>
    <row r="58" spans="1:10" ht="16.5" customHeight="1" x14ac:dyDescent="0.25">
      <c r="A58" s="872" t="s">
        <v>134</v>
      </c>
      <c r="B58" s="873" t="s">
        <v>135</v>
      </c>
      <c r="C58" s="873" t="s">
        <v>267</v>
      </c>
      <c r="D58" s="874">
        <v>0.4172714078374456</v>
      </c>
      <c r="E58" s="874">
        <v>0.45056306306306304</v>
      </c>
      <c r="F58" s="874">
        <v>0.49929258630447088</v>
      </c>
      <c r="G58" s="874">
        <v>0.45967681743543815</v>
      </c>
      <c r="H58" s="874">
        <v>0.54409470317497466</v>
      </c>
      <c r="I58" s="874">
        <v>0.75249629456275846</v>
      </c>
      <c r="J58" s="874">
        <v>0.88233091504797567</v>
      </c>
    </row>
    <row r="59" spans="1:10" ht="16.5" customHeight="1" x14ac:dyDescent="0.25">
      <c r="A59" s="872" t="s">
        <v>136</v>
      </c>
      <c r="B59" s="873" t="s">
        <v>137</v>
      </c>
      <c r="C59" s="873" t="s">
        <v>266</v>
      </c>
      <c r="D59" s="874">
        <v>0.52998629198080882</v>
      </c>
      <c r="E59" s="874">
        <v>0.47584541062801933</v>
      </c>
      <c r="F59" s="874">
        <v>0.53896882494004794</v>
      </c>
      <c r="G59" s="874">
        <v>0.52234848484848484</v>
      </c>
      <c r="H59" s="874">
        <v>0.52122618702253165</v>
      </c>
      <c r="I59" s="874">
        <v>0.60685620346194757</v>
      </c>
      <c r="J59" s="874">
        <v>0.66910356832027851</v>
      </c>
    </row>
    <row r="60" spans="1:10" ht="16.5" customHeight="1" x14ac:dyDescent="0.25">
      <c r="A60" s="872" t="s">
        <v>140</v>
      </c>
      <c r="B60" s="873" t="s">
        <v>141</v>
      </c>
      <c r="C60" s="873" t="s">
        <v>267</v>
      </c>
      <c r="D60" s="874">
        <v>0.34643758493496407</v>
      </c>
      <c r="E60" s="874">
        <v>0.35471587580550673</v>
      </c>
      <c r="F60" s="874">
        <v>0.32169913419913421</v>
      </c>
      <c r="G60" s="874">
        <v>0.34409304756926296</v>
      </c>
      <c r="H60" s="874">
        <v>0.42841391009329943</v>
      </c>
      <c r="I60" s="874">
        <v>0.58422391857506362</v>
      </c>
      <c r="J60" s="874">
        <v>0.71531806615776083</v>
      </c>
    </row>
    <row r="61" spans="1:10" ht="16.5" customHeight="1" x14ac:dyDescent="0.25">
      <c r="A61" s="872" t="s">
        <v>146</v>
      </c>
      <c r="B61" s="873" t="s">
        <v>147</v>
      </c>
      <c r="C61" s="873" t="s">
        <v>264</v>
      </c>
      <c r="D61" s="874">
        <v>0.47104779411764708</v>
      </c>
      <c r="E61" s="874">
        <v>0.55953608247422681</v>
      </c>
      <c r="F61" s="874">
        <v>0.5566438132549788</v>
      </c>
      <c r="G61" s="874">
        <v>0.53435114503816794</v>
      </c>
      <c r="H61" s="874">
        <v>0.57393483709273185</v>
      </c>
      <c r="I61" s="874">
        <v>0.73394423558897248</v>
      </c>
      <c r="J61" s="874">
        <v>0.83496240601503757</v>
      </c>
    </row>
    <row r="62" spans="1:10" ht="16.5" customHeight="1" x14ac:dyDescent="0.25">
      <c r="A62" s="872" t="s">
        <v>148</v>
      </c>
      <c r="B62" s="873" t="s">
        <v>149</v>
      </c>
      <c r="C62" s="873" t="s">
        <v>265</v>
      </c>
      <c r="D62" s="874">
        <v>0.47630506748153806</v>
      </c>
      <c r="E62" s="874">
        <v>0.49595929362466329</v>
      </c>
      <c r="F62" s="874">
        <v>0.55201242571582931</v>
      </c>
      <c r="G62" s="874">
        <v>0.47403253867494238</v>
      </c>
      <c r="H62" s="874">
        <v>0.49380391619882241</v>
      </c>
      <c r="I62" s="874">
        <v>0.59016842393536906</v>
      </c>
      <c r="J62" s="874">
        <v>0.66832808434889768</v>
      </c>
    </row>
    <row r="63" spans="1:10" ht="16.5" customHeight="1" x14ac:dyDescent="0.25">
      <c r="A63" s="872" t="s">
        <v>150</v>
      </c>
      <c r="B63" s="873" t="s">
        <v>151</v>
      </c>
      <c r="C63" s="873" t="s">
        <v>266</v>
      </c>
      <c r="D63" s="874">
        <v>0.47603550295857988</v>
      </c>
      <c r="E63" s="874">
        <v>0.47234657713113226</v>
      </c>
      <c r="F63" s="874">
        <v>0.49069349962207104</v>
      </c>
      <c r="G63" s="874">
        <v>0.47371303395399783</v>
      </c>
      <c r="H63" s="874">
        <v>0.51467775865366228</v>
      </c>
      <c r="I63" s="874">
        <v>0.64386115892139983</v>
      </c>
      <c r="J63" s="874">
        <v>0.76695352839931152</v>
      </c>
    </row>
    <row r="64" spans="1:10" ht="16.5" customHeight="1" x14ac:dyDescent="0.25">
      <c r="A64" s="872" t="s">
        <v>152</v>
      </c>
      <c r="B64" s="873" t="s">
        <v>153</v>
      </c>
      <c r="C64" s="873" t="s">
        <v>268</v>
      </c>
      <c r="D64" s="874">
        <v>0.27314207137946123</v>
      </c>
      <c r="E64" s="874">
        <v>0.22520464726546136</v>
      </c>
      <c r="F64" s="874">
        <v>0.23875706214689266</v>
      </c>
      <c r="G64" s="874">
        <v>0.22827933106872222</v>
      </c>
      <c r="H64" s="874">
        <v>0.24522534878919269</v>
      </c>
      <c r="I64" s="874">
        <v>0.28958720467215293</v>
      </c>
      <c r="J64" s="874">
        <v>0.32091850278736395</v>
      </c>
    </row>
    <row r="65" spans="1:10" ht="16.5" customHeight="1" x14ac:dyDescent="0.25">
      <c r="A65" s="872" t="s">
        <v>154</v>
      </c>
      <c r="B65" s="873" t="s">
        <v>155</v>
      </c>
      <c r="C65" s="873" t="s">
        <v>265</v>
      </c>
      <c r="D65" s="874">
        <v>0.42102908277404921</v>
      </c>
      <c r="E65" s="874">
        <v>0.43767836757990869</v>
      </c>
      <c r="F65" s="874">
        <v>0.49836956521739129</v>
      </c>
      <c r="G65" s="874">
        <v>0.52630530091669991</v>
      </c>
      <c r="H65" s="874">
        <v>0.5422117248062015</v>
      </c>
      <c r="I65" s="874">
        <v>0.6881661821705426</v>
      </c>
      <c r="J65" s="874">
        <v>0.73546511627906974</v>
      </c>
    </row>
    <row r="66" spans="1:10" ht="16.5" customHeight="1" x14ac:dyDescent="0.25">
      <c r="A66" s="872" t="s">
        <v>156</v>
      </c>
      <c r="B66" s="873" t="s">
        <v>157</v>
      </c>
      <c r="C66" s="873" t="s">
        <v>266</v>
      </c>
      <c r="D66" s="874">
        <v>0.34270578647106764</v>
      </c>
      <c r="E66" s="874">
        <v>0.43957564575645758</v>
      </c>
      <c r="F66" s="874">
        <v>0.38345608292416805</v>
      </c>
      <c r="G66" s="874">
        <v>0.35886886102403343</v>
      </c>
      <c r="H66" s="874">
        <v>0.40131912734652458</v>
      </c>
      <c r="I66" s="874">
        <v>0.56532217148655506</v>
      </c>
      <c r="J66" s="874">
        <v>0.70639269406392691</v>
      </c>
    </row>
    <row r="67" spans="1:10" ht="16.5" customHeight="1" x14ac:dyDescent="0.25">
      <c r="A67" s="872" t="s">
        <v>162</v>
      </c>
      <c r="B67" s="873" t="s">
        <v>163</v>
      </c>
      <c r="C67" s="873" t="s">
        <v>264</v>
      </c>
      <c r="D67" s="874">
        <v>0.56711442786069655</v>
      </c>
      <c r="E67" s="874">
        <v>0.5955555555555555</v>
      </c>
      <c r="F67" s="874">
        <v>0.63383172090296103</v>
      </c>
      <c r="G67" s="874">
        <v>0.54354960868467561</v>
      </c>
      <c r="H67" s="874">
        <v>0.61724170706206638</v>
      </c>
      <c r="I67" s="874">
        <v>0.69596521243227827</v>
      </c>
      <c r="J67" s="874">
        <v>0.77507841459937266</v>
      </c>
    </row>
    <row r="68" spans="1:10" ht="16.5" customHeight="1" x14ac:dyDescent="0.25">
      <c r="A68" s="872" t="s">
        <v>164</v>
      </c>
      <c r="B68" s="873" t="s">
        <v>165</v>
      </c>
      <c r="C68" s="873" t="s">
        <v>266</v>
      </c>
      <c r="D68" s="874">
        <v>0.47064262598243178</v>
      </c>
      <c r="E68" s="874">
        <v>0.51964285714285718</v>
      </c>
      <c r="F68" s="874">
        <v>0.45697876029475509</v>
      </c>
      <c r="G68" s="874">
        <v>0.39378764074365019</v>
      </c>
      <c r="H68" s="874">
        <v>0.45155797101449274</v>
      </c>
      <c r="I68" s="874">
        <v>0.55586956521739128</v>
      </c>
      <c r="J68" s="874">
        <v>0.62295652173913041</v>
      </c>
    </row>
    <row r="69" spans="1:10" ht="16.5" customHeight="1" x14ac:dyDescent="0.25">
      <c r="A69" s="872" t="s">
        <v>168</v>
      </c>
      <c r="B69" s="873" t="s">
        <v>169</v>
      </c>
      <c r="C69" s="873" t="s">
        <v>266</v>
      </c>
      <c r="D69" s="874">
        <v>0.58268868392343554</v>
      </c>
      <c r="E69" s="874">
        <v>0.5798766816143498</v>
      </c>
      <c r="F69" s="874">
        <v>0.57680007309941517</v>
      </c>
      <c r="G69" s="874">
        <v>0.53485636453689944</v>
      </c>
      <c r="H69" s="874">
        <v>0.59582708645677163</v>
      </c>
      <c r="I69" s="874">
        <v>0.71355988672330506</v>
      </c>
      <c r="J69" s="874">
        <v>0.79445277361319344</v>
      </c>
    </row>
    <row r="70" spans="1:10" ht="16.5" customHeight="1" x14ac:dyDescent="0.25">
      <c r="A70" s="872" t="s">
        <v>170</v>
      </c>
      <c r="B70" s="873" t="s">
        <v>171</v>
      </c>
      <c r="C70" s="873" t="s">
        <v>267</v>
      </c>
      <c r="D70" s="874">
        <v>0.42210198636228874</v>
      </c>
      <c r="E70" s="874">
        <v>0.44937126052124532</v>
      </c>
      <c r="F70" s="874">
        <v>0.45549242424242425</v>
      </c>
      <c r="G70" s="874">
        <v>0.39823474890461746</v>
      </c>
      <c r="H70" s="874">
        <v>0.53717843832378875</v>
      </c>
      <c r="I70" s="874">
        <v>0.71475320425415867</v>
      </c>
      <c r="J70" s="874">
        <v>0.81788928279247342</v>
      </c>
    </row>
    <row r="71" spans="1:10" ht="16.5" customHeight="1" x14ac:dyDescent="0.25">
      <c r="A71" s="872" t="s">
        <v>172</v>
      </c>
      <c r="B71" s="873" t="s">
        <v>173</v>
      </c>
      <c r="C71" s="873" t="s">
        <v>267</v>
      </c>
      <c r="D71" s="874">
        <v>0.44782070965540771</v>
      </c>
      <c r="E71" s="874">
        <v>0.4700745603371424</v>
      </c>
      <c r="F71" s="874">
        <v>0.51029693486590033</v>
      </c>
      <c r="G71" s="874">
        <v>0.54516027159324176</v>
      </c>
      <c r="H71" s="874">
        <v>0.54644069020287345</v>
      </c>
      <c r="I71" s="874">
        <v>0.70364955598873724</v>
      </c>
      <c r="J71" s="874">
        <v>0.79358891054797487</v>
      </c>
    </row>
    <row r="72" spans="1:10" ht="16.5" customHeight="1" x14ac:dyDescent="0.25">
      <c r="A72" s="872" t="s">
        <v>174</v>
      </c>
      <c r="B72" s="873" t="s">
        <v>175</v>
      </c>
      <c r="C72" s="873" t="s">
        <v>268</v>
      </c>
      <c r="D72" s="874">
        <v>0.6116055846422338</v>
      </c>
      <c r="E72" s="874">
        <v>0.62341062079281973</v>
      </c>
      <c r="F72" s="874">
        <v>0.70886192314763741</v>
      </c>
      <c r="G72" s="874">
        <v>0.66450936883629186</v>
      </c>
      <c r="H72" s="874">
        <v>0.67203376881350751</v>
      </c>
      <c r="I72" s="874">
        <v>0.76669340667736263</v>
      </c>
      <c r="J72" s="874">
        <v>0.79990831996332801</v>
      </c>
    </row>
    <row r="73" spans="1:10" ht="16.5" customHeight="1" x14ac:dyDescent="0.25">
      <c r="A73" s="872" t="s">
        <v>178</v>
      </c>
      <c r="B73" s="873" t="s">
        <v>179</v>
      </c>
      <c r="C73" s="873" t="s">
        <v>265</v>
      </c>
      <c r="D73" s="874">
        <v>0.50069666228317367</v>
      </c>
      <c r="E73" s="874">
        <v>0.52316332988148662</v>
      </c>
      <c r="F73" s="874">
        <v>0.62148227879695495</v>
      </c>
      <c r="G73" s="874">
        <v>0.65652331786176632</v>
      </c>
      <c r="H73" s="874">
        <v>0.62257934185962271</v>
      </c>
      <c r="I73" s="874">
        <v>0.72372453955250915</v>
      </c>
      <c r="J73" s="874">
        <v>0.77883474044972001</v>
      </c>
    </row>
    <row r="74" spans="1:10" ht="16.5" customHeight="1" x14ac:dyDescent="0.25">
      <c r="A74" s="872" t="s">
        <v>182</v>
      </c>
      <c r="B74" s="873" t="s">
        <v>183</v>
      </c>
      <c r="C74" s="873" t="s">
        <v>266</v>
      </c>
      <c r="D74" s="874">
        <v>0.25861921829663764</v>
      </c>
      <c r="E74" s="874">
        <v>0.30095340888649036</v>
      </c>
      <c r="F74" s="874">
        <v>0.31518024944472922</v>
      </c>
      <c r="G74" s="874">
        <v>0.32521387832699622</v>
      </c>
      <c r="H74" s="874">
        <v>0.37258986928104576</v>
      </c>
      <c r="I74" s="874">
        <v>0.50318627450980391</v>
      </c>
      <c r="J74" s="874">
        <v>0.60411764705882354</v>
      </c>
    </row>
    <row r="75" spans="1:10" ht="16.5" customHeight="1" x14ac:dyDescent="0.25">
      <c r="A75" s="872" t="s">
        <v>184</v>
      </c>
      <c r="B75" s="873" t="s">
        <v>185</v>
      </c>
      <c r="C75" s="873" t="s">
        <v>266</v>
      </c>
      <c r="D75" s="874">
        <v>0.46958978965491427</v>
      </c>
      <c r="E75" s="874">
        <v>0.47032697359325315</v>
      </c>
      <c r="F75" s="874">
        <v>0.55119505390937196</v>
      </c>
      <c r="G75" s="874">
        <v>0.48951876291408386</v>
      </c>
      <c r="H75" s="874">
        <v>0.46931306306306309</v>
      </c>
      <c r="I75" s="874">
        <v>0.54748992413466102</v>
      </c>
      <c r="J75" s="874">
        <v>0.58403271692745373</v>
      </c>
    </row>
    <row r="76" spans="1:10" ht="16.5" customHeight="1" x14ac:dyDescent="0.25">
      <c r="A76" s="872" t="s">
        <v>186</v>
      </c>
      <c r="B76" s="873" t="s">
        <v>187</v>
      </c>
      <c r="C76" s="873" t="s">
        <v>264</v>
      </c>
      <c r="D76" s="874">
        <v>0.34425778022583309</v>
      </c>
      <c r="E76" s="874">
        <v>0.38302538260544977</v>
      </c>
      <c r="F76" s="874">
        <v>0.44177540529853698</v>
      </c>
      <c r="G76" s="874">
        <v>0.41351549684883016</v>
      </c>
      <c r="H76" s="874">
        <v>0.40390971382507052</v>
      </c>
      <c r="I76" s="874">
        <v>0.47849657396211204</v>
      </c>
      <c r="J76" s="874">
        <v>0.55380894800483671</v>
      </c>
    </row>
    <row r="77" spans="1:10" ht="16.5" customHeight="1" x14ac:dyDescent="0.25">
      <c r="A77" s="872" t="s">
        <v>188</v>
      </c>
      <c r="B77" s="873" t="s">
        <v>189</v>
      </c>
      <c r="C77" s="873" t="s">
        <v>267</v>
      </c>
      <c r="D77" s="874">
        <v>0.35699662596208109</v>
      </c>
      <c r="E77" s="874">
        <v>0.47611355311355313</v>
      </c>
      <c r="F77" s="874">
        <v>0.46271313090143334</v>
      </c>
      <c r="G77" s="874">
        <v>0.47040204137286223</v>
      </c>
      <c r="H77" s="874">
        <v>0.53381058396028458</v>
      </c>
      <c r="I77" s="874">
        <v>0.728424561134142</v>
      </c>
      <c r="J77" s="874">
        <v>0.88352525717795183</v>
      </c>
    </row>
    <row r="78" spans="1:10" ht="16.5" customHeight="1" x14ac:dyDescent="0.25">
      <c r="A78" s="872" t="s">
        <v>190</v>
      </c>
      <c r="B78" s="873" t="s">
        <v>191</v>
      </c>
      <c r="C78" s="873" t="s">
        <v>268</v>
      </c>
      <c r="D78" s="874">
        <v>0.55726947556677708</v>
      </c>
      <c r="E78" s="874">
        <v>0.54145800543711542</v>
      </c>
      <c r="F78" s="874">
        <v>0.62223261615216718</v>
      </c>
      <c r="G78" s="874">
        <v>0.60429967111627003</v>
      </c>
      <c r="H78" s="874">
        <v>0.61825274107393868</v>
      </c>
      <c r="I78" s="874">
        <v>0.74305360322369041</v>
      </c>
      <c r="J78" s="874">
        <v>0.81700871520944618</v>
      </c>
    </row>
    <row r="79" spans="1:10" ht="16.5" customHeight="1" x14ac:dyDescent="0.25">
      <c r="A79" s="872" t="s">
        <v>194</v>
      </c>
      <c r="B79" s="873" t="s">
        <v>195</v>
      </c>
      <c r="C79" s="873" t="s">
        <v>267</v>
      </c>
      <c r="D79" s="874">
        <v>0.21503411306042886</v>
      </c>
      <c r="E79" s="874">
        <v>0.25735294117647056</v>
      </c>
      <c r="F79" s="874">
        <v>0.27492211838006231</v>
      </c>
      <c r="G79" s="874">
        <v>0.25112751127511274</v>
      </c>
      <c r="H79" s="874">
        <v>0.314070351758794</v>
      </c>
      <c r="I79" s="874">
        <v>0.46398659966499162</v>
      </c>
      <c r="J79" s="874">
        <v>0.54798994974874371</v>
      </c>
    </row>
    <row r="80" spans="1:10" ht="16.5" customHeight="1" x14ac:dyDescent="0.25">
      <c r="A80" s="872" t="s">
        <v>198</v>
      </c>
      <c r="B80" s="873" t="s">
        <v>272</v>
      </c>
      <c r="C80" s="873" t="s">
        <v>266</v>
      </c>
      <c r="D80" s="874">
        <v>0.49176954732510286</v>
      </c>
      <c r="E80" s="874">
        <v>0.52760513776672879</v>
      </c>
      <c r="F80" s="874">
        <v>0.54588771493681376</v>
      </c>
      <c r="G80" s="874">
        <v>0.48061279826464209</v>
      </c>
      <c r="H80" s="874">
        <v>0.52099519052904175</v>
      </c>
      <c r="I80" s="874">
        <v>0.64729004809470958</v>
      </c>
      <c r="J80" s="874">
        <v>0.74472807991120982</v>
      </c>
    </row>
    <row r="81" spans="1:10" ht="16.5" customHeight="1" x14ac:dyDescent="0.25">
      <c r="A81" s="872" t="s">
        <v>202</v>
      </c>
      <c r="B81" s="873" t="s">
        <v>292</v>
      </c>
      <c r="C81" s="873" t="s">
        <v>265</v>
      </c>
      <c r="D81" s="874">
        <v>0.34811001366629396</v>
      </c>
      <c r="E81" s="874">
        <v>0.45952010087524109</v>
      </c>
      <c r="F81" s="874">
        <v>0.48775808020754513</v>
      </c>
      <c r="G81" s="874">
        <v>0.42996665078608859</v>
      </c>
      <c r="H81" s="874">
        <v>0.4955533070614549</v>
      </c>
      <c r="I81" s="874">
        <v>0.66582598912432023</v>
      </c>
      <c r="J81" s="874">
        <v>0.72221190166573779</v>
      </c>
    </row>
    <row r="82" spans="1:10" ht="16.5" customHeight="1" x14ac:dyDescent="0.25">
      <c r="A82" s="872" t="s">
        <v>204</v>
      </c>
      <c r="B82" s="873" t="s">
        <v>293</v>
      </c>
      <c r="C82" s="873" t="s">
        <v>265</v>
      </c>
      <c r="D82" s="874">
        <v>0.3775115110925073</v>
      </c>
      <c r="E82" s="874">
        <v>0.37772709242364139</v>
      </c>
      <c r="F82" s="874">
        <v>0.34263654477262073</v>
      </c>
      <c r="G82" s="874">
        <v>0.34949761580381472</v>
      </c>
      <c r="H82" s="874">
        <v>0.49797695169972184</v>
      </c>
      <c r="I82" s="874">
        <v>0.52190280629705676</v>
      </c>
      <c r="J82" s="874">
        <v>0.5958247775496236</v>
      </c>
    </row>
    <row r="83" spans="1:10" ht="16.5" customHeight="1" x14ac:dyDescent="0.25">
      <c r="A83" s="872" t="s">
        <v>206</v>
      </c>
      <c r="B83" s="873" t="s">
        <v>294</v>
      </c>
      <c r="C83" s="873" t="s">
        <v>267</v>
      </c>
      <c r="D83" s="874">
        <v>0.32555873813838387</v>
      </c>
      <c r="E83" s="874">
        <v>0.32212364052661707</v>
      </c>
      <c r="F83" s="874">
        <v>0.29783135182738879</v>
      </c>
      <c r="G83" s="874">
        <v>0.28247908102277036</v>
      </c>
      <c r="H83" s="874">
        <v>0.41238260763507745</v>
      </c>
      <c r="I83" s="874">
        <v>0.35787130944331758</v>
      </c>
      <c r="J83" s="874">
        <v>0.42431541582150101</v>
      </c>
    </row>
    <row r="84" spans="1:10" ht="16.5" customHeight="1" x14ac:dyDescent="0.25">
      <c r="A84" s="872" t="s">
        <v>208</v>
      </c>
      <c r="B84" s="873" t="s">
        <v>209</v>
      </c>
      <c r="C84" s="873" t="s">
        <v>268</v>
      </c>
      <c r="D84" s="874">
        <v>0.66974760918860299</v>
      </c>
      <c r="E84" s="874">
        <v>0.63450131052558978</v>
      </c>
      <c r="F84" s="874">
        <v>0.70323921097426656</v>
      </c>
      <c r="G84" s="874">
        <v>0.63408752082785236</v>
      </c>
      <c r="H84" s="874">
        <v>0.64393939393939392</v>
      </c>
      <c r="I84" s="874">
        <v>0.71540734859512156</v>
      </c>
      <c r="J84" s="874">
        <v>0.76988222839751219</v>
      </c>
    </row>
    <row r="85" spans="1:10" ht="16.5" customHeight="1" x14ac:dyDescent="0.25">
      <c r="A85" s="872" t="s">
        <v>210</v>
      </c>
      <c r="B85" s="873" t="s">
        <v>211</v>
      </c>
      <c r="C85" s="873" t="s">
        <v>268</v>
      </c>
      <c r="D85" s="874">
        <v>0.48228455116263025</v>
      </c>
      <c r="E85" s="874">
        <v>0.47335770985686604</v>
      </c>
      <c r="F85" s="874">
        <v>0.48652777777777778</v>
      </c>
      <c r="G85" s="874">
        <v>0.44274395804833561</v>
      </c>
      <c r="H85" s="874">
        <v>0.51118367089406269</v>
      </c>
      <c r="I85" s="874">
        <v>0.61104801564767497</v>
      </c>
      <c r="J85" s="874">
        <v>0.69123604012871476</v>
      </c>
    </row>
    <row r="86" spans="1:10" ht="16.5" customHeight="1" x14ac:dyDescent="0.25">
      <c r="A86" s="872" t="s">
        <v>212</v>
      </c>
      <c r="B86" s="873" t="s">
        <v>213</v>
      </c>
      <c r="C86" s="873" t="s">
        <v>267</v>
      </c>
      <c r="D86" s="874">
        <v>0.41473927670311184</v>
      </c>
      <c r="E86" s="874">
        <v>0.492583918813427</v>
      </c>
      <c r="F86" s="874">
        <v>0.51546468958286529</v>
      </c>
      <c r="G86" s="874">
        <v>0.48623077414002169</v>
      </c>
      <c r="H86" s="874">
        <v>0.55140692640692646</v>
      </c>
      <c r="I86" s="874">
        <v>0.77510822510822508</v>
      </c>
      <c r="J86" s="874">
        <v>0.89717996289424862</v>
      </c>
    </row>
    <row r="87" spans="1:10" ht="16.5" customHeight="1" x14ac:dyDescent="0.25">
      <c r="A87" s="872" t="s">
        <v>214</v>
      </c>
      <c r="B87" s="873" t="s">
        <v>215</v>
      </c>
      <c r="C87" s="873" t="s">
        <v>268</v>
      </c>
      <c r="D87" s="874">
        <v>0.59406753165546344</v>
      </c>
      <c r="E87" s="874">
        <v>0.74790871067466813</v>
      </c>
      <c r="F87" s="874">
        <v>0.66579026442307687</v>
      </c>
      <c r="G87" s="874">
        <v>0.60338070628768303</v>
      </c>
      <c r="H87" s="874">
        <v>0.64303321224701604</v>
      </c>
      <c r="I87" s="874">
        <v>0.75527590382286802</v>
      </c>
      <c r="J87" s="874">
        <v>0.82021276595744685</v>
      </c>
    </row>
    <row r="88" spans="1:10" ht="16.5" customHeight="1" x14ac:dyDescent="0.25">
      <c r="A88" s="872" t="s">
        <v>216</v>
      </c>
      <c r="B88" s="873" t="s">
        <v>217</v>
      </c>
      <c r="C88" s="873" t="s">
        <v>264</v>
      </c>
      <c r="D88" s="874">
        <v>0.5863830925628678</v>
      </c>
      <c r="E88" s="874">
        <v>0.59913345786633454</v>
      </c>
      <c r="F88" s="874">
        <v>0.60061637080867847</v>
      </c>
      <c r="G88" s="874">
        <v>0.60047281323877066</v>
      </c>
      <c r="H88" s="874">
        <v>0.55761660248181433</v>
      </c>
      <c r="I88" s="874">
        <v>0.63380402225074883</v>
      </c>
      <c r="J88" s="874">
        <v>0.67969191270860074</v>
      </c>
    </row>
    <row r="89" spans="1:10" ht="16.5" customHeight="1" x14ac:dyDescent="0.25">
      <c r="A89" s="872" t="s">
        <v>218</v>
      </c>
      <c r="B89" s="873" t="s">
        <v>219</v>
      </c>
      <c r="C89" s="873" t="s">
        <v>267</v>
      </c>
      <c r="D89" s="874">
        <v>0.40452350518392272</v>
      </c>
      <c r="E89" s="874">
        <v>0.47466276710039396</v>
      </c>
      <c r="F89" s="874">
        <v>0.49932569116655429</v>
      </c>
      <c r="G89" s="874">
        <v>0.48859122178083519</v>
      </c>
      <c r="H89" s="874">
        <v>0.61021841624170114</v>
      </c>
      <c r="I89" s="874">
        <v>0.82611693768241445</v>
      </c>
      <c r="J89" s="874">
        <v>0.95106321562590201</v>
      </c>
    </row>
    <row r="90" spans="1:10" ht="16.5" customHeight="1" x14ac:dyDescent="0.25">
      <c r="A90" s="872" t="s">
        <v>220</v>
      </c>
      <c r="B90" s="873" t="s">
        <v>221</v>
      </c>
      <c r="C90" s="873" t="s">
        <v>267</v>
      </c>
      <c r="D90" s="874">
        <v>0.39855823979176835</v>
      </c>
      <c r="E90" s="874">
        <v>0.50820038590051297</v>
      </c>
      <c r="F90" s="874">
        <v>0.58420800383417204</v>
      </c>
      <c r="G90" s="874">
        <v>0.62454174207619839</v>
      </c>
      <c r="H90" s="874">
        <v>0.65068566074698697</v>
      </c>
      <c r="I90" s="874">
        <v>0.85953536902176231</v>
      </c>
      <c r="J90" s="874">
        <v>1.0119074996805928</v>
      </c>
    </row>
    <row r="91" spans="1:10" ht="16.5" customHeight="1" x14ac:dyDescent="0.25">
      <c r="A91" s="872" t="s">
        <v>224</v>
      </c>
      <c r="B91" s="873" t="s">
        <v>225</v>
      </c>
      <c r="C91" s="873" t="s">
        <v>264</v>
      </c>
      <c r="D91" s="874">
        <v>0.5353133769878391</v>
      </c>
      <c r="E91" s="874">
        <v>0.54364716636197441</v>
      </c>
      <c r="F91" s="874">
        <v>0.61371782339524272</v>
      </c>
      <c r="G91" s="874">
        <v>0.50607947805456699</v>
      </c>
      <c r="H91" s="874">
        <v>0.53523936170212771</v>
      </c>
      <c r="I91" s="874">
        <v>0.7021276595744681</v>
      </c>
      <c r="J91" s="874">
        <v>0.8117021276595745</v>
      </c>
    </row>
    <row r="92" spans="1:10" ht="16.5" customHeight="1" x14ac:dyDescent="0.25">
      <c r="A92" s="872" t="s">
        <v>226</v>
      </c>
      <c r="B92" s="873" t="s">
        <v>227</v>
      </c>
      <c r="C92" s="873" t="s">
        <v>264</v>
      </c>
      <c r="D92" s="874">
        <v>0.49636312771016927</v>
      </c>
      <c r="E92" s="874">
        <v>0.53732423490488002</v>
      </c>
      <c r="F92" s="874">
        <v>0.44718849141231815</v>
      </c>
      <c r="G92" s="874">
        <v>0.47089384815208407</v>
      </c>
      <c r="H92" s="874">
        <v>0.4855715871254162</v>
      </c>
      <c r="I92" s="874">
        <v>0.5631088913552843</v>
      </c>
      <c r="J92" s="874">
        <v>0.63706992230854609</v>
      </c>
    </row>
    <row r="93" spans="1:10" ht="16.5" customHeight="1" x14ac:dyDescent="0.25">
      <c r="A93" s="872" t="s">
        <v>228</v>
      </c>
      <c r="B93" s="873" t="s">
        <v>229</v>
      </c>
      <c r="C93" s="873" t="s">
        <v>268</v>
      </c>
      <c r="D93" s="874">
        <v>0.57800431717764511</v>
      </c>
      <c r="E93" s="874">
        <v>0.59208592236253088</v>
      </c>
      <c r="F93" s="874">
        <v>0.62505576718487255</v>
      </c>
      <c r="G93" s="874">
        <v>0.52772010591562857</v>
      </c>
      <c r="H93" s="874">
        <v>0.54298194806448496</v>
      </c>
      <c r="I93" s="874">
        <v>0.61547929336808571</v>
      </c>
      <c r="J93" s="874">
        <v>0.68043247417704411</v>
      </c>
    </row>
    <row r="94" spans="1:10" ht="16.5" customHeight="1" x14ac:dyDescent="0.25">
      <c r="A94" s="872" t="s">
        <v>232</v>
      </c>
      <c r="B94" s="873" t="s">
        <v>233</v>
      </c>
      <c r="C94" s="873" t="s">
        <v>267</v>
      </c>
      <c r="D94" s="874">
        <v>0.47227875772651889</v>
      </c>
      <c r="E94" s="874">
        <v>0.4538110095832405</v>
      </c>
      <c r="F94" s="874">
        <v>0.43354869323988904</v>
      </c>
      <c r="G94" s="874">
        <v>0.48687920190847972</v>
      </c>
      <c r="H94" s="874">
        <v>0.53723654181769365</v>
      </c>
      <c r="I94" s="874">
        <v>0.76137736608940798</v>
      </c>
      <c r="J94" s="874">
        <v>0.88453483689085788</v>
      </c>
    </row>
    <row r="95" spans="1:10" ht="16.5" customHeight="1" x14ac:dyDescent="0.25">
      <c r="A95" s="872" t="s">
        <v>234</v>
      </c>
      <c r="B95" s="873" t="s">
        <v>235</v>
      </c>
      <c r="C95" s="873" t="s">
        <v>268</v>
      </c>
      <c r="D95" s="874">
        <v>0.46882400828892834</v>
      </c>
      <c r="E95" s="874">
        <v>0.62364346365163692</v>
      </c>
      <c r="F95" s="874">
        <v>0.53939513403919803</v>
      </c>
      <c r="G95" s="874">
        <v>0.455614624984854</v>
      </c>
      <c r="H95" s="874">
        <v>0.52944655471144875</v>
      </c>
      <c r="I95" s="874">
        <v>0.63682027189124346</v>
      </c>
      <c r="J95" s="874">
        <v>0.71223510595761697</v>
      </c>
    </row>
    <row r="96" spans="1:10" ht="16.5" customHeight="1" x14ac:dyDescent="0.25">
      <c r="A96" s="872" t="s">
        <v>236</v>
      </c>
      <c r="B96" s="873" t="s">
        <v>237</v>
      </c>
      <c r="C96" s="873" t="s">
        <v>266</v>
      </c>
      <c r="D96" s="874">
        <v>0.5462735462735463</v>
      </c>
      <c r="E96" s="874">
        <v>0.513265965300849</v>
      </c>
      <c r="F96" s="874">
        <v>0.5342257453385183</v>
      </c>
      <c r="G96" s="874">
        <v>0.5818137414522957</v>
      </c>
      <c r="H96" s="874">
        <v>0.56161601681957185</v>
      </c>
      <c r="I96" s="874">
        <v>0.6993262614678899</v>
      </c>
      <c r="J96" s="874">
        <v>0.80183486238532109</v>
      </c>
    </row>
    <row r="97" spans="1:10" ht="16.5" customHeight="1" x14ac:dyDescent="0.25">
      <c r="A97" s="872" t="s">
        <v>242</v>
      </c>
      <c r="B97" s="873" t="s">
        <v>243</v>
      </c>
      <c r="C97" s="873" t="s">
        <v>268</v>
      </c>
      <c r="D97" s="874">
        <v>0.69689191711778986</v>
      </c>
      <c r="E97" s="874">
        <v>0.62440060570370992</v>
      </c>
      <c r="F97" s="874">
        <v>0.71126604692341744</v>
      </c>
      <c r="G97" s="874">
        <v>0.60497530966371482</v>
      </c>
      <c r="H97" s="874">
        <v>0.64847764173933464</v>
      </c>
      <c r="I97" s="874">
        <v>0.69858921283654829</v>
      </c>
      <c r="J97" s="874">
        <v>0.74560028186382454</v>
      </c>
    </row>
    <row r="98" spans="1:10" ht="16.5" customHeight="1" x14ac:dyDescent="0.25">
      <c r="A98" s="872" t="s">
        <v>244</v>
      </c>
      <c r="B98" s="873" t="s">
        <v>245</v>
      </c>
      <c r="C98" s="873" t="s">
        <v>268</v>
      </c>
      <c r="D98" s="874">
        <v>0.54605997210599722</v>
      </c>
      <c r="E98" s="874">
        <v>0.54923417178319134</v>
      </c>
      <c r="F98" s="874">
        <v>0.52853000956480156</v>
      </c>
      <c r="G98" s="874">
        <v>0.6088541666666667</v>
      </c>
      <c r="H98" s="874">
        <v>0.59619748543391593</v>
      </c>
      <c r="I98" s="874">
        <v>0.73888377798221405</v>
      </c>
      <c r="J98" s="874">
        <v>0.82211591536338546</v>
      </c>
    </row>
    <row r="99" spans="1:10" ht="16.5" customHeight="1" x14ac:dyDescent="0.25">
      <c r="A99" s="872" t="s">
        <v>246</v>
      </c>
      <c r="B99" s="873" t="s">
        <v>247</v>
      </c>
      <c r="C99" s="873" t="s">
        <v>264</v>
      </c>
      <c r="D99" s="874">
        <v>0.2849618780096308</v>
      </c>
      <c r="E99" s="874">
        <v>0.35629376323074419</v>
      </c>
      <c r="F99" s="874">
        <v>0.35438656876242924</v>
      </c>
      <c r="G99" s="874">
        <v>0.35473352822127274</v>
      </c>
      <c r="H99" s="874">
        <v>0.42803125261134789</v>
      </c>
      <c r="I99" s="874">
        <v>0.52887712839392542</v>
      </c>
      <c r="J99" s="874">
        <v>0.58421537045559135</v>
      </c>
    </row>
    <row r="100" spans="1:10" ht="16.5" customHeight="1" x14ac:dyDescent="0.25">
      <c r="A100" s="872" t="s">
        <v>14</v>
      </c>
      <c r="B100" s="873" t="s">
        <v>15</v>
      </c>
      <c r="C100" s="873" t="s">
        <v>267</v>
      </c>
      <c r="D100" s="874">
        <v>0.33114145746604434</v>
      </c>
      <c r="E100" s="874">
        <v>0.37817501101159889</v>
      </c>
      <c r="F100" s="874">
        <v>0.38753983428935629</v>
      </c>
      <c r="G100" s="874">
        <v>0.31247364934048066</v>
      </c>
      <c r="H100" s="874">
        <v>0.35414131710961683</v>
      </c>
      <c r="I100" s="874">
        <v>0.43976945244956772</v>
      </c>
      <c r="J100" s="874">
        <v>0.49606147934678196</v>
      </c>
    </row>
    <row r="101" spans="1:10" ht="16.5" customHeight="1" x14ac:dyDescent="0.25">
      <c r="A101" s="872" t="s">
        <v>34</v>
      </c>
      <c r="B101" s="873" t="s">
        <v>35</v>
      </c>
      <c r="C101" s="873" t="s">
        <v>268</v>
      </c>
      <c r="D101" s="874">
        <v>0.70840656121851198</v>
      </c>
      <c r="E101" s="874">
        <v>0.77620611265471073</v>
      </c>
      <c r="F101" s="874">
        <v>0.68836984980019289</v>
      </c>
      <c r="G101" s="874">
        <v>0.76550905313149298</v>
      </c>
      <c r="H101" s="874">
        <v>0.7749038266855639</v>
      </c>
      <c r="I101" s="874">
        <v>0.86660592562597016</v>
      </c>
      <c r="J101" s="874">
        <v>0.90730917189714522</v>
      </c>
    </row>
    <row r="102" spans="1:10" ht="16.5" customHeight="1" x14ac:dyDescent="0.25">
      <c r="A102" s="872" t="s">
        <v>52</v>
      </c>
      <c r="B102" s="873" t="s">
        <v>53</v>
      </c>
      <c r="C102" s="873" t="s">
        <v>265</v>
      </c>
      <c r="D102" s="874">
        <v>0.41685879969258716</v>
      </c>
      <c r="E102" s="874">
        <v>0.33503288104553403</v>
      </c>
      <c r="F102" s="874">
        <v>0.31238309016086796</v>
      </c>
      <c r="G102" s="874">
        <v>0.28185874616829826</v>
      </c>
      <c r="H102" s="874">
        <v>0.3432035144039875</v>
      </c>
      <c r="I102" s="874">
        <v>0.41021092055982655</v>
      </c>
      <c r="J102" s="874">
        <v>0.45381431105854525</v>
      </c>
    </row>
    <row r="103" spans="1:10" ht="16.5" customHeight="1" x14ac:dyDescent="0.25">
      <c r="A103" s="872" t="s">
        <v>54</v>
      </c>
      <c r="B103" s="873" t="s">
        <v>55</v>
      </c>
      <c r="C103" s="873" t="s">
        <v>264</v>
      </c>
      <c r="D103" s="874">
        <v>0.42821986001422313</v>
      </c>
      <c r="E103" s="874">
        <v>0.64449672455027551</v>
      </c>
      <c r="F103" s="874">
        <v>0.60965658081186969</v>
      </c>
      <c r="G103" s="874">
        <v>0.49046600285253461</v>
      </c>
      <c r="H103" s="874">
        <v>0.57360500049834129</v>
      </c>
      <c r="I103" s="874">
        <v>0.73518502698161836</v>
      </c>
      <c r="J103" s="874">
        <v>0.83347998803981038</v>
      </c>
    </row>
    <row r="104" spans="1:10" ht="16.5" customHeight="1" x14ac:dyDescent="0.25">
      <c r="A104" s="872" t="s">
        <v>66</v>
      </c>
      <c r="B104" s="873" t="s">
        <v>67</v>
      </c>
      <c r="C104" s="873" t="s">
        <v>265</v>
      </c>
      <c r="D104" s="874">
        <v>0.68400000000000005</v>
      </c>
      <c r="E104" s="874">
        <v>0.63773896542029795</v>
      </c>
      <c r="F104" s="874">
        <v>0.72739879025173804</v>
      </c>
      <c r="G104" s="874">
        <v>0.69586429613167577</v>
      </c>
      <c r="H104" s="874">
        <v>0.86617822157276614</v>
      </c>
      <c r="I104" s="874">
        <v>0.9767210586134113</v>
      </c>
      <c r="J104" s="874">
        <v>1.0337230069816528</v>
      </c>
    </row>
    <row r="105" spans="1:10" ht="16.5" customHeight="1" x14ac:dyDescent="0.25">
      <c r="A105" s="872" t="s">
        <v>82</v>
      </c>
      <c r="B105" s="873" t="s">
        <v>83</v>
      </c>
      <c r="C105" s="873" t="s">
        <v>264</v>
      </c>
      <c r="D105" s="874">
        <v>0.81553357009978011</v>
      </c>
      <c r="E105" s="874">
        <v>0.79458068422646078</v>
      </c>
      <c r="F105" s="874">
        <v>0.8303571428571429</v>
      </c>
      <c r="G105" s="874">
        <v>0.70039855072463764</v>
      </c>
      <c r="H105" s="874">
        <v>0.73646473514779043</v>
      </c>
      <c r="I105" s="874">
        <v>0.88458443078724025</v>
      </c>
      <c r="J105" s="874">
        <v>0.99122036874451269</v>
      </c>
    </row>
    <row r="106" spans="1:10" ht="16.5" customHeight="1" x14ac:dyDescent="0.25">
      <c r="A106" s="872" t="s">
        <v>88</v>
      </c>
      <c r="B106" s="873" t="s">
        <v>89</v>
      </c>
      <c r="C106" s="873" t="s">
        <v>267</v>
      </c>
      <c r="D106" s="874">
        <v>0.5725568942436412</v>
      </c>
      <c r="E106" s="874">
        <v>0.54702765358503058</v>
      </c>
      <c r="F106" s="874">
        <v>0.59358087126253212</v>
      </c>
      <c r="G106" s="874">
        <v>0.61054784774101745</v>
      </c>
      <c r="H106" s="874">
        <v>0.61038935705368291</v>
      </c>
      <c r="I106" s="874">
        <v>0.75813436329588013</v>
      </c>
      <c r="J106" s="874">
        <v>0.86671348314606744</v>
      </c>
    </row>
    <row r="107" spans="1:10" ht="16.5" customHeight="1" x14ac:dyDescent="0.25">
      <c r="A107" s="872" t="s">
        <v>90</v>
      </c>
      <c r="B107" s="873" t="s">
        <v>91</v>
      </c>
      <c r="C107" s="873" t="s">
        <v>268</v>
      </c>
      <c r="D107" s="874">
        <v>0.76820948782535681</v>
      </c>
      <c r="E107" s="874">
        <v>0.71312932809283169</v>
      </c>
      <c r="F107" s="874">
        <v>0.66785714285714282</v>
      </c>
      <c r="G107" s="874">
        <v>0.78565596080566136</v>
      </c>
      <c r="H107" s="874">
        <v>0.82949329096045199</v>
      </c>
      <c r="I107" s="874">
        <v>0.90841278248587576</v>
      </c>
      <c r="J107" s="874">
        <v>0.94671610169491527</v>
      </c>
    </row>
    <row r="108" spans="1:10" ht="16.5" customHeight="1" x14ac:dyDescent="0.25">
      <c r="A108" s="872" t="s">
        <v>106</v>
      </c>
      <c r="B108" s="873" t="s">
        <v>107</v>
      </c>
      <c r="C108" s="873" t="s">
        <v>264</v>
      </c>
      <c r="D108" s="874">
        <v>0.53503918856615951</v>
      </c>
      <c r="E108" s="874">
        <v>0.57655243985089799</v>
      </c>
      <c r="F108" s="874">
        <v>0.61185690027077888</v>
      </c>
      <c r="G108" s="874">
        <v>0.43562073576301985</v>
      </c>
      <c r="H108" s="874">
        <v>0.50907545975006141</v>
      </c>
      <c r="I108" s="874">
        <v>0.60921244782176043</v>
      </c>
      <c r="J108" s="874">
        <v>0.67985112239754975</v>
      </c>
    </row>
    <row r="109" spans="1:10" ht="16.5" customHeight="1" x14ac:dyDescent="0.25">
      <c r="A109" s="872" t="s">
        <v>116</v>
      </c>
      <c r="B109" s="873" t="s">
        <v>117</v>
      </c>
      <c r="C109" s="873" t="s">
        <v>266</v>
      </c>
      <c r="D109" s="874">
        <v>0.80158410524902668</v>
      </c>
      <c r="E109" s="874">
        <v>0.84147294725394239</v>
      </c>
      <c r="F109" s="874">
        <v>0.83261980618611442</v>
      </c>
      <c r="G109" s="874">
        <v>0.87963713764443541</v>
      </c>
      <c r="H109" s="874">
        <v>0.83398950131233596</v>
      </c>
      <c r="I109" s="874">
        <v>0.99469100453352421</v>
      </c>
      <c r="J109" s="874">
        <v>1.1075876879026485</v>
      </c>
    </row>
    <row r="110" spans="1:10" ht="16.5" customHeight="1" x14ac:dyDescent="0.25">
      <c r="A110" s="872" t="s">
        <v>138</v>
      </c>
      <c r="B110" s="873" t="s">
        <v>139</v>
      </c>
      <c r="C110" s="873" t="s">
        <v>265</v>
      </c>
      <c r="D110" s="874">
        <v>0.54354032833690225</v>
      </c>
      <c r="E110" s="874">
        <v>0.58127704892030907</v>
      </c>
      <c r="F110" s="874">
        <v>0.58389488605386541</v>
      </c>
      <c r="G110" s="874">
        <v>0.5148619346420279</v>
      </c>
      <c r="H110" s="874">
        <v>0.5520962687008456</v>
      </c>
      <c r="I110" s="874">
        <v>0.64487611613742535</v>
      </c>
      <c r="J110" s="874">
        <v>0.71736739400390281</v>
      </c>
    </row>
    <row r="111" spans="1:10" ht="16.5" customHeight="1" x14ac:dyDescent="0.25">
      <c r="A111" s="872" t="s">
        <v>142</v>
      </c>
      <c r="B111" s="873" t="s">
        <v>273</v>
      </c>
      <c r="C111" s="873" t="s">
        <v>267</v>
      </c>
      <c r="D111" s="874">
        <v>0.36495060466700735</v>
      </c>
      <c r="E111" s="874">
        <v>0.43618549297219655</v>
      </c>
      <c r="F111" s="874">
        <v>0.41141014858424446</v>
      </c>
      <c r="G111" s="874">
        <v>0.38660527103923331</v>
      </c>
      <c r="H111" s="874">
        <v>0.50482973149967258</v>
      </c>
      <c r="I111" s="874">
        <v>0.74433120497707927</v>
      </c>
      <c r="J111" s="874">
        <v>0.8598231827111984</v>
      </c>
    </row>
    <row r="112" spans="1:10" ht="16.5" customHeight="1" x14ac:dyDescent="0.25">
      <c r="A112" s="872" t="s">
        <v>144</v>
      </c>
      <c r="B112" s="873" t="s">
        <v>145</v>
      </c>
      <c r="C112" s="873" t="s">
        <v>267</v>
      </c>
      <c r="D112" s="874">
        <v>0.3795736824437731</v>
      </c>
      <c r="E112" s="874">
        <v>0.46124239169351949</v>
      </c>
      <c r="F112" s="874">
        <v>0.50808457711442789</v>
      </c>
      <c r="G112" s="874">
        <v>0.59380111220150478</v>
      </c>
      <c r="H112" s="874">
        <v>0.7590412828386216</v>
      </c>
      <c r="I112" s="874">
        <v>1.0617536676902082</v>
      </c>
      <c r="J112" s="874">
        <v>1.1977482088024565</v>
      </c>
    </row>
    <row r="113" spans="1:10" ht="16.5" customHeight="1" x14ac:dyDescent="0.25">
      <c r="A113" s="872" t="s">
        <v>158</v>
      </c>
      <c r="B113" s="873" t="s">
        <v>159</v>
      </c>
      <c r="C113" s="873" t="s">
        <v>264</v>
      </c>
      <c r="D113" s="874">
        <v>0.58625972595193832</v>
      </c>
      <c r="E113" s="874">
        <v>0.62731924326622335</v>
      </c>
      <c r="F113" s="874">
        <v>0.68828830342540936</v>
      </c>
      <c r="G113" s="874">
        <v>0.54461297491231353</v>
      </c>
      <c r="H113" s="874">
        <v>0.69319518164192861</v>
      </c>
      <c r="I113" s="874">
        <v>0.84594073461950015</v>
      </c>
      <c r="J113" s="874">
        <v>0.96594094650859741</v>
      </c>
    </row>
    <row r="114" spans="1:10" ht="16.5" customHeight="1" x14ac:dyDescent="0.25">
      <c r="A114" s="872" t="s">
        <v>160</v>
      </c>
      <c r="B114" s="873" t="s">
        <v>161</v>
      </c>
      <c r="C114" s="873" t="s">
        <v>264</v>
      </c>
      <c r="D114" s="874">
        <v>0.55881218781820696</v>
      </c>
      <c r="E114" s="874">
        <v>0.62203083062005682</v>
      </c>
      <c r="F114" s="874">
        <v>0.65347444006095146</v>
      </c>
      <c r="G114" s="874">
        <v>0.58223755086462159</v>
      </c>
      <c r="H114" s="874">
        <v>0.5902594626491805</v>
      </c>
      <c r="I114" s="874">
        <v>0.70016528776328624</v>
      </c>
      <c r="J114" s="874">
        <v>0.77657429820441493</v>
      </c>
    </row>
    <row r="115" spans="1:10" ht="16.5" customHeight="1" x14ac:dyDescent="0.25">
      <c r="A115" s="872" t="s">
        <v>166</v>
      </c>
      <c r="B115" s="873" t="s">
        <v>167</v>
      </c>
      <c r="C115" s="873" t="s">
        <v>268</v>
      </c>
      <c r="D115" s="874">
        <v>0.89052462526766596</v>
      </c>
      <c r="E115" s="874">
        <v>0.8070009460737938</v>
      </c>
      <c r="F115" s="874">
        <v>0.90500338066260988</v>
      </c>
      <c r="G115" s="874">
        <v>0.82953855494839102</v>
      </c>
      <c r="H115" s="874">
        <v>0.88517628205128207</v>
      </c>
      <c r="I115" s="874">
        <v>0.92940705128205126</v>
      </c>
      <c r="J115" s="874">
        <v>0.9736538461538462</v>
      </c>
    </row>
    <row r="116" spans="1:10" ht="16.5" customHeight="1" x14ac:dyDescent="0.25">
      <c r="A116" s="872" t="s">
        <v>176</v>
      </c>
      <c r="B116" s="873" t="s">
        <v>177</v>
      </c>
      <c r="C116" s="873" t="s">
        <v>266</v>
      </c>
      <c r="D116" s="874">
        <v>0.7949986012868161</v>
      </c>
      <c r="E116" s="874">
        <v>0.75586750672414427</v>
      </c>
      <c r="F116" s="874">
        <v>0.8542577745383868</v>
      </c>
      <c r="G116" s="874">
        <v>0.79937195350581181</v>
      </c>
      <c r="H116" s="874">
        <v>0.83724882629107977</v>
      </c>
      <c r="I116" s="874">
        <v>0.99456338028169011</v>
      </c>
      <c r="J116" s="874">
        <v>1.0993126760563381</v>
      </c>
    </row>
    <row r="117" spans="1:10" ht="16.5" customHeight="1" x14ac:dyDescent="0.25">
      <c r="A117" s="872" t="s">
        <v>180</v>
      </c>
      <c r="B117" s="873" t="s">
        <v>181</v>
      </c>
      <c r="C117" s="873" t="s">
        <v>264</v>
      </c>
      <c r="D117" s="874">
        <v>0.61106485978138536</v>
      </c>
      <c r="E117" s="874">
        <v>0.66628996178581412</v>
      </c>
      <c r="F117" s="874">
        <v>0.75725375524341632</v>
      </c>
      <c r="G117" s="874">
        <v>0.66542077505159369</v>
      </c>
      <c r="H117" s="874">
        <v>0.63847596952511887</v>
      </c>
      <c r="I117" s="874">
        <v>0.76133141433235951</v>
      </c>
      <c r="J117" s="874">
        <v>0.84777453170647876</v>
      </c>
    </row>
    <row r="118" spans="1:10" ht="16.5" customHeight="1" x14ac:dyDescent="0.25">
      <c r="A118" s="872" t="s">
        <v>192</v>
      </c>
      <c r="B118" s="873" t="s">
        <v>193</v>
      </c>
      <c r="C118" s="873" t="s">
        <v>268</v>
      </c>
      <c r="D118" s="874">
        <v>0.30696784073506889</v>
      </c>
      <c r="E118" s="874">
        <v>0.25727826675693977</v>
      </c>
      <c r="F118" s="874">
        <v>0.31304554489672459</v>
      </c>
      <c r="G118" s="874">
        <v>0.20295520070969172</v>
      </c>
      <c r="H118" s="874">
        <v>0.27385086823289073</v>
      </c>
      <c r="I118" s="874">
        <v>0.31847122914538645</v>
      </c>
      <c r="J118" s="874">
        <v>0.34606741573033706</v>
      </c>
    </row>
    <row r="119" spans="1:10" ht="16.5" customHeight="1" x14ac:dyDescent="0.25">
      <c r="A119" s="872" t="s">
        <v>196</v>
      </c>
      <c r="B119" s="873" t="s">
        <v>197</v>
      </c>
      <c r="C119" s="873" t="s">
        <v>266</v>
      </c>
      <c r="D119" s="874">
        <v>0.63020319462446717</v>
      </c>
      <c r="E119" s="874">
        <v>0.72582216292908119</v>
      </c>
      <c r="F119" s="874">
        <v>0.68280742978628173</v>
      </c>
      <c r="G119" s="874">
        <v>0.56104123161924646</v>
      </c>
      <c r="H119" s="874">
        <v>0.5408664480207459</v>
      </c>
      <c r="I119" s="874">
        <v>0.61187298197442352</v>
      </c>
      <c r="J119" s="874">
        <v>0.68735870642971553</v>
      </c>
    </row>
    <row r="120" spans="1:10" ht="16.5" customHeight="1" x14ac:dyDescent="0.25">
      <c r="A120" s="872" t="s">
        <v>200</v>
      </c>
      <c r="B120" s="873" t="s">
        <v>201</v>
      </c>
      <c r="C120" s="873" t="s">
        <v>265</v>
      </c>
      <c r="D120" s="874">
        <v>0.56488408061486983</v>
      </c>
      <c r="E120" s="874">
        <v>0.63448695339799488</v>
      </c>
      <c r="F120" s="874">
        <v>0.66952366756103221</v>
      </c>
      <c r="G120" s="874">
        <v>0.64317729083665343</v>
      </c>
      <c r="H120" s="874">
        <v>0.69297988233346874</v>
      </c>
      <c r="I120" s="874">
        <v>0.83221234144359679</v>
      </c>
      <c r="J120" s="874">
        <v>0.93290299282264255</v>
      </c>
    </row>
    <row r="121" spans="1:10" ht="16.5" customHeight="1" x14ac:dyDescent="0.25">
      <c r="A121" s="872" t="s">
        <v>222</v>
      </c>
      <c r="B121" s="873" t="s">
        <v>223</v>
      </c>
      <c r="C121" s="873" t="s">
        <v>264</v>
      </c>
      <c r="D121" s="874">
        <v>0.62066855776183327</v>
      </c>
      <c r="E121" s="874">
        <v>0.64036893683603724</v>
      </c>
      <c r="F121" s="874">
        <v>0.66446627997575969</v>
      </c>
      <c r="G121" s="874">
        <v>0.60240908129823445</v>
      </c>
      <c r="H121" s="874">
        <v>0.65524980483996875</v>
      </c>
      <c r="I121" s="874">
        <v>0.80273502843760458</v>
      </c>
      <c r="J121" s="874">
        <v>0.90807962529274</v>
      </c>
    </row>
    <row r="122" spans="1:10" ht="16.5" customHeight="1" x14ac:dyDescent="0.25">
      <c r="A122" s="872" t="s">
        <v>230</v>
      </c>
      <c r="B122" s="873" t="s">
        <v>231</v>
      </c>
      <c r="C122" s="873" t="s">
        <v>264</v>
      </c>
      <c r="D122" s="874">
        <v>0.33338861593106262</v>
      </c>
      <c r="E122" s="874">
        <v>0.39706846825490894</v>
      </c>
      <c r="F122" s="874">
        <v>0.397593649417676</v>
      </c>
      <c r="G122" s="874">
        <v>0.40719128191355158</v>
      </c>
      <c r="H122" s="874">
        <v>0.4476939617884772</v>
      </c>
      <c r="I122" s="874">
        <v>0.59181517091376457</v>
      </c>
      <c r="J122" s="874">
        <v>0.69770879161620403</v>
      </c>
    </row>
    <row r="123" spans="1:10" ht="16.5" customHeight="1" x14ac:dyDescent="0.25">
      <c r="A123" s="872" t="s">
        <v>238</v>
      </c>
      <c r="B123" s="873" t="s">
        <v>239</v>
      </c>
      <c r="C123" s="873" t="s">
        <v>264</v>
      </c>
      <c r="D123" s="874">
        <v>0.25940860215053763</v>
      </c>
      <c r="E123" s="874">
        <v>0.22802366682034733</v>
      </c>
      <c r="F123" s="874">
        <v>0.25445917198494516</v>
      </c>
      <c r="G123" s="874">
        <v>0.22870004391743523</v>
      </c>
      <c r="H123" s="874">
        <v>0.29020141984480768</v>
      </c>
      <c r="I123" s="874">
        <v>0.36346376093775795</v>
      </c>
      <c r="J123" s="874">
        <v>0.43704804358593363</v>
      </c>
    </row>
    <row r="124" spans="1:10" ht="16.5" customHeight="1" x14ac:dyDescent="0.25">
      <c r="A124" s="876" t="s">
        <v>240</v>
      </c>
      <c r="B124" s="877" t="s">
        <v>241</v>
      </c>
      <c r="C124" s="877" t="s">
        <v>267</v>
      </c>
      <c r="D124" s="878">
        <v>0.43303273213092852</v>
      </c>
      <c r="E124" s="878">
        <v>0.4561613363552422</v>
      </c>
      <c r="F124" s="878">
        <v>0.39335079295795139</v>
      </c>
      <c r="G124" s="878">
        <v>0.47347957288765086</v>
      </c>
      <c r="H124" s="878">
        <v>0.53933652895077222</v>
      </c>
      <c r="I124" s="878">
        <v>0.76238301757589588</v>
      </c>
      <c r="J124" s="878">
        <v>0.89915544396256564</v>
      </c>
    </row>
    <row r="126" spans="1:10" x14ac:dyDescent="0.25">
      <c r="A126" s="850" t="s">
        <v>808</v>
      </c>
    </row>
    <row r="127" spans="1:10" ht="18" x14ac:dyDescent="0.25">
      <c r="A127" s="863" t="s">
        <v>807</v>
      </c>
    </row>
    <row r="128" spans="1:10" ht="18" x14ac:dyDescent="0.25">
      <c r="A128" s="863"/>
    </row>
    <row r="129" spans="1:10" x14ac:dyDescent="0.25">
      <c r="A129" s="2164" t="s">
        <v>248</v>
      </c>
      <c r="B129" s="2164"/>
      <c r="C129" s="2164"/>
      <c r="D129" s="2164"/>
      <c r="E129" s="2164"/>
      <c r="F129" s="2164"/>
      <c r="G129" s="2164"/>
      <c r="H129" s="2164"/>
      <c r="I129" s="2164"/>
      <c r="J129" s="2164"/>
    </row>
    <row r="130" spans="1:10" x14ac:dyDescent="0.25">
      <c r="A130" s="851" t="s">
        <v>249</v>
      </c>
      <c r="B130" s="591" t="s">
        <v>250</v>
      </c>
    </row>
  </sheetData>
  <autoFilter ref="A3:C3"/>
  <mergeCells count="1">
    <mergeCell ref="A129:J129"/>
  </mergeCells>
  <hyperlinks>
    <hyperlink ref="B130" r:id="rId1"/>
  </hyperlinks>
  <pageMargins left="0.45" right="0.45" top="0.75" bottom="0.75" header="0.3" footer="0.3"/>
  <pageSetup orientation="portrait" r:id="rId2"/>
  <headerFooter>
    <oddFooter>&amp;C&amp;"Courier New,Regular"&amp;P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5" topLeftCell="A6" activePane="bottomLeft" state="frozen"/>
      <selection pane="bottomLeft" activeCell="C15" sqref="C15"/>
    </sheetView>
  </sheetViews>
  <sheetFormatPr defaultRowHeight="15.75" x14ac:dyDescent="0.25"/>
  <cols>
    <col min="1" max="1" width="9.125" style="687" customWidth="1"/>
    <col min="2" max="2" width="35" style="687" customWidth="1"/>
    <col min="3" max="3" width="11.25" style="687" customWidth="1"/>
    <col min="4" max="9" width="9" style="844"/>
    <col min="10" max="10" width="12.75" style="844" customWidth="1"/>
    <col min="11" max="16384" width="9" style="731"/>
  </cols>
  <sheetData>
    <row r="1" spans="1:10" x14ac:dyDescent="0.25">
      <c r="A1" s="64" t="s">
        <v>771</v>
      </c>
      <c r="B1" s="731"/>
      <c r="C1" s="731"/>
    </row>
    <row r="2" spans="1:10" x14ac:dyDescent="0.25">
      <c r="A2" s="731"/>
      <c r="B2" s="731"/>
      <c r="C2" s="731"/>
    </row>
    <row r="3" spans="1:10" x14ac:dyDescent="0.25">
      <c r="A3" s="731"/>
      <c r="B3" s="731"/>
      <c r="C3" s="731"/>
      <c r="E3" s="2165" t="s">
        <v>769</v>
      </c>
      <c r="F3" s="2165"/>
      <c r="G3" s="2165"/>
      <c r="H3" s="2166" t="s">
        <v>770</v>
      </c>
      <c r="I3" s="2166"/>
      <c r="J3" s="2166"/>
    </row>
    <row r="4" spans="1:10" x14ac:dyDescent="0.25">
      <c r="A4" s="688" t="s">
        <v>4</v>
      </c>
      <c r="B4" s="700" t="s">
        <v>5</v>
      </c>
      <c r="C4" s="688" t="s">
        <v>251</v>
      </c>
      <c r="D4" s="845" t="s">
        <v>281</v>
      </c>
      <c r="E4" s="845" t="s">
        <v>2</v>
      </c>
      <c r="F4" s="845" t="s">
        <v>445</v>
      </c>
      <c r="G4" s="845" t="s">
        <v>446</v>
      </c>
      <c r="H4" s="845" t="s">
        <v>768</v>
      </c>
      <c r="I4" s="846" t="s">
        <v>780</v>
      </c>
      <c r="J4" s="845" t="s">
        <v>781</v>
      </c>
    </row>
    <row r="5" spans="1:10" x14ac:dyDescent="0.25">
      <c r="A5" s="855">
        <v>999</v>
      </c>
      <c r="B5" s="856" t="s">
        <v>9</v>
      </c>
      <c r="C5" s="855"/>
      <c r="D5" s="924">
        <f t="shared" ref="D5:J5" si="0">SUM(D6:D125)</f>
        <v>6028</v>
      </c>
      <c r="E5" s="924">
        <f t="shared" si="0"/>
        <v>3741</v>
      </c>
      <c r="F5" s="924">
        <f t="shared" si="0"/>
        <v>2059</v>
      </c>
      <c r="G5" s="924">
        <f t="shared" si="0"/>
        <v>228</v>
      </c>
      <c r="H5" s="924">
        <f t="shared" si="0"/>
        <v>664</v>
      </c>
      <c r="I5" s="924">
        <f t="shared" si="0"/>
        <v>2489</v>
      </c>
      <c r="J5" s="924">
        <f t="shared" si="0"/>
        <v>2924</v>
      </c>
    </row>
    <row r="6" spans="1:10" x14ac:dyDescent="0.25">
      <c r="A6" s="679" t="s">
        <v>10</v>
      </c>
      <c r="B6" s="680" t="s">
        <v>11</v>
      </c>
      <c r="C6" s="681" t="s">
        <v>264</v>
      </c>
      <c r="D6" s="847">
        <v>46</v>
      </c>
      <c r="E6" s="847">
        <v>30</v>
      </c>
      <c r="F6" s="847">
        <v>16</v>
      </c>
      <c r="G6" s="847">
        <v>0</v>
      </c>
      <c r="H6" s="847">
        <v>4</v>
      </c>
      <c r="I6" s="847">
        <v>20</v>
      </c>
      <c r="J6" s="847">
        <v>22</v>
      </c>
    </row>
    <row r="7" spans="1:10" x14ac:dyDescent="0.25">
      <c r="A7" s="679" t="s">
        <v>12</v>
      </c>
      <c r="B7" s="680" t="s">
        <v>13</v>
      </c>
      <c r="C7" s="681" t="s">
        <v>265</v>
      </c>
      <c r="D7" s="847">
        <v>52</v>
      </c>
      <c r="E7" s="847">
        <v>38</v>
      </c>
      <c r="F7" s="847">
        <v>12</v>
      </c>
      <c r="G7" s="847">
        <v>2</v>
      </c>
      <c r="H7" s="847">
        <v>2</v>
      </c>
      <c r="I7" s="847">
        <v>8</v>
      </c>
      <c r="J7" s="847">
        <v>42</v>
      </c>
    </row>
    <row r="8" spans="1:10" x14ac:dyDescent="0.25">
      <c r="A8" s="679" t="s">
        <v>16</v>
      </c>
      <c r="B8" s="680" t="s">
        <v>297</v>
      </c>
      <c r="C8" s="681" t="s">
        <v>265</v>
      </c>
      <c r="D8" s="847">
        <v>13</v>
      </c>
      <c r="E8" s="847">
        <v>12</v>
      </c>
      <c r="F8" s="847">
        <v>1</v>
      </c>
      <c r="G8" s="847">
        <v>0</v>
      </c>
      <c r="H8" s="847">
        <v>2</v>
      </c>
      <c r="I8" s="847">
        <v>5</v>
      </c>
      <c r="J8" s="847">
        <v>7</v>
      </c>
    </row>
    <row r="9" spans="1:10" x14ac:dyDescent="0.25">
      <c r="A9" s="679" t="s">
        <v>18</v>
      </c>
      <c r="B9" s="680" t="s">
        <v>19</v>
      </c>
      <c r="C9" s="681" t="s">
        <v>266</v>
      </c>
      <c r="D9" s="847">
        <v>17</v>
      </c>
      <c r="E9" s="847">
        <v>10</v>
      </c>
      <c r="F9" s="847">
        <v>6</v>
      </c>
      <c r="G9" s="847">
        <v>1</v>
      </c>
      <c r="H9" s="847">
        <v>2</v>
      </c>
      <c r="I9" s="847">
        <v>3</v>
      </c>
      <c r="J9" s="847">
        <v>12</v>
      </c>
    </row>
    <row r="10" spans="1:10" x14ac:dyDescent="0.25">
      <c r="A10" s="679" t="s">
        <v>20</v>
      </c>
      <c r="B10" s="680" t="s">
        <v>21</v>
      </c>
      <c r="C10" s="681" t="s">
        <v>265</v>
      </c>
      <c r="D10" s="847">
        <v>31</v>
      </c>
      <c r="E10" s="847">
        <v>21</v>
      </c>
      <c r="F10" s="847">
        <v>10</v>
      </c>
      <c r="G10" s="847">
        <v>0</v>
      </c>
      <c r="H10" s="847">
        <v>2</v>
      </c>
      <c r="I10" s="847">
        <v>9</v>
      </c>
      <c r="J10" s="847">
        <v>20</v>
      </c>
    </row>
    <row r="11" spans="1:10" x14ac:dyDescent="0.25">
      <c r="A11" s="679" t="s">
        <v>22</v>
      </c>
      <c r="B11" s="680" t="s">
        <v>23</v>
      </c>
      <c r="C11" s="681" t="s">
        <v>265</v>
      </c>
      <c r="D11" s="847">
        <v>22</v>
      </c>
      <c r="E11" s="847">
        <v>10</v>
      </c>
      <c r="F11" s="847">
        <v>10</v>
      </c>
      <c r="G11" s="847">
        <v>2</v>
      </c>
      <c r="H11" s="847">
        <v>1</v>
      </c>
      <c r="I11" s="847">
        <v>9</v>
      </c>
      <c r="J11" s="847">
        <v>12</v>
      </c>
    </row>
    <row r="12" spans="1:10" x14ac:dyDescent="0.25">
      <c r="A12" s="679" t="s">
        <v>24</v>
      </c>
      <c r="B12" s="680" t="s">
        <v>25</v>
      </c>
      <c r="C12" s="681" t="s">
        <v>267</v>
      </c>
      <c r="D12" s="847">
        <v>84</v>
      </c>
      <c r="E12" s="847">
        <v>64</v>
      </c>
      <c r="F12" s="847">
        <v>12</v>
      </c>
      <c r="G12" s="847">
        <v>8</v>
      </c>
      <c r="H12" s="847">
        <v>3</v>
      </c>
      <c r="I12" s="847">
        <v>33</v>
      </c>
      <c r="J12" s="847">
        <v>48</v>
      </c>
    </row>
    <row r="13" spans="1:10" x14ac:dyDescent="0.25">
      <c r="A13" s="679" t="s">
        <v>26</v>
      </c>
      <c r="B13" s="680" t="s">
        <v>298</v>
      </c>
      <c r="C13" s="681" t="s">
        <v>265</v>
      </c>
      <c r="D13" s="847">
        <v>97</v>
      </c>
      <c r="E13" s="847">
        <v>84</v>
      </c>
      <c r="F13" s="847">
        <v>10</v>
      </c>
      <c r="G13" s="847">
        <v>3</v>
      </c>
      <c r="H13" s="847">
        <v>6</v>
      </c>
      <c r="I13" s="847">
        <v>30</v>
      </c>
      <c r="J13" s="847">
        <v>62</v>
      </c>
    </row>
    <row r="14" spans="1:10" x14ac:dyDescent="0.25">
      <c r="A14" s="679" t="s">
        <v>27</v>
      </c>
      <c r="B14" s="680" t="s">
        <v>28</v>
      </c>
      <c r="C14" s="681" t="s">
        <v>265</v>
      </c>
      <c r="D14" s="847">
        <v>1</v>
      </c>
      <c r="E14" s="847">
        <v>0</v>
      </c>
      <c r="F14" s="847">
        <v>1</v>
      </c>
      <c r="G14" s="847">
        <v>0</v>
      </c>
      <c r="H14" s="847">
        <v>0</v>
      </c>
      <c r="I14" s="847">
        <v>1</v>
      </c>
      <c r="J14" s="847">
        <v>0</v>
      </c>
    </row>
    <row r="15" spans="1:10" x14ac:dyDescent="0.25">
      <c r="A15" s="679" t="s">
        <v>29</v>
      </c>
      <c r="B15" s="680" t="s">
        <v>941</v>
      </c>
      <c r="C15" s="681" t="s">
        <v>265</v>
      </c>
      <c r="D15" s="847">
        <v>70</v>
      </c>
      <c r="E15" s="847">
        <v>55</v>
      </c>
      <c r="F15" s="847">
        <v>14</v>
      </c>
      <c r="G15" s="847">
        <v>1</v>
      </c>
      <c r="H15" s="847">
        <v>2</v>
      </c>
      <c r="I15" s="847">
        <v>23</v>
      </c>
      <c r="J15" s="847">
        <v>45</v>
      </c>
    </row>
    <row r="16" spans="1:10" x14ac:dyDescent="0.25">
      <c r="A16" s="679" t="s">
        <v>30</v>
      </c>
      <c r="B16" s="680" t="s">
        <v>31</v>
      </c>
      <c r="C16" s="681" t="s">
        <v>268</v>
      </c>
      <c r="D16" s="847">
        <v>3</v>
      </c>
      <c r="E16" s="847">
        <v>3</v>
      </c>
      <c r="F16" s="847">
        <v>0</v>
      </c>
      <c r="G16" s="847">
        <v>0</v>
      </c>
      <c r="H16" s="847">
        <v>0</v>
      </c>
      <c r="I16" s="847">
        <v>0</v>
      </c>
      <c r="J16" s="847">
        <v>3</v>
      </c>
    </row>
    <row r="17" spans="1:10" x14ac:dyDescent="0.25">
      <c r="A17" s="679" t="s">
        <v>32</v>
      </c>
      <c r="B17" s="680" t="s">
        <v>33</v>
      </c>
      <c r="C17" s="681" t="s">
        <v>265</v>
      </c>
      <c r="D17" s="847">
        <v>19</v>
      </c>
      <c r="E17" s="847">
        <v>19</v>
      </c>
      <c r="F17" s="847">
        <v>0</v>
      </c>
      <c r="G17" s="847">
        <v>0</v>
      </c>
      <c r="H17" s="847">
        <v>1</v>
      </c>
      <c r="I17" s="847">
        <v>6</v>
      </c>
      <c r="J17" s="847">
        <v>12</v>
      </c>
    </row>
    <row r="18" spans="1:10" x14ac:dyDescent="0.25">
      <c r="A18" s="679" t="s">
        <v>36</v>
      </c>
      <c r="B18" s="680" t="s">
        <v>37</v>
      </c>
      <c r="C18" s="681" t="s">
        <v>264</v>
      </c>
      <c r="D18" s="847">
        <v>31</v>
      </c>
      <c r="E18" s="847">
        <v>6</v>
      </c>
      <c r="F18" s="847">
        <v>25</v>
      </c>
      <c r="G18" s="847">
        <v>0</v>
      </c>
      <c r="H18" s="847">
        <v>2</v>
      </c>
      <c r="I18" s="847">
        <v>17</v>
      </c>
      <c r="J18" s="847">
        <v>12</v>
      </c>
    </row>
    <row r="19" spans="1:10" x14ac:dyDescent="0.25">
      <c r="A19" s="679" t="s">
        <v>38</v>
      </c>
      <c r="B19" s="680" t="s">
        <v>39</v>
      </c>
      <c r="C19" s="681" t="s">
        <v>268</v>
      </c>
      <c r="D19" s="847">
        <v>28</v>
      </c>
      <c r="E19" s="847">
        <v>28</v>
      </c>
      <c r="F19" s="847">
        <v>0</v>
      </c>
      <c r="G19" s="847">
        <v>0</v>
      </c>
      <c r="H19" s="847">
        <v>5</v>
      </c>
      <c r="I19" s="847">
        <v>13</v>
      </c>
      <c r="J19" s="847">
        <v>10</v>
      </c>
    </row>
    <row r="20" spans="1:10" x14ac:dyDescent="0.25">
      <c r="A20" s="679" t="s">
        <v>40</v>
      </c>
      <c r="B20" s="680" t="s">
        <v>41</v>
      </c>
      <c r="C20" s="681" t="s">
        <v>266</v>
      </c>
      <c r="D20" s="847">
        <v>15</v>
      </c>
      <c r="E20" s="847">
        <v>8</v>
      </c>
      <c r="F20" s="847">
        <v>7</v>
      </c>
      <c r="G20" s="847">
        <v>0</v>
      </c>
      <c r="H20" s="847">
        <v>3</v>
      </c>
      <c r="I20" s="847">
        <v>6</v>
      </c>
      <c r="J20" s="847">
        <v>6</v>
      </c>
    </row>
    <row r="21" spans="1:10" x14ac:dyDescent="0.25">
      <c r="A21" s="679" t="s">
        <v>42</v>
      </c>
      <c r="B21" s="680" t="s">
        <v>43</v>
      </c>
      <c r="C21" s="681" t="s">
        <v>265</v>
      </c>
      <c r="D21" s="847">
        <v>45</v>
      </c>
      <c r="E21" s="847">
        <v>36</v>
      </c>
      <c r="F21" s="847">
        <v>7</v>
      </c>
      <c r="G21" s="847">
        <v>2</v>
      </c>
      <c r="H21" s="847">
        <v>3</v>
      </c>
      <c r="I21" s="847">
        <v>5</v>
      </c>
      <c r="J21" s="847">
        <v>37</v>
      </c>
    </row>
    <row r="22" spans="1:10" x14ac:dyDescent="0.25">
      <c r="A22" s="679" t="s">
        <v>44</v>
      </c>
      <c r="B22" s="680" t="s">
        <v>45</v>
      </c>
      <c r="C22" s="681" t="s">
        <v>266</v>
      </c>
      <c r="D22" s="847">
        <v>7</v>
      </c>
      <c r="E22" s="847">
        <v>6</v>
      </c>
      <c r="F22" s="847">
        <v>1</v>
      </c>
      <c r="G22" s="847">
        <v>0</v>
      </c>
      <c r="H22" s="847">
        <v>0</v>
      </c>
      <c r="I22" s="847">
        <v>2</v>
      </c>
      <c r="J22" s="847">
        <v>5</v>
      </c>
    </row>
    <row r="23" spans="1:10" x14ac:dyDescent="0.25">
      <c r="A23" s="679" t="s">
        <v>46</v>
      </c>
      <c r="B23" s="680" t="s">
        <v>47</v>
      </c>
      <c r="C23" s="681" t="s">
        <v>268</v>
      </c>
      <c r="D23" s="847">
        <v>40</v>
      </c>
      <c r="E23" s="847">
        <v>39</v>
      </c>
      <c r="F23" s="847">
        <v>0</v>
      </c>
      <c r="G23" s="847">
        <v>1</v>
      </c>
      <c r="H23" s="847">
        <v>5</v>
      </c>
      <c r="I23" s="847">
        <v>19</v>
      </c>
      <c r="J23" s="847">
        <v>16</v>
      </c>
    </row>
    <row r="24" spans="1:10" x14ac:dyDescent="0.25">
      <c r="A24" s="679" t="s">
        <v>48</v>
      </c>
      <c r="B24" s="680" t="s">
        <v>269</v>
      </c>
      <c r="C24" s="681" t="s">
        <v>266</v>
      </c>
      <c r="D24" s="847">
        <v>8</v>
      </c>
      <c r="E24" s="847">
        <v>4</v>
      </c>
      <c r="F24" s="847">
        <v>4</v>
      </c>
      <c r="G24" s="847">
        <v>0</v>
      </c>
      <c r="H24" s="847">
        <v>1</v>
      </c>
      <c r="I24" s="847">
        <v>6</v>
      </c>
      <c r="J24" s="847">
        <v>1</v>
      </c>
    </row>
    <row r="25" spans="1:10" x14ac:dyDescent="0.25">
      <c r="A25" s="679" t="s">
        <v>50</v>
      </c>
      <c r="B25" s="680" t="s">
        <v>51</v>
      </c>
      <c r="C25" s="681" t="s">
        <v>265</v>
      </c>
      <c r="D25" s="847">
        <v>21</v>
      </c>
      <c r="E25" s="847">
        <v>14</v>
      </c>
      <c r="F25" s="847">
        <v>7</v>
      </c>
      <c r="G25" s="847">
        <v>0</v>
      </c>
      <c r="H25" s="847">
        <v>1</v>
      </c>
      <c r="I25" s="847">
        <v>7</v>
      </c>
      <c r="J25" s="847">
        <v>13</v>
      </c>
    </row>
    <row r="26" spans="1:10" x14ac:dyDescent="0.25">
      <c r="A26" s="679" t="s">
        <v>56</v>
      </c>
      <c r="B26" s="680" t="s">
        <v>295</v>
      </c>
      <c r="C26" s="681" t="s">
        <v>266</v>
      </c>
      <c r="D26" s="847">
        <v>146</v>
      </c>
      <c r="E26" s="847">
        <v>101</v>
      </c>
      <c r="F26" s="847">
        <v>41</v>
      </c>
      <c r="G26" s="847">
        <v>4</v>
      </c>
      <c r="H26" s="847">
        <v>32</v>
      </c>
      <c r="I26" s="847">
        <v>66</v>
      </c>
      <c r="J26" s="847">
        <v>49</v>
      </c>
    </row>
    <row r="27" spans="1:10" x14ac:dyDescent="0.25">
      <c r="A27" s="679" t="s">
        <v>58</v>
      </c>
      <c r="B27" s="680" t="s">
        <v>59</v>
      </c>
      <c r="C27" s="681" t="s">
        <v>267</v>
      </c>
      <c r="D27" s="847">
        <v>4</v>
      </c>
      <c r="E27" s="847">
        <v>4</v>
      </c>
      <c r="F27" s="847">
        <v>0</v>
      </c>
      <c r="G27" s="847">
        <v>0</v>
      </c>
      <c r="H27" s="847">
        <v>0</v>
      </c>
      <c r="I27" s="847">
        <v>1</v>
      </c>
      <c r="J27" s="847">
        <v>3</v>
      </c>
    </row>
    <row r="28" spans="1:10" x14ac:dyDescent="0.25">
      <c r="A28" s="679" t="s">
        <v>60</v>
      </c>
      <c r="B28" s="680" t="s">
        <v>61</v>
      </c>
      <c r="C28" s="681" t="s">
        <v>265</v>
      </c>
      <c r="D28" s="847">
        <v>5</v>
      </c>
      <c r="E28" s="847">
        <v>5</v>
      </c>
      <c r="F28" s="847">
        <v>0</v>
      </c>
      <c r="G28" s="847">
        <v>0</v>
      </c>
      <c r="H28" s="847">
        <v>0</v>
      </c>
      <c r="I28" s="847">
        <v>1</v>
      </c>
      <c r="J28" s="847">
        <v>4</v>
      </c>
    </row>
    <row r="29" spans="1:10" x14ac:dyDescent="0.25">
      <c r="A29" s="679" t="s">
        <v>62</v>
      </c>
      <c r="B29" s="680" t="s">
        <v>63</v>
      </c>
      <c r="C29" s="681" t="s">
        <v>267</v>
      </c>
      <c r="D29" s="847">
        <v>12</v>
      </c>
      <c r="E29" s="847">
        <v>10</v>
      </c>
      <c r="F29" s="847">
        <v>2</v>
      </c>
      <c r="G29" s="847">
        <v>0</v>
      </c>
      <c r="H29" s="847">
        <v>0</v>
      </c>
      <c r="I29" s="847">
        <v>6</v>
      </c>
      <c r="J29" s="847">
        <v>6</v>
      </c>
    </row>
    <row r="30" spans="1:10" x14ac:dyDescent="0.25">
      <c r="A30" s="679" t="s">
        <v>64</v>
      </c>
      <c r="B30" s="680" t="s">
        <v>65</v>
      </c>
      <c r="C30" s="681" t="s">
        <v>266</v>
      </c>
      <c r="D30" s="847">
        <v>14</v>
      </c>
      <c r="E30" s="847">
        <v>3</v>
      </c>
      <c r="F30" s="847">
        <v>11</v>
      </c>
      <c r="G30" s="847">
        <v>0</v>
      </c>
      <c r="H30" s="847">
        <v>1</v>
      </c>
      <c r="I30" s="847">
        <v>4</v>
      </c>
      <c r="J30" s="847">
        <v>9</v>
      </c>
    </row>
    <row r="31" spans="1:10" x14ac:dyDescent="0.25">
      <c r="A31" s="679" t="s">
        <v>68</v>
      </c>
      <c r="B31" s="680" t="s">
        <v>69</v>
      </c>
      <c r="C31" s="681" t="s">
        <v>268</v>
      </c>
      <c r="D31" s="847">
        <v>10</v>
      </c>
      <c r="E31" s="847">
        <v>10</v>
      </c>
      <c r="F31" s="847">
        <v>0</v>
      </c>
      <c r="G31" s="847">
        <v>0</v>
      </c>
      <c r="H31" s="847">
        <v>2</v>
      </c>
      <c r="I31" s="847">
        <v>3</v>
      </c>
      <c r="J31" s="847">
        <v>5</v>
      </c>
    </row>
    <row r="32" spans="1:10" x14ac:dyDescent="0.25">
      <c r="A32" s="679" t="s">
        <v>70</v>
      </c>
      <c r="B32" s="680" t="s">
        <v>71</v>
      </c>
      <c r="C32" s="681" t="s">
        <v>264</v>
      </c>
      <c r="D32" s="847">
        <v>52</v>
      </c>
      <c r="E32" s="847">
        <v>22</v>
      </c>
      <c r="F32" s="847">
        <v>28</v>
      </c>
      <c r="G32" s="847">
        <v>2</v>
      </c>
      <c r="H32" s="847">
        <v>12</v>
      </c>
      <c r="I32" s="847">
        <v>28</v>
      </c>
      <c r="J32" s="847">
        <v>13</v>
      </c>
    </row>
    <row r="33" spans="1:10" x14ac:dyDescent="0.25">
      <c r="A33" s="679" t="s">
        <v>72</v>
      </c>
      <c r="B33" s="680" t="s">
        <v>73</v>
      </c>
      <c r="C33" s="681" t="s">
        <v>266</v>
      </c>
      <c r="D33" s="847">
        <v>5</v>
      </c>
      <c r="E33" s="847">
        <v>0</v>
      </c>
      <c r="F33" s="847">
        <v>5</v>
      </c>
      <c r="G33" s="847">
        <v>0</v>
      </c>
      <c r="H33" s="847">
        <v>1</v>
      </c>
      <c r="I33" s="847">
        <v>3</v>
      </c>
      <c r="J33" s="847">
        <v>1</v>
      </c>
    </row>
    <row r="34" spans="1:10" x14ac:dyDescent="0.25">
      <c r="A34" s="679" t="s">
        <v>74</v>
      </c>
      <c r="B34" s="680" t="s">
        <v>640</v>
      </c>
      <c r="C34" s="681" t="s">
        <v>267</v>
      </c>
      <c r="D34" s="847">
        <v>248</v>
      </c>
      <c r="E34" s="847">
        <v>162</v>
      </c>
      <c r="F34" s="847">
        <v>41</v>
      </c>
      <c r="G34" s="847">
        <v>45</v>
      </c>
      <c r="H34" s="847">
        <v>20</v>
      </c>
      <c r="I34" s="847">
        <v>98</v>
      </c>
      <c r="J34" s="847">
        <v>132</v>
      </c>
    </row>
    <row r="35" spans="1:10" x14ac:dyDescent="0.25">
      <c r="A35" s="679" t="s">
        <v>76</v>
      </c>
      <c r="B35" s="680" t="s">
        <v>77</v>
      </c>
      <c r="C35" s="681" t="s">
        <v>267</v>
      </c>
      <c r="D35" s="847">
        <v>19</v>
      </c>
      <c r="E35" s="847">
        <v>16</v>
      </c>
      <c r="F35" s="847">
        <v>3</v>
      </c>
      <c r="G35" s="847">
        <v>0</v>
      </c>
      <c r="H35" s="847">
        <v>4</v>
      </c>
      <c r="I35" s="847">
        <v>2</v>
      </c>
      <c r="J35" s="847">
        <v>13</v>
      </c>
    </row>
    <row r="36" spans="1:10" x14ac:dyDescent="0.25">
      <c r="A36" s="679" t="s">
        <v>78</v>
      </c>
      <c r="B36" s="680" t="s">
        <v>79</v>
      </c>
      <c r="C36" s="681" t="s">
        <v>268</v>
      </c>
      <c r="D36" s="847">
        <v>14</v>
      </c>
      <c r="E36" s="847">
        <v>14</v>
      </c>
      <c r="F36" s="847">
        <v>0</v>
      </c>
      <c r="G36" s="847">
        <v>0</v>
      </c>
      <c r="H36" s="847">
        <v>2</v>
      </c>
      <c r="I36" s="847">
        <v>5</v>
      </c>
      <c r="J36" s="847">
        <v>8</v>
      </c>
    </row>
    <row r="37" spans="1:10" x14ac:dyDescent="0.25">
      <c r="A37" s="679" t="s">
        <v>80</v>
      </c>
      <c r="B37" s="680" t="s">
        <v>81</v>
      </c>
      <c r="C37" s="681" t="s">
        <v>266</v>
      </c>
      <c r="D37" s="847">
        <v>5</v>
      </c>
      <c r="E37" s="847">
        <v>1</v>
      </c>
      <c r="F37" s="847">
        <v>4</v>
      </c>
      <c r="G37" s="847">
        <v>0</v>
      </c>
      <c r="H37" s="847">
        <v>1</v>
      </c>
      <c r="I37" s="847">
        <v>1</v>
      </c>
      <c r="J37" s="847">
        <v>3</v>
      </c>
    </row>
    <row r="38" spans="1:10" x14ac:dyDescent="0.25">
      <c r="A38" s="679" t="s">
        <v>84</v>
      </c>
      <c r="B38" s="680" t="s">
        <v>85</v>
      </c>
      <c r="C38" s="681" t="s">
        <v>265</v>
      </c>
      <c r="D38" s="847">
        <v>46</v>
      </c>
      <c r="E38" s="847">
        <v>36</v>
      </c>
      <c r="F38" s="847">
        <v>4</v>
      </c>
      <c r="G38" s="847">
        <v>6</v>
      </c>
      <c r="H38" s="847">
        <v>3</v>
      </c>
      <c r="I38" s="847">
        <v>14</v>
      </c>
      <c r="J38" s="847">
        <v>29</v>
      </c>
    </row>
    <row r="39" spans="1:10" x14ac:dyDescent="0.25">
      <c r="A39" s="679" t="s">
        <v>86</v>
      </c>
      <c r="B39" s="680" t="s">
        <v>87</v>
      </c>
      <c r="C39" s="681" t="s">
        <v>267</v>
      </c>
      <c r="D39" s="847">
        <v>25</v>
      </c>
      <c r="E39" s="847">
        <v>21</v>
      </c>
      <c r="F39" s="847">
        <v>2</v>
      </c>
      <c r="G39" s="847">
        <v>2</v>
      </c>
      <c r="H39" s="847">
        <v>1</v>
      </c>
      <c r="I39" s="847">
        <v>9</v>
      </c>
      <c r="J39" s="847">
        <v>15</v>
      </c>
    </row>
    <row r="40" spans="1:10" x14ac:dyDescent="0.25">
      <c r="A40" s="679" t="s">
        <v>92</v>
      </c>
      <c r="B40" s="680" t="s">
        <v>93</v>
      </c>
      <c r="C40" s="681" t="s">
        <v>268</v>
      </c>
      <c r="D40" s="847">
        <v>8</v>
      </c>
      <c r="E40" s="847">
        <v>8</v>
      </c>
      <c r="F40" s="847">
        <v>0</v>
      </c>
      <c r="G40" s="847">
        <v>0</v>
      </c>
      <c r="H40" s="847">
        <v>1</v>
      </c>
      <c r="I40" s="847">
        <v>5</v>
      </c>
      <c r="J40" s="847">
        <v>2</v>
      </c>
    </row>
    <row r="41" spans="1:10" x14ac:dyDescent="0.25">
      <c r="A41" s="679" t="s">
        <v>94</v>
      </c>
      <c r="B41" s="680" t="s">
        <v>95</v>
      </c>
      <c r="C41" s="681" t="s">
        <v>264</v>
      </c>
      <c r="D41" s="847">
        <v>40</v>
      </c>
      <c r="E41" s="847">
        <v>28</v>
      </c>
      <c r="F41" s="847">
        <v>10</v>
      </c>
      <c r="G41" s="847">
        <v>2</v>
      </c>
      <c r="H41" s="847">
        <v>13</v>
      </c>
      <c r="I41" s="847">
        <v>17</v>
      </c>
      <c r="J41" s="847">
        <v>12</v>
      </c>
    </row>
    <row r="42" spans="1:10" x14ac:dyDescent="0.25">
      <c r="A42" s="679" t="s">
        <v>96</v>
      </c>
      <c r="B42" s="680" t="s">
        <v>97</v>
      </c>
      <c r="C42" s="681" t="s">
        <v>266</v>
      </c>
      <c r="D42" s="847">
        <v>10</v>
      </c>
      <c r="E42" s="847">
        <v>6</v>
      </c>
      <c r="F42" s="847">
        <v>4</v>
      </c>
      <c r="G42" s="847">
        <v>0</v>
      </c>
      <c r="H42" s="847">
        <v>1</v>
      </c>
      <c r="I42" s="847">
        <v>1</v>
      </c>
      <c r="J42" s="847">
        <v>8</v>
      </c>
    </row>
    <row r="43" spans="1:10" x14ac:dyDescent="0.25">
      <c r="A43" s="679" t="s">
        <v>98</v>
      </c>
      <c r="B43" s="680" t="s">
        <v>99</v>
      </c>
      <c r="C43" s="681" t="s">
        <v>268</v>
      </c>
      <c r="D43" s="847">
        <v>30</v>
      </c>
      <c r="E43" s="847">
        <v>27</v>
      </c>
      <c r="F43" s="847">
        <v>2</v>
      </c>
      <c r="G43" s="847">
        <v>1</v>
      </c>
      <c r="H43" s="847">
        <v>5</v>
      </c>
      <c r="I43" s="847">
        <v>12</v>
      </c>
      <c r="J43" s="847">
        <v>13</v>
      </c>
    </row>
    <row r="44" spans="1:10" x14ac:dyDescent="0.25">
      <c r="A44" s="679" t="s">
        <v>100</v>
      </c>
      <c r="B44" s="680" t="s">
        <v>101</v>
      </c>
      <c r="C44" s="681" t="s">
        <v>267</v>
      </c>
      <c r="D44" s="847">
        <v>10</v>
      </c>
      <c r="E44" s="847">
        <v>6</v>
      </c>
      <c r="F44" s="847">
        <v>1</v>
      </c>
      <c r="G44" s="847">
        <v>3</v>
      </c>
      <c r="H44" s="847">
        <v>0</v>
      </c>
      <c r="I44" s="847">
        <v>0</v>
      </c>
      <c r="J44" s="847">
        <v>10</v>
      </c>
    </row>
    <row r="45" spans="1:10" x14ac:dyDescent="0.25">
      <c r="A45" s="679" t="s">
        <v>102</v>
      </c>
      <c r="B45" s="680" t="s">
        <v>282</v>
      </c>
      <c r="C45" s="681" t="s">
        <v>264</v>
      </c>
      <c r="D45" s="847">
        <v>25</v>
      </c>
      <c r="E45" s="847">
        <v>13</v>
      </c>
      <c r="F45" s="847">
        <v>12</v>
      </c>
      <c r="G45" s="847">
        <v>0</v>
      </c>
      <c r="H45" s="847">
        <v>1</v>
      </c>
      <c r="I45" s="847">
        <v>4</v>
      </c>
      <c r="J45" s="847">
        <v>20</v>
      </c>
    </row>
    <row r="46" spans="1:10" x14ac:dyDescent="0.25">
      <c r="A46" s="679" t="s">
        <v>104</v>
      </c>
      <c r="B46" s="680" t="s">
        <v>105</v>
      </c>
      <c r="C46" s="681" t="s">
        <v>265</v>
      </c>
      <c r="D46" s="847">
        <v>52</v>
      </c>
      <c r="E46" s="847">
        <v>22</v>
      </c>
      <c r="F46" s="847">
        <v>29</v>
      </c>
      <c r="G46" s="847">
        <v>1</v>
      </c>
      <c r="H46" s="847">
        <v>4</v>
      </c>
      <c r="I46" s="847">
        <v>23</v>
      </c>
      <c r="J46" s="847">
        <v>25</v>
      </c>
    </row>
    <row r="47" spans="1:10" x14ac:dyDescent="0.25">
      <c r="A47" s="679" t="s">
        <v>108</v>
      </c>
      <c r="B47" s="680" t="s">
        <v>109</v>
      </c>
      <c r="C47" s="681" t="s">
        <v>266</v>
      </c>
      <c r="D47" s="847">
        <v>31</v>
      </c>
      <c r="E47" s="847">
        <v>20</v>
      </c>
      <c r="F47" s="847">
        <v>11</v>
      </c>
      <c r="G47" s="847">
        <v>0</v>
      </c>
      <c r="H47" s="847">
        <v>4</v>
      </c>
      <c r="I47" s="847">
        <v>12</v>
      </c>
      <c r="J47" s="847">
        <v>15</v>
      </c>
    </row>
    <row r="48" spans="1:10" x14ac:dyDescent="0.25">
      <c r="A48" s="679" t="s">
        <v>110</v>
      </c>
      <c r="B48" s="680" t="s">
        <v>111</v>
      </c>
      <c r="C48" s="681" t="s">
        <v>266</v>
      </c>
      <c r="D48" s="847">
        <v>162</v>
      </c>
      <c r="E48" s="847">
        <v>92</v>
      </c>
      <c r="F48" s="847">
        <v>60</v>
      </c>
      <c r="G48" s="847">
        <v>10</v>
      </c>
      <c r="H48" s="847">
        <v>23</v>
      </c>
      <c r="I48" s="847">
        <v>60</v>
      </c>
      <c r="J48" s="847">
        <v>80</v>
      </c>
    </row>
    <row r="49" spans="1:10" x14ac:dyDescent="0.25">
      <c r="A49" s="679" t="s">
        <v>112</v>
      </c>
      <c r="B49" s="680" t="s">
        <v>300</v>
      </c>
      <c r="C49" s="681" t="s">
        <v>265</v>
      </c>
      <c r="D49" s="847">
        <v>66</v>
      </c>
      <c r="E49" s="847">
        <v>46</v>
      </c>
      <c r="F49" s="847">
        <v>19</v>
      </c>
      <c r="G49" s="847">
        <v>1</v>
      </c>
      <c r="H49" s="847">
        <v>3</v>
      </c>
      <c r="I49" s="847">
        <v>30</v>
      </c>
      <c r="J49" s="847">
        <v>33</v>
      </c>
    </row>
    <row r="50" spans="1:10" x14ac:dyDescent="0.25">
      <c r="A50" s="679" t="s">
        <v>114</v>
      </c>
      <c r="B50" s="680" t="s">
        <v>115</v>
      </c>
      <c r="C50" s="681" t="s">
        <v>265</v>
      </c>
      <c r="D50" s="847">
        <v>3</v>
      </c>
      <c r="E50" s="847">
        <v>3</v>
      </c>
      <c r="F50" s="847">
        <v>0</v>
      </c>
      <c r="G50" s="847">
        <v>0</v>
      </c>
      <c r="H50" s="847">
        <v>0</v>
      </c>
      <c r="I50" s="847">
        <v>1</v>
      </c>
      <c r="J50" s="847">
        <v>2</v>
      </c>
    </row>
    <row r="51" spans="1:10" x14ac:dyDescent="0.25">
      <c r="A51" s="679" t="s">
        <v>118</v>
      </c>
      <c r="B51" s="680" t="s">
        <v>270</v>
      </c>
      <c r="C51" s="681" t="s">
        <v>264</v>
      </c>
      <c r="D51" s="847">
        <v>14</v>
      </c>
      <c r="E51" s="847">
        <v>5</v>
      </c>
      <c r="F51" s="847">
        <v>9</v>
      </c>
      <c r="G51" s="847">
        <v>0</v>
      </c>
      <c r="H51" s="847">
        <v>2</v>
      </c>
      <c r="I51" s="847">
        <v>7</v>
      </c>
      <c r="J51" s="847">
        <v>5</v>
      </c>
    </row>
    <row r="52" spans="1:10" x14ac:dyDescent="0.25">
      <c r="A52" s="679" t="s">
        <v>120</v>
      </c>
      <c r="B52" s="680" t="s">
        <v>121</v>
      </c>
      <c r="C52" s="681" t="s">
        <v>264</v>
      </c>
      <c r="D52" s="847">
        <v>31</v>
      </c>
      <c r="E52" s="847">
        <v>15</v>
      </c>
      <c r="F52" s="847">
        <v>15</v>
      </c>
      <c r="G52" s="847">
        <v>1</v>
      </c>
      <c r="H52" s="847">
        <v>6</v>
      </c>
      <c r="I52" s="847">
        <v>15</v>
      </c>
      <c r="J52" s="847">
        <v>10</v>
      </c>
    </row>
    <row r="53" spans="1:10" x14ac:dyDescent="0.25">
      <c r="A53" s="679" t="s">
        <v>122</v>
      </c>
      <c r="B53" s="680" t="s">
        <v>287</v>
      </c>
      <c r="C53" s="681" t="s">
        <v>266</v>
      </c>
      <c r="D53" s="847">
        <v>5</v>
      </c>
      <c r="E53" s="847">
        <v>1</v>
      </c>
      <c r="F53" s="847">
        <v>4</v>
      </c>
      <c r="G53" s="847">
        <v>0</v>
      </c>
      <c r="H53" s="847">
        <v>1</v>
      </c>
      <c r="I53" s="847">
        <v>3</v>
      </c>
      <c r="J53" s="847">
        <v>1</v>
      </c>
    </row>
    <row r="54" spans="1:10" x14ac:dyDescent="0.25">
      <c r="A54" s="679" t="s">
        <v>124</v>
      </c>
      <c r="B54" s="680" t="s">
        <v>125</v>
      </c>
      <c r="C54" s="681" t="s">
        <v>267</v>
      </c>
      <c r="D54" s="847">
        <v>2</v>
      </c>
      <c r="E54" s="847">
        <v>1</v>
      </c>
      <c r="F54" s="847">
        <v>1</v>
      </c>
      <c r="G54" s="847">
        <v>0</v>
      </c>
      <c r="H54" s="847">
        <v>0</v>
      </c>
      <c r="I54" s="847">
        <v>0</v>
      </c>
      <c r="J54" s="847">
        <v>2</v>
      </c>
    </row>
    <row r="55" spans="1:10" x14ac:dyDescent="0.25">
      <c r="A55" s="679" t="s">
        <v>126</v>
      </c>
      <c r="B55" s="680" t="s">
        <v>127</v>
      </c>
      <c r="C55" s="681" t="s">
        <v>266</v>
      </c>
      <c r="D55" s="847">
        <v>14</v>
      </c>
      <c r="E55" s="847">
        <v>6</v>
      </c>
      <c r="F55" s="847">
        <v>8</v>
      </c>
      <c r="G55" s="847">
        <v>0</v>
      </c>
      <c r="H55" s="847">
        <v>3</v>
      </c>
      <c r="I55" s="847">
        <v>7</v>
      </c>
      <c r="J55" s="847">
        <v>4</v>
      </c>
    </row>
    <row r="56" spans="1:10" x14ac:dyDescent="0.25">
      <c r="A56" s="679" t="s">
        <v>128</v>
      </c>
      <c r="B56" s="680" t="s">
        <v>129</v>
      </c>
      <c r="C56" s="681" t="s">
        <v>266</v>
      </c>
      <c r="D56" s="847">
        <v>8</v>
      </c>
      <c r="E56" s="847">
        <v>5</v>
      </c>
      <c r="F56" s="847">
        <v>3</v>
      </c>
      <c r="G56" s="847">
        <v>0</v>
      </c>
      <c r="H56" s="847">
        <v>0</v>
      </c>
      <c r="I56" s="847">
        <v>5</v>
      </c>
      <c r="J56" s="847">
        <v>3</v>
      </c>
    </row>
    <row r="57" spans="1:10" x14ac:dyDescent="0.25">
      <c r="A57" s="679" t="s">
        <v>130</v>
      </c>
      <c r="B57" s="680" t="s">
        <v>131</v>
      </c>
      <c r="C57" s="681" t="s">
        <v>268</v>
      </c>
      <c r="D57" s="847">
        <v>112</v>
      </c>
      <c r="E57" s="847">
        <v>110</v>
      </c>
      <c r="F57" s="847">
        <v>0</v>
      </c>
      <c r="G57" s="847">
        <v>2</v>
      </c>
      <c r="H57" s="847">
        <v>17</v>
      </c>
      <c r="I57" s="847">
        <v>65</v>
      </c>
      <c r="J57" s="847">
        <v>31</v>
      </c>
    </row>
    <row r="58" spans="1:10" x14ac:dyDescent="0.25">
      <c r="A58" s="679" t="s">
        <v>132</v>
      </c>
      <c r="B58" s="680" t="s">
        <v>133</v>
      </c>
      <c r="C58" s="681" t="s">
        <v>267</v>
      </c>
      <c r="D58" s="847">
        <v>23</v>
      </c>
      <c r="E58" s="847">
        <v>18</v>
      </c>
      <c r="F58" s="847">
        <v>4</v>
      </c>
      <c r="G58" s="847">
        <v>1</v>
      </c>
      <c r="H58" s="847">
        <v>2</v>
      </c>
      <c r="I58" s="847">
        <v>6</v>
      </c>
      <c r="J58" s="847">
        <v>16</v>
      </c>
    </row>
    <row r="59" spans="1:10" x14ac:dyDescent="0.25">
      <c r="A59" s="679" t="s">
        <v>134</v>
      </c>
      <c r="B59" s="680" t="s">
        <v>135</v>
      </c>
      <c r="C59" s="681" t="s">
        <v>267</v>
      </c>
      <c r="D59" s="847">
        <v>13</v>
      </c>
      <c r="E59" s="847">
        <v>7</v>
      </c>
      <c r="F59" s="847">
        <v>6</v>
      </c>
      <c r="G59" s="847">
        <v>0</v>
      </c>
      <c r="H59" s="847">
        <v>2</v>
      </c>
      <c r="I59" s="847">
        <v>5</v>
      </c>
      <c r="J59" s="847">
        <v>6</v>
      </c>
    </row>
    <row r="60" spans="1:10" x14ac:dyDescent="0.25">
      <c r="A60" s="679" t="s">
        <v>136</v>
      </c>
      <c r="B60" s="680" t="s">
        <v>137</v>
      </c>
      <c r="C60" s="681" t="s">
        <v>266</v>
      </c>
      <c r="D60" s="847">
        <v>15</v>
      </c>
      <c r="E60" s="847">
        <v>7</v>
      </c>
      <c r="F60" s="847">
        <v>8</v>
      </c>
      <c r="G60" s="847">
        <v>0</v>
      </c>
      <c r="H60" s="847">
        <v>3</v>
      </c>
      <c r="I60" s="847">
        <v>5</v>
      </c>
      <c r="J60" s="847">
        <v>7</v>
      </c>
    </row>
    <row r="61" spans="1:10" x14ac:dyDescent="0.25">
      <c r="A61" s="679" t="s">
        <v>140</v>
      </c>
      <c r="B61" s="680" t="s">
        <v>141</v>
      </c>
      <c r="C61" s="681" t="s">
        <v>267</v>
      </c>
      <c r="D61" s="847">
        <v>11</v>
      </c>
      <c r="E61" s="847">
        <v>9</v>
      </c>
      <c r="F61" s="847">
        <v>1</v>
      </c>
      <c r="G61" s="847">
        <v>1</v>
      </c>
      <c r="H61" s="847">
        <v>0</v>
      </c>
      <c r="I61" s="847">
        <v>2</v>
      </c>
      <c r="J61" s="847">
        <v>9</v>
      </c>
    </row>
    <row r="62" spans="1:10" x14ac:dyDescent="0.25">
      <c r="A62" s="679" t="s">
        <v>146</v>
      </c>
      <c r="B62" s="680" t="s">
        <v>147</v>
      </c>
      <c r="C62" s="681" t="s">
        <v>264</v>
      </c>
      <c r="D62" s="847">
        <v>4</v>
      </c>
      <c r="E62" s="847">
        <v>4</v>
      </c>
      <c r="F62" s="847">
        <v>0</v>
      </c>
      <c r="G62" s="847">
        <v>0</v>
      </c>
      <c r="H62" s="847">
        <v>0</v>
      </c>
      <c r="I62" s="847">
        <v>3</v>
      </c>
      <c r="J62" s="847">
        <v>1</v>
      </c>
    </row>
    <row r="63" spans="1:10" x14ac:dyDescent="0.25">
      <c r="A63" s="679" t="s">
        <v>148</v>
      </c>
      <c r="B63" s="680" t="s">
        <v>149</v>
      </c>
      <c r="C63" s="681" t="s">
        <v>265</v>
      </c>
      <c r="D63" s="847">
        <v>60</v>
      </c>
      <c r="E63" s="847">
        <v>26</v>
      </c>
      <c r="F63" s="847">
        <v>32</v>
      </c>
      <c r="G63" s="847">
        <v>2</v>
      </c>
      <c r="H63" s="847">
        <v>2</v>
      </c>
      <c r="I63" s="847">
        <v>25</v>
      </c>
      <c r="J63" s="847">
        <v>34</v>
      </c>
    </row>
    <row r="64" spans="1:10" x14ac:dyDescent="0.25">
      <c r="A64" s="679" t="s">
        <v>150</v>
      </c>
      <c r="B64" s="680" t="s">
        <v>151</v>
      </c>
      <c r="C64" s="681" t="s">
        <v>266</v>
      </c>
      <c r="D64" s="847">
        <v>9</v>
      </c>
      <c r="E64" s="847">
        <v>3</v>
      </c>
      <c r="F64" s="847">
        <v>5</v>
      </c>
      <c r="G64" s="847">
        <v>1</v>
      </c>
      <c r="H64" s="847">
        <v>0</v>
      </c>
      <c r="I64" s="847">
        <v>7</v>
      </c>
      <c r="J64" s="847">
        <v>2</v>
      </c>
    </row>
    <row r="65" spans="1:10" x14ac:dyDescent="0.25">
      <c r="A65" s="679" t="s">
        <v>152</v>
      </c>
      <c r="B65" s="680" t="s">
        <v>153</v>
      </c>
      <c r="C65" s="681" t="s">
        <v>268</v>
      </c>
      <c r="D65" s="847">
        <v>55</v>
      </c>
      <c r="E65" s="847">
        <v>51</v>
      </c>
      <c r="F65" s="847">
        <v>2</v>
      </c>
      <c r="G65" s="847">
        <v>2</v>
      </c>
      <c r="H65" s="847">
        <v>5</v>
      </c>
      <c r="I65" s="847">
        <v>18</v>
      </c>
      <c r="J65" s="847">
        <v>33</v>
      </c>
    </row>
    <row r="66" spans="1:10" x14ac:dyDescent="0.25">
      <c r="A66" s="679" t="s">
        <v>154</v>
      </c>
      <c r="B66" s="680" t="s">
        <v>155</v>
      </c>
      <c r="C66" s="681" t="s">
        <v>265</v>
      </c>
      <c r="D66" s="847">
        <v>24</v>
      </c>
      <c r="E66" s="847">
        <v>12</v>
      </c>
      <c r="F66" s="847">
        <v>11</v>
      </c>
      <c r="G66" s="847">
        <v>1</v>
      </c>
      <c r="H66" s="847">
        <v>3</v>
      </c>
      <c r="I66" s="847">
        <v>7</v>
      </c>
      <c r="J66" s="847">
        <v>14</v>
      </c>
    </row>
    <row r="67" spans="1:10" x14ac:dyDescent="0.25">
      <c r="A67" s="679" t="s">
        <v>156</v>
      </c>
      <c r="B67" s="680" t="s">
        <v>157</v>
      </c>
      <c r="C67" s="681" t="s">
        <v>266</v>
      </c>
      <c r="D67" s="847">
        <v>9</v>
      </c>
      <c r="E67" s="847">
        <v>7</v>
      </c>
      <c r="F67" s="847">
        <v>2</v>
      </c>
      <c r="G67" s="847">
        <v>0</v>
      </c>
      <c r="H67" s="847">
        <v>2</v>
      </c>
      <c r="I67" s="847">
        <v>7</v>
      </c>
      <c r="J67" s="847">
        <v>0</v>
      </c>
    </row>
    <row r="68" spans="1:10" x14ac:dyDescent="0.25">
      <c r="A68" s="679" t="s">
        <v>162</v>
      </c>
      <c r="B68" s="680" t="s">
        <v>163</v>
      </c>
      <c r="C68" s="681" t="s">
        <v>264</v>
      </c>
      <c r="D68" s="847">
        <v>21</v>
      </c>
      <c r="E68" s="847">
        <v>9</v>
      </c>
      <c r="F68" s="847">
        <v>12</v>
      </c>
      <c r="G68" s="847">
        <v>0</v>
      </c>
      <c r="H68" s="847">
        <v>1</v>
      </c>
      <c r="I68" s="847">
        <v>11</v>
      </c>
      <c r="J68" s="847">
        <v>9</v>
      </c>
    </row>
    <row r="69" spans="1:10" x14ac:dyDescent="0.25">
      <c r="A69" s="679" t="s">
        <v>164</v>
      </c>
      <c r="B69" s="680" t="s">
        <v>165</v>
      </c>
      <c r="C69" s="681" t="s">
        <v>266</v>
      </c>
      <c r="D69" s="847">
        <v>12</v>
      </c>
      <c r="E69" s="847">
        <v>10</v>
      </c>
      <c r="F69" s="847">
        <v>2</v>
      </c>
      <c r="G69" s="847">
        <v>0</v>
      </c>
      <c r="H69" s="847">
        <v>3</v>
      </c>
      <c r="I69" s="847">
        <v>6</v>
      </c>
      <c r="J69" s="847">
        <v>3</v>
      </c>
    </row>
    <row r="70" spans="1:10" x14ac:dyDescent="0.25">
      <c r="A70" s="679" t="s">
        <v>168</v>
      </c>
      <c r="B70" s="680" t="s">
        <v>169</v>
      </c>
      <c r="C70" s="681" t="s">
        <v>266</v>
      </c>
      <c r="D70" s="847">
        <v>15</v>
      </c>
      <c r="E70" s="847">
        <v>4</v>
      </c>
      <c r="F70" s="847">
        <v>11</v>
      </c>
      <c r="G70" s="847">
        <v>0</v>
      </c>
      <c r="H70" s="847">
        <v>0</v>
      </c>
      <c r="I70" s="847">
        <v>7</v>
      </c>
      <c r="J70" s="847">
        <v>8</v>
      </c>
    </row>
    <row r="71" spans="1:10" x14ac:dyDescent="0.25">
      <c r="A71" s="679" t="s">
        <v>170</v>
      </c>
      <c r="B71" s="680" t="s">
        <v>171</v>
      </c>
      <c r="C71" s="681" t="s">
        <v>267</v>
      </c>
      <c r="D71" s="847">
        <v>16</v>
      </c>
      <c r="E71" s="847">
        <v>7</v>
      </c>
      <c r="F71" s="847">
        <v>8</v>
      </c>
      <c r="G71" s="847">
        <v>1</v>
      </c>
      <c r="H71" s="847">
        <v>1</v>
      </c>
      <c r="I71" s="847">
        <v>8</v>
      </c>
      <c r="J71" s="847">
        <v>8</v>
      </c>
    </row>
    <row r="72" spans="1:10" x14ac:dyDescent="0.25">
      <c r="A72" s="679" t="s">
        <v>172</v>
      </c>
      <c r="B72" s="680" t="s">
        <v>173</v>
      </c>
      <c r="C72" s="681" t="s">
        <v>267</v>
      </c>
      <c r="D72" s="847">
        <v>23</v>
      </c>
      <c r="E72" s="847">
        <v>23</v>
      </c>
      <c r="F72" s="847">
        <v>0</v>
      </c>
      <c r="G72" s="847">
        <v>0</v>
      </c>
      <c r="H72" s="847">
        <v>0</v>
      </c>
      <c r="I72" s="847">
        <v>7</v>
      </c>
      <c r="J72" s="847">
        <v>16</v>
      </c>
    </row>
    <row r="73" spans="1:10" x14ac:dyDescent="0.25">
      <c r="A73" s="679" t="s">
        <v>174</v>
      </c>
      <c r="B73" s="680" t="s">
        <v>175</v>
      </c>
      <c r="C73" s="681" t="s">
        <v>268</v>
      </c>
      <c r="D73" s="847">
        <v>25</v>
      </c>
      <c r="E73" s="847">
        <v>21</v>
      </c>
      <c r="F73" s="847">
        <v>0</v>
      </c>
      <c r="G73" s="847">
        <v>4</v>
      </c>
      <c r="H73" s="847">
        <v>1</v>
      </c>
      <c r="I73" s="847">
        <v>7</v>
      </c>
      <c r="J73" s="847">
        <v>17</v>
      </c>
    </row>
    <row r="74" spans="1:10" x14ac:dyDescent="0.25">
      <c r="A74" s="679" t="s">
        <v>178</v>
      </c>
      <c r="B74" s="680" t="s">
        <v>179</v>
      </c>
      <c r="C74" s="681" t="s">
        <v>265</v>
      </c>
      <c r="D74" s="847">
        <v>43</v>
      </c>
      <c r="E74" s="847">
        <v>27</v>
      </c>
      <c r="F74" s="847">
        <v>14</v>
      </c>
      <c r="G74" s="847">
        <v>2</v>
      </c>
      <c r="H74" s="847">
        <v>1</v>
      </c>
      <c r="I74" s="847">
        <v>12</v>
      </c>
      <c r="J74" s="847">
        <v>30</v>
      </c>
    </row>
    <row r="75" spans="1:10" x14ac:dyDescent="0.25">
      <c r="A75" s="679" t="s">
        <v>182</v>
      </c>
      <c r="B75" s="680" t="s">
        <v>183</v>
      </c>
      <c r="C75" s="681" t="s">
        <v>266</v>
      </c>
      <c r="D75" s="847">
        <v>11</v>
      </c>
      <c r="E75" s="847">
        <v>6</v>
      </c>
      <c r="F75" s="847">
        <v>5</v>
      </c>
      <c r="G75" s="847">
        <v>0</v>
      </c>
      <c r="H75" s="847">
        <v>1</v>
      </c>
      <c r="I75" s="847">
        <v>7</v>
      </c>
      <c r="J75" s="847">
        <v>3</v>
      </c>
    </row>
    <row r="76" spans="1:10" x14ac:dyDescent="0.25">
      <c r="A76" s="679" t="s">
        <v>184</v>
      </c>
      <c r="B76" s="680" t="s">
        <v>185</v>
      </c>
      <c r="C76" s="681" t="s">
        <v>266</v>
      </c>
      <c r="D76" s="847">
        <v>28</v>
      </c>
      <c r="E76" s="847">
        <v>12</v>
      </c>
      <c r="F76" s="847">
        <v>16</v>
      </c>
      <c r="G76" s="847">
        <v>0</v>
      </c>
      <c r="H76" s="847">
        <v>4</v>
      </c>
      <c r="I76" s="847">
        <v>12</v>
      </c>
      <c r="J76" s="847">
        <v>12</v>
      </c>
    </row>
    <row r="77" spans="1:10" x14ac:dyDescent="0.25">
      <c r="A77" s="679" t="s">
        <v>186</v>
      </c>
      <c r="B77" s="680" t="s">
        <v>187</v>
      </c>
      <c r="C77" s="681" t="s">
        <v>264</v>
      </c>
      <c r="D77" s="847">
        <v>6</v>
      </c>
      <c r="E77" s="847">
        <v>4</v>
      </c>
      <c r="F77" s="847">
        <v>2</v>
      </c>
      <c r="G77" s="847">
        <v>0</v>
      </c>
      <c r="H77" s="847">
        <v>4</v>
      </c>
      <c r="I77" s="847">
        <v>2</v>
      </c>
      <c r="J77" s="847">
        <v>0</v>
      </c>
    </row>
    <row r="78" spans="1:10" x14ac:dyDescent="0.25">
      <c r="A78" s="679" t="s">
        <v>188</v>
      </c>
      <c r="B78" s="680" t="s">
        <v>189</v>
      </c>
      <c r="C78" s="681" t="s">
        <v>267</v>
      </c>
      <c r="D78" s="847">
        <v>80</v>
      </c>
      <c r="E78" s="847">
        <v>48</v>
      </c>
      <c r="F78" s="847">
        <v>22</v>
      </c>
      <c r="G78" s="847">
        <v>10</v>
      </c>
      <c r="H78" s="847">
        <v>9</v>
      </c>
      <c r="I78" s="847">
        <v>23</v>
      </c>
      <c r="J78" s="847">
        <v>48</v>
      </c>
    </row>
    <row r="79" spans="1:10" x14ac:dyDescent="0.25">
      <c r="A79" s="679" t="s">
        <v>190</v>
      </c>
      <c r="B79" s="680" t="s">
        <v>191</v>
      </c>
      <c r="C79" s="681" t="s">
        <v>268</v>
      </c>
      <c r="D79" s="847">
        <v>49</v>
      </c>
      <c r="E79" s="847">
        <v>44</v>
      </c>
      <c r="F79" s="847">
        <v>4</v>
      </c>
      <c r="G79" s="847">
        <v>1</v>
      </c>
      <c r="H79" s="847">
        <v>6</v>
      </c>
      <c r="I79" s="847">
        <v>19</v>
      </c>
      <c r="J79" s="847">
        <v>25</v>
      </c>
    </row>
    <row r="80" spans="1:10" x14ac:dyDescent="0.25">
      <c r="A80" s="679" t="s">
        <v>194</v>
      </c>
      <c r="B80" s="680" t="s">
        <v>195</v>
      </c>
      <c r="C80" s="681" t="s">
        <v>267</v>
      </c>
      <c r="D80" s="847">
        <v>2</v>
      </c>
      <c r="E80" s="847">
        <v>2</v>
      </c>
      <c r="F80" s="847">
        <v>0</v>
      </c>
      <c r="G80" s="847">
        <v>0</v>
      </c>
      <c r="H80" s="847">
        <v>0</v>
      </c>
      <c r="I80" s="847">
        <v>0</v>
      </c>
      <c r="J80" s="847">
        <v>2</v>
      </c>
    </row>
    <row r="81" spans="1:10" x14ac:dyDescent="0.25">
      <c r="A81" s="679" t="s">
        <v>198</v>
      </c>
      <c r="B81" s="680" t="s">
        <v>272</v>
      </c>
      <c r="C81" s="681" t="s">
        <v>266</v>
      </c>
      <c r="D81" s="847">
        <v>5</v>
      </c>
      <c r="E81" s="847">
        <v>4</v>
      </c>
      <c r="F81" s="847">
        <v>1</v>
      </c>
      <c r="G81" s="847">
        <v>0</v>
      </c>
      <c r="H81" s="847">
        <v>2</v>
      </c>
      <c r="I81" s="847">
        <v>1</v>
      </c>
      <c r="J81" s="847">
        <v>2</v>
      </c>
    </row>
    <row r="82" spans="1:10" x14ac:dyDescent="0.25">
      <c r="A82" s="679" t="s">
        <v>202</v>
      </c>
      <c r="B82" s="680" t="s">
        <v>301</v>
      </c>
      <c r="C82" s="681" t="s">
        <v>265</v>
      </c>
      <c r="D82" s="847">
        <v>103</v>
      </c>
      <c r="E82" s="847">
        <v>95</v>
      </c>
      <c r="F82" s="847">
        <v>4</v>
      </c>
      <c r="G82" s="847">
        <v>4</v>
      </c>
      <c r="H82" s="847">
        <v>5</v>
      </c>
      <c r="I82" s="847">
        <v>36</v>
      </c>
      <c r="J82" s="847">
        <v>63</v>
      </c>
    </row>
    <row r="83" spans="1:10" x14ac:dyDescent="0.25">
      <c r="A83" s="679" t="s">
        <v>204</v>
      </c>
      <c r="B83" s="680" t="s">
        <v>293</v>
      </c>
      <c r="C83" s="681" t="s">
        <v>265</v>
      </c>
      <c r="D83" s="847">
        <v>23</v>
      </c>
      <c r="E83" s="847">
        <v>20</v>
      </c>
      <c r="F83" s="847">
        <v>2</v>
      </c>
      <c r="G83" s="847">
        <v>1</v>
      </c>
      <c r="H83" s="847">
        <v>1</v>
      </c>
      <c r="I83" s="847">
        <v>8</v>
      </c>
      <c r="J83" s="847">
        <v>14</v>
      </c>
    </row>
    <row r="84" spans="1:10" x14ac:dyDescent="0.25">
      <c r="A84" s="679" t="s">
        <v>206</v>
      </c>
      <c r="B84" s="680" t="s">
        <v>294</v>
      </c>
      <c r="C84" s="681" t="s">
        <v>267</v>
      </c>
      <c r="D84" s="847">
        <v>83</v>
      </c>
      <c r="E84" s="847">
        <v>74</v>
      </c>
      <c r="F84" s="847">
        <v>0</v>
      </c>
      <c r="G84" s="847">
        <v>9</v>
      </c>
      <c r="H84" s="847">
        <v>2</v>
      </c>
      <c r="I84" s="847">
        <v>23</v>
      </c>
      <c r="J84" s="847">
        <v>58</v>
      </c>
    </row>
    <row r="85" spans="1:10" x14ac:dyDescent="0.25">
      <c r="A85" s="679" t="s">
        <v>208</v>
      </c>
      <c r="B85" s="680" t="s">
        <v>209</v>
      </c>
      <c r="C85" s="681" t="s">
        <v>268</v>
      </c>
      <c r="D85" s="847">
        <v>88</v>
      </c>
      <c r="E85" s="847">
        <v>82</v>
      </c>
      <c r="F85" s="847">
        <v>2</v>
      </c>
      <c r="G85" s="847">
        <v>4</v>
      </c>
      <c r="H85" s="847">
        <v>9</v>
      </c>
      <c r="I85" s="847">
        <v>32</v>
      </c>
      <c r="J85" s="847">
        <v>47</v>
      </c>
    </row>
    <row r="86" spans="1:10" x14ac:dyDescent="0.25">
      <c r="A86" s="679" t="s">
        <v>210</v>
      </c>
      <c r="B86" s="680" t="s">
        <v>211</v>
      </c>
      <c r="C86" s="681" t="s">
        <v>268</v>
      </c>
      <c r="D86" s="847">
        <v>55</v>
      </c>
      <c r="E86" s="847">
        <v>49</v>
      </c>
      <c r="F86" s="847">
        <v>0</v>
      </c>
      <c r="G86" s="847">
        <v>6</v>
      </c>
      <c r="H86" s="847">
        <v>3</v>
      </c>
      <c r="I86" s="847">
        <v>19</v>
      </c>
      <c r="J86" s="847">
        <v>34</v>
      </c>
    </row>
    <row r="87" spans="1:10" x14ac:dyDescent="0.25">
      <c r="A87" s="679" t="s">
        <v>212</v>
      </c>
      <c r="B87" s="680" t="s">
        <v>213</v>
      </c>
      <c r="C87" s="681" t="s">
        <v>267</v>
      </c>
      <c r="D87" s="847">
        <v>62</v>
      </c>
      <c r="E87" s="847">
        <v>59</v>
      </c>
      <c r="F87" s="847">
        <v>3</v>
      </c>
      <c r="G87" s="847">
        <v>0</v>
      </c>
      <c r="H87" s="847">
        <v>10</v>
      </c>
      <c r="I87" s="847">
        <v>24</v>
      </c>
      <c r="J87" s="847">
        <v>30</v>
      </c>
    </row>
    <row r="88" spans="1:10" x14ac:dyDescent="0.25">
      <c r="A88" s="679" t="s">
        <v>214</v>
      </c>
      <c r="B88" s="680" t="s">
        <v>215</v>
      </c>
      <c r="C88" s="681" t="s">
        <v>268</v>
      </c>
      <c r="D88" s="847">
        <v>74</v>
      </c>
      <c r="E88" s="847">
        <v>71</v>
      </c>
      <c r="F88" s="847">
        <v>1</v>
      </c>
      <c r="G88" s="847">
        <v>2</v>
      </c>
      <c r="H88" s="847">
        <v>15</v>
      </c>
      <c r="I88" s="847">
        <v>33</v>
      </c>
      <c r="J88" s="847">
        <v>27</v>
      </c>
    </row>
    <row r="89" spans="1:10" x14ac:dyDescent="0.25">
      <c r="A89" s="679" t="s">
        <v>216</v>
      </c>
      <c r="B89" s="680" t="s">
        <v>217</v>
      </c>
      <c r="C89" s="681" t="s">
        <v>264</v>
      </c>
      <c r="D89" s="847">
        <v>11</v>
      </c>
      <c r="E89" s="847">
        <v>4</v>
      </c>
      <c r="F89" s="847">
        <v>7</v>
      </c>
      <c r="G89" s="847">
        <v>0</v>
      </c>
      <c r="H89" s="847">
        <v>1</v>
      </c>
      <c r="I89" s="847">
        <v>2</v>
      </c>
      <c r="J89" s="847">
        <v>8</v>
      </c>
    </row>
    <row r="90" spans="1:10" x14ac:dyDescent="0.25">
      <c r="A90" s="679" t="s">
        <v>218</v>
      </c>
      <c r="B90" s="680" t="s">
        <v>219</v>
      </c>
      <c r="C90" s="681" t="s">
        <v>267</v>
      </c>
      <c r="D90" s="847">
        <v>43</v>
      </c>
      <c r="E90" s="847">
        <v>29</v>
      </c>
      <c r="F90" s="847">
        <v>12</v>
      </c>
      <c r="G90" s="847">
        <v>2</v>
      </c>
      <c r="H90" s="847">
        <v>4</v>
      </c>
      <c r="I90" s="847">
        <v>13</v>
      </c>
      <c r="J90" s="847">
        <v>26</v>
      </c>
    </row>
    <row r="91" spans="1:10" x14ac:dyDescent="0.25">
      <c r="A91" s="679" t="s">
        <v>220</v>
      </c>
      <c r="B91" s="680" t="s">
        <v>221</v>
      </c>
      <c r="C91" s="681" t="s">
        <v>267</v>
      </c>
      <c r="D91" s="847">
        <v>13</v>
      </c>
      <c r="E91" s="847">
        <v>10</v>
      </c>
      <c r="F91" s="847">
        <v>3</v>
      </c>
      <c r="G91" s="847">
        <v>0</v>
      </c>
      <c r="H91" s="847">
        <v>1</v>
      </c>
      <c r="I91" s="847">
        <v>7</v>
      </c>
      <c r="J91" s="847">
        <v>5</v>
      </c>
    </row>
    <row r="92" spans="1:10" x14ac:dyDescent="0.25">
      <c r="A92" s="679" t="s">
        <v>224</v>
      </c>
      <c r="B92" s="680" t="s">
        <v>225</v>
      </c>
      <c r="C92" s="681" t="s">
        <v>264</v>
      </c>
      <c r="D92" s="847">
        <v>10</v>
      </c>
      <c r="E92" s="847">
        <v>2</v>
      </c>
      <c r="F92" s="847">
        <v>8</v>
      </c>
      <c r="G92" s="847">
        <v>0</v>
      </c>
      <c r="H92" s="847">
        <v>2</v>
      </c>
      <c r="I92" s="847">
        <v>4</v>
      </c>
      <c r="J92" s="847">
        <v>4</v>
      </c>
    </row>
    <row r="93" spans="1:10" x14ac:dyDescent="0.25">
      <c r="A93" s="679" t="s">
        <v>226</v>
      </c>
      <c r="B93" s="680" t="s">
        <v>227</v>
      </c>
      <c r="C93" s="681" t="s">
        <v>264</v>
      </c>
      <c r="D93" s="847">
        <v>13</v>
      </c>
      <c r="E93" s="847">
        <v>5</v>
      </c>
      <c r="F93" s="847">
        <v>8</v>
      </c>
      <c r="G93" s="847">
        <v>0</v>
      </c>
      <c r="H93" s="847">
        <v>1</v>
      </c>
      <c r="I93" s="847">
        <v>5</v>
      </c>
      <c r="J93" s="847">
        <v>7</v>
      </c>
    </row>
    <row r="94" spans="1:10" x14ac:dyDescent="0.25">
      <c r="A94" s="679" t="s">
        <v>228</v>
      </c>
      <c r="B94" s="680" t="s">
        <v>229</v>
      </c>
      <c r="C94" s="681" t="s">
        <v>268</v>
      </c>
      <c r="D94" s="847">
        <v>80</v>
      </c>
      <c r="E94" s="847">
        <v>73</v>
      </c>
      <c r="F94" s="847">
        <v>6</v>
      </c>
      <c r="G94" s="847">
        <v>1</v>
      </c>
      <c r="H94" s="847">
        <v>8</v>
      </c>
      <c r="I94" s="847">
        <v>41</v>
      </c>
      <c r="J94" s="847">
        <v>31</v>
      </c>
    </row>
    <row r="95" spans="1:10" x14ac:dyDescent="0.25">
      <c r="A95" s="679" t="s">
        <v>232</v>
      </c>
      <c r="B95" s="680" t="s">
        <v>233</v>
      </c>
      <c r="C95" s="681" t="s">
        <v>267</v>
      </c>
      <c r="D95" s="847">
        <v>15</v>
      </c>
      <c r="E95" s="847">
        <v>14</v>
      </c>
      <c r="F95" s="847">
        <v>1</v>
      </c>
      <c r="G95" s="847">
        <v>0</v>
      </c>
      <c r="H95" s="847">
        <v>1</v>
      </c>
      <c r="I95" s="847">
        <v>7</v>
      </c>
      <c r="J95" s="847">
        <v>7</v>
      </c>
    </row>
    <row r="96" spans="1:10" x14ac:dyDescent="0.25">
      <c r="A96" s="679" t="s">
        <v>234</v>
      </c>
      <c r="B96" s="680" t="s">
        <v>235</v>
      </c>
      <c r="C96" s="681" t="s">
        <v>268</v>
      </c>
      <c r="D96" s="847">
        <v>233</v>
      </c>
      <c r="E96" s="847">
        <v>215</v>
      </c>
      <c r="F96" s="847">
        <v>5</v>
      </c>
      <c r="G96" s="847">
        <v>13</v>
      </c>
      <c r="H96" s="847">
        <v>45</v>
      </c>
      <c r="I96" s="847">
        <v>108</v>
      </c>
      <c r="J96" s="847">
        <v>85</v>
      </c>
    </row>
    <row r="97" spans="1:10" x14ac:dyDescent="0.25">
      <c r="A97" s="679" t="s">
        <v>236</v>
      </c>
      <c r="B97" s="680" t="s">
        <v>237</v>
      </c>
      <c r="C97" s="681" t="s">
        <v>266</v>
      </c>
      <c r="D97" s="847">
        <v>11</v>
      </c>
      <c r="E97" s="847">
        <v>4</v>
      </c>
      <c r="F97" s="847">
        <v>7</v>
      </c>
      <c r="G97" s="847">
        <v>0</v>
      </c>
      <c r="H97" s="847">
        <v>0</v>
      </c>
      <c r="I97" s="847">
        <v>6</v>
      </c>
      <c r="J97" s="847">
        <v>5</v>
      </c>
    </row>
    <row r="98" spans="1:10" x14ac:dyDescent="0.25">
      <c r="A98" s="679" t="s">
        <v>242</v>
      </c>
      <c r="B98" s="680" t="s">
        <v>243</v>
      </c>
      <c r="C98" s="681" t="s">
        <v>268</v>
      </c>
      <c r="D98" s="847">
        <v>53</v>
      </c>
      <c r="E98" s="847">
        <v>52</v>
      </c>
      <c r="F98" s="847">
        <v>1</v>
      </c>
      <c r="G98" s="847">
        <v>0</v>
      </c>
      <c r="H98" s="847">
        <v>7</v>
      </c>
      <c r="I98" s="847">
        <v>30</v>
      </c>
      <c r="J98" s="847">
        <v>17</v>
      </c>
    </row>
    <row r="99" spans="1:10" x14ac:dyDescent="0.25">
      <c r="A99" s="679" t="s">
        <v>244</v>
      </c>
      <c r="B99" s="680" t="s">
        <v>245</v>
      </c>
      <c r="C99" s="681" t="s">
        <v>268</v>
      </c>
      <c r="D99" s="847">
        <v>46</v>
      </c>
      <c r="E99" s="847">
        <v>44</v>
      </c>
      <c r="F99" s="847">
        <v>2</v>
      </c>
      <c r="G99" s="847">
        <v>0</v>
      </c>
      <c r="H99" s="847">
        <v>2</v>
      </c>
      <c r="I99" s="847">
        <v>9</v>
      </c>
      <c r="J99" s="847">
        <v>35</v>
      </c>
    </row>
    <row r="100" spans="1:10" x14ac:dyDescent="0.25">
      <c r="A100" s="679" t="s">
        <v>246</v>
      </c>
      <c r="B100" s="680" t="s">
        <v>247</v>
      </c>
      <c r="C100" s="681" t="s">
        <v>264</v>
      </c>
      <c r="D100" s="847">
        <v>30</v>
      </c>
      <c r="E100" s="847">
        <v>18</v>
      </c>
      <c r="F100" s="847">
        <v>11</v>
      </c>
      <c r="G100" s="847">
        <v>1</v>
      </c>
      <c r="H100" s="847">
        <v>12</v>
      </c>
      <c r="I100" s="847">
        <v>12</v>
      </c>
      <c r="J100" s="847">
        <v>7</v>
      </c>
    </row>
    <row r="101" spans="1:10" x14ac:dyDescent="0.25">
      <c r="A101" s="679" t="s">
        <v>14</v>
      </c>
      <c r="B101" s="680" t="s">
        <v>15</v>
      </c>
      <c r="C101" s="681" t="s">
        <v>267</v>
      </c>
      <c r="D101" s="847">
        <v>41</v>
      </c>
      <c r="E101" s="847">
        <v>19</v>
      </c>
      <c r="F101" s="847">
        <v>20</v>
      </c>
      <c r="G101" s="847">
        <v>2</v>
      </c>
      <c r="H101" s="847">
        <v>1</v>
      </c>
      <c r="I101" s="847">
        <v>10</v>
      </c>
      <c r="J101" s="847">
        <v>30</v>
      </c>
    </row>
    <row r="102" spans="1:10" x14ac:dyDescent="0.25">
      <c r="A102" s="679" t="s">
        <v>34</v>
      </c>
      <c r="B102" s="680" t="s">
        <v>35</v>
      </c>
      <c r="C102" s="681" t="s">
        <v>268</v>
      </c>
      <c r="D102" s="847">
        <v>72</v>
      </c>
      <c r="E102" s="847">
        <v>67</v>
      </c>
      <c r="F102" s="847">
        <v>3</v>
      </c>
      <c r="G102" s="847">
        <v>2</v>
      </c>
      <c r="H102" s="847">
        <v>6</v>
      </c>
      <c r="I102" s="847">
        <v>26</v>
      </c>
      <c r="J102" s="847">
        <v>40</v>
      </c>
    </row>
    <row r="103" spans="1:10" x14ac:dyDescent="0.25">
      <c r="A103" s="679" t="s">
        <v>52</v>
      </c>
      <c r="B103" s="680" t="s">
        <v>53</v>
      </c>
      <c r="C103" s="681" t="s">
        <v>265</v>
      </c>
      <c r="D103" s="847">
        <v>74</v>
      </c>
      <c r="E103" s="847">
        <v>39</v>
      </c>
      <c r="F103" s="847">
        <v>31</v>
      </c>
      <c r="G103" s="847">
        <v>4</v>
      </c>
      <c r="H103" s="847">
        <v>7</v>
      </c>
      <c r="I103" s="847">
        <v>29</v>
      </c>
      <c r="J103" s="847">
        <v>38</v>
      </c>
    </row>
    <row r="104" spans="1:10" x14ac:dyDescent="0.25">
      <c r="A104" s="679" t="s">
        <v>54</v>
      </c>
      <c r="B104" s="680" t="s">
        <v>55</v>
      </c>
      <c r="C104" s="681" t="s">
        <v>264</v>
      </c>
      <c r="D104" s="847">
        <v>161</v>
      </c>
      <c r="E104" s="847">
        <v>79</v>
      </c>
      <c r="F104" s="847">
        <v>78</v>
      </c>
      <c r="G104" s="847">
        <v>4</v>
      </c>
      <c r="H104" s="847">
        <v>23</v>
      </c>
      <c r="I104" s="847">
        <v>75</v>
      </c>
      <c r="J104" s="847">
        <v>65</v>
      </c>
    </row>
    <row r="105" spans="1:10" x14ac:dyDescent="0.25">
      <c r="A105" s="679" t="s">
        <v>66</v>
      </c>
      <c r="B105" s="680" t="s">
        <v>67</v>
      </c>
      <c r="C105" s="681" t="s">
        <v>265</v>
      </c>
      <c r="D105" s="847">
        <v>85</v>
      </c>
      <c r="E105" s="847">
        <v>51</v>
      </c>
      <c r="F105" s="847">
        <v>32</v>
      </c>
      <c r="G105" s="847">
        <v>2</v>
      </c>
      <c r="H105" s="847">
        <v>8</v>
      </c>
      <c r="I105" s="847">
        <v>29</v>
      </c>
      <c r="J105" s="847">
        <v>48</v>
      </c>
    </row>
    <row r="106" spans="1:10" x14ac:dyDescent="0.25">
      <c r="A106" s="679" t="s">
        <v>82</v>
      </c>
      <c r="B106" s="680" t="s">
        <v>83</v>
      </c>
      <c r="C106" s="681" t="s">
        <v>264</v>
      </c>
      <c r="D106" s="847">
        <v>9</v>
      </c>
      <c r="E106" s="847">
        <v>1</v>
      </c>
      <c r="F106" s="847">
        <v>8</v>
      </c>
      <c r="G106" s="847">
        <v>0</v>
      </c>
      <c r="H106" s="847">
        <v>1</v>
      </c>
      <c r="I106" s="847">
        <v>8</v>
      </c>
      <c r="J106" s="847">
        <v>1</v>
      </c>
    </row>
    <row r="107" spans="1:10" x14ac:dyDescent="0.25">
      <c r="A107" s="679" t="s">
        <v>88</v>
      </c>
      <c r="B107" s="680" t="s">
        <v>89</v>
      </c>
      <c r="C107" s="681" t="s">
        <v>267</v>
      </c>
      <c r="D107" s="847">
        <v>26</v>
      </c>
      <c r="E107" s="847">
        <v>20</v>
      </c>
      <c r="F107" s="847">
        <v>5</v>
      </c>
      <c r="G107" s="847">
        <v>1</v>
      </c>
      <c r="H107" s="847">
        <v>2</v>
      </c>
      <c r="I107" s="847">
        <v>8</v>
      </c>
      <c r="J107" s="847">
        <v>16</v>
      </c>
    </row>
    <row r="108" spans="1:10" x14ac:dyDescent="0.25">
      <c r="A108" s="679" t="s">
        <v>90</v>
      </c>
      <c r="B108" s="680" t="s">
        <v>91</v>
      </c>
      <c r="C108" s="681" t="s">
        <v>268</v>
      </c>
      <c r="D108" s="847">
        <v>13</v>
      </c>
      <c r="E108" s="847">
        <v>13</v>
      </c>
      <c r="F108" s="847">
        <v>0</v>
      </c>
      <c r="G108" s="847">
        <v>0</v>
      </c>
      <c r="H108" s="847">
        <v>0</v>
      </c>
      <c r="I108" s="847">
        <v>6</v>
      </c>
      <c r="J108" s="847">
        <v>7</v>
      </c>
    </row>
    <row r="109" spans="1:10" x14ac:dyDescent="0.25">
      <c r="A109" s="679" t="s">
        <v>106</v>
      </c>
      <c r="B109" s="680" t="s">
        <v>107</v>
      </c>
      <c r="C109" s="681" t="s">
        <v>264</v>
      </c>
      <c r="D109" s="847">
        <v>116</v>
      </c>
      <c r="E109" s="847">
        <v>39</v>
      </c>
      <c r="F109" s="847">
        <v>76</v>
      </c>
      <c r="G109" s="847">
        <v>1</v>
      </c>
      <c r="H109" s="847">
        <v>18</v>
      </c>
      <c r="I109" s="847">
        <v>51</v>
      </c>
      <c r="J109" s="847">
        <v>48</v>
      </c>
    </row>
    <row r="110" spans="1:10" x14ac:dyDescent="0.25">
      <c r="A110" s="679" t="s">
        <v>116</v>
      </c>
      <c r="B110" s="680" t="s">
        <v>117</v>
      </c>
      <c r="C110" s="681" t="s">
        <v>266</v>
      </c>
      <c r="D110" s="847">
        <v>20</v>
      </c>
      <c r="E110" s="847">
        <v>8</v>
      </c>
      <c r="F110" s="847">
        <v>12</v>
      </c>
      <c r="G110" s="847">
        <v>0</v>
      </c>
      <c r="H110" s="847">
        <v>8</v>
      </c>
      <c r="I110" s="847">
        <v>6</v>
      </c>
      <c r="J110" s="847">
        <v>6</v>
      </c>
    </row>
    <row r="111" spans="1:10" x14ac:dyDescent="0.25">
      <c r="A111" s="679" t="s">
        <v>138</v>
      </c>
      <c r="B111" s="680" t="s">
        <v>139</v>
      </c>
      <c r="C111" s="681" t="s">
        <v>265</v>
      </c>
      <c r="D111" s="847">
        <v>148</v>
      </c>
      <c r="E111" s="847">
        <v>94</v>
      </c>
      <c r="F111" s="847">
        <v>52</v>
      </c>
      <c r="G111" s="847">
        <v>2</v>
      </c>
      <c r="H111" s="847">
        <v>5</v>
      </c>
      <c r="I111" s="847">
        <v>53</v>
      </c>
      <c r="J111" s="847">
        <v>90</v>
      </c>
    </row>
    <row r="112" spans="1:10" x14ac:dyDescent="0.25">
      <c r="A112" s="679" t="s">
        <v>142</v>
      </c>
      <c r="B112" s="680" t="s">
        <v>143</v>
      </c>
      <c r="C112" s="681" t="s">
        <v>267</v>
      </c>
      <c r="D112" s="847">
        <v>5</v>
      </c>
      <c r="E112" s="847">
        <v>3</v>
      </c>
      <c r="F112" s="847">
        <v>2</v>
      </c>
      <c r="G112" s="847">
        <v>0</v>
      </c>
      <c r="H112" s="847">
        <v>1</v>
      </c>
      <c r="I112" s="847">
        <v>1</v>
      </c>
      <c r="J112" s="847">
        <v>3</v>
      </c>
    </row>
    <row r="113" spans="1:10" x14ac:dyDescent="0.25">
      <c r="A113" s="679" t="s">
        <v>144</v>
      </c>
      <c r="B113" s="680" t="s">
        <v>145</v>
      </c>
      <c r="C113" s="681" t="s">
        <v>267</v>
      </c>
      <c r="D113" s="847">
        <v>2</v>
      </c>
      <c r="E113" s="847">
        <v>2</v>
      </c>
      <c r="F113" s="847">
        <v>0</v>
      </c>
      <c r="G113" s="847">
        <v>0</v>
      </c>
      <c r="H113" s="847">
        <v>0</v>
      </c>
      <c r="I113" s="847">
        <v>0</v>
      </c>
      <c r="J113" s="847">
        <v>2</v>
      </c>
    </row>
    <row r="114" spans="1:10" x14ac:dyDescent="0.25">
      <c r="A114" s="679" t="s">
        <v>158</v>
      </c>
      <c r="B114" s="680" t="s">
        <v>159</v>
      </c>
      <c r="C114" s="681" t="s">
        <v>264</v>
      </c>
      <c r="D114" s="847">
        <v>139</v>
      </c>
      <c r="E114" s="847">
        <v>51</v>
      </c>
      <c r="F114" s="847">
        <v>86</v>
      </c>
      <c r="G114" s="847">
        <v>2</v>
      </c>
      <c r="H114" s="847">
        <v>13</v>
      </c>
      <c r="I114" s="847">
        <v>77</v>
      </c>
      <c r="J114" s="847">
        <v>49</v>
      </c>
    </row>
    <row r="115" spans="1:10" x14ac:dyDescent="0.25">
      <c r="A115" s="679" t="s">
        <v>160</v>
      </c>
      <c r="B115" s="680" t="s">
        <v>161</v>
      </c>
      <c r="C115" s="681" t="s">
        <v>264</v>
      </c>
      <c r="D115" s="847">
        <v>218</v>
      </c>
      <c r="E115" s="847">
        <v>66</v>
      </c>
      <c r="F115" s="847">
        <v>148</v>
      </c>
      <c r="G115" s="847">
        <v>4</v>
      </c>
      <c r="H115" s="847">
        <v>24</v>
      </c>
      <c r="I115" s="847">
        <v>90</v>
      </c>
      <c r="J115" s="847">
        <v>105</v>
      </c>
    </row>
    <row r="116" spans="1:10" x14ac:dyDescent="0.25">
      <c r="A116" s="679" t="s">
        <v>166</v>
      </c>
      <c r="B116" s="680" t="s">
        <v>167</v>
      </c>
      <c r="C116" s="681" t="s">
        <v>268</v>
      </c>
      <c r="D116" s="847">
        <v>7</v>
      </c>
      <c r="E116" s="847">
        <v>7</v>
      </c>
      <c r="F116" s="847">
        <v>0</v>
      </c>
      <c r="G116" s="847">
        <v>0</v>
      </c>
      <c r="H116" s="847">
        <v>1</v>
      </c>
      <c r="I116" s="847">
        <v>5</v>
      </c>
      <c r="J116" s="847">
        <v>1</v>
      </c>
    </row>
    <row r="117" spans="1:10" x14ac:dyDescent="0.25">
      <c r="A117" s="679" t="s">
        <v>176</v>
      </c>
      <c r="B117" s="680" t="s">
        <v>177</v>
      </c>
      <c r="C117" s="681" t="s">
        <v>266</v>
      </c>
      <c r="D117" s="847">
        <v>120</v>
      </c>
      <c r="E117" s="847">
        <v>34</v>
      </c>
      <c r="F117" s="847">
        <v>84</v>
      </c>
      <c r="G117" s="847">
        <v>2</v>
      </c>
      <c r="H117" s="847">
        <v>18</v>
      </c>
      <c r="I117" s="847">
        <v>57</v>
      </c>
      <c r="J117" s="847">
        <v>46</v>
      </c>
    </row>
    <row r="118" spans="1:10" x14ac:dyDescent="0.25">
      <c r="A118" s="679" t="s">
        <v>180</v>
      </c>
      <c r="B118" s="680" t="s">
        <v>181</v>
      </c>
      <c r="C118" s="681" t="s">
        <v>264</v>
      </c>
      <c r="D118" s="847">
        <v>103</v>
      </c>
      <c r="E118" s="847">
        <v>26</v>
      </c>
      <c r="F118" s="847">
        <v>77</v>
      </c>
      <c r="G118" s="847">
        <v>0</v>
      </c>
      <c r="H118" s="847">
        <v>10</v>
      </c>
      <c r="I118" s="847">
        <v>39</v>
      </c>
      <c r="J118" s="847">
        <v>54</v>
      </c>
    </row>
    <row r="119" spans="1:10" x14ac:dyDescent="0.25">
      <c r="A119" s="679" t="s">
        <v>192</v>
      </c>
      <c r="B119" s="680" t="s">
        <v>193</v>
      </c>
      <c r="C119" s="681" t="s">
        <v>268</v>
      </c>
      <c r="D119" s="847">
        <v>25</v>
      </c>
      <c r="E119" s="847">
        <v>22</v>
      </c>
      <c r="F119" s="847">
        <v>3</v>
      </c>
      <c r="G119" s="847">
        <v>0</v>
      </c>
      <c r="H119" s="847">
        <v>1</v>
      </c>
      <c r="I119" s="847">
        <v>14</v>
      </c>
      <c r="J119" s="847">
        <v>11</v>
      </c>
    </row>
    <row r="120" spans="1:10" x14ac:dyDescent="0.25">
      <c r="A120" s="679" t="s">
        <v>196</v>
      </c>
      <c r="B120" s="680" t="s">
        <v>197</v>
      </c>
      <c r="C120" s="681" t="s">
        <v>266</v>
      </c>
      <c r="D120" s="847">
        <v>609</v>
      </c>
      <c r="E120" s="847">
        <v>178</v>
      </c>
      <c r="F120" s="847">
        <v>417</v>
      </c>
      <c r="G120" s="847">
        <v>14</v>
      </c>
      <c r="H120" s="847">
        <v>67</v>
      </c>
      <c r="I120" s="847">
        <v>311</v>
      </c>
      <c r="J120" s="847">
        <v>240</v>
      </c>
    </row>
    <row r="121" spans="1:10" x14ac:dyDescent="0.25">
      <c r="A121" s="679" t="s">
        <v>200</v>
      </c>
      <c r="B121" s="680" t="s">
        <v>201</v>
      </c>
      <c r="C121" s="681" t="s">
        <v>265</v>
      </c>
      <c r="D121" s="847">
        <v>223</v>
      </c>
      <c r="E121" s="847">
        <v>140</v>
      </c>
      <c r="F121" s="847">
        <v>75</v>
      </c>
      <c r="G121" s="847">
        <v>8</v>
      </c>
      <c r="H121" s="847">
        <v>19</v>
      </c>
      <c r="I121" s="847">
        <v>98</v>
      </c>
      <c r="J121" s="847">
        <v>107</v>
      </c>
    </row>
    <row r="122" spans="1:10" x14ac:dyDescent="0.25">
      <c r="A122" s="679" t="s">
        <v>222</v>
      </c>
      <c r="B122" s="680" t="s">
        <v>223</v>
      </c>
      <c r="C122" s="681" t="s">
        <v>264</v>
      </c>
      <c r="D122" s="847">
        <v>68</v>
      </c>
      <c r="E122" s="847">
        <v>16</v>
      </c>
      <c r="F122" s="847">
        <v>52</v>
      </c>
      <c r="G122" s="847">
        <v>0</v>
      </c>
      <c r="H122" s="847">
        <v>10</v>
      </c>
      <c r="I122" s="847">
        <v>34</v>
      </c>
      <c r="J122" s="847">
        <v>25</v>
      </c>
    </row>
    <row r="123" spans="1:10" x14ac:dyDescent="0.25">
      <c r="A123" s="679" t="s">
        <v>230</v>
      </c>
      <c r="B123" s="680" t="s">
        <v>231</v>
      </c>
      <c r="C123" s="681" t="s">
        <v>264</v>
      </c>
      <c r="D123" s="847">
        <v>195</v>
      </c>
      <c r="E123" s="847">
        <v>129</v>
      </c>
      <c r="F123" s="847">
        <v>56</v>
      </c>
      <c r="G123" s="847">
        <v>10</v>
      </c>
      <c r="H123" s="847">
        <v>24</v>
      </c>
      <c r="I123" s="847">
        <v>74</v>
      </c>
      <c r="J123" s="847">
        <v>99</v>
      </c>
    </row>
    <row r="124" spans="1:10" x14ac:dyDescent="0.25">
      <c r="A124" s="679" t="s">
        <v>238</v>
      </c>
      <c r="B124" s="680" t="s">
        <v>239</v>
      </c>
      <c r="C124" s="681" t="s">
        <v>264</v>
      </c>
      <c r="D124" s="847">
        <v>33</v>
      </c>
      <c r="E124" s="847">
        <v>17</v>
      </c>
      <c r="F124" s="847">
        <v>15</v>
      </c>
      <c r="G124" s="847">
        <v>1</v>
      </c>
      <c r="H124" s="847">
        <v>7</v>
      </c>
      <c r="I124" s="847">
        <v>16</v>
      </c>
      <c r="J124" s="847">
        <v>11</v>
      </c>
    </row>
    <row r="125" spans="1:10" x14ac:dyDescent="0.25">
      <c r="A125" s="682" t="s">
        <v>240</v>
      </c>
      <c r="B125" s="683" t="s">
        <v>241</v>
      </c>
      <c r="C125" s="684" t="s">
        <v>267</v>
      </c>
      <c r="D125" s="848">
        <v>33</v>
      </c>
      <c r="E125" s="848">
        <v>29</v>
      </c>
      <c r="F125" s="848">
        <v>4</v>
      </c>
      <c r="G125" s="848">
        <v>0</v>
      </c>
      <c r="H125" s="848">
        <v>1</v>
      </c>
      <c r="I125" s="848">
        <v>16</v>
      </c>
      <c r="J125" s="848">
        <v>16</v>
      </c>
    </row>
    <row r="126" spans="1:10" x14ac:dyDescent="0.25">
      <c r="A126" s="685"/>
      <c r="B126" s="685"/>
      <c r="C126" s="685"/>
    </row>
    <row r="127" spans="1:10" ht="30" customHeight="1" x14ac:dyDescent="0.25">
      <c r="A127" s="2125" t="s">
        <v>805</v>
      </c>
      <c r="B127" s="2125"/>
      <c r="C127" s="2125"/>
      <c r="D127" s="2125"/>
      <c r="E127" s="2125"/>
      <c r="F127" s="2125"/>
    </row>
    <row r="128" spans="1:10" x14ac:dyDescent="0.25">
      <c r="A128" s="849"/>
      <c r="B128" s="849"/>
      <c r="C128" s="849"/>
      <c r="D128" s="849"/>
      <c r="E128" s="849"/>
      <c r="F128" s="849"/>
    </row>
    <row r="129" spans="1:10" s="414" customFormat="1" x14ac:dyDescent="0.25">
      <c r="A129" s="2126" t="s">
        <v>248</v>
      </c>
      <c r="B129" s="2126"/>
      <c r="C129" s="2126"/>
      <c r="D129" s="2126"/>
      <c r="E129" s="2126"/>
      <c r="F129" s="2126"/>
      <c r="G129" s="2126"/>
      <c r="H129" s="2126"/>
      <c r="I129" s="2126"/>
      <c r="J129" s="2126"/>
    </row>
    <row r="130" spans="1:10" s="270" customFormat="1" x14ac:dyDescent="0.25">
      <c r="A130" s="415" t="s">
        <v>249</v>
      </c>
      <c r="B130" s="416" t="s">
        <v>250</v>
      </c>
      <c r="C130" s="853"/>
      <c r="D130" s="847"/>
      <c r="E130" s="847"/>
      <c r="F130" s="847"/>
      <c r="G130" s="847"/>
      <c r="H130" s="847"/>
      <c r="I130" s="847"/>
      <c r="J130" s="847"/>
    </row>
  </sheetData>
  <autoFilter ref="A4:C4"/>
  <mergeCells count="4">
    <mergeCell ref="A127:F127"/>
    <mergeCell ref="E3:G3"/>
    <mergeCell ref="H3:J3"/>
    <mergeCell ref="A129:J129"/>
  </mergeCells>
  <hyperlinks>
    <hyperlink ref="B130" r:id="rId1"/>
  </hyperlinks>
  <pageMargins left="0.7" right="0.7" top="0.75" bottom="0.75" header="0.3" footer="0.3"/>
  <pageSetup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2"/>
  <sheetViews>
    <sheetView zoomScaleNormal="100" workbookViewId="0">
      <selection activeCell="I8" sqref="I8"/>
    </sheetView>
  </sheetViews>
  <sheetFormatPr defaultRowHeight="15.75" x14ac:dyDescent="0.25"/>
  <cols>
    <col min="1" max="1" width="8.125" style="887" bestFit="1" customWidth="1"/>
    <col min="2" max="2" width="6.125" style="887" customWidth="1"/>
    <col min="3" max="3" width="11.25" style="887" customWidth="1"/>
    <col min="4" max="4" width="34.375" style="888" customWidth="1"/>
    <col min="5" max="5" width="9.25" style="888" customWidth="1"/>
    <col min="6" max="6" width="14.375" style="887" customWidth="1"/>
    <col min="7" max="16384" width="9" style="887"/>
  </cols>
  <sheetData>
    <row r="2" spans="2:6" x14ac:dyDescent="0.25">
      <c r="B2" s="887">
        <v>1</v>
      </c>
      <c r="D2" s="888">
        <f>+B2+1</f>
        <v>2</v>
      </c>
      <c r="E2" s="888">
        <f>+D2+1</f>
        <v>3</v>
      </c>
      <c r="F2" s="887">
        <v>4</v>
      </c>
    </row>
    <row r="3" spans="2:6" x14ac:dyDescent="0.25">
      <c r="B3" s="889"/>
      <c r="C3" s="889"/>
      <c r="D3" s="892"/>
      <c r="E3" s="893"/>
    </row>
    <row r="4" spans="2:6" x14ac:dyDescent="0.25">
      <c r="B4" s="894"/>
      <c r="C4" s="894"/>
      <c r="D4" s="890"/>
      <c r="E4" s="891"/>
    </row>
    <row r="5" spans="2:6" x14ac:dyDescent="0.25">
      <c r="B5" s="894"/>
      <c r="C5" s="894"/>
      <c r="D5" s="895"/>
      <c r="E5" s="895"/>
    </row>
    <row r="7" spans="2:6" x14ac:dyDescent="0.25">
      <c r="B7" s="896" t="s">
        <v>4</v>
      </c>
      <c r="C7" s="896"/>
      <c r="D7" s="897" t="s">
        <v>5</v>
      </c>
      <c r="E7" s="897"/>
      <c r="F7" s="898" t="s">
        <v>251</v>
      </c>
    </row>
    <row r="8" spans="2:6" x14ac:dyDescent="0.25">
      <c r="B8" s="1280" t="s">
        <v>8</v>
      </c>
      <c r="C8" s="1279" t="s">
        <v>303</v>
      </c>
      <c r="D8" s="1281" t="s">
        <v>9</v>
      </c>
      <c r="E8" s="1281"/>
    </row>
    <row r="9" spans="2:6" x14ac:dyDescent="0.25">
      <c r="B9" s="899" t="s">
        <v>10</v>
      </c>
      <c r="C9" s="901">
        <v>1</v>
      </c>
      <c r="D9" s="888" t="s">
        <v>11</v>
      </c>
      <c r="E9" s="902" t="s">
        <v>10</v>
      </c>
      <c r="F9" s="514" t="s">
        <v>264</v>
      </c>
    </row>
    <row r="10" spans="2:6" x14ac:dyDescent="0.25">
      <c r="B10" s="900" t="s">
        <v>12</v>
      </c>
      <c r="C10" s="901">
        <v>3</v>
      </c>
      <c r="D10" s="888" t="s">
        <v>13</v>
      </c>
      <c r="E10" s="903" t="s">
        <v>12</v>
      </c>
      <c r="F10" s="514" t="s">
        <v>265</v>
      </c>
    </row>
    <row r="11" spans="2:6" x14ac:dyDescent="0.25">
      <c r="B11" s="900" t="s">
        <v>14</v>
      </c>
      <c r="C11" s="901">
        <v>510</v>
      </c>
      <c r="D11" s="888" t="s">
        <v>15</v>
      </c>
      <c r="E11" s="903" t="s">
        <v>14</v>
      </c>
      <c r="F11" s="514" t="s">
        <v>267</v>
      </c>
    </row>
    <row r="12" spans="2:6" x14ac:dyDescent="0.25">
      <c r="B12" s="900" t="s">
        <v>16</v>
      </c>
      <c r="C12" s="901">
        <v>5</v>
      </c>
      <c r="D12" s="888" t="s">
        <v>17</v>
      </c>
      <c r="E12" s="903" t="s">
        <v>16</v>
      </c>
      <c r="F12" s="514" t="s">
        <v>265</v>
      </c>
    </row>
    <row r="13" spans="2:6" x14ac:dyDescent="0.25">
      <c r="B13" s="900" t="s">
        <v>18</v>
      </c>
      <c r="C13" s="901">
        <v>7</v>
      </c>
      <c r="D13" s="888" t="s">
        <v>19</v>
      </c>
      <c r="E13" s="903" t="s">
        <v>18</v>
      </c>
      <c r="F13" s="514" t="s">
        <v>266</v>
      </c>
    </row>
    <row r="14" spans="2:6" x14ac:dyDescent="0.25">
      <c r="B14" s="900" t="s">
        <v>20</v>
      </c>
      <c r="C14" s="901">
        <v>9</v>
      </c>
      <c r="D14" s="888" t="s">
        <v>21</v>
      </c>
      <c r="E14" s="903" t="s">
        <v>20</v>
      </c>
      <c r="F14" s="514" t="s">
        <v>265</v>
      </c>
    </row>
    <row r="15" spans="2:6" x14ac:dyDescent="0.25">
      <c r="B15" s="900" t="s">
        <v>22</v>
      </c>
      <c r="C15" s="901">
        <v>11</v>
      </c>
      <c r="D15" s="888" t="s">
        <v>23</v>
      </c>
      <c r="E15" s="903" t="s">
        <v>22</v>
      </c>
      <c r="F15" s="514" t="s">
        <v>265</v>
      </c>
    </row>
    <row r="16" spans="2:6" x14ac:dyDescent="0.25">
      <c r="B16" s="900" t="s">
        <v>24</v>
      </c>
      <c r="C16" s="901">
        <v>13</v>
      </c>
      <c r="D16" s="888" t="s">
        <v>25</v>
      </c>
      <c r="E16" s="903" t="s">
        <v>24</v>
      </c>
      <c r="F16" s="514" t="s">
        <v>267</v>
      </c>
    </row>
    <row r="17" spans="2:6" x14ac:dyDescent="0.25">
      <c r="B17" s="900" t="s">
        <v>26</v>
      </c>
      <c r="C17" s="901">
        <v>15</v>
      </c>
      <c r="D17" s="888" t="s">
        <v>686</v>
      </c>
      <c r="E17" s="903" t="s">
        <v>26</v>
      </c>
      <c r="F17" s="514" t="s">
        <v>265</v>
      </c>
    </row>
    <row r="18" spans="2:6" x14ac:dyDescent="0.25">
      <c r="B18" s="900" t="s">
        <v>27</v>
      </c>
      <c r="C18" s="901">
        <v>17</v>
      </c>
      <c r="D18" s="888" t="s">
        <v>28</v>
      </c>
      <c r="E18" s="903" t="s">
        <v>27</v>
      </c>
      <c r="F18" s="514" t="s">
        <v>265</v>
      </c>
    </row>
    <row r="19" spans="2:6" x14ac:dyDescent="0.25">
      <c r="B19" s="900" t="s">
        <v>29</v>
      </c>
      <c r="C19" s="901">
        <v>19</v>
      </c>
      <c r="D19" s="888" t="s">
        <v>941</v>
      </c>
      <c r="E19" s="903" t="s">
        <v>29</v>
      </c>
      <c r="F19" s="514" t="s">
        <v>268</v>
      </c>
    </row>
    <row r="20" spans="2:6" x14ac:dyDescent="0.25">
      <c r="B20" s="900" t="s">
        <v>30</v>
      </c>
      <c r="C20" s="901">
        <v>21</v>
      </c>
      <c r="D20" s="888" t="s">
        <v>31</v>
      </c>
      <c r="E20" s="903" t="s">
        <v>30</v>
      </c>
      <c r="F20" s="514" t="s">
        <v>265</v>
      </c>
    </row>
    <row r="21" spans="2:6" x14ac:dyDescent="0.25">
      <c r="B21" s="900" t="s">
        <v>32</v>
      </c>
      <c r="C21" s="901">
        <v>23</v>
      </c>
      <c r="D21" s="888" t="s">
        <v>33</v>
      </c>
      <c r="E21" s="903" t="s">
        <v>32</v>
      </c>
      <c r="F21" s="514" t="s">
        <v>268</v>
      </c>
    </row>
    <row r="22" spans="2:6" x14ac:dyDescent="0.25">
      <c r="B22" s="900" t="s">
        <v>34</v>
      </c>
      <c r="C22" s="901">
        <v>520</v>
      </c>
      <c r="D22" s="888" t="s">
        <v>35</v>
      </c>
      <c r="E22" s="903" t="s">
        <v>34</v>
      </c>
      <c r="F22" s="514" t="s">
        <v>264</v>
      </c>
    </row>
    <row r="23" spans="2:6" x14ac:dyDescent="0.25">
      <c r="B23" s="900" t="s">
        <v>36</v>
      </c>
      <c r="C23" s="901">
        <v>25</v>
      </c>
      <c r="D23" s="888" t="s">
        <v>37</v>
      </c>
      <c r="E23" s="903" t="s">
        <v>36</v>
      </c>
      <c r="F23" s="514" t="s">
        <v>268</v>
      </c>
    </row>
    <row r="24" spans="2:6" x14ac:dyDescent="0.25">
      <c r="B24" s="900" t="s">
        <v>38</v>
      </c>
      <c r="C24" s="901">
        <v>27</v>
      </c>
      <c r="D24" s="888" t="s">
        <v>39</v>
      </c>
      <c r="E24" s="903" t="s">
        <v>38</v>
      </c>
      <c r="F24" s="514" t="s">
        <v>266</v>
      </c>
    </row>
    <row r="25" spans="2:6" x14ac:dyDescent="0.25">
      <c r="B25" s="900" t="s">
        <v>40</v>
      </c>
      <c r="C25" s="901">
        <v>29</v>
      </c>
      <c r="D25" s="888" t="s">
        <v>41</v>
      </c>
      <c r="E25" s="903" t="s">
        <v>40</v>
      </c>
      <c r="F25" s="514" t="s">
        <v>265</v>
      </c>
    </row>
    <row r="26" spans="2:6" x14ac:dyDescent="0.25">
      <c r="B26" s="900" t="s">
        <v>42</v>
      </c>
      <c r="C26" s="901">
        <v>31</v>
      </c>
      <c r="D26" s="888" t="s">
        <v>43</v>
      </c>
      <c r="E26" s="903" t="s">
        <v>42</v>
      </c>
      <c r="F26" s="514" t="s">
        <v>266</v>
      </c>
    </row>
    <row r="27" spans="2:6" x14ac:dyDescent="0.25">
      <c r="B27" s="900" t="s">
        <v>44</v>
      </c>
      <c r="C27" s="901">
        <v>33</v>
      </c>
      <c r="D27" s="888" t="s">
        <v>45</v>
      </c>
      <c r="E27" s="903" t="s">
        <v>44</v>
      </c>
      <c r="F27" s="514" t="s">
        <v>268</v>
      </c>
    </row>
    <row r="28" spans="2:6" x14ac:dyDescent="0.25">
      <c r="B28" s="900" t="s">
        <v>46</v>
      </c>
      <c r="C28" s="901">
        <v>35</v>
      </c>
      <c r="D28" s="888" t="s">
        <v>47</v>
      </c>
      <c r="E28" s="903" t="s">
        <v>46</v>
      </c>
      <c r="F28" s="514" t="s">
        <v>266</v>
      </c>
    </row>
    <row r="29" spans="2:6" x14ac:dyDescent="0.25">
      <c r="B29" s="900" t="s">
        <v>48</v>
      </c>
      <c r="C29" s="901">
        <v>36</v>
      </c>
      <c r="D29" s="888" t="s">
        <v>269</v>
      </c>
      <c r="E29" s="903" t="s">
        <v>48</v>
      </c>
      <c r="F29" s="514" t="s">
        <v>265</v>
      </c>
    </row>
    <row r="30" spans="2:6" x14ac:dyDescent="0.25">
      <c r="B30" s="900" t="s">
        <v>50</v>
      </c>
      <c r="C30" s="901">
        <v>37</v>
      </c>
      <c r="D30" s="888" t="s">
        <v>51</v>
      </c>
      <c r="E30" s="903" t="s">
        <v>50</v>
      </c>
      <c r="F30" s="514" t="s">
        <v>265</v>
      </c>
    </row>
    <row r="31" spans="2:6" x14ac:dyDescent="0.25">
      <c r="B31" s="900" t="s">
        <v>52</v>
      </c>
      <c r="C31" s="901">
        <v>540</v>
      </c>
      <c r="D31" s="888" t="s">
        <v>53</v>
      </c>
      <c r="E31" s="903" t="s">
        <v>52</v>
      </c>
      <c r="F31" s="514" t="s">
        <v>264</v>
      </c>
    </row>
    <row r="32" spans="2:6" x14ac:dyDescent="0.25">
      <c r="B32" s="900" t="s">
        <v>54</v>
      </c>
      <c r="C32" s="901">
        <v>550</v>
      </c>
      <c r="D32" s="888" t="s">
        <v>55</v>
      </c>
      <c r="E32" s="903" t="s">
        <v>54</v>
      </c>
      <c r="F32" s="514" t="s">
        <v>266</v>
      </c>
    </row>
    <row r="33" spans="2:6" x14ac:dyDescent="0.25">
      <c r="B33" s="900" t="s">
        <v>56</v>
      </c>
      <c r="C33" s="901">
        <v>41</v>
      </c>
      <c r="D33" s="888" t="s">
        <v>57</v>
      </c>
      <c r="E33" s="903" t="s">
        <v>56</v>
      </c>
      <c r="F33" s="514" t="s">
        <v>267</v>
      </c>
    </row>
    <row r="34" spans="2:6" x14ac:dyDescent="0.25">
      <c r="B34" s="900" t="s">
        <v>58</v>
      </c>
      <c r="C34" s="901">
        <v>43</v>
      </c>
      <c r="D34" s="888" t="s">
        <v>59</v>
      </c>
      <c r="E34" s="903" t="s">
        <v>58</v>
      </c>
      <c r="F34" s="514" t="s">
        <v>265</v>
      </c>
    </row>
    <row r="35" spans="2:6" x14ac:dyDescent="0.25">
      <c r="B35" s="900" t="s">
        <v>60</v>
      </c>
      <c r="C35" s="901">
        <v>45</v>
      </c>
      <c r="D35" s="888" t="s">
        <v>61</v>
      </c>
      <c r="E35" s="903" t="s">
        <v>60</v>
      </c>
      <c r="F35" s="514" t="s">
        <v>267</v>
      </c>
    </row>
    <row r="36" spans="2:6" x14ac:dyDescent="0.25">
      <c r="B36" s="900" t="s">
        <v>62</v>
      </c>
      <c r="C36" s="901">
        <v>47</v>
      </c>
      <c r="D36" s="888" t="s">
        <v>63</v>
      </c>
      <c r="E36" s="903" t="s">
        <v>62</v>
      </c>
      <c r="F36" s="514" t="s">
        <v>266</v>
      </c>
    </row>
    <row r="37" spans="2:6" x14ac:dyDescent="0.25">
      <c r="B37" s="900" t="s">
        <v>64</v>
      </c>
      <c r="C37" s="901">
        <v>49</v>
      </c>
      <c r="D37" s="888" t="s">
        <v>65</v>
      </c>
      <c r="E37" s="903" t="s">
        <v>64</v>
      </c>
      <c r="F37" s="514" t="s">
        <v>265</v>
      </c>
    </row>
    <row r="38" spans="2:6" x14ac:dyDescent="0.25">
      <c r="B38" s="900" t="s">
        <v>66</v>
      </c>
      <c r="C38" s="901">
        <v>590</v>
      </c>
      <c r="D38" s="888" t="s">
        <v>67</v>
      </c>
      <c r="E38" s="903" t="s">
        <v>66</v>
      </c>
      <c r="F38" s="514" t="s">
        <v>268</v>
      </c>
    </row>
    <row r="39" spans="2:6" x14ac:dyDescent="0.25">
      <c r="B39" s="900" t="s">
        <v>68</v>
      </c>
      <c r="C39" s="901">
        <v>51</v>
      </c>
      <c r="D39" s="888" t="s">
        <v>69</v>
      </c>
      <c r="E39" s="903" t="s">
        <v>68</v>
      </c>
      <c r="F39" s="514" t="s">
        <v>264</v>
      </c>
    </row>
    <row r="40" spans="2:6" x14ac:dyDescent="0.25">
      <c r="B40" s="900" t="s">
        <v>70</v>
      </c>
      <c r="C40" s="901">
        <v>53</v>
      </c>
      <c r="D40" s="888" t="s">
        <v>71</v>
      </c>
      <c r="E40" s="903" t="s">
        <v>70</v>
      </c>
      <c r="F40" s="514" t="s">
        <v>266</v>
      </c>
    </row>
    <row r="41" spans="2:6" x14ac:dyDescent="0.25">
      <c r="B41" s="900" t="s">
        <v>72</v>
      </c>
      <c r="C41" s="901">
        <v>57</v>
      </c>
      <c r="D41" s="888" t="s">
        <v>73</v>
      </c>
      <c r="E41" s="903" t="s">
        <v>72</v>
      </c>
      <c r="F41" s="514" t="s">
        <v>267</v>
      </c>
    </row>
    <row r="42" spans="2:6" x14ac:dyDescent="0.25">
      <c r="B42" s="900" t="s">
        <v>74</v>
      </c>
      <c r="C42" s="901">
        <v>59</v>
      </c>
      <c r="D42" s="888" t="s">
        <v>649</v>
      </c>
      <c r="E42" s="903" t="s">
        <v>74</v>
      </c>
      <c r="F42" s="514" t="s">
        <v>267</v>
      </c>
    </row>
    <row r="43" spans="2:6" x14ac:dyDescent="0.25">
      <c r="B43" s="900" t="s">
        <v>76</v>
      </c>
      <c r="C43" s="901">
        <v>61</v>
      </c>
      <c r="D43" s="888" t="s">
        <v>77</v>
      </c>
      <c r="E43" s="903" t="s">
        <v>76</v>
      </c>
      <c r="F43" s="514" t="s">
        <v>268</v>
      </c>
    </row>
    <row r="44" spans="2:6" x14ac:dyDescent="0.25">
      <c r="B44" s="900" t="s">
        <v>78</v>
      </c>
      <c r="C44" s="901">
        <v>63</v>
      </c>
      <c r="D44" s="888" t="s">
        <v>79</v>
      </c>
      <c r="E44" s="903" t="s">
        <v>78</v>
      </c>
      <c r="F44" s="514" t="s">
        <v>266</v>
      </c>
    </row>
    <row r="45" spans="2:6" x14ac:dyDescent="0.25">
      <c r="B45" s="900" t="s">
        <v>80</v>
      </c>
      <c r="C45" s="901">
        <v>65</v>
      </c>
      <c r="D45" s="888" t="s">
        <v>81</v>
      </c>
      <c r="E45" s="903" t="s">
        <v>80</v>
      </c>
      <c r="F45" s="514" t="s">
        <v>264</v>
      </c>
    </row>
    <row r="46" spans="2:6" x14ac:dyDescent="0.25">
      <c r="B46" s="900" t="s">
        <v>82</v>
      </c>
      <c r="C46" s="901">
        <v>620</v>
      </c>
      <c r="D46" s="888" t="s">
        <v>83</v>
      </c>
      <c r="E46" s="903" t="s">
        <v>82</v>
      </c>
      <c r="F46" s="514" t="s">
        <v>265</v>
      </c>
    </row>
    <row r="47" spans="2:6" x14ac:dyDescent="0.25">
      <c r="B47" s="900" t="s">
        <v>84</v>
      </c>
      <c r="C47" s="901">
        <v>67</v>
      </c>
      <c r="D47" s="888" t="s">
        <v>85</v>
      </c>
      <c r="E47" s="903" t="s">
        <v>84</v>
      </c>
      <c r="F47" s="514" t="s">
        <v>267</v>
      </c>
    </row>
    <row r="48" spans="2:6" x14ac:dyDescent="0.25">
      <c r="B48" s="900" t="s">
        <v>86</v>
      </c>
      <c r="C48" s="901">
        <v>69</v>
      </c>
      <c r="D48" s="888" t="s">
        <v>87</v>
      </c>
      <c r="E48" s="903" t="s">
        <v>86</v>
      </c>
      <c r="F48" s="514" t="s">
        <v>267</v>
      </c>
    </row>
    <row r="49" spans="2:6" x14ac:dyDescent="0.25">
      <c r="B49" s="900" t="s">
        <v>88</v>
      </c>
      <c r="C49" s="901">
        <v>630</v>
      </c>
      <c r="D49" s="888" t="s">
        <v>89</v>
      </c>
      <c r="E49" s="903" t="s">
        <v>88</v>
      </c>
      <c r="F49" s="514" t="s">
        <v>268</v>
      </c>
    </row>
    <row r="50" spans="2:6" x14ac:dyDescent="0.25">
      <c r="B50" s="900" t="s">
        <v>90</v>
      </c>
      <c r="C50" s="901">
        <v>640</v>
      </c>
      <c r="D50" s="888" t="s">
        <v>91</v>
      </c>
      <c r="E50" s="903" t="s">
        <v>90</v>
      </c>
      <c r="F50" s="514" t="s">
        <v>268</v>
      </c>
    </row>
    <row r="51" spans="2:6" x14ac:dyDescent="0.25">
      <c r="B51" s="900" t="s">
        <v>92</v>
      </c>
      <c r="C51" s="901">
        <v>71</v>
      </c>
      <c r="D51" s="888" t="s">
        <v>93</v>
      </c>
      <c r="E51" s="903" t="s">
        <v>92</v>
      </c>
      <c r="F51" s="514" t="s">
        <v>264</v>
      </c>
    </row>
    <row r="52" spans="2:6" x14ac:dyDescent="0.25">
      <c r="B52" s="900" t="s">
        <v>94</v>
      </c>
      <c r="C52" s="901">
        <v>73</v>
      </c>
      <c r="D52" s="888" t="s">
        <v>95</v>
      </c>
      <c r="E52" s="903" t="s">
        <v>94</v>
      </c>
      <c r="F52" s="514" t="s">
        <v>266</v>
      </c>
    </row>
    <row r="53" spans="2:6" x14ac:dyDescent="0.25">
      <c r="B53" s="900" t="s">
        <v>96</v>
      </c>
      <c r="C53" s="901">
        <v>75</v>
      </c>
      <c r="D53" s="888" t="s">
        <v>97</v>
      </c>
      <c r="E53" s="903" t="s">
        <v>96</v>
      </c>
      <c r="F53" s="514" t="s">
        <v>268</v>
      </c>
    </row>
    <row r="54" spans="2:6" x14ac:dyDescent="0.25">
      <c r="B54" s="900" t="s">
        <v>98</v>
      </c>
      <c r="C54" s="901">
        <v>77</v>
      </c>
      <c r="D54" s="888" t="s">
        <v>99</v>
      </c>
      <c r="E54" s="903" t="s">
        <v>98</v>
      </c>
      <c r="F54" s="514" t="s">
        <v>267</v>
      </c>
    </row>
    <row r="55" spans="2:6" x14ac:dyDescent="0.25">
      <c r="B55" s="900" t="s">
        <v>100</v>
      </c>
      <c r="C55" s="901">
        <v>79</v>
      </c>
      <c r="D55" s="888" t="s">
        <v>101</v>
      </c>
      <c r="E55" s="903" t="s">
        <v>100</v>
      </c>
      <c r="F55" s="514" t="s">
        <v>264</v>
      </c>
    </row>
    <row r="56" spans="2:6" x14ac:dyDescent="0.25">
      <c r="B56" s="900" t="s">
        <v>102</v>
      </c>
      <c r="C56" s="901">
        <v>81</v>
      </c>
      <c r="D56" s="888" t="s">
        <v>103</v>
      </c>
      <c r="E56" s="903" t="s">
        <v>102</v>
      </c>
      <c r="F56" s="514" t="s">
        <v>265</v>
      </c>
    </row>
    <row r="57" spans="2:6" x14ac:dyDescent="0.25">
      <c r="B57" s="900" t="s">
        <v>104</v>
      </c>
      <c r="C57" s="901">
        <v>83</v>
      </c>
      <c r="D57" s="888" t="s">
        <v>105</v>
      </c>
      <c r="E57" s="903" t="s">
        <v>104</v>
      </c>
      <c r="F57" s="514" t="s">
        <v>264</v>
      </c>
    </row>
    <row r="58" spans="2:6" x14ac:dyDescent="0.25">
      <c r="B58" s="900" t="s">
        <v>106</v>
      </c>
      <c r="C58" s="901">
        <v>650</v>
      </c>
      <c r="D58" s="888" t="s">
        <v>107</v>
      </c>
      <c r="E58" s="903" t="s">
        <v>106</v>
      </c>
      <c r="F58" s="514" t="s">
        <v>266</v>
      </c>
    </row>
    <row r="59" spans="2:6" x14ac:dyDescent="0.25">
      <c r="B59" s="900" t="s">
        <v>108</v>
      </c>
      <c r="C59" s="901">
        <v>85</v>
      </c>
      <c r="D59" s="888" t="s">
        <v>109</v>
      </c>
      <c r="E59" s="903" t="s">
        <v>108</v>
      </c>
      <c r="F59" s="514" t="s">
        <v>267</v>
      </c>
    </row>
    <row r="60" spans="2:6" x14ac:dyDescent="0.25">
      <c r="B60" s="900" t="s">
        <v>110</v>
      </c>
      <c r="C60" s="901">
        <v>87</v>
      </c>
      <c r="D60" s="888" t="s">
        <v>111</v>
      </c>
      <c r="E60" s="903" t="s">
        <v>110</v>
      </c>
      <c r="F60" s="514" t="s">
        <v>266</v>
      </c>
    </row>
    <row r="61" spans="2:6" x14ac:dyDescent="0.25">
      <c r="B61" s="900" t="s">
        <v>112</v>
      </c>
      <c r="C61" s="901">
        <v>89</v>
      </c>
      <c r="D61" s="888" t="s">
        <v>113</v>
      </c>
      <c r="E61" s="903" t="s">
        <v>112</v>
      </c>
      <c r="F61" s="514" t="s">
        <v>265</v>
      </c>
    </row>
    <row r="62" spans="2:6" x14ac:dyDescent="0.25">
      <c r="B62" s="900" t="s">
        <v>114</v>
      </c>
      <c r="C62" s="901">
        <v>91</v>
      </c>
      <c r="D62" s="888" t="s">
        <v>115</v>
      </c>
      <c r="E62" s="903" t="s">
        <v>114</v>
      </c>
      <c r="F62" s="514" t="s">
        <v>265</v>
      </c>
    </row>
    <row r="63" spans="2:6" x14ac:dyDescent="0.25">
      <c r="B63" s="900" t="s">
        <v>116</v>
      </c>
      <c r="C63" s="901">
        <v>670</v>
      </c>
      <c r="D63" s="888" t="s">
        <v>117</v>
      </c>
      <c r="E63" s="903" t="s">
        <v>116</v>
      </c>
      <c r="F63" s="514" t="s">
        <v>266</v>
      </c>
    </row>
    <row r="64" spans="2:6" x14ac:dyDescent="0.25">
      <c r="B64" s="900" t="s">
        <v>118</v>
      </c>
      <c r="C64" s="901">
        <v>93</v>
      </c>
      <c r="D64" s="888" t="s">
        <v>119</v>
      </c>
      <c r="E64" s="903" t="s">
        <v>118</v>
      </c>
      <c r="F64" s="514" t="s">
        <v>264</v>
      </c>
    </row>
    <row r="65" spans="2:6" x14ac:dyDescent="0.25">
      <c r="B65" s="900" t="s">
        <v>120</v>
      </c>
      <c r="C65" s="901">
        <v>95</v>
      </c>
      <c r="D65" s="888" t="s">
        <v>121</v>
      </c>
      <c r="E65" s="903" t="s">
        <v>120</v>
      </c>
      <c r="F65" s="514" t="s">
        <v>264</v>
      </c>
    </row>
    <row r="66" spans="2:6" x14ac:dyDescent="0.25">
      <c r="B66" s="900" t="s">
        <v>122</v>
      </c>
      <c r="C66" s="901">
        <v>97</v>
      </c>
      <c r="D66" s="888" t="s">
        <v>123</v>
      </c>
      <c r="E66" s="903" t="s">
        <v>122</v>
      </c>
      <c r="F66" s="514" t="s">
        <v>266</v>
      </c>
    </row>
    <row r="67" spans="2:6" x14ac:dyDescent="0.25">
      <c r="B67" s="900" t="s">
        <v>124</v>
      </c>
      <c r="C67" s="901">
        <v>99</v>
      </c>
      <c r="D67" s="888" t="s">
        <v>125</v>
      </c>
      <c r="E67" s="903" t="s">
        <v>124</v>
      </c>
      <c r="F67" s="514" t="s">
        <v>267</v>
      </c>
    </row>
    <row r="68" spans="2:6" x14ac:dyDescent="0.25">
      <c r="B68" s="900" t="s">
        <v>126</v>
      </c>
      <c r="C68" s="901">
        <v>101</v>
      </c>
      <c r="D68" s="888" t="s">
        <v>127</v>
      </c>
      <c r="E68" s="903" t="s">
        <v>126</v>
      </c>
      <c r="F68" s="514" t="s">
        <v>266</v>
      </c>
    </row>
    <row r="69" spans="2:6" x14ac:dyDescent="0.25">
      <c r="B69" s="900" t="s">
        <v>128</v>
      </c>
      <c r="C69" s="901">
        <v>103</v>
      </c>
      <c r="D69" s="888" t="s">
        <v>129</v>
      </c>
      <c r="E69" s="903" t="s">
        <v>128</v>
      </c>
      <c r="F69" s="514" t="s">
        <v>266</v>
      </c>
    </row>
    <row r="70" spans="2:6" x14ac:dyDescent="0.25">
      <c r="B70" s="900" t="s">
        <v>130</v>
      </c>
      <c r="C70" s="901">
        <v>105</v>
      </c>
      <c r="D70" s="888" t="s">
        <v>131</v>
      </c>
      <c r="E70" s="903" t="s">
        <v>130</v>
      </c>
      <c r="F70" s="514" t="s">
        <v>268</v>
      </c>
    </row>
    <row r="71" spans="2:6" x14ac:dyDescent="0.25">
      <c r="B71" s="900" t="s">
        <v>132</v>
      </c>
      <c r="C71" s="901">
        <v>107</v>
      </c>
      <c r="D71" s="888" t="s">
        <v>133</v>
      </c>
      <c r="E71" s="903" t="s">
        <v>132</v>
      </c>
      <c r="F71" s="514" t="s">
        <v>267</v>
      </c>
    </row>
    <row r="72" spans="2:6" x14ac:dyDescent="0.25">
      <c r="B72" s="900" t="s">
        <v>134</v>
      </c>
      <c r="C72" s="901">
        <v>109</v>
      </c>
      <c r="D72" s="888" t="s">
        <v>135</v>
      </c>
      <c r="E72" s="903" t="s">
        <v>134</v>
      </c>
      <c r="F72" s="514" t="s">
        <v>267</v>
      </c>
    </row>
    <row r="73" spans="2:6" x14ac:dyDescent="0.25">
      <c r="B73" s="900" t="s">
        <v>136</v>
      </c>
      <c r="C73" s="901">
        <v>111</v>
      </c>
      <c r="D73" s="888" t="s">
        <v>137</v>
      </c>
      <c r="E73" s="903" t="s">
        <v>136</v>
      </c>
      <c r="F73" s="514" t="s">
        <v>266</v>
      </c>
    </row>
    <row r="74" spans="2:6" x14ac:dyDescent="0.25">
      <c r="B74" s="900" t="s">
        <v>138</v>
      </c>
      <c r="C74" s="901">
        <v>680</v>
      </c>
      <c r="D74" s="888" t="s">
        <v>139</v>
      </c>
      <c r="E74" s="903" t="s">
        <v>138</v>
      </c>
      <c r="F74" s="514" t="s">
        <v>265</v>
      </c>
    </row>
    <row r="75" spans="2:6" x14ac:dyDescent="0.25">
      <c r="B75" s="900" t="s">
        <v>140</v>
      </c>
      <c r="C75" s="901">
        <v>113</v>
      </c>
      <c r="D75" s="888" t="s">
        <v>141</v>
      </c>
      <c r="E75" s="903" t="s">
        <v>140</v>
      </c>
      <c r="F75" s="514" t="s">
        <v>267</v>
      </c>
    </row>
    <row r="76" spans="2:6" x14ac:dyDescent="0.25">
      <c r="B76" s="900" t="s">
        <v>142</v>
      </c>
      <c r="C76" s="901">
        <v>683</v>
      </c>
      <c r="D76" s="888" t="s">
        <v>143</v>
      </c>
      <c r="E76" s="903" t="s">
        <v>142</v>
      </c>
      <c r="F76" s="514" t="s">
        <v>267</v>
      </c>
    </row>
    <row r="77" spans="2:6" x14ac:dyDescent="0.25">
      <c r="B77" s="900" t="s">
        <v>144</v>
      </c>
      <c r="C77" s="901">
        <v>685</v>
      </c>
      <c r="D77" s="888" t="s">
        <v>145</v>
      </c>
      <c r="E77" s="903" t="s">
        <v>144</v>
      </c>
      <c r="F77" s="514" t="s">
        <v>267</v>
      </c>
    </row>
    <row r="78" spans="2:6" x14ac:dyDescent="0.25">
      <c r="B78" s="900" t="s">
        <v>146</v>
      </c>
      <c r="C78" s="901">
        <v>115</v>
      </c>
      <c r="D78" s="888" t="s">
        <v>147</v>
      </c>
      <c r="E78" s="903" t="s">
        <v>146</v>
      </c>
      <c r="F78" s="514" t="s">
        <v>264</v>
      </c>
    </row>
    <row r="79" spans="2:6" x14ac:dyDescent="0.25">
      <c r="B79" s="900" t="s">
        <v>148</v>
      </c>
      <c r="C79" s="901">
        <v>117</v>
      </c>
      <c r="D79" s="888" t="s">
        <v>149</v>
      </c>
      <c r="E79" s="903" t="s">
        <v>148</v>
      </c>
      <c r="F79" s="514" t="s">
        <v>265</v>
      </c>
    </row>
    <row r="80" spans="2:6" x14ac:dyDescent="0.25">
      <c r="B80" s="900" t="s">
        <v>150</v>
      </c>
      <c r="C80" s="901">
        <v>119</v>
      </c>
      <c r="D80" s="888" t="s">
        <v>151</v>
      </c>
      <c r="E80" s="903" t="s">
        <v>150</v>
      </c>
      <c r="F80" s="514" t="s">
        <v>266</v>
      </c>
    </row>
    <row r="81" spans="2:6" x14ac:dyDescent="0.25">
      <c r="B81" s="900" t="s">
        <v>152</v>
      </c>
      <c r="C81" s="901">
        <v>121</v>
      </c>
      <c r="D81" s="888" t="s">
        <v>153</v>
      </c>
      <c r="E81" s="903" t="s">
        <v>152</v>
      </c>
      <c r="F81" s="514" t="s">
        <v>268</v>
      </c>
    </row>
    <row r="82" spans="2:6" x14ac:dyDescent="0.25">
      <c r="B82" s="900" t="s">
        <v>154</v>
      </c>
      <c r="C82" s="901">
        <v>125</v>
      </c>
      <c r="D82" s="888" t="s">
        <v>155</v>
      </c>
      <c r="E82" s="903" t="s">
        <v>154</v>
      </c>
      <c r="F82" s="514" t="s">
        <v>265</v>
      </c>
    </row>
    <row r="83" spans="2:6" x14ac:dyDescent="0.25">
      <c r="B83" s="900" t="s">
        <v>156</v>
      </c>
      <c r="C83" s="901">
        <v>127</v>
      </c>
      <c r="D83" s="888" t="s">
        <v>157</v>
      </c>
      <c r="E83" s="903" t="s">
        <v>156</v>
      </c>
      <c r="F83" s="514" t="s">
        <v>266</v>
      </c>
    </row>
    <row r="84" spans="2:6" x14ac:dyDescent="0.25">
      <c r="B84" s="904" t="s">
        <v>158</v>
      </c>
      <c r="C84" s="905">
        <v>700</v>
      </c>
      <c r="D84" s="888" t="s">
        <v>159</v>
      </c>
      <c r="E84" s="905" t="s">
        <v>158</v>
      </c>
      <c r="F84" s="514" t="s">
        <v>264</v>
      </c>
    </row>
    <row r="85" spans="2:6" x14ac:dyDescent="0.25">
      <c r="B85" s="900" t="s">
        <v>160</v>
      </c>
      <c r="C85" s="901">
        <v>710</v>
      </c>
      <c r="D85" s="888" t="s">
        <v>161</v>
      </c>
      <c r="E85" s="903" t="s">
        <v>160</v>
      </c>
      <c r="F85" s="514" t="s">
        <v>264</v>
      </c>
    </row>
    <row r="86" spans="2:6" x14ac:dyDescent="0.25">
      <c r="B86" s="900" t="s">
        <v>162</v>
      </c>
      <c r="C86" s="901">
        <v>131</v>
      </c>
      <c r="D86" s="888" t="s">
        <v>163</v>
      </c>
      <c r="E86" s="903" t="s">
        <v>162</v>
      </c>
      <c r="F86" s="514" t="s">
        <v>264</v>
      </c>
    </row>
    <row r="87" spans="2:6" x14ac:dyDescent="0.25">
      <c r="B87" s="900" t="s">
        <v>164</v>
      </c>
      <c r="C87" s="901">
        <v>133</v>
      </c>
      <c r="D87" s="888" t="s">
        <v>165</v>
      </c>
      <c r="E87" s="903" t="s">
        <v>164</v>
      </c>
      <c r="F87" s="514" t="s">
        <v>266</v>
      </c>
    </row>
    <row r="88" spans="2:6" x14ac:dyDescent="0.25">
      <c r="B88" s="900" t="s">
        <v>166</v>
      </c>
      <c r="C88" s="901">
        <v>720</v>
      </c>
      <c r="D88" s="888" t="s">
        <v>167</v>
      </c>
      <c r="E88" s="903" t="s">
        <v>166</v>
      </c>
      <c r="F88" s="514" t="s">
        <v>268</v>
      </c>
    </row>
    <row r="89" spans="2:6" x14ac:dyDescent="0.25">
      <c r="B89" s="900" t="s">
        <v>168</v>
      </c>
      <c r="C89" s="901">
        <v>135</v>
      </c>
      <c r="D89" s="888" t="s">
        <v>169</v>
      </c>
      <c r="E89" s="903" t="s">
        <v>168</v>
      </c>
      <c r="F89" s="514" t="s">
        <v>266</v>
      </c>
    </row>
    <row r="90" spans="2:6" x14ac:dyDescent="0.25">
      <c r="B90" s="900" t="s">
        <v>170</v>
      </c>
      <c r="C90" s="901">
        <v>137</v>
      </c>
      <c r="D90" s="888" t="s">
        <v>171</v>
      </c>
      <c r="E90" s="903" t="s">
        <v>170</v>
      </c>
      <c r="F90" s="514" t="s">
        <v>267</v>
      </c>
    </row>
    <row r="91" spans="2:6" x14ac:dyDescent="0.25">
      <c r="B91" s="900" t="s">
        <v>172</v>
      </c>
      <c r="C91" s="901">
        <v>139</v>
      </c>
      <c r="D91" s="888" t="s">
        <v>173</v>
      </c>
      <c r="E91" s="903" t="s">
        <v>172</v>
      </c>
      <c r="F91" s="514" t="s">
        <v>267</v>
      </c>
    </row>
    <row r="92" spans="2:6" x14ac:dyDescent="0.25">
      <c r="B92" s="900" t="s">
        <v>174</v>
      </c>
      <c r="C92" s="901">
        <v>141</v>
      </c>
      <c r="D92" s="888" t="s">
        <v>175</v>
      </c>
      <c r="E92" s="903" t="s">
        <v>174</v>
      </c>
      <c r="F92" s="514" t="s">
        <v>268</v>
      </c>
    </row>
    <row r="93" spans="2:6" x14ac:dyDescent="0.25">
      <c r="B93" s="900" t="s">
        <v>176</v>
      </c>
      <c r="C93" s="901">
        <v>730</v>
      </c>
      <c r="D93" s="888" t="s">
        <v>177</v>
      </c>
      <c r="E93" s="903" t="s">
        <v>176</v>
      </c>
      <c r="F93" s="514" t="s">
        <v>266</v>
      </c>
    </row>
    <row r="94" spans="2:6" x14ac:dyDescent="0.25">
      <c r="B94" s="900" t="s">
        <v>178</v>
      </c>
      <c r="C94" s="901">
        <v>143</v>
      </c>
      <c r="D94" s="888" t="s">
        <v>179</v>
      </c>
      <c r="E94" s="903" t="s">
        <v>178</v>
      </c>
      <c r="F94" s="514" t="s">
        <v>265</v>
      </c>
    </row>
    <row r="95" spans="2:6" x14ac:dyDescent="0.25">
      <c r="B95" s="900" t="s">
        <v>180</v>
      </c>
      <c r="C95" s="901">
        <v>740</v>
      </c>
      <c r="D95" s="888" t="s">
        <v>181</v>
      </c>
      <c r="E95" s="903" t="s">
        <v>180</v>
      </c>
      <c r="F95" s="514" t="s">
        <v>264</v>
      </c>
    </row>
    <row r="96" spans="2:6" x14ac:dyDescent="0.25">
      <c r="B96" s="900" t="s">
        <v>182</v>
      </c>
      <c r="C96" s="901">
        <v>145</v>
      </c>
      <c r="D96" s="888" t="s">
        <v>183</v>
      </c>
      <c r="E96" s="903" t="s">
        <v>182</v>
      </c>
      <c r="F96" s="514" t="s">
        <v>266</v>
      </c>
    </row>
    <row r="97" spans="2:6" x14ac:dyDescent="0.25">
      <c r="B97" s="900" t="s">
        <v>184</v>
      </c>
      <c r="C97" s="901">
        <v>147</v>
      </c>
      <c r="D97" s="888" t="s">
        <v>185</v>
      </c>
      <c r="E97" s="903" t="s">
        <v>184</v>
      </c>
      <c r="F97" s="514" t="s">
        <v>266</v>
      </c>
    </row>
    <row r="98" spans="2:6" x14ac:dyDescent="0.25">
      <c r="B98" s="900" t="s">
        <v>186</v>
      </c>
      <c r="C98" s="901">
        <v>149</v>
      </c>
      <c r="D98" s="888" t="s">
        <v>187</v>
      </c>
      <c r="E98" s="903" t="s">
        <v>186</v>
      </c>
      <c r="F98" s="514" t="s">
        <v>264</v>
      </c>
    </row>
    <row r="99" spans="2:6" x14ac:dyDescent="0.25">
      <c r="B99" s="900" t="s">
        <v>188</v>
      </c>
      <c r="C99" s="901">
        <v>153</v>
      </c>
      <c r="D99" s="888" t="s">
        <v>189</v>
      </c>
      <c r="E99" s="903" t="s">
        <v>188</v>
      </c>
      <c r="F99" s="514" t="s">
        <v>267</v>
      </c>
    </row>
    <row r="100" spans="2:6" x14ac:dyDescent="0.25">
      <c r="B100" s="900" t="s">
        <v>190</v>
      </c>
      <c r="C100" s="901">
        <v>155</v>
      </c>
      <c r="D100" s="888" t="s">
        <v>191</v>
      </c>
      <c r="E100" s="903" t="s">
        <v>190</v>
      </c>
      <c r="F100" s="514" t="s">
        <v>268</v>
      </c>
    </row>
    <row r="101" spans="2:6" x14ac:dyDescent="0.25">
      <c r="B101" s="900" t="s">
        <v>192</v>
      </c>
      <c r="C101" s="901">
        <v>750</v>
      </c>
      <c r="D101" s="888" t="s">
        <v>193</v>
      </c>
      <c r="E101" s="903" t="s">
        <v>192</v>
      </c>
      <c r="F101" s="514" t="s">
        <v>268</v>
      </c>
    </row>
    <row r="102" spans="2:6" x14ac:dyDescent="0.25">
      <c r="B102" s="900" t="s">
        <v>194</v>
      </c>
      <c r="C102" s="901">
        <v>157</v>
      </c>
      <c r="D102" s="888" t="s">
        <v>195</v>
      </c>
      <c r="E102" s="903" t="s">
        <v>194</v>
      </c>
      <c r="F102" s="514" t="s">
        <v>267</v>
      </c>
    </row>
    <row r="103" spans="2:6" x14ac:dyDescent="0.25">
      <c r="B103" s="900" t="s">
        <v>196</v>
      </c>
      <c r="C103" s="901">
        <v>760</v>
      </c>
      <c r="D103" s="888" t="s">
        <v>197</v>
      </c>
      <c r="E103" s="903" t="s">
        <v>196</v>
      </c>
      <c r="F103" s="514" t="s">
        <v>266</v>
      </c>
    </row>
    <row r="104" spans="2:6" x14ac:dyDescent="0.25">
      <c r="B104" s="900" t="s">
        <v>198</v>
      </c>
      <c r="C104" s="901">
        <v>159</v>
      </c>
      <c r="D104" s="888" t="s">
        <v>272</v>
      </c>
      <c r="E104" s="903" t="s">
        <v>198</v>
      </c>
      <c r="F104" s="514" t="s">
        <v>266</v>
      </c>
    </row>
    <row r="105" spans="2:6" x14ac:dyDescent="0.25">
      <c r="B105" s="900" t="s">
        <v>200</v>
      </c>
      <c r="C105" s="901">
        <v>770</v>
      </c>
      <c r="D105" s="888" t="s">
        <v>201</v>
      </c>
      <c r="E105" s="903" t="s">
        <v>200</v>
      </c>
      <c r="F105" s="514" t="s">
        <v>265</v>
      </c>
    </row>
    <row r="106" spans="2:6" x14ac:dyDescent="0.25">
      <c r="B106" s="900" t="s">
        <v>202</v>
      </c>
      <c r="C106" s="901">
        <v>161</v>
      </c>
      <c r="D106" s="888" t="s">
        <v>203</v>
      </c>
      <c r="E106" s="903" t="s">
        <v>202</v>
      </c>
      <c r="F106" s="514" t="s">
        <v>265</v>
      </c>
    </row>
    <row r="107" spans="2:6" x14ac:dyDescent="0.25">
      <c r="B107" s="900" t="s">
        <v>204</v>
      </c>
      <c r="C107" s="901">
        <v>163</v>
      </c>
      <c r="D107" s="888" t="s">
        <v>205</v>
      </c>
      <c r="E107" s="903" t="s">
        <v>204</v>
      </c>
      <c r="F107" s="514" t="s">
        <v>265</v>
      </c>
    </row>
    <row r="108" spans="2:6" x14ac:dyDescent="0.25">
      <c r="B108" s="900" t="s">
        <v>206</v>
      </c>
      <c r="C108" s="901">
        <v>165</v>
      </c>
      <c r="D108" s="888" t="s">
        <v>207</v>
      </c>
      <c r="E108" s="903" t="s">
        <v>206</v>
      </c>
      <c r="F108" s="514" t="s">
        <v>268</v>
      </c>
    </row>
    <row r="109" spans="2:6" x14ac:dyDescent="0.25">
      <c r="B109" s="900" t="s">
        <v>208</v>
      </c>
      <c r="C109" s="901">
        <v>167</v>
      </c>
      <c r="D109" s="888" t="s">
        <v>209</v>
      </c>
      <c r="E109" s="903" t="s">
        <v>208</v>
      </c>
      <c r="F109" s="514" t="s">
        <v>268</v>
      </c>
    </row>
    <row r="110" spans="2:6" x14ac:dyDescent="0.25">
      <c r="B110" s="900" t="s">
        <v>210</v>
      </c>
      <c r="C110" s="901">
        <v>169</v>
      </c>
      <c r="D110" s="888" t="s">
        <v>211</v>
      </c>
      <c r="E110" s="903" t="s">
        <v>210</v>
      </c>
      <c r="F110" s="514" t="s">
        <v>267</v>
      </c>
    </row>
    <row r="111" spans="2:6" x14ac:dyDescent="0.25">
      <c r="B111" s="900" t="s">
        <v>212</v>
      </c>
      <c r="C111" s="901">
        <v>171</v>
      </c>
      <c r="D111" s="888" t="s">
        <v>213</v>
      </c>
      <c r="E111" s="903" t="s">
        <v>212</v>
      </c>
      <c r="F111" s="514" t="s">
        <v>265</v>
      </c>
    </row>
    <row r="112" spans="2:6" x14ac:dyDescent="0.25">
      <c r="B112" s="900" t="s">
        <v>214</v>
      </c>
      <c r="C112" s="901">
        <v>173</v>
      </c>
      <c r="D112" s="888" t="s">
        <v>215</v>
      </c>
      <c r="E112" s="903" t="s">
        <v>214</v>
      </c>
      <c r="F112" s="514" t="s">
        <v>268</v>
      </c>
    </row>
    <row r="113" spans="2:6" x14ac:dyDescent="0.25">
      <c r="B113" s="900" t="s">
        <v>216</v>
      </c>
      <c r="C113" s="901">
        <v>175</v>
      </c>
      <c r="D113" s="888" t="s">
        <v>217</v>
      </c>
      <c r="E113" s="903" t="s">
        <v>216</v>
      </c>
      <c r="F113" s="514" t="s">
        <v>264</v>
      </c>
    </row>
    <row r="114" spans="2:6" x14ac:dyDescent="0.25">
      <c r="B114" s="900" t="s">
        <v>218</v>
      </c>
      <c r="C114" s="901">
        <v>177</v>
      </c>
      <c r="D114" s="888" t="s">
        <v>219</v>
      </c>
      <c r="E114" s="903" t="s">
        <v>218</v>
      </c>
      <c r="F114" s="514" t="s">
        <v>267</v>
      </c>
    </row>
    <row r="115" spans="2:6" x14ac:dyDescent="0.25">
      <c r="B115" s="900" t="s">
        <v>220</v>
      </c>
      <c r="C115" s="901">
        <v>179</v>
      </c>
      <c r="D115" s="888" t="s">
        <v>221</v>
      </c>
      <c r="E115" s="903" t="s">
        <v>220</v>
      </c>
      <c r="F115" s="514" t="s">
        <v>267</v>
      </c>
    </row>
    <row r="116" spans="2:6" x14ac:dyDescent="0.25">
      <c r="B116" s="900" t="s">
        <v>222</v>
      </c>
      <c r="C116" s="901">
        <v>800</v>
      </c>
      <c r="D116" s="888" t="s">
        <v>223</v>
      </c>
      <c r="E116" s="903" t="s">
        <v>222</v>
      </c>
      <c r="F116" s="514" t="s">
        <v>264</v>
      </c>
    </row>
    <row r="117" spans="2:6" x14ac:dyDescent="0.25">
      <c r="B117" s="900" t="s">
        <v>224</v>
      </c>
      <c r="C117" s="901">
        <v>181</v>
      </c>
      <c r="D117" s="888" t="s">
        <v>225</v>
      </c>
      <c r="E117" s="903" t="s">
        <v>224</v>
      </c>
      <c r="F117" s="514" t="s">
        <v>264</v>
      </c>
    </row>
    <row r="118" spans="2:6" x14ac:dyDescent="0.25">
      <c r="B118" s="900" t="s">
        <v>226</v>
      </c>
      <c r="C118" s="901">
        <v>183</v>
      </c>
      <c r="D118" s="888" t="s">
        <v>227</v>
      </c>
      <c r="E118" s="903" t="s">
        <v>226</v>
      </c>
      <c r="F118" s="514" t="s">
        <v>264</v>
      </c>
    </row>
    <row r="119" spans="2:6" x14ac:dyDescent="0.25">
      <c r="B119" s="900" t="s">
        <v>228</v>
      </c>
      <c r="C119" s="901">
        <v>185</v>
      </c>
      <c r="D119" s="888" t="s">
        <v>229</v>
      </c>
      <c r="E119" s="903" t="s">
        <v>228</v>
      </c>
      <c r="F119" s="514" t="s">
        <v>268</v>
      </c>
    </row>
    <row r="120" spans="2:6" x14ac:dyDescent="0.25">
      <c r="B120" s="900" t="s">
        <v>230</v>
      </c>
      <c r="C120" s="901">
        <v>810</v>
      </c>
      <c r="D120" s="888" t="s">
        <v>231</v>
      </c>
      <c r="E120" s="903" t="s">
        <v>230</v>
      </c>
      <c r="F120" s="514" t="s">
        <v>264</v>
      </c>
    </row>
    <row r="121" spans="2:6" x14ac:dyDescent="0.25">
      <c r="B121" s="900" t="s">
        <v>232</v>
      </c>
      <c r="C121" s="901">
        <v>187</v>
      </c>
      <c r="D121" s="888" t="s">
        <v>233</v>
      </c>
      <c r="E121" s="903" t="s">
        <v>232</v>
      </c>
      <c r="F121" s="514" t="s">
        <v>267</v>
      </c>
    </row>
    <row r="122" spans="2:6" x14ac:dyDescent="0.25">
      <c r="B122" s="900" t="s">
        <v>234</v>
      </c>
      <c r="C122" s="901">
        <v>191</v>
      </c>
      <c r="D122" s="888" t="s">
        <v>235</v>
      </c>
      <c r="E122" s="903" t="s">
        <v>234</v>
      </c>
      <c r="F122" s="514" t="s">
        <v>268</v>
      </c>
    </row>
    <row r="123" spans="2:6" x14ac:dyDescent="0.25">
      <c r="B123" s="900" t="s">
        <v>236</v>
      </c>
      <c r="C123" s="901">
        <v>193</v>
      </c>
      <c r="D123" s="888" t="s">
        <v>237</v>
      </c>
      <c r="E123" s="903" t="s">
        <v>236</v>
      </c>
      <c r="F123" s="514" t="s">
        <v>266</v>
      </c>
    </row>
    <row r="124" spans="2:6" x14ac:dyDescent="0.25">
      <c r="B124" s="900" t="s">
        <v>238</v>
      </c>
      <c r="C124" s="901">
        <v>830</v>
      </c>
      <c r="D124" s="888" t="s">
        <v>239</v>
      </c>
      <c r="E124" s="903" t="s">
        <v>238</v>
      </c>
      <c r="F124" s="514" t="s">
        <v>264</v>
      </c>
    </row>
    <row r="125" spans="2:6" x14ac:dyDescent="0.25">
      <c r="B125" s="900" t="s">
        <v>240</v>
      </c>
      <c r="C125" s="901">
        <v>840</v>
      </c>
      <c r="D125" s="888" t="s">
        <v>241</v>
      </c>
      <c r="E125" s="903" t="s">
        <v>240</v>
      </c>
      <c r="F125" s="514" t="s">
        <v>267</v>
      </c>
    </row>
    <row r="126" spans="2:6" x14ac:dyDescent="0.25">
      <c r="B126" s="900" t="s">
        <v>242</v>
      </c>
      <c r="C126" s="901">
        <v>195</v>
      </c>
      <c r="D126" s="888" t="s">
        <v>243</v>
      </c>
      <c r="E126" s="903" t="s">
        <v>242</v>
      </c>
      <c r="F126" s="514" t="s">
        <v>268</v>
      </c>
    </row>
    <row r="127" spans="2:6" x14ac:dyDescent="0.25">
      <c r="B127" s="900" t="s">
        <v>244</v>
      </c>
      <c r="C127" s="901">
        <v>197</v>
      </c>
      <c r="D127" s="888" t="s">
        <v>245</v>
      </c>
      <c r="E127" s="903" t="s">
        <v>244</v>
      </c>
      <c r="F127" s="514" t="s">
        <v>268</v>
      </c>
    </row>
    <row r="128" spans="2:6" x14ac:dyDescent="0.25">
      <c r="B128" s="906" t="s">
        <v>246</v>
      </c>
      <c r="C128" s="907">
        <v>199</v>
      </c>
      <c r="D128" s="908" t="s">
        <v>310</v>
      </c>
      <c r="E128" s="909" t="s">
        <v>246</v>
      </c>
      <c r="F128" s="514" t="s">
        <v>264</v>
      </c>
    </row>
    <row r="129" spans="2:5" x14ac:dyDescent="0.25">
      <c r="B129" s="2167" t="s">
        <v>809</v>
      </c>
      <c r="C129" s="2167"/>
      <c r="D129" s="2167"/>
      <c r="E129" s="2167"/>
    </row>
    <row r="130" spans="2:5" x14ac:dyDescent="0.25">
      <c r="B130" s="899"/>
      <c r="C130" s="899"/>
    </row>
    <row r="131" spans="2:5" x14ac:dyDescent="0.25">
      <c r="B131" s="2168" t="s">
        <v>248</v>
      </c>
      <c r="C131" s="2168"/>
      <c r="D131" s="2168"/>
      <c r="E131" s="2168"/>
    </row>
    <row r="132" spans="2:5" x14ac:dyDescent="0.25">
      <c r="B132" s="910" t="s">
        <v>249</v>
      </c>
      <c r="C132" s="910"/>
      <c r="D132" s="416" t="s">
        <v>250</v>
      </c>
      <c r="E132" s="911"/>
    </row>
  </sheetData>
  <mergeCells count="2">
    <mergeCell ref="B129:E129"/>
    <mergeCell ref="B131:E131"/>
  </mergeCells>
  <hyperlinks>
    <hyperlink ref="D132" r:id="rId1"/>
  </hyperlinks>
  <pageMargins left="1" right="1" top="1" bottom="1" header="0.3" footer="0.3"/>
  <pageSetup orientation="portrait" r:id="rId2"/>
  <headerFooter>
    <oddHeader>&amp;C&amp;"Courier New,Bold"&amp;12Percent of Population Receiving SNAP, Dec. 2010, by Race and Adults or Children</oddHeader>
    <oddFooter>&amp;C&amp;"Courier New,Regular"&amp;10&amp;P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I23" sqref="I23"/>
    </sheetView>
  </sheetViews>
  <sheetFormatPr defaultRowHeight="15.75" x14ac:dyDescent="0.25"/>
  <sheetData>
    <row r="1" spans="1:4" x14ac:dyDescent="0.25">
      <c r="A1" t="s">
        <v>583</v>
      </c>
      <c r="D1" t="s">
        <v>584</v>
      </c>
    </row>
    <row r="2" spans="1:4" x14ac:dyDescent="0.25">
      <c r="D2" t="s">
        <v>585</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8" sqref="C8"/>
    </sheetView>
  </sheetViews>
  <sheetFormatPr defaultRowHeight="15.75" x14ac:dyDescent="0.25"/>
  <sheetData>
    <row r="1" spans="1:1" x14ac:dyDescent="0.25">
      <c r="A1" t="s">
        <v>266</v>
      </c>
    </row>
    <row r="2" spans="1:1" x14ac:dyDescent="0.25">
      <c r="A2" t="s">
        <v>264</v>
      </c>
    </row>
    <row r="3" spans="1:1" x14ac:dyDescent="0.25">
      <c r="A3" t="s">
        <v>267</v>
      </c>
    </row>
    <row r="4" spans="1:1" x14ac:dyDescent="0.25">
      <c r="A4" t="s">
        <v>265</v>
      </c>
    </row>
    <row r="5" spans="1:1" x14ac:dyDescent="0.25">
      <c r="A5" t="s">
        <v>268</v>
      </c>
    </row>
    <row r="6" spans="1:1" x14ac:dyDescent="0.25">
      <c r="A6" t="s">
        <v>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134"/>
  <sheetViews>
    <sheetView workbookViewId="0">
      <pane xSplit="3" ySplit="5" topLeftCell="D6" activePane="bottomRight" state="frozen"/>
      <selection pane="topRight" activeCell="E1" sqref="E1"/>
      <selection pane="bottomLeft" activeCell="A6" sqref="A6"/>
      <selection pane="bottomRight" activeCell="E127" sqref="E127:E131"/>
    </sheetView>
  </sheetViews>
  <sheetFormatPr defaultRowHeight="12.75" x14ac:dyDescent="0.2"/>
  <cols>
    <col min="1" max="1" width="9" style="222"/>
    <col min="2" max="2" width="26.75" style="222" customWidth="1"/>
    <col min="3" max="12" width="12.125" style="222" customWidth="1"/>
    <col min="13" max="16384" width="9" style="222"/>
  </cols>
  <sheetData>
    <row r="1" spans="1:12" ht="15" x14ac:dyDescent="0.25">
      <c r="A1" s="1363" t="s">
        <v>1228</v>
      </c>
    </row>
    <row r="3" spans="1:12" x14ac:dyDescent="0.2">
      <c r="D3" s="2079" t="s">
        <v>934</v>
      </c>
      <c r="E3" s="2079"/>
      <c r="F3" s="2079"/>
      <c r="G3" s="2079" t="s">
        <v>935</v>
      </c>
      <c r="H3" s="2079"/>
      <c r="I3" s="2079"/>
      <c r="J3" s="2079" t="s">
        <v>936</v>
      </c>
      <c r="K3" s="2079"/>
      <c r="L3" s="2079"/>
    </row>
    <row r="4" spans="1:12" ht="25.5" x14ac:dyDescent="0.2">
      <c r="A4" s="65" t="s">
        <v>4</v>
      </c>
      <c r="B4" s="65" t="s">
        <v>606</v>
      </c>
      <c r="C4" s="65" t="s">
        <v>251</v>
      </c>
      <c r="D4" s="983" t="s">
        <v>937</v>
      </c>
      <c r="E4" s="983" t="s">
        <v>938</v>
      </c>
      <c r="F4" s="983" t="s">
        <v>939</v>
      </c>
      <c r="G4" s="983" t="s">
        <v>937</v>
      </c>
      <c r="H4" s="983" t="s">
        <v>938</v>
      </c>
      <c r="I4" s="983" t="s">
        <v>939</v>
      </c>
      <c r="J4" s="983" t="s">
        <v>937</v>
      </c>
      <c r="K4" s="983" t="s">
        <v>938</v>
      </c>
      <c r="L4" s="983" t="s">
        <v>939</v>
      </c>
    </row>
    <row r="5" spans="1:12" x14ac:dyDescent="0.2">
      <c r="A5" s="1365">
        <v>999</v>
      </c>
      <c r="B5" s="1364" t="s">
        <v>828</v>
      </c>
      <c r="C5" s="1364"/>
      <c r="D5" s="1366">
        <v>8080272</v>
      </c>
      <c r="E5" s="1366">
        <v>955541</v>
      </c>
      <c r="F5" s="1367">
        <v>0.1182560438559494</v>
      </c>
      <c r="G5" s="1366">
        <v>1842990</v>
      </c>
      <c r="H5" s="1366">
        <v>292525</v>
      </c>
      <c r="I5" s="1367">
        <v>0.15872305329925826</v>
      </c>
      <c r="J5" s="1366">
        <v>1329772</v>
      </c>
      <c r="K5" s="1366">
        <v>199966</v>
      </c>
      <c r="L5" s="1367">
        <v>0.15037615470922835</v>
      </c>
    </row>
    <row r="6" spans="1:12" x14ac:dyDescent="0.2">
      <c r="A6" s="222" t="s">
        <v>10</v>
      </c>
      <c r="B6" s="222" t="s">
        <v>11</v>
      </c>
      <c r="C6" s="237" t="s">
        <v>264</v>
      </c>
      <c r="D6" s="984">
        <v>32620</v>
      </c>
      <c r="E6" s="984">
        <v>6319</v>
      </c>
      <c r="F6" s="244">
        <v>0.19371551195585529</v>
      </c>
      <c r="G6" s="984">
        <v>6799</v>
      </c>
      <c r="H6" s="984">
        <v>2102</v>
      </c>
      <c r="I6" s="244">
        <v>0.30916311222238563</v>
      </c>
      <c r="J6" s="984">
        <v>4828</v>
      </c>
      <c r="K6" s="984">
        <v>1489</v>
      </c>
      <c r="L6" s="244">
        <v>0.30840927920463962</v>
      </c>
    </row>
    <row r="7" spans="1:12" x14ac:dyDescent="0.2">
      <c r="A7" s="222" t="s">
        <v>12</v>
      </c>
      <c r="B7" s="222" t="s">
        <v>13</v>
      </c>
      <c r="C7" s="237" t="s">
        <v>265</v>
      </c>
      <c r="D7" s="984">
        <v>98410</v>
      </c>
      <c r="E7" s="984">
        <v>8982</v>
      </c>
      <c r="F7" s="244">
        <v>9.127121227517529E-2</v>
      </c>
      <c r="G7" s="984">
        <v>21725</v>
      </c>
      <c r="H7" s="984">
        <v>2238</v>
      </c>
      <c r="I7" s="244">
        <v>0.10301495972382048</v>
      </c>
      <c r="J7" s="984">
        <v>16005</v>
      </c>
      <c r="K7" s="984">
        <v>1594</v>
      </c>
      <c r="L7" s="244">
        <v>9.9593876913464538E-2</v>
      </c>
    </row>
    <row r="8" spans="1:12" x14ac:dyDescent="0.2">
      <c r="A8" s="222" t="s">
        <v>16</v>
      </c>
      <c r="B8" s="222" t="s">
        <v>297</v>
      </c>
      <c r="C8" s="237" t="s">
        <v>265</v>
      </c>
      <c r="D8" s="984">
        <v>21250</v>
      </c>
      <c r="E8" s="984">
        <v>3386</v>
      </c>
      <c r="F8" s="244">
        <v>0.15934117647058824</v>
      </c>
      <c r="G8" s="984">
        <v>4231</v>
      </c>
      <c r="H8" s="222">
        <v>985</v>
      </c>
      <c r="I8" s="244">
        <v>0.23280548333727252</v>
      </c>
      <c r="J8" s="984">
        <v>3125</v>
      </c>
      <c r="K8" s="222">
        <v>661</v>
      </c>
      <c r="L8" s="244">
        <v>0.21152000000000001</v>
      </c>
    </row>
    <row r="9" spans="1:12" x14ac:dyDescent="0.2">
      <c r="A9" s="222" t="s">
        <v>18</v>
      </c>
      <c r="B9" s="222" t="s">
        <v>19</v>
      </c>
      <c r="C9" s="237" t="s">
        <v>266</v>
      </c>
      <c r="D9" s="984">
        <v>12717</v>
      </c>
      <c r="E9" s="984">
        <v>1636</v>
      </c>
      <c r="F9" s="244">
        <v>0.12864669340253204</v>
      </c>
      <c r="G9" s="984">
        <v>2668</v>
      </c>
      <c r="H9" s="222">
        <v>505</v>
      </c>
      <c r="I9" s="244">
        <v>0.18928035982008995</v>
      </c>
      <c r="J9" s="984">
        <v>1984</v>
      </c>
      <c r="K9" s="222">
        <v>359</v>
      </c>
      <c r="L9" s="244">
        <v>0.18094758064516128</v>
      </c>
    </row>
    <row r="10" spans="1:12" x14ac:dyDescent="0.2">
      <c r="A10" s="222" t="s">
        <v>20</v>
      </c>
      <c r="B10" s="222" t="s">
        <v>21</v>
      </c>
      <c r="C10" s="237" t="s">
        <v>265</v>
      </c>
      <c r="D10" s="984">
        <v>30568</v>
      </c>
      <c r="E10" s="984">
        <v>4179</v>
      </c>
      <c r="F10" s="244">
        <v>0.1367115938236064</v>
      </c>
      <c r="G10" s="984">
        <v>6260</v>
      </c>
      <c r="H10" s="984">
        <v>1282</v>
      </c>
      <c r="I10" s="244">
        <v>0.2047923322683706</v>
      </c>
      <c r="J10" s="984">
        <v>4642</v>
      </c>
      <c r="K10" s="222">
        <v>842</v>
      </c>
      <c r="L10" s="244">
        <v>0.18138733304610083</v>
      </c>
    </row>
    <row r="11" spans="1:12" x14ac:dyDescent="0.2">
      <c r="A11" s="222" t="s">
        <v>22</v>
      </c>
      <c r="B11" s="222" t="s">
        <v>23</v>
      </c>
      <c r="C11" s="237" t="s">
        <v>265</v>
      </c>
      <c r="D11" s="984">
        <v>15170</v>
      </c>
      <c r="E11" s="984">
        <v>2290</v>
      </c>
      <c r="F11" s="244">
        <v>0.15095583388266315</v>
      </c>
      <c r="G11" s="984">
        <v>3297</v>
      </c>
      <c r="H11" s="222">
        <v>721</v>
      </c>
      <c r="I11" s="244">
        <v>0.21868365180467092</v>
      </c>
      <c r="J11" s="984">
        <v>2365</v>
      </c>
      <c r="K11" s="222">
        <v>501</v>
      </c>
      <c r="L11" s="244">
        <v>0.21183932346723044</v>
      </c>
    </row>
    <row r="12" spans="1:12" x14ac:dyDescent="0.2">
      <c r="A12" s="222" t="s">
        <v>24</v>
      </c>
      <c r="B12" s="222" t="s">
        <v>25</v>
      </c>
      <c r="C12" s="237" t="s">
        <v>267</v>
      </c>
      <c r="D12" s="984">
        <v>224119</v>
      </c>
      <c r="E12" s="984">
        <v>19117</v>
      </c>
      <c r="F12" s="244">
        <v>8.5298435206296652E-2</v>
      </c>
      <c r="G12" s="984">
        <v>38562</v>
      </c>
      <c r="H12" s="984">
        <v>4256</v>
      </c>
      <c r="I12" s="244">
        <v>0.11036771951662258</v>
      </c>
      <c r="J12" s="984">
        <v>24559</v>
      </c>
      <c r="K12" s="984">
        <v>2691</v>
      </c>
      <c r="L12" s="244">
        <v>0.10957286534468016</v>
      </c>
    </row>
    <row r="13" spans="1:12" x14ac:dyDescent="0.2">
      <c r="A13" s="222" t="s">
        <v>26</v>
      </c>
      <c r="B13" s="222" t="s">
        <v>298</v>
      </c>
      <c r="C13" s="237" t="s">
        <v>265</v>
      </c>
      <c r="D13" s="984">
        <v>115477</v>
      </c>
      <c r="E13" s="984">
        <v>13860</v>
      </c>
      <c r="F13" s="244">
        <v>0.12002390086337539</v>
      </c>
      <c r="G13" s="984">
        <v>23731</v>
      </c>
      <c r="H13" s="984">
        <v>4349</v>
      </c>
      <c r="I13" s="244">
        <v>0.18326239939319877</v>
      </c>
      <c r="J13" s="984">
        <v>17544</v>
      </c>
      <c r="K13" s="984">
        <v>3017</v>
      </c>
      <c r="L13" s="244">
        <v>0.17196762425900594</v>
      </c>
    </row>
    <row r="14" spans="1:12" x14ac:dyDescent="0.2">
      <c r="A14" s="222" t="s">
        <v>27</v>
      </c>
      <c r="B14" s="222" t="s">
        <v>28</v>
      </c>
      <c r="C14" s="237" t="s">
        <v>265</v>
      </c>
      <c r="D14" s="984">
        <v>4500</v>
      </c>
      <c r="E14" s="222">
        <v>519</v>
      </c>
      <c r="F14" s="244">
        <v>0.11533333333333333</v>
      </c>
      <c r="G14" s="222">
        <v>716</v>
      </c>
      <c r="H14" s="222">
        <v>112</v>
      </c>
      <c r="I14" s="244">
        <v>0.15642458100558659</v>
      </c>
      <c r="J14" s="222">
        <v>542</v>
      </c>
      <c r="K14" s="222">
        <v>79</v>
      </c>
      <c r="L14" s="244">
        <v>0.14575645756457564</v>
      </c>
    </row>
    <row r="15" spans="1:12" x14ac:dyDescent="0.2">
      <c r="A15" s="222" t="s">
        <v>29</v>
      </c>
      <c r="B15" s="237" t="s">
        <v>941</v>
      </c>
      <c r="C15" s="237" t="s">
        <v>265</v>
      </c>
      <c r="D15" s="984">
        <v>76082</v>
      </c>
      <c r="E15" s="984">
        <v>7166</v>
      </c>
      <c r="F15" s="244">
        <v>9.4187849951368266E-2</v>
      </c>
      <c r="G15" s="984">
        <v>15446</v>
      </c>
      <c r="H15" s="984">
        <v>2105</v>
      </c>
      <c r="I15" s="244">
        <v>0.13628123786093488</v>
      </c>
      <c r="J15" s="984">
        <v>12078</v>
      </c>
      <c r="K15" s="984">
        <v>1414</v>
      </c>
      <c r="L15" s="244">
        <v>0.11707236297400232</v>
      </c>
    </row>
    <row r="16" spans="1:12" x14ac:dyDescent="0.2">
      <c r="A16" s="222" t="s">
        <v>30</v>
      </c>
      <c r="B16" s="222" t="s">
        <v>31</v>
      </c>
      <c r="C16" s="237" t="s">
        <v>268</v>
      </c>
      <c r="D16" s="984">
        <v>5920</v>
      </c>
      <c r="E16" s="222">
        <v>834</v>
      </c>
      <c r="F16" s="244">
        <v>0.14087837837837838</v>
      </c>
      <c r="G16" s="984">
        <v>1087</v>
      </c>
      <c r="H16" s="222">
        <v>189</v>
      </c>
      <c r="I16" s="244">
        <v>0.17387304507819687</v>
      </c>
      <c r="J16" s="222">
        <v>824</v>
      </c>
      <c r="K16" s="222">
        <v>128</v>
      </c>
      <c r="L16" s="244">
        <v>0.1553398058252427</v>
      </c>
    </row>
    <row r="17" spans="1:12" x14ac:dyDescent="0.2">
      <c r="A17" s="222" t="s">
        <v>32</v>
      </c>
      <c r="B17" s="222" t="s">
        <v>33</v>
      </c>
      <c r="C17" s="237" t="s">
        <v>265</v>
      </c>
      <c r="D17" s="984">
        <v>32779</v>
      </c>
      <c r="E17" s="984">
        <v>2544</v>
      </c>
      <c r="F17" s="244">
        <v>7.7610665365020287E-2</v>
      </c>
      <c r="G17" s="984">
        <v>6540</v>
      </c>
      <c r="H17" s="222">
        <v>692</v>
      </c>
      <c r="I17" s="244">
        <v>0.10581039755351682</v>
      </c>
      <c r="J17" s="984">
        <v>5258</v>
      </c>
      <c r="K17" s="222">
        <v>490</v>
      </c>
      <c r="L17" s="244">
        <v>9.3191327500950938E-2</v>
      </c>
    </row>
    <row r="18" spans="1:12" x14ac:dyDescent="0.2">
      <c r="A18" s="222" t="s">
        <v>36</v>
      </c>
      <c r="B18" s="222" t="s">
        <v>37</v>
      </c>
      <c r="C18" s="237" t="s">
        <v>264</v>
      </c>
      <c r="D18" s="984">
        <v>14633</v>
      </c>
      <c r="E18" s="984">
        <v>3205</v>
      </c>
      <c r="F18" s="244">
        <v>0.21902549033007584</v>
      </c>
      <c r="G18" s="984">
        <v>2877</v>
      </c>
      <c r="H18" s="222">
        <v>905</v>
      </c>
      <c r="I18" s="244">
        <v>0.31456378171706639</v>
      </c>
      <c r="J18" s="984">
        <v>2185</v>
      </c>
      <c r="K18" s="222">
        <v>608</v>
      </c>
      <c r="L18" s="244">
        <v>0.27826086956521739</v>
      </c>
    </row>
    <row r="19" spans="1:12" x14ac:dyDescent="0.2">
      <c r="A19" s="222" t="s">
        <v>38</v>
      </c>
      <c r="B19" s="222" t="s">
        <v>39</v>
      </c>
      <c r="C19" s="237" t="s">
        <v>268</v>
      </c>
      <c r="D19" s="984">
        <v>21980</v>
      </c>
      <c r="E19" s="984">
        <v>5095</v>
      </c>
      <c r="F19" s="244">
        <v>0.23180163785259328</v>
      </c>
      <c r="G19" s="984">
        <v>3885</v>
      </c>
      <c r="H19" s="984">
        <v>1217</v>
      </c>
      <c r="I19" s="244">
        <v>0.31325611325611324</v>
      </c>
      <c r="J19" s="984">
        <v>2870</v>
      </c>
      <c r="K19" s="222">
        <v>865</v>
      </c>
      <c r="L19" s="244">
        <v>0.30139372822299654</v>
      </c>
    </row>
    <row r="20" spans="1:12" x14ac:dyDescent="0.2">
      <c r="A20" s="222" t="s">
        <v>40</v>
      </c>
      <c r="B20" s="222" t="s">
        <v>41</v>
      </c>
      <c r="C20" s="237" t="s">
        <v>266</v>
      </c>
      <c r="D20" s="984">
        <v>14802</v>
      </c>
      <c r="E20" s="984">
        <v>3376</v>
      </c>
      <c r="F20" s="244">
        <v>0.22807728685312795</v>
      </c>
      <c r="G20" s="984">
        <v>3122</v>
      </c>
      <c r="H20" s="222">
        <v>846</v>
      </c>
      <c r="I20" s="244">
        <v>0.27098014093529788</v>
      </c>
      <c r="J20" s="984">
        <v>2208</v>
      </c>
      <c r="K20" s="222">
        <v>582</v>
      </c>
      <c r="L20" s="244">
        <v>0.26358695652173914</v>
      </c>
    </row>
    <row r="21" spans="1:12" x14ac:dyDescent="0.2">
      <c r="A21" s="222" t="s">
        <v>42</v>
      </c>
      <c r="B21" s="222" t="s">
        <v>43</v>
      </c>
      <c r="C21" s="237" t="s">
        <v>265</v>
      </c>
      <c r="D21" s="984">
        <v>54337</v>
      </c>
      <c r="E21" s="984">
        <v>7883</v>
      </c>
      <c r="F21" s="244">
        <v>0.14507609915895248</v>
      </c>
      <c r="G21" s="984">
        <v>10924</v>
      </c>
      <c r="H21" s="984">
        <v>2116</v>
      </c>
      <c r="I21" s="244">
        <v>0.19370194068106922</v>
      </c>
      <c r="J21" s="984">
        <v>8330</v>
      </c>
      <c r="K21" s="984">
        <v>1470</v>
      </c>
      <c r="L21" s="244">
        <v>0.17647058823529413</v>
      </c>
    </row>
    <row r="22" spans="1:12" x14ac:dyDescent="0.2">
      <c r="A22" s="222" t="s">
        <v>44</v>
      </c>
      <c r="B22" s="222" t="s">
        <v>45</v>
      </c>
      <c r="C22" s="237" t="s">
        <v>266</v>
      </c>
      <c r="D22" s="984">
        <v>29159</v>
      </c>
      <c r="E22" s="984">
        <v>3206</v>
      </c>
      <c r="F22" s="244">
        <v>0.10994890085393876</v>
      </c>
      <c r="G22" s="984">
        <v>6864</v>
      </c>
      <c r="H22" s="984">
        <v>1190</v>
      </c>
      <c r="I22" s="244">
        <v>0.17336829836829837</v>
      </c>
      <c r="J22" s="984">
        <v>4864</v>
      </c>
      <c r="K22" s="222">
        <v>819</v>
      </c>
      <c r="L22" s="244">
        <v>0.16837993421052633</v>
      </c>
    </row>
    <row r="23" spans="1:12" x14ac:dyDescent="0.2">
      <c r="A23" s="222" t="s">
        <v>46</v>
      </c>
      <c r="B23" s="222" t="s">
        <v>47</v>
      </c>
      <c r="C23" s="237" t="s">
        <v>268</v>
      </c>
      <c r="D23" s="984">
        <v>29408</v>
      </c>
      <c r="E23" s="984">
        <v>4998</v>
      </c>
      <c r="F23" s="244">
        <v>0.1699537540805223</v>
      </c>
      <c r="G23" s="984">
        <v>5608</v>
      </c>
      <c r="H23" s="984">
        <v>1400</v>
      </c>
      <c r="I23" s="244">
        <v>0.24964336661911554</v>
      </c>
      <c r="J23" s="984">
        <v>4279</v>
      </c>
      <c r="K23" s="222">
        <v>934</v>
      </c>
      <c r="L23" s="244">
        <v>0.21827529796681466</v>
      </c>
    </row>
    <row r="24" spans="1:12" x14ac:dyDescent="0.2">
      <c r="A24" s="222" t="s">
        <v>48</v>
      </c>
      <c r="B24" s="222" t="s">
        <v>269</v>
      </c>
      <c r="C24" s="237" t="s">
        <v>266</v>
      </c>
      <c r="D24" s="984">
        <v>7004</v>
      </c>
      <c r="E24" s="222">
        <v>919</v>
      </c>
      <c r="F24" s="244">
        <v>0.13121073672187322</v>
      </c>
      <c r="G24" s="984">
        <v>1093</v>
      </c>
      <c r="H24" s="222">
        <v>209</v>
      </c>
      <c r="I24" s="244">
        <v>0.19121683440073192</v>
      </c>
      <c r="J24" s="222">
        <v>866</v>
      </c>
      <c r="K24" s="222">
        <v>145</v>
      </c>
      <c r="L24" s="244">
        <v>0.1674364896073903</v>
      </c>
    </row>
    <row r="25" spans="1:12" x14ac:dyDescent="0.2">
      <c r="A25" s="222" t="s">
        <v>50</v>
      </c>
      <c r="B25" s="222" t="s">
        <v>51</v>
      </c>
      <c r="C25" s="237" t="s">
        <v>265</v>
      </c>
      <c r="D25" s="984">
        <v>12039</v>
      </c>
      <c r="E25" s="984">
        <v>2496</v>
      </c>
      <c r="F25" s="244">
        <v>0.20732618988288065</v>
      </c>
      <c r="G25" s="984">
        <v>2587</v>
      </c>
      <c r="H25" s="222">
        <v>787</v>
      </c>
      <c r="I25" s="244">
        <v>0.30421337456513337</v>
      </c>
      <c r="J25" s="984">
        <v>1914</v>
      </c>
      <c r="K25" s="222">
        <v>561</v>
      </c>
      <c r="L25" s="244">
        <v>0.29310344827586204</v>
      </c>
    </row>
    <row r="26" spans="1:12" x14ac:dyDescent="0.2">
      <c r="A26" s="222" t="s">
        <v>56</v>
      </c>
      <c r="B26" s="222" t="s">
        <v>295</v>
      </c>
      <c r="C26" s="237" t="s">
        <v>266</v>
      </c>
      <c r="D26" s="984">
        <v>344712</v>
      </c>
      <c r="E26" s="984">
        <v>29066</v>
      </c>
      <c r="F26" s="244">
        <v>8.4319663951356497E-2</v>
      </c>
      <c r="G26" s="984">
        <v>84022</v>
      </c>
      <c r="H26" s="984">
        <v>9679</v>
      </c>
      <c r="I26" s="244">
        <v>0.11519602008997644</v>
      </c>
      <c r="J26" s="984">
        <v>63333</v>
      </c>
      <c r="K26" s="984">
        <v>6795</v>
      </c>
      <c r="L26" s="244">
        <v>0.107290038368623</v>
      </c>
    </row>
    <row r="27" spans="1:12" x14ac:dyDescent="0.2">
      <c r="A27" s="222" t="s">
        <v>58</v>
      </c>
      <c r="B27" s="222" t="s">
        <v>59</v>
      </c>
      <c r="C27" s="237" t="s">
        <v>267</v>
      </c>
      <c r="D27" s="984">
        <v>14151</v>
      </c>
      <c r="E27" s="984">
        <v>1162</v>
      </c>
      <c r="F27" s="244">
        <v>8.2114338209313825E-2</v>
      </c>
      <c r="G27" s="984">
        <v>3007</v>
      </c>
      <c r="H27" s="222">
        <v>320</v>
      </c>
      <c r="I27" s="244">
        <v>0.10641835716661124</v>
      </c>
      <c r="J27" s="984">
        <v>2246</v>
      </c>
      <c r="K27" s="222">
        <v>210</v>
      </c>
      <c r="L27" s="244">
        <v>9.3499554764024939E-2</v>
      </c>
    </row>
    <row r="28" spans="1:12" x14ac:dyDescent="0.2">
      <c r="A28" s="222" t="s">
        <v>60</v>
      </c>
      <c r="B28" s="222" t="s">
        <v>61</v>
      </c>
      <c r="C28" s="237" t="s">
        <v>265</v>
      </c>
      <c r="D28" s="984">
        <v>5211</v>
      </c>
      <c r="E28" s="222">
        <v>644</v>
      </c>
      <c r="F28" s="244">
        <v>0.12358472462099405</v>
      </c>
      <c r="G28" s="984">
        <v>989</v>
      </c>
      <c r="H28" s="222">
        <v>208</v>
      </c>
      <c r="I28" s="244">
        <v>0.21031344792719919</v>
      </c>
      <c r="J28" s="222">
        <v>758</v>
      </c>
      <c r="K28" s="222">
        <v>147</v>
      </c>
      <c r="L28" s="244">
        <v>0.19393139841688653</v>
      </c>
    </row>
    <row r="29" spans="1:12" x14ac:dyDescent="0.2">
      <c r="A29" s="222" t="s">
        <v>62</v>
      </c>
      <c r="B29" s="222" t="s">
        <v>63</v>
      </c>
      <c r="C29" s="237" t="s">
        <v>267</v>
      </c>
      <c r="D29" s="984">
        <v>47503</v>
      </c>
      <c r="E29" s="984">
        <v>5219</v>
      </c>
      <c r="F29" s="244">
        <v>0.10986674525819422</v>
      </c>
      <c r="G29" s="984">
        <v>12169</v>
      </c>
      <c r="H29" s="984">
        <v>1858</v>
      </c>
      <c r="I29" s="244">
        <v>0.15268304708686006</v>
      </c>
      <c r="J29" s="984">
        <v>8993</v>
      </c>
      <c r="K29" s="984">
        <v>1335</v>
      </c>
      <c r="L29" s="244">
        <v>0.14844879350606027</v>
      </c>
    </row>
    <row r="30" spans="1:12" x14ac:dyDescent="0.2">
      <c r="A30" s="222" t="s">
        <v>64</v>
      </c>
      <c r="B30" s="222" t="s">
        <v>65</v>
      </c>
      <c r="C30" s="237" t="s">
        <v>266</v>
      </c>
      <c r="D30" s="984">
        <v>9802</v>
      </c>
      <c r="E30" s="984">
        <v>1861</v>
      </c>
      <c r="F30" s="244">
        <v>0.1898592124056315</v>
      </c>
      <c r="G30" s="984">
        <v>2041</v>
      </c>
      <c r="H30" s="222">
        <v>599</v>
      </c>
      <c r="I30" s="244">
        <v>0.29348358647721706</v>
      </c>
      <c r="J30" s="984">
        <v>1505</v>
      </c>
      <c r="K30" s="222">
        <v>408</v>
      </c>
      <c r="L30" s="244">
        <v>0.27109634551495015</v>
      </c>
    </row>
    <row r="31" spans="1:12" x14ac:dyDescent="0.2">
      <c r="A31" s="222" t="s">
        <v>68</v>
      </c>
      <c r="B31" s="222" t="s">
        <v>69</v>
      </c>
      <c r="C31" s="237" t="s">
        <v>268</v>
      </c>
      <c r="D31" s="984">
        <v>14841</v>
      </c>
      <c r="E31" s="984">
        <v>3165</v>
      </c>
      <c r="F31" s="244">
        <v>0.21326056195674145</v>
      </c>
      <c r="G31" s="984">
        <v>3119</v>
      </c>
      <c r="H31" s="222">
        <v>845</v>
      </c>
      <c r="I31" s="244">
        <v>0.27092016672010261</v>
      </c>
      <c r="J31" s="984">
        <v>2327</v>
      </c>
      <c r="K31" s="222">
        <v>578</v>
      </c>
      <c r="L31" s="244">
        <v>0.24838848302535455</v>
      </c>
    </row>
    <row r="32" spans="1:12" x14ac:dyDescent="0.2">
      <c r="A32" s="222" t="s">
        <v>70</v>
      </c>
      <c r="B32" s="222" t="s">
        <v>71</v>
      </c>
      <c r="C32" s="237" t="s">
        <v>264</v>
      </c>
      <c r="D32" s="984">
        <v>27331</v>
      </c>
      <c r="E32" s="984">
        <v>3316</v>
      </c>
      <c r="F32" s="244">
        <v>0.12132743039039919</v>
      </c>
      <c r="G32" s="984">
        <v>5573</v>
      </c>
      <c r="H32" s="222">
        <v>987</v>
      </c>
      <c r="I32" s="244">
        <v>0.17710389377355104</v>
      </c>
      <c r="J32" s="984">
        <v>4336</v>
      </c>
      <c r="K32" s="222">
        <v>702</v>
      </c>
      <c r="L32" s="244">
        <v>0.16190036900369004</v>
      </c>
    </row>
    <row r="33" spans="1:12" x14ac:dyDescent="0.2">
      <c r="A33" s="222" t="s">
        <v>72</v>
      </c>
      <c r="B33" s="222" t="s">
        <v>73</v>
      </c>
      <c r="C33" s="237" t="s">
        <v>266</v>
      </c>
      <c r="D33" s="984">
        <v>10958</v>
      </c>
      <c r="E33" s="984">
        <v>1590</v>
      </c>
      <c r="F33" s="244">
        <v>0.14509947070633328</v>
      </c>
      <c r="G33" s="984">
        <v>2158</v>
      </c>
      <c r="H33" s="222">
        <v>530</v>
      </c>
      <c r="I33" s="244">
        <v>0.24559777571825764</v>
      </c>
      <c r="J33" s="984">
        <v>1509</v>
      </c>
      <c r="K33" s="222">
        <v>384</v>
      </c>
      <c r="L33" s="244">
        <v>0.25447316103379719</v>
      </c>
    </row>
    <row r="34" spans="1:12" x14ac:dyDescent="0.2">
      <c r="A34" s="222" t="s">
        <v>74</v>
      </c>
      <c r="B34" s="222" t="s">
        <v>296</v>
      </c>
      <c r="C34" s="237" t="s">
        <v>267</v>
      </c>
      <c r="D34" s="984">
        <v>1163499</v>
      </c>
      <c r="E34" s="984">
        <v>77441</v>
      </c>
      <c r="F34" s="244">
        <v>6.6558716423477798E-2</v>
      </c>
      <c r="G34" s="984">
        <v>277732</v>
      </c>
      <c r="H34" s="984">
        <v>23870</v>
      </c>
      <c r="I34" s="244">
        <v>8.5946163927815303E-2</v>
      </c>
      <c r="J34" s="984">
        <v>198978</v>
      </c>
      <c r="K34" s="984">
        <v>16576</v>
      </c>
      <c r="L34" s="244">
        <v>8.3305692086562327E-2</v>
      </c>
    </row>
    <row r="35" spans="1:12" x14ac:dyDescent="0.2">
      <c r="A35" s="222" t="s">
        <v>76</v>
      </c>
      <c r="B35" s="222" t="s">
        <v>77</v>
      </c>
      <c r="C35" s="237" t="s">
        <v>267</v>
      </c>
      <c r="D35" s="984">
        <v>67696</v>
      </c>
      <c r="E35" s="984">
        <v>4980</v>
      </c>
      <c r="F35" s="244">
        <v>7.3564169227133061E-2</v>
      </c>
      <c r="G35" s="984">
        <v>16104</v>
      </c>
      <c r="H35" s="984">
        <v>1520</v>
      </c>
      <c r="I35" s="244">
        <v>9.4386487829110785E-2</v>
      </c>
      <c r="J35" s="984">
        <v>12284</v>
      </c>
      <c r="K35" s="222">
        <v>1030</v>
      </c>
      <c r="L35" s="244">
        <v>8.3848909150113976E-2</v>
      </c>
    </row>
    <row r="36" spans="1:12" x14ac:dyDescent="0.2">
      <c r="A36" s="222" t="s">
        <v>78</v>
      </c>
      <c r="B36" s="222" t="s">
        <v>79</v>
      </c>
      <c r="C36" s="237" t="s">
        <v>268</v>
      </c>
      <c r="D36" s="984">
        <v>15453</v>
      </c>
      <c r="E36" s="984">
        <v>2178</v>
      </c>
      <c r="F36" s="244">
        <v>0.14094350611531742</v>
      </c>
      <c r="G36" s="984">
        <v>3147</v>
      </c>
      <c r="H36" s="222">
        <v>628</v>
      </c>
      <c r="I36" s="244">
        <v>0.19955513187162377</v>
      </c>
      <c r="J36" s="984">
        <v>2357</v>
      </c>
      <c r="K36" s="222">
        <v>433</v>
      </c>
      <c r="L36" s="244">
        <v>0.18370810352142555</v>
      </c>
    </row>
    <row r="37" spans="1:12" x14ac:dyDescent="0.2">
      <c r="A37" s="222" t="s">
        <v>80</v>
      </c>
      <c r="B37" s="222" t="s">
        <v>81</v>
      </c>
      <c r="C37" s="237" t="s">
        <v>266</v>
      </c>
      <c r="D37" s="984">
        <v>24745</v>
      </c>
      <c r="E37" s="984">
        <v>1946</v>
      </c>
      <c r="F37" s="244">
        <v>7.8642149929278649E-2</v>
      </c>
      <c r="G37" s="984">
        <v>5471</v>
      </c>
      <c r="H37" s="222">
        <v>584</v>
      </c>
      <c r="I37" s="244">
        <v>0.10674465362822153</v>
      </c>
      <c r="J37" s="984">
        <v>4141</v>
      </c>
      <c r="K37" s="222">
        <v>400</v>
      </c>
      <c r="L37" s="244">
        <v>9.6595025356194159E-2</v>
      </c>
    </row>
    <row r="38" spans="1:12" x14ac:dyDescent="0.2">
      <c r="A38" s="222" t="s">
        <v>84</v>
      </c>
      <c r="B38" s="222" t="s">
        <v>85</v>
      </c>
      <c r="C38" s="237" t="s">
        <v>265</v>
      </c>
      <c r="D38" s="984">
        <v>54801</v>
      </c>
      <c r="E38" s="984">
        <v>8927</v>
      </c>
      <c r="F38" s="244">
        <v>0.16289848725388223</v>
      </c>
      <c r="G38" s="984">
        <v>10932</v>
      </c>
      <c r="H38" s="984">
        <v>2614</v>
      </c>
      <c r="I38" s="244">
        <v>0.23911452616172704</v>
      </c>
      <c r="J38" s="984">
        <v>8225</v>
      </c>
      <c r="K38" s="984">
        <v>1771</v>
      </c>
      <c r="L38" s="244">
        <v>0.21531914893617021</v>
      </c>
    </row>
    <row r="39" spans="1:12" x14ac:dyDescent="0.2">
      <c r="A39" s="222" t="s">
        <v>86</v>
      </c>
      <c r="B39" s="222" t="s">
        <v>87</v>
      </c>
      <c r="C39" s="237" t="s">
        <v>267</v>
      </c>
      <c r="D39" s="984">
        <v>81260</v>
      </c>
      <c r="E39" s="984">
        <v>6233</v>
      </c>
      <c r="F39" s="244">
        <v>7.6704405611617038E-2</v>
      </c>
      <c r="G39" s="984">
        <v>19068</v>
      </c>
      <c r="H39" s="984">
        <v>2201</v>
      </c>
      <c r="I39" s="244">
        <v>0.11542899097965177</v>
      </c>
      <c r="J39" s="984">
        <v>14287</v>
      </c>
      <c r="K39" s="984">
        <v>1526</v>
      </c>
      <c r="L39" s="244">
        <v>0.10681038706516413</v>
      </c>
    </row>
    <row r="40" spans="1:12" x14ac:dyDescent="0.2">
      <c r="A40" s="222" t="s">
        <v>92</v>
      </c>
      <c r="B40" s="222" t="s">
        <v>93</v>
      </c>
      <c r="C40" s="237" t="s">
        <v>268</v>
      </c>
      <c r="D40" s="984">
        <v>16637</v>
      </c>
      <c r="E40" s="984">
        <v>2254</v>
      </c>
      <c r="F40" s="244">
        <v>0.13548115645849612</v>
      </c>
      <c r="G40" s="984">
        <v>3430</v>
      </c>
      <c r="H40" s="222">
        <v>625</v>
      </c>
      <c r="I40" s="244">
        <v>0.18221574344023322</v>
      </c>
      <c r="J40" s="984">
        <v>2572</v>
      </c>
      <c r="K40" s="222">
        <v>431</v>
      </c>
      <c r="L40" s="244">
        <v>0.16757387247278382</v>
      </c>
    </row>
    <row r="41" spans="1:12" x14ac:dyDescent="0.2">
      <c r="A41" s="222" t="s">
        <v>94</v>
      </c>
      <c r="B41" s="222" t="s">
        <v>95</v>
      </c>
      <c r="C41" s="237" t="s">
        <v>264</v>
      </c>
      <c r="D41" s="984">
        <v>36652</v>
      </c>
      <c r="E41" s="984">
        <v>3539</v>
      </c>
      <c r="F41" s="244">
        <v>9.655680453999782E-2</v>
      </c>
      <c r="G41" s="984">
        <v>7478</v>
      </c>
      <c r="H41" s="984">
        <v>1139</v>
      </c>
      <c r="I41" s="244">
        <v>0.15231345279486494</v>
      </c>
      <c r="J41" s="984">
        <v>5542</v>
      </c>
      <c r="K41" s="222">
        <v>789</v>
      </c>
      <c r="L41" s="244">
        <v>0.14236737639841213</v>
      </c>
    </row>
    <row r="42" spans="1:12" x14ac:dyDescent="0.2">
      <c r="A42" s="222" t="s">
        <v>96</v>
      </c>
      <c r="B42" s="222" t="s">
        <v>848</v>
      </c>
      <c r="C42" s="237" t="s">
        <v>266</v>
      </c>
      <c r="D42" s="984">
        <v>20937</v>
      </c>
      <c r="E42" s="984">
        <v>1567</v>
      </c>
      <c r="F42" s="244">
        <v>7.4843578354109944E-2</v>
      </c>
      <c r="G42" s="984">
        <v>4113</v>
      </c>
      <c r="H42" s="222">
        <v>426</v>
      </c>
      <c r="I42" s="244">
        <v>0.10357403355215171</v>
      </c>
      <c r="J42" s="984">
        <v>3221</v>
      </c>
      <c r="K42" s="222">
        <v>298</v>
      </c>
      <c r="L42" s="244">
        <v>9.2517851598882331E-2</v>
      </c>
    </row>
    <row r="43" spans="1:12" x14ac:dyDescent="0.2">
      <c r="A43" s="222" t="s">
        <v>98</v>
      </c>
      <c r="B43" s="222" t="s">
        <v>99</v>
      </c>
      <c r="C43" s="237" t="s">
        <v>268</v>
      </c>
      <c r="D43" s="984">
        <v>14938</v>
      </c>
      <c r="E43" s="984">
        <v>2969</v>
      </c>
      <c r="F43" s="244">
        <v>0.19875485339402865</v>
      </c>
      <c r="G43" s="984">
        <v>2669</v>
      </c>
      <c r="H43" s="222">
        <v>775</v>
      </c>
      <c r="I43" s="244">
        <v>0.29037092544023979</v>
      </c>
      <c r="J43" s="984">
        <v>1948</v>
      </c>
      <c r="K43" s="222">
        <v>513</v>
      </c>
      <c r="L43" s="244">
        <v>0.263347022587269</v>
      </c>
    </row>
    <row r="44" spans="1:12" x14ac:dyDescent="0.2">
      <c r="A44" s="222" t="s">
        <v>100</v>
      </c>
      <c r="B44" s="222" t="s">
        <v>101</v>
      </c>
      <c r="C44" s="237" t="s">
        <v>267</v>
      </c>
      <c r="D44" s="984">
        <v>18850</v>
      </c>
      <c r="E44" s="984">
        <v>1816</v>
      </c>
      <c r="F44" s="244">
        <v>9.6339522546419101E-2</v>
      </c>
      <c r="G44" s="984">
        <v>4564</v>
      </c>
      <c r="H44" s="222">
        <v>630</v>
      </c>
      <c r="I44" s="244">
        <v>0.13803680981595093</v>
      </c>
      <c r="J44" s="984">
        <v>3340</v>
      </c>
      <c r="K44" s="222">
        <v>459</v>
      </c>
      <c r="L44" s="244">
        <v>0.1374251497005988</v>
      </c>
    </row>
    <row r="45" spans="1:12" x14ac:dyDescent="0.2">
      <c r="A45" s="222" t="s">
        <v>102</v>
      </c>
      <c r="B45" s="222" t="s">
        <v>282</v>
      </c>
      <c r="C45" s="237" t="s">
        <v>264</v>
      </c>
      <c r="D45" s="984">
        <v>13827</v>
      </c>
      <c r="E45" s="984">
        <v>3529</v>
      </c>
      <c r="F45" s="244">
        <v>0.25522528386490201</v>
      </c>
      <c r="G45" s="984">
        <v>3269</v>
      </c>
      <c r="H45" s="222">
        <v>1076</v>
      </c>
      <c r="I45" s="244">
        <v>0.3291526460691343</v>
      </c>
      <c r="J45" s="984">
        <v>2426</v>
      </c>
      <c r="K45" s="222">
        <v>772</v>
      </c>
      <c r="L45" s="244">
        <v>0.31821929101401486</v>
      </c>
    </row>
    <row r="46" spans="1:12" x14ac:dyDescent="0.2">
      <c r="A46" s="222" t="s">
        <v>104</v>
      </c>
      <c r="B46" s="222" t="s">
        <v>105</v>
      </c>
      <c r="C46" s="237" t="s">
        <v>265</v>
      </c>
      <c r="D46" s="984">
        <v>34387</v>
      </c>
      <c r="E46" s="984">
        <v>6180</v>
      </c>
      <c r="F46" s="244">
        <v>0.1797190798848402</v>
      </c>
      <c r="G46" s="984">
        <v>7215</v>
      </c>
      <c r="H46" s="984">
        <v>1827</v>
      </c>
      <c r="I46" s="244">
        <v>0.25322245322245324</v>
      </c>
      <c r="J46" s="984">
        <v>5464</v>
      </c>
      <c r="K46" s="984">
        <v>1305</v>
      </c>
      <c r="L46" s="244">
        <v>0.23883601756954612</v>
      </c>
    </row>
    <row r="47" spans="1:12" x14ac:dyDescent="0.2">
      <c r="A47" s="222" t="s">
        <v>108</v>
      </c>
      <c r="B47" s="222" t="s">
        <v>109</v>
      </c>
      <c r="C47" s="237" t="s">
        <v>266</v>
      </c>
      <c r="D47" s="984">
        <v>100011</v>
      </c>
      <c r="E47" s="984">
        <v>6140</v>
      </c>
      <c r="F47" s="244">
        <v>6.1393246742858287E-2</v>
      </c>
      <c r="G47" s="984">
        <v>23003</v>
      </c>
      <c r="H47" s="984">
        <v>1806</v>
      </c>
      <c r="I47" s="244">
        <v>7.851149850019562E-2</v>
      </c>
      <c r="J47" s="984">
        <v>18258</v>
      </c>
      <c r="K47" s="984">
        <v>1183</v>
      </c>
      <c r="L47" s="244">
        <v>6.4793515171431698E-2</v>
      </c>
    </row>
    <row r="48" spans="1:12" x14ac:dyDescent="0.2">
      <c r="A48" s="222" t="s">
        <v>110</v>
      </c>
      <c r="B48" s="222" t="s">
        <v>111</v>
      </c>
      <c r="C48" s="237" t="s">
        <v>266</v>
      </c>
      <c r="D48" s="984">
        <v>319063</v>
      </c>
      <c r="E48" s="984">
        <v>34985</v>
      </c>
      <c r="F48" s="244">
        <v>0.10964919153897507</v>
      </c>
      <c r="G48" s="984">
        <v>74664</v>
      </c>
      <c r="H48" s="984">
        <v>12876</v>
      </c>
      <c r="I48" s="244">
        <v>0.17245258759241403</v>
      </c>
      <c r="J48" s="984">
        <v>54393</v>
      </c>
      <c r="K48" s="984">
        <v>8134</v>
      </c>
      <c r="L48" s="244">
        <v>0.14954130127038406</v>
      </c>
    </row>
    <row r="49" spans="1:12" x14ac:dyDescent="0.2">
      <c r="A49" s="222" t="s">
        <v>112</v>
      </c>
      <c r="B49" s="222" t="s">
        <v>300</v>
      </c>
      <c r="C49" s="237" t="s">
        <v>265</v>
      </c>
      <c r="D49" s="984">
        <v>64802</v>
      </c>
      <c r="E49" s="984">
        <v>13740</v>
      </c>
      <c r="F49" s="244">
        <v>0.21203049288602205</v>
      </c>
      <c r="G49" s="984">
        <v>13365</v>
      </c>
      <c r="H49" s="984">
        <v>4311</v>
      </c>
      <c r="I49" s="244">
        <v>0.32255892255892255</v>
      </c>
      <c r="J49" s="984">
        <v>9712</v>
      </c>
      <c r="K49" s="984">
        <v>3155</v>
      </c>
      <c r="L49" s="244">
        <v>0.32485584843492588</v>
      </c>
    </row>
    <row r="50" spans="1:12" x14ac:dyDescent="0.2">
      <c r="A50" s="222" t="s">
        <v>114</v>
      </c>
      <c r="B50" s="222" t="s">
        <v>115</v>
      </c>
      <c r="C50" s="237" t="s">
        <v>265</v>
      </c>
      <c r="D50" s="984">
        <v>2241</v>
      </c>
      <c r="E50" s="222">
        <v>328</v>
      </c>
      <c r="F50" s="244">
        <v>0.1463632307005801</v>
      </c>
      <c r="G50" s="222">
        <v>293</v>
      </c>
      <c r="H50" s="222">
        <v>64</v>
      </c>
      <c r="I50" s="244">
        <v>0.21843003412969283</v>
      </c>
      <c r="J50" s="222">
        <v>222</v>
      </c>
      <c r="K50" s="222">
        <v>45</v>
      </c>
      <c r="L50" s="244">
        <v>0.20270270270270271</v>
      </c>
    </row>
    <row r="51" spans="1:12" x14ac:dyDescent="0.2">
      <c r="A51" s="222" t="s">
        <v>118</v>
      </c>
      <c r="B51" s="222" t="s">
        <v>270</v>
      </c>
      <c r="C51" s="237" t="s">
        <v>264</v>
      </c>
      <c r="D51" s="984">
        <v>35715</v>
      </c>
      <c r="E51" s="984">
        <v>3633</v>
      </c>
      <c r="F51" s="244">
        <v>0.10172196556068878</v>
      </c>
      <c r="G51" s="984">
        <v>7535</v>
      </c>
      <c r="H51" s="984">
        <v>1032</v>
      </c>
      <c r="I51" s="244">
        <v>0.13696084936960851</v>
      </c>
      <c r="J51" s="984">
        <v>5854</v>
      </c>
      <c r="K51" s="222">
        <v>713</v>
      </c>
      <c r="L51" s="244">
        <v>0.12179706183805945</v>
      </c>
    </row>
    <row r="52" spans="1:12" x14ac:dyDescent="0.2">
      <c r="A52" s="222" t="s">
        <v>120</v>
      </c>
      <c r="B52" s="222" t="s">
        <v>121</v>
      </c>
      <c r="C52" s="237" t="s">
        <v>264</v>
      </c>
      <c r="D52" s="984">
        <v>71572</v>
      </c>
      <c r="E52" s="984">
        <v>5680</v>
      </c>
      <c r="F52" s="244">
        <v>7.9360643827194988E-2</v>
      </c>
      <c r="G52" s="984">
        <v>15088</v>
      </c>
      <c r="H52" s="984">
        <v>1729</v>
      </c>
      <c r="I52" s="244">
        <v>0.11459437963944857</v>
      </c>
      <c r="J52" s="984">
        <v>11429</v>
      </c>
      <c r="K52" s="984">
        <v>1193</v>
      </c>
      <c r="L52" s="244">
        <v>0.10438358561553941</v>
      </c>
    </row>
    <row r="53" spans="1:12" x14ac:dyDescent="0.2">
      <c r="A53" s="222" t="s">
        <v>122</v>
      </c>
      <c r="B53" s="222" t="s">
        <v>287</v>
      </c>
      <c r="C53" s="237" t="s">
        <v>266</v>
      </c>
      <c r="D53" s="984">
        <v>7159</v>
      </c>
      <c r="E53" s="222">
        <v>1060</v>
      </c>
      <c r="F53" s="244">
        <v>0.14806537225869534</v>
      </c>
      <c r="G53" s="984">
        <v>1329</v>
      </c>
      <c r="H53" s="222">
        <v>304</v>
      </c>
      <c r="I53" s="244">
        <v>0.22874341610233259</v>
      </c>
      <c r="J53" s="984">
        <v>1045</v>
      </c>
      <c r="K53" s="222">
        <v>212</v>
      </c>
      <c r="L53" s="244">
        <v>0.20287081339712917</v>
      </c>
    </row>
    <row r="54" spans="1:12" x14ac:dyDescent="0.2">
      <c r="A54" s="222" t="s">
        <v>124</v>
      </c>
      <c r="B54" s="222" t="s">
        <v>125</v>
      </c>
      <c r="C54" s="237" t="s">
        <v>267</v>
      </c>
      <c r="D54" s="984">
        <v>24987</v>
      </c>
      <c r="E54" s="984">
        <v>1878</v>
      </c>
      <c r="F54" s="244">
        <v>7.5159082723015969E-2</v>
      </c>
      <c r="G54" s="984">
        <v>6566</v>
      </c>
      <c r="H54" s="222">
        <v>690</v>
      </c>
      <c r="I54" s="244">
        <v>0.10508681084374048</v>
      </c>
      <c r="J54" s="984">
        <v>4830</v>
      </c>
      <c r="K54" s="222">
        <v>470</v>
      </c>
      <c r="L54" s="244">
        <v>9.7308488612836433E-2</v>
      </c>
    </row>
    <row r="55" spans="1:12" x14ac:dyDescent="0.2">
      <c r="A55" s="222" t="s">
        <v>126</v>
      </c>
      <c r="B55" s="222" t="s">
        <v>127</v>
      </c>
      <c r="C55" s="237" t="s">
        <v>266</v>
      </c>
      <c r="D55" s="984">
        <v>16075</v>
      </c>
      <c r="E55" s="984">
        <v>1409</v>
      </c>
      <c r="F55" s="244">
        <v>8.7651632970451004E-2</v>
      </c>
      <c r="G55" s="984">
        <v>3762</v>
      </c>
      <c r="H55" s="222">
        <v>503</v>
      </c>
      <c r="I55" s="244">
        <v>0.13370547581073897</v>
      </c>
      <c r="J55" s="984">
        <v>2776</v>
      </c>
      <c r="K55" s="222">
        <v>354</v>
      </c>
      <c r="L55" s="244">
        <v>0.12752161383285301</v>
      </c>
    </row>
    <row r="56" spans="1:12" x14ac:dyDescent="0.2">
      <c r="A56" s="222" t="s">
        <v>128</v>
      </c>
      <c r="B56" s="222" t="s">
        <v>129</v>
      </c>
      <c r="C56" s="237" t="s">
        <v>266</v>
      </c>
      <c r="D56" s="984">
        <v>10855</v>
      </c>
      <c r="E56" s="984">
        <v>1491</v>
      </c>
      <c r="F56" s="244">
        <v>0.13735605711653615</v>
      </c>
      <c r="G56" s="984">
        <v>1631</v>
      </c>
      <c r="H56" s="222">
        <v>430</v>
      </c>
      <c r="I56" s="244">
        <v>0.26364193746167996</v>
      </c>
      <c r="J56" s="984">
        <v>1205</v>
      </c>
      <c r="K56" s="222">
        <v>313</v>
      </c>
      <c r="L56" s="244">
        <v>0.25975103734439836</v>
      </c>
    </row>
    <row r="57" spans="1:12" x14ac:dyDescent="0.2">
      <c r="A57" s="222" t="s">
        <v>130</v>
      </c>
      <c r="B57" s="222" t="s">
        <v>131</v>
      </c>
      <c r="C57" s="237" t="s">
        <v>268</v>
      </c>
      <c r="D57" s="984">
        <v>23182</v>
      </c>
      <c r="E57" s="984">
        <v>6161</v>
      </c>
      <c r="F57" s="244">
        <v>0.26576654300750585</v>
      </c>
      <c r="G57" s="984">
        <v>4762</v>
      </c>
      <c r="H57" s="984">
        <v>1518</v>
      </c>
      <c r="I57" s="244">
        <v>0.31877362452750946</v>
      </c>
      <c r="J57" s="984">
        <v>3481</v>
      </c>
      <c r="K57" s="984">
        <v>1038</v>
      </c>
      <c r="L57" s="244">
        <v>0.29819017523700087</v>
      </c>
    </row>
    <row r="58" spans="1:12" x14ac:dyDescent="0.2">
      <c r="A58" s="222" t="s">
        <v>132</v>
      </c>
      <c r="B58" s="222" t="s">
        <v>133</v>
      </c>
      <c r="C58" s="237" t="s">
        <v>267</v>
      </c>
      <c r="D58" s="984">
        <v>361407</v>
      </c>
      <c r="E58" s="984">
        <v>14077</v>
      </c>
      <c r="F58" s="244">
        <v>3.8950546060258932E-2</v>
      </c>
      <c r="G58" s="984">
        <v>105799</v>
      </c>
      <c r="H58" s="984">
        <v>4626</v>
      </c>
      <c r="I58" s="244">
        <v>4.3724420835735689E-2</v>
      </c>
      <c r="J58" s="984">
        <v>78014</v>
      </c>
      <c r="K58" s="984">
        <v>3257</v>
      </c>
      <c r="L58" s="244">
        <v>4.1748916861076214E-2</v>
      </c>
    </row>
    <row r="59" spans="1:12" x14ac:dyDescent="0.2">
      <c r="A59" s="222" t="s">
        <v>134</v>
      </c>
      <c r="B59" s="222" t="s">
        <v>135</v>
      </c>
      <c r="C59" s="237" t="s">
        <v>267</v>
      </c>
      <c r="D59" s="984">
        <v>34140</v>
      </c>
      <c r="E59" s="984">
        <v>3920</v>
      </c>
      <c r="F59" s="244">
        <v>0.11482132396016403</v>
      </c>
      <c r="G59" s="984">
        <v>7078</v>
      </c>
      <c r="H59" s="984">
        <v>1226</v>
      </c>
      <c r="I59" s="244">
        <v>0.1732127719694829</v>
      </c>
      <c r="J59" s="984">
        <v>5157</v>
      </c>
      <c r="K59" s="222">
        <v>854</v>
      </c>
      <c r="L59" s="244">
        <v>0.16560015512895093</v>
      </c>
    </row>
    <row r="60" spans="1:12" x14ac:dyDescent="0.2">
      <c r="A60" s="222" t="s">
        <v>136</v>
      </c>
      <c r="B60" s="222" t="s">
        <v>137</v>
      </c>
      <c r="C60" s="237" t="s">
        <v>266</v>
      </c>
      <c r="D60" s="984">
        <v>11462</v>
      </c>
      <c r="E60" s="984">
        <v>2565</v>
      </c>
      <c r="F60" s="244">
        <v>0.22378293491537254</v>
      </c>
      <c r="G60" s="984">
        <v>2291</v>
      </c>
      <c r="H60" s="222">
        <v>657</v>
      </c>
      <c r="I60" s="244">
        <v>0.28677433435181143</v>
      </c>
      <c r="J60" s="984">
        <v>1742</v>
      </c>
      <c r="K60" s="222">
        <v>451</v>
      </c>
      <c r="L60" s="244">
        <v>0.25889781859931116</v>
      </c>
    </row>
    <row r="61" spans="1:12" x14ac:dyDescent="0.2">
      <c r="A61" s="222" t="s">
        <v>140</v>
      </c>
      <c r="B61" s="222" t="s">
        <v>141</v>
      </c>
      <c r="C61" s="237" t="s">
        <v>267</v>
      </c>
      <c r="D61" s="984">
        <v>13009</v>
      </c>
      <c r="E61" s="984">
        <v>1598</v>
      </c>
      <c r="F61" s="244">
        <v>0.12283803520639557</v>
      </c>
      <c r="G61" s="984">
        <v>2730</v>
      </c>
      <c r="H61" s="222">
        <v>500</v>
      </c>
      <c r="I61" s="244">
        <v>0.18315018315018314</v>
      </c>
      <c r="J61" s="984">
        <v>2067</v>
      </c>
      <c r="K61" s="222">
        <v>347</v>
      </c>
      <c r="L61" s="244">
        <v>0.16787614900822448</v>
      </c>
    </row>
    <row r="62" spans="1:12" x14ac:dyDescent="0.2">
      <c r="A62" s="222" t="s">
        <v>146</v>
      </c>
      <c r="B62" s="222" t="s">
        <v>147</v>
      </c>
      <c r="C62" s="237" t="s">
        <v>264</v>
      </c>
      <c r="D62" s="984">
        <v>8751</v>
      </c>
      <c r="E62" s="222">
        <v>927</v>
      </c>
      <c r="F62" s="244">
        <v>0.10593075077134041</v>
      </c>
      <c r="G62" s="984">
        <v>1472</v>
      </c>
      <c r="H62" s="222">
        <v>265</v>
      </c>
      <c r="I62" s="244">
        <v>0.18002717391304349</v>
      </c>
      <c r="J62" s="984">
        <v>1147</v>
      </c>
      <c r="K62" s="222">
        <v>191</v>
      </c>
      <c r="L62" s="244">
        <v>0.16652136006974716</v>
      </c>
    </row>
    <row r="63" spans="1:12" x14ac:dyDescent="0.2">
      <c r="A63" s="222" t="s">
        <v>148</v>
      </c>
      <c r="B63" s="222" t="s">
        <v>149</v>
      </c>
      <c r="C63" s="237" t="s">
        <v>265</v>
      </c>
      <c r="D63" s="984">
        <v>30268</v>
      </c>
      <c r="E63" s="984">
        <v>6384</v>
      </c>
      <c r="F63" s="244">
        <v>0.21091581868640147</v>
      </c>
      <c r="G63" s="984">
        <v>5895</v>
      </c>
      <c r="H63" s="984">
        <v>1804</v>
      </c>
      <c r="I63" s="244">
        <v>0.3060220525869381</v>
      </c>
      <c r="J63" s="984">
        <v>4410</v>
      </c>
      <c r="K63" s="984">
        <v>1324</v>
      </c>
      <c r="L63" s="244">
        <v>0.30022675736961452</v>
      </c>
    </row>
    <row r="64" spans="1:12" x14ac:dyDescent="0.2">
      <c r="A64" s="222" t="s">
        <v>150</v>
      </c>
      <c r="B64" s="222" t="s">
        <v>151</v>
      </c>
      <c r="C64" s="237" t="s">
        <v>266</v>
      </c>
      <c r="D64" s="984">
        <v>10326</v>
      </c>
      <c r="E64" s="984">
        <v>1489</v>
      </c>
      <c r="F64" s="244">
        <v>0.14419910904512881</v>
      </c>
      <c r="G64" s="984">
        <v>1643</v>
      </c>
      <c r="H64" s="222">
        <v>427</v>
      </c>
      <c r="I64" s="244">
        <v>0.2598904443091905</v>
      </c>
      <c r="J64" s="984">
        <v>1206</v>
      </c>
      <c r="K64" s="222">
        <v>297</v>
      </c>
      <c r="L64" s="244">
        <v>0.2462686567164179</v>
      </c>
    </row>
    <row r="65" spans="1:12" x14ac:dyDescent="0.2">
      <c r="A65" s="222" t="s">
        <v>152</v>
      </c>
      <c r="B65" s="222" t="s">
        <v>153</v>
      </c>
      <c r="C65" s="237" t="s">
        <v>268</v>
      </c>
      <c r="D65" s="984">
        <v>87721</v>
      </c>
      <c r="E65" s="984">
        <v>21796</v>
      </c>
      <c r="F65" s="244">
        <v>0.24846957969015401</v>
      </c>
      <c r="G65" s="984">
        <v>15278</v>
      </c>
      <c r="H65" s="984">
        <v>2449</v>
      </c>
      <c r="I65" s="244">
        <v>0.16029585024217829</v>
      </c>
      <c r="J65" s="984">
        <v>10856</v>
      </c>
      <c r="K65" s="984">
        <v>1623</v>
      </c>
      <c r="L65" s="244">
        <v>0.14950257921886514</v>
      </c>
    </row>
    <row r="66" spans="1:12" x14ac:dyDescent="0.2">
      <c r="A66" s="222" t="s">
        <v>154</v>
      </c>
      <c r="B66" s="222" t="s">
        <v>155</v>
      </c>
      <c r="C66" s="237" t="s">
        <v>265</v>
      </c>
      <c r="D66" s="984">
        <v>14752</v>
      </c>
      <c r="E66" s="984">
        <v>1975</v>
      </c>
      <c r="F66" s="244">
        <v>0.1338801518438178</v>
      </c>
      <c r="G66" s="984">
        <v>2750</v>
      </c>
      <c r="H66" s="222">
        <v>590</v>
      </c>
      <c r="I66" s="244">
        <v>0.21454545454545454</v>
      </c>
      <c r="J66" s="984">
        <v>2074</v>
      </c>
      <c r="K66" s="222">
        <v>415</v>
      </c>
      <c r="L66" s="244">
        <v>0.20009643201542912</v>
      </c>
    </row>
    <row r="67" spans="1:12" x14ac:dyDescent="0.2">
      <c r="A67" s="222" t="s">
        <v>156</v>
      </c>
      <c r="B67" s="222" t="s">
        <v>157</v>
      </c>
      <c r="C67" s="237" t="s">
        <v>266</v>
      </c>
      <c r="D67" s="984">
        <v>19437</v>
      </c>
      <c r="E67" s="984">
        <v>1201</v>
      </c>
      <c r="F67" s="244">
        <v>6.1789370787672993E-2</v>
      </c>
      <c r="G67" s="984">
        <v>4052</v>
      </c>
      <c r="H67" s="222">
        <v>394</v>
      </c>
      <c r="I67" s="244">
        <v>9.7235932872655473E-2</v>
      </c>
      <c r="J67" s="984">
        <v>3075</v>
      </c>
      <c r="K67" s="222">
        <v>277</v>
      </c>
      <c r="L67" s="244">
        <v>9.0081300813008136E-2</v>
      </c>
    </row>
    <row r="68" spans="1:12" x14ac:dyDescent="0.2">
      <c r="A68" s="222" t="s">
        <v>162</v>
      </c>
      <c r="B68" s="222" t="s">
        <v>163</v>
      </c>
      <c r="C68" s="237" t="s">
        <v>264</v>
      </c>
      <c r="D68" s="984">
        <v>11895</v>
      </c>
      <c r="E68" s="984">
        <v>2555</v>
      </c>
      <c r="F68" s="244">
        <v>0.21479613282891971</v>
      </c>
      <c r="G68" s="984">
        <v>2398</v>
      </c>
      <c r="H68" s="222">
        <v>801</v>
      </c>
      <c r="I68" s="244">
        <v>0.3340283569641368</v>
      </c>
      <c r="J68" s="984">
        <v>1693</v>
      </c>
      <c r="K68" s="222">
        <v>553</v>
      </c>
      <c r="L68" s="244">
        <v>0.3266391021854696</v>
      </c>
    </row>
    <row r="69" spans="1:12" x14ac:dyDescent="0.2">
      <c r="A69" s="222" t="s">
        <v>164</v>
      </c>
      <c r="B69" s="222" t="s">
        <v>165</v>
      </c>
      <c r="C69" s="237" t="s">
        <v>266</v>
      </c>
      <c r="D69" s="984">
        <v>12219</v>
      </c>
      <c r="E69" s="984">
        <v>1750</v>
      </c>
      <c r="F69" s="244">
        <v>0.14321957607005484</v>
      </c>
      <c r="G69" s="984">
        <v>1914</v>
      </c>
      <c r="H69" s="222">
        <v>581</v>
      </c>
      <c r="I69" s="244">
        <v>0.30355276907001044</v>
      </c>
      <c r="J69" s="984">
        <v>1446</v>
      </c>
      <c r="K69" s="222">
        <v>411</v>
      </c>
      <c r="L69" s="244">
        <v>0.28423236514522821</v>
      </c>
    </row>
    <row r="70" spans="1:12" x14ac:dyDescent="0.2">
      <c r="A70" s="222" t="s">
        <v>168</v>
      </c>
      <c r="B70" s="222" t="s">
        <v>169</v>
      </c>
      <c r="C70" s="237" t="s">
        <v>266</v>
      </c>
      <c r="D70" s="984">
        <v>13696</v>
      </c>
      <c r="E70" s="984">
        <v>3334</v>
      </c>
      <c r="F70" s="244">
        <v>0.24342873831775702</v>
      </c>
      <c r="G70" s="984">
        <v>3140</v>
      </c>
      <c r="H70" s="222">
        <v>969</v>
      </c>
      <c r="I70" s="244">
        <v>0.30859872611464967</v>
      </c>
      <c r="J70" s="984">
        <v>2190</v>
      </c>
      <c r="K70" s="222">
        <v>673</v>
      </c>
      <c r="L70" s="244">
        <v>0.30730593607305934</v>
      </c>
    </row>
    <row r="71" spans="1:12" x14ac:dyDescent="0.2">
      <c r="A71" s="222" t="s">
        <v>170</v>
      </c>
      <c r="B71" s="222" t="s">
        <v>171</v>
      </c>
      <c r="C71" s="237" t="s">
        <v>267</v>
      </c>
      <c r="D71" s="984">
        <v>34370</v>
      </c>
      <c r="E71" s="984">
        <v>3672</v>
      </c>
      <c r="F71" s="244">
        <v>0.10683735816118708</v>
      </c>
      <c r="G71" s="984">
        <v>7588</v>
      </c>
      <c r="H71" s="984">
        <v>1195</v>
      </c>
      <c r="I71" s="244">
        <v>0.15748550342646284</v>
      </c>
      <c r="J71" s="984">
        <v>5570</v>
      </c>
      <c r="K71" s="222">
        <v>808</v>
      </c>
      <c r="L71" s="244">
        <v>0.14506283662477559</v>
      </c>
    </row>
    <row r="72" spans="1:12" x14ac:dyDescent="0.2">
      <c r="A72" s="222" t="s">
        <v>172</v>
      </c>
      <c r="B72" s="222" t="s">
        <v>173</v>
      </c>
      <c r="C72" s="237" t="s">
        <v>267</v>
      </c>
      <c r="D72" s="984">
        <v>23601</v>
      </c>
      <c r="E72" s="984">
        <v>3991</v>
      </c>
      <c r="F72" s="244">
        <v>0.16910300410999535</v>
      </c>
      <c r="G72" s="984">
        <v>4782</v>
      </c>
      <c r="H72" s="984">
        <v>1138</v>
      </c>
      <c r="I72" s="244">
        <v>0.23797574236721036</v>
      </c>
      <c r="J72" s="984">
        <v>3599</v>
      </c>
      <c r="K72" s="222">
        <v>786</v>
      </c>
      <c r="L72" s="244">
        <v>0.21839399833287024</v>
      </c>
    </row>
    <row r="73" spans="1:12" x14ac:dyDescent="0.2">
      <c r="A73" s="222" t="s">
        <v>174</v>
      </c>
      <c r="B73" s="222" t="s">
        <v>175</v>
      </c>
      <c r="C73" s="237" t="s">
        <v>268</v>
      </c>
      <c r="D73" s="984">
        <v>17961</v>
      </c>
      <c r="E73" s="984">
        <v>3934</v>
      </c>
      <c r="F73" s="244">
        <v>0.21903012081732642</v>
      </c>
      <c r="G73" s="984">
        <v>3262</v>
      </c>
      <c r="H73" s="222">
        <v>1037</v>
      </c>
      <c r="I73" s="244">
        <v>0.31790312691600248</v>
      </c>
      <c r="J73" s="984">
        <v>2535</v>
      </c>
      <c r="K73" s="222">
        <v>723</v>
      </c>
      <c r="L73" s="244">
        <v>0.285207100591716</v>
      </c>
    </row>
    <row r="74" spans="1:12" x14ac:dyDescent="0.2">
      <c r="A74" s="222" t="s">
        <v>178</v>
      </c>
      <c r="B74" s="222" t="s">
        <v>179</v>
      </c>
      <c r="C74" s="237" t="s">
        <v>265</v>
      </c>
      <c r="D74" s="984">
        <v>61297</v>
      </c>
      <c r="E74" s="984">
        <v>8923</v>
      </c>
      <c r="F74" s="244">
        <v>0.14556993001288807</v>
      </c>
      <c r="G74" s="984">
        <v>12228</v>
      </c>
      <c r="H74" s="984">
        <v>2454</v>
      </c>
      <c r="I74" s="244">
        <v>0.20068694798822376</v>
      </c>
      <c r="J74" s="984">
        <v>9550</v>
      </c>
      <c r="K74" s="984">
        <v>1730</v>
      </c>
      <c r="L74" s="244">
        <v>0.18115183246073299</v>
      </c>
    </row>
    <row r="75" spans="1:12" x14ac:dyDescent="0.2">
      <c r="A75" s="222" t="s">
        <v>182</v>
      </c>
      <c r="B75" s="222" t="s">
        <v>183</v>
      </c>
      <c r="C75" s="237" t="s">
        <v>266</v>
      </c>
      <c r="D75" s="984">
        <v>26234</v>
      </c>
      <c r="E75" s="984">
        <v>1855</v>
      </c>
      <c r="F75" s="244">
        <v>7.0709765952580619E-2</v>
      </c>
      <c r="G75" s="984">
        <v>5274</v>
      </c>
      <c r="H75" s="222">
        <v>480</v>
      </c>
      <c r="I75" s="244">
        <v>9.1012514220705346E-2</v>
      </c>
      <c r="J75" s="984">
        <v>4154</v>
      </c>
      <c r="K75" s="222">
        <v>332</v>
      </c>
      <c r="L75" s="244">
        <v>7.9922965816080882E-2</v>
      </c>
    </row>
    <row r="76" spans="1:12" x14ac:dyDescent="0.2">
      <c r="A76" s="222" t="s">
        <v>184</v>
      </c>
      <c r="B76" s="222" t="s">
        <v>185</v>
      </c>
      <c r="C76" s="237" t="s">
        <v>266</v>
      </c>
      <c r="D76" s="984">
        <v>18912</v>
      </c>
      <c r="E76" s="984">
        <v>4822</v>
      </c>
      <c r="F76" s="244">
        <v>0.25497038917089676</v>
      </c>
      <c r="G76" s="984">
        <v>3723</v>
      </c>
      <c r="H76" s="984">
        <v>1122</v>
      </c>
      <c r="I76" s="244">
        <v>0.30136986301369861</v>
      </c>
      <c r="J76" s="984">
        <v>2777</v>
      </c>
      <c r="K76" s="222">
        <v>793</v>
      </c>
      <c r="L76" s="244">
        <v>0.28555995678790064</v>
      </c>
    </row>
    <row r="77" spans="1:12" x14ac:dyDescent="0.2">
      <c r="A77" s="222" t="s">
        <v>186</v>
      </c>
      <c r="B77" s="222" t="s">
        <v>187</v>
      </c>
      <c r="C77" s="237" t="s">
        <v>264</v>
      </c>
      <c r="D77" s="984">
        <v>32619</v>
      </c>
      <c r="E77" s="984">
        <v>3424</v>
      </c>
      <c r="F77" s="244">
        <v>0.10496949630583402</v>
      </c>
      <c r="G77" s="984">
        <v>7829</v>
      </c>
      <c r="H77" s="984">
        <v>1019</v>
      </c>
      <c r="I77" s="244">
        <v>0.13015710818750797</v>
      </c>
      <c r="J77" s="984">
        <v>5865</v>
      </c>
      <c r="K77" s="222">
        <v>708</v>
      </c>
      <c r="L77" s="244">
        <v>0.12071611253196932</v>
      </c>
    </row>
    <row r="78" spans="1:12" x14ac:dyDescent="0.2">
      <c r="A78" s="222" t="s">
        <v>188</v>
      </c>
      <c r="B78" s="222" t="s">
        <v>189</v>
      </c>
      <c r="C78" s="237" t="s">
        <v>267</v>
      </c>
      <c r="D78" s="984">
        <v>441981</v>
      </c>
      <c r="E78" s="984">
        <v>31917</v>
      </c>
      <c r="F78" s="244">
        <v>7.2213511440537032E-2</v>
      </c>
      <c r="G78" s="984">
        <v>123235</v>
      </c>
      <c r="H78" s="984">
        <v>12872</v>
      </c>
      <c r="I78" s="244">
        <v>0.10445084594473973</v>
      </c>
      <c r="J78" s="984">
        <v>88139</v>
      </c>
      <c r="K78" s="984">
        <v>8711</v>
      </c>
      <c r="L78" s="244">
        <v>9.883252589659515E-2</v>
      </c>
    </row>
    <row r="79" spans="1:12" x14ac:dyDescent="0.2">
      <c r="A79" s="222" t="s">
        <v>190</v>
      </c>
      <c r="B79" s="222" t="s">
        <v>191</v>
      </c>
      <c r="C79" s="237" t="s">
        <v>268</v>
      </c>
      <c r="D79" s="984">
        <v>33119</v>
      </c>
      <c r="E79" s="984">
        <v>4875</v>
      </c>
      <c r="F79" s="244">
        <v>0.14719647332346991</v>
      </c>
      <c r="G79" s="984">
        <v>6212</v>
      </c>
      <c r="H79" s="984">
        <v>1375</v>
      </c>
      <c r="I79" s="244">
        <v>0.22134578235672892</v>
      </c>
      <c r="J79" s="984">
        <v>4554</v>
      </c>
      <c r="K79" s="222">
        <v>905</v>
      </c>
      <c r="L79" s="244">
        <v>0.19872639437856829</v>
      </c>
    </row>
    <row r="80" spans="1:12" x14ac:dyDescent="0.2">
      <c r="A80" s="222" t="s">
        <v>194</v>
      </c>
      <c r="B80" s="222" t="s">
        <v>195</v>
      </c>
      <c r="C80" s="237" t="s">
        <v>267</v>
      </c>
      <c r="D80" s="984">
        <v>7316</v>
      </c>
      <c r="E80" s="222">
        <v>684</v>
      </c>
      <c r="F80" s="244">
        <v>9.3493712411153632E-2</v>
      </c>
      <c r="G80" s="984">
        <v>1280</v>
      </c>
      <c r="H80" s="222">
        <v>212</v>
      </c>
      <c r="I80" s="244">
        <v>0.16562499999999999</v>
      </c>
      <c r="J80" s="984">
        <v>997</v>
      </c>
      <c r="K80" s="222">
        <v>153</v>
      </c>
      <c r="L80" s="244">
        <v>0.1534603811434303</v>
      </c>
    </row>
    <row r="81" spans="1:12" x14ac:dyDescent="0.2">
      <c r="A81" s="222" t="s">
        <v>198</v>
      </c>
      <c r="B81" s="222" t="s">
        <v>272</v>
      </c>
      <c r="C81" s="237" t="s">
        <v>266</v>
      </c>
      <c r="D81" s="984">
        <v>7300</v>
      </c>
      <c r="E81" s="984">
        <v>1439</v>
      </c>
      <c r="F81" s="244">
        <v>0.19712328767123288</v>
      </c>
      <c r="G81" s="984">
        <v>1489</v>
      </c>
      <c r="H81" s="222">
        <v>356</v>
      </c>
      <c r="I81" s="244">
        <v>0.23908663532572197</v>
      </c>
      <c r="J81" s="984">
        <v>1132</v>
      </c>
      <c r="K81" s="222">
        <v>249</v>
      </c>
      <c r="L81" s="244">
        <v>0.21996466431095407</v>
      </c>
    </row>
    <row r="82" spans="1:12" x14ac:dyDescent="0.2">
      <c r="A82" s="222" t="s">
        <v>202</v>
      </c>
      <c r="B82" s="222" t="s">
        <v>301</v>
      </c>
      <c r="C82" s="237" t="s">
        <v>265</v>
      </c>
      <c r="D82" s="984">
        <v>115013</v>
      </c>
      <c r="E82" s="984">
        <v>9891</v>
      </c>
      <c r="F82" s="244">
        <v>8.5998974029022804E-2</v>
      </c>
      <c r="G82" s="984">
        <v>24279</v>
      </c>
      <c r="H82" s="984">
        <v>2714</v>
      </c>
      <c r="I82" s="244">
        <v>0.11178384612216319</v>
      </c>
      <c r="J82" s="984">
        <v>18407</v>
      </c>
      <c r="K82" s="984">
        <v>1908</v>
      </c>
      <c r="L82" s="244">
        <v>0.10365621774324985</v>
      </c>
    </row>
    <row r="83" spans="1:12" x14ac:dyDescent="0.2">
      <c r="A83" s="222" t="s">
        <v>204</v>
      </c>
      <c r="B83" s="222" t="s">
        <v>293</v>
      </c>
      <c r="C83" s="237" t="s">
        <v>265</v>
      </c>
      <c r="D83" s="984">
        <v>32899</v>
      </c>
      <c r="E83" s="984">
        <v>5052</v>
      </c>
      <c r="F83" s="244">
        <v>0.15356089850755342</v>
      </c>
      <c r="G83" s="984">
        <v>6150</v>
      </c>
      <c r="H83" s="222">
        <v>1214</v>
      </c>
      <c r="I83" s="244">
        <v>0.19739837398373983</v>
      </c>
      <c r="J83" s="984">
        <v>4596</v>
      </c>
      <c r="K83" s="222">
        <v>833</v>
      </c>
      <c r="L83" s="244">
        <v>0.18124456048738033</v>
      </c>
    </row>
    <row r="84" spans="1:12" x14ac:dyDescent="0.2">
      <c r="A84" s="222" t="s">
        <v>206</v>
      </c>
      <c r="B84" s="222" t="s">
        <v>294</v>
      </c>
      <c r="C84" s="237" t="s">
        <v>267</v>
      </c>
      <c r="D84" s="984">
        <v>121510</v>
      </c>
      <c r="E84" s="984">
        <v>21691</v>
      </c>
      <c r="F84" s="244">
        <v>0.17851205662085426</v>
      </c>
      <c r="G84" s="984">
        <v>25616</v>
      </c>
      <c r="H84" s="984">
        <v>4784</v>
      </c>
      <c r="I84" s="244">
        <v>0.1867582760774516</v>
      </c>
      <c r="J84" s="984">
        <v>18663</v>
      </c>
      <c r="K84" s="984">
        <v>3252</v>
      </c>
      <c r="L84" s="244">
        <v>0.17424851310078765</v>
      </c>
    </row>
    <row r="85" spans="1:12" x14ac:dyDescent="0.2">
      <c r="A85" s="222" t="s">
        <v>208</v>
      </c>
      <c r="B85" s="222" t="s">
        <v>209</v>
      </c>
      <c r="C85" s="237" t="s">
        <v>268</v>
      </c>
      <c r="D85" s="984">
        <v>27750</v>
      </c>
      <c r="E85" s="984">
        <v>4962</v>
      </c>
      <c r="F85" s="244">
        <v>0.17881081081081082</v>
      </c>
      <c r="G85" s="984">
        <v>5450</v>
      </c>
      <c r="H85" s="984">
        <v>1338</v>
      </c>
      <c r="I85" s="244">
        <v>0.24550458715596329</v>
      </c>
      <c r="J85" s="984">
        <v>3982</v>
      </c>
      <c r="K85" s="222">
        <v>914</v>
      </c>
      <c r="L85" s="244">
        <v>0.22953289804118535</v>
      </c>
    </row>
    <row r="86" spans="1:12" x14ac:dyDescent="0.2">
      <c r="A86" s="222" t="s">
        <v>210</v>
      </c>
      <c r="B86" s="222" t="s">
        <v>211</v>
      </c>
      <c r="C86" s="237" t="s">
        <v>268</v>
      </c>
      <c r="D86" s="984">
        <v>21629</v>
      </c>
      <c r="E86" s="984">
        <v>4495</v>
      </c>
      <c r="F86" s="244">
        <v>0.20782283045910582</v>
      </c>
      <c r="G86" s="984">
        <v>4153</v>
      </c>
      <c r="H86" s="984">
        <v>1082</v>
      </c>
      <c r="I86" s="244">
        <v>0.26053455333493858</v>
      </c>
      <c r="J86" s="984">
        <v>3083</v>
      </c>
      <c r="K86" s="222">
        <v>738</v>
      </c>
      <c r="L86" s="244">
        <v>0.23937722997080765</v>
      </c>
    </row>
    <row r="87" spans="1:12" x14ac:dyDescent="0.2">
      <c r="A87" s="222" t="s">
        <v>212</v>
      </c>
      <c r="B87" s="222" t="s">
        <v>213</v>
      </c>
      <c r="C87" s="237" t="s">
        <v>267</v>
      </c>
      <c r="D87" s="984">
        <v>42525</v>
      </c>
      <c r="E87" s="984">
        <v>5114</v>
      </c>
      <c r="F87" s="244">
        <v>0.12025867136978248</v>
      </c>
      <c r="G87" s="984">
        <v>9093</v>
      </c>
      <c r="H87" s="984">
        <v>1604</v>
      </c>
      <c r="I87" s="244">
        <v>0.17639942813152976</v>
      </c>
      <c r="J87" s="984">
        <v>6696</v>
      </c>
      <c r="K87" s="984">
        <v>1137</v>
      </c>
      <c r="L87" s="244">
        <v>0.16980286738351255</v>
      </c>
    </row>
    <row r="88" spans="1:12" x14ac:dyDescent="0.2">
      <c r="A88" s="222" t="s">
        <v>214</v>
      </c>
      <c r="B88" s="222" t="s">
        <v>215</v>
      </c>
      <c r="C88" s="237" t="s">
        <v>268</v>
      </c>
      <c r="D88" s="984">
        <v>30848</v>
      </c>
      <c r="E88" s="984">
        <v>6088</v>
      </c>
      <c r="F88" s="244">
        <v>0.19735477178423236</v>
      </c>
      <c r="G88" s="984">
        <v>6225</v>
      </c>
      <c r="H88" s="984">
        <v>1673</v>
      </c>
      <c r="I88" s="244">
        <v>0.26875502008032126</v>
      </c>
      <c r="J88" s="984">
        <v>4665</v>
      </c>
      <c r="K88" s="984">
        <v>1145</v>
      </c>
      <c r="L88" s="244">
        <v>0.24544480171489819</v>
      </c>
    </row>
    <row r="89" spans="1:12" x14ac:dyDescent="0.2">
      <c r="A89" s="222" t="s">
        <v>216</v>
      </c>
      <c r="B89" s="222" t="s">
        <v>217</v>
      </c>
      <c r="C89" s="237" t="s">
        <v>264</v>
      </c>
      <c r="D89" s="984">
        <v>16426</v>
      </c>
      <c r="E89" s="984">
        <v>2507</v>
      </c>
      <c r="F89" s="244">
        <v>0.15262388895653234</v>
      </c>
      <c r="G89" s="984">
        <v>3394</v>
      </c>
      <c r="H89" s="222">
        <v>761</v>
      </c>
      <c r="I89" s="244">
        <v>0.22421921037124337</v>
      </c>
      <c r="J89" s="984">
        <v>2593</v>
      </c>
      <c r="K89" s="222">
        <v>531</v>
      </c>
      <c r="L89" s="244">
        <v>0.20478210566910915</v>
      </c>
    </row>
    <row r="90" spans="1:12" x14ac:dyDescent="0.2">
      <c r="A90" s="222" t="s">
        <v>218</v>
      </c>
      <c r="B90" s="222" t="s">
        <v>219</v>
      </c>
      <c r="C90" s="237" t="s">
        <v>267</v>
      </c>
      <c r="D90" s="984">
        <v>128319</v>
      </c>
      <c r="E90" s="984">
        <v>11742</v>
      </c>
      <c r="F90" s="244">
        <v>9.1506324082949522E-2</v>
      </c>
      <c r="G90" s="984">
        <v>32629</v>
      </c>
      <c r="H90" s="984">
        <v>4178</v>
      </c>
      <c r="I90" s="244">
        <v>0.12804560360415582</v>
      </c>
      <c r="J90" s="984">
        <v>24798</v>
      </c>
      <c r="K90" s="984">
        <v>2850</v>
      </c>
      <c r="L90" s="244">
        <v>0.11492862327607065</v>
      </c>
    </row>
    <row r="91" spans="1:12" x14ac:dyDescent="0.2">
      <c r="A91" s="222" t="s">
        <v>220</v>
      </c>
      <c r="B91" s="222" t="s">
        <v>221</v>
      </c>
      <c r="C91" s="237" t="s">
        <v>267</v>
      </c>
      <c r="D91" s="984">
        <v>135929</v>
      </c>
      <c r="E91" s="984">
        <v>7952</v>
      </c>
      <c r="F91" s="244">
        <v>5.8501129266013877E-2</v>
      </c>
      <c r="G91" s="984">
        <v>37119</v>
      </c>
      <c r="H91" s="984">
        <v>2810</v>
      </c>
      <c r="I91" s="244">
        <v>7.570247043293192E-2</v>
      </c>
      <c r="J91" s="984">
        <v>28171</v>
      </c>
      <c r="K91" s="984">
        <v>2013</v>
      </c>
      <c r="L91" s="244">
        <v>7.1456462319406486E-2</v>
      </c>
    </row>
    <row r="92" spans="1:12" x14ac:dyDescent="0.2">
      <c r="A92" s="222" t="s">
        <v>224</v>
      </c>
      <c r="B92" s="222" t="s">
        <v>225</v>
      </c>
      <c r="C92" s="237" t="s">
        <v>264</v>
      </c>
      <c r="D92" s="984">
        <v>6781</v>
      </c>
      <c r="E92" s="222">
        <v>878</v>
      </c>
      <c r="F92" s="244">
        <v>0.12947942781300692</v>
      </c>
      <c r="G92" s="984">
        <v>1230</v>
      </c>
      <c r="H92" s="222">
        <v>247</v>
      </c>
      <c r="I92" s="244">
        <v>0.20081300813008129</v>
      </c>
      <c r="J92" s="984">
        <v>926</v>
      </c>
      <c r="K92" s="222">
        <v>177</v>
      </c>
      <c r="L92" s="244">
        <v>0.19114470842332612</v>
      </c>
    </row>
    <row r="93" spans="1:12" x14ac:dyDescent="0.2">
      <c r="A93" s="222" t="s">
        <v>226</v>
      </c>
      <c r="B93" s="222" t="s">
        <v>227</v>
      </c>
      <c r="C93" s="237" t="s">
        <v>264</v>
      </c>
      <c r="D93" s="984">
        <v>9139</v>
      </c>
      <c r="E93" s="984">
        <v>2185</v>
      </c>
      <c r="F93" s="244">
        <v>0.2390852390852391</v>
      </c>
      <c r="G93" s="984">
        <v>1857</v>
      </c>
      <c r="H93" s="222">
        <v>566</v>
      </c>
      <c r="I93" s="244">
        <v>0.30479267635971996</v>
      </c>
      <c r="J93" s="984">
        <v>1326</v>
      </c>
      <c r="K93" s="222">
        <v>388</v>
      </c>
      <c r="L93" s="244">
        <v>0.29260935143288086</v>
      </c>
    </row>
    <row r="94" spans="1:12" x14ac:dyDescent="0.2">
      <c r="A94" s="222" t="s">
        <v>228</v>
      </c>
      <c r="B94" s="222" t="s">
        <v>229</v>
      </c>
      <c r="C94" s="237" t="s">
        <v>268</v>
      </c>
      <c r="D94" s="984">
        <v>41670</v>
      </c>
      <c r="E94" s="984">
        <v>8003</v>
      </c>
      <c r="F94" s="244">
        <v>0.19205663546916246</v>
      </c>
      <c r="G94" s="984">
        <v>8395</v>
      </c>
      <c r="H94" s="984">
        <v>2072</v>
      </c>
      <c r="I94" s="244">
        <v>0.24681357951161406</v>
      </c>
      <c r="J94" s="984">
        <v>6225</v>
      </c>
      <c r="K94" s="984">
        <v>1376</v>
      </c>
      <c r="L94" s="244">
        <v>0.2210441767068273</v>
      </c>
    </row>
    <row r="95" spans="1:12" x14ac:dyDescent="0.2">
      <c r="A95" s="222" t="s">
        <v>232</v>
      </c>
      <c r="B95" s="222" t="s">
        <v>233</v>
      </c>
      <c r="C95" s="237" t="s">
        <v>267</v>
      </c>
      <c r="D95" s="984">
        <v>38124</v>
      </c>
      <c r="E95" s="984">
        <v>4289</v>
      </c>
      <c r="F95" s="244">
        <v>0.11250131150981009</v>
      </c>
      <c r="G95" s="984">
        <v>8669</v>
      </c>
      <c r="H95" s="984">
        <v>1366</v>
      </c>
      <c r="I95" s="244">
        <v>0.15757296112585073</v>
      </c>
      <c r="J95" s="984">
        <v>6395</v>
      </c>
      <c r="K95" s="222">
        <v>957</v>
      </c>
      <c r="L95" s="244">
        <v>0.14964816262705238</v>
      </c>
    </row>
    <row r="96" spans="1:12" x14ac:dyDescent="0.2">
      <c r="A96" s="222" t="s">
        <v>234</v>
      </c>
      <c r="B96" s="222" t="s">
        <v>235</v>
      </c>
      <c r="C96" s="237" t="s">
        <v>268</v>
      </c>
      <c r="D96" s="984">
        <v>53178</v>
      </c>
      <c r="E96" s="984">
        <v>7734</v>
      </c>
      <c r="F96" s="244">
        <v>0.14543608259054497</v>
      </c>
      <c r="G96" s="984">
        <v>10285</v>
      </c>
      <c r="H96" s="984">
        <v>2129</v>
      </c>
      <c r="I96" s="244">
        <v>0.20700048614487118</v>
      </c>
      <c r="J96" s="984">
        <v>7607</v>
      </c>
      <c r="K96" s="984">
        <v>1378</v>
      </c>
      <c r="L96" s="244">
        <v>0.18114894176416457</v>
      </c>
    </row>
    <row r="97" spans="1:12" x14ac:dyDescent="0.2">
      <c r="A97" s="222" t="s">
        <v>236</v>
      </c>
      <c r="B97" s="222" t="s">
        <v>237</v>
      </c>
      <c r="C97" s="237" t="s">
        <v>266</v>
      </c>
      <c r="D97" s="984">
        <v>17371</v>
      </c>
      <c r="E97" s="984">
        <v>2603</v>
      </c>
      <c r="F97" s="244">
        <v>0.14984744689424903</v>
      </c>
      <c r="G97" s="984">
        <v>3191</v>
      </c>
      <c r="H97" s="222">
        <v>876</v>
      </c>
      <c r="I97" s="244">
        <v>0.27452209338765277</v>
      </c>
      <c r="J97" s="984">
        <v>2243</v>
      </c>
      <c r="K97" s="222">
        <v>611</v>
      </c>
      <c r="L97" s="244">
        <v>0.27240303165403479</v>
      </c>
    </row>
    <row r="98" spans="1:12" x14ac:dyDescent="0.2">
      <c r="A98" s="222" t="s">
        <v>242</v>
      </c>
      <c r="B98" s="222" t="s">
        <v>243</v>
      </c>
      <c r="C98" s="237" t="s">
        <v>268</v>
      </c>
      <c r="D98" s="984">
        <v>37109</v>
      </c>
      <c r="E98" s="984">
        <v>8134</v>
      </c>
      <c r="F98" s="244">
        <v>0.21919210973079306</v>
      </c>
      <c r="G98" s="984">
        <v>7866</v>
      </c>
      <c r="H98" s="984">
        <v>2276</v>
      </c>
      <c r="I98" s="244">
        <v>0.28934655479277904</v>
      </c>
      <c r="J98" s="984">
        <v>5685</v>
      </c>
      <c r="K98" s="984">
        <v>1572</v>
      </c>
      <c r="L98" s="244">
        <v>0.27651715039577834</v>
      </c>
    </row>
    <row r="99" spans="1:12" x14ac:dyDescent="0.2">
      <c r="A99" s="222" t="s">
        <v>244</v>
      </c>
      <c r="B99" s="222" t="s">
        <v>245</v>
      </c>
      <c r="C99" s="237" t="s">
        <v>268</v>
      </c>
      <c r="D99" s="984">
        <v>28830</v>
      </c>
      <c r="E99" s="984">
        <v>4493</v>
      </c>
      <c r="F99" s="244">
        <v>0.15584460631286853</v>
      </c>
      <c r="G99" s="984">
        <v>5755</v>
      </c>
      <c r="H99" s="984">
        <v>1245</v>
      </c>
      <c r="I99" s="244">
        <v>0.2163336229365769</v>
      </c>
      <c r="J99" s="984">
        <v>4279</v>
      </c>
      <c r="K99" s="222">
        <v>889</v>
      </c>
      <c r="L99" s="244">
        <v>0.20775882215470903</v>
      </c>
    </row>
    <row r="100" spans="1:12" x14ac:dyDescent="0.2">
      <c r="A100" s="222" t="s">
        <v>246</v>
      </c>
      <c r="B100" s="222" t="s">
        <v>247</v>
      </c>
      <c r="C100" s="237" t="s">
        <v>264</v>
      </c>
      <c r="D100" s="984">
        <v>77621</v>
      </c>
      <c r="E100" s="984">
        <v>4324</v>
      </c>
      <c r="F100" s="244">
        <v>5.5706574251813301E-2</v>
      </c>
      <c r="G100" s="984">
        <v>18507</v>
      </c>
      <c r="H100" s="984">
        <v>1286</v>
      </c>
      <c r="I100" s="244">
        <v>6.9487221051494033E-2</v>
      </c>
      <c r="J100" s="984">
        <v>14502</v>
      </c>
      <c r="K100" s="222">
        <v>861</v>
      </c>
      <c r="L100" s="244">
        <v>5.9371121224658666E-2</v>
      </c>
    </row>
    <row r="101" spans="1:12" x14ac:dyDescent="0.2">
      <c r="A101" s="222" t="s">
        <v>14</v>
      </c>
      <c r="B101" s="222" t="s">
        <v>15</v>
      </c>
      <c r="C101" s="237" t="s">
        <v>267</v>
      </c>
      <c r="D101" s="984">
        <v>148760</v>
      </c>
      <c r="E101" s="984">
        <v>14266</v>
      </c>
      <c r="F101" s="244">
        <v>9.5899435332078523E-2</v>
      </c>
      <c r="G101" s="984">
        <v>25997</v>
      </c>
      <c r="H101" s="984">
        <v>4096</v>
      </c>
      <c r="I101" s="244">
        <v>0.15755664115090204</v>
      </c>
      <c r="J101" s="984">
        <v>14798</v>
      </c>
      <c r="K101" s="984">
        <v>2719</v>
      </c>
      <c r="L101" s="244">
        <v>0.1837410460873091</v>
      </c>
    </row>
    <row r="102" spans="1:12" x14ac:dyDescent="0.2">
      <c r="A102" s="222" t="s">
        <v>34</v>
      </c>
      <c r="B102" s="222" t="s">
        <v>35</v>
      </c>
      <c r="C102" s="237" t="s">
        <v>268</v>
      </c>
      <c r="D102" s="984">
        <v>16959</v>
      </c>
      <c r="E102" s="984">
        <v>3696</v>
      </c>
      <c r="F102" s="244">
        <v>0.21793737838315938</v>
      </c>
      <c r="G102" s="984">
        <v>3354</v>
      </c>
      <c r="H102" s="984">
        <v>1172</v>
      </c>
      <c r="I102" s="244">
        <v>0.34943351222420987</v>
      </c>
      <c r="J102" s="984">
        <v>2581</v>
      </c>
      <c r="K102" s="222">
        <v>803</v>
      </c>
      <c r="L102" s="244">
        <v>0.31111972103835722</v>
      </c>
    </row>
    <row r="103" spans="1:12" x14ac:dyDescent="0.2">
      <c r="A103" s="222" t="s">
        <v>52</v>
      </c>
      <c r="B103" s="222" t="s">
        <v>53</v>
      </c>
      <c r="C103" s="237" t="s">
        <v>265</v>
      </c>
      <c r="D103" s="984">
        <v>43509</v>
      </c>
      <c r="E103" s="984">
        <v>11276</v>
      </c>
      <c r="F103" s="244">
        <v>0.2591647705072514</v>
      </c>
      <c r="G103" s="984">
        <v>7014</v>
      </c>
      <c r="H103" s="984">
        <v>1710</v>
      </c>
      <c r="I103" s="244">
        <v>0.24379811804961504</v>
      </c>
      <c r="J103" s="984">
        <v>4390</v>
      </c>
      <c r="K103" s="984">
        <v>1127</v>
      </c>
      <c r="L103" s="244">
        <v>0.25671981776765374</v>
      </c>
    </row>
    <row r="104" spans="1:12" x14ac:dyDescent="0.2">
      <c r="A104" s="222" t="s">
        <v>54</v>
      </c>
      <c r="B104" s="222" t="s">
        <v>55</v>
      </c>
      <c r="C104" s="237" t="s">
        <v>264</v>
      </c>
      <c r="D104" s="984">
        <v>228541</v>
      </c>
      <c r="E104" s="984">
        <v>22416</v>
      </c>
      <c r="F104" s="244">
        <v>9.8083057307003993E-2</v>
      </c>
      <c r="G104" s="984">
        <v>56393</v>
      </c>
      <c r="H104" s="984">
        <v>7915</v>
      </c>
      <c r="I104" s="244">
        <v>0.14035429929246537</v>
      </c>
      <c r="J104" s="984">
        <v>41791</v>
      </c>
      <c r="K104" s="984">
        <v>5361</v>
      </c>
      <c r="L104" s="244">
        <v>0.12828120887272379</v>
      </c>
    </row>
    <row r="105" spans="1:12" x14ac:dyDescent="0.2">
      <c r="A105" s="222" t="s">
        <v>66</v>
      </c>
      <c r="B105" s="222" t="s">
        <v>67</v>
      </c>
      <c r="C105" s="237" t="s">
        <v>265</v>
      </c>
      <c r="D105" s="984">
        <v>40831</v>
      </c>
      <c r="E105" s="984">
        <v>9627</v>
      </c>
      <c r="F105" s="244">
        <v>0.2357767382625946</v>
      </c>
      <c r="G105" s="984">
        <v>9316</v>
      </c>
      <c r="H105" s="984">
        <v>3412</v>
      </c>
      <c r="I105" s="244">
        <v>0.36625161013310431</v>
      </c>
      <c r="J105" s="984">
        <v>6387</v>
      </c>
      <c r="K105" s="984">
        <v>2342</v>
      </c>
      <c r="L105" s="244">
        <v>0.36668232346954754</v>
      </c>
    </row>
    <row r="106" spans="1:12" x14ac:dyDescent="0.2">
      <c r="A106" s="222" t="s">
        <v>82</v>
      </c>
      <c r="B106" s="222" t="s">
        <v>83</v>
      </c>
      <c r="C106" s="237" t="s">
        <v>264</v>
      </c>
      <c r="D106" s="984">
        <v>8395</v>
      </c>
      <c r="E106" s="984">
        <v>1888</v>
      </c>
      <c r="F106" s="244">
        <v>0.22489577129243599</v>
      </c>
      <c r="G106" s="984">
        <v>2223</v>
      </c>
      <c r="H106" s="222">
        <v>771</v>
      </c>
      <c r="I106" s="244">
        <v>0.34682860998650472</v>
      </c>
      <c r="J106" s="984">
        <v>1473</v>
      </c>
      <c r="K106" s="222">
        <v>535</v>
      </c>
      <c r="L106" s="244">
        <v>0.36320434487440595</v>
      </c>
    </row>
    <row r="107" spans="1:12" x14ac:dyDescent="0.2">
      <c r="A107" s="222" t="s">
        <v>88</v>
      </c>
      <c r="B107" s="222" t="s">
        <v>89</v>
      </c>
      <c r="C107" s="237" t="s">
        <v>267</v>
      </c>
      <c r="D107" s="984">
        <v>25596</v>
      </c>
      <c r="E107" s="984">
        <v>4291</v>
      </c>
      <c r="F107" s="244">
        <v>0.16764338177840288</v>
      </c>
      <c r="G107" s="984">
        <v>5599</v>
      </c>
      <c r="H107" s="984">
        <v>1312</v>
      </c>
      <c r="I107" s="244">
        <v>0.23432755849258796</v>
      </c>
      <c r="J107" s="984">
        <v>3582</v>
      </c>
      <c r="K107" s="222">
        <v>905</v>
      </c>
      <c r="L107" s="244">
        <v>0.25265214963707427</v>
      </c>
    </row>
    <row r="108" spans="1:12" x14ac:dyDescent="0.2">
      <c r="A108" s="222" t="s">
        <v>90</v>
      </c>
      <c r="B108" s="222" t="s">
        <v>91</v>
      </c>
      <c r="C108" s="237" t="s">
        <v>268</v>
      </c>
      <c r="D108" s="984">
        <v>6711</v>
      </c>
      <c r="E108" s="984">
        <v>1526</v>
      </c>
      <c r="F108" s="244">
        <v>0.22738787066011026</v>
      </c>
      <c r="G108" s="984">
        <v>1653</v>
      </c>
      <c r="H108" s="222">
        <v>575</v>
      </c>
      <c r="I108" s="244">
        <v>0.34785238959467635</v>
      </c>
      <c r="J108" s="984">
        <v>1140</v>
      </c>
      <c r="K108" s="222">
        <v>400</v>
      </c>
      <c r="L108" s="244">
        <v>0.35087719298245612</v>
      </c>
    </row>
    <row r="109" spans="1:12" x14ac:dyDescent="0.2">
      <c r="A109" s="222" t="s">
        <v>106</v>
      </c>
      <c r="B109" s="222" t="s">
        <v>107</v>
      </c>
      <c r="C109" s="237" t="s">
        <v>264</v>
      </c>
      <c r="D109" s="984">
        <v>132722</v>
      </c>
      <c r="E109" s="984">
        <v>20149</v>
      </c>
      <c r="F109" s="244">
        <v>0.15181356519642561</v>
      </c>
      <c r="G109" s="984">
        <v>29281</v>
      </c>
      <c r="H109" s="984">
        <v>6323</v>
      </c>
      <c r="I109" s="244">
        <v>0.2159420784809262</v>
      </c>
      <c r="J109" s="984">
        <v>20760</v>
      </c>
      <c r="K109" s="984">
        <v>4458</v>
      </c>
      <c r="L109" s="244">
        <v>0.21473988439306357</v>
      </c>
    </row>
    <row r="110" spans="1:12" x14ac:dyDescent="0.2">
      <c r="A110" s="222" t="s">
        <v>116</v>
      </c>
      <c r="B110" s="222" t="s">
        <v>117</v>
      </c>
      <c r="C110" s="237" t="s">
        <v>266</v>
      </c>
      <c r="D110" s="984">
        <v>21854</v>
      </c>
      <c r="E110" s="984">
        <v>4268</v>
      </c>
      <c r="F110" s="244">
        <v>0.19529605564198774</v>
      </c>
      <c r="G110" s="984">
        <v>5509</v>
      </c>
      <c r="H110" s="984">
        <v>1723</v>
      </c>
      <c r="I110" s="244">
        <v>0.31276093664911964</v>
      </c>
      <c r="J110" s="984">
        <v>3860</v>
      </c>
      <c r="K110" s="984">
        <v>1184</v>
      </c>
      <c r="L110" s="244">
        <v>0.30673575129533681</v>
      </c>
    </row>
    <row r="111" spans="1:12" x14ac:dyDescent="0.2">
      <c r="A111" s="222" t="s">
        <v>138</v>
      </c>
      <c r="B111" s="222" t="s">
        <v>139</v>
      </c>
      <c r="C111" s="237" t="s">
        <v>265</v>
      </c>
      <c r="D111" s="984">
        <v>68750</v>
      </c>
      <c r="E111" s="984">
        <v>17175</v>
      </c>
      <c r="F111" s="244">
        <v>0.24981818181818183</v>
      </c>
      <c r="G111" s="984">
        <v>15413</v>
      </c>
      <c r="H111" s="984">
        <v>4884</v>
      </c>
      <c r="I111" s="244">
        <v>0.31687536495166418</v>
      </c>
      <c r="J111" s="984">
        <v>10305</v>
      </c>
      <c r="K111" s="984">
        <v>3174</v>
      </c>
      <c r="L111" s="244">
        <v>0.30800582241630275</v>
      </c>
    </row>
    <row r="112" spans="1:12" x14ac:dyDescent="0.2">
      <c r="A112" s="222" t="s">
        <v>142</v>
      </c>
      <c r="B112" s="222" t="s">
        <v>143</v>
      </c>
      <c r="C112" s="237" t="s">
        <v>267</v>
      </c>
      <c r="D112" s="984">
        <v>41783</v>
      </c>
      <c r="E112" s="984">
        <v>4104</v>
      </c>
      <c r="F112" s="244">
        <v>9.8221764832587419E-2</v>
      </c>
      <c r="G112" s="984">
        <v>11047</v>
      </c>
      <c r="H112" s="984">
        <v>1807</v>
      </c>
      <c r="I112" s="244">
        <v>0.1635738209468634</v>
      </c>
      <c r="J112" s="984">
        <v>7496</v>
      </c>
      <c r="K112" s="984">
        <v>1246</v>
      </c>
      <c r="L112" s="244">
        <v>0.16622198505869798</v>
      </c>
    </row>
    <row r="113" spans="1:12" x14ac:dyDescent="0.2">
      <c r="A113" s="222" t="s">
        <v>144</v>
      </c>
      <c r="B113" s="222" t="s">
        <v>145</v>
      </c>
      <c r="C113" s="237" t="s">
        <v>267</v>
      </c>
      <c r="D113" s="984">
        <v>15101</v>
      </c>
      <c r="E113" s="984">
        <v>1350</v>
      </c>
      <c r="F113" s="244">
        <v>8.9398053109065623E-2</v>
      </c>
      <c r="G113" s="984">
        <v>3699</v>
      </c>
      <c r="H113" s="222">
        <v>544</v>
      </c>
      <c r="I113" s="244">
        <v>0.14706677480400107</v>
      </c>
      <c r="J113" s="984">
        <v>2938</v>
      </c>
      <c r="K113" s="222">
        <v>381</v>
      </c>
      <c r="L113" s="244">
        <v>0.12968005445881553</v>
      </c>
    </row>
    <row r="114" spans="1:12" x14ac:dyDescent="0.2">
      <c r="A114" s="222" t="s">
        <v>158</v>
      </c>
      <c r="B114" s="222" t="s">
        <v>159</v>
      </c>
      <c r="C114" s="237" t="s">
        <v>264</v>
      </c>
      <c r="D114" s="984">
        <v>174534</v>
      </c>
      <c r="E114" s="984">
        <v>29082</v>
      </c>
      <c r="F114" s="244">
        <v>0.16662655986799133</v>
      </c>
      <c r="G114" s="984">
        <v>42267</v>
      </c>
      <c r="H114" s="984">
        <v>10904</v>
      </c>
      <c r="I114" s="244">
        <v>0.25797903802020489</v>
      </c>
      <c r="J114" s="984">
        <v>28919</v>
      </c>
      <c r="K114" s="984">
        <v>7535</v>
      </c>
      <c r="L114" s="244">
        <v>0.2605553442373526</v>
      </c>
    </row>
    <row r="115" spans="1:12" x14ac:dyDescent="0.2">
      <c r="A115" s="222" t="s">
        <v>160</v>
      </c>
      <c r="B115" s="222" t="s">
        <v>161</v>
      </c>
      <c r="C115" s="237" t="s">
        <v>264</v>
      </c>
      <c r="D115" s="984">
        <v>212906</v>
      </c>
      <c r="E115" s="984">
        <v>49728</v>
      </c>
      <c r="F115" s="244">
        <v>0.23356786563084178</v>
      </c>
      <c r="G115" s="984">
        <v>49011</v>
      </c>
      <c r="H115" s="984">
        <v>15559</v>
      </c>
      <c r="I115" s="244">
        <v>0.31745934586113322</v>
      </c>
      <c r="J115" s="984">
        <v>32086</v>
      </c>
      <c r="K115" s="984">
        <v>10614</v>
      </c>
      <c r="L115" s="244">
        <v>0.33079847908745247</v>
      </c>
    </row>
    <row r="116" spans="1:12" x14ac:dyDescent="0.2">
      <c r="A116" s="222" t="s">
        <v>166</v>
      </c>
      <c r="B116" s="222" t="s">
        <v>167</v>
      </c>
      <c r="C116" s="237" t="s">
        <v>268</v>
      </c>
      <c r="D116" s="984">
        <v>3969</v>
      </c>
      <c r="E116" s="222">
        <v>856</v>
      </c>
      <c r="F116" s="244">
        <v>0.21567145376669186</v>
      </c>
      <c r="G116" s="222">
        <v>901</v>
      </c>
      <c r="H116" s="222">
        <v>296</v>
      </c>
      <c r="I116" s="244">
        <v>0.32852386237513875</v>
      </c>
      <c r="J116" s="222">
        <v>670</v>
      </c>
      <c r="K116" s="222">
        <v>206</v>
      </c>
      <c r="L116" s="244">
        <v>0.30746268656716419</v>
      </c>
    </row>
    <row r="117" spans="1:12" x14ac:dyDescent="0.2">
      <c r="A117" s="222" t="s">
        <v>176</v>
      </c>
      <c r="B117" s="222" t="s">
        <v>177</v>
      </c>
      <c r="C117" s="237" t="s">
        <v>266</v>
      </c>
      <c r="D117" s="984">
        <v>31997</v>
      </c>
      <c r="E117" s="984">
        <v>8256</v>
      </c>
      <c r="F117" s="244">
        <v>0.25802418976779073</v>
      </c>
      <c r="G117" s="984">
        <v>6994</v>
      </c>
      <c r="H117" s="984">
        <v>2622</v>
      </c>
      <c r="I117" s="244">
        <v>0.37489276522733772</v>
      </c>
      <c r="J117" s="984">
        <v>4300</v>
      </c>
      <c r="K117" s="984">
        <v>1823</v>
      </c>
      <c r="L117" s="244">
        <v>0.42395348837209301</v>
      </c>
    </row>
    <row r="118" spans="1:12" x14ac:dyDescent="0.2">
      <c r="A118" s="222" t="s">
        <v>180</v>
      </c>
      <c r="B118" s="222" t="s">
        <v>181</v>
      </c>
      <c r="C118" s="237" t="s">
        <v>264</v>
      </c>
      <c r="D118" s="984">
        <v>92859</v>
      </c>
      <c r="E118" s="984">
        <v>17017</v>
      </c>
      <c r="F118" s="244">
        <v>0.18325633487330253</v>
      </c>
      <c r="G118" s="984">
        <v>21926</v>
      </c>
      <c r="H118" s="984">
        <v>6214</v>
      </c>
      <c r="I118" s="244">
        <v>0.28340782632491107</v>
      </c>
      <c r="J118" s="984">
        <v>14692</v>
      </c>
      <c r="K118" s="984">
        <v>4300</v>
      </c>
      <c r="L118" s="244">
        <v>0.29267628641437515</v>
      </c>
    </row>
    <row r="119" spans="1:12" x14ac:dyDescent="0.2">
      <c r="A119" s="222" t="s">
        <v>192</v>
      </c>
      <c r="B119" s="222" t="s">
        <v>193</v>
      </c>
      <c r="C119" s="237" t="s">
        <v>268</v>
      </c>
      <c r="D119" s="984">
        <v>14445</v>
      </c>
      <c r="E119" s="984">
        <v>4678</v>
      </c>
      <c r="F119" s="244">
        <v>0.32384908272758739</v>
      </c>
      <c r="G119" s="984">
        <v>2303</v>
      </c>
      <c r="H119" s="222">
        <v>474</v>
      </c>
      <c r="I119" s="244">
        <v>0.20581849761181067</v>
      </c>
      <c r="J119" s="984">
        <v>1631</v>
      </c>
      <c r="K119" s="222">
        <v>323</v>
      </c>
      <c r="L119" s="244">
        <v>0.19803801348865727</v>
      </c>
    </row>
    <row r="120" spans="1:12" x14ac:dyDescent="0.2">
      <c r="A120" s="222" t="s">
        <v>196</v>
      </c>
      <c r="B120" s="222" t="s">
        <v>197</v>
      </c>
      <c r="C120" s="237" t="s">
        <v>266</v>
      </c>
      <c r="D120" s="984">
        <v>205532</v>
      </c>
      <c r="E120" s="984">
        <v>51415</v>
      </c>
      <c r="F120" s="244">
        <v>0.25015569351731115</v>
      </c>
      <c r="G120" s="984">
        <v>39446</v>
      </c>
      <c r="H120" s="984">
        <v>15362</v>
      </c>
      <c r="I120" s="244">
        <v>0.38944379658266998</v>
      </c>
      <c r="J120" s="984">
        <v>25784</v>
      </c>
      <c r="K120" s="984">
        <v>10498</v>
      </c>
      <c r="L120" s="244">
        <v>0.40715172199813837</v>
      </c>
    </row>
    <row r="121" spans="1:12" x14ac:dyDescent="0.2">
      <c r="A121" s="222" t="s">
        <v>200</v>
      </c>
      <c r="B121" s="222" t="s">
        <v>201</v>
      </c>
      <c r="C121" s="237" t="s">
        <v>265</v>
      </c>
      <c r="D121" s="984">
        <v>97847</v>
      </c>
      <c r="E121" s="984">
        <v>19938</v>
      </c>
      <c r="F121" s="244">
        <v>0.20376710578760718</v>
      </c>
      <c r="G121" s="984">
        <v>21510</v>
      </c>
      <c r="H121" s="984">
        <v>7109</v>
      </c>
      <c r="I121" s="244">
        <v>0.33049744304974432</v>
      </c>
      <c r="J121" s="984">
        <v>14390</v>
      </c>
      <c r="K121" s="984">
        <v>4550</v>
      </c>
      <c r="L121" s="244">
        <v>0.31619179986101459</v>
      </c>
    </row>
    <row r="122" spans="1:12" x14ac:dyDescent="0.2">
      <c r="A122" s="222" t="s">
        <v>222</v>
      </c>
      <c r="B122" s="222" t="s">
        <v>223</v>
      </c>
      <c r="C122" s="237" t="s">
        <v>264</v>
      </c>
      <c r="D122" s="984">
        <v>85518</v>
      </c>
      <c r="E122" s="984">
        <v>11668</v>
      </c>
      <c r="F122" s="244">
        <v>0.1364391122336818</v>
      </c>
      <c r="G122" s="984">
        <v>21358</v>
      </c>
      <c r="H122" s="984">
        <v>4314</v>
      </c>
      <c r="I122" s="244">
        <v>0.20198520460717295</v>
      </c>
      <c r="J122" s="984">
        <v>15760</v>
      </c>
      <c r="K122" s="984">
        <v>2881</v>
      </c>
      <c r="L122" s="244">
        <v>0.18280456852791879</v>
      </c>
    </row>
    <row r="123" spans="1:12" x14ac:dyDescent="0.2">
      <c r="A123" s="222" t="s">
        <v>230</v>
      </c>
      <c r="B123" s="222" t="s">
        <v>231</v>
      </c>
      <c r="C123" s="237" t="s">
        <v>264</v>
      </c>
      <c r="D123" s="984">
        <v>440960</v>
      </c>
      <c r="E123" s="984">
        <v>37886</v>
      </c>
      <c r="F123" s="244">
        <v>8.5917089985486209E-2</v>
      </c>
      <c r="G123" s="984">
        <v>101719</v>
      </c>
      <c r="H123" s="984">
        <v>12569</v>
      </c>
      <c r="I123" s="244">
        <v>0.123565902142176</v>
      </c>
      <c r="J123" s="984">
        <v>71721</v>
      </c>
      <c r="K123" s="984">
        <v>8407</v>
      </c>
      <c r="L123" s="244">
        <v>0.11721810906150221</v>
      </c>
    </row>
    <row r="124" spans="1:12" x14ac:dyDescent="0.2">
      <c r="A124" s="222" t="s">
        <v>238</v>
      </c>
      <c r="B124" s="222" t="s">
        <v>239</v>
      </c>
      <c r="C124" s="237" t="s">
        <v>264</v>
      </c>
      <c r="D124" s="984">
        <v>10301</v>
      </c>
      <c r="E124" s="984">
        <v>2071</v>
      </c>
      <c r="F124" s="244">
        <v>0.20104844189884477</v>
      </c>
      <c r="G124" s="984">
        <v>1528</v>
      </c>
      <c r="H124" s="222">
        <v>373</v>
      </c>
      <c r="I124" s="244">
        <v>0.24410994764397906</v>
      </c>
      <c r="J124" s="984">
        <v>1050</v>
      </c>
      <c r="K124" s="222">
        <v>250</v>
      </c>
      <c r="L124" s="244">
        <v>0.23809523809523808</v>
      </c>
    </row>
    <row r="125" spans="1:12" x14ac:dyDescent="0.2">
      <c r="A125" s="222" t="s">
        <v>240</v>
      </c>
      <c r="B125" s="222" t="s">
        <v>241</v>
      </c>
      <c r="C125" s="237" t="s">
        <v>267</v>
      </c>
      <c r="D125" s="984">
        <v>26598</v>
      </c>
      <c r="E125" s="984">
        <v>3574</v>
      </c>
      <c r="F125" s="244">
        <v>0.13437100533874727</v>
      </c>
      <c r="G125" s="984">
        <v>6039</v>
      </c>
      <c r="H125" s="984">
        <v>1310</v>
      </c>
      <c r="I125" s="244">
        <v>0.21692333167743003</v>
      </c>
      <c r="J125" s="984">
        <v>4217</v>
      </c>
      <c r="K125" s="222">
        <v>922</v>
      </c>
      <c r="L125" s="244">
        <v>0.21863884277922693</v>
      </c>
    </row>
    <row r="127" spans="1:12" x14ac:dyDescent="0.2">
      <c r="A127" s="222" t="s">
        <v>266</v>
      </c>
      <c r="D127" s="243">
        <v>1324339</v>
      </c>
      <c r="E127" s="243">
        <v>175249</v>
      </c>
      <c r="F127" s="244">
        <v>0.13232941112509713</v>
      </c>
      <c r="G127" s="1368">
        <v>294607</v>
      </c>
      <c r="H127" s="243">
        <v>56056</v>
      </c>
      <c r="I127" s="244">
        <v>0.19027382241426713</v>
      </c>
      <c r="J127" s="1368">
        <v>215217</v>
      </c>
      <c r="K127" s="243">
        <v>37985</v>
      </c>
      <c r="L127" s="244">
        <v>0.17649628049828778</v>
      </c>
    </row>
    <row r="128" spans="1:12" x14ac:dyDescent="0.2">
      <c r="A128" s="222" t="s">
        <v>264</v>
      </c>
      <c r="D128" s="243">
        <v>1782318</v>
      </c>
      <c r="E128" s="243">
        <v>237926</v>
      </c>
      <c r="F128" s="244">
        <v>0.13349245196423984</v>
      </c>
      <c r="G128" s="1368">
        <v>411012</v>
      </c>
      <c r="H128" s="243">
        <v>78857</v>
      </c>
      <c r="I128" s="244">
        <v>0.1918605782799529</v>
      </c>
      <c r="J128" s="1368">
        <v>292904</v>
      </c>
      <c r="K128" s="243">
        <v>54016</v>
      </c>
      <c r="L128" s="244">
        <v>0.18441537158932619</v>
      </c>
    </row>
    <row r="129" spans="1:12" x14ac:dyDescent="0.2">
      <c r="A129" s="222" t="s">
        <v>267</v>
      </c>
      <c r="D129" s="243">
        <v>3282134</v>
      </c>
      <c r="E129" s="243">
        <v>256078</v>
      </c>
      <c r="F129" s="244">
        <v>7.802179923184123E-2</v>
      </c>
      <c r="G129" s="1368">
        <v>795711</v>
      </c>
      <c r="H129" s="243">
        <v>80925</v>
      </c>
      <c r="I129" s="244">
        <v>0.10170149715160404</v>
      </c>
      <c r="J129" s="1368">
        <v>570814</v>
      </c>
      <c r="K129" s="243">
        <v>55595</v>
      </c>
      <c r="L129" s="244">
        <v>9.7395999397351857E-2</v>
      </c>
    </row>
    <row r="130" spans="1:12" x14ac:dyDescent="0.2">
      <c r="A130" s="222" t="s">
        <v>265</v>
      </c>
      <c r="D130" s="243">
        <v>1127220</v>
      </c>
      <c r="E130" s="243">
        <v>173365</v>
      </c>
      <c r="F130" s="244">
        <v>0.1537987260694452</v>
      </c>
      <c r="G130" s="1368">
        <v>232806</v>
      </c>
      <c r="H130" s="243">
        <v>50302</v>
      </c>
      <c r="I130" s="244">
        <v>0.21606831439052257</v>
      </c>
      <c r="J130" s="1368">
        <v>170693</v>
      </c>
      <c r="K130" s="243">
        <v>34455</v>
      </c>
      <c r="L130" s="244">
        <v>0.2018536202421892</v>
      </c>
    </row>
    <row r="131" spans="1:12" x14ac:dyDescent="0.2">
      <c r="A131" s="222" t="s">
        <v>268</v>
      </c>
      <c r="D131" s="243">
        <v>564258</v>
      </c>
      <c r="E131" s="243">
        <v>112924</v>
      </c>
      <c r="F131" s="244">
        <v>0.20012831009928084</v>
      </c>
      <c r="G131" s="1368">
        <v>108799</v>
      </c>
      <c r="H131" s="243">
        <v>26390</v>
      </c>
      <c r="I131" s="244">
        <v>0.24255737644647468</v>
      </c>
      <c r="J131" s="1368">
        <v>80151</v>
      </c>
      <c r="K131" s="243">
        <v>17915</v>
      </c>
      <c r="L131" s="244">
        <v>0.22351561427805017</v>
      </c>
    </row>
    <row r="134" spans="1:12" x14ac:dyDescent="0.2">
      <c r="B134" s="222" t="s">
        <v>940</v>
      </c>
    </row>
  </sheetData>
  <autoFilter ref="A4:C125"/>
  <sortState ref="A6:P125">
    <sortCondition ref="A6:A125"/>
  </sortState>
  <mergeCells count="3">
    <mergeCell ref="D3:F3"/>
    <mergeCell ref="G3:I3"/>
    <mergeCell ref="J3:L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H135"/>
  <sheetViews>
    <sheetView topLeftCell="B1" workbookViewId="0">
      <pane ySplit="4" topLeftCell="A5" activePane="bottomLeft" state="frozen"/>
      <selection pane="bottomLeft" activeCell="AH126" sqref="AH126:AH130"/>
    </sheetView>
  </sheetViews>
  <sheetFormatPr defaultRowHeight="15.75" x14ac:dyDescent="0.25"/>
  <cols>
    <col min="1" max="1" width="8.75" style="394" customWidth="1"/>
    <col min="2" max="2" width="34.625" style="394" customWidth="1"/>
    <col min="3" max="3" width="16.375" style="394" customWidth="1"/>
    <col min="4" max="4" width="5.875" style="394" customWidth="1"/>
    <col min="5" max="14" width="6" style="394" bestFit="1" customWidth="1"/>
    <col min="15" max="16" width="7.5" style="394" customWidth="1"/>
    <col min="17" max="17" width="7.125" style="394" customWidth="1"/>
    <col min="18" max="18" width="7.5" style="394" customWidth="1"/>
    <col min="19" max="19" width="3.625" style="394" customWidth="1"/>
    <col min="20" max="27" width="7.375" style="394" bestFit="1" customWidth="1"/>
    <col min="28" max="30" width="7.875" style="394" bestFit="1" customWidth="1"/>
    <col min="31" max="31" width="7.875" style="394" customWidth="1"/>
    <col min="32" max="32" width="9.375" style="394" customWidth="1"/>
    <col min="33" max="16384" width="9" style="394"/>
  </cols>
  <sheetData>
    <row r="1" spans="1:34" x14ac:dyDescent="0.25">
      <c r="A1" s="193" t="s">
        <v>1223</v>
      </c>
    </row>
    <row r="2" spans="1:34" x14ac:dyDescent="0.25">
      <c r="D2" s="2080"/>
      <c r="E2" s="2080"/>
      <c r="F2" s="2080"/>
      <c r="G2" s="2080"/>
      <c r="H2" s="2080"/>
      <c r="I2" s="2080"/>
      <c r="J2" s="2080"/>
      <c r="K2" s="2080"/>
      <c r="L2" s="2080"/>
      <c r="M2" s="2080"/>
      <c r="N2" s="2080"/>
      <c r="O2" s="315"/>
      <c r="P2" s="315"/>
      <c r="Q2" s="315"/>
      <c r="R2" s="315"/>
      <c r="T2" s="2080"/>
      <c r="U2" s="2080"/>
      <c r="V2" s="2080"/>
      <c r="W2" s="2080"/>
      <c r="X2" s="2080"/>
      <c r="Y2" s="2080"/>
      <c r="Z2" s="2080"/>
      <c r="AA2" s="2080"/>
      <c r="AB2" s="2080"/>
      <c r="AC2" s="2080"/>
      <c r="AD2" s="2080"/>
      <c r="AE2" s="315"/>
    </row>
    <row r="3" spans="1:34" ht="33" customHeight="1" x14ac:dyDescent="0.25">
      <c r="A3" s="512" t="s">
        <v>4</v>
      </c>
      <c r="B3" s="513" t="s">
        <v>5</v>
      </c>
      <c r="C3" s="1798" t="s">
        <v>251</v>
      </c>
      <c r="D3" s="470">
        <v>2000</v>
      </c>
      <c r="E3" s="470">
        <v>2001</v>
      </c>
      <c r="F3" s="470">
        <v>2002</v>
      </c>
      <c r="G3" s="470">
        <v>2003</v>
      </c>
      <c r="H3" s="470">
        <v>2004</v>
      </c>
      <c r="I3" s="470">
        <v>2005</v>
      </c>
      <c r="J3" s="470">
        <v>2006</v>
      </c>
      <c r="K3" s="470">
        <v>2007</v>
      </c>
      <c r="L3" s="471">
        <v>2008</v>
      </c>
      <c r="M3" s="471">
        <v>2009</v>
      </c>
      <c r="N3" s="472">
        <v>2010</v>
      </c>
      <c r="O3" s="977">
        <v>2011</v>
      </c>
      <c r="P3" s="978">
        <v>2012</v>
      </c>
      <c r="Q3" s="1369">
        <v>2013</v>
      </c>
      <c r="R3" s="1794">
        <v>2014</v>
      </c>
      <c r="S3" s="466"/>
      <c r="T3" s="470">
        <v>2000</v>
      </c>
      <c r="U3" s="470">
        <v>2001</v>
      </c>
      <c r="V3" s="470">
        <v>2002</v>
      </c>
      <c r="W3" s="470">
        <v>2003</v>
      </c>
      <c r="X3" s="470">
        <v>2004</v>
      </c>
      <c r="Y3" s="470">
        <v>2005</v>
      </c>
      <c r="Z3" s="470">
        <v>2006</v>
      </c>
      <c r="AA3" s="470">
        <v>2007</v>
      </c>
      <c r="AB3" s="473">
        <v>2008</v>
      </c>
      <c r="AC3" s="473">
        <v>2009</v>
      </c>
      <c r="AD3" s="474">
        <v>2010</v>
      </c>
      <c r="AE3" s="985">
        <v>2011</v>
      </c>
      <c r="AF3" s="1371">
        <v>2012</v>
      </c>
      <c r="AG3" s="1376">
        <v>2013</v>
      </c>
      <c r="AH3" s="1790">
        <v>2014</v>
      </c>
    </row>
    <row r="4" spans="1:34" x14ac:dyDescent="0.25">
      <c r="A4" s="399" t="s">
        <v>8</v>
      </c>
      <c r="B4" s="400" t="s">
        <v>9</v>
      </c>
      <c r="C4" s="1799"/>
      <c r="D4" s="467">
        <v>8.8499999999999995E-2</v>
      </c>
      <c r="E4" s="467">
        <v>8.77E-2</v>
      </c>
      <c r="F4" s="467">
        <v>9.5899999999999999E-2</v>
      </c>
      <c r="G4" s="467">
        <v>9.9399999999999988E-2</v>
      </c>
      <c r="H4" s="467">
        <v>9.5199999999999993E-2</v>
      </c>
      <c r="I4" s="467">
        <v>9.9600000000000008E-2</v>
      </c>
      <c r="J4" s="467">
        <v>9.6199999999999994E-2</v>
      </c>
      <c r="K4" s="467">
        <v>9.9000000000000005E-2</v>
      </c>
      <c r="L4" s="475">
        <v>0.10210000000000001</v>
      </c>
      <c r="M4" s="475">
        <v>0.1057</v>
      </c>
      <c r="N4" s="476">
        <v>0.11118840014389482</v>
      </c>
      <c r="O4" s="979">
        <v>0.11600000000000001</v>
      </c>
      <c r="P4" s="982">
        <v>0.11799999999999999</v>
      </c>
      <c r="Q4" s="982">
        <v>0.11747751027208382</v>
      </c>
      <c r="R4" s="1795">
        <v>0.1182560438559494</v>
      </c>
      <c r="S4" s="468"/>
      <c r="T4" s="469">
        <v>620936</v>
      </c>
      <c r="U4" s="469">
        <v>620238</v>
      </c>
      <c r="V4" s="469">
        <v>692133</v>
      </c>
      <c r="W4" s="469">
        <v>724326</v>
      </c>
      <c r="X4" s="469">
        <v>705038</v>
      </c>
      <c r="Y4" s="469">
        <v>728860</v>
      </c>
      <c r="Z4" s="469">
        <v>713179</v>
      </c>
      <c r="AA4" s="469">
        <v>739139</v>
      </c>
      <c r="AB4" s="477">
        <v>766854</v>
      </c>
      <c r="AC4" s="477">
        <v>805553</v>
      </c>
      <c r="AD4" s="478">
        <f>SUM(AD5:AD124)</f>
        <v>865746</v>
      </c>
      <c r="AE4" s="986">
        <v>912779</v>
      </c>
      <c r="AF4" s="1372">
        <v>936384</v>
      </c>
      <c r="AG4" s="1379">
        <v>941059</v>
      </c>
      <c r="AH4" s="1791">
        <v>955541</v>
      </c>
    </row>
    <row r="5" spans="1:34" ht="16.5" customHeight="1" x14ac:dyDescent="0.25">
      <c r="A5" s="404" t="s">
        <v>10</v>
      </c>
      <c r="B5" s="405" t="s">
        <v>450</v>
      </c>
      <c r="C5" s="1800" t="s">
        <v>264</v>
      </c>
      <c r="D5" s="479">
        <v>0.17100000000000001</v>
      </c>
      <c r="E5" s="479">
        <v>0.16300000000000001</v>
      </c>
      <c r="F5" s="479">
        <v>0.17699999999999999</v>
      </c>
      <c r="G5" s="479">
        <v>0.156</v>
      </c>
      <c r="H5" s="479">
        <v>0.14899999999999999</v>
      </c>
      <c r="I5" s="479">
        <v>0.183</v>
      </c>
      <c r="J5" s="479">
        <v>0.154</v>
      </c>
      <c r="K5" s="479">
        <v>0.16800000000000001</v>
      </c>
      <c r="L5" s="479">
        <v>0.20600000000000002</v>
      </c>
      <c r="M5" s="479">
        <v>0.183</v>
      </c>
      <c r="N5" s="480">
        <v>0.20499999999999999</v>
      </c>
      <c r="O5" s="980">
        <v>0.193</v>
      </c>
      <c r="P5" s="980">
        <v>0.19900000000000001</v>
      </c>
      <c r="Q5" s="980">
        <v>0.19252741881281887</v>
      </c>
      <c r="R5" s="1792">
        <v>0.19371551195585529</v>
      </c>
      <c r="S5" s="481"/>
      <c r="T5" s="482">
        <v>6549</v>
      </c>
      <c r="U5" s="482">
        <v>6239</v>
      </c>
      <c r="V5" s="482">
        <v>6871</v>
      </c>
      <c r="W5" s="482">
        <v>6072</v>
      </c>
      <c r="X5" s="482">
        <v>5820</v>
      </c>
      <c r="Y5" s="482">
        <v>7044</v>
      </c>
      <c r="Z5" s="482">
        <v>5956</v>
      </c>
      <c r="AA5" s="482">
        <v>6349</v>
      </c>
      <c r="AB5" s="482">
        <v>7733</v>
      </c>
      <c r="AC5" s="482">
        <v>6906</v>
      </c>
      <c r="AD5" s="483">
        <v>6722</v>
      </c>
      <c r="AE5" s="987">
        <v>6359</v>
      </c>
      <c r="AF5" s="1373">
        <v>6541</v>
      </c>
      <c r="AG5" s="1377">
        <v>6302</v>
      </c>
      <c r="AH5" s="1788">
        <v>6319</v>
      </c>
    </row>
    <row r="6" spans="1:34" ht="16.5" customHeight="1" x14ac:dyDescent="0.25">
      <c r="A6" s="404" t="s">
        <v>12</v>
      </c>
      <c r="B6" s="405" t="s">
        <v>451</v>
      </c>
      <c r="C6" s="1800" t="s">
        <v>265</v>
      </c>
      <c r="D6" s="479">
        <v>6.0999999999999999E-2</v>
      </c>
      <c r="E6" s="479">
        <v>6.5000000000000002E-2</v>
      </c>
      <c r="F6" s="479">
        <v>7.2000000000000008E-2</v>
      </c>
      <c r="G6" s="479">
        <v>7.5999999999999998E-2</v>
      </c>
      <c r="H6" s="479">
        <v>7.2999999999999995E-2</v>
      </c>
      <c r="I6" s="479">
        <v>7.0000000000000007E-2</v>
      </c>
      <c r="J6" s="479">
        <v>7.0999999999999994E-2</v>
      </c>
      <c r="K6" s="479">
        <v>8.5000000000000006E-2</v>
      </c>
      <c r="L6" s="479">
        <v>6.8000000000000005E-2</v>
      </c>
      <c r="M6" s="479">
        <v>8.8000000000000009E-2</v>
      </c>
      <c r="N6" s="480">
        <v>9.0999999999999998E-2</v>
      </c>
      <c r="O6" s="980">
        <v>9.6999999999999989E-2</v>
      </c>
      <c r="P6" s="980">
        <v>9.4E-2</v>
      </c>
      <c r="Q6" s="980">
        <v>9.5165866996852908E-2</v>
      </c>
      <c r="R6" s="1792">
        <v>9.127121227517529E-2</v>
      </c>
      <c r="S6" s="481"/>
      <c r="T6" s="482">
        <v>4843</v>
      </c>
      <c r="U6" s="482">
        <v>5277</v>
      </c>
      <c r="V6" s="482">
        <v>5901</v>
      </c>
      <c r="W6" s="482">
        <v>6312</v>
      </c>
      <c r="X6" s="482">
        <v>6205</v>
      </c>
      <c r="Y6" s="482">
        <v>5872</v>
      </c>
      <c r="Z6" s="482">
        <v>6107</v>
      </c>
      <c r="AA6" s="482">
        <v>7396</v>
      </c>
      <c r="AB6" s="482">
        <v>6008</v>
      </c>
      <c r="AC6" s="482">
        <v>7774</v>
      </c>
      <c r="AD6" s="483">
        <v>8419</v>
      </c>
      <c r="AE6" s="987">
        <v>9139</v>
      </c>
      <c r="AF6" s="1373">
        <v>9026</v>
      </c>
      <c r="AG6" s="1377">
        <v>9223</v>
      </c>
      <c r="AH6" s="1788">
        <v>8982</v>
      </c>
    </row>
    <row r="7" spans="1:34" ht="16.5" customHeight="1" x14ac:dyDescent="0.25">
      <c r="A7" s="404" t="s">
        <v>16</v>
      </c>
      <c r="B7" s="405" t="s">
        <v>749</v>
      </c>
      <c r="C7" s="1800" t="s">
        <v>265</v>
      </c>
      <c r="D7" s="479">
        <v>0.1075</v>
      </c>
      <c r="E7" s="479">
        <v>0.10050000000000001</v>
      </c>
      <c r="F7" s="479">
        <v>0.10589999999999999</v>
      </c>
      <c r="G7" s="479">
        <v>0.11539999999999999</v>
      </c>
      <c r="H7" s="479">
        <v>0.1137</v>
      </c>
      <c r="I7" s="479">
        <v>0.12089999999999999</v>
      </c>
      <c r="J7" s="479">
        <v>0.12770000000000001</v>
      </c>
      <c r="K7" s="479">
        <v>0.12619999999999998</v>
      </c>
      <c r="L7" s="479">
        <v>0.13320000000000001</v>
      </c>
      <c r="M7" s="479">
        <v>0.13639999999999999</v>
      </c>
      <c r="N7" s="480">
        <v>0.13851337359792926</v>
      </c>
      <c r="O7" s="980">
        <v>0.14251596013411105</v>
      </c>
      <c r="P7" s="980">
        <v>0.14000000000000001</v>
      </c>
      <c r="Q7" s="980">
        <v>0.1451127471408066</v>
      </c>
      <c r="R7" s="1792">
        <v>0.15934117647058824</v>
      </c>
      <c r="S7" s="481"/>
      <c r="T7" s="482">
        <v>2473</v>
      </c>
      <c r="U7" s="482">
        <v>2308</v>
      </c>
      <c r="V7" s="482">
        <v>2422</v>
      </c>
      <c r="W7" s="482">
        <v>2618</v>
      </c>
      <c r="X7" s="482">
        <v>2574</v>
      </c>
      <c r="Y7" s="482">
        <v>2695</v>
      </c>
      <c r="Z7" s="482">
        <v>2836</v>
      </c>
      <c r="AA7" s="482">
        <v>2783</v>
      </c>
      <c r="AB7" s="482">
        <v>2902</v>
      </c>
      <c r="AC7" s="482">
        <v>2985</v>
      </c>
      <c r="AD7" s="483">
        <v>3029</v>
      </c>
      <c r="AE7" s="987">
        <v>3103</v>
      </c>
      <c r="AF7" s="1373">
        <v>3032</v>
      </c>
      <c r="AG7" s="1377">
        <v>3134</v>
      </c>
      <c r="AH7" s="1788">
        <v>3386</v>
      </c>
    </row>
    <row r="8" spans="1:34" ht="16.5" customHeight="1" x14ac:dyDescent="0.25">
      <c r="A8" s="404" t="s">
        <v>18</v>
      </c>
      <c r="B8" s="405" t="s">
        <v>452</v>
      </c>
      <c r="C8" s="1800" t="s">
        <v>266</v>
      </c>
      <c r="D8" s="479">
        <v>9.3000000000000013E-2</v>
      </c>
      <c r="E8" s="479">
        <v>8.8000000000000009E-2</v>
      </c>
      <c r="F8" s="479">
        <v>9.0999999999999998E-2</v>
      </c>
      <c r="G8" s="479">
        <v>9.6999999999999989E-2</v>
      </c>
      <c r="H8" s="479">
        <v>9.0999999999999998E-2</v>
      </c>
      <c r="I8" s="479">
        <v>9.9000000000000005E-2</v>
      </c>
      <c r="J8" s="479">
        <v>9.1999999999999998E-2</v>
      </c>
      <c r="K8" s="479">
        <v>9.0999999999999998E-2</v>
      </c>
      <c r="L8" s="479">
        <v>9.6000000000000002E-2</v>
      </c>
      <c r="M8" s="479">
        <v>0.113</v>
      </c>
      <c r="N8" s="480">
        <v>0.114</v>
      </c>
      <c r="O8" s="980">
        <v>0.11900000000000001</v>
      </c>
      <c r="P8" s="980">
        <v>0.125</v>
      </c>
      <c r="Q8" s="980">
        <v>0.12147901293342855</v>
      </c>
      <c r="R8" s="1792">
        <v>0.12864669340253204</v>
      </c>
      <c r="S8" s="481"/>
      <c r="T8" s="482">
        <v>1072</v>
      </c>
      <c r="U8" s="482">
        <v>1027</v>
      </c>
      <c r="V8" s="482">
        <v>1068</v>
      </c>
      <c r="W8" s="482">
        <v>1151</v>
      </c>
      <c r="X8" s="482">
        <v>1110</v>
      </c>
      <c r="Y8" s="482">
        <v>1198</v>
      </c>
      <c r="Z8" s="482">
        <v>1140</v>
      </c>
      <c r="AA8" s="482">
        <v>1145</v>
      </c>
      <c r="AB8" s="482">
        <v>1215</v>
      </c>
      <c r="AC8" s="482">
        <v>1433</v>
      </c>
      <c r="AD8" s="483">
        <v>1432</v>
      </c>
      <c r="AE8" s="987">
        <v>1503</v>
      </c>
      <c r="AF8" s="1373">
        <v>1578</v>
      </c>
      <c r="AG8" s="1377">
        <v>1531</v>
      </c>
      <c r="AH8" s="1788">
        <v>1636</v>
      </c>
    </row>
    <row r="9" spans="1:34" ht="16.5" customHeight="1" x14ac:dyDescent="0.25">
      <c r="A9" s="404" t="s">
        <v>20</v>
      </c>
      <c r="B9" s="405" t="s">
        <v>453</v>
      </c>
      <c r="C9" s="1800" t="s">
        <v>265</v>
      </c>
      <c r="D9" s="479">
        <v>0.105</v>
      </c>
      <c r="E9" s="479">
        <v>0.10400000000000001</v>
      </c>
      <c r="F9" s="479">
        <v>0.11599999999999999</v>
      </c>
      <c r="G9" s="479">
        <v>0.111</v>
      </c>
      <c r="H9" s="479">
        <v>0.11199999999999999</v>
      </c>
      <c r="I9" s="479">
        <v>0.12</v>
      </c>
      <c r="J9" s="479">
        <v>0.11800000000000001</v>
      </c>
      <c r="K9" s="479">
        <v>0.122</v>
      </c>
      <c r="L9" s="479">
        <v>0.125</v>
      </c>
      <c r="M9" s="479">
        <v>0.13900000000000001</v>
      </c>
      <c r="N9" s="480">
        <v>0.13600000000000001</v>
      </c>
      <c r="O9" s="980">
        <v>0.13400000000000001</v>
      </c>
      <c r="P9" s="980">
        <v>0.14499999999999999</v>
      </c>
      <c r="Q9" s="980">
        <v>0.14199021207177814</v>
      </c>
      <c r="R9" s="1792">
        <v>0.1367115938236064</v>
      </c>
      <c r="S9" s="481"/>
      <c r="T9" s="482">
        <v>3204</v>
      </c>
      <c r="U9" s="482">
        <v>3146</v>
      </c>
      <c r="V9" s="482">
        <v>3542</v>
      </c>
      <c r="W9" s="482">
        <v>3391</v>
      </c>
      <c r="X9" s="482">
        <v>3447</v>
      </c>
      <c r="Y9" s="482">
        <v>3615</v>
      </c>
      <c r="Z9" s="482">
        <v>3631</v>
      </c>
      <c r="AA9" s="482">
        <v>3726</v>
      </c>
      <c r="AB9" s="482">
        <v>3868</v>
      </c>
      <c r="AC9" s="482">
        <v>4269</v>
      </c>
      <c r="AD9" s="483">
        <v>4221</v>
      </c>
      <c r="AE9" s="987">
        <v>4136</v>
      </c>
      <c r="AF9" s="1373">
        <v>4449</v>
      </c>
      <c r="AG9" s="1377">
        <v>4352</v>
      </c>
      <c r="AH9" s="1788">
        <v>4179</v>
      </c>
    </row>
    <row r="10" spans="1:34" ht="16.5" customHeight="1" x14ac:dyDescent="0.25">
      <c r="A10" s="404" t="s">
        <v>22</v>
      </c>
      <c r="B10" s="405" t="s">
        <v>454</v>
      </c>
      <c r="C10" s="1800" t="s">
        <v>265</v>
      </c>
      <c r="D10" s="479">
        <v>0.111</v>
      </c>
      <c r="E10" s="479">
        <v>0.111</v>
      </c>
      <c r="F10" s="479">
        <v>0.122</v>
      </c>
      <c r="G10" s="479">
        <v>0.124</v>
      </c>
      <c r="H10" s="479">
        <v>0.11800000000000001</v>
      </c>
      <c r="I10" s="479">
        <v>0.121</v>
      </c>
      <c r="J10" s="479">
        <v>0.13300000000000001</v>
      </c>
      <c r="K10" s="479">
        <v>0.126</v>
      </c>
      <c r="L10" s="479">
        <v>0.13</v>
      </c>
      <c r="M10" s="479">
        <v>0.14300000000000002</v>
      </c>
      <c r="N10" s="480">
        <v>0.14100000000000001</v>
      </c>
      <c r="O10" s="980">
        <v>0.14800000000000002</v>
      </c>
      <c r="P10" s="980">
        <v>0.16500000000000001</v>
      </c>
      <c r="Q10" s="980">
        <v>0.16161416022719768</v>
      </c>
      <c r="R10" s="1792">
        <v>0.15095583388266315</v>
      </c>
      <c r="S10" s="481"/>
      <c r="T10" s="482">
        <v>1526</v>
      </c>
      <c r="U10" s="482">
        <v>1522</v>
      </c>
      <c r="V10" s="482">
        <v>1668</v>
      </c>
      <c r="W10" s="482">
        <v>1716</v>
      </c>
      <c r="X10" s="482">
        <v>1649</v>
      </c>
      <c r="Y10" s="482">
        <v>1660</v>
      </c>
      <c r="Z10" s="482">
        <v>1859</v>
      </c>
      <c r="AA10" s="482">
        <v>1772</v>
      </c>
      <c r="AB10" s="482">
        <v>1863</v>
      </c>
      <c r="AC10" s="482">
        <v>2055</v>
      </c>
      <c r="AD10" s="483">
        <v>2099</v>
      </c>
      <c r="AE10" s="987">
        <v>2209</v>
      </c>
      <c r="AF10" s="1373">
        <v>2483</v>
      </c>
      <c r="AG10" s="1377">
        <v>2447</v>
      </c>
      <c r="AH10" s="1788">
        <v>2290</v>
      </c>
    </row>
    <row r="11" spans="1:34" ht="16.5" customHeight="1" x14ac:dyDescent="0.25">
      <c r="A11" s="404" t="s">
        <v>24</v>
      </c>
      <c r="B11" s="405" t="s">
        <v>455</v>
      </c>
      <c r="C11" s="1800" t="s">
        <v>267</v>
      </c>
      <c r="D11" s="479">
        <v>5.7999999999999996E-2</v>
      </c>
      <c r="E11" s="479">
        <v>5.7999999999999996E-2</v>
      </c>
      <c r="F11" s="479">
        <v>6.3E-2</v>
      </c>
      <c r="G11" s="479">
        <v>7.400000000000001E-2</v>
      </c>
      <c r="H11" s="479">
        <v>7.0999999999999994E-2</v>
      </c>
      <c r="I11" s="479">
        <v>7.6999999999999999E-2</v>
      </c>
      <c r="J11" s="479">
        <v>7.0000000000000007E-2</v>
      </c>
      <c r="K11" s="479">
        <v>6.5000000000000002E-2</v>
      </c>
      <c r="L11" s="479">
        <v>6.7000000000000004E-2</v>
      </c>
      <c r="M11" s="479">
        <v>6.6000000000000003E-2</v>
      </c>
      <c r="N11" s="480">
        <v>7.2000000000000008E-2</v>
      </c>
      <c r="O11" s="980">
        <v>7.400000000000001E-2</v>
      </c>
      <c r="P11" s="980">
        <v>0.08</v>
      </c>
      <c r="Q11" s="980">
        <v>8.4502920026836334E-2</v>
      </c>
      <c r="R11" s="1792">
        <v>8.5298435206296652E-2</v>
      </c>
      <c r="S11" s="481"/>
      <c r="T11" s="482">
        <v>10907</v>
      </c>
      <c r="U11" s="482">
        <v>10867</v>
      </c>
      <c r="V11" s="482">
        <v>11773</v>
      </c>
      <c r="W11" s="482">
        <v>13587</v>
      </c>
      <c r="X11" s="482">
        <v>13740</v>
      </c>
      <c r="Y11" s="482">
        <v>14781</v>
      </c>
      <c r="Z11" s="482">
        <v>13726</v>
      </c>
      <c r="AA11" s="482">
        <v>13005</v>
      </c>
      <c r="AB11" s="482">
        <v>13735</v>
      </c>
      <c r="AC11" s="482">
        <v>13988</v>
      </c>
      <c r="AD11" s="483">
        <v>14903</v>
      </c>
      <c r="AE11" s="987">
        <v>15894</v>
      </c>
      <c r="AF11" s="1373">
        <v>17555</v>
      </c>
      <c r="AG11" s="1377">
        <v>18767</v>
      </c>
      <c r="AH11" s="1788">
        <v>19117</v>
      </c>
    </row>
    <row r="12" spans="1:34" ht="16.5" customHeight="1" x14ac:dyDescent="0.25">
      <c r="A12" s="404" t="s">
        <v>26</v>
      </c>
      <c r="B12" s="484" t="s">
        <v>750</v>
      </c>
      <c r="C12" s="484" t="s">
        <v>265</v>
      </c>
      <c r="D12" s="479">
        <v>9.0800000000000006E-2</v>
      </c>
      <c r="E12" s="479">
        <v>9.1799999999999993E-2</v>
      </c>
      <c r="F12" s="479">
        <v>9.9299999999999999E-2</v>
      </c>
      <c r="G12" s="479">
        <v>9.7299999999999998E-2</v>
      </c>
      <c r="H12" s="479">
        <v>9.2200000000000004E-2</v>
      </c>
      <c r="I12" s="479">
        <v>9.7699999999999995E-2</v>
      </c>
      <c r="J12" s="479">
        <v>0.1012</v>
      </c>
      <c r="K12" s="479">
        <v>0.1026</v>
      </c>
      <c r="L12" s="479">
        <v>0.1016</v>
      </c>
      <c r="M12" s="479">
        <v>0.10949999999999999</v>
      </c>
      <c r="N12" s="480">
        <v>0.12085412542078605</v>
      </c>
      <c r="O12" s="980">
        <v>0.12665573799233823</v>
      </c>
      <c r="P12" s="980">
        <v>0.122</v>
      </c>
      <c r="Q12" s="980">
        <v>0.11686507419660146</v>
      </c>
      <c r="R12" s="1792">
        <v>0.12002390086337539</v>
      </c>
      <c r="S12" s="481"/>
      <c r="T12" s="482">
        <v>9607</v>
      </c>
      <c r="U12" s="482">
        <v>9789</v>
      </c>
      <c r="V12" s="482">
        <v>10717</v>
      </c>
      <c r="W12" s="482">
        <v>10642</v>
      </c>
      <c r="X12" s="482">
        <v>10291</v>
      </c>
      <c r="Y12" s="482">
        <v>10737</v>
      </c>
      <c r="Z12" s="482">
        <v>11283</v>
      </c>
      <c r="AA12" s="482">
        <v>11545</v>
      </c>
      <c r="AB12" s="482">
        <v>11523</v>
      </c>
      <c r="AC12" s="482">
        <v>12447</v>
      </c>
      <c r="AD12" s="483">
        <v>13822</v>
      </c>
      <c r="AE12" s="987">
        <v>14448</v>
      </c>
      <c r="AF12" s="1373">
        <v>14004</v>
      </c>
      <c r="AG12" s="1377">
        <v>13459</v>
      </c>
      <c r="AH12" s="1788">
        <v>13860</v>
      </c>
    </row>
    <row r="13" spans="1:34" ht="16.5" customHeight="1" x14ac:dyDescent="0.25">
      <c r="A13" s="404" t="s">
        <v>27</v>
      </c>
      <c r="B13" s="405" t="s">
        <v>456</v>
      </c>
      <c r="C13" s="1800" t="s">
        <v>265</v>
      </c>
      <c r="D13" s="479">
        <v>7.4999999999999997E-2</v>
      </c>
      <c r="E13" s="479">
        <v>7.5999999999999998E-2</v>
      </c>
      <c r="F13" s="479">
        <v>7.6999999999999999E-2</v>
      </c>
      <c r="G13" s="479">
        <v>7.9000000000000001E-2</v>
      </c>
      <c r="H13" s="479">
        <v>7.2999999999999995E-2</v>
      </c>
      <c r="I13" s="479">
        <v>7.6999999999999999E-2</v>
      </c>
      <c r="J13" s="479">
        <v>8.4000000000000005E-2</v>
      </c>
      <c r="K13" s="479">
        <v>8.5000000000000006E-2</v>
      </c>
      <c r="L13" s="479">
        <v>9.6000000000000002E-2</v>
      </c>
      <c r="M13" s="479">
        <v>0.11800000000000001</v>
      </c>
      <c r="N13" s="480">
        <v>0.11199999999999999</v>
      </c>
      <c r="O13" s="980">
        <v>0.10800000000000001</v>
      </c>
      <c r="P13" s="980">
        <v>0.115</v>
      </c>
      <c r="Q13" s="980">
        <v>0.11733684904416612</v>
      </c>
      <c r="R13" s="1792">
        <v>0.11533333333333333</v>
      </c>
      <c r="S13" s="481"/>
      <c r="T13" s="485">
        <v>374</v>
      </c>
      <c r="U13" s="485">
        <v>381</v>
      </c>
      <c r="V13" s="485">
        <v>385</v>
      </c>
      <c r="W13" s="485">
        <v>392</v>
      </c>
      <c r="X13" s="485">
        <v>361</v>
      </c>
      <c r="Y13" s="485">
        <v>362</v>
      </c>
      <c r="Z13" s="485">
        <v>397</v>
      </c>
      <c r="AA13" s="485">
        <v>390</v>
      </c>
      <c r="AB13" s="482">
        <v>430</v>
      </c>
      <c r="AC13" s="482">
        <v>522</v>
      </c>
      <c r="AD13" s="483">
        <v>520</v>
      </c>
      <c r="AE13" s="987">
        <v>498</v>
      </c>
      <c r="AF13" s="1373">
        <v>526</v>
      </c>
      <c r="AG13" s="1377">
        <v>534</v>
      </c>
      <c r="AH13" s="1788">
        <v>519</v>
      </c>
    </row>
    <row r="14" spans="1:34" ht="16.5" customHeight="1" x14ac:dyDescent="0.25">
      <c r="A14" s="404" t="s">
        <v>29</v>
      </c>
      <c r="B14" s="405" t="s">
        <v>941</v>
      </c>
      <c r="C14" s="1800" t="s">
        <v>265</v>
      </c>
      <c r="D14" s="479">
        <v>7.4299999999999991E-2</v>
      </c>
      <c r="E14" s="479">
        <v>7.4499999999999997E-2</v>
      </c>
      <c r="F14" s="479">
        <v>0.08</v>
      </c>
      <c r="G14" s="479">
        <v>8.6699999999999999E-2</v>
      </c>
      <c r="H14" s="479">
        <v>8.3000000000000004E-2</v>
      </c>
      <c r="I14" s="479">
        <v>8.7899999999999992E-2</v>
      </c>
      <c r="J14" s="479">
        <v>8.6699999999999999E-2</v>
      </c>
      <c r="K14" s="479">
        <v>9.5600000000000004E-2</v>
      </c>
      <c r="L14" s="479">
        <v>8.5299999999999987E-2</v>
      </c>
      <c r="M14" s="479">
        <v>8.5999999999999993E-2</v>
      </c>
      <c r="N14" s="480">
        <v>0.10419212990455738</v>
      </c>
      <c r="O14" s="980">
        <v>0.10033904639863314</v>
      </c>
      <c r="P14" s="980">
        <v>0.106</v>
      </c>
      <c r="Q14" s="980">
        <v>9.7572970386517091E-2</v>
      </c>
      <c r="R14" s="1792">
        <v>9.4187849951368266E-2</v>
      </c>
      <c r="S14" s="481"/>
      <c r="T14" s="482">
        <v>4969</v>
      </c>
      <c r="U14" s="482">
        <v>5012</v>
      </c>
      <c r="V14" s="482">
        <v>5501</v>
      </c>
      <c r="W14" s="482">
        <v>6078</v>
      </c>
      <c r="X14" s="482">
        <v>5949</v>
      </c>
      <c r="Y14" s="482">
        <v>6174</v>
      </c>
      <c r="Z14" s="482">
        <v>6218</v>
      </c>
      <c r="AA14" s="482">
        <v>6907</v>
      </c>
      <c r="AB14" s="482">
        <v>6202</v>
      </c>
      <c r="AC14" s="482">
        <v>6252</v>
      </c>
      <c r="AD14" s="483">
        <v>7717</v>
      </c>
      <c r="AE14" s="987">
        <v>7517</v>
      </c>
      <c r="AF14" s="1373">
        <v>7938</v>
      </c>
      <c r="AG14" s="1377">
        <v>7341</v>
      </c>
      <c r="AH14" s="1788">
        <v>7166</v>
      </c>
    </row>
    <row r="15" spans="1:34" ht="16.5" customHeight="1" x14ac:dyDescent="0.25">
      <c r="A15" s="404" t="s">
        <v>30</v>
      </c>
      <c r="B15" s="405" t="s">
        <v>457</v>
      </c>
      <c r="C15" s="1800" t="s">
        <v>268</v>
      </c>
      <c r="D15" s="479">
        <v>0.113</v>
      </c>
      <c r="E15" s="479">
        <v>0.12</v>
      </c>
      <c r="F15" s="479">
        <v>0.125</v>
      </c>
      <c r="G15" s="479">
        <v>0.12300000000000001</v>
      </c>
      <c r="H15" s="479">
        <v>0.11900000000000001</v>
      </c>
      <c r="I15" s="479">
        <v>0.13500000000000001</v>
      </c>
      <c r="J15" s="479">
        <v>0.13</v>
      </c>
      <c r="K15" s="479">
        <v>0.13500000000000001</v>
      </c>
      <c r="L15" s="479">
        <v>0.14599999999999999</v>
      </c>
      <c r="M15" s="479">
        <v>0.15</v>
      </c>
      <c r="N15" s="480">
        <v>0.15</v>
      </c>
      <c r="O15" s="980">
        <v>0.14400000000000002</v>
      </c>
      <c r="P15" s="980">
        <v>0.154</v>
      </c>
      <c r="Q15" s="980">
        <v>0.150066401062417</v>
      </c>
      <c r="R15" s="1792">
        <v>0.14087837837837838</v>
      </c>
      <c r="S15" s="481"/>
      <c r="T15" s="485">
        <v>711</v>
      </c>
      <c r="U15" s="485">
        <v>751</v>
      </c>
      <c r="V15" s="485">
        <v>794</v>
      </c>
      <c r="W15" s="485">
        <v>783</v>
      </c>
      <c r="X15" s="485">
        <v>751</v>
      </c>
      <c r="Y15" s="485">
        <v>846</v>
      </c>
      <c r="Z15" s="485">
        <v>807</v>
      </c>
      <c r="AA15" s="485">
        <v>842</v>
      </c>
      <c r="AB15" s="482">
        <v>908</v>
      </c>
      <c r="AC15" s="482">
        <v>921</v>
      </c>
      <c r="AD15" s="483">
        <v>917</v>
      </c>
      <c r="AE15" s="987">
        <v>879</v>
      </c>
      <c r="AF15" s="1373">
        <v>928</v>
      </c>
      <c r="AG15" s="1377">
        <v>904</v>
      </c>
      <c r="AH15" s="1788">
        <v>834</v>
      </c>
    </row>
    <row r="16" spans="1:34" ht="16.5" customHeight="1" x14ac:dyDescent="0.25">
      <c r="A16" s="404" t="s">
        <v>32</v>
      </c>
      <c r="B16" s="405" t="s">
        <v>458</v>
      </c>
      <c r="C16" s="1800" t="s">
        <v>265</v>
      </c>
      <c r="D16" s="479">
        <v>5.2000000000000005E-2</v>
      </c>
      <c r="E16" s="479">
        <v>5.2999999999999999E-2</v>
      </c>
      <c r="F16" s="479">
        <v>5.7999999999999996E-2</v>
      </c>
      <c r="G16" s="479">
        <v>6.3E-2</v>
      </c>
      <c r="H16" s="479">
        <v>0.06</v>
      </c>
      <c r="I16" s="479">
        <v>6.0999999999999999E-2</v>
      </c>
      <c r="J16" s="479">
        <v>0.06</v>
      </c>
      <c r="K16" s="479">
        <v>6.2E-2</v>
      </c>
      <c r="L16" s="479">
        <v>6.4000000000000001E-2</v>
      </c>
      <c r="M16" s="479">
        <v>7.5999999999999998E-2</v>
      </c>
      <c r="N16" s="480">
        <v>6.5000000000000002E-2</v>
      </c>
      <c r="O16" s="980">
        <v>7.4999999999999997E-2</v>
      </c>
      <c r="P16" s="980">
        <v>7.5999999999999998E-2</v>
      </c>
      <c r="Q16" s="980">
        <v>7.4080876725747702E-2</v>
      </c>
      <c r="R16" s="1792">
        <v>7.7610665365020287E-2</v>
      </c>
      <c r="S16" s="481"/>
      <c r="T16" s="482">
        <v>1586</v>
      </c>
      <c r="U16" s="482">
        <v>1615</v>
      </c>
      <c r="V16" s="482">
        <v>1803</v>
      </c>
      <c r="W16" s="482">
        <v>1986</v>
      </c>
      <c r="X16" s="482">
        <v>1900</v>
      </c>
      <c r="Y16" s="482">
        <v>1925</v>
      </c>
      <c r="Z16" s="482">
        <v>1901</v>
      </c>
      <c r="AA16" s="482">
        <v>1949</v>
      </c>
      <c r="AB16" s="482">
        <v>2018</v>
      </c>
      <c r="AC16" s="482">
        <v>2441</v>
      </c>
      <c r="AD16" s="483">
        <v>2131</v>
      </c>
      <c r="AE16" s="987">
        <v>2432</v>
      </c>
      <c r="AF16" s="1373">
        <v>2503</v>
      </c>
      <c r="AG16" s="1377">
        <v>2420</v>
      </c>
      <c r="AH16" s="1788">
        <v>2544</v>
      </c>
    </row>
    <row r="17" spans="1:34" ht="16.5" customHeight="1" x14ac:dyDescent="0.25">
      <c r="A17" s="404" t="s">
        <v>36</v>
      </c>
      <c r="B17" s="405" t="s">
        <v>459</v>
      </c>
      <c r="C17" s="1800" t="s">
        <v>264</v>
      </c>
      <c r="D17" s="479">
        <v>0.16899999999999998</v>
      </c>
      <c r="E17" s="479">
        <v>0.17300000000000001</v>
      </c>
      <c r="F17" s="479">
        <v>0.19500000000000001</v>
      </c>
      <c r="G17" s="479">
        <v>0.18</v>
      </c>
      <c r="H17" s="479">
        <v>0.18100000000000002</v>
      </c>
      <c r="I17" s="479">
        <v>0.20100000000000001</v>
      </c>
      <c r="J17" s="479">
        <v>0.19</v>
      </c>
      <c r="K17" s="479">
        <v>0.21299999999999999</v>
      </c>
      <c r="L17" s="479">
        <v>0.222</v>
      </c>
      <c r="M17" s="479">
        <v>0.22</v>
      </c>
      <c r="N17" s="480">
        <v>0.20499999999999999</v>
      </c>
      <c r="O17" s="980">
        <v>0.25600000000000001</v>
      </c>
      <c r="P17" s="980">
        <v>0.248</v>
      </c>
      <c r="Q17" s="980">
        <v>0.21667792032410532</v>
      </c>
      <c r="R17" s="1792">
        <v>0.21902549033007584</v>
      </c>
      <c r="S17" s="481"/>
      <c r="T17" s="482">
        <v>2619</v>
      </c>
      <c r="U17" s="482">
        <v>2661</v>
      </c>
      <c r="V17" s="482">
        <v>2973</v>
      </c>
      <c r="W17" s="482">
        <v>2737</v>
      </c>
      <c r="X17" s="482">
        <v>2729</v>
      </c>
      <c r="Y17" s="482">
        <v>3001</v>
      </c>
      <c r="Z17" s="482">
        <v>2837</v>
      </c>
      <c r="AA17" s="482">
        <v>3125</v>
      </c>
      <c r="AB17" s="482">
        <v>3234</v>
      </c>
      <c r="AC17" s="482">
        <v>3155</v>
      </c>
      <c r="AD17" s="483">
        <v>3120</v>
      </c>
      <c r="AE17" s="987">
        <v>3840</v>
      </c>
      <c r="AF17" s="1373">
        <v>3688</v>
      </c>
      <c r="AG17" s="1377">
        <v>3209</v>
      </c>
      <c r="AH17" s="1788">
        <v>3205</v>
      </c>
    </row>
    <row r="18" spans="1:34" ht="16.5" customHeight="1" x14ac:dyDescent="0.25">
      <c r="A18" s="404" t="s">
        <v>38</v>
      </c>
      <c r="B18" s="405" t="s">
        <v>460</v>
      </c>
      <c r="C18" s="1800" t="s">
        <v>268</v>
      </c>
      <c r="D18" s="479">
        <v>0.215</v>
      </c>
      <c r="E18" s="479">
        <v>0.20600000000000002</v>
      </c>
      <c r="F18" s="479">
        <v>0.22899999999999998</v>
      </c>
      <c r="G18" s="479">
        <v>0.217</v>
      </c>
      <c r="H18" s="479">
        <v>0.21100000000000002</v>
      </c>
      <c r="I18" s="479">
        <v>0.26600000000000001</v>
      </c>
      <c r="J18" s="479">
        <v>0.22899999999999998</v>
      </c>
      <c r="K18" s="479">
        <v>0.217</v>
      </c>
      <c r="L18" s="479">
        <v>0.23</v>
      </c>
      <c r="M18" s="479">
        <v>0.26500000000000001</v>
      </c>
      <c r="N18" s="480">
        <v>0.248</v>
      </c>
      <c r="O18" s="980">
        <v>0.24299999999999999</v>
      </c>
      <c r="P18" s="980">
        <v>0.23</v>
      </c>
      <c r="Q18" s="980">
        <v>0.2443899174659826</v>
      </c>
      <c r="R18" s="1792">
        <v>0.23180163785259328</v>
      </c>
      <c r="S18" s="481"/>
      <c r="T18" s="482">
        <v>5434</v>
      </c>
      <c r="U18" s="482">
        <v>5116</v>
      </c>
      <c r="V18" s="482">
        <v>5610</v>
      </c>
      <c r="W18" s="482">
        <v>5208</v>
      </c>
      <c r="X18" s="482">
        <v>4990</v>
      </c>
      <c r="Y18" s="482">
        <v>6221</v>
      </c>
      <c r="Z18" s="482">
        <v>5282</v>
      </c>
      <c r="AA18" s="482">
        <v>4913</v>
      </c>
      <c r="AB18" s="482">
        <v>5127</v>
      </c>
      <c r="AC18" s="482">
        <v>5737</v>
      </c>
      <c r="AD18" s="483">
        <v>5676</v>
      </c>
      <c r="AE18" s="987">
        <v>5459</v>
      </c>
      <c r="AF18" s="1373">
        <v>5223</v>
      </c>
      <c r="AG18" s="1377">
        <v>5478</v>
      </c>
      <c r="AH18" s="1788">
        <v>5095</v>
      </c>
    </row>
    <row r="19" spans="1:34" ht="16.5" customHeight="1" x14ac:dyDescent="0.25">
      <c r="A19" s="404" t="s">
        <v>40</v>
      </c>
      <c r="B19" s="405" t="s">
        <v>461</v>
      </c>
      <c r="C19" s="1800" t="s">
        <v>266</v>
      </c>
      <c r="D19" s="479">
        <v>0.16899999999999998</v>
      </c>
      <c r="E19" s="479">
        <v>0.16600000000000001</v>
      </c>
      <c r="F19" s="479">
        <v>0.18</v>
      </c>
      <c r="G19" s="479">
        <v>0.17300000000000001</v>
      </c>
      <c r="H19" s="479">
        <v>0.17300000000000001</v>
      </c>
      <c r="I19" s="479">
        <v>0.20800000000000002</v>
      </c>
      <c r="J19" s="479">
        <v>0.17600000000000002</v>
      </c>
      <c r="K19" s="479">
        <v>0.193</v>
      </c>
      <c r="L19" s="479">
        <v>0.19399999999999998</v>
      </c>
      <c r="M19" s="479">
        <v>0.21600000000000003</v>
      </c>
      <c r="N19" s="480">
        <v>0.20499999999999999</v>
      </c>
      <c r="O19" s="980">
        <v>0.21299999999999999</v>
      </c>
      <c r="P19" s="980">
        <v>0.23</v>
      </c>
      <c r="Q19" s="980">
        <v>0.22771415176478468</v>
      </c>
      <c r="R19" s="1792">
        <v>0.22807728685312795</v>
      </c>
      <c r="S19" s="481"/>
      <c r="T19" s="482">
        <v>2304</v>
      </c>
      <c r="U19" s="482">
        <v>2261</v>
      </c>
      <c r="V19" s="482">
        <v>2471</v>
      </c>
      <c r="W19" s="482">
        <v>2376</v>
      </c>
      <c r="X19" s="482">
        <v>2401</v>
      </c>
      <c r="Y19" s="482">
        <v>2859</v>
      </c>
      <c r="Z19" s="482">
        <v>2429</v>
      </c>
      <c r="AA19" s="482">
        <v>2631</v>
      </c>
      <c r="AB19" s="482">
        <v>2640</v>
      </c>
      <c r="AC19" s="482">
        <v>2964</v>
      </c>
      <c r="AD19" s="483">
        <v>3042</v>
      </c>
      <c r="AE19" s="987">
        <v>3190</v>
      </c>
      <c r="AF19" s="1373">
        <v>3414</v>
      </c>
      <c r="AG19" s="1377">
        <v>3400</v>
      </c>
      <c r="AH19" s="1788">
        <v>3376</v>
      </c>
    </row>
    <row r="20" spans="1:34" ht="16.5" customHeight="1" x14ac:dyDescent="0.25">
      <c r="A20" s="404" t="s">
        <v>42</v>
      </c>
      <c r="B20" s="405" t="s">
        <v>462</v>
      </c>
      <c r="C20" s="1800" t="s">
        <v>265</v>
      </c>
      <c r="D20" s="479">
        <v>9.6000000000000002E-2</v>
      </c>
      <c r="E20" s="479">
        <v>9.6000000000000002E-2</v>
      </c>
      <c r="F20" s="479">
        <v>0.10800000000000001</v>
      </c>
      <c r="G20" s="479">
        <v>0.115</v>
      </c>
      <c r="H20" s="479">
        <v>0.111</v>
      </c>
      <c r="I20" s="479">
        <v>0.11199999999999999</v>
      </c>
      <c r="J20" s="479">
        <v>0.11800000000000001</v>
      </c>
      <c r="K20" s="479">
        <v>0.11599999999999999</v>
      </c>
      <c r="L20" s="479">
        <v>0.121</v>
      </c>
      <c r="M20" s="479">
        <v>0.13100000000000001</v>
      </c>
      <c r="N20" s="480">
        <v>0.14300000000000002</v>
      </c>
      <c r="O20" s="980">
        <v>0.152</v>
      </c>
      <c r="P20" s="980">
        <v>0.14399999999999999</v>
      </c>
      <c r="Q20" s="980">
        <v>0.13262599469496023</v>
      </c>
      <c r="R20" s="1792">
        <v>0.14507609915895248</v>
      </c>
      <c r="S20" s="481"/>
      <c r="T20" s="482">
        <v>4861</v>
      </c>
      <c r="U20" s="482">
        <v>4873</v>
      </c>
      <c r="V20" s="482">
        <v>5502</v>
      </c>
      <c r="W20" s="482">
        <v>5936</v>
      </c>
      <c r="X20" s="482">
        <v>5792</v>
      </c>
      <c r="Y20" s="482">
        <v>5770</v>
      </c>
      <c r="Z20" s="482">
        <v>6152</v>
      </c>
      <c r="AA20" s="482">
        <v>6028</v>
      </c>
      <c r="AB20" s="482">
        <v>6334</v>
      </c>
      <c r="AC20" s="482">
        <v>6859</v>
      </c>
      <c r="AD20" s="483">
        <v>7770</v>
      </c>
      <c r="AE20" s="987">
        <v>8303</v>
      </c>
      <c r="AF20" s="1373">
        <v>7899</v>
      </c>
      <c r="AG20" s="1377">
        <v>7250</v>
      </c>
      <c r="AH20" s="1788">
        <v>7883</v>
      </c>
    </row>
    <row r="21" spans="1:34" ht="16.5" customHeight="1" x14ac:dyDescent="0.25">
      <c r="A21" s="404" t="s">
        <v>44</v>
      </c>
      <c r="B21" s="405" t="s">
        <v>463</v>
      </c>
      <c r="C21" s="1800" t="s">
        <v>266</v>
      </c>
      <c r="D21" s="479">
        <v>0.10400000000000001</v>
      </c>
      <c r="E21" s="479">
        <v>0.1</v>
      </c>
      <c r="F21" s="479">
        <v>0.109</v>
      </c>
      <c r="G21" s="479">
        <v>0.1</v>
      </c>
      <c r="H21" s="479">
        <v>9.5000000000000001E-2</v>
      </c>
      <c r="I21" s="479">
        <v>9.9000000000000005E-2</v>
      </c>
      <c r="J21" s="479">
        <v>9.4E-2</v>
      </c>
      <c r="K21" s="479">
        <v>9.1999999999999998E-2</v>
      </c>
      <c r="L21" s="479">
        <v>9.3000000000000013E-2</v>
      </c>
      <c r="M21" s="479">
        <v>0.105</v>
      </c>
      <c r="N21" s="480">
        <v>0.112</v>
      </c>
      <c r="O21" s="980">
        <v>0.122</v>
      </c>
      <c r="P21" s="980">
        <v>0.121</v>
      </c>
      <c r="Q21" s="980">
        <v>0.14478044016602143</v>
      </c>
      <c r="R21" s="1792">
        <v>0.10994890085393876</v>
      </c>
      <c r="S21" s="481"/>
      <c r="T21" s="482">
        <v>2265</v>
      </c>
      <c r="U21" s="482">
        <v>2197</v>
      </c>
      <c r="V21" s="482">
        <v>2470</v>
      </c>
      <c r="W21" s="482">
        <v>2352</v>
      </c>
      <c r="X21" s="482">
        <v>2396</v>
      </c>
      <c r="Y21" s="482">
        <v>2472</v>
      </c>
      <c r="Z21" s="482">
        <v>2449</v>
      </c>
      <c r="AA21" s="482">
        <v>2446</v>
      </c>
      <c r="AB21" s="482">
        <v>2518</v>
      </c>
      <c r="AC21" s="482">
        <v>2845</v>
      </c>
      <c r="AD21" s="483">
        <v>3150</v>
      </c>
      <c r="AE21" s="987">
        <v>3422</v>
      </c>
      <c r="AF21" s="1373">
        <v>3433</v>
      </c>
      <c r="AG21" s="1377">
        <v>4151</v>
      </c>
      <c r="AH21" s="1788">
        <v>3206</v>
      </c>
    </row>
    <row r="22" spans="1:34" ht="16.5" customHeight="1" x14ac:dyDescent="0.25">
      <c r="A22" s="404" t="s">
        <v>46</v>
      </c>
      <c r="B22" s="405" t="s">
        <v>464</v>
      </c>
      <c r="C22" s="1800" t="s">
        <v>268</v>
      </c>
      <c r="D22" s="479">
        <v>0.12300000000000001</v>
      </c>
      <c r="E22" s="479">
        <v>0.128</v>
      </c>
      <c r="F22" s="479">
        <v>0.13600000000000001</v>
      </c>
      <c r="G22" s="479">
        <v>0.13900000000000001</v>
      </c>
      <c r="H22" s="479">
        <v>0.13300000000000001</v>
      </c>
      <c r="I22" s="479">
        <v>0.16399999999999998</v>
      </c>
      <c r="J22" s="479">
        <v>0.13900000000000001</v>
      </c>
      <c r="K22" s="479">
        <v>0.13900000000000001</v>
      </c>
      <c r="L22" s="479">
        <v>0.157</v>
      </c>
      <c r="M22" s="479">
        <v>0.16899999999999998</v>
      </c>
      <c r="N22" s="480">
        <v>0.17600000000000002</v>
      </c>
      <c r="O22" s="980">
        <v>0.19899999999999998</v>
      </c>
      <c r="P22" s="980">
        <v>0.19600000000000001</v>
      </c>
      <c r="Q22" s="980">
        <v>0.16512121927369591</v>
      </c>
      <c r="R22" s="1792">
        <v>0.1699537540805223</v>
      </c>
      <c r="S22" s="481"/>
      <c r="T22" s="482">
        <v>3612</v>
      </c>
      <c r="U22" s="482">
        <v>3725</v>
      </c>
      <c r="V22" s="482">
        <v>4004</v>
      </c>
      <c r="W22" s="482">
        <v>4090</v>
      </c>
      <c r="X22" s="482">
        <v>3931</v>
      </c>
      <c r="Y22" s="482">
        <v>4720</v>
      </c>
      <c r="Z22" s="482">
        <v>4070</v>
      </c>
      <c r="AA22" s="482">
        <v>4033</v>
      </c>
      <c r="AB22" s="482">
        <v>4549</v>
      </c>
      <c r="AC22" s="482">
        <v>4886</v>
      </c>
      <c r="AD22" s="483">
        <v>5248</v>
      </c>
      <c r="AE22" s="987">
        <v>5929</v>
      </c>
      <c r="AF22" s="1373">
        <v>5794</v>
      </c>
      <c r="AG22" s="1377">
        <v>4897</v>
      </c>
      <c r="AH22" s="1788">
        <v>4998</v>
      </c>
    </row>
    <row r="23" spans="1:34" ht="16.5" customHeight="1" x14ac:dyDescent="0.25">
      <c r="A23" s="404" t="s">
        <v>48</v>
      </c>
      <c r="B23" s="405" t="s">
        <v>465</v>
      </c>
      <c r="C23" s="1800" t="s">
        <v>266</v>
      </c>
      <c r="D23" s="479">
        <v>9.5000000000000001E-2</v>
      </c>
      <c r="E23" s="479">
        <v>8.5999999999999993E-2</v>
      </c>
      <c r="F23" s="479">
        <v>9.6000000000000002E-2</v>
      </c>
      <c r="G23" s="479">
        <v>0.10400000000000001</v>
      </c>
      <c r="H23" s="479">
        <v>9.9000000000000005E-2</v>
      </c>
      <c r="I23" s="479">
        <v>0.109</v>
      </c>
      <c r="J23" s="479">
        <v>0.105</v>
      </c>
      <c r="K23" s="479">
        <v>0.106</v>
      </c>
      <c r="L23" s="479">
        <v>0.11199999999999999</v>
      </c>
      <c r="M23" s="479">
        <v>0.10199999999999999</v>
      </c>
      <c r="N23" s="480">
        <v>0.11900000000000001</v>
      </c>
      <c r="O23" s="980">
        <v>0.11699999999999999</v>
      </c>
      <c r="P23" s="980">
        <v>0.13300000000000001</v>
      </c>
      <c r="Q23" s="980">
        <v>0.12169386606640405</v>
      </c>
      <c r="R23" s="1792">
        <v>0.13121073672187322</v>
      </c>
      <c r="S23" s="481"/>
      <c r="T23" s="485">
        <v>672</v>
      </c>
      <c r="U23" s="485">
        <v>611</v>
      </c>
      <c r="V23" s="485">
        <v>686</v>
      </c>
      <c r="W23" s="485">
        <v>744</v>
      </c>
      <c r="X23" s="485">
        <v>712</v>
      </c>
      <c r="Y23" s="485">
        <v>772</v>
      </c>
      <c r="Z23" s="485">
        <v>753</v>
      </c>
      <c r="AA23" s="485">
        <v>755</v>
      </c>
      <c r="AB23" s="482">
        <v>809</v>
      </c>
      <c r="AC23" s="482">
        <v>735</v>
      </c>
      <c r="AD23" s="483">
        <v>864</v>
      </c>
      <c r="AE23" s="987">
        <v>843</v>
      </c>
      <c r="AF23" s="1373">
        <v>946</v>
      </c>
      <c r="AG23" s="1377">
        <v>865</v>
      </c>
      <c r="AH23" s="1788">
        <v>919</v>
      </c>
    </row>
    <row r="24" spans="1:34" ht="16.5" customHeight="1" x14ac:dyDescent="0.25">
      <c r="A24" s="404" t="s">
        <v>50</v>
      </c>
      <c r="B24" s="405" t="s">
        <v>466</v>
      </c>
      <c r="C24" s="1800" t="s">
        <v>265</v>
      </c>
      <c r="D24" s="479">
        <v>0.14699999999999999</v>
      </c>
      <c r="E24" s="479">
        <v>0.14400000000000002</v>
      </c>
      <c r="F24" s="479">
        <v>0.157</v>
      </c>
      <c r="G24" s="479">
        <v>0.161</v>
      </c>
      <c r="H24" s="479">
        <v>0.152</v>
      </c>
      <c r="I24" s="479">
        <v>0.17399999999999999</v>
      </c>
      <c r="J24" s="479">
        <v>0.17300000000000001</v>
      </c>
      <c r="K24" s="479">
        <v>0.18100000000000002</v>
      </c>
      <c r="L24" s="479">
        <v>0.17199999999999999</v>
      </c>
      <c r="M24" s="479">
        <v>0.18899999999999997</v>
      </c>
      <c r="N24" s="480">
        <v>0.18600000000000003</v>
      </c>
      <c r="O24" s="980">
        <v>0.20899999999999999</v>
      </c>
      <c r="P24" s="980">
        <v>0.185</v>
      </c>
      <c r="Q24" s="980">
        <v>0.19663199603764239</v>
      </c>
      <c r="R24" s="1792">
        <v>0.20732618988288065</v>
      </c>
      <c r="S24" s="481"/>
      <c r="T24" s="482">
        <v>1779</v>
      </c>
      <c r="U24" s="482">
        <v>1781</v>
      </c>
      <c r="V24" s="482">
        <v>1935</v>
      </c>
      <c r="W24" s="482">
        <v>1974</v>
      </c>
      <c r="X24" s="482">
        <v>1871</v>
      </c>
      <c r="Y24" s="482">
        <v>2097</v>
      </c>
      <c r="Z24" s="482">
        <v>2118</v>
      </c>
      <c r="AA24" s="482">
        <v>2187</v>
      </c>
      <c r="AB24" s="482">
        <v>2071</v>
      </c>
      <c r="AC24" s="482">
        <v>2237</v>
      </c>
      <c r="AD24" s="483">
        <v>2309</v>
      </c>
      <c r="AE24" s="987">
        <v>2572</v>
      </c>
      <c r="AF24" s="1373">
        <v>2262</v>
      </c>
      <c r="AG24" s="1377">
        <v>2382</v>
      </c>
      <c r="AH24" s="1788">
        <v>2496</v>
      </c>
    </row>
    <row r="25" spans="1:34" ht="16.5" customHeight="1" x14ac:dyDescent="0.25">
      <c r="A25" s="404" t="s">
        <v>56</v>
      </c>
      <c r="B25" s="405" t="s">
        <v>751</v>
      </c>
      <c r="C25" s="1800" t="s">
        <v>266</v>
      </c>
      <c r="D25" s="479">
        <v>4.8799999999999996E-2</v>
      </c>
      <c r="E25" s="479">
        <v>5.0799999999999998E-2</v>
      </c>
      <c r="F25" s="479">
        <v>5.9500000000000004E-2</v>
      </c>
      <c r="G25" s="479">
        <v>6.7400000000000002E-2</v>
      </c>
      <c r="H25" s="479">
        <v>6.5500000000000003E-2</v>
      </c>
      <c r="I25" s="479">
        <v>6.4500000000000002E-2</v>
      </c>
      <c r="J25" s="479">
        <v>5.5999999999999994E-2</v>
      </c>
      <c r="K25" s="479">
        <v>5.8899999999999994E-2</v>
      </c>
      <c r="L25" s="479">
        <v>5.8799999999999998E-2</v>
      </c>
      <c r="M25" s="479">
        <v>6.2300000000000001E-2</v>
      </c>
      <c r="N25" s="480">
        <v>7.0308637779240374E-2</v>
      </c>
      <c r="O25" s="980">
        <v>7.3295784531991093E-2</v>
      </c>
      <c r="P25" s="980">
        <v>7.4999999999999997E-2</v>
      </c>
      <c r="Q25" s="980">
        <v>8.1271283302108005E-2</v>
      </c>
      <c r="R25" s="1792">
        <v>8.4319663951356497E-2</v>
      </c>
      <c r="S25" s="481"/>
      <c r="T25" s="482">
        <v>13693</v>
      </c>
      <c r="U25" s="482">
        <v>14416</v>
      </c>
      <c r="V25" s="482">
        <v>17303</v>
      </c>
      <c r="W25" s="482">
        <v>19974</v>
      </c>
      <c r="X25" s="482">
        <v>20050</v>
      </c>
      <c r="Y25" s="482">
        <v>19397</v>
      </c>
      <c r="Z25" s="482">
        <v>17221</v>
      </c>
      <c r="AA25" s="482">
        <v>18421</v>
      </c>
      <c r="AB25" s="482">
        <v>18608</v>
      </c>
      <c r="AC25" s="482">
        <v>19992</v>
      </c>
      <c r="AD25" s="483">
        <v>23091</v>
      </c>
      <c r="AE25" s="987">
        <v>24231</v>
      </c>
      <c r="AF25" s="1373">
        <v>25129</v>
      </c>
      <c r="AG25" s="1377">
        <v>27589</v>
      </c>
      <c r="AH25" s="1788">
        <v>29066</v>
      </c>
    </row>
    <row r="26" spans="1:34" ht="16.5" customHeight="1" x14ac:dyDescent="0.25">
      <c r="A26" s="404" t="s">
        <v>58</v>
      </c>
      <c r="B26" s="405" t="s">
        <v>467</v>
      </c>
      <c r="C26" s="1800" t="s">
        <v>267</v>
      </c>
      <c r="D26" s="479">
        <v>6.5000000000000002E-2</v>
      </c>
      <c r="E26" s="479">
        <v>6.4000000000000001E-2</v>
      </c>
      <c r="F26" s="479">
        <v>6.7000000000000004E-2</v>
      </c>
      <c r="G26" s="479">
        <v>6.7000000000000004E-2</v>
      </c>
      <c r="H26" s="479">
        <v>6.0999999999999999E-2</v>
      </c>
      <c r="I26" s="479">
        <v>6.6000000000000003E-2</v>
      </c>
      <c r="J26" s="479">
        <v>6.4000000000000001E-2</v>
      </c>
      <c r="K26" s="479">
        <v>6.3E-2</v>
      </c>
      <c r="L26" s="479">
        <v>7.5999999999999998E-2</v>
      </c>
      <c r="M26" s="479">
        <v>7.5999999999999998E-2</v>
      </c>
      <c r="N26" s="480">
        <v>8.3000000000000004E-2</v>
      </c>
      <c r="O26" s="980">
        <v>8.199999999999999E-2</v>
      </c>
      <c r="P26" s="980">
        <v>8.5999999999999993E-2</v>
      </c>
      <c r="Q26" s="980">
        <v>7.9048295454545461E-2</v>
      </c>
      <c r="R26" s="1792">
        <v>8.2114338209313825E-2</v>
      </c>
      <c r="S26" s="481"/>
      <c r="T26" s="485">
        <v>831</v>
      </c>
      <c r="U26" s="485">
        <v>833</v>
      </c>
      <c r="V26" s="485">
        <v>878</v>
      </c>
      <c r="W26" s="485">
        <v>914</v>
      </c>
      <c r="X26" s="485">
        <v>857</v>
      </c>
      <c r="Y26" s="485">
        <v>917</v>
      </c>
      <c r="Z26" s="485">
        <v>917</v>
      </c>
      <c r="AA26" s="485">
        <v>892</v>
      </c>
      <c r="AB26" s="482">
        <v>1085</v>
      </c>
      <c r="AC26" s="482">
        <v>1091</v>
      </c>
      <c r="AD26" s="483">
        <v>1147</v>
      </c>
      <c r="AE26" s="987">
        <v>1145</v>
      </c>
      <c r="AF26" s="1373">
        <v>1207</v>
      </c>
      <c r="AG26" s="1377">
        <v>1113</v>
      </c>
      <c r="AH26" s="1788">
        <v>1162</v>
      </c>
    </row>
    <row r="27" spans="1:34" ht="16.5" customHeight="1" x14ac:dyDescent="0.25">
      <c r="A27" s="404" t="s">
        <v>60</v>
      </c>
      <c r="B27" s="405" t="s">
        <v>468</v>
      </c>
      <c r="C27" s="1800" t="s">
        <v>265</v>
      </c>
      <c r="D27" s="479">
        <v>8.4000000000000005E-2</v>
      </c>
      <c r="E27" s="479">
        <v>0.08</v>
      </c>
      <c r="F27" s="479">
        <v>8.8000000000000009E-2</v>
      </c>
      <c r="G27" s="479">
        <v>9.6000000000000002E-2</v>
      </c>
      <c r="H27" s="479">
        <v>9.0999999999999998E-2</v>
      </c>
      <c r="I27" s="479">
        <v>0.10400000000000001</v>
      </c>
      <c r="J27" s="479">
        <v>0.106</v>
      </c>
      <c r="K27" s="479">
        <v>0.10300000000000001</v>
      </c>
      <c r="L27" s="479">
        <v>0.11199999999999999</v>
      </c>
      <c r="M27" s="479">
        <v>9.8000000000000004E-2</v>
      </c>
      <c r="N27" s="480">
        <v>0.11599999999999999</v>
      </c>
      <c r="O27" s="980">
        <v>0.122</v>
      </c>
      <c r="P27" s="980">
        <v>0.13500000000000001</v>
      </c>
      <c r="Q27" s="980">
        <v>0.12883317261330762</v>
      </c>
      <c r="R27" s="1792">
        <v>0.12358472462099405</v>
      </c>
      <c r="S27" s="481"/>
      <c r="T27" s="485">
        <v>428</v>
      </c>
      <c r="U27" s="485">
        <v>407</v>
      </c>
      <c r="V27" s="485">
        <v>457</v>
      </c>
      <c r="W27" s="485">
        <v>493</v>
      </c>
      <c r="X27" s="485">
        <v>471</v>
      </c>
      <c r="Y27" s="485">
        <v>531</v>
      </c>
      <c r="Z27" s="485">
        <v>544</v>
      </c>
      <c r="AA27" s="485">
        <v>528</v>
      </c>
      <c r="AB27" s="482">
        <v>565</v>
      </c>
      <c r="AC27" s="482">
        <v>486</v>
      </c>
      <c r="AD27" s="483">
        <v>599</v>
      </c>
      <c r="AE27" s="987">
        <v>619</v>
      </c>
      <c r="AF27" s="1373">
        <v>699</v>
      </c>
      <c r="AG27" s="1377">
        <v>668</v>
      </c>
      <c r="AH27" s="1788">
        <v>644</v>
      </c>
    </row>
    <row r="28" spans="1:34" ht="16.5" customHeight="1" x14ac:dyDescent="0.25">
      <c r="A28" s="404" t="s">
        <v>62</v>
      </c>
      <c r="B28" s="405" t="s">
        <v>469</v>
      </c>
      <c r="C28" s="1800" t="s">
        <v>267</v>
      </c>
      <c r="D28" s="479">
        <v>0.09</v>
      </c>
      <c r="E28" s="479">
        <v>8.5999999999999993E-2</v>
      </c>
      <c r="F28" s="479">
        <v>8.8000000000000009E-2</v>
      </c>
      <c r="G28" s="479">
        <v>9.1999999999999998E-2</v>
      </c>
      <c r="H28" s="479">
        <v>8.8000000000000009E-2</v>
      </c>
      <c r="I28" s="479">
        <v>9.0999999999999998E-2</v>
      </c>
      <c r="J28" s="479">
        <v>8.4000000000000005E-2</v>
      </c>
      <c r="K28" s="479">
        <v>8.3000000000000004E-2</v>
      </c>
      <c r="L28" s="479">
        <v>8.1000000000000003E-2</v>
      </c>
      <c r="M28" s="479">
        <v>9.6000000000000002E-2</v>
      </c>
      <c r="N28" s="480">
        <v>0.105</v>
      </c>
      <c r="O28" s="980">
        <v>0.11699999999999999</v>
      </c>
      <c r="P28" s="980">
        <v>0.109</v>
      </c>
      <c r="Q28" s="980">
        <v>0.10147036791301928</v>
      </c>
      <c r="R28" s="1792">
        <v>0.10986674525819422</v>
      </c>
      <c r="S28" s="481"/>
      <c r="T28" s="482">
        <v>3050</v>
      </c>
      <c r="U28" s="482">
        <v>3019</v>
      </c>
      <c r="V28" s="482">
        <v>3271</v>
      </c>
      <c r="W28" s="482">
        <v>3571</v>
      </c>
      <c r="X28" s="482">
        <v>3613</v>
      </c>
      <c r="Y28" s="482">
        <v>3722</v>
      </c>
      <c r="Z28" s="482">
        <v>3620</v>
      </c>
      <c r="AA28" s="482">
        <v>3621</v>
      </c>
      <c r="AB28" s="482">
        <v>3612</v>
      </c>
      <c r="AC28" s="482">
        <v>4296</v>
      </c>
      <c r="AD28" s="483">
        <v>4720</v>
      </c>
      <c r="AE28" s="987">
        <v>5335</v>
      </c>
      <c r="AF28" s="1373">
        <v>5034</v>
      </c>
      <c r="AG28" s="1377">
        <v>4741</v>
      </c>
      <c r="AH28" s="1788">
        <v>5219</v>
      </c>
    </row>
    <row r="29" spans="1:34" ht="16.5" customHeight="1" x14ac:dyDescent="0.25">
      <c r="A29" s="404" t="s">
        <v>64</v>
      </c>
      <c r="B29" s="405" t="s">
        <v>470</v>
      </c>
      <c r="C29" s="1800" t="s">
        <v>266</v>
      </c>
      <c r="D29" s="479">
        <v>0.13500000000000001</v>
      </c>
      <c r="E29" s="479">
        <v>0.13100000000000001</v>
      </c>
      <c r="F29" s="479">
        <v>0.13699999999999998</v>
      </c>
      <c r="G29" s="479">
        <v>0.14099999999999999</v>
      </c>
      <c r="H29" s="479">
        <v>0.13900000000000001</v>
      </c>
      <c r="I29" s="479">
        <v>0.161</v>
      </c>
      <c r="J29" s="479">
        <v>0.15</v>
      </c>
      <c r="K29" s="479">
        <v>0.14899999999999999</v>
      </c>
      <c r="L29" s="479">
        <v>0.158</v>
      </c>
      <c r="M29" s="479">
        <v>0.155</v>
      </c>
      <c r="N29" s="480">
        <v>0.17199999999999999</v>
      </c>
      <c r="O29" s="980">
        <v>0.17899999999999999</v>
      </c>
      <c r="P29" s="980">
        <v>0.17299999999999999</v>
      </c>
      <c r="Q29" s="980">
        <v>0.18230918169774787</v>
      </c>
      <c r="R29" s="1792">
        <v>0.1898592124056315</v>
      </c>
      <c r="S29" s="481"/>
      <c r="T29" s="482">
        <v>1205</v>
      </c>
      <c r="U29" s="482">
        <v>1185</v>
      </c>
      <c r="V29" s="482">
        <v>1261</v>
      </c>
      <c r="W29" s="482">
        <v>1301</v>
      </c>
      <c r="X29" s="482">
        <v>1306</v>
      </c>
      <c r="Y29" s="482">
        <v>1502</v>
      </c>
      <c r="Z29" s="482">
        <v>1411</v>
      </c>
      <c r="AA29" s="482">
        <v>1432</v>
      </c>
      <c r="AB29" s="482">
        <v>1520</v>
      </c>
      <c r="AC29" s="482">
        <v>1503</v>
      </c>
      <c r="AD29" s="483">
        <v>1721</v>
      </c>
      <c r="AE29" s="987">
        <v>1782</v>
      </c>
      <c r="AF29" s="1373">
        <v>1695</v>
      </c>
      <c r="AG29" s="1377">
        <v>1789</v>
      </c>
      <c r="AH29" s="1788">
        <v>1861</v>
      </c>
    </row>
    <row r="30" spans="1:34" ht="16.5" customHeight="1" x14ac:dyDescent="0.25">
      <c r="A30" s="404" t="s">
        <v>68</v>
      </c>
      <c r="B30" s="405" t="s">
        <v>471</v>
      </c>
      <c r="C30" s="1800" t="s">
        <v>268</v>
      </c>
      <c r="D30" s="479">
        <v>0.193</v>
      </c>
      <c r="E30" s="479">
        <v>0.183</v>
      </c>
      <c r="F30" s="479">
        <v>0.18899999999999997</v>
      </c>
      <c r="G30" s="479">
        <v>0.185</v>
      </c>
      <c r="H30" s="479">
        <v>0.183</v>
      </c>
      <c r="I30" s="479">
        <v>0.22800000000000001</v>
      </c>
      <c r="J30" s="479">
        <v>0.192</v>
      </c>
      <c r="K30" s="479">
        <v>0.21299999999999999</v>
      </c>
      <c r="L30" s="479">
        <v>0.218</v>
      </c>
      <c r="M30" s="479">
        <v>0.20499999999999999</v>
      </c>
      <c r="N30" s="480">
        <v>0.22999999999999998</v>
      </c>
      <c r="O30" s="980">
        <v>0.218</v>
      </c>
      <c r="P30" s="980">
        <v>0.21299999999999999</v>
      </c>
      <c r="Q30" s="980">
        <v>0.21787783920602144</v>
      </c>
      <c r="R30" s="1792">
        <v>0.21326056195674145</v>
      </c>
      <c r="S30" s="481"/>
      <c r="T30" s="482">
        <v>3126</v>
      </c>
      <c r="U30" s="482">
        <v>2945</v>
      </c>
      <c r="V30" s="482">
        <v>3038</v>
      </c>
      <c r="W30" s="482">
        <v>2988</v>
      </c>
      <c r="X30" s="482">
        <v>2972</v>
      </c>
      <c r="Y30" s="482">
        <v>3664</v>
      </c>
      <c r="Z30" s="482">
        <v>3078</v>
      </c>
      <c r="AA30" s="482">
        <v>3382</v>
      </c>
      <c r="AB30" s="482">
        <v>3508</v>
      </c>
      <c r="AC30" s="482">
        <v>3240</v>
      </c>
      <c r="AD30" s="483">
        <v>3567</v>
      </c>
      <c r="AE30" s="987">
        <v>3357</v>
      </c>
      <c r="AF30" s="1373">
        <v>3243</v>
      </c>
      <c r="AG30" s="1377">
        <v>3271</v>
      </c>
      <c r="AH30" s="1788">
        <v>3165</v>
      </c>
    </row>
    <row r="31" spans="1:34" ht="16.5" customHeight="1" x14ac:dyDescent="0.25">
      <c r="A31" s="404" t="s">
        <v>70</v>
      </c>
      <c r="B31" s="405" t="s">
        <v>472</v>
      </c>
      <c r="C31" s="1800" t="s">
        <v>264</v>
      </c>
      <c r="D31" s="479">
        <v>9.4E-2</v>
      </c>
      <c r="E31" s="479">
        <v>8.8000000000000009E-2</v>
      </c>
      <c r="F31" s="479">
        <v>9.1999999999999998E-2</v>
      </c>
      <c r="G31" s="479">
        <v>0.10400000000000001</v>
      </c>
      <c r="H31" s="479">
        <v>0.10099999999999999</v>
      </c>
      <c r="I31" s="479">
        <v>0.10199999999999999</v>
      </c>
      <c r="J31" s="479">
        <v>0.111</v>
      </c>
      <c r="K31" s="479">
        <v>0.11</v>
      </c>
      <c r="L31" s="479">
        <v>0.113</v>
      </c>
      <c r="M31" s="479">
        <v>0.11199999999999999</v>
      </c>
      <c r="N31" s="480">
        <v>0.11900000000000001</v>
      </c>
      <c r="O31" s="980">
        <v>0.13300000000000001</v>
      </c>
      <c r="P31" s="980">
        <v>0.13100000000000001</v>
      </c>
      <c r="Q31" s="980">
        <v>0.1451978640918733</v>
      </c>
      <c r="R31" s="1792">
        <v>0.12132743039039919</v>
      </c>
      <c r="S31" s="481"/>
      <c r="T31" s="482">
        <v>2223</v>
      </c>
      <c r="U31" s="482">
        <v>2095</v>
      </c>
      <c r="V31" s="482">
        <v>2229</v>
      </c>
      <c r="W31" s="482">
        <v>2547</v>
      </c>
      <c r="X31" s="482">
        <v>2508</v>
      </c>
      <c r="Y31" s="482">
        <v>2499</v>
      </c>
      <c r="Z31" s="482">
        <v>2768</v>
      </c>
      <c r="AA31" s="482">
        <v>2748</v>
      </c>
      <c r="AB31" s="482">
        <v>2850</v>
      </c>
      <c r="AC31" s="482">
        <v>2839</v>
      </c>
      <c r="AD31" s="483">
        <v>3249</v>
      </c>
      <c r="AE31" s="987">
        <v>3625</v>
      </c>
      <c r="AF31" s="1373">
        <v>3596</v>
      </c>
      <c r="AG31" s="1377">
        <v>3970</v>
      </c>
      <c r="AH31" s="1788">
        <v>3316</v>
      </c>
    </row>
    <row r="32" spans="1:34" ht="16.5" customHeight="1" x14ac:dyDescent="0.25">
      <c r="A32" s="404" t="s">
        <v>72</v>
      </c>
      <c r="B32" s="405" t="s">
        <v>473</v>
      </c>
      <c r="C32" s="1800" t="s">
        <v>266</v>
      </c>
      <c r="D32" s="479">
        <v>0.122</v>
      </c>
      <c r="E32" s="479">
        <v>0.113</v>
      </c>
      <c r="F32" s="479">
        <v>0.124</v>
      </c>
      <c r="G32" s="479">
        <v>0.126</v>
      </c>
      <c r="H32" s="479">
        <v>0.11699999999999999</v>
      </c>
      <c r="I32" s="479">
        <v>0.126</v>
      </c>
      <c r="J32" s="479">
        <v>0.124</v>
      </c>
      <c r="K32" s="479">
        <v>0.121</v>
      </c>
      <c r="L32" s="479">
        <v>0.13</v>
      </c>
      <c r="M32" s="479">
        <v>0.13300000000000001</v>
      </c>
      <c r="N32" s="480">
        <v>0.14099999999999999</v>
      </c>
      <c r="O32" s="980">
        <v>0.14899999999999999</v>
      </c>
      <c r="P32" s="980">
        <v>0.157</v>
      </c>
      <c r="Q32" s="980">
        <v>0.15535295179635314</v>
      </c>
      <c r="R32" s="1792">
        <v>0.14509947070633328</v>
      </c>
      <c r="S32" s="481"/>
      <c r="T32" s="482">
        <v>1195</v>
      </c>
      <c r="U32" s="482">
        <v>1121</v>
      </c>
      <c r="V32" s="482">
        <v>1264</v>
      </c>
      <c r="W32" s="482">
        <v>1286</v>
      </c>
      <c r="X32" s="482">
        <v>1211</v>
      </c>
      <c r="Y32" s="482">
        <v>1291</v>
      </c>
      <c r="Z32" s="482">
        <v>1294</v>
      </c>
      <c r="AA32" s="482">
        <v>1295</v>
      </c>
      <c r="AB32" s="482">
        <v>1412</v>
      </c>
      <c r="AC32" s="482">
        <v>1459</v>
      </c>
      <c r="AD32" s="483">
        <v>1553</v>
      </c>
      <c r="AE32" s="987">
        <v>1646</v>
      </c>
      <c r="AF32" s="1373">
        <v>1741</v>
      </c>
      <c r="AG32" s="1377">
        <v>1721</v>
      </c>
      <c r="AH32" s="1788">
        <v>1590</v>
      </c>
    </row>
    <row r="33" spans="1:34" ht="16.5" customHeight="1" x14ac:dyDescent="0.25">
      <c r="A33" s="404" t="s">
        <v>74</v>
      </c>
      <c r="B33" s="405" t="s">
        <v>609</v>
      </c>
      <c r="C33" s="1800" t="s">
        <v>267</v>
      </c>
      <c r="D33" s="479">
        <v>4.0999999999999995E-2</v>
      </c>
      <c r="E33" s="479">
        <v>4.3899999999999995E-2</v>
      </c>
      <c r="F33" s="479">
        <v>0.05</v>
      </c>
      <c r="G33" s="479">
        <v>5.7599999999999998E-2</v>
      </c>
      <c r="H33" s="479">
        <v>5.2699999999999997E-2</v>
      </c>
      <c r="I33" s="479">
        <v>5.0799999999999998E-2</v>
      </c>
      <c r="J33" s="479">
        <v>5.1799999999999999E-2</v>
      </c>
      <c r="K33" s="479">
        <v>4.8899999999999999E-2</v>
      </c>
      <c r="L33" s="479">
        <v>4.8899999999999999E-2</v>
      </c>
      <c r="M33" s="479">
        <v>5.5999999999999994E-2</v>
      </c>
      <c r="N33" s="480">
        <v>5.8925506050903943E-2</v>
      </c>
      <c r="O33" s="980">
        <v>6.7652399342249744E-2</v>
      </c>
      <c r="P33" s="980">
        <v>0.06</v>
      </c>
      <c r="Q33" s="980">
        <v>5.96407525392708E-2</v>
      </c>
      <c r="R33" s="1792">
        <v>6.6558716423477798E-2</v>
      </c>
      <c r="S33" s="481"/>
      <c r="T33" s="482">
        <v>42235</v>
      </c>
      <c r="U33" s="482">
        <v>44521</v>
      </c>
      <c r="V33" s="482">
        <v>51470</v>
      </c>
      <c r="W33" s="482">
        <v>59756</v>
      </c>
      <c r="X33" s="482">
        <v>54921</v>
      </c>
      <c r="Y33" s="482">
        <v>52050</v>
      </c>
      <c r="Z33" s="482">
        <v>53870</v>
      </c>
      <c r="AA33" s="482">
        <v>50909</v>
      </c>
      <c r="AB33" s="482">
        <v>50622</v>
      </c>
      <c r="AC33" s="482">
        <v>59537</v>
      </c>
      <c r="AD33" s="483">
        <v>65890</v>
      </c>
      <c r="AE33" s="987">
        <v>75783</v>
      </c>
      <c r="AF33" s="1373">
        <v>68906</v>
      </c>
      <c r="AG33" s="1377">
        <v>68953</v>
      </c>
      <c r="AH33" s="1788">
        <v>77441</v>
      </c>
    </row>
    <row r="34" spans="1:34" ht="16.5" customHeight="1" x14ac:dyDescent="0.25">
      <c r="A34" s="404" t="s">
        <v>76</v>
      </c>
      <c r="B34" s="405" t="s">
        <v>474</v>
      </c>
      <c r="C34" s="1800" t="s">
        <v>267</v>
      </c>
      <c r="D34" s="479">
        <v>5.4000000000000006E-2</v>
      </c>
      <c r="E34" s="479">
        <v>0.05</v>
      </c>
      <c r="F34" s="479">
        <v>5.2999999999999999E-2</v>
      </c>
      <c r="G34" s="479">
        <v>5.7999999999999996E-2</v>
      </c>
      <c r="H34" s="479">
        <v>5.7999999999999996E-2</v>
      </c>
      <c r="I34" s="479">
        <v>5.2000000000000005E-2</v>
      </c>
      <c r="J34" s="479">
        <v>5.2999999999999999E-2</v>
      </c>
      <c r="K34" s="479">
        <v>5.7000000000000002E-2</v>
      </c>
      <c r="L34" s="479">
        <v>6.0999999999999999E-2</v>
      </c>
      <c r="M34" s="479">
        <v>5.9000000000000004E-2</v>
      </c>
      <c r="N34" s="480">
        <v>7.4999999999999997E-2</v>
      </c>
      <c r="O34" s="980">
        <v>6.3E-2</v>
      </c>
      <c r="P34" s="980">
        <v>6.9000000000000006E-2</v>
      </c>
      <c r="Q34" s="980">
        <v>7.0431624444711252E-2</v>
      </c>
      <c r="R34" s="1792">
        <v>7.3564169227133061E-2</v>
      </c>
      <c r="S34" s="481"/>
      <c r="T34" s="482">
        <v>3072</v>
      </c>
      <c r="U34" s="482">
        <v>2928</v>
      </c>
      <c r="V34" s="482">
        <v>3249</v>
      </c>
      <c r="W34" s="482">
        <v>3642</v>
      </c>
      <c r="X34" s="482">
        <v>3741</v>
      </c>
      <c r="Y34" s="482">
        <v>3360</v>
      </c>
      <c r="Z34" s="482">
        <v>3484</v>
      </c>
      <c r="AA34" s="482">
        <v>3736</v>
      </c>
      <c r="AB34" s="482">
        <v>4048</v>
      </c>
      <c r="AC34" s="482">
        <v>4003</v>
      </c>
      <c r="AD34" s="483">
        <v>4839</v>
      </c>
      <c r="AE34" s="987">
        <v>4148</v>
      </c>
      <c r="AF34" s="1373">
        <v>4523</v>
      </c>
      <c r="AG34" s="1377">
        <v>4693</v>
      </c>
      <c r="AH34" s="1788">
        <v>4980</v>
      </c>
    </row>
    <row r="35" spans="1:34" ht="16.5" customHeight="1" x14ac:dyDescent="0.25">
      <c r="A35" s="404" t="s">
        <v>78</v>
      </c>
      <c r="B35" s="405" t="s">
        <v>475</v>
      </c>
      <c r="C35" s="1800" t="s">
        <v>268</v>
      </c>
      <c r="D35" s="479">
        <v>0.106</v>
      </c>
      <c r="E35" s="479">
        <v>0.105</v>
      </c>
      <c r="F35" s="479">
        <v>0.111</v>
      </c>
      <c r="G35" s="479">
        <v>0.114</v>
      </c>
      <c r="H35" s="479">
        <v>0.109</v>
      </c>
      <c r="I35" s="479">
        <v>0.12300000000000001</v>
      </c>
      <c r="J35" s="479">
        <v>0.13400000000000001</v>
      </c>
      <c r="K35" s="479">
        <v>0.129</v>
      </c>
      <c r="L35" s="479">
        <v>0.11900000000000001</v>
      </c>
      <c r="M35" s="479">
        <v>0.15</v>
      </c>
      <c r="N35" s="480">
        <v>0.13599999999999998</v>
      </c>
      <c r="O35" s="980">
        <v>0.13500000000000001</v>
      </c>
      <c r="P35" s="980">
        <v>0.14099999999999999</v>
      </c>
      <c r="Q35" s="980">
        <v>0.14217055270507242</v>
      </c>
      <c r="R35" s="1792">
        <v>0.14094350611531742</v>
      </c>
      <c r="S35" s="481"/>
      <c r="T35" s="482">
        <v>1491</v>
      </c>
      <c r="U35" s="482">
        <v>1499</v>
      </c>
      <c r="V35" s="482">
        <v>1593</v>
      </c>
      <c r="W35" s="482">
        <v>1649</v>
      </c>
      <c r="X35" s="482">
        <v>1598</v>
      </c>
      <c r="Y35" s="482">
        <v>1788</v>
      </c>
      <c r="Z35" s="482">
        <v>1975</v>
      </c>
      <c r="AA35" s="482">
        <v>1883</v>
      </c>
      <c r="AB35" s="482">
        <v>1751</v>
      </c>
      <c r="AC35" s="482">
        <v>2236</v>
      </c>
      <c r="AD35" s="483">
        <v>2066</v>
      </c>
      <c r="AE35" s="987">
        <v>2056</v>
      </c>
      <c r="AF35" s="1373">
        <v>2156</v>
      </c>
      <c r="AG35" s="1377">
        <v>2189</v>
      </c>
      <c r="AH35" s="1788">
        <v>2178</v>
      </c>
    </row>
    <row r="36" spans="1:34" ht="16.5" customHeight="1" x14ac:dyDescent="0.25">
      <c r="A36" s="404" t="s">
        <v>80</v>
      </c>
      <c r="B36" s="405" t="s">
        <v>476</v>
      </c>
      <c r="C36" s="1800" t="s">
        <v>266</v>
      </c>
      <c r="D36" s="479">
        <v>6.5000000000000002E-2</v>
      </c>
      <c r="E36" s="479">
        <v>6.0999999999999999E-2</v>
      </c>
      <c r="F36" s="479">
        <v>6.8000000000000005E-2</v>
      </c>
      <c r="G36" s="479">
        <v>6.6000000000000003E-2</v>
      </c>
      <c r="H36" s="479">
        <v>6.2E-2</v>
      </c>
      <c r="I36" s="479">
        <v>7.8E-2</v>
      </c>
      <c r="J36" s="479">
        <v>6.7000000000000004E-2</v>
      </c>
      <c r="K36" s="479">
        <v>7.0000000000000007E-2</v>
      </c>
      <c r="L36" s="479">
        <v>6.7000000000000004E-2</v>
      </c>
      <c r="M36" s="479">
        <v>7.2000000000000008E-2</v>
      </c>
      <c r="N36" s="480">
        <v>7.2999999999999995E-2</v>
      </c>
      <c r="O36" s="980">
        <v>7.5999999999999998E-2</v>
      </c>
      <c r="P36" s="980">
        <v>8.7999999999999995E-2</v>
      </c>
      <c r="Q36" s="980">
        <v>8.2229625416429669E-2</v>
      </c>
      <c r="R36" s="1792">
        <v>7.8642149929278649E-2</v>
      </c>
      <c r="S36" s="481"/>
      <c r="T36" s="482">
        <v>1307</v>
      </c>
      <c r="U36" s="482">
        <v>1287</v>
      </c>
      <c r="V36" s="482">
        <v>1498</v>
      </c>
      <c r="W36" s="482">
        <v>1499</v>
      </c>
      <c r="X36" s="482">
        <v>1477</v>
      </c>
      <c r="Y36" s="482">
        <v>1834</v>
      </c>
      <c r="Z36" s="482">
        <v>1597</v>
      </c>
      <c r="AA36" s="482">
        <v>1674</v>
      </c>
      <c r="AB36" s="482">
        <v>1624</v>
      </c>
      <c r="AC36" s="482">
        <v>1747</v>
      </c>
      <c r="AD36" s="483">
        <v>1784</v>
      </c>
      <c r="AE36" s="987">
        <v>1876</v>
      </c>
      <c r="AF36" s="1373">
        <v>2155</v>
      </c>
      <c r="AG36" s="1377">
        <v>2024</v>
      </c>
      <c r="AH36" s="1788">
        <v>1946</v>
      </c>
    </row>
    <row r="37" spans="1:34" ht="16.5" customHeight="1" x14ac:dyDescent="0.25">
      <c r="A37" s="404" t="s">
        <v>84</v>
      </c>
      <c r="B37" s="405" t="s">
        <v>85</v>
      </c>
      <c r="C37" s="1800" t="s">
        <v>265</v>
      </c>
      <c r="D37" s="479">
        <v>0.1</v>
      </c>
      <c r="E37" s="479">
        <v>0.10099999999999999</v>
      </c>
      <c r="F37" s="479">
        <v>0.113</v>
      </c>
      <c r="G37" s="479">
        <v>0.115</v>
      </c>
      <c r="H37" s="479">
        <v>0.109</v>
      </c>
      <c r="I37" s="479">
        <v>0.105</v>
      </c>
      <c r="J37" s="479">
        <v>0.106</v>
      </c>
      <c r="K37" s="479">
        <v>0.115</v>
      </c>
      <c r="L37" s="479">
        <v>0.13200000000000001</v>
      </c>
      <c r="M37" s="479">
        <v>0.14000000000000001</v>
      </c>
      <c r="N37" s="480">
        <v>0.14400000000000002</v>
      </c>
      <c r="O37" s="980">
        <v>0.13100000000000001</v>
      </c>
      <c r="P37" s="980">
        <v>0.14099999999999999</v>
      </c>
      <c r="Q37" s="980">
        <v>0.14405155260227459</v>
      </c>
      <c r="R37" s="1792">
        <v>0.16289848725388223</v>
      </c>
      <c r="S37" s="481"/>
      <c r="T37" s="482">
        <v>4701</v>
      </c>
      <c r="U37" s="482">
        <v>4813</v>
      </c>
      <c r="V37" s="482">
        <v>5464</v>
      </c>
      <c r="W37" s="482">
        <v>5618</v>
      </c>
      <c r="X37" s="482">
        <v>5402</v>
      </c>
      <c r="Y37" s="482">
        <v>5187</v>
      </c>
      <c r="Z37" s="482">
        <v>5254</v>
      </c>
      <c r="AA37" s="482">
        <v>5704</v>
      </c>
      <c r="AB37" s="482">
        <v>6610</v>
      </c>
      <c r="AC37" s="482">
        <v>7043</v>
      </c>
      <c r="AD37" s="483">
        <v>7844</v>
      </c>
      <c r="AE37" s="987">
        <v>7171</v>
      </c>
      <c r="AF37" s="1373">
        <v>7751</v>
      </c>
      <c r="AG37" s="1377">
        <v>7891</v>
      </c>
      <c r="AH37" s="1788">
        <v>8927</v>
      </c>
    </row>
    <row r="38" spans="1:34" ht="16.5" customHeight="1" x14ac:dyDescent="0.25">
      <c r="A38" s="404" t="s">
        <v>86</v>
      </c>
      <c r="B38" s="405" t="s">
        <v>477</v>
      </c>
      <c r="C38" s="1800" t="s">
        <v>267</v>
      </c>
      <c r="D38" s="479">
        <v>6.0999999999999999E-2</v>
      </c>
      <c r="E38" s="479">
        <v>0.06</v>
      </c>
      <c r="F38" s="479">
        <v>6.4000000000000001E-2</v>
      </c>
      <c r="G38" s="479">
        <v>6.7000000000000004E-2</v>
      </c>
      <c r="H38" s="479">
        <v>5.7999999999999996E-2</v>
      </c>
      <c r="I38" s="479">
        <v>6.5000000000000002E-2</v>
      </c>
      <c r="J38" s="479">
        <v>7.0999999999999994E-2</v>
      </c>
      <c r="K38" s="479">
        <v>6.6000000000000003E-2</v>
      </c>
      <c r="L38" s="479">
        <v>7.2999999999999995E-2</v>
      </c>
      <c r="M38" s="479">
        <v>9.1999999999999998E-2</v>
      </c>
      <c r="N38" s="480">
        <v>7.3999999999999996E-2</v>
      </c>
      <c r="O38" s="980">
        <v>8.900000000000001E-2</v>
      </c>
      <c r="P38" s="980">
        <v>8.7999999999999995E-2</v>
      </c>
      <c r="Q38" s="980">
        <v>7.8719237629566799E-2</v>
      </c>
      <c r="R38" s="1792">
        <v>7.6704405611617038E-2</v>
      </c>
      <c r="S38" s="481"/>
      <c r="T38" s="482">
        <v>3719</v>
      </c>
      <c r="U38" s="482">
        <v>3714</v>
      </c>
      <c r="V38" s="482">
        <v>4114</v>
      </c>
      <c r="W38" s="482">
        <v>4446</v>
      </c>
      <c r="X38" s="482">
        <v>3989</v>
      </c>
      <c r="Y38" s="482">
        <v>4429</v>
      </c>
      <c r="Z38" s="482">
        <v>5012</v>
      </c>
      <c r="AA38" s="482">
        <v>4736</v>
      </c>
      <c r="AB38" s="482">
        <v>5310</v>
      </c>
      <c r="AC38" s="482">
        <v>6796</v>
      </c>
      <c r="AD38" s="483">
        <v>5756</v>
      </c>
      <c r="AE38" s="987">
        <v>7026</v>
      </c>
      <c r="AF38" s="1373">
        <v>6968</v>
      </c>
      <c r="AG38" s="1377">
        <v>6311</v>
      </c>
      <c r="AH38" s="1788">
        <v>6233</v>
      </c>
    </row>
    <row r="39" spans="1:34" ht="16.5" customHeight="1" x14ac:dyDescent="0.25">
      <c r="A39" s="404" t="s">
        <v>92</v>
      </c>
      <c r="B39" s="405" t="s">
        <v>478</v>
      </c>
      <c r="C39" s="1800" t="s">
        <v>268</v>
      </c>
      <c r="D39" s="479">
        <v>9.5000000000000001E-2</v>
      </c>
      <c r="E39" s="479">
        <v>9.6000000000000002E-2</v>
      </c>
      <c r="F39" s="479">
        <v>0.10400000000000001</v>
      </c>
      <c r="G39" s="479">
        <v>0.10800000000000001</v>
      </c>
      <c r="H39" s="479">
        <v>0.10300000000000001</v>
      </c>
      <c r="I39" s="479">
        <v>0.122</v>
      </c>
      <c r="J39" s="479">
        <v>0.11</v>
      </c>
      <c r="K39" s="479">
        <v>0.114</v>
      </c>
      <c r="L39" s="479">
        <v>0.125</v>
      </c>
      <c r="M39" s="479">
        <v>0.13100000000000001</v>
      </c>
      <c r="N39" s="480">
        <v>0.13399999999999998</v>
      </c>
      <c r="O39" s="980">
        <v>0.126</v>
      </c>
      <c r="P39" s="980">
        <v>0.127</v>
      </c>
      <c r="Q39" s="980">
        <v>0.13273596176821983</v>
      </c>
      <c r="R39" s="1792">
        <v>0.13548115645849612</v>
      </c>
      <c r="S39" s="481"/>
      <c r="T39" s="482">
        <v>1611</v>
      </c>
      <c r="U39" s="482">
        <v>1612</v>
      </c>
      <c r="V39" s="482">
        <v>1771</v>
      </c>
      <c r="W39" s="482">
        <v>1837</v>
      </c>
      <c r="X39" s="482">
        <v>1770</v>
      </c>
      <c r="Y39" s="482">
        <v>2068</v>
      </c>
      <c r="Z39" s="482">
        <v>1896</v>
      </c>
      <c r="AA39" s="482">
        <v>1953</v>
      </c>
      <c r="AB39" s="482">
        <v>2149</v>
      </c>
      <c r="AC39" s="482">
        <v>2255</v>
      </c>
      <c r="AD39" s="483">
        <v>2292</v>
      </c>
      <c r="AE39" s="987">
        <v>2136</v>
      </c>
      <c r="AF39" s="1373">
        <v>2126</v>
      </c>
      <c r="AG39" s="1377">
        <v>2222</v>
      </c>
      <c r="AH39" s="1788">
        <v>2254</v>
      </c>
    </row>
    <row r="40" spans="1:34" ht="16.5" customHeight="1" x14ac:dyDescent="0.25">
      <c r="A40" s="404" t="s">
        <v>94</v>
      </c>
      <c r="B40" s="405" t="s">
        <v>479</v>
      </c>
      <c r="C40" s="1800" t="s">
        <v>264</v>
      </c>
      <c r="D40" s="479">
        <v>8.3000000000000004E-2</v>
      </c>
      <c r="E40" s="479">
        <v>7.8E-2</v>
      </c>
      <c r="F40" s="479">
        <v>8.5999999999999993E-2</v>
      </c>
      <c r="G40" s="479">
        <v>0.09</v>
      </c>
      <c r="H40" s="479">
        <v>8.6999999999999994E-2</v>
      </c>
      <c r="I40" s="479">
        <v>8.8000000000000009E-2</v>
      </c>
      <c r="J40" s="479">
        <v>9.6000000000000002E-2</v>
      </c>
      <c r="K40" s="479">
        <v>8.4000000000000005E-2</v>
      </c>
      <c r="L40" s="479">
        <v>9.0999999999999998E-2</v>
      </c>
      <c r="M40" s="479">
        <v>9.5000000000000001E-2</v>
      </c>
      <c r="N40" s="480">
        <v>9.9000000000000005E-2</v>
      </c>
      <c r="O40" s="980">
        <v>0.10199999999999999</v>
      </c>
      <c r="P40" s="980">
        <v>9.7000000000000003E-2</v>
      </c>
      <c r="Q40" s="980">
        <v>0.10574699988990421</v>
      </c>
      <c r="R40" s="1792">
        <v>9.655680453999782E-2</v>
      </c>
      <c r="S40" s="481"/>
      <c r="T40" s="482">
        <v>2911</v>
      </c>
      <c r="U40" s="482">
        <v>2787</v>
      </c>
      <c r="V40" s="482">
        <v>3150</v>
      </c>
      <c r="W40" s="482">
        <v>3349</v>
      </c>
      <c r="X40" s="482">
        <v>3285</v>
      </c>
      <c r="Y40" s="482">
        <v>3292</v>
      </c>
      <c r="Z40" s="482">
        <v>3621</v>
      </c>
      <c r="AA40" s="482">
        <v>3179</v>
      </c>
      <c r="AB40" s="482">
        <v>3487</v>
      </c>
      <c r="AC40" s="482">
        <v>3704</v>
      </c>
      <c r="AD40" s="483">
        <v>3603</v>
      </c>
      <c r="AE40" s="987">
        <v>3721</v>
      </c>
      <c r="AF40" s="1373">
        <v>3540</v>
      </c>
      <c r="AG40" s="1377">
        <v>3842</v>
      </c>
      <c r="AH40" s="1788">
        <v>3539</v>
      </c>
    </row>
    <row r="41" spans="1:34" ht="16.5" customHeight="1" x14ac:dyDescent="0.25">
      <c r="A41" s="404" t="s">
        <v>96</v>
      </c>
      <c r="B41" s="405" t="s">
        <v>480</v>
      </c>
      <c r="C41" s="1800" t="s">
        <v>266</v>
      </c>
      <c r="D41" s="479">
        <v>6.7000000000000004E-2</v>
      </c>
      <c r="E41" s="479">
        <v>5.7000000000000002E-2</v>
      </c>
      <c r="F41" s="479">
        <v>6.5000000000000002E-2</v>
      </c>
      <c r="G41" s="479">
        <v>7.2000000000000008E-2</v>
      </c>
      <c r="H41" s="479">
        <v>6.9000000000000006E-2</v>
      </c>
      <c r="I41" s="479">
        <v>6.7000000000000004E-2</v>
      </c>
      <c r="J41" s="479">
        <v>6.3E-2</v>
      </c>
      <c r="K41" s="479">
        <v>8.5000000000000006E-2</v>
      </c>
      <c r="L41" s="479">
        <v>6.4000000000000001E-2</v>
      </c>
      <c r="M41" s="479">
        <v>6.6000000000000003E-2</v>
      </c>
      <c r="N41" s="480">
        <v>7.7000000000000013E-2</v>
      </c>
      <c r="O41" s="980">
        <v>8.1000000000000003E-2</v>
      </c>
      <c r="P41" s="980">
        <v>7.3999999999999996E-2</v>
      </c>
      <c r="Q41" s="980">
        <v>7.4595014065379772E-2</v>
      </c>
      <c r="R41" s="1792">
        <v>7.4843578354109944E-2</v>
      </c>
      <c r="S41" s="481"/>
      <c r="T41" s="482">
        <v>1071</v>
      </c>
      <c r="U41" s="485">
        <v>925</v>
      </c>
      <c r="V41" s="482">
        <v>1098</v>
      </c>
      <c r="W41" s="482">
        <v>1263</v>
      </c>
      <c r="X41" s="482">
        <v>1252</v>
      </c>
      <c r="Y41" s="482">
        <v>1192</v>
      </c>
      <c r="Z41" s="482">
        <v>1176</v>
      </c>
      <c r="AA41" s="482">
        <v>1620</v>
      </c>
      <c r="AB41" s="482">
        <v>1240</v>
      </c>
      <c r="AC41" s="482">
        <v>1298</v>
      </c>
      <c r="AD41" s="483">
        <v>1566</v>
      </c>
      <c r="AE41" s="987">
        <v>1661</v>
      </c>
      <c r="AF41" s="1373">
        <v>1515</v>
      </c>
      <c r="AG41" s="1377">
        <v>1538</v>
      </c>
      <c r="AH41" s="1788">
        <v>1567</v>
      </c>
    </row>
    <row r="42" spans="1:34" ht="16.5" customHeight="1" x14ac:dyDescent="0.25">
      <c r="A42" s="404" t="s">
        <v>98</v>
      </c>
      <c r="B42" s="405" t="s">
        <v>481</v>
      </c>
      <c r="C42" s="1800" t="s">
        <v>268</v>
      </c>
      <c r="D42" s="479">
        <v>0.13500000000000001</v>
      </c>
      <c r="E42" s="479">
        <v>0.13900000000000001</v>
      </c>
      <c r="F42" s="479">
        <v>0.15</v>
      </c>
      <c r="G42" s="479">
        <v>0.14899999999999999</v>
      </c>
      <c r="H42" s="479">
        <v>0.14300000000000002</v>
      </c>
      <c r="I42" s="479">
        <v>0.16699999999999998</v>
      </c>
      <c r="J42" s="479">
        <v>0.159</v>
      </c>
      <c r="K42" s="479">
        <v>0.17600000000000002</v>
      </c>
      <c r="L42" s="479">
        <v>0.17699999999999999</v>
      </c>
      <c r="M42" s="479">
        <v>0.16500000000000001</v>
      </c>
      <c r="N42" s="480">
        <v>0.17100000000000001</v>
      </c>
      <c r="O42" s="980">
        <v>0.18600000000000003</v>
      </c>
      <c r="P42" s="980">
        <v>0.19400000000000001</v>
      </c>
      <c r="Q42" s="980">
        <v>0.18346666666666667</v>
      </c>
      <c r="R42" s="1792">
        <v>0.19875485339402865</v>
      </c>
      <c r="S42" s="481"/>
      <c r="T42" s="482">
        <v>2230</v>
      </c>
      <c r="U42" s="482">
        <v>2302</v>
      </c>
      <c r="V42" s="482">
        <v>2478</v>
      </c>
      <c r="W42" s="482">
        <v>2448</v>
      </c>
      <c r="X42" s="482">
        <v>2339</v>
      </c>
      <c r="Y42" s="482">
        <v>2710</v>
      </c>
      <c r="Z42" s="482">
        <v>2546</v>
      </c>
      <c r="AA42" s="482">
        <v>2801</v>
      </c>
      <c r="AB42" s="482">
        <v>2790</v>
      </c>
      <c r="AC42" s="482">
        <v>2574</v>
      </c>
      <c r="AD42" s="483">
        <v>2617</v>
      </c>
      <c r="AE42" s="987">
        <v>2817</v>
      </c>
      <c r="AF42" s="1373">
        <v>2916</v>
      </c>
      <c r="AG42" s="1377">
        <v>2752</v>
      </c>
      <c r="AH42" s="1788">
        <v>2969</v>
      </c>
    </row>
    <row r="43" spans="1:34" ht="16.5" customHeight="1" x14ac:dyDescent="0.25">
      <c r="A43" s="404" t="s">
        <v>100</v>
      </c>
      <c r="B43" s="405" t="s">
        <v>482</v>
      </c>
      <c r="C43" s="1800" t="s">
        <v>267</v>
      </c>
      <c r="D43" s="479">
        <v>7.0999999999999994E-2</v>
      </c>
      <c r="E43" s="479">
        <v>6.9000000000000006E-2</v>
      </c>
      <c r="F43" s="479">
        <v>7.400000000000001E-2</v>
      </c>
      <c r="G43" s="479">
        <v>7.9000000000000001E-2</v>
      </c>
      <c r="H43" s="479">
        <v>7.8E-2</v>
      </c>
      <c r="I43" s="479">
        <v>0.08</v>
      </c>
      <c r="J43" s="479">
        <v>7.6999999999999999E-2</v>
      </c>
      <c r="K43" s="479">
        <v>7.400000000000001E-2</v>
      </c>
      <c r="L43" s="479">
        <v>7.2999999999999995E-2</v>
      </c>
      <c r="M43" s="479">
        <v>8.5999999999999993E-2</v>
      </c>
      <c r="N43" s="480">
        <v>9.7000000000000003E-2</v>
      </c>
      <c r="O43" s="980">
        <v>9.1999999999999998E-2</v>
      </c>
      <c r="P43" s="980">
        <v>9.5000000000000001E-2</v>
      </c>
      <c r="Q43" s="980">
        <v>0.11543213192243648</v>
      </c>
      <c r="R43" s="1792">
        <v>9.6339522546419101E-2</v>
      </c>
      <c r="S43" s="481"/>
      <c r="T43" s="482">
        <v>1121</v>
      </c>
      <c r="U43" s="482">
        <v>1124</v>
      </c>
      <c r="V43" s="482">
        <v>1244</v>
      </c>
      <c r="W43" s="482">
        <v>1342</v>
      </c>
      <c r="X43" s="482">
        <v>1355</v>
      </c>
      <c r="Y43" s="482">
        <v>1369</v>
      </c>
      <c r="Z43" s="482">
        <v>1343</v>
      </c>
      <c r="AA43" s="482">
        <v>1309</v>
      </c>
      <c r="AB43" s="482">
        <v>1294</v>
      </c>
      <c r="AC43" s="482">
        <v>1568</v>
      </c>
      <c r="AD43" s="483">
        <v>1774</v>
      </c>
      <c r="AE43" s="987">
        <v>1693</v>
      </c>
      <c r="AF43" s="1373">
        <v>1773</v>
      </c>
      <c r="AG43" s="1377">
        <v>2149</v>
      </c>
      <c r="AH43" s="1788">
        <v>1816</v>
      </c>
    </row>
    <row r="44" spans="1:34" ht="16.5" customHeight="1" x14ac:dyDescent="0.25">
      <c r="A44" s="404" t="s">
        <v>102</v>
      </c>
      <c r="B44" s="405" t="s">
        <v>752</v>
      </c>
      <c r="C44" s="1800" t="s">
        <v>264</v>
      </c>
      <c r="D44" s="479">
        <v>0.17</v>
      </c>
      <c r="E44" s="479">
        <v>0.18280000000000002</v>
      </c>
      <c r="F44" s="479">
        <v>0.19070000000000001</v>
      </c>
      <c r="G44" s="479">
        <v>0.16339999999999999</v>
      </c>
      <c r="H44" s="479">
        <v>0.16500000000000001</v>
      </c>
      <c r="I44" s="479">
        <v>0.18809999999999999</v>
      </c>
      <c r="J44" s="479">
        <v>0.18760000000000002</v>
      </c>
      <c r="K44" s="479">
        <v>0.1948</v>
      </c>
      <c r="L44" s="479">
        <v>0.22699999999999998</v>
      </c>
      <c r="M44" s="479">
        <v>0.23089999999999999</v>
      </c>
      <c r="N44" s="480">
        <v>0.23464616256133752</v>
      </c>
      <c r="O44" s="980">
        <v>0.23945846848117333</v>
      </c>
      <c r="P44" s="980">
        <v>0.255</v>
      </c>
      <c r="Q44" s="980">
        <v>0.26195737401097724</v>
      </c>
      <c r="R44" s="1792">
        <v>0.25522528386490201</v>
      </c>
      <c r="S44" s="481"/>
      <c r="T44" s="482">
        <v>2389</v>
      </c>
      <c r="U44" s="482">
        <v>2561</v>
      </c>
      <c r="V44" s="482">
        <v>2682</v>
      </c>
      <c r="W44" s="482">
        <v>2277</v>
      </c>
      <c r="X44" s="482">
        <v>2312</v>
      </c>
      <c r="Y44" s="482">
        <v>2595</v>
      </c>
      <c r="Z44" s="482">
        <v>2602</v>
      </c>
      <c r="AA44" s="482">
        <v>2716</v>
      </c>
      <c r="AB44" s="482">
        <v>3193</v>
      </c>
      <c r="AC44" s="482">
        <v>3240</v>
      </c>
      <c r="AD44" s="483">
        <v>3375</v>
      </c>
      <c r="AE44" s="987">
        <v>3396</v>
      </c>
      <c r="AF44" s="1373">
        <v>3608</v>
      </c>
      <c r="AG44" s="1377">
        <v>3675</v>
      </c>
      <c r="AH44" s="1788">
        <v>3529</v>
      </c>
    </row>
    <row r="45" spans="1:34" ht="16.5" customHeight="1" x14ac:dyDescent="0.25">
      <c r="A45" s="404" t="s">
        <v>104</v>
      </c>
      <c r="B45" s="405" t="s">
        <v>753</v>
      </c>
      <c r="C45" s="1800" t="s">
        <v>265</v>
      </c>
      <c r="D45" s="479">
        <v>0.14599999999999999</v>
      </c>
      <c r="E45" s="479">
        <v>0.14800000000000002</v>
      </c>
      <c r="F45" s="479">
        <v>0.16699999999999998</v>
      </c>
      <c r="G45" s="479">
        <v>0.16399999999999998</v>
      </c>
      <c r="H45" s="479">
        <v>0.16</v>
      </c>
      <c r="I45" s="479">
        <v>0.156</v>
      </c>
      <c r="J45" s="479">
        <v>0.184</v>
      </c>
      <c r="K45" s="479">
        <v>0.18600000000000003</v>
      </c>
      <c r="L45" s="479">
        <v>0.19500000000000001</v>
      </c>
      <c r="M45" s="479">
        <v>0.19800000000000001</v>
      </c>
      <c r="N45" s="480">
        <v>0.193</v>
      </c>
      <c r="O45" s="980">
        <v>0.193</v>
      </c>
      <c r="P45" s="980">
        <v>0.20100000000000001</v>
      </c>
      <c r="Q45" s="980">
        <v>0.22242790616955427</v>
      </c>
      <c r="R45" s="1792">
        <v>0.1797190798848402</v>
      </c>
      <c r="S45" s="481"/>
      <c r="T45" s="482">
        <v>5297</v>
      </c>
      <c r="U45" s="482">
        <v>5345</v>
      </c>
      <c r="V45" s="482">
        <v>6015</v>
      </c>
      <c r="W45" s="482">
        <v>5875</v>
      </c>
      <c r="X45" s="482">
        <v>5715</v>
      </c>
      <c r="Y45" s="482">
        <v>5506</v>
      </c>
      <c r="Z45" s="482">
        <v>6507</v>
      </c>
      <c r="AA45" s="482">
        <v>6462</v>
      </c>
      <c r="AB45" s="482">
        <v>6732</v>
      </c>
      <c r="AC45" s="482">
        <v>6819</v>
      </c>
      <c r="AD45" s="483">
        <v>6833</v>
      </c>
      <c r="AE45" s="987">
        <v>6795</v>
      </c>
      <c r="AF45" s="1373">
        <v>7054</v>
      </c>
      <c r="AG45" s="1377">
        <v>7690</v>
      </c>
      <c r="AH45" s="1788">
        <v>6180</v>
      </c>
    </row>
    <row r="46" spans="1:34" ht="16.5" customHeight="1" x14ac:dyDescent="0.25">
      <c r="A46" s="404" t="s">
        <v>108</v>
      </c>
      <c r="B46" s="405" t="s">
        <v>483</v>
      </c>
      <c r="C46" s="1800" t="s">
        <v>266</v>
      </c>
      <c r="D46" s="479">
        <v>4.0999999999999995E-2</v>
      </c>
      <c r="E46" s="479">
        <v>0.04</v>
      </c>
      <c r="F46" s="479">
        <v>4.5999999999999999E-2</v>
      </c>
      <c r="G46" s="479">
        <v>5.2999999999999999E-2</v>
      </c>
      <c r="H46" s="479">
        <v>5.0999999999999997E-2</v>
      </c>
      <c r="I46" s="479">
        <v>4.8000000000000001E-2</v>
      </c>
      <c r="J46" s="479">
        <v>4.0999999999999995E-2</v>
      </c>
      <c r="K46" s="479">
        <v>5.0999999999999997E-2</v>
      </c>
      <c r="L46" s="479">
        <v>4.5999999999999999E-2</v>
      </c>
      <c r="M46" s="479">
        <v>4.9000000000000002E-2</v>
      </c>
      <c r="N46" s="480">
        <v>5.2999999999999999E-2</v>
      </c>
      <c r="O46" s="980">
        <v>6.0999999999999999E-2</v>
      </c>
      <c r="P46" s="980">
        <v>6.5000000000000002E-2</v>
      </c>
      <c r="Q46" s="980">
        <v>5.6380867971275769E-2</v>
      </c>
      <c r="R46" s="1792">
        <v>6.1393246742858287E-2</v>
      </c>
      <c r="S46" s="481"/>
      <c r="T46" s="482">
        <v>3611</v>
      </c>
      <c r="U46" s="482">
        <v>3637</v>
      </c>
      <c r="V46" s="482">
        <v>4303</v>
      </c>
      <c r="W46" s="482">
        <v>5030</v>
      </c>
      <c r="X46" s="482">
        <v>4938</v>
      </c>
      <c r="Y46" s="482">
        <v>4542</v>
      </c>
      <c r="Z46" s="482">
        <v>3965</v>
      </c>
      <c r="AA46" s="482">
        <v>4909</v>
      </c>
      <c r="AB46" s="482">
        <v>4518</v>
      </c>
      <c r="AC46" s="482">
        <v>4747</v>
      </c>
      <c r="AD46" s="483">
        <v>5218</v>
      </c>
      <c r="AE46" s="987">
        <v>6001</v>
      </c>
      <c r="AF46" s="1373">
        <v>6372</v>
      </c>
      <c r="AG46" s="1377">
        <v>5598</v>
      </c>
      <c r="AH46" s="1788">
        <v>6140</v>
      </c>
    </row>
    <row r="47" spans="1:34" ht="16.5" customHeight="1" x14ac:dyDescent="0.25">
      <c r="A47" s="404" t="s">
        <v>110</v>
      </c>
      <c r="B47" s="405" t="s">
        <v>484</v>
      </c>
      <c r="C47" s="1800" t="s">
        <v>266</v>
      </c>
      <c r="D47" s="479">
        <v>6.2E-2</v>
      </c>
      <c r="E47" s="479">
        <v>6.3E-2</v>
      </c>
      <c r="F47" s="479">
        <v>7.0000000000000007E-2</v>
      </c>
      <c r="G47" s="479">
        <v>7.9000000000000001E-2</v>
      </c>
      <c r="H47" s="479">
        <v>7.8E-2</v>
      </c>
      <c r="I47" s="479">
        <v>7.9000000000000001E-2</v>
      </c>
      <c r="J47" s="479">
        <v>7.9000000000000001E-2</v>
      </c>
      <c r="K47" s="479">
        <v>8.5000000000000006E-2</v>
      </c>
      <c r="L47" s="479">
        <v>8.4000000000000005E-2</v>
      </c>
      <c r="M47" s="479">
        <v>0.1</v>
      </c>
      <c r="N47" s="480">
        <v>9.8000000000000004E-2</v>
      </c>
      <c r="O47" s="980">
        <v>0.10800000000000001</v>
      </c>
      <c r="P47" s="980">
        <v>0.10100000000000001</v>
      </c>
      <c r="Q47" s="980">
        <v>0.11338197509195573</v>
      </c>
      <c r="R47" s="1792">
        <v>0.10964919153897507</v>
      </c>
      <c r="S47" s="481"/>
      <c r="T47" s="482">
        <v>16209</v>
      </c>
      <c r="U47" s="482">
        <v>16609</v>
      </c>
      <c r="V47" s="482">
        <v>18976</v>
      </c>
      <c r="W47" s="482">
        <v>21631</v>
      </c>
      <c r="X47" s="482">
        <v>21612</v>
      </c>
      <c r="Y47" s="482">
        <v>21858</v>
      </c>
      <c r="Z47" s="482">
        <v>22038</v>
      </c>
      <c r="AA47" s="482">
        <v>24163</v>
      </c>
      <c r="AB47" s="482">
        <v>24078</v>
      </c>
      <c r="AC47" s="482">
        <v>29165</v>
      </c>
      <c r="AD47" s="483">
        <v>29987</v>
      </c>
      <c r="AE47" s="987">
        <v>33123</v>
      </c>
      <c r="AF47" s="1373">
        <v>31395</v>
      </c>
      <c r="AG47" s="1377">
        <v>35788</v>
      </c>
      <c r="AH47" s="1788">
        <v>34985</v>
      </c>
    </row>
    <row r="48" spans="1:34" ht="16.5" customHeight="1" x14ac:dyDescent="0.25">
      <c r="A48" s="404" t="s">
        <v>112</v>
      </c>
      <c r="B48" s="405" t="s">
        <v>754</v>
      </c>
      <c r="C48" s="1800" t="s">
        <v>265</v>
      </c>
      <c r="D48" s="479">
        <v>0.12179999999999999</v>
      </c>
      <c r="E48" s="479">
        <v>0.1265</v>
      </c>
      <c r="F48" s="479">
        <v>0.14000000000000001</v>
      </c>
      <c r="G48" s="479">
        <v>0.14419999999999999</v>
      </c>
      <c r="H48" s="479">
        <v>0.1444</v>
      </c>
      <c r="I48" s="479">
        <v>0.16</v>
      </c>
      <c r="J48" s="479">
        <v>0.15590000000000001</v>
      </c>
      <c r="K48" s="479">
        <v>0.16949999999999998</v>
      </c>
      <c r="L48" s="479">
        <v>0.17499999999999999</v>
      </c>
      <c r="M48" s="479">
        <v>0.18659999999999999</v>
      </c>
      <c r="N48" s="480">
        <v>0.18966798312007913</v>
      </c>
      <c r="O48" s="980">
        <v>0.21296101159114858</v>
      </c>
      <c r="P48" s="980">
        <v>0.19600000000000001</v>
      </c>
      <c r="Q48" s="980">
        <v>0.20040392912879831</v>
      </c>
      <c r="R48" s="1792">
        <v>0.21203049288602205</v>
      </c>
      <c r="S48" s="481"/>
      <c r="T48" s="482">
        <v>8798</v>
      </c>
      <c r="U48" s="482">
        <v>9061</v>
      </c>
      <c r="V48" s="482">
        <v>10017</v>
      </c>
      <c r="W48" s="482">
        <v>10271</v>
      </c>
      <c r="X48" s="482">
        <v>10210</v>
      </c>
      <c r="Y48" s="482">
        <v>11198</v>
      </c>
      <c r="Z48" s="482">
        <v>10877</v>
      </c>
      <c r="AA48" s="482">
        <v>11653</v>
      </c>
      <c r="AB48" s="482">
        <v>12089</v>
      </c>
      <c r="AC48" s="482">
        <v>12724</v>
      </c>
      <c r="AD48" s="483">
        <v>12671</v>
      </c>
      <c r="AE48" s="987">
        <v>14147</v>
      </c>
      <c r="AF48" s="1373">
        <v>12855</v>
      </c>
      <c r="AG48" s="1377">
        <v>13098</v>
      </c>
      <c r="AH48" s="1788">
        <v>13740</v>
      </c>
    </row>
    <row r="49" spans="1:34" ht="16.5" customHeight="1" x14ac:dyDescent="0.25">
      <c r="A49" s="404" t="s">
        <v>114</v>
      </c>
      <c r="B49" s="405" t="s">
        <v>485</v>
      </c>
      <c r="C49" s="1800" t="s">
        <v>265</v>
      </c>
      <c r="D49" s="479">
        <v>0.11900000000000001</v>
      </c>
      <c r="E49" s="479">
        <v>0.12</v>
      </c>
      <c r="F49" s="479">
        <v>0.121</v>
      </c>
      <c r="G49" s="479">
        <v>0.11599999999999999</v>
      </c>
      <c r="H49" s="479">
        <v>0.10800000000000001</v>
      </c>
      <c r="I49" s="479">
        <v>0.128</v>
      </c>
      <c r="J49" s="479">
        <v>0.129</v>
      </c>
      <c r="K49" s="479">
        <v>0.128</v>
      </c>
      <c r="L49" s="479">
        <v>0.128</v>
      </c>
      <c r="M49" s="479">
        <v>0.13800000000000001</v>
      </c>
      <c r="N49" s="480">
        <v>0.14400000000000002</v>
      </c>
      <c r="O49" s="980">
        <v>0.13800000000000001</v>
      </c>
      <c r="P49" s="980">
        <v>0.15</v>
      </c>
      <c r="Q49" s="980">
        <v>0.14628623188405798</v>
      </c>
      <c r="R49" s="1792">
        <v>0.1463632307005801</v>
      </c>
      <c r="S49" s="481"/>
      <c r="T49" s="485">
        <v>300</v>
      </c>
      <c r="U49" s="485">
        <v>298</v>
      </c>
      <c r="V49" s="485">
        <v>304</v>
      </c>
      <c r="W49" s="485">
        <v>290</v>
      </c>
      <c r="X49" s="485">
        <v>270</v>
      </c>
      <c r="Y49" s="485">
        <v>316</v>
      </c>
      <c r="Z49" s="485">
        <v>324</v>
      </c>
      <c r="AA49" s="485">
        <v>313</v>
      </c>
      <c r="AB49" s="482">
        <v>311</v>
      </c>
      <c r="AC49" s="482">
        <v>323</v>
      </c>
      <c r="AD49" s="483">
        <v>330</v>
      </c>
      <c r="AE49" s="987">
        <v>312</v>
      </c>
      <c r="AF49" s="1373">
        <v>336</v>
      </c>
      <c r="AG49" s="1377">
        <v>323</v>
      </c>
      <c r="AH49" s="1788">
        <v>328</v>
      </c>
    </row>
    <row r="50" spans="1:34" ht="16.5" customHeight="1" x14ac:dyDescent="0.25">
      <c r="A50" s="404" t="s">
        <v>118</v>
      </c>
      <c r="B50" s="405" t="s">
        <v>755</v>
      </c>
      <c r="C50" s="1800" t="s">
        <v>264</v>
      </c>
      <c r="D50" s="479">
        <v>8.6999999999999994E-2</v>
      </c>
      <c r="E50" s="479">
        <v>0.08</v>
      </c>
      <c r="F50" s="479">
        <v>8.5000000000000006E-2</v>
      </c>
      <c r="G50" s="479">
        <v>9.3000000000000013E-2</v>
      </c>
      <c r="H50" s="479">
        <v>9.1999999999999998E-2</v>
      </c>
      <c r="I50" s="479">
        <v>8.5999999999999993E-2</v>
      </c>
      <c r="J50" s="479">
        <v>8.199999999999999E-2</v>
      </c>
      <c r="K50" s="479">
        <v>8.3000000000000004E-2</v>
      </c>
      <c r="L50" s="479">
        <v>7.8E-2</v>
      </c>
      <c r="M50" s="479">
        <v>0.10099999999999999</v>
      </c>
      <c r="N50" s="480">
        <v>8.7999999999999995E-2</v>
      </c>
      <c r="O50" s="980">
        <v>0.11199999999999999</v>
      </c>
      <c r="P50" s="980">
        <v>9.2999999999999999E-2</v>
      </c>
      <c r="Q50" s="980">
        <v>0.1055415688382224</v>
      </c>
      <c r="R50" s="1792">
        <v>0.10172196556068878</v>
      </c>
      <c r="S50" s="481"/>
      <c r="T50" s="482">
        <v>2640</v>
      </c>
      <c r="U50" s="482">
        <v>2463</v>
      </c>
      <c r="V50" s="482">
        <v>2727</v>
      </c>
      <c r="W50" s="482">
        <v>3052</v>
      </c>
      <c r="X50" s="482">
        <v>3070</v>
      </c>
      <c r="Y50" s="482">
        <v>2842</v>
      </c>
      <c r="Z50" s="482">
        <v>2829</v>
      </c>
      <c r="AA50" s="482">
        <v>2902</v>
      </c>
      <c r="AB50" s="482">
        <v>2740</v>
      </c>
      <c r="AC50" s="482">
        <v>3612</v>
      </c>
      <c r="AD50" s="483">
        <v>3082</v>
      </c>
      <c r="AE50" s="987">
        <v>3914</v>
      </c>
      <c r="AF50" s="1373">
        <v>3278</v>
      </c>
      <c r="AG50" s="1377">
        <v>3731</v>
      </c>
      <c r="AH50" s="1788">
        <v>3633</v>
      </c>
    </row>
    <row r="51" spans="1:34" ht="16.5" customHeight="1" x14ac:dyDescent="0.25">
      <c r="A51" s="404" t="s">
        <v>120</v>
      </c>
      <c r="B51" s="405" t="s">
        <v>285</v>
      </c>
      <c r="C51" s="1800" t="s">
        <v>264</v>
      </c>
      <c r="D51" s="479">
        <v>5.7999999999999996E-2</v>
      </c>
      <c r="E51" s="479">
        <v>5.9000000000000004E-2</v>
      </c>
      <c r="F51" s="479">
        <v>6.4000000000000001E-2</v>
      </c>
      <c r="G51" s="479">
        <v>7.2000000000000008E-2</v>
      </c>
      <c r="H51" s="479">
        <v>6.6000000000000003E-2</v>
      </c>
      <c r="I51" s="479">
        <v>6.0999999999999999E-2</v>
      </c>
      <c r="J51" s="479">
        <v>6.4000000000000001E-2</v>
      </c>
      <c r="K51" s="479">
        <v>5.7000000000000002E-2</v>
      </c>
      <c r="L51" s="479">
        <v>0.06</v>
      </c>
      <c r="M51" s="479">
        <v>7.0999999999999994E-2</v>
      </c>
      <c r="N51" s="480">
        <v>7.7000000000000013E-2</v>
      </c>
      <c r="O51" s="980">
        <v>7.400000000000001E-2</v>
      </c>
      <c r="P51" s="980">
        <v>8.4000000000000005E-2</v>
      </c>
      <c r="Q51" s="980">
        <v>7.5441273863341873E-2</v>
      </c>
      <c r="R51" s="1792">
        <v>7.9360643827194988E-2</v>
      </c>
      <c r="S51" s="481"/>
      <c r="T51" s="482">
        <v>2805</v>
      </c>
      <c r="U51" s="482">
        <v>2962</v>
      </c>
      <c r="V51" s="482">
        <v>3406</v>
      </c>
      <c r="W51" s="482">
        <v>3922</v>
      </c>
      <c r="X51" s="482">
        <v>3780</v>
      </c>
      <c r="Y51" s="482">
        <v>3445</v>
      </c>
      <c r="Z51" s="482">
        <v>3771</v>
      </c>
      <c r="AA51" s="482">
        <v>3440</v>
      </c>
      <c r="AB51" s="482">
        <v>3706</v>
      </c>
      <c r="AC51" s="482">
        <v>4449</v>
      </c>
      <c r="AD51" s="483">
        <v>5067</v>
      </c>
      <c r="AE51" s="987">
        <v>4991</v>
      </c>
      <c r="AF51" s="1373">
        <v>5730</v>
      </c>
      <c r="AG51" s="1377">
        <v>5240</v>
      </c>
      <c r="AH51" s="1788">
        <v>5680</v>
      </c>
    </row>
    <row r="52" spans="1:34" ht="16.5" customHeight="1" x14ac:dyDescent="0.25">
      <c r="A52" s="404" t="s">
        <v>122</v>
      </c>
      <c r="B52" s="405" t="s">
        <v>756</v>
      </c>
      <c r="C52" s="1800" t="s">
        <v>266</v>
      </c>
      <c r="D52" s="479">
        <v>0.11900000000000001</v>
      </c>
      <c r="E52" s="479">
        <v>0.11699999999999999</v>
      </c>
      <c r="F52" s="479">
        <v>0.121</v>
      </c>
      <c r="G52" s="479">
        <v>0.11599999999999999</v>
      </c>
      <c r="H52" s="479">
        <v>0.11199999999999999</v>
      </c>
      <c r="I52" s="479">
        <v>0.13400000000000001</v>
      </c>
      <c r="J52" s="479">
        <v>0.122</v>
      </c>
      <c r="K52" s="479">
        <v>0.121</v>
      </c>
      <c r="L52" s="479">
        <v>0.12300000000000001</v>
      </c>
      <c r="M52" s="479">
        <v>0.13200000000000001</v>
      </c>
      <c r="N52" s="480">
        <v>0.128</v>
      </c>
      <c r="O52" s="980">
        <v>0.13200000000000001</v>
      </c>
      <c r="P52" s="980">
        <v>0.13800000000000001</v>
      </c>
      <c r="Q52" s="980">
        <v>0.13415834622415976</v>
      </c>
      <c r="R52" s="1792">
        <v>0.14806537225869534</v>
      </c>
      <c r="S52" s="481"/>
      <c r="T52" s="485">
        <v>786</v>
      </c>
      <c r="U52" s="485">
        <v>771</v>
      </c>
      <c r="V52" s="485">
        <v>798</v>
      </c>
      <c r="W52" s="485">
        <v>787</v>
      </c>
      <c r="X52" s="485">
        <v>761</v>
      </c>
      <c r="Y52" s="485">
        <v>905</v>
      </c>
      <c r="Z52" s="485">
        <v>839</v>
      </c>
      <c r="AA52" s="485">
        <v>829</v>
      </c>
      <c r="AB52" s="482">
        <v>840</v>
      </c>
      <c r="AC52" s="482">
        <v>895</v>
      </c>
      <c r="AD52" s="483">
        <v>888</v>
      </c>
      <c r="AE52" s="987">
        <v>919</v>
      </c>
      <c r="AF52" s="1373">
        <v>973</v>
      </c>
      <c r="AG52" s="1377">
        <v>954</v>
      </c>
      <c r="AH52" s="1788">
        <v>1060</v>
      </c>
    </row>
    <row r="53" spans="1:34" ht="16.5" customHeight="1" x14ac:dyDescent="0.25">
      <c r="A53" s="404" t="s">
        <v>124</v>
      </c>
      <c r="B53" s="405" t="s">
        <v>488</v>
      </c>
      <c r="C53" s="1800" t="s">
        <v>267</v>
      </c>
      <c r="D53" s="479">
        <v>7.0000000000000007E-2</v>
      </c>
      <c r="E53" s="479">
        <v>6.3E-2</v>
      </c>
      <c r="F53" s="479">
        <v>6.5000000000000002E-2</v>
      </c>
      <c r="G53" s="479">
        <v>7.0000000000000007E-2</v>
      </c>
      <c r="H53" s="479">
        <v>6.6000000000000003E-2</v>
      </c>
      <c r="I53" s="479">
        <v>6.2E-2</v>
      </c>
      <c r="J53" s="479">
        <v>0.06</v>
      </c>
      <c r="K53" s="479">
        <v>6.2E-2</v>
      </c>
      <c r="L53" s="479">
        <v>6.2E-2</v>
      </c>
      <c r="M53" s="479">
        <v>7.0000000000000007E-2</v>
      </c>
      <c r="N53" s="480">
        <v>6.9000000000000006E-2</v>
      </c>
      <c r="O53" s="980">
        <v>6.9000000000000006E-2</v>
      </c>
      <c r="P53" s="980">
        <v>7.3999999999999996E-2</v>
      </c>
      <c r="Q53" s="980">
        <v>7.9488015653024616E-2</v>
      </c>
      <c r="R53" s="1792">
        <v>7.5159082723015969E-2</v>
      </c>
      <c r="S53" s="481"/>
      <c r="T53" s="482">
        <v>1176</v>
      </c>
      <c r="U53" s="482">
        <v>1088</v>
      </c>
      <c r="V53" s="482">
        <v>1157</v>
      </c>
      <c r="W53" s="482">
        <v>1336</v>
      </c>
      <c r="X53" s="482">
        <v>1338</v>
      </c>
      <c r="Y53" s="482">
        <v>1259</v>
      </c>
      <c r="Z53" s="482">
        <v>1276</v>
      </c>
      <c r="AA53" s="482">
        <v>1384</v>
      </c>
      <c r="AB53" s="482">
        <v>1399</v>
      </c>
      <c r="AC53" s="482">
        <v>1614</v>
      </c>
      <c r="AD53" s="483">
        <v>1609</v>
      </c>
      <c r="AE53" s="987">
        <v>1645</v>
      </c>
      <c r="AF53" s="1373">
        <v>1783</v>
      </c>
      <c r="AG53" s="1377">
        <v>1950</v>
      </c>
      <c r="AH53" s="1788">
        <v>1878</v>
      </c>
    </row>
    <row r="54" spans="1:34" ht="16.5" customHeight="1" x14ac:dyDescent="0.25">
      <c r="A54" s="404" t="s">
        <v>126</v>
      </c>
      <c r="B54" s="405" t="s">
        <v>489</v>
      </c>
      <c r="C54" s="1800" t="s">
        <v>266</v>
      </c>
      <c r="D54" s="479">
        <v>6.6000000000000003E-2</v>
      </c>
      <c r="E54" s="479">
        <v>6.3E-2</v>
      </c>
      <c r="F54" s="479">
        <v>6.5000000000000002E-2</v>
      </c>
      <c r="G54" s="479">
        <v>7.0999999999999994E-2</v>
      </c>
      <c r="H54" s="479">
        <v>6.8000000000000005E-2</v>
      </c>
      <c r="I54" s="479">
        <v>6.8000000000000005E-2</v>
      </c>
      <c r="J54" s="479">
        <v>6.9000000000000006E-2</v>
      </c>
      <c r="K54" s="479">
        <v>6.3E-2</v>
      </c>
      <c r="L54" s="479">
        <v>6.5000000000000002E-2</v>
      </c>
      <c r="M54" s="479">
        <v>7.2000000000000008E-2</v>
      </c>
      <c r="N54" s="480">
        <v>7.6999999999999999E-2</v>
      </c>
      <c r="O54" s="980">
        <v>8.6999999999999994E-2</v>
      </c>
      <c r="P54" s="980">
        <v>8.4000000000000005E-2</v>
      </c>
      <c r="Q54" s="980">
        <v>9.098873591989988E-2</v>
      </c>
      <c r="R54" s="1792">
        <v>8.7651632970451004E-2</v>
      </c>
      <c r="S54" s="481"/>
      <c r="T54" s="485">
        <v>894</v>
      </c>
      <c r="U54" s="485">
        <v>872</v>
      </c>
      <c r="V54" s="485">
        <v>921</v>
      </c>
      <c r="W54" s="482">
        <v>1014</v>
      </c>
      <c r="X54" s="482">
        <v>1007</v>
      </c>
      <c r="Y54" s="485">
        <v>994</v>
      </c>
      <c r="Z54" s="482">
        <v>1060</v>
      </c>
      <c r="AA54" s="485">
        <v>981</v>
      </c>
      <c r="AB54" s="482">
        <v>1033</v>
      </c>
      <c r="AC54" s="482">
        <v>1158</v>
      </c>
      <c r="AD54" s="483">
        <v>1230</v>
      </c>
      <c r="AE54" s="987">
        <v>1387</v>
      </c>
      <c r="AF54" s="1373">
        <v>1333</v>
      </c>
      <c r="AG54" s="1377">
        <v>1454</v>
      </c>
      <c r="AH54" s="1788">
        <v>1409</v>
      </c>
    </row>
    <row r="55" spans="1:34" ht="16.5" customHeight="1" x14ac:dyDescent="0.25">
      <c r="A55" s="404" t="s">
        <v>128</v>
      </c>
      <c r="B55" s="405" t="s">
        <v>490</v>
      </c>
      <c r="C55" s="1800" t="s">
        <v>266</v>
      </c>
      <c r="D55" s="479">
        <v>0.129</v>
      </c>
      <c r="E55" s="479">
        <v>0.125</v>
      </c>
      <c r="F55" s="479">
        <v>0.13400000000000001</v>
      </c>
      <c r="G55" s="479">
        <v>0.13300000000000001</v>
      </c>
      <c r="H55" s="479">
        <v>0.12300000000000001</v>
      </c>
      <c r="I55" s="479">
        <v>0.13600000000000001</v>
      </c>
      <c r="J55" s="479">
        <v>0.13500000000000001</v>
      </c>
      <c r="K55" s="479">
        <v>0.129</v>
      </c>
      <c r="L55" s="479">
        <v>0.13200000000000001</v>
      </c>
      <c r="M55" s="479">
        <v>0.127</v>
      </c>
      <c r="N55" s="480">
        <v>0.13900000000000001</v>
      </c>
      <c r="O55" s="980">
        <v>0.157</v>
      </c>
      <c r="P55" s="980">
        <v>0.13600000000000001</v>
      </c>
      <c r="Q55" s="980">
        <v>0.15181668796786563</v>
      </c>
      <c r="R55" s="1792">
        <v>0.13735605711653615</v>
      </c>
      <c r="S55" s="481"/>
      <c r="T55" s="482">
        <v>1435</v>
      </c>
      <c r="U55" s="482">
        <v>1399</v>
      </c>
      <c r="V55" s="482">
        <v>1513</v>
      </c>
      <c r="W55" s="482">
        <v>1498</v>
      </c>
      <c r="X55" s="482">
        <v>1395</v>
      </c>
      <c r="Y55" s="482">
        <v>1518</v>
      </c>
      <c r="Z55" s="482">
        <v>1507</v>
      </c>
      <c r="AA55" s="482">
        <v>1434</v>
      </c>
      <c r="AB55" s="482">
        <v>1463</v>
      </c>
      <c r="AC55" s="482">
        <v>1379</v>
      </c>
      <c r="AD55" s="483">
        <v>1557</v>
      </c>
      <c r="AE55" s="987">
        <v>1741</v>
      </c>
      <c r="AF55" s="1373">
        <v>1504</v>
      </c>
      <c r="AG55" s="1377">
        <v>1663</v>
      </c>
      <c r="AH55" s="1788">
        <v>1491</v>
      </c>
    </row>
    <row r="56" spans="1:34" ht="16.5" customHeight="1" x14ac:dyDescent="0.25">
      <c r="A56" s="404" t="s">
        <v>130</v>
      </c>
      <c r="B56" s="405" t="s">
        <v>491</v>
      </c>
      <c r="C56" s="1800" t="s">
        <v>268</v>
      </c>
      <c r="D56" s="479">
        <v>0.223</v>
      </c>
      <c r="E56" s="479">
        <v>0.21199999999999999</v>
      </c>
      <c r="F56" s="479">
        <v>0.23300000000000001</v>
      </c>
      <c r="G56" s="479">
        <v>0.21600000000000003</v>
      </c>
      <c r="H56" s="479">
        <v>0.21100000000000002</v>
      </c>
      <c r="I56" s="479">
        <v>0.26400000000000001</v>
      </c>
      <c r="J56" s="479">
        <v>0.22399999999999998</v>
      </c>
      <c r="K56" s="479">
        <v>0.22899999999999998</v>
      </c>
      <c r="L56" s="479">
        <v>0.23300000000000001</v>
      </c>
      <c r="M56" s="479">
        <v>0.26100000000000001</v>
      </c>
      <c r="N56" s="480">
        <v>0.255</v>
      </c>
      <c r="O56" s="980">
        <v>0.27600000000000002</v>
      </c>
      <c r="P56" s="980">
        <v>0.28399999999999997</v>
      </c>
      <c r="Q56" s="980">
        <v>0.2902290271676547</v>
      </c>
      <c r="R56" s="1792">
        <v>0.26576654300750585</v>
      </c>
      <c r="S56" s="481"/>
      <c r="T56" s="482">
        <v>5171</v>
      </c>
      <c r="U56" s="482">
        <v>4988</v>
      </c>
      <c r="V56" s="482">
        <v>5547</v>
      </c>
      <c r="W56" s="482">
        <v>5144</v>
      </c>
      <c r="X56" s="482">
        <v>4987</v>
      </c>
      <c r="Y56" s="482">
        <v>6163</v>
      </c>
      <c r="Z56" s="482">
        <v>5285</v>
      </c>
      <c r="AA56" s="482">
        <v>5343</v>
      </c>
      <c r="AB56" s="482">
        <v>5433</v>
      </c>
      <c r="AC56" s="482">
        <v>6079</v>
      </c>
      <c r="AD56" s="483">
        <v>6087</v>
      </c>
      <c r="AE56" s="987">
        <v>6454</v>
      </c>
      <c r="AF56" s="1373">
        <v>6734</v>
      </c>
      <c r="AG56" s="1377">
        <v>6805</v>
      </c>
      <c r="AH56" s="1788">
        <v>6161</v>
      </c>
    </row>
    <row r="57" spans="1:34" ht="16.5" customHeight="1" x14ac:dyDescent="0.25">
      <c r="A57" s="404" t="s">
        <v>132</v>
      </c>
      <c r="B57" s="405" t="s">
        <v>492</v>
      </c>
      <c r="C57" s="1800" t="s">
        <v>267</v>
      </c>
      <c r="D57" s="479">
        <v>2.7999999999999997E-2</v>
      </c>
      <c r="E57" s="479">
        <v>2.8999999999999998E-2</v>
      </c>
      <c r="F57" s="479">
        <v>3.2000000000000001E-2</v>
      </c>
      <c r="G57" s="479">
        <v>3.6000000000000004E-2</v>
      </c>
      <c r="H57" s="479">
        <v>3.4000000000000002E-2</v>
      </c>
      <c r="I57" s="479">
        <v>2.7000000000000003E-2</v>
      </c>
      <c r="J57" s="479">
        <v>2.8999999999999998E-2</v>
      </c>
      <c r="K57" s="479">
        <v>0.03</v>
      </c>
      <c r="L57" s="479">
        <v>3.1E-2</v>
      </c>
      <c r="M57" s="479">
        <v>3.4000000000000002E-2</v>
      </c>
      <c r="N57" s="480">
        <v>3.7000000000000005E-2</v>
      </c>
      <c r="O57" s="980">
        <v>0.04</v>
      </c>
      <c r="P57" s="980">
        <v>0.04</v>
      </c>
      <c r="Q57" s="980">
        <v>3.8353526207620114E-2</v>
      </c>
      <c r="R57" s="1792">
        <v>3.8950546060258932E-2</v>
      </c>
      <c r="S57" s="481"/>
      <c r="T57" s="482">
        <v>5340</v>
      </c>
      <c r="U57" s="482">
        <v>5869</v>
      </c>
      <c r="V57" s="482">
        <v>7055</v>
      </c>
      <c r="W57" s="482">
        <v>8721</v>
      </c>
      <c r="X57" s="482">
        <v>8788</v>
      </c>
      <c r="Y57" s="482">
        <v>6966</v>
      </c>
      <c r="Z57" s="482">
        <v>7794</v>
      </c>
      <c r="AA57" s="482">
        <v>8284</v>
      </c>
      <c r="AB57" s="482">
        <v>9033</v>
      </c>
      <c r="AC57" s="482">
        <v>10069</v>
      </c>
      <c r="AD57" s="483">
        <v>11525</v>
      </c>
      <c r="AE57" s="987">
        <v>12996</v>
      </c>
      <c r="AF57" s="1373">
        <v>13489</v>
      </c>
      <c r="AG57" s="1377">
        <v>13343</v>
      </c>
      <c r="AH57" s="1788">
        <v>14077</v>
      </c>
    </row>
    <row r="58" spans="1:34" ht="16.5" customHeight="1" x14ac:dyDescent="0.25">
      <c r="A58" s="404" t="s">
        <v>134</v>
      </c>
      <c r="B58" s="405" t="s">
        <v>493</v>
      </c>
      <c r="C58" s="1800" t="s">
        <v>267</v>
      </c>
      <c r="D58" s="479">
        <v>9.1999999999999998E-2</v>
      </c>
      <c r="E58" s="479">
        <v>9.0999999999999998E-2</v>
      </c>
      <c r="F58" s="479">
        <v>0.1</v>
      </c>
      <c r="G58" s="479">
        <v>0.10199999999999999</v>
      </c>
      <c r="H58" s="479">
        <v>9.6999999999999989E-2</v>
      </c>
      <c r="I58" s="479">
        <v>0.113</v>
      </c>
      <c r="J58" s="479">
        <v>9.9000000000000005E-2</v>
      </c>
      <c r="K58" s="479">
        <v>9.6999999999999989E-2</v>
      </c>
      <c r="L58" s="479">
        <v>9.6000000000000002E-2</v>
      </c>
      <c r="M58" s="479">
        <v>0.11699999999999999</v>
      </c>
      <c r="N58" s="480">
        <v>9.9000000000000019E-2</v>
      </c>
      <c r="O58" s="980">
        <v>0.10800000000000001</v>
      </c>
      <c r="P58" s="980">
        <v>0.11700000000000001</v>
      </c>
      <c r="Q58" s="980">
        <v>0.11738021821631879</v>
      </c>
      <c r="R58" s="1792">
        <v>0.11482132396016403</v>
      </c>
      <c r="S58" s="481"/>
      <c r="T58" s="482">
        <v>2411</v>
      </c>
      <c r="U58" s="482">
        <v>2456</v>
      </c>
      <c r="V58" s="482">
        <v>2793</v>
      </c>
      <c r="W58" s="482">
        <v>2928</v>
      </c>
      <c r="X58" s="482">
        <v>2911</v>
      </c>
      <c r="Y58" s="482">
        <v>3364</v>
      </c>
      <c r="Z58" s="482">
        <v>3054</v>
      </c>
      <c r="AA58" s="482">
        <v>3080</v>
      </c>
      <c r="AB58" s="482">
        <v>3119</v>
      </c>
      <c r="AC58" s="482">
        <v>3828</v>
      </c>
      <c r="AD58" s="483">
        <v>3259</v>
      </c>
      <c r="AE58" s="987">
        <v>3597</v>
      </c>
      <c r="AF58" s="1373">
        <v>3891</v>
      </c>
      <c r="AG58" s="1377">
        <v>3959</v>
      </c>
      <c r="AH58" s="1788">
        <v>3920</v>
      </c>
    </row>
    <row r="59" spans="1:34" ht="16.5" customHeight="1" x14ac:dyDescent="0.25">
      <c r="A59" s="404" t="s">
        <v>136</v>
      </c>
      <c r="B59" s="405" t="s">
        <v>494</v>
      </c>
      <c r="C59" s="1800" t="s">
        <v>266</v>
      </c>
      <c r="D59" s="479">
        <v>0.16300000000000001</v>
      </c>
      <c r="E59" s="479">
        <v>0.16600000000000001</v>
      </c>
      <c r="F59" s="479">
        <v>0.18</v>
      </c>
      <c r="G59" s="479">
        <v>0.17300000000000001</v>
      </c>
      <c r="H59" s="479">
        <v>0.17100000000000001</v>
      </c>
      <c r="I59" s="479">
        <v>0.22800000000000001</v>
      </c>
      <c r="J59" s="479">
        <v>0.19800000000000001</v>
      </c>
      <c r="K59" s="479">
        <v>0.193</v>
      </c>
      <c r="L59" s="479">
        <v>0.215</v>
      </c>
      <c r="M59" s="479">
        <v>0.22500000000000001</v>
      </c>
      <c r="N59" s="480">
        <v>0.20499999999999999</v>
      </c>
      <c r="O59" s="980">
        <v>0.22600000000000001</v>
      </c>
      <c r="P59" s="980">
        <v>0.27300000000000002</v>
      </c>
      <c r="Q59" s="980">
        <v>0.21353528278760286</v>
      </c>
      <c r="R59" s="1792">
        <v>0.22378293491537254</v>
      </c>
      <c r="S59" s="481"/>
      <c r="T59" s="482">
        <v>1965</v>
      </c>
      <c r="U59" s="482">
        <v>1986</v>
      </c>
      <c r="V59" s="482">
        <v>2164</v>
      </c>
      <c r="W59" s="482">
        <v>2061</v>
      </c>
      <c r="X59" s="482">
        <v>2055</v>
      </c>
      <c r="Y59" s="482">
        <v>2718</v>
      </c>
      <c r="Z59" s="482">
        <v>2368</v>
      </c>
      <c r="AA59" s="482">
        <v>2276</v>
      </c>
      <c r="AB59" s="482">
        <v>2516</v>
      </c>
      <c r="AC59" s="482">
        <v>2597</v>
      </c>
      <c r="AD59" s="483">
        <v>2396</v>
      </c>
      <c r="AE59" s="987">
        <v>2636</v>
      </c>
      <c r="AF59" s="1373">
        <v>3131</v>
      </c>
      <c r="AG59" s="1377">
        <v>2439</v>
      </c>
      <c r="AH59" s="1788">
        <v>2565</v>
      </c>
    </row>
    <row r="60" spans="1:34" ht="16.5" customHeight="1" x14ac:dyDescent="0.25">
      <c r="A60" s="404" t="s">
        <v>140</v>
      </c>
      <c r="B60" s="405" t="s">
        <v>495</v>
      </c>
      <c r="C60" s="1800" t="s">
        <v>267</v>
      </c>
      <c r="D60" s="479">
        <v>9.8000000000000004E-2</v>
      </c>
      <c r="E60" s="479">
        <v>8.900000000000001E-2</v>
      </c>
      <c r="F60" s="479">
        <v>9.4E-2</v>
      </c>
      <c r="G60" s="479">
        <v>9.5000000000000001E-2</v>
      </c>
      <c r="H60" s="479">
        <v>9.0999999999999998E-2</v>
      </c>
      <c r="I60" s="479">
        <v>9.8000000000000004E-2</v>
      </c>
      <c r="J60" s="479">
        <v>0.10199999999999999</v>
      </c>
      <c r="K60" s="479">
        <v>9.8000000000000004E-2</v>
      </c>
      <c r="L60" s="479">
        <v>0.107</v>
      </c>
      <c r="M60" s="479">
        <v>0.10800000000000001</v>
      </c>
      <c r="N60" s="480">
        <v>0.11699999999999999</v>
      </c>
      <c r="O60" s="980">
        <v>0.11900000000000001</v>
      </c>
      <c r="P60" s="980">
        <v>0.13</v>
      </c>
      <c r="Q60" s="980">
        <v>0.1266191461638691</v>
      </c>
      <c r="R60" s="1792">
        <v>0.12283803520639557</v>
      </c>
      <c r="S60" s="481"/>
      <c r="T60" s="482">
        <v>1235</v>
      </c>
      <c r="U60" s="482">
        <v>1141</v>
      </c>
      <c r="V60" s="482">
        <v>1221</v>
      </c>
      <c r="W60" s="482">
        <v>1231</v>
      </c>
      <c r="X60" s="482">
        <v>1209</v>
      </c>
      <c r="Y60" s="482">
        <v>1293</v>
      </c>
      <c r="Z60" s="482">
        <v>1369</v>
      </c>
      <c r="AA60" s="482">
        <v>1319</v>
      </c>
      <c r="AB60" s="482">
        <v>1434</v>
      </c>
      <c r="AC60" s="482">
        <v>1456</v>
      </c>
      <c r="AD60" s="483">
        <v>1544</v>
      </c>
      <c r="AE60" s="987">
        <v>1549</v>
      </c>
      <c r="AF60" s="1373">
        <v>1693</v>
      </c>
      <c r="AG60" s="1377">
        <v>1652</v>
      </c>
      <c r="AH60" s="1788">
        <v>1598</v>
      </c>
    </row>
    <row r="61" spans="1:34" ht="16.5" customHeight="1" x14ac:dyDescent="0.25">
      <c r="A61" s="404" t="s">
        <v>146</v>
      </c>
      <c r="B61" s="405" t="s">
        <v>496</v>
      </c>
      <c r="C61" s="1800" t="s">
        <v>264</v>
      </c>
      <c r="D61" s="479">
        <v>8.6999999999999994E-2</v>
      </c>
      <c r="E61" s="479">
        <v>8.5999999999999993E-2</v>
      </c>
      <c r="F61" s="479">
        <v>8.900000000000001E-2</v>
      </c>
      <c r="G61" s="479">
        <v>8.6999999999999994E-2</v>
      </c>
      <c r="H61" s="479">
        <v>8.3000000000000004E-2</v>
      </c>
      <c r="I61" s="479">
        <v>8.1000000000000003E-2</v>
      </c>
      <c r="J61" s="479">
        <v>8.3000000000000004E-2</v>
      </c>
      <c r="K61" s="479">
        <v>8.1000000000000003E-2</v>
      </c>
      <c r="L61" s="479">
        <v>8.6999999999999994E-2</v>
      </c>
      <c r="M61" s="479">
        <v>9.6999999999999989E-2</v>
      </c>
      <c r="N61" s="480">
        <v>0.10199999999999999</v>
      </c>
      <c r="O61" s="980">
        <v>0.1</v>
      </c>
      <c r="P61" s="980">
        <v>0.104</v>
      </c>
      <c r="Q61" s="980">
        <v>0.10547229791099001</v>
      </c>
      <c r="R61" s="1792">
        <v>0.10593075077134041</v>
      </c>
      <c r="S61" s="481"/>
      <c r="T61" s="485">
        <v>799</v>
      </c>
      <c r="U61" s="485">
        <v>785</v>
      </c>
      <c r="V61" s="485">
        <v>819</v>
      </c>
      <c r="W61" s="485">
        <v>800</v>
      </c>
      <c r="X61" s="485">
        <v>766</v>
      </c>
      <c r="Y61" s="485">
        <v>735</v>
      </c>
      <c r="Z61" s="485">
        <v>756</v>
      </c>
      <c r="AA61" s="485">
        <v>723</v>
      </c>
      <c r="AB61" s="482">
        <v>777</v>
      </c>
      <c r="AC61" s="482">
        <v>860</v>
      </c>
      <c r="AD61" s="483">
        <v>903</v>
      </c>
      <c r="AE61" s="987">
        <v>888</v>
      </c>
      <c r="AF61" s="1373">
        <v>917</v>
      </c>
      <c r="AG61" s="1377">
        <v>929</v>
      </c>
      <c r="AH61" s="1788">
        <v>927</v>
      </c>
    </row>
    <row r="62" spans="1:34" ht="16.5" customHeight="1" x14ac:dyDescent="0.25">
      <c r="A62" s="404" t="s">
        <v>148</v>
      </c>
      <c r="B62" s="405" t="s">
        <v>497</v>
      </c>
      <c r="C62" s="1800" t="s">
        <v>265</v>
      </c>
      <c r="D62" s="479">
        <v>0.13400000000000001</v>
      </c>
      <c r="E62" s="479">
        <v>0.13300000000000001</v>
      </c>
      <c r="F62" s="479">
        <v>0.153</v>
      </c>
      <c r="G62" s="479">
        <v>0.154</v>
      </c>
      <c r="H62" s="479">
        <v>0.14800000000000002</v>
      </c>
      <c r="I62" s="479">
        <v>0.16399999999999998</v>
      </c>
      <c r="J62" s="479">
        <v>0.14800000000000002</v>
      </c>
      <c r="K62" s="479">
        <v>0.16</v>
      </c>
      <c r="L62" s="479">
        <v>0.17399999999999999</v>
      </c>
      <c r="M62" s="479">
        <v>0.188</v>
      </c>
      <c r="N62" s="480">
        <v>0.20199999999999999</v>
      </c>
      <c r="O62" s="980">
        <v>0.19</v>
      </c>
      <c r="P62" s="980">
        <v>0.19900000000000001</v>
      </c>
      <c r="Q62" s="980">
        <v>0.17092054327143888</v>
      </c>
      <c r="R62" s="1792">
        <v>0.21091581868640147</v>
      </c>
      <c r="S62" s="481"/>
      <c r="T62" s="482">
        <v>4156</v>
      </c>
      <c r="U62" s="482">
        <v>4113</v>
      </c>
      <c r="V62" s="482">
        <v>4773</v>
      </c>
      <c r="W62" s="482">
        <v>4779</v>
      </c>
      <c r="X62" s="482">
        <v>4609</v>
      </c>
      <c r="Y62" s="482">
        <v>5062</v>
      </c>
      <c r="Z62" s="482">
        <v>4570</v>
      </c>
      <c r="AA62" s="482">
        <v>4889</v>
      </c>
      <c r="AB62" s="482">
        <v>5331</v>
      </c>
      <c r="AC62" s="482">
        <v>5731</v>
      </c>
      <c r="AD62" s="483">
        <v>6241</v>
      </c>
      <c r="AE62" s="987">
        <v>5870</v>
      </c>
      <c r="AF62" s="1373">
        <v>6119</v>
      </c>
      <c r="AG62" s="1377">
        <v>5210</v>
      </c>
      <c r="AH62" s="1788">
        <v>6384</v>
      </c>
    </row>
    <row r="63" spans="1:34" ht="16.5" customHeight="1" x14ac:dyDescent="0.25">
      <c r="A63" s="404" t="s">
        <v>150</v>
      </c>
      <c r="B63" s="405" t="s">
        <v>498</v>
      </c>
      <c r="C63" s="1800" t="s">
        <v>266</v>
      </c>
      <c r="D63" s="479">
        <v>0.115</v>
      </c>
      <c r="E63" s="479">
        <v>0.11199999999999999</v>
      </c>
      <c r="F63" s="479">
        <v>0.11800000000000001</v>
      </c>
      <c r="G63" s="479">
        <v>0.11599999999999999</v>
      </c>
      <c r="H63" s="479">
        <v>0.11599999999999999</v>
      </c>
      <c r="I63" s="479">
        <v>0.13300000000000001</v>
      </c>
      <c r="J63" s="479">
        <v>0.127</v>
      </c>
      <c r="K63" s="479">
        <v>0.122</v>
      </c>
      <c r="L63" s="479">
        <v>0.124</v>
      </c>
      <c r="M63" s="479">
        <v>0.13800000000000001</v>
      </c>
      <c r="N63" s="480">
        <v>0.13599999999999998</v>
      </c>
      <c r="O63" s="980">
        <v>0.128</v>
      </c>
      <c r="P63" s="980">
        <v>0.14799999999999999</v>
      </c>
      <c r="Q63" s="980">
        <v>0.15497160458176917</v>
      </c>
      <c r="R63" s="1792">
        <v>0.14419910904512881</v>
      </c>
      <c r="S63" s="481"/>
      <c r="T63" s="482">
        <v>1117</v>
      </c>
      <c r="U63" s="482">
        <v>1103</v>
      </c>
      <c r="V63" s="482">
        <v>1189</v>
      </c>
      <c r="W63" s="482">
        <v>1193</v>
      </c>
      <c r="X63" s="482">
        <v>1190</v>
      </c>
      <c r="Y63" s="482">
        <v>1354</v>
      </c>
      <c r="Z63" s="482">
        <v>1307</v>
      </c>
      <c r="AA63" s="482">
        <v>1259</v>
      </c>
      <c r="AB63" s="482">
        <v>1272</v>
      </c>
      <c r="AC63" s="482">
        <v>1435</v>
      </c>
      <c r="AD63" s="483">
        <v>1442</v>
      </c>
      <c r="AE63" s="987">
        <v>1343</v>
      </c>
      <c r="AF63" s="1373">
        <v>1544</v>
      </c>
      <c r="AG63" s="1377">
        <v>1610</v>
      </c>
      <c r="AH63" s="1788">
        <v>1489</v>
      </c>
    </row>
    <row r="64" spans="1:34" ht="16.5" customHeight="1" x14ac:dyDescent="0.25">
      <c r="A64" s="404" t="s">
        <v>152</v>
      </c>
      <c r="B64" s="405" t="s">
        <v>499</v>
      </c>
      <c r="C64" s="1800" t="s">
        <v>268</v>
      </c>
      <c r="D64" s="479">
        <v>0.125</v>
      </c>
      <c r="E64" s="479">
        <v>0.128</v>
      </c>
      <c r="F64" s="479">
        <v>0.14000000000000001</v>
      </c>
      <c r="G64" s="479">
        <v>0.152</v>
      </c>
      <c r="H64" s="479">
        <v>0.14899999999999999</v>
      </c>
      <c r="I64" s="479">
        <v>0.20899999999999999</v>
      </c>
      <c r="J64" s="479">
        <v>0.20300000000000001</v>
      </c>
      <c r="K64" s="479">
        <v>0.19899999999999998</v>
      </c>
      <c r="L64" s="479">
        <v>0.20600000000000002</v>
      </c>
      <c r="M64" s="479">
        <v>0.19</v>
      </c>
      <c r="N64" s="480">
        <v>0.20500000000000002</v>
      </c>
      <c r="O64" s="980">
        <v>0.22500000000000001</v>
      </c>
      <c r="P64" s="980">
        <v>0.23300000000000001</v>
      </c>
      <c r="Q64" s="980">
        <v>0.23402582688817211</v>
      </c>
      <c r="R64" s="1792">
        <v>0.24846957969015401</v>
      </c>
      <c r="S64" s="481"/>
      <c r="T64" s="482">
        <v>9453</v>
      </c>
      <c r="U64" s="482">
        <v>9761</v>
      </c>
      <c r="V64" s="482">
        <v>10779</v>
      </c>
      <c r="W64" s="482">
        <v>11417</v>
      </c>
      <c r="X64" s="482">
        <v>11267</v>
      </c>
      <c r="Y64" s="482">
        <v>15671</v>
      </c>
      <c r="Z64" s="482">
        <v>15296</v>
      </c>
      <c r="AA64" s="482">
        <v>15836</v>
      </c>
      <c r="AB64" s="482">
        <v>16498</v>
      </c>
      <c r="AC64" s="482">
        <v>15475</v>
      </c>
      <c r="AD64" s="483">
        <v>17470</v>
      </c>
      <c r="AE64" s="987">
        <v>19169</v>
      </c>
      <c r="AF64" s="1373">
        <v>20087</v>
      </c>
      <c r="AG64" s="1377">
        <v>20243</v>
      </c>
      <c r="AH64" s="1788">
        <v>21796</v>
      </c>
    </row>
    <row r="65" spans="1:34" ht="16.5" customHeight="1" x14ac:dyDescent="0.25">
      <c r="A65" s="404" t="s">
        <v>154</v>
      </c>
      <c r="B65" s="405" t="s">
        <v>500</v>
      </c>
      <c r="C65" s="1800" t="s">
        <v>265</v>
      </c>
      <c r="D65" s="479">
        <v>0.10300000000000001</v>
      </c>
      <c r="E65" s="479">
        <v>0.10199999999999999</v>
      </c>
      <c r="F65" s="479">
        <v>0.109</v>
      </c>
      <c r="G65" s="479">
        <v>0.11199999999999999</v>
      </c>
      <c r="H65" s="479">
        <v>0.10400000000000001</v>
      </c>
      <c r="I65" s="479">
        <v>0.11900000000000001</v>
      </c>
      <c r="J65" s="479">
        <v>0.113</v>
      </c>
      <c r="K65" s="479">
        <v>0.114</v>
      </c>
      <c r="L65" s="479">
        <v>0.13200000000000001</v>
      </c>
      <c r="M65" s="479">
        <v>0.127</v>
      </c>
      <c r="N65" s="480">
        <v>0.13100000000000001</v>
      </c>
      <c r="O65" s="980">
        <v>0.13600000000000001</v>
      </c>
      <c r="P65" s="980">
        <v>0.14099999999999999</v>
      </c>
      <c r="Q65" s="980">
        <v>0.15804167234100505</v>
      </c>
      <c r="R65" s="1792">
        <v>0.1338801518438178</v>
      </c>
      <c r="S65" s="481"/>
      <c r="T65" s="482">
        <v>1493</v>
      </c>
      <c r="U65" s="482">
        <v>1495</v>
      </c>
      <c r="V65" s="482">
        <v>1638</v>
      </c>
      <c r="W65" s="482">
        <v>1674</v>
      </c>
      <c r="X65" s="482">
        <v>1574</v>
      </c>
      <c r="Y65" s="482">
        <v>1770</v>
      </c>
      <c r="Z65" s="482">
        <v>1704</v>
      </c>
      <c r="AA65" s="482">
        <v>1730</v>
      </c>
      <c r="AB65" s="482">
        <v>2009</v>
      </c>
      <c r="AC65" s="482">
        <v>1960</v>
      </c>
      <c r="AD65" s="483">
        <v>1956</v>
      </c>
      <c r="AE65" s="987">
        <v>2036</v>
      </c>
      <c r="AF65" s="1373">
        <v>2075</v>
      </c>
      <c r="AG65" s="1377">
        <v>2321</v>
      </c>
      <c r="AH65" s="1788">
        <v>1975</v>
      </c>
    </row>
    <row r="66" spans="1:34" ht="16.5" customHeight="1" x14ac:dyDescent="0.25">
      <c r="A66" s="404" t="s">
        <v>156</v>
      </c>
      <c r="B66" s="405" t="s">
        <v>501</v>
      </c>
      <c r="C66" s="1800" t="s">
        <v>266</v>
      </c>
      <c r="D66" s="479">
        <v>5.0999999999999997E-2</v>
      </c>
      <c r="E66" s="479">
        <v>5.2000000000000005E-2</v>
      </c>
      <c r="F66" s="479">
        <v>5.7000000000000002E-2</v>
      </c>
      <c r="G66" s="479">
        <v>5.5999999999999994E-2</v>
      </c>
      <c r="H66" s="479">
        <v>5.5E-2</v>
      </c>
      <c r="I66" s="479">
        <v>5.2000000000000005E-2</v>
      </c>
      <c r="J66" s="479">
        <v>5.5E-2</v>
      </c>
      <c r="K66" s="479">
        <v>5.2999999999999999E-2</v>
      </c>
      <c r="L66" s="479">
        <v>5.5999999999999994E-2</v>
      </c>
      <c r="M66" s="479">
        <v>5.5999999999999994E-2</v>
      </c>
      <c r="N66" s="480">
        <v>5.7999999999999996E-2</v>
      </c>
      <c r="O66" s="980">
        <v>6.9000000000000006E-2</v>
      </c>
      <c r="P66" s="980">
        <v>6.7000000000000004E-2</v>
      </c>
      <c r="Q66" s="980">
        <v>6.6663142313385493E-2</v>
      </c>
      <c r="R66" s="1792">
        <v>6.1789370787672993E-2</v>
      </c>
      <c r="S66" s="481"/>
      <c r="T66" s="485">
        <v>683</v>
      </c>
      <c r="U66" s="485">
        <v>720</v>
      </c>
      <c r="V66" s="485">
        <v>823</v>
      </c>
      <c r="W66" s="485">
        <v>858</v>
      </c>
      <c r="X66" s="485">
        <v>864</v>
      </c>
      <c r="Y66" s="485">
        <v>821</v>
      </c>
      <c r="Z66" s="485">
        <v>905</v>
      </c>
      <c r="AA66" s="485">
        <v>880</v>
      </c>
      <c r="AB66" s="482">
        <v>959</v>
      </c>
      <c r="AC66" s="482">
        <v>981</v>
      </c>
      <c r="AD66" s="483">
        <v>1037</v>
      </c>
      <c r="AE66" s="987">
        <v>1257</v>
      </c>
      <c r="AF66" s="1373">
        <v>1238</v>
      </c>
      <c r="AG66" s="1377">
        <v>1261</v>
      </c>
      <c r="AH66" s="1788">
        <v>1201</v>
      </c>
    </row>
    <row r="67" spans="1:34" ht="16.5" customHeight="1" x14ac:dyDescent="0.25">
      <c r="A67" s="404" t="s">
        <v>162</v>
      </c>
      <c r="B67" s="405" t="s">
        <v>502</v>
      </c>
      <c r="C67" s="1800" t="s">
        <v>264</v>
      </c>
      <c r="D67" s="479">
        <v>0.18600000000000003</v>
      </c>
      <c r="E67" s="479">
        <v>0.17600000000000002</v>
      </c>
      <c r="F67" s="479">
        <v>0.184</v>
      </c>
      <c r="G67" s="479">
        <v>0.18100000000000002</v>
      </c>
      <c r="H67" s="479">
        <v>0.17600000000000002</v>
      </c>
      <c r="I67" s="479">
        <v>0.19899999999999998</v>
      </c>
      <c r="J67" s="479">
        <v>0.18899999999999997</v>
      </c>
      <c r="K67" s="479">
        <v>0.20800000000000002</v>
      </c>
      <c r="L67" s="479">
        <v>0.19500000000000001</v>
      </c>
      <c r="M67" s="479">
        <v>0.20600000000000002</v>
      </c>
      <c r="N67" s="480">
        <v>0.18699999999999997</v>
      </c>
      <c r="O67" s="980">
        <v>0.22699999999999998</v>
      </c>
      <c r="P67" s="980">
        <v>0.22500000000000001</v>
      </c>
      <c r="Q67" s="980">
        <v>0.22372624852866993</v>
      </c>
      <c r="R67" s="1792">
        <v>0.21479613282891971</v>
      </c>
      <c r="S67" s="481"/>
      <c r="T67" s="482">
        <v>2377</v>
      </c>
      <c r="U67" s="482">
        <v>2271</v>
      </c>
      <c r="V67" s="482">
        <v>2426</v>
      </c>
      <c r="W67" s="482">
        <v>2380</v>
      </c>
      <c r="X67" s="482">
        <v>2359</v>
      </c>
      <c r="Y67" s="482">
        <v>2614</v>
      </c>
      <c r="Z67" s="482">
        <v>2527</v>
      </c>
      <c r="AA67" s="482">
        <v>2732</v>
      </c>
      <c r="AB67" s="482">
        <v>2560</v>
      </c>
      <c r="AC67" s="482">
        <v>2723</v>
      </c>
      <c r="AD67" s="483">
        <v>2258</v>
      </c>
      <c r="AE67" s="987">
        <v>2744</v>
      </c>
      <c r="AF67" s="1373">
        <v>2705</v>
      </c>
      <c r="AG67" s="1377">
        <v>2661</v>
      </c>
      <c r="AH67" s="1788">
        <v>2555</v>
      </c>
    </row>
    <row r="68" spans="1:34" ht="16.5" customHeight="1" x14ac:dyDescent="0.25">
      <c r="A68" s="404" t="s">
        <v>164</v>
      </c>
      <c r="B68" s="405" t="s">
        <v>503</v>
      </c>
      <c r="C68" s="1800" t="s">
        <v>266</v>
      </c>
      <c r="D68" s="479">
        <v>0.11800000000000001</v>
      </c>
      <c r="E68" s="479">
        <v>0.11699999999999999</v>
      </c>
      <c r="F68" s="479">
        <v>0.13</v>
      </c>
      <c r="G68" s="479">
        <v>0.12300000000000001</v>
      </c>
      <c r="H68" s="479">
        <v>0.11800000000000001</v>
      </c>
      <c r="I68" s="479">
        <v>0.124</v>
      </c>
      <c r="J68" s="479">
        <v>0.13400000000000001</v>
      </c>
      <c r="K68" s="479">
        <v>0.13600000000000001</v>
      </c>
      <c r="L68" s="479">
        <v>0.13</v>
      </c>
      <c r="M68" s="479">
        <v>0.13600000000000001</v>
      </c>
      <c r="N68" s="480">
        <v>0.14399999999999999</v>
      </c>
      <c r="O68" s="980">
        <v>0.13800000000000001</v>
      </c>
      <c r="P68" s="980">
        <v>0.14699999999999999</v>
      </c>
      <c r="Q68" s="980">
        <v>0.16063794804340678</v>
      </c>
      <c r="R68" s="1792">
        <v>0.14321957607005484</v>
      </c>
      <c r="S68" s="481"/>
      <c r="T68" s="482">
        <v>1458</v>
      </c>
      <c r="U68" s="482">
        <v>1477</v>
      </c>
      <c r="V68" s="482">
        <v>1666</v>
      </c>
      <c r="W68" s="482">
        <v>1592</v>
      </c>
      <c r="X68" s="482">
        <v>1523</v>
      </c>
      <c r="Y68" s="482">
        <v>1591</v>
      </c>
      <c r="Z68" s="482">
        <v>1709</v>
      </c>
      <c r="AA68" s="482">
        <v>1756</v>
      </c>
      <c r="AB68" s="482">
        <v>1679</v>
      </c>
      <c r="AC68" s="482">
        <v>1766</v>
      </c>
      <c r="AD68" s="483">
        <v>1766</v>
      </c>
      <c r="AE68" s="987">
        <v>1719</v>
      </c>
      <c r="AF68" s="1373">
        <v>1816</v>
      </c>
      <c r="AG68" s="1377">
        <v>1954</v>
      </c>
      <c r="AH68" s="1788">
        <v>1750</v>
      </c>
    </row>
    <row r="69" spans="1:34" ht="16.5" customHeight="1" x14ac:dyDescent="0.25">
      <c r="A69" s="404" t="s">
        <v>168</v>
      </c>
      <c r="B69" s="405" t="s">
        <v>504</v>
      </c>
      <c r="C69" s="1800" t="s">
        <v>266</v>
      </c>
      <c r="D69" s="479">
        <v>0.16399999999999998</v>
      </c>
      <c r="E69" s="479">
        <v>0.156</v>
      </c>
      <c r="F69" s="479">
        <v>0.17</v>
      </c>
      <c r="G69" s="479">
        <v>0.17300000000000001</v>
      </c>
      <c r="H69" s="479">
        <v>0.16800000000000001</v>
      </c>
      <c r="I69" s="479">
        <v>0.19399999999999998</v>
      </c>
      <c r="J69" s="479">
        <v>0.193</v>
      </c>
      <c r="K69" s="479">
        <v>0.19899999999999998</v>
      </c>
      <c r="L69" s="479">
        <v>0.20600000000000002</v>
      </c>
      <c r="M69" s="479">
        <v>0.20300000000000001</v>
      </c>
      <c r="N69" s="480">
        <v>0.20799999999999999</v>
      </c>
      <c r="O69" s="980">
        <v>0.221</v>
      </c>
      <c r="P69" s="980">
        <v>0.23300000000000001</v>
      </c>
      <c r="Q69" s="980">
        <v>0.2353453911527566</v>
      </c>
      <c r="R69" s="1792">
        <v>0.24342873831775702</v>
      </c>
      <c r="S69" s="481"/>
      <c r="T69" s="482">
        <v>2331</v>
      </c>
      <c r="U69" s="482">
        <v>2210</v>
      </c>
      <c r="V69" s="482">
        <v>2405</v>
      </c>
      <c r="W69" s="482">
        <v>2444</v>
      </c>
      <c r="X69" s="482">
        <v>2367</v>
      </c>
      <c r="Y69" s="482">
        <v>2703</v>
      </c>
      <c r="Z69" s="482">
        <v>2702</v>
      </c>
      <c r="AA69" s="482">
        <v>2785</v>
      </c>
      <c r="AB69" s="482">
        <v>2921</v>
      </c>
      <c r="AC69" s="482">
        <v>2880</v>
      </c>
      <c r="AD69" s="483">
        <v>2903</v>
      </c>
      <c r="AE69" s="987">
        <v>3085</v>
      </c>
      <c r="AF69" s="1373">
        <v>3226</v>
      </c>
      <c r="AG69" s="1377">
        <v>3240</v>
      </c>
      <c r="AH69" s="1788">
        <v>3334</v>
      </c>
    </row>
    <row r="70" spans="1:34" ht="16.5" customHeight="1" x14ac:dyDescent="0.25">
      <c r="A70" s="404" t="s">
        <v>170</v>
      </c>
      <c r="B70" s="405" t="s">
        <v>505</v>
      </c>
      <c r="C70" s="1800" t="s">
        <v>267</v>
      </c>
      <c r="D70" s="479">
        <v>8.900000000000001E-2</v>
      </c>
      <c r="E70" s="479">
        <v>8.6999999999999994E-2</v>
      </c>
      <c r="F70" s="479">
        <v>8.8000000000000009E-2</v>
      </c>
      <c r="G70" s="479">
        <v>8.5999999999999993E-2</v>
      </c>
      <c r="H70" s="479">
        <v>0.08</v>
      </c>
      <c r="I70" s="479">
        <v>8.4000000000000005E-2</v>
      </c>
      <c r="J70" s="479">
        <v>7.8E-2</v>
      </c>
      <c r="K70" s="479">
        <v>8.5999999999999993E-2</v>
      </c>
      <c r="L70" s="479">
        <v>8.199999999999999E-2</v>
      </c>
      <c r="M70" s="479">
        <v>9.5000000000000001E-2</v>
      </c>
      <c r="N70" s="480">
        <v>0.10699999999999998</v>
      </c>
      <c r="O70" s="980">
        <v>0.11900000000000001</v>
      </c>
      <c r="P70" s="980">
        <v>0.1</v>
      </c>
      <c r="Q70" s="980">
        <v>0.10405337879544987</v>
      </c>
      <c r="R70" s="1792">
        <v>0.10683735816118708</v>
      </c>
      <c r="S70" s="481"/>
      <c r="T70" s="482">
        <v>2338</v>
      </c>
      <c r="U70" s="482">
        <v>2333</v>
      </c>
      <c r="V70" s="482">
        <v>2447</v>
      </c>
      <c r="W70" s="482">
        <v>2444</v>
      </c>
      <c r="X70" s="482">
        <v>2375</v>
      </c>
      <c r="Y70" s="482">
        <v>2490</v>
      </c>
      <c r="Z70" s="482">
        <v>2412</v>
      </c>
      <c r="AA70" s="482">
        <v>2728</v>
      </c>
      <c r="AB70" s="482">
        <v>2677</v>
      </c>
      <c r="AC70" s="482">
        <v>3130</v>
      </c>
      <c r="AD70" s="483">
        <v>3517</v>
      </c>
      <c r="AE70" s="987">
        <v>3950</v>
      </c>
      <c r="AF70" s="1373">
        <v>3364</v>
      </c>
      <c r="AG70" s="1377">
        <v>3540</v>
      </c>
      <c r="AH70" s="1788">
        <v>3672</v>
      </c>
    </row>
    <row r="71" spans="1:34" ht="16.5" customHeight="1" x14ac:dyDescent="0.25">
      <c r="A71" s="404" t="s">
        <v>172</v>
      </c>
      <c r="B71" s="405" t="s">
        <v>506</v>
      </c>
      <c r="C71" s="1800" t="s">
        <v>267</v>
      </c>
      <c r="D71" s="479">
        <v>0.106</v>
      </c>
      <c r="E71" s="479">
        <v>0.10099999999999999</v>
      </c>
      <c r="F71" s="479">
        <v>0.11</v>
      </c>
      <c r="G71" s="479">
        <v>0.12</v>
      </c>
      <c r="H71" s="479">
        <v>0.11599999999999999</v>
      </c>
      <c r="I71" s="479">
        <v>0.13300000000000001</v>
      </c>
      <c r="J71" s="479">
        <v>0.13</v>
      </c>
      <c r="K71" s="479">
        <v>0.122</v>
      </c>
      <c r="L71" s="479">
        <v>0.14199999999999999</v>
      </c>
      <c r="M71" s="479">
        <v>0.125</v>
      </c>
      <c r="N71" s="480">
        <v>0.15699999999999997</v>
      </c>
      <c r="O71" s="980">
        <v>0.17100000000000001</v>
      </c>
      <c r="P71" s="980">
        <v>0.156</v>
      </c>
      <c r="Q71" s="980">
        <v>0.15255675790367071</v>
      </c>
      <c r="R71" s="1792">
        <v>0.16910300410999535</v>
      </c>
      <c r="S71" s="481"/>
      <c r="T71" s="482">
        <v>2439</v>
      </c>
      <c r="U71" s="482">
        <v>2339</v>
      </c>
      <c r="V71" s="482">
        <v>2578</v>
      </c>
      <c r="W71" s="482">
        <v>2818</v>
      </c>
      <c r="X71" s="482">
        <v>2752</v>
      </c>
      <c r="Y71" s="482">
        <v>3116</v>
      </c>
      <c r="Z71" s="482">
        <v>3093</v>
      </c>
      <c r="AA71" s="482">
        <v>2912</v>
      </c>
      <c r="AB71" s="482">
        <v>3370</v>
      </c>
      <c r="AC71" s="482">
        <v>2964</v>
      </c>
      <c r="AD71" s="483">
        <v>3725</v>
      </c>
      <c r="AE71" s="987">
        <v>4055</v>
      </c>
      <c r="AF71" s="1373">
        <v>3683</v>
      </c>
      <c r="AG71" s="1377">
        <v>3595</v>
      </c>
      <c r="AH71" s="1788">
        <v>3991</v>
      </c>
    </row>
    <row r="72" spans="1:34" ht="16.5" customHeight="1" x14ac:dyDescent="0.25">
      <c r="A72" s="404" t="s">
        <v>174</v>
      </c>
      <c r="B72" s="405" t="s">
        <v>507</v>
      </c>
      <c r="C72" s="1800" t="s">
        <v>268</v>
      </c>
      <c r="D72" s="479">
        <v>0.125</v>
      </c>
      <c r="E72" s="479">
        <v>0.129</v>
      </c>
      <c r="F72" s="479">
        <v>0.13600000000000001</v>
      </c>
      <c r="G72" s="479">
        <v>0.14099999999999999</v>
      </c>
      <c r="H72" s="479">
        <v>0.14000000000000001</v>
      </c>
      <c r="I72" s="479">
        <v>0.161</v>
      </c>
      <c r="J72" s="479">
        <v>0.14099999999999999</v>
      </c>
      <c r="K72" s="479">
        <v>0.15</v>
      </c>
      <c r="L72" s="479">
        <v>0.17100000000000001</v>
      </c>
      <c r="M72" s="479">
        <v>0.17600000000000002</v>
      </c>
      <c r="N72" s="480">
        <v>0.187</v>
      </c>
      <c r="O72" s="980">
        <v>0.18</v>
      </c>
      <c r="P72" s="980">
        <v>0.18099999999999999</v>
      </c>
      <c r="Q72" s="980">
        <v>0.19443982942903029</v>
      </c>
      <c r="R72" s="1792">
        <v>0.21903012081732642</v>
      </c>
      <c r="S72" s="481"/>
      <c r="T72" s="482">
        <v>2427</v>
      </c>
      <c r="U72" s="482">
        <v>2471</v>
      </c>
      <c r="V72" s="482">
        <v>2610</v>
      </c>
      <c r="W72" s="482">
        <v>2701</v>
      </c>
      <c r="X72" s="482">
        <v>2690</v>
      </c>
      <c r="Y72" s="482">
        <v>3039</v>
      </c>
      <c r="Z72" s="482">
        <v>2686</v>
      </c>
      <c r="AA72" s="482">
        <v>2797</v>
      </c>
      <c r="AB72" s="482">
        <v>3185</v>
      </c>
      <c r="AC72" s="482">
        <v>3246</v>
      </c>
      <c r="AD72" s="483">
        <v>3407</v>
      </c>
      <c r="AE72" s="987">
        <v>3260</v>
      </c>
      <c r="AF72" s="1373">
        <v>3280</v>
      </c>
      <c r="AG72" s="1377">
        <v>3511</v>
      </c>
      <c r="AH72" s="1788">
        <v>3934</v>
      </c>
    </row>
    <row r="73" spans="1:34" ht="16.5" customHeight="1" x14ac:dyDescent="0.25">
      <c r="A73" s="404" t="s">
        <v>178</v>
      </c>
      <c r="B73" s="405" t="s">
        <v>179</v>
      </c>
      <c r="C73" s="1800" t="s">
        <v>265</v>
      </c>
      <c r="D73" s="479">
        <v>0.10099999999999999</v>
      </c>
      <c r="E73" s="479">
        <v>0.10199999999999999</v>
      </c>
      <c r="F73" s="479">
        <v>0.11599999999999999</v>
      </c>
      <c r="G73" s="479">
        <v>0.124</v>
      </c>
      <c r="H73" s="479">
        <v>0.121</v>
      </c>
      <c r="I73" s="479">
        <v>0.14300000000000002</v>
      </c>
      <c r="J73" s="479">
        <v>0.13</v>
      </c>
      <c r="K73" s="479">
        <v>0.121</v>
      </c>
      <c r="L73" s="479">
        <v>0.14400000000000002</v>
      </c>
      <c r="M73" s="479">
        <v>0.156</v>
      </c>
      <c r="N73" s="480">
        <v>0.159</v>
      </c>
      <c r="O73" s="980">
        <v>0.14699999999999999</v>
      </c>
      <c r="P73" s="980">
        <v>0.14499999999999999</v>
      </c>
      <c r="Q73" s="980">
        <v>0.15218242317478958</v>
      </c>
      <c r="R73" s="1792">
        <v>0.14556993001288807</v>
      </c>
      <c r="S73" s="481"/>
      <c r="T73" s="482">
        <v>6252</v>
      </c>
      <c r="U73" s="482">
        <v>6276</v>
      </c>
      <c r="V73" s="482">
        <v>7149</v>
      </c>
      <c r="W73" s="482">
        <v>7661</v>
      </c>
      <c r="X73" s="482">
        <v>7497</v>
      </c>
      <c r="Y73" s="482">
        <v>8779</v>
      </c>
      <c r="Z73" s="482">
        <v>7914</v>
      </c>
      <c r="AA73" s="482">
        <v>7281</v>
      </c>
      <c r="AB73" s="482">
        <v>8732</v>
      </c>
      <c r="AC73" s="482">
        <v>9386</v>
      </c>
      <c r="AD73" s="483">
        <v>9951</v>
      </c>
      <c r="AE73" s="987">
        <v>9113</v>
      </c>
      <c r="AF73" s="1373">
        <v>8965</v>
      </c>
      <c r="AG73" s="1377">
        <v>9330</v>
      </c>
      <c r="AH73" s="1788">
        <v>8923</v>
      </c>
    </row>
    <row r="74" spans="1:34" ht="16.5" customHeight="1" x14ac:dyDescent="0.25">
      <c r="A74" s="404" t="s">
        <v>182</v>
      </c>
      <c r="B74" s="405" t="s">
        <v>509</v>
      </c>
      <c r="C74" s="1800" t="s">
        <v>266</v>
      </c>
      <c r="D74" s="479">
        <v>5.4000000000000006E-2</v>
      </c>
      <c r="E74" s="479">
        <v>5.2999999999999999E-2</v>
      </c>
      <c r="F74" s="479">
        <v>5.5999999999999994E-2</v>
      </c>
      <c r="G74" s="479">
        <v>5.9000000000000004E-2</v>
      </c>
      <c r="H74" s="479">
        <v>5.7000000000000002E-2</v>
      </c>
      <c r="I74" s="479">
        <v>5.9000000000000004E-2</v>
      </c>
      <c r="J74" s="479">
        <v>5.7999999999999996E-2</v>
      </c>
      <c r="K74" s="479">
        <v>5.7999999999999996E-2</v>
      </c>
      <c r="L74" s="479">
        <v>5.7999999999999996E-2</v>
      </c>
      <c r="M74" s="479">
        <v>6.0999999999999999E-2</v>
      </c>
      <c r="N74" s="480">
        <v>7.1000000000000008E-2</v>
      </c>
      <c r="O74" s="980">
        <v>7.400000000000001E-2</v>
      </c>
      <c r="P74" s="980">
        <v>7.0999999999999994E-2</v>
      </c>
      <c r="Q74" s="980">
        <v>7.7032700381311867E-2</v>
      </c>
      <c r="R74" s="1792">
        <v>7.0709765952580619E-2</v>
      </c>
      <c r="S74" s="481"/>
      <c r="T74" s="482">
        <v>1116</v>
      </c>
      <c r="U74" s="482">
        <v>1152</v>
      </c>
      <c r="V74" s="482">
        <v>1271</v>
      </c>
      <c r="W74" s="482">
        <v>1383</v>
      </c>
      <c r="X74" s="482">
        <v>1375</v>
      </c>
      <c r="Y74" s="482">
        <v>1404</v>
      </c>
      <c r="Z74" s="482">
        <v>1445</v>
      </c>
      <c r="AA74" s="482">
        <v>1451</v>
      </c>
      <c r="AB74" s="482">
        <v>1489</v>
      </c>
      <c r="AC74" s="482">
        <v>1573</v>
      </c>
      <c r="AD74" s="483">
        <v>1821</v>
      </c>
      <c r="AE74" s="987">
        <v>1894</v>
      </c>
      <c r="AF74" s="1373">
        <v>1821</v>
      </c>
      <c r="AG74" s="1377">
        <v>2000</v>
      </c>
      <c r="AH74" s="1788">
        <v>1855</v>
      </c>
    </row>
    <row r="75" spans="1:34" ht="16.5" customHeight="1" x14ac:dyDescent="0.25">
      <c r="A75" s="404" t="s">
        <v>184</v>
      </c>
      <c r="B75" s="405" t="s">
        <v>510</v>
      </c>
      <c r="C75" s="1800" t="s">
        <v>266</v>
      </c>
      <c r="D75" s="479">
        <v>0.18600000000000003</v>
      </c>
      <c r="E75" s="479">
        <v>0.19699999999999998</v>
      </c>
      <c r="F75" s="479">
        <v>0.221</v>
      </c>
      <c r="G75" s="479">
        <v>0.184</v>
      </c>
      <c r="H75" s="479">
        <v>0.187</v>
      </c>
      <c r="I75" s="479">
        <v>0.222</v>
      </c>
      <c r="J75" s="479">
        <v>0.19600000000000001</v>
      </c>
      <c r="K75" s="479">
        <v>0.20300000000000001</v>
      </c>
      <c r="L75" s="479">
        <v>0.23699999999999999</v>
      </c>
      <c r="M75" s="479">
        <v>0.222</v>
      </c>
      <c r="N75" s="480">
        <v>0.22800000000000001</v>
      </c>
      <c r="O75" s="980">
        <v>0.25</v>
      </c>
      <c r="P75" s="980">
        <v>0.23699999999999999</v>
      </c>
      <c r="Q75" s="980">
        <v>0.23520915801861561</v>
      </c>
      <c r="R75" s="1792">
        <v>0.25497038917089676</v>
      </c>
      <c r="S75" s="481"/>
      <c r="T75" s="482">
        <v>2980</v>
      </c>
      <c r="U75" s="482">
        <v>3195</v>
      </c>
      <c r="V75" s="482">
        <v>3635</v>
      </c>
      <c r="W75" s="482">
        <v>3050</v>
      </c>
      <c r="X75" s="482">
        <v>3136</v>
      </c>
      <c r="Y75" s="482">
        <v>3653</v>
      </c>
      <c r="Z75" s="482">
        <v>3275</v>
      </c>
      <c r="AA75" s="482">
        <v>3449</v>
      </c>
      <c r="AB75" s="482">
        <v>4105</v>
      </c>
      <c r="AC75" s="482">
        <v>3897</v>
      </c>
      <c r="AD75" s="483">
        <v>4338</v>
      </c>
      <c r="AE75" s="987">
        <v>4748</v>
      </c>
      <c r="AF75" s="1373">
        <v>4460</v>
      </c>
      <c r="AG75" s="1377">
        <v>4397</v>
      </c>
      <c r="AH75" s="1788">
        <v>4822</v>
      </c>
    </row>
    <row r="76" spans="1:34" ht="16.5" customHeight="1" x14ac:dyDescent="0.25">
      <c r="A76" s="404" t="s">
        <v>186</v>
      </c>
      <c r="B76" s="405" t="s">
        <v>511</v>
      </c>
      <c r="C76" s="1800" t="s">
        <v>264</v>
      </c>
      <c r="D76" s="479">
        <v>7.5999999999999998E-2</v>
      </c>
      <c r="E76" s="479">
        <v>7.5999999999999998E-2</v>
      </c>
      <c r="F76" s="479">
        <v>8.1000000000000003E-2</v>
      </c>
      <c r="G76" s="479">
        <v>9.1999999999999998E-2</v>
      </c>
      <c r="H76" s="479">
        <v>8.5999999999999993E-2</v>
      </c>
      <c r="I76" s="479">
        <v>9.1999999999999998E-2</v>
      </c>
      <c r="J76" s="479">
        <v>8.5999999999999993E-2</v>
      </c>
      <c r="K76" s="479">
        <v>9.3000000000000013E-2</v>
      </c>
      <c r="L76" s="479">
        <v>0.105</v>
      </c>
      <c r="M76" s="479">
        <v>0.10199999999999999</v>
      </c>
      <c r="N76" s="480">
        <v>9.6999999999999989E-2</v>
      </c>
      <c r="O76" s="980">
        <v>0.107</v>
      </c>
      <c r="P76" s="980">
        <v>8.6999999999999994E-2</v>
      </c>
      <c r="Q76" s="980">
        <v>0.12900234886883422</v>
      </c>
      <c r="R76" s="1792">
        <v>0.10496949630583402</v>
      </c>
      <c r="S76" s="481"/>
      <c r="T76" s="482">
        <v>2206</v>
      </c>
      <c r="U76" s="482">
        <v>2201</v>
      </c>
      <c r="V76" s="482">
        <v>2373</v>
      </c>
      <c r="W76" s="482">
        <v>2716</v>
      </c>
      <c r="X76" s="482">
        <v>2557</v>
      </c>
      <c r="Y76" s="482">
        <v>2706</v>
      </c>
      <c r="Z76" s="482">
        <v>2498</v>
      </c>
      <c r="AA76" s="482">
        <v>2663</v>
      </c>
      <c r="AB76" s="482">
        <v>3018</v>
      </c>
      <c r="AC76" s="482">
        <v>3025</v>
      </c>
      <c r="AD76" s="483">
        <v>3002</v>
      </c>
      <c r="AE76" s="987">
        <v>3404</v>
      </c>
      <c r="AF76" s="1373">
        <v>2781</v>
      </c>
      <c r="AG76" s="1377">
        <v>4174</v>
      </c>
      <c r="AH76" s="1788">
        <v>3424</v>
      </c>
    </row>
    <row r="77" spans="1:34" ht="16.5" customHeight="1" x14ac:dyDescent="0.25">
      <c r="A77" s="404" t="s">
        <v>188</v>
      </c>
      <c r="B77" s="405" t="s">
        <v>512</v>
      </c>
      <c r="C77" s="1800" t="s">
        <v>267</v>
      </c>
      <c r="D77" s="479">
        <v>4.8000000000000001E-2</v>
      </c>
      <c r="E77" s="479">
        <v>4.8000000000000001E-2</v>
      </c>
      <c r="F77" s="479">
        <v>5.5E-2</v>
      </c>
      <c r="G77" s="479">
        <v>0.06</v>
      </c>
      <c r="H77" s="479">
        <v>5.5999999999999994E-2</v>
      </c>
      <c r="I77" s="479">
        <v>0.05</v>
      </c>
      <c r="J77" s="479">
        <v>5.0999999999999997E-2</v>
      </c>
      <c r="K77" s="479">
        <v>0.05</v>
      </c>
      <c r="L77" s="479">
        <v>5.2999999999999999E-2</v>
      </c>
      <c r="M77" s="479">
        <v>0.06</v>
      </c>
      <c r="N77" s="480">
        <v>6.0999999999999999E-2</v>
      </c>
      <c r="O77" s="980">
        <v>6.9000000000000006E-2</v>
      </c>
      <c r="P77" s="980">
        <v>6.7000000000000004E-2</v>
      </c>
      <c r="Q77" s="980">
        <v>6.9617601561636766E-2</v>
      </c>
      <c r="R77" s="1792">
        <v>7.2213511440537032E-2</v>
      </c>
      <c r="S77" s="481"/>
      <c r="T77" s="482">
        <v>14234</v>
      </c>
      <c r="U77" s="482">
        <v>14982</v>
      </c>
      <c r="V77" s="482">
        <v>17871</v>
      </c>
      <c r="W77" s="482">
        <v>20293</v>
      </c>
      <c r="X77" s="482">
        <v>19550</v>
      </c>
      <c r="Y77" s="482">
        <v>17235</v>
      </c>
      <c r="Z77" s="482">
        <v>18174</v>
      </c>
      <c r="AA77" s="482">
        <v>17703</v>
      </c>
      <c r="AB77" s="482">
        <v>19016</v>
      </c>
      <c r="AC77" s="482">
        <v>22535</v>
      </c>
      <c r="AD77" s="483">
        <v>24696</v>
      </c>
      <c r="AE77" s="987">
        <v>28639</v>
      </c>
      <c r="AF77" s="1373">
        <v>28559</v>
      </c>
      <c r="AG77" s="1377">
        <v>30243</v>
      </c>
      <c r="AH77" s="1788">
        <v>31917</v>
      </c>
    </row>
    <row r="78" spans="1:34" ht="16.5" customHeight="1" x14ac:dyDescent="0.25">
      <c r="A78" s="404" t="s">
        <v>190</v>
      </c>
      <c r="B78" s="405" t="s">
        <v>513</v>
      </c>
      <c r="C78" s="1800" t="s">
        <v>268</v>
      </c>
      <c r="D78" s="479">
        <v>0.11199999999999999</v>
      </c>
      <c r="E78" s="479">
        <v>0.113</v>
      </c>
      <c r="F78" s="479">
        <v>0.124</v>
      </c>
      <c r="G78" s="479">
        <v>0.13</v>
      </c>
      <c r="H78" s="479">
        <v>0.13100000000000001</v>
      </c>
      <c r="I78" s="479">
        <v>0.157</v>
      </c>
      <c r="J78" s="479">
        <v>0.14099999999999999</v>
      </c>
      <c r="K78" s="479">
        <v>0.14099999999999999</v>
      </c>
      <c r="L78" s="479">
        <v>0.154</v>
      </c>
      <c r="M78" s="479">
        <v>0.14199999999999999</v>
      </c>
      <c r="N78" s="480">
        <v>0.158</v>
      </c>
      <c r="O78" s="980">
        <v>0.16500000000000001</v>
      </c>
      <c r="P78" s="980">
        <v>0.16600000000000001</v>
      </c>
      <c r="Q78" s="980">
        <v>0.15722911472258103</v>
      </c>
      <c r="R78" s="1792">
        <v>0.14719647332346991</v>
      </c>
      <c r="S78" s="481"/>
      <c r="T78" s="482">
        <v>3813</v>
      </c>
      <c r="U78" s="482">
        <v>3825</v>
      </c>
      <c r="V78" s="482">
        <v>4236</v>
      </c>
      <c r="W78" s="482">
        <v>4427</v>
      </c>
      <c r="X78" s="482">
        <v>4463</v>
      </c>
      <c r="Y78" s="482">
        <v>5295</v>
      </c>
      <c r="Z78" s="482">
        <v>4751</v>
      </c>
      <c r="AA78" s="482">
        <v>4753</v>
      </c>
      <c r="AB78" s="482">
        <v>5193</v>
      </c>
      <c r="AC78" s="482">
        <v>4766</v>
      </c>
      <c r="AD78" s="483">
        <v>5355</v>
      </c>
      <c r="AE78" s="987">
        <v>5533</v>
      </c>
      <c r="AF78" s="1373">
        <v>5563</v>
      </c>
      <c r="AG78" s="1377">
        <v>5234</v>
      </c>
      <c r="AH78" s="1788">
        <v>4875</v>
      </c>
    </row>
    <row r="79" spans="1:34" ht="16.5" customHeight="1" x14ac:dyDescent="0.25">
      <c r="A79" s="404" t="s">
        <v>194</v>
      </c>
      <c r="B79" s="405" t="s">
        <v>195</v>
      </c>
      <c r="C79" s="1800" t="s">
        <v>267</v>
      </c>
      <c r="D79" s="479">
        <v>7.9000000000000001E-2</v>
      </c>
      <c r="E79" s="479">
        <v>7.5999999999999998E-2</v>
      </c>
      <c r="F79" s="479">
        <v>7.5999999999999998E-2</v>
      </c>
      <c r="G79" s="479">
        <v>7.400000000000001E-2</v>
      </c>
      <c r="H79" s="479">
        <v>6.6000000000000003E-2</v>
      </c>
      <c r="I79" s="479">
        <v>7.0999999999999994E-2</v>
      </c>
      <c r="J79" s="479">
        <v>7.8E-2</v>
      </c>
      <c r="K79" s="479">
        <v>7.8E-2</v>
      </c>
      <c r="L79" s="479">
        <v>8.199999999999999E-2</v>
      </c>
      <c r="M79" s="479">
        <v>9.1999999999999998E-2</v>
      </c>
      <c r="N79" s="480">
        <v>9.8000000000000004E-2</v>
      </c>
      <c r="O79" s="980">
        <v>0.1</v>
      </c>
      <c r="P79" s="980">
        <v>0.106</v>
      </c>
      <c r="Q79" s="980">
        <v>0.10336473755047107</v>
      </c>
      <c r="R79" s="1792">
        <v>9.3493712411153632E-2</v>
      </c>
      <c r="S79" s="481"/>
      <c r="T79" s="485">
        <v>557</v>
      </c>
      <c r="U79" s="485">
        <v>541</v>
      </c>
      <c r="V79" s="485">
        <v>542</v>
      </c>
      <c r="W79" s="485">
        <v>532</v>
      </c>
      <c r="X79" s="485">
        <v>482</v>
      </c>
      <c r="Y79" s="485">
        <v>515</v>
      </c>
      <c r="Z79" s="485">
        <v>555</v>
      </c>
      <c r="AA79" s="485">
        <v>561</v>
      </c>
      <c r="AB79" s="482">
        <v>581</v>
      </c>
      <c r="AC79" s="482">
        <v>644</v>
      </c>
      <c r="AD79" s="483">
        <v>720</v>
      </c>
      <c r="AE79" s="987">
        <v>742</v>
      </c>
      <c r="AF79" s="1373">
        <v>783</v>
      </c>
      <c r="AG79" s="1377">
        <v>768</v>
      </c>
      <c r="AH79" s="1788">
        <v>684</v>
      </c>
    </row>
    <row r="80" spans="1:34" ht="16.5" customHeight="1" x14ac:dyDescent="0.25">
      <c r="A80" s="404" t="s">
        <v>198</v>
      </c>
      <c r="B80" s="405" t="s">
        <v>272</v>
      </c>
      <c r="C80" s="1800" t="s">
        <v>266</v>
      </c>
      <c r="D80" s="479">
        <v>0.157</v>
      </c>
      <c r="E80" s="479">
        <v>0.16</v>
      </c>
      <c r="F80" s="479">
        <v>0.16800000000000001</v>
      </c>
      <c r="G80" s="479">
        <v>0.156</v>
      </c>
      <c r="H80" s="479">
        <v>0.158</v>
      </c>
      <c r="I80" s="479">
        <v>0.17</v>
      </c>
      <c r="J80" s="479">
        <v>0.16500000000000001</v>
      </c>
      <c r="K80" s="479">
        <v>0.17699999999999999</v>
      </c>
      <c r="L80" s="479">
        <v>0.184</v>
      </c>
      <c r="M80" s="479">
        <v>0.193</v>
      </c>
      <c r="N80" s="480">
        <v>0.185</v>
      </c>
      <c r="O80" s="980">
        <v>0.20399999999999999</v>
      </c>
      <c r="P80" s="980">
        <v>0.20300000000000001</v>
      </c>
      <c r="Q80" s="980">
        <v>0.20313143798928718</v>
      </c>
      <c r="R80" s="1792">
        <v>0.19712328767123288</v>
      </c>
      <c r="S80" s="481"/>
      <c r="T80" s="482">
        <v>1110</v>
      </c>
      <c r="U80" s="482">
        <v>1144</v>
      </c>
      <c r="V80" s="482">
        <v>1216</v>
      </c>
      <c r="W80" s="482">
        <v>1120</v>
      </c>
      <c r="X80" s="482">
        <v>1141</v>
      </c>
      <c r="Y80" s="482">
        <v>1219</v>
      </c>
      <c r="Z80" s="482">
        <v>1192</v>
      </c>
      <c r="AA80" s="482">
        <v>1272</v>
      </c>
      <c r="AB80" s="482">
        <v>1315</v>
      </c>
      <c r="AC80" s="482">
        <v>1342</v>
      </c>
      <c r="AD80" s="483">
        <v>1377</v>
      </c>
      <c r="AE80" s="987">
        <v>1510</v>
      </c>
      <c r="AF80" s="1373">
        <v>1484</v>
      </c>
      <c r="AG80" s="1377">
        <v>1479</v>
      </c>
      <c r="AH80" s="1788">
        <v>1439</v>
      </c>
    </row>
    <row r="81" spans="1:34" ht="16.5" customHeight="1" x14ac:dyDescent="0.25">
      <c r="A81" s="404" t="s">
        <v>202</v>
      </c>
      <c r="B81" s="405" t="s">
        <v>611</v>
      </c>
      <c r="C81" s="1800" t="s">
        <v>265</v>
      </c>
      <c r="D81" s="479">
        <v>5.2900000000000003E-2</v>
      </c>
      <c r="E81" s="479">
        <v>5.7000000000000002E-2</v>
      </c>
      <c r="F81" s="479">
        <v>6.5299999999999997E-2</v>
      </c>
      <c r="G81" s="479">
        <v>7.2300000000000003E-2</v>
      </c>
      <c r="H81" s="479">
        <v>6.8699999999999997E-2</v>
      </c>
      <c r="I81" s="479">
        <v>6.3E-2</v>
      </c>
      <c r="J81" s="479">
        <v>6.1500000000000006E-2</v>
      </c>
      <c r="K81" s="479">
        <v>6.480000000000001E-2</v>
      </c>
      <c r="L81" s="479">
        <v>7.0800000000000002E-2</v>
      </c>
      <c r="M81" s="479">
        <v>6.8199999999999997E-2</v>
      </c>
      <c r="N81" s="480">
        <v>7.553320643060675E-2</v>
      </c>
      <c r="O81" s="980">
        <v>0.191</v>
      </c>
      <c r="P81" s="980">
        <v>8.4000000000000005E-2</v>
      </c>
      <c r="Q81" s="980">
        <v>8.2284058881530148E-2</v>
      </c>
      <c r="R81" s="1792">
        <v>8.5998974029022804E-2</v>
      </c>
      <c r="S81" s="481"/>
      <c r="T81" s="482">
        <v>5681</v>
      </c>
      <c r="U81" s="482">
        <v>6098</v>
      </c>
      <c r="V81" s="482">
        <v>7107</v>
      </c>
      <c r="W81" s="482">
        <v>7856</v>
      </c>
      <c r="X81" s="482">
        <v>7558</v>
      </c>
      <c r="Y81" s="482">
        <v>6809</v>
      </c>
      <c r="Z81" s="482">
        <v>6852</v>
      </c>
      <c r="AA81" s="482">
        <v>7238</v>
      </c>
      <c r="AB81" s="482">
        <v>7950</v>
      </c>
      <c r="AC81" s="482">
        <v>7619</v>
      </c>
      <c r="AD81" s="483">
        <v>8538</v>
      </c>
      <c r="AE81" s="987">
        <v>9852</v>
      </c>
      <c r="AF81" s="1373">
        <v>9504</v>
      </c>
      <c r="AG81" s="1377">
        <v>9430</v>
      </c>
      <c r="AH81" s="1788">
        <v>9891</v>
      </c>
    </row>
    <row r="82" spans="1:34" ht="16.5" customHeight="1" x14ac:dyDescent="0.25">
      <c r="A82" s="404" t="s">
        <v>204</v>
      </c>
      <c r="B82" s="405" t="s">
        <v>757</v>
      </c>
      <c r="C82" s="1800" t="s">
        <v>265</v>
      </c>
      <c r="D82" s="479">
        <v>0.1038</v>
      </c>
      <c r="E82" s="479">
        <v>0.10199999999999999</v>
      </c>
      <c r="F82" s="479">
        <v>0.1124</v>
      </c>
      <c r="G82" s="479">
        <v>0.1109</v>
      </c>
      <c r="H82" s="479">
        <v>0.10630000000000001</v>
      </c>
      <c r="I82" s="479">
        <v>0.12130000000000001</v>
      </c>
      <c r="J82" s="479">
        <v>0.13339999999999999</v>
      </c>
      <c r="K82" s="479">
        <v>0.1273</v>
      </c>
      <c r="L82" s="479">
        <v>0.1346</v>
      </c>
      <c r="M82" s="479">
        <v>0.1338</v>
      </c>
      <c r="N82" s="480">
        <v>0.14077673638184915</v>
      </c>
      <c r="O82" s="980">
        <v>0.14656092725331707</v>
      </c>
      <c r="P82" s="980">
        <v>0.153</v>
      </c>
      <c r="Q82" s="980">
        <v>0.15709268590624523</v>
      </c>
      <c r="R82" s="1792">
        <v>0.15356089850755342</v>
      </c>
      <c r="S82" s="481"/>
      <c r="T82" s="482">
        <v>3255</v>
      </c>
      <c r="U82" s="482">
        <v>3202</v>
      </c>
      <c r="V82" s="482">
        <v>3574</v>
      </c>
      <c r="W82" s="482">
        <v>3517</v>
      </c>
      <c r="X82" s="482">
        <v>3365</v>
      </c>
      <c r="Y82" s="482">
        <v>3820</v>
      </c>
      <c r="Z82" s="482">
        <v>4213</v>
      </c>
      <c r="AA82" s="482">
        <v>4049</v>
      </c>
      <c r="AB82" s="482">
        <v>4265</v>
      </c>
      <c r="AC82" s="482">
        <v>4221</v>
      </c>
      <c r="AD82" s="483">
        <v>4625</v>
      </c>
      <c r="AE82" s="987">
        <v>4805</v>
      </c>
      <c r="AF82" s="1373">
        <v>4988</v>
      </c>
      <c r="AG82" s="1377">
        <v>5144</v>
      </c>
      <c r="AH82" s="1788">
        <v>5052</v>
      </c>
    </row>
    <row r="83" spans="1:34" ht="16.5" customHeight="1" x14ac:dyDescent="0.25">
      <c r="A83" s="404" t="s">
        <v>206</v>
      </c>
      <c r="B83" s="405" t="s">
        <v>758</v>
      </c>
      <c r="C83" s="1800" t="s">
        <v>267</v>
      </c>
      <c r="D83" s="479">
        <v>0.11710000000000001</v>
      </c>
      <c r="E83" s="479">
        <v>0.11119999999999999</v>
      </c>
      <c r="F83" s="479">
        <v>0.1217</v>
      </c>
      <c r="G83" s="479">
        <v>0.1188</v>
      </c>
      <c r="H83" s="479">
        <v>0.11539999999999999</v>
      </c>
      <c r="I83" s="479">
        <v>0.14130000000000001</v>
      </c>
      <c r="J83" s="479">
        <v>0.14990000000000001</v>
      </c>
      <c r="K83" s="479">
        <v>0.1454</v>
      </c>
      <c r="L83" s="479">
        <v>0.158</v>
      </c>
      <c r="M83" s="479">
        <v>0.15340000000000001</v>
      </c>
      <c r="N83" s="480">
        <v>0.17707606256042166</v>
      </c>
      <c r="O83" s="980">
        <v>0.15870237569248546</v>
      </c>
      <c r="P83" s="980">
        <v>0.20499999999999999</v>
      </c>
      <c r="Q83" s="980">
        <v>0.16851109998330829</v>
      </c>
      <c r="R83" s="1792">
        <v>0.17851205662085426</v>
      </c>
      <c r="S83" s="481"/>
      <c r="T83" s="482">
        <v>11774</v>
      </c>
      <c r="U83" s="482">
        <v>11332</v>
      </c>
      <c r="V83" s="482">
        <v>12457</v>
      </c>
      <c r="W83" s="482">
        <v>12312</v>
      </c>
      <c r="X83" s="482">
        <v>12047</v>
      </c>
      <c r="Y83" s="482">
        <v>14559</v>
      </c>
      <c r="Z83" s="482">
        <v>15701</v>
      </c>
      <c r="AA83" s="482">
        <v>15770</v>
      </c>
      <c r="AB83" s="482">
        <v>17273</v>
      </c>
      <c r="AC83" s="482">
        <v>17133</v>
      </c>
      <c r="AD83" s="483">
        <v>20566</v>
      </c>
      <c r="AE83" s="987">
        <v>18678</v>
      </c>
      <c r="AF83" s="1373">
        <v>24402</v>
      </c>
      <c r="AG83" s="1377">
        <v>20191</v>
      </c>
      <c r="AH83" s="1788">
        <v>21691</v>
      </c>
    </row>
    <row r="84" spans="1:34" ht="16.5" customHeight="1" x14ac:dyDescent="0.25">
      <c r="A84" s="404" t="s">
        <v>208</v>
      </c>
      <c r="B84" s="405" t="s">
        <v>515</v>
      </c>
      <c r="C84" s="1800" t="s">
        <v>268</v>
      </c>
      <c r="D84" s="479">
        <v>0.16699999999999998</v>
      </c>
      <c r="E84" s="479">
        <v>0.159</v>
      </c>
      <c r="F84" s="479">
        <v>0.17600000000000002</v>
      </c>
      <c r="G84" s="479">
        <v>0.16800000000000001</v>
      </c>
      <c r="H84" s="479">
        <v>0.16500000000000001</v>
      </c>
      <c r="I84" s="479">
        <v>0.193</v>
      </c>
      <c r="J84" s="479">
        <v>0.17399999999999999</v>
      </c>
      <c r="K84" s="479">
        <v>0.184</v>
      </c>
      <c r="L84" s="479">
        <v>0.19399999999999998</v>
      </c>
      <c r="M84" s="479">
        <v>0.191</v>
      </c>
      <c r="N84" s="480">
        <v>0.18100000000000002</v>
      </c>
      <c r="O84" s="980">
        <v>0.23499999999999999</v>
      </c>
      <c r="P84" s="980">
        <v>0.183</v>
      </c>
      <c r="Q84" s="980">
        <v>0.18802044244308638</v>
      </c>
      <c r="R84" s="1792">
        <v>0.17881081081081082</v>
      </c>
      <c r="S84" s="481"/>
      <c r="T84" s="482">
        <v>4793</v>
      </c>
      <c r="U84" s="482">
        <v>4565</v>
      </c>
      <c r="V84" s="482">
        <v>5059</v>
      </c>
      <c r="W84" s="482">
        <v>4823</v>
      </c>
      <c r="X84" s="482">
        <v>4762</v>
      </c>
      <c r="Y84" s="482">
        <v>5492</v>
      </c>
      <c r="Z84" s="482">
        <v>4932</v>
      </c>
      <c r="AA84" s="482">
        <v>5243</v>
      </c>
      <c r="AB84" s="482">
        <v>5516</v>
      </c>
      <c r="AC84" s="482">
        <v>5527</v>
      </c>
      <c r="AD84" s="483">
        <v>5173</v>
      </c>
      <c r="AE84" s="987">
        <v>6704</v>
      </c>
      <c r="AF84" s="1373">
        <v>5145</v>
      </c>
      <c r="AG84" s="1377">
        <v>5261</v>
      </c>
      <c r="AH84" s="1788">
        <v>4962</v>
      </c>
    </row>
    <row r="85" spans="1:34" ht="16.5" customHeight="1" x14ac:dyDescent="0.25">
      <c r="A85" s="404" t="s">
        <v>210</v>
      </c>
      <c r="B85" s="405" t="s">
        <v>516</v>
      </c>
      <c r="C85" s="1800" t="s">
        <v>268</v>
      </c>
      <c r="D85" s="479">
        <v>0.14099999999999999</v>
      </c>
      <c r="E85" s="479">
        <v>0.13900000000000001</v>
      </c>
      <c r="F85" s="479">
        <v>0.14599999999999999</v>
      </c>
      <c r="G85" s="479">
        <v>0.153</v>
      </c>
      <c r="H85" s="479">
        <v>0.14899999999999999</v>
      </c>
      <c r="I85" s="479">
        <v>0.17899999999999999</v>
      </c>
      <c r="J85" s="479">
        <v>0.17699999999999999</v>
      </c>
      <c r="K85" s="479">
        <v>0.18100000000000002</v>
      </c>
      <c r="L85" s="479">
        <v>0.17300000000000001</v>
      </c>
      <c r="M85" s="479">
        <v>0.192</v>
      </c>
      <c r="N85" s="480">
        <v>0.189</v>
      </c>
      <c r="O85" s="980">
        <v>0.187</v>
      </c>
      <c r="P85" s="980">
        <v>0.21299999999999999</v>
      </c>
      <c r="Q85" s="980">
        <v>0.18399158895593345</v>
      </c>
      <c r="R85" s="1792">
        <v>0.20782283045910582</v>
      </c>
      <c r="S85" s="481"/>
      <c r="T85" s="482">
        <v>3268</v>
      </c>
      <c r="U85" s="482">
        <v>3183</v>
      </c>
      <c r="V85" s="482">
        <v>3348</v>
      </c>
      <c r="W85" s="482">
        <v>3508</v>
      </c>
      <c r="X85" s="482">
        <v>3402</v>
      </c>
      <c r="Y85" s="482">
        <v>4040</v>
      </c>
      <c r="Z85" s="482">
        <v>4000</v>
      </c>
      <c r="AA85" s="482">
        <v>4033</v>
      </c>
      <c r="AB85" s="482">
        <v>3856</v>
      </c>
      <c r="AC85" s="482">
        <v>4220</v>
      </c>
      <c r="AD85" s="483">
        <v>4248</v>
      </c>
      <c r="AE85" s="987">
        <v>4193</v>
      </c>
      <c r="AF85" s="1373">
        <v>4699</v>
      </c>
      <c r="AG85" s="1377">
        <v>4025</v>
      </c>
      <c r="AH85" s="1788">
        <v>4495</v>
      </c>
    </row>
    <row r="86" spans="1:34" ht="16.5" customHeight="1" x14ac:dyDescent="0.25">
      <c r="A86" s="404" t="s">
        <v>212</v>
      </c>
      <c r="B86" s="405" t="s">
        <v>517</v>
      </c>
      <c r="C86" s="1800" t="s">
        <v>267</v>
      </c>
      <c r="D86" s="479">
        <v>0.08</v>
      </c>
      <c r="E86" s="479">
        <v>8.1000000000000003E-2</v>
      </c>
      <c r="F86" s="479">
        <v>8.3000000000000004E-2</v>
      </c>
      <c r="G86" s="479">
        <v>8.900000000000001E-2</v>
      </c>
      <c r="H86" s="479">
        <v>8.5999999999999993E-2</v>
      </c>
      <c r="I86" s="479">
        <v>8.4000000000000005E-2</v>
      </c>
      <c r="J86" s="479">
        <v>8.3000000000000004E-2</v>
      </c>
      <c r="K86" s="479">
        <v>0.09</v>
      </c>
      <c r="L86" s="479">
        <v>9.8000000000000004E-2</v>
      </c>
      <c r="M86" s="479">
        <v>0.10400000000000001</v>
      </c>
      <c r="N86" s="480">
        <v>0.11700000000000001</v>
      </c>
      <c r="O86" s="980">
        <v>0.13400000000000001</v>
      </c>
      <c r="P86" s="980">
        <v>0.114</v>
      </c>
      <c r="Q86" s="980">
        <v>0.11587982832618025</v>
      </c>
      <c r="R86" s="1792">
        <v>0.12025867136978248</v>
      </c>
      <c r="S86" s="481"/>
      <c r="T86" s="482">
        <v>2849</v>
      </c>
      <c r="U86" s="482">
        <v>2927</v>
      </c>
      <c r="V86" s="482">
        <v>3072</v>
      </c>
      <c r="W86" s="482">
        <v>3357</v>
      </c>
      <c r="X86" s="482">
        <v>3349</v>
      </c>
      <c r="Y86" s="482">
        <v>3235</v>
      </c>
      <c r="Z86" s="482">
        <v>3297</v>
      </c>
      <c r="AA86" s="482">
        <v>3602</v>
      </c>
      <c r="AB86" s="482">
        <v>3934</v>
      </c>
      <c r="AC86" s="482">
        <v>4206</v>
      </c>
      <c r="AD86" s="483">
        <v>4862</v>
      </c>
      <c r="AE86" s="987">
        <v>5620</v>
      </c>
      <c r="AF86" s="1373">
        <v>4797</v>
      </c>
      <c r="AG86" s="1377">
        <v>4887</v>
      </c>
      <c r="AH86" s="1788">
        <v>5114</v>
      </c>
    </row>
    <row r="87" spans="1:34" ht="16.5" customHeight="1" x14ac:dyDescent="0.25">
      <c r="A87" s="404" t="s">
        <v>214</v>
      </c>
      <c r="B87" s="405" t="s">
        <v>518</v>
      </c>
      <c r="C87" s="1800" t="s">
        <v>268</v>
      </c>
      <c r="D87" s="479">
        <v>0.13100000000000001</v>
      </c>
      <c r="E87" s="479">
        <v>0.13300000000000001</v>
      </c>
      <c r="F87" s="479">
        <v>0.14300000000000002</v>
      </c>
      <c r="G87" s="479">
        <v>0.14800000000000002</v>
      </c>
      <c r="H87" s="479">
        <v>0.14000000000000001</v>
      </c>
      <c r="I87" s="479">
        <v>0.13300000000000001</v>
      </c>
      <c r="J87" s="479">
        <v>0.155</v>
      </c>
      <c r="K87" s="479">
        <v>0.17100000000000001</v>
      </c>
      <c r="L87" s="479">
        <v>0.18100000000000002</v>
      </c>
      <c r="M87" s="479">
        <v>0.17800000000000002</v>
      </c>
      <c r="N87" s="480">
        <v>0.187</v>
      </c>
      <c r="O87" s="980">
        <v>0.19399999999999998</v>
      </c>
      <c r="P87" s="980">
        <v>0.19</v>
      </c>
      <c r="Q87" s="980">
        <v>0.17253418679080593</v>
      </c>
      <c r="R87" s="1792">
        <v>0.19735477178423236</v>
      </c>
      <c r="S87" s="481"/>
      <c r="T87" s="482">
        <v>4212</v>
      </c>
      <c r="U87" s="482">
        <v>4289</v>
      </c>
      <c r="V87" s="482">
        <v>4596</v>
      </c>
      <c r="W87" s="482">
        <v>4737</v>
      </c>
      <c r="X87" s="482">
        <v>4505</v>
      </c>
      <c r="Y87" s="482">
        <v>4166</v>
      </c>
      <c r="Z87" s="482">
        <v>4930</v>
      </c>
      <c r="AA87" s="482">
        <v>5338</v>
      </c>
      <c r="AB87" s="482">
        <v>5626</v>
      </c>
      <c r="AC87" s="482">
        <v>5516</v>
      </c>
      <c r="AD87" s="483">
        <v>5874</v>
      </c>
      <c r="AE87" s="987">
        <v>6085</v>
      </c>
      <c r="AF87" s="1373">
        <v>5898</v>
      </c>
      <c r="AG87" s="1377">
        <v>5337</v>
      </c>
      <c r="AH87" s="1788">
        <v>6088</v>
      </c>
    </row>
    <row r="88" spans="1:34" ht="16.5" customHeight="1" x14ac:dyDescent="0.25">
      <c r="A88" s="404" t="s">
        <v>216</v>
      </c>
      <c r="B88" s="405" t="s">
        <v>519</v>
      </c>
      <c r="C88" s="1800" t="s">
        <v>264</v>
      </c>
      <c r="D88" s="479">
        <v>0.14000000000000001</v>
      </c>
      <c r="E88" s="479">
        <v>0.13100000000000001</v>
      </c>
      <c r="F88" s="479">
        <v>0.13800000000000001</v>
      </c>
      <c r="G88" s="479">
        <v>0.14000000000000001</v>
      </c>
      <c r="H88" s="479">
        <v>0.13500000000000001</v>
      </c>
      <c r="I88" s="479">
        <v>0.151</v>
      </c>
      <c r="J88" s="479">
        <v>0.154</v>
      </c>
      <c r="K88" s="479">
        <v>0.15</v>
      </c>
      <c r="L88" s="479">
        <v>0.17499999999999999</v>
      </c>
      <c r="M88" s="479">
        <v>0.159</v>
      </c>
      <c r="N88" s="480">
        <v>0.16400000000000001</v>
      </c>
      <c r="O88" s="980">
        <v>0.16</v>
      </c>
      <c r="P88" s="980">
        <v>0.16700000000000001</v>
      </c>
      <c r="Q88" s="980">
        <v>0.1668684911600872</v>
      </c>
      <c r="R88" s="1792">
        <v>0.15262388895653234</v>
      </c>
      <c r="S88" s="481"/>
      <c r="T88" s="482">
        <v>2211</v>
      </c>
      <c r="U88" s="482">
        <v>2053</v>
      </c>
      <c r="V88" s="482">
        <v>2186</v>
      </c>
      <c r="W88" s="482">
        <v>2240</v>
      </c>
      <c r="X88" s="482">
        <v>2194</v>
      </c>
      <c r="Y88" s="482">
        <v>2433</v>
      </c>
      <c r="Z88" s="482">
        <v>2504</v>
      </c>
      <c r="AA88" s="482">
        <v>2431</v>
      </c>
      <c r="AB88" s="482">
        <v>2843</v>
      </c>
      <c r="AC88" s="482">
        <v>2561</v>
      </c>
      <c r="AD88" s="483">
        <v>2789</v>
      </c>
      <c r="AE88" s="987">
        <v>2696</v>
      </c>
      <c r="AF88" s="1373">
        <v>2799</v>
      </c>
      <c r="AG88" s="1377">
        <v>2756</v>
      </c>
      <c r="AH88" s="1788">
        <v>2507</v>
      </c>
    </row>
    <row r="89" spans="1:34" ht="16.5" customHeight="1" x14ac:dyDescent="0.25">
      <c r="A89" s="404" t="s">
        <v>218</v>
      </c>
      <c r="B89" s="405" t="s">
        <v>520</v>
      </c>
      <c r="C89" s="1800" t="s">
        <v>267</v>
      </c>
      <c r="D89" s="479">
        <v>5.2999999999999999E-2</v>
      </c>
      <c r="E89" s="479">
        <v>5.2000000000000005E-2</v>
      </c>
      <c r="F89" s="479">
        <v>5.7000000000000002E-2</v>
      </c>
      <c r="G89" s="479">
        <v>5.9000000000000004E-2</v>
      </c>
      <c r="H89" s="479">
        <v>5.7000000000000002E-2</v>
      </c>
      <c r="I89" s="479">
        <v>5.5E-2</v>
      </c>
      <c r="J89" s="479">
        <v>5.5999999999999994E-2</v>
      </c>
      <c r="K89" s="479">
        <v>0.06</v>
      </c>
      <c r="L89" s="479">
        <v>6.4000000000000001E-2</v>
      </c>
      <c r="M89" s="479">
        <v>7.5999999999999998E-2</v>
      </c>
      <c r="N89" s="480">
        <v>7.9000000000000001E-2</v>
      </c>
      <c r="O89" s="980">
        <v>7.5999999999999998E-2</v>
      </c>
      <c r="P89" s="980">
        <v>8.5000000000000006E-2</v>
      </c>
      <c r="Q89" s="980">
        <v>7.6984528743632735E-2</v>
      </c>
      <c r="R89" s="1792">
        <v>9.1506324082949522E-2</v>
      </c>
      <c r="S89" s="481"/>
      <c r="T89" s="482">
        <v>5080</v>
      </c>
      <c r="U89" s="482">
        <v>5342</v>
      </c>
      <c r="V89" s="482">
        <v>6138</v>
      </c>
      <c r="W89" s="482">
        <v>6655</v>
      </c>
      <c r="X89" s="482">
        <v>6611</v>
      </c>
      <c r="Y89" s="482">
        <v>6346</v>
      </c>
      <c r="Z89" s="482">
        <v>6591</v>
      </c>
      <c r="AA89" s="482">
        <v>7118</v>
      </c>
      <c r="AB89" s="482">
        <v>7586</v>
      </c>
      <c r="AC89" s="482">
        <v>9132</v>
      </c>
      <c r="AD89" s="483">
        <v>9645</v>
      </c>
      <c r="AE89" s="987">
        <v>9356</v>
      </c>
      <c r="AF89" s="1373">
        <v>10558</v>
      </c>
      <c r="AG89" s="1377">
        <v>9733</v>
      </c>
      <c r="AH89" s="1788">
        <v>11742</v>
      </c>
    </row>
    <row r="90" spans="1:34" ht="16.5" customHeight="1" x14ac:dyDescent="0.25">
      <c r="A90" s="404" t="s">
        <v>220</v>
      </c>
      <c r="B90" s="405" t="s">
        <v>521</v>
      </c>
      <c r="C90" s="1800" t="s">
        <v>267</v>
      </c>
      <c r="D90" s="479">
        <v>4.4000000000000004E-2</v>
      </c>
      <c r="E90" s="479">
        <v>4.2999999999999997E-2</v>
      </c>
      <c r="F90" s="479">
        <v>4.4999999999999998E-2</v>
      </c>
      <c r="G90" s="479">
        <v>0.05</v>
      </c>
      <c r="H90" s="479">
        <v>4.9000000000000002E-2</v>
      </c>
      <c r="I90" s="479">
        <v>4.5999999999999999E-2</v>
      </c>
      <c r="J90" s="479">
        <v>4.4000000000000004E-2</v>
      </c>
      <c r="K90" s="479">
        <v>4.2000000000000003E-2</v>
      </c>
      <c r="L90" s="479">
        <v>4.8000000000000001E-2</v>
      </c>
      <c r="M90" s="479">
        <v>4.7E-2</v>
      </c>
      <c r="N90" s="480">
        <v>5.1999999999999998E-2</v>
      </c>
      <c r="O90" s="980">
        <v>6.3E-2</v>
      </c>
      <c r="P90" s="980">
        <v>5.5E-2</v>
      </c>
      <c r="Q90" s="980">
        <v>6.358634205170724E-2</v>
      </c>
      <c r="R90" s="1792">
        <v>5.8501129266013877E-2</v>
      </c>
      <c r="S90" s="481"/>
      <c r="T90" s="482">
        <v>4307</v>
      </c>
      <c r="U90" s="482">
        <v>4394</v>
      </c>
      <c r="V90" s="482">
        <v>4901</v>
      </c>
      <c r="W90" s="482">
        <v>5671</v>
      </c>
      <c r="X90" s="482">
        <v>5772</v>
      </c>
      <c r="Y90" s="482">
        <v>5366</v>
      </c>
      <c r="Z90" s="482">
        <v>5152</v>
      </c>
      <c r="AA90" s="482">
        <v>4954</v>
      </c>
      <c r="AB90" s="482">
        <v>5713</v>
      </c>
      <c r="AC90" s="482">
        <v>5764</v>
      </c>
      <c r="AD90" s="483">
        <v>6531</v>
      </c>
      <c r="AE90" s="987">
        <v>8070</v>
      </c>
      <c r="AF90" s="1373">
        <v>7231</v>
      </c>
      <c r="AG90" s="1377">
        <v>8436</v>
      </c>
      <c r="AH90" s="1788">
        <v>7952</v>
      </c>
    </row>
    <row r="91" spans="1:34" ht="16.5" customHeight="1" x14ac:dyDescent="0.25">
      <c r="A91" s="404" t="s">
        <v>224</v>
      </c>
      <c r="B91" s="405" t="s">
        <v>522</v>
      </c>
      <c r="C91" s="1800" t="s">
        <v>264</v>
      </c>
      <c r="D91" s="479">
        <v>0.11599999999999999</v>
      </c>
      <c r="E91" s="479">
        <v>0.10800000000000001</v>
      </c>
      <c r="F91" s="479">
        <v>0.11199999999999999</v>
      </c>
      <c r="G91" s="479">
        <v>0.109</v>
      </c>
      <c r="H91" s="479">
        <v>0.107</v>
      </c>
      <c r="I91" s="479">
        <v>0.11900000000000001</v>
      </c>
      <c r="J91" s="479">
        <v>0.107</v>
      </c>
      <c r="K91" s="479">
        <v>0.11</v>
      </c>
      <c r="L91" s="479">
        <v>0.11599999999999999</v>
      </c>
      <c r="M91" s="479">
        <v>0.11699999999999999</v>
      </c>
      <c r="N91" s="480">
        <v>0.123</v>
      </c>
      <c r="O91" s="980">
        <v>0.128</v>
      </c>
      <c r="P91" s="980">
        <v>0.129</v>
      </c>
      <c r="Q91" s="980">
        <v>0.13636363636363635</v>
      </c>
      <c r="R91" s="1792">
        <v>0.12947942781300692</v>
      </c>
      <c r="S91" s="481"/>
      <c r="T91" s="485">
        <v>810</v>
      </c>
      <c r="U91" s="485">
        <v>755</v>
      </c>
      <c r="V91" s="485">
        <v>792</v>
      </c>
      <c r="W91" s="485">
        <v>764</v>
      </c>
      <c r="X91" s="485">
        <v>753</v>
      </c>
      <c r="Y91" s="485">
        <v>829</v>
      </c>
      <c r="Z91" s="485">
        <v>758</v>
      </c>
      <c r="AA91" s="485">
        <v>775</v>
      </c>
      <c r="AB91" s="482">
        <v>823</v>
      </c>
      <c r="AC91" s="482">
        <v>827</v>
      </c>
      <c r="AD91" s="483">
        <v>871</v>
      </c>
      <c r="AE91" s="987">
        <v>884</v>
      </c>
      <c r="AF91" s="1373">
        <v>881</v>
      </c>
      <c r="AG91" s="1377">
        <v>921</v>
      </c>
      <c r="AH91" s="1788">
        <v>878</v>
      </c>
    </row>
    <row r="92" spans="1:34" ht="16.5" customHeight="1" x14ac:dyDescent="0.25">
      <c r="A92" s="404" t="s">
        <v>226</v>
      </c>
      <c r="B92" s="405" t="s">
        <v>523</v>
      </c>
      <c r="C92" s="1800" t="s">
        <v>264</v>
      </c>
      <c r="D92" s="479">
        <v>0.17199999999999999</v>
      </c>
      <c r="E92" s="479">
        <v>0.16899999999999998</v>
      </c>
      <c r="F92" s="479">
        <v>0.17899999999999999</v>
      </c>
      <c r="G92" s="479">
        <v>0.17199999999999999</v>
      </c>
      <c r="H92" s="479">
        <v>0.17699999999999999</v>
      </c>
      <c r="I92" s="479">
        <v>0.19500000000000001</v>
      </c>
      <c r="J92" s="479">
        <v>0.23499999999999999</v>
      </c>
      <c r="K92" s="479">
        <v>0.20399999999999999</v>
      </c>
      <c r="L92" s="479">
        <v>0.20699999999999999</v>
      </c>
      <c r="M92" s="479">
        <v>0.184</v>
      </c>
      <c r="N92" s="480">
        <v>0.22500000000000001</v>
      </c>
      <c r="O92" s="980">
        <v>0.20699999999999999</v>
      </c>
      <c r="P92" s="980">
        <v>0.23</v>
      </c>
      <c r="Q92" s="980">
        <v>0.2401219113965386</v>
      </c>
      <c r="R92" s="1792">
        <v>0.2390852390852391</v>
      </c>
      <c r="S92" s="481"/>
      <c r="T92" s="482">
        <v>1694</v>
      </c>
      <c r="U92" s="482">
        <v>1651</v>
      </c>
      <c r="V92" s="482">
        <v>1728</v>
      </c>
      <c r="W92" s="482">
        <v>1647</v>
      </c>
      <c r="X92" s="482">
        <v>1678</v>
      </c>
      <c r="Y92" s="482">
        <v>1832</v>
      </c>
      <c r="Z92" s="482">
        <v>2257</v>
      </c>
      <c r="AA92" s="482">
        <v>1947</v>
      </c>
      <c r="AB92" s="482">
        <v>1973</v>
      </c>
      <c r="AC92" s="482">
        <v>1742</v>
      </c>
      <c r="AD92" s="483">
        <v>2132</v>
      </c>
      <c r="AE92" s="987">
        <v>1966</v>
      </c>
      <c r="AF92" s="1373">
        <v>2156</v>
      </c>
      <c r="AG92" s="1377">
        <v>2206</v>
      </c>
      <c r="AH92" s="1788">
        <v>2185</v>
      </c>
    </row>
    <row r="93" spans="1:34" ht="16.5" customHeight="1" x14ac:dyDescent="0.25">
      <c r="A93" s="404" t="s">
        <v>228</v>
      </c>
      <c r="B93" s="405" t="s">
        <v>524</v>
      </c>
      <c r="C93" s="1800" t="s">
        <v>268</v>
      </c>
      <c r="D93" s="479">
        <v>0.155</v>
      </c>
      <c r="E93" s="479">
        <v>0.15</v>
      </c>
      <c r="F93" s="479">
        <v>0.16600000000000001</v>
      </c>
      <c r="G93" s="479">
        <v>0.156</v>
      </c>
      <c r="H93" s="479">
        <v>0.157</v>
      </c>
      <c r="I93" s="479">
        <v>0.17300000000000001</v>
      </c>
      <c r="J93" s="479">
        <v>0.16500000000000001</v>
      </c>
      <c r="K93" s="479">
        <v>0.17800000000000002</v>
      </c>
      <c r="L93" s="479">
        <v>0.17600000000000002</v>
      </c>
      <c r="M93" s="479">
        <v>0.159</v>
      </c>
      <c r="N93" s="480">
        <v>0.185</v>
      </c>
      <c r="O93" s="980">
        <v>0.17600000000000002</v>
      </c>
      <c r="P93" s="980">
        <v>0.214</v>
      </c>
      <c r="Q93" s="980">
        <v>0.17508154871649412</v>
      </c>
      <c r="R93" s="1792">
        <v>0.19205663546916246</v>
      </c>
      <c r="S93" s="481"/>
      <c r="T93" s="482">
        <v>6733</v>
      </c>
      <c r="U93" s="482">
        <v>6533</v>
      </c>
      <c r="V93" s="482">
        <v>7281</v>
      </c>
      <c r="W93" s="482">
        <v>6895</v>
      </c>
      <c r="X93" s="482">
        <v>6960</v>
      </c>
      <c r="Y93" s="482">
        <v>7559</v>
      </c>
      <c r="Z93" s="482">
        <v>7195</v>
      </c>
      <c r="AA93" s="482">
        <v>7640</v>
      </c>
      <c r="AB93" s="482">
        <v>7561</v>
      </c>
      <c r="AC93" s="482">
        <v>6852</v>
      </c>
      <c r="AD93" s="483">
        <v>8035</v>
      </c>
      <c r="AE93" s="987">
        <v>7580</v>
      </c>
      <c r="AF93" s="1373">
        <v>9089</v>
      </c>
      <c r="AG93" s="1377">
        <v>7407</v>
      </c>
      <c r="AH93" s="1788">
        <v>8003</v>
      </c>
    </row>
    <row r="94" spans="1:34" ht="16.5" customHeight="1" x14ac:dyDescent="0.25">
      <c r="A94" s="404" t="s">
        <v>232</v>
      </c>
      <c r="B94" s="405" t="s">
        <v>525</v>
      </c>
      <c r="C94" s="1800" t="s">
        <v>267</v>
      </c>
      <c r="D94" s="479">
        <v>8.5999999999999993E-2</v>
      </c>
      <c r="E94" s="479">
        <v>8.3000000000000004E-2</v>
      </c>
      <c r="F94" s="479">
        <v>8.6999999999999994E-2</v>
      </c>
      <c r="G94" s="479">
        <v>9.5000000000000001E-2</v>
      </c>
      <c r="H94" s="479">
        <v>8.900000000000001E-2</v>
      </c>
      <c r="I94" s="479">
        <v>9.8000000000000004E-2</v>
      </c>
      <c r="J94" s="479">
        <v>9.6000000000000002E-2</v>
      </c>
      <c r="K94" s="479">
        <v>0.09</v>
      </c>
      <c r="L94" s="479">
        <v>0.10099999999999999</v>
      </c>
      <c r="M94" s="479">
        <v>9.8000000000000004E-2</v>
      </c>
      <c r="N94" s="480">
        <v>0.10300000000000002</v>
      </c>
      <c r="O94" s="980">
        <v>0.10400000000000001</v>
      </c>
      <c r="P94" s="980">
        <v>0.11</v>
      </c>
      <c r="Q94" s="980">
        <v>0.11989748738407884</v>
      </c>
      <c r="R94" s="1792">
        <v>0.11250131150981009</v>
      </c>
      <c r="S94" s="481"/>
      <c r="T94" s="482">
        <v>2737</v>
      </c>
      <c r="U94" s="482">
        <v>2697</v>
      </c>
      <c r="V94" s="482">
        <v>2908</v>
      </c>
      <c r="W94" s="482">
        <v>3236</v>
      </c>
      <c r="X94" s="482">
        <v>3114</v>
      </c>
      <c r="Y94" s="482">
        <v>3399</v>
      </c>
      <c r="Z94" s="482">
        <v>3382</v>
      </c>
      <c r="AA94" s="482">
        <v>3180</v>
      </c>
      <c r="AB94" s="482">
        <v>3625</v>
      </c>
      <c r="AC94" s="482">
        <v>3519</v>
      </c>
      <c r="AD94" s="483">
        <v>3812</v>
      </c>
      <c r="AE94" s="987">
        <v>3858</v>
      </c>
      <c r="AF94" s="1373">
        <v>4085</v>
      </c>
      <c r="AG94" s="1377">
        <v>4538</v>
      </c>
      <c r="AH94" s="1788">
        <v>4289</v>
      </c>
    </row>
    <row r="95" spans="1:34" ht="16.5" customHeight="1" x14ac:dyDescent="0.25">
      <c r="A95" s="404" t="s">
        <v>234</v>
      </c>
      <c r="B95" s="405" t="s">
        <v>526</v>
      </c>
      <c r="C95" s="1800" t="s">
        <v>268</v>
      </c>
      <c r="D95" s="479">
        <v>0.114</v>
      </c>
      <c r="E95" s="479">
        <v>0.111</v>
      </c>
      <c r="F95" s="479">
        <v>0.12</v>
      </c>
      <c r="G95" s="479">
        <v>0.122</v>
      </c>
      <c r="H95" s="479">
        <v>0.12300000000000001</v>
      </c>
      <c r="I95" s="479">
        <v>0.11</v>
      </c>
      <c r="J95" s="479">
        <v>0.129</v>
      </c>
      <c r="K95" s="479">
        <v>0.14800000000000002</v>
      </c>
      <c r="L95" s="479">
        <v>0.14199999999999999</v>
      </c>
      <c r="M95" s="479">
        <v>0.13900000000000001</v>
      </c>
      <c r="N95" s="480">
        <v>0.14099999999999999</v>
      </c>
      <c r="O95" s="980">
        <v>0.128</v>
      </c>
      <c r="P95" s="980">
        <v>0.13900000000000001</v>
      </c>
      <c r="Q95" s="980">
        <v>0.14870006935462707</v>
      </c>
      <c r="R95" s="1792">
        <v>0.14543608259054497</v>
      </c>
      <c r="S95" s="481"/>
      <c r="T95" s="482">
        <v>5761</v>
      </c>
      <c r="U95" s="482">
        <v>5609</v>
      </c>
      <c r="V95" s="482">
        <v>6108</v>
      </c>
      <c r="W95" s="482">
        <v>6265</v>
      </c>
      <c r="X95" s="482">
        <v>6344</v>
      </c>
      <c r="Y95" s="482">
        <v>5561</v>
      </c>
      <c r="Z95" s="482">
        <v>6576</v>
      </c>
      <c r="AA95" s="482">
        <v>7589</v>
      </c>
      <c r="AB95" s="482">
        <v>7302</v>
      </c>
      <c r="AC95" s="482">
        <v>7165</v>
      </c>
      <c r="AD95" s="483">
        <v>7500</v>
      </c>
      <c r="AE95" s="987">
        <v>6831</v>
      </c>
      <c r="AF95" s="1373">
        <v>7405</v>
      </c>
      <c r="AG95" s="1377">
        <v>7933</v>
      </c>
      <c r="AH95" s="1788">
        <v>7734</v>
      </c>
    </row>
    <row r="96" spans="1:34" ht="16.5" customHeight="1" x14ac:dyDescent="0.25">
      <c r="A96" s="404" t="s">
        <v>236</v>
      </c>
      <c r="B96" s="405" t="s">
        <v>527</v>
      </c>
      <c r="C96" s="1800" t="s">
        <v>266</v>
      </c>
      <c r="D96" s="479">
        <v>0.13400000000000001</v>
      </c>
      <c r="E96" s="479">
        <v>0.13</v>
      </c>
      <c r="F96" s="479">
        <v>0.13800000000000001</v>
      </c>
      <c r="G96" s="479">
        <v>0.13800000000000001</v>
      </c>
      <c r="H96" s="479">
        <v>0.13300000000000001</v>
      </c>
      <c r="I96" s="479">
        <v>0.16</v>
      </c>
      <c r="J96" s="479">
        <v>0.14499999999999999</v>
      </c>
      <c r="K96" s="479">
        <v>0.124</v>
      </c>
      <c r="L96" s="479">
        <v>0.14699999999999999</v>
      </c>
      <c r="M96" s="479">
        <v>0.14099999999999999</v>
      </c>
      <c r="N96" s="480">
        <v>0.14699999999999999</v>
      </c>
      <c r="O96" s="980">
        <v>0.17300000000000001</v>
      </c>
      <c r="P96" s="980">
        <v>0.17599999999999999</v>
      </c>
      <c r="Q96" s="980">
        <v>0.15309446254071662</v>
      </c>
      <c r="R96" s="1792">
        <v>0.14984744689424903</v>
      </c>
      <c r="S96" s="481"/>
      <c r="T96" s="482">
        <v>2218</v>
      </c>
      <c r="U96" s="482">
        <v>2171</v>
      </c>
      <c r="V96" s="482">
        <v>2347</v>
      </c>
      <c r="W96" s="482">
        <v>2355</v>
      </c>
      <c r="X96" s="482">
        <v>2293</v>
      </c>
      <c r="Y96" s="482">
        <v>2736</v>
      </c>
      <c r="Z96" s="482">
        <v>2476</v>
      </c>
      <c r="AA96" s="482">
        <v>2118</v>
      </c>
      <c r="AB96" s="482">
        <v>2546</v>
      </c>
      <c r="AC96" s="482">
        <v>2472</v>
      </c>
      <c r="AD96" s="483">
        <v>2555</v>
      </c>
      <c r="AE96" s="987">
        <v>3020</v>
      </c>
      <c r="AF96" s="1373">
        <v>3073</v>
      </c>
      <c r="AG96" s="1377">
        <v>2679</v>
      </c>
      <c r="AH96" s="1788">
        <v>2603</v>
      </c>
    </row>
    <row r="97" spans="1:34" ht="16.5" customHeight="1" x14ac:dyDescent="0.25">
      <c r="A97" s="404" t="s">
        <v>242</v>
      </c>
      <c r="B97" s="405" t="s">
        <v>528</v>
      </c>
      <c r="C97" s="1800" t="s">
        <v>268</v>
      </c>
      <c r="D97" s="479">
        <v>0.193</v>
      </c>
      <c r="E97" s="479">
        <v>0.183</v>
      </c>
      <c r="F97" s="479">
        <v>0.20199999999999999</v>
      </c>
      <c r="G97" s="479">
        <v>0.19500000000000001</v>
      </c>
      <c r="H97" s="479">
        <v>0.192</v>
      </c>
      <c r="I97" s="479">
        <v>0.23300000000000001</v>
      </c>
      <c r="J97" s="479">
        <v>0.20100000000000001</v>
      </c>
      <c r="K97" s="479">
        <v>0.21600000000000003</v>
      </c>
      <c r="L97" s="479">
        <v>0.215</v>
      </c>
      <c r="M97" s="479">
        <v>0.193</v>
      </c>
      <c r="N97" s="480">
        <v>0.222</v>
      </c>
      <c r="O97" s="980">
        <v>0.22800000000000001</v>
      </c>
      <c r="P97" s="980">
        <v>0.25600000000000001</v>
      </c>
      <c r="Q97" s="980">
        <v>0.19320836873406966</v>
      </c>
      <c r="R97" s="1792">
        <v>0.21919210973079306</v>
      </c>
      <c r="S97" s="481"/>
      <c r="T97" s="482">
        <v>7550</v>
      </c>
      <c r="U97" s="482">
        <v>7157</v>
      </c>
      <c r="V97" s="482">
        <v>7942</v>
      </c>
      <c r="W97" s="482">
        <v>7607</v>
      </c>
      <c r="X97" s="482">
        <v>7545</v>
      </c>
      <c r="Y97" s="482">
        <v>9005</v>
      </c>
      <c r="Z97" s="482">
        <v>7809</v>
      </c>
      <c r="AA97" s="482">
        <v>8333</v>
      </c>
      <c r="AB97" s="482">
        <v>8287</v>
      </c>
      <c r="AC97" s="482">
        <v>7453</v>
      </c>
      <c r="AD97" s="483">
        <v>8524</v>
      </c>
      <c r="AE97" s="987">
        <v>8782</v>
      </c>
      <c r="AF97" s="1373">
        <v>9750</v>
      </c>
      <c r="AG97" s="1377">
        <v>7277</v>
      </c>
      <c r="AH97" s="1788">
        <v>8134</v>
      </c>
    </row>
    <row r="98" spans="1:34" ht="16.5" customHeight="1" x14ac:dyDescent="0.25">
      <c r="A98" s="404" t="s">
        <v>244</v>
      </c>
      <c r="B98" s="405" t="s">
        <v>529</v>
      </c>
      <c r="C98" s="1800" t="s">
        <v>268</v>
      </c>
      <c r="D98" s="479">
        <v>0.11800000000000001</v>
      </c>
      <c r="E98" s="479">
        <v>0.122</v>
      </c>
      <c r="F98" s="479">
        <v>0.13699999999999998</v>
      </c>
      <c r="G98" s="479">
        <v>0.128</v>
      </c>
      <c r="H98" s="479">
        <v>0.11900000000000001</v>
      </c>
      <c r="I98" s="479">
        <v>0.13699999999999998</v>
      </c>
      <c r="J98" s="479">
        <v>0.14599999999999999</v>
      </c>
      <c r="K98" s="479">
        <v>0.122</v>
      </c>
      <c r="L98" s="479">
        <v>0.14000000000000001</v>
      </c>
      <c r="M98" s="479">
        <v>0.14300000000000002</v>
      </c>
      <c r="N98" s="480">
        <v>0.158</v>
      </c>
      <c r="O98" s="980">
        <v>0.14300000000000002</v>
      </c>
      <c r="P98" s="980">
        <v>0.16900000000000001</v>
      </c>
      <c r="Q98" s="980">
        <v>0.15119482129329936</v>
      </c>
      <c r="R98" s="1792">
        <v>0.15584460631286853</v>
      </c>
      <c r="S98" s="481"/>
      <c r="T98" s="482">
        <v>3228</v>
      </c>
      <c r="U98" s="482">
        <v>3351</v>
      </c>
      <c r="V98" s="482">
        <v>3806</v>
      </c>
      <c r="W98" s="482">
        <v>3543</v>
      </c>
      <c r="X98" s="482">
        <v>3366</v>
      </c>
      <c r="Y98" s="482">
        <v>3825</v>
      </c>
      <c r="Z98" s="482">
        <v>4130</v>
      </c>
      <c r="AA98" s="482">
        <v>3421</v>
      </c>
      <c r="AB98" s="482">
        <v>3967</v>
      </c>
      <c r="AC98" s="482">
        <v>4058</v>
      </c>
      <c r="AD98" s="483">
        <v>4578</v>
      </c>
      <c r="AE98" s="987">
        <v>4148</v>
      </c>
      <c r="AF98" s="1373">
        <v>4889</v>
      </c>
      <c r="AG98" s="1377">
        <v>4391</v>
      </c>
      <c r="AH98" s="1788">
        <v>4493</v>
      </c>
    </row>
    <row r="99" spans="1:34" ht="16.5" customHeight="1" x14ac:dyDescent="0.25">
      <c r="A99" s="404" t="s">
        <v>246</v>
      </c>
      <c r="B99" s="405" t="s">
        <v>759</v>
      </c>
      <c r="C99" s="1800" t="s">
        <v>264</v>
      </c>
      <c r="D99" s="479">
        <v>4.2800000000000005E-2</v>
      </c>
      <c r="E99" s="479">
        <v>4.2699999999999995E-2</v>
      </c>
      <c r="F99" s="479">
        <v>4.4400000000000002E-2</v>
      </c>
      <c r="G99" s="479">
        <v>4.9699999999999994E-2</v>
      </c>
      <c r="H99" s="479">
        <v>4.7699999999999992E-2</v>
      </c>
      <c r="I99" s="479">
        <v>4.2599999999999999E-2</v>
      </c>
      <c r="J99" s="479">
        <v>4.4000000000000004E-2</v>
      </c>
      <c r="K99" s="479">
        <v>4.2000000000000003E-2</v>
      </c>
      <c r="L99" s="479">
        <v>4.4000000000000004E-2</v>
      </c>
      <c r="M99" s="479">
        <v>4.7300000000000002E-2</v>
      </c>
      <c r="N99" s="480">
        <v>5.3157922199184374E-2</v>
      </c>
      <c r="O99" s="980">
        <v>5.3691962856227987E-2</v>
      </c>
      <c r="P99" s="980">
        <v>6.6000000000000003E-2</v>
      </c>
      <c r="Q99" s="980">
        <v>5.9275493103003736E-2</v>
      </c>
      <c r="R99" s="1792">
        <v>5.5706574251813301E-2</v>
      </c>
      <c r="S99" s="481"/>
      <c r="T99" s="482">
        <v>2965</v>
      </c>
      <c r="U99" s="482">
        <v>3035</v>
      </c>
      <c r="V99" s="482">
        <v>3230</v>
      </c>
      <c r="W99" s="482">
        <v>3589</v>
      </c>
      <c r="X99" s="482">
        <v>3510</v>
      </c>
      <c r="Y99" s="482">
        <v>3102</v>
      </c>
      <c r="Z99" s="482">
        <v>3228</v>
      </c>
      <c r="AA99" s="482">
        <v>3067</v>
      </c>
      <c r="AB99" s="482">
        <v>3172</v>
      </c>
      <c r="AC99" s="482">
        <v>3402</v>
      </c>
      <c r="AD99" s="483">
        <v>4058</v>
      </c>
      <c r="AE99" s="987">
        <v>4192</v>
      </c>
      <c r="AF99" s="1373">
        <v>5134</v>
      </c>
      <c r="AG99" s="1377">
        <v>4598</v>
      </c>
      <c r="AH99" s="1788">
        <v>4324</v>
      </c>
    </row>
    <row r="100" spans="1:34" ht="16.5" customHeight="1" x14ac:dyDescent="0.25">
      <c r="A100" s="404" t="s">
        <v>14</v>
      </c>
      <c r="B100" s="405" t="s">
        <v>15</v>
      </c>
      <c r="C100" s="1800" t="s">
        <v>267</v>
      </c>
      <c r="D100" s="479">
        <v>7.4999999999999997E-2</v>
      </c>
      <c r="E100" s="479">
        <v>7.2000000000000008E-2</v>
      </c>
      <c r="F100" s="479">
        <v>7.8E-2</v>
      </c>
      <c r="G100" s="479">
        <v>8.8000000000000009E-2</v>
      </c>
      <c r="H100" s="479">
        <v>8.3000000000000004E-2</v>
      </c>
      <c r="I100" s="479">
        <v>7.6999999999999999E-2</v>
      </c>
      <c r="J100" s="479">
        <v>7.2000000000000008E-2</v>
      </c>
      <c r="K100" s="479">
        <v>8.3000000000000004E-2</v>
      </c>
      <c r="L100" s="479">
        <v>0.08</v>
      </c>
      <c r="M100" s="479">
        <v>9.0999999999999998E-2</v>
      </c>
      <c r="N100" s="480">
        <v>9.3000000000000013E-2</v>
      </c>
      <c r="O100" s="980">
        <v>8.1000000000000003E-2</v>
      </c>
      <c r="P100" s="980">
        <v>8.5999999999999993E-2</v>
      </c>
      <c r="Q100" s="980">
        <v>8.7829889090624724E-2</v>
      </c>
      <c r="R100" s="1792">
        <v>9.5899435332078523E-2</v>
      </c>
      <c r="S100" s="481"/>
      <c r="T100" s="482">
        <v>9744</v>
      </c>
      <c r="U100" s="482">
        <v>9285</v>
      </c>
      <c r="V100" s="482">
        <v>10067</v>
      </c>
      <c r="W100" s="482">
        <v>11271</v>
      </c>
      <c r="X100" s="482">
        <v>11165</v>
      </c>
      <c r="Y100" s="482">
        <v>10320</v>
      </c>
      <c r="Z100" s="482">
        <v>9685</v>
      </c>
      <c r="AA100" s="482">
        <v>11450</v>
      </c>
      <c r="AB100" s="482">
        <v>11398</v>
      </c>
      <c r="AC100" s="482">
        <v>13486</v>
      </c>
      <c r="AD100" s="483">
        <v>12898</v>
      </c>
      <c r="AE100" s="987">
        <v>11522</v>
      </c>
      <c r="AF100" s="1373">
        <v>12412</v>
      </c>
      <c r="AG100" s="1377">
        <v>12916</v>
      </c>
      <c r="AH100" s="1788">
        <v>14266</v>
      </c>
    </row>
    <row r="101" spans="1:34" ht="16.5" customHeight="1" x14ac:dyDescent="0.25">
      <c r="A101" s="404" t="s">
        <v>34</v>
      </c>
      <c r="B101" s="405" t="s">
        <v>35</v>
      </c>
      <c r="C101" s="1800" t="s">
        <v>268</v>
      </c>
      <c r="D101" s="479">
        <v>0.154</v>
      </c>
      <c r="E101" s="479">
        <v>0.156</v>
      </c>
      <c r="F101" s="479">
        <v>0.17100000000000001</v>
      </c>
      <c r="G101" s="479">
        <v>0.16399999999999998</v>
      </c>
      <c r="H101" s="479">
        <v>0.16800000000000001</v>
      </c>
      <c r="I101" s="479">
        <v>0.182</v>
      </c>
      <c r="J101" s="479">
        <v>0.214</v>
      </c>
      <c r="K101" s="479">
        <v>0.183</v>
      </c>
      <c r="L101" s="479">
        <v>0.21299999999999999</v>
      </c>
      <c r="M101" s="479">
        <v>0.20199999999999999</v>
      </c>
      <c r="N101" s="480">
        <v>0.21500000000000002</v>
      </c>
      <c r="O101" s="980">
        <v>0.25800000000000001</v>
      </c>
      <c r="P101" s="980">
        <v>0.21099999999999999</v>
      </c>
      <c r="Q101" s="980">
        <v>0.21624151649894688</v>
      </c>
      <c r="R101" s="1792">
        <v>0.21793737838315938</v>
      </c>
      <c r="S101" s="481"/>
      <c r="T101" s="482">
        <v>2597</v>
      </c>
      <c r="U101" s="482">
        <v>2577</v>
      </c>
      <c r="V101" s="482">
        <v>2861</v>
      </c>
      <c r="W101" s="482">
        <v>2763</v>
      </c>
      <c r="X101" s="482">
        <v>2805</v>
      </c>
      <c r="Y101" s="482">
        <v>2999</v>
      </c>
      <c r="Z101" s="482">
        <v>3584</v>
      </c>
      <c r="AA101" s="482">
        <v>3098</v>
      </c>
      <c r="AB101" s="482">
        <v>3605</v>
      </c>
      <c r="AC101" s="482">
        <v>3458</v>
      </c>
      <c r="AD101" s="483">
        <v>3744</v>
      </c>
      <c r="AE101" s="987">
        <v>4466</v>
      </c>
      <c r="AF101" s="1373">
        <v>3624</v>
      </c>
      <c r="AG101" s="1377">
        <v>3696</v>
      </c>
      <c r="AH101" s="1788">
        <v>3696</v>
      </c>
    </row>
    <row r="102" spans="1:34" ht="16.5" customHeight="1" x14ac:dyDescent="0.25">
      <c r="A102" s="404" t="s">
        <v>52</v>
      </c>
      <c r="B102" s="405" t="s">
        <v>53</v>
      </c>
      <c r="C102" s="1800" t="s">
        <v>265</v>
      </c>
      <c r="D102" s="479">
        <v>0.16800000000000001</v>
      </c>
      <c r="E102" s="479">
        <v>0.14599999999999999</v>
      </c>
      <c r="F102" s="479">
        <v>0.16399999999999998</v>
      </c>
      <c r="G102" s="479">
        <v>0.18</v>
      </c>
      <c r="H102" s="479">
        <v>0.17199999999999999</v>
      </c>
      <c r="I102" s="479">
        <v>0.23699999999999999</v>
      </c>
      <c r="J102" s="479">
        <v>0.24</v>
      </c>
      <c r="K102" s="479">
        <v>0.23600000000000002</v>
      </c>
      <c r="L102" s="479">
        <v>0.218</v>
      </c>
      <c r="M102" s="479">
        <v>0.214</v>
      </c>
      <c r="N102" s="480">
        <v>0.20200000000000001</v>
      </c>
      <c r="O102" s="980">
        <v>0.23</v>
      </c>
      <c r="P102" s="980">
        <v>0.24199999999999999</v>
      </c>
      <c r="Q102" s="980">
        <v>0.22897096751295459</v>
      </c>
      <c r="R102" s="1792">
        <v>0.2591647705072514</v>
      </c>
      <c r="S102" s="481"/>
      <c r="T102" s="482">
        <v>6470</v>
      </c>
      <c r="U102" s="482">
        <v>5556</v>
      </c>
      <c r="V102" s="482">
        <v>6184</v>
      </c>
      <c r="W102" s="482">
        <v>6295</v>
      </c>
      <c r="X102" s="482">
        <v>6720</v>
      </c>
      <c r="Y102" s="482">
        <v>9101</v>
      </c>
      <c r="Z102" s="482">
        <v>9240</v>
      </c>
      <c r="AA102" s="482">
        <v>9299</v>
      </c>
      <c r="AB102" s="482">
        <v>8640</v>
      </c>
      <c r="AC102" s="482">
        <v>8666</v>
      </c>
      <c r="AD102" s="483">
        <v>8387</v>
      </c>
      <c r="AE102" s="987">
        <v>9508</v>
      </c>
      <c r="AF102" s="1373">
        <v>10138</v>
      </c>
      <c r="AG102" s="1377">
        <v>9677</v>
      </c>
      <c r="AH102" s="1788">
        <v>11276</v>
      </c>
    </row>
    <row r="103" spans="1:34" ht="16.5" customHeight="1" x14ac:dyDescent="0.25">
      <c r="A103" s="404" t="s">
        <v>54</v>
      </c>
      <c r="B103" s="405" t="s">
        <v>55</v>
      </c>
      <c r="C103" s="1800" t="s">
        <v>264</v>
      </c>
      <c r="D103" s="479">
        <v>7.6999999999999999E-2</v>
      </c>
      <c r="E103" s="479">
        <v>7.5999999999999998E-2</v>
      </c>
      <c r="F103" s="479">
        <v>8.3000000000000004E-2</v>
      </c>
      <c r="G103" s="479">
        <v>9.0999999999999998E-2</v>
      </c>
      <c r="H103" s="479">
        <v>8.6999999999999994E-2</v>
      </c>
      <c r="I103" s="479">
        <v>6.8000000000000005E-2</v>
      </c>
      <c r="J103" s="479">
        <v>6.8000000000000005E-2</v>
      </c>
      <c r="K103" s="479">
        <v>0.08</v>
      </c>
      <c r="L103" s="479">
        <v>7.9000000000000001E-2</v>
      </c>
      <c r="M103" s="479">
        <v>7.2999999999999995E-2</v>
      </c>
      <c r="N103" s="480">
        <v>0.08</v>
      </c>
      <c r="O103" s="980">
        <v>9.3000000000000013E-2</v>
      </c>
      <c r="P103" s="980">
        <v>0.104</v>
      </c>
      <c r="Q103" s="980">
        <v>9.568905157362026E-2</v>
      </c>
      <c r="R103" s="1792">
        <v>9.8083057307003993E-2</v>
      </c>
      <c r="S103" s="481"/>
      <c r="T103" s="482">
        <v>15364</v>
      </c>
      <c r="U103" s="482">
        <v>15393</v>
      </c>
      <c r="V103" s="482">
        <v>17353</v>
      </c>
      <c r="W103" s="482">
        <v>19330</v>
      </c>
      <c r="X103" s="482">
        <v>18815</v>
      </c>
      <c r="Y103" s="482">
        <v>14571</v>
      </c>
      <c r="Z103" s="482">
        <v>14811</v>
      </c>
      <c r="AA103" s="482">
        <v>17246</v>
      </c>
      <c r="AB103" s="482">
        <v>17088</v>
      </c>
      <c r="AC103" s="482">
        <v>15859</v>
      </c>
      <c r="AD103" s="483">
        <v>17468</v>
      </c>
      <c r="AE103" s="987">
        <v>20551</v>
      </c>
      <c r="AF103" s="1373">
        <v>23308</v>
      </c>
      <c r="AG103" s="1377">
        <v>21593</v>
      </c>
      <c r="AH103" s="1788">
        <v>22416</v>
      </c>
    </row>
    <row r="104" spans="1:34" ht="16.5" customHeight="1" x14ac:dyDescent="0.25">
      <c r="A104" s="404" t="s">
        <v>66</v>
      </c>
      <c r="B104" s="405" t="s">
        <v>67</v>
      </c>
      <c r="C104" s="1800" t="s">
        <v>265</v>
      </c>
      <c r="D104" s="479">
        <v>0.17100000000000001</v>
      </c>
      <c r="E104" s="479">
        <v>0.17300000000000001</v>
      </c>
      <c r="F104" s="479">
        <v>0.192</v>
      </c>
      <c r="G104" s="479">
        <v>0.19399999999999998</v>
      </c>
      <c r="H104" s="479">
        <v>0.19399999999999998</v>
      </c>
      <c r="I104" s="479">
        <v>0.24299999999999999</v>
      </c>
      <c r="J104" s="479">
        <v>0.223</v>
      </c>
      <c r="K104" s="479">
        <v>0.22800000000000001</v>
      </c>
      <c r="L104" s="479">
        <v>0.20800000000000002</v>
      </c>
      <c r="M104" s="479">
        <v>0.251</v>
      </c>
      <c r="N104" s="480">
        <v>0.26600000000000001</v>
      </c>
      <c r="O104" s="980">
        <v>0.26500000000000001</v>
      </c>
      <c r="P104" s="980">
        <v>0.25900000000000001</v>
      </c>
      <c r="Q104" s="980">
        <v>0.25023586617316207</v>
      </c>
      <c r="R104" s="1792">
        <v>0.2357767382625946</v>
      </c>
      <c r="S104" s="481"/>
      <c r="T104" s="482">
        <v>7972</v>
      </c>
      <c r="U104" s="482">
        <v>7971</v>
      </c>
      <c r="V104" s="482">
        <v>8821</v>
      </c>
      <c r="W104" s="482">
        <v>8796</v>
      </c>
      <c r="X104" s="482">
        <v>8715</v>
      </c>
      <c r="Y104" s="482">
        <v>10779</v>
      </c>
      <c r="Z104" s="482">
        <v>9838</v>
      </c>
      <c r="AA104" s="482">
        <v>9930</v>
      </c>
      <c r="AB104" s="482">
        <v>8991</v>
      </c>
      <c r="AC104" s="482">
        <v>10764</v>
      </c>
      <c r="AD104" s="483">
        <v>11032</v>
      </c>
      <c r="AE104" s="987">
        <v>10984</v>
      </c>
      <c r="AF104" s="1373">
        <v>10719</v>
      </c>
      <c r="AG104" s="1377">
        <v>10344</v>
      </c>
      <c r="AH104" s="1788">
        <v>9627</v>
      </c>
    </row>
    <row r="105" spans="1:34" ht="16.5" customHeight="1" x14ac:dyDescent="0.25">
      <c r="A105" s="404" t="s">
        <v>82</v>
      </c>
      <c r="B105" s="405" t="s">
        <v>83</v>
      </c>
      <c r="C105" s="1800" t="s">
        <v>264</v>
      </c>
      <c r="D105" s="479">
        <v>0.17499999999999999</v>
      </c>
      <c r="E105" s="479">
        <v>0.156</v>
      </c>
      <c r="F105" s="479">
        <v>0.17100000000000001</v>
      </c>
      <c r="G105" s="479">
        <v>0.17399999999999999</v>
      </c>
      <c r="H105" s="479">
        <v>0.16600000000000001</v>
      </c>
      <c r="I105" s="479">
        <v>0.20100000000000001</v>
      </c>
      <c r="J105" s="479">
        <v>0.185</v>
      </c>
      <c r="K105" s="479">
        <v>0.184</v>
      </c>
      <c r="L105" s="479">
        <v>0.19399999999999998</v>
      </c>
      <c r="M105" s="479">
        <v>0.17699999999999999</v>
      </c>
      <c r="N105" s="480">
        <v>0.216</v>
      </c>
      <c r="O105" s="980">
        <v>0.218</v>
      </c>
      <c r="P105" s="980">
        <v>0.20799999999999999</v>
      </c>
      <c r="Q105" s="980">
        <v>0.2186030103480715</v>
      </c>
      <c r="R105" s="1792">
        <v>0.22489577129243599</v>
      </c>
      <c r="S105" s="481"/>
      <c r="T105" s="482">
        <v>1401</v>
      </c>
      <c r="U105" s="482">
        <v>1237</v>
      </c>
      <c r="V105" s="482">
        <v>1374</v>
      </c>
      <c r="W105" s="482">
        <v>1435</v>
      </c>
      <c r="X105" s="482">
        <v>1388</v>
      </c>
      <c r="Y105" s="482">
        <v>1668</v>
      </c>
      <c r="Z105" s="482">
        <v>1576</v>
      </c>
      <c r="AA105" s="482">
        <v>1586</v>
      </c>
      <c r="AB105" s="482">
        <v>1663</v>
      </c>
      <c r="AC105" s="482">
        <v>1506</v>
      </c>
      <c r="AD105" s="483">
        <v>1833</v>
      </c>
      <c r="AE105" s="987">
        <v>1843</v>
      </c>
      <c r="AF105" s="1373">
        <v>1750</v>
      </c>
      <c r="AG105" s="1377">
        <v>1859</v>
      </c>
      <c r="AH105" s="1788">
        <v>1888</v>
      </c>
    </row>
    <row r="106" spans="1:34" ht="16.5" customHeight="1" x14ac:dyDescent="0.25">
      <c r="A106" s="404" t="s">
        <v>88</v>
      </c>
      <c r="B106" s="405" t="s">
        <v>89</v>
      </c>
      <c r="C106" s="1800" t="s">
        <v>267</v>
      </c>
      <c r="D106" s="479">
        <v>0.128</v>
      </c>
      <c r="E106" s="479">
        <v>0.126</v>
      </c>
      <c r="F106" s="479">
        <v>0.13699999999999998</v>
      </c>
      <c r="G106" s="479">
        <v>0.14199999999999999</v>
      </c>
      <c r="H106" s="479">
        <v>0.14400000000000002</v>
      </c>
      <c r="I106" s="479">
        <v>0.17</v>
      </c>
      <c r="J106" s="479">
        <v>0.14899999999999999</v>
      </c>
      <c r="K106" s="479">
        <v>0.13</v>
      </c>
      <c r="L106" s="479">
        <v>0.154</v>
      </c>
      <c r="M106" s="479">
        <v>0.17300000000000001</v>
      </c>
      <c r="N106" s="480">
        <v>0.19800000000000001</v>
      </c>
      <c r="O106" s="980">
        <v>0.159</v>
      </c>
      <c r="P106" s="980">
        <v>0.157</v>
      </c>
      <c r="Q106" s="980">
        <v>0.17524306378942375</v>
      </c>
      <c r="R106" s="1792">
        <v>0.16764338177840299</v>
      </c>
      <c r="S106" s="481"/>
      <c r="T106" s="482">
        <v>2267</v>
      </c>
      <c r="U106" s="482">
        <v>2247</v>
      </c>
      <c r="V106" s="482">
        <v>2476</v>
      </c>
      <c r="W106" s="482">
        <v>2594</v>
      </c>
      <c r="X106" s="482">
        <v>2630</v>
      </c>
      <c r="Y106" s="482">
        <v>3050</v>
      </c>
      <c r="Z106" s="482">
        <v>2783</v>
      </c>
      <c r="AA106" s="482">
        <v>2585</v>
      </c>
      <c r="AB106" s="482">
        <v>3118</v>
      </c>
      <c r="AC106" s="482">
        <v>3581</v>
      </c>
      <c r="AD106" s="483">
        <v>4338</v>
      </c>
      <c r="AE106" s="987">
        <v>3681</v>
      </c>
      <c r="AF106" s="1373">
        <v>3860</v>
      </c>
      <c r="AG106" s="1377">
        <v>4434</v>
      </c>
      <c r="AH106" s="1788">
        <v>4291</v>
      </c>
    </row>
    <row r="107" spans="1:34" ht="16.5" customHeight="1" x14ac:dyDescent="0.25">
      <c r="A107" s="404" t="s">
        <v>90</v>
      </c>
      <c r="B107" s="405" t="s">
        <v>91</v>
      </c>
      <c r="C107" s="1800" t="s">
        <v>268</v>
      </c>
      <c r="D107" s="479">
        <v>0.184</v>
      </c>
      <c r="E107" s="479">
        <v>0.16899999999999998</v>
      </c>
      <c r="F107" s="479">
        <v>0.17699999999999999</v>
      </c>
      <c r="G107" s="479">
        <v>0.18</v>
      </c>
      <c r="H107" s="479">
        <v>0.17</v>
      </c>
      <c r="I107" s="479">
        <v>0.20699999999999999</v>
      </c>
      <c r="J107" s="479">
        <v>0.23</v>
      </c>
      <c r="K107" s="479">
        <v>0.19</v>
      </c>
      <c r="L107" s="479">
        <v>0.20699999999999999</v>
      </c>
      <c r="M107" s="479">
        <v>0.191</v>
      </c>
      <c r="N107" s="480">
        <v>0.223</v>
      </c>
      <c r="O107" s="980">
        <v>0.22899999999999998</v>
      </c>
      <c r="P107" s="980">
        <v>0.22800000000000001</v>
      </c>
      <c r="Q107" s="980">
        <v>0.22763744427934621</v>
      </c>
      <c r="R107" s="1792">
        <v>0.22738787066011026</v>
      </c>
      <c r="S107" s="481"/>
      <c r="T107" s="482">
        <v>1202</v>
      </c>
      <c r="U107" s="482">
        <v>1094</v>
      </c>
      <c r="V107" s="482">
        <v>1163</v>
      </c>
      <c r="W107" s="482">
        <v>1180</v>
      </c>
      <c r="X107" s="482">
        <v>1118</v>
      </c>
      <c r="Y107" s="482">
        <v>1349</v>
      </c>
      <c r="Z107" s="482">
        <v>1504</v>
      </c>
      <c r="AA107" s="482">
        <v>1267</v>
      </c>
      <c r="AB107" s="482">
        <v>1378</v>
      </c>
      <c r="AC107" s="482">
        <v>1286</v>
      </c>
      <c r="AD107" s="483">
        <v>1512</v>
      </c>
      <c r="AE107" s="987">
        <v>1530</v>
      </c>
      <c r="AF107" s="1373">
        <v>1506</v>
      </c>
      <c r="AG107" s="1377">
        <v>1532</v>
      </c>
      <c r="AH107" s="1788">
        <v>1526</v>
      </c>
    </row>
    <row r="108" spans="1:34" ht="16.5" customHeight="1" x14ac:dyDescent="0.25">
      <c r="A108" s="404" t="s">
        <v>106</v>
      </c>
      <c r="B108" s="405" t="s">
        <v>107</v>
      </c>
      <c r="C108" s="1800" t="s">
        <v>264</v>
      </c>
      <c r="D108" s="479">
        <v>0.122</v>
      </c>
      <c r="E108" s="479">
        <v>0.121</v>
      </c>
      <c r="F108" s="479">
        <v>0.13</v>
      </c>
      <c r="G108" s="479">
        <v>0.13100000000000001</v>
      </c>
      <c r="H108" s="479">
        <v>0.125</v>
      </c>
      <c r="I108" s="479">
        <v>0.13400000000000001</v>
      </c>
      <c r="J108" s="479">
        <v>0.121</v>
      </c>
      <c r="K108" s="479">
        <v>0.15</v>
      </c>
      <c r="L108" s="479">
        <v>0.14199999999999999</v>
      </c>
      <c r="M108" s="479">
        <v>0.14800000000000002</v>
      </c>
      <c r="N108" s="480">
        <v>0.13099999999999998</v>
      </c>
      <c r="O108" s="980">
        <v>0.153</v>
      </c>
      <c r="P108" s="980">
        <v>0.16500000000000001</v>
      </c>
      <c r="Q108" s="980">
        <v>0.15595928806935214</v>
      </c>
      <c r="R108" s="1792">
        <v>0.15181356519642561</v>
      </c>
      <c r="S108" s="481"/>
      <c r="T108" s="482">
        <v>16301</v>
      </c>
      <c r="U108" s="482">
        <v>16154</v>
      </c>
      <c r="V108" s="482">
        <v>17671</v>
      </c>
      <c r="W108" s="482">
        <v>17544</v>
      </c>
      <c r="X108" s="482">
        <v>16802</v>
      </c>
      <c r="Y108" s="482">
        <v>17885</v>
      </c>
      <c r="Z108" s="482">
        <v>16140</v>
      </c>
      <c r="AA108" s="482">
        <v>20115</v>
      </c>
      <c r="AB108" s="482">
        <v>18827</v>
      </c>
      <c r="AC108" s="482">
        <v>19499</v>
      </c>
      <c r="AD108" s="483">
        <v>17439</v>
      </c>
      <c r="AE108" s="987">
        <v>20153</v>
      </c>
      <c r="AF108" s="1373">
        <v>21855</v>
      </c>
      <c r="AG108" s="1377">
        <v>20671</v>
      </c>
      <c r="AH108" s="1788">
        <v>20149</v>
      </c>
    </row>
    <row r="109" spans="1:34" ht="16.5" customHeight="1" x14ac:dyDescent="0.25">
      <c r="A109" s="404" t="s">
        <v>116</v>
      </c>
      <c r="B109" s="405" t="s">
        <v>117</v>
      </c>
      <c r="C109" s="1800" t="s">
        <v>266</v>
      </c>
      <c r="D109" s="479">
        <v>0.14499999999999999</v>
      </c>
      <c r="E109" s="479">
        <v>0.14099999999999999</v>
      </c>
      <c r="F109" s="479">
        <v>0.16</v>
      </c>
      <c r="G109" s="479">
        <v>0.16399999999999998</v>
      </c>
      <c r="H109" s="479">
        <v>0.155</v>
      </c>
      <c r="I109" s="479">
        <v>0.16600000000000001</v>
      </c>
      <c r="J109" s="479">
        <v>0.16600000000000001</v>
      </c>
      <c r="K109" s="479">
        <v>0.15</v>
      </c>
      <c r="L109" s="479">
        <v>0.17899999999999999</v>
      </c>
      <c r="M109" s="479">
        <v>0.19699999999999998</v>
      </c>
      <c r="N109" s="480">
        <v>0.17299999999999999</v>
      </c>
      <c r="O109" s="980">
        <v>0.183</v>
      </c>
      <c r="P109" s="980">
        <v>0.189</v>
      </c>
      <c r="Q109" s="980">
        <v>0.22586412395709177</v>
      </c>
      <c r="R109" s="1792">
        <v>0.19529605564198774</v>
      </c>
      <c r="S109" s="481"/>
      <c r="T109" s="482">
        <v>3195</v>
      </c>
      <c r="U109" s="482">
        <v>3132</v>
      </c>
      <c r="V109" s="482">
        <v>3571</v>
      </c>
      <c r="W109" s="482">
        <v>3635</v>
      </c>
      <c r="X109" s="482">
        <v>3497</v>
      </c>
      <c r="Y109" s="482">
        <v>3715</v>
      </c>
      <c r="Z109" s="482">
        <v>3720</v>
      </c>
      <c r="AA109" s="482">
        <v>3402</v>
      </c>
      <c r="AB109" s="482">
        <v>4079</v>
      </c>
      <c r="AC109" s="482">
        <v>4486</v>
      </c>
      <c r="AD109" s="483">
        <v>3859</v>
      </c>
      <c r="AE109" s="987">
        <v>4076</v>
      </c>
      <c r="AF109" s="1373">
        <v>4153</v>
      </c>
      <c r="AG109" s="1377">
        <v>4927</v>
      </c>
      <c r="AH109" s="1788">
        <v>4268</v>
      </c>
    </row>
    <row r="110" spans="1:34" ht="16.5" customHeight="1" x14ac:dyDescent="0.25">
      <c r="A110" s="404" t="s">
        <v>138</v>
      </c>
      <c r="B110" s="405" t="s">
        <v>139</v>
      </c>
      <c r="C110" s="1800" t="s">
        <v>265</v>
      </c>
      <c r="D110" s="479">
        <v>0.15</v>
      </c>
      <c r="E110" s="479">
        <v>0.157</v>
      </c>
      <c r="F110" s="479">
        <v>0.183</v>
      </c>
      <c r="G110" s="479">
        <v>0.17600000000000002</v>
      </c>
      <c r="H110" s="479">
        <v>0.17800000000000002</v>
      </c>
      <c r="I110" s="479">
        <v>0.192</v>
      </c>
      <c r="J110" s="479">
        <v>0.191</v>
      </c>
      <c r="K110" s="479">
        <v>0.19399999999999998</v>
      </c>
      <c r="L110" s="479">
        <v>0.19800000000000001</v>
      </c>
      <c r="M110" s="479">
        <v>0.20699999999999999</v>
      </c>
      <c r="N110" s="480">
        <v>0.22800000000000001</v>
      </c>
      <c r="O110" s="980">
        <v>0.221</v>
      </c>
      <c r="P110" s="980">
        <v>0.23799999999999999</v>
      </c>
      <c r="Q110" s="980">
        <v>0.22646971935007384</v>
      </c>
      <c r="R110" s="1792">
        <v>0.24981818181818183</v>
      </c>
      <c r="S110" s="481"/>
      <c r="T110" s="482">
        <v>8790</v>
      </c>
      <c r="U110" s="482">
        <v>9167</v>
      </c>
      <c r="V110" s="482">
        <v>10764</v>
      </c>
      <c r="W110" s="482">
        <v>10265</v>
      </c>
      <c r="X110" s="482">
        <v>10524</v>
      </c>
      <c r="Y110" s="482">
        <v>11145</v>
      </c>
      <c r="Z110" s="482">
        <v>11322</v>
      </c>
      <c r="AA110" s="482">
        <v>11980</v>
      </c>
      <c r="AB110" s="482">
        <v>12344</v>
      </c>
      <c r="AC110" s="482">
        <v>13122</v>
      </c>
      <c r="AD110" s="483">
        <v>14921</v>
      </c>
      <c r="AE110" s="987">
        <v>14671</v>
      </c>
      <c r="AF110" s="1373">
        <v>15896</v>
      </c>
      <c r="AG110" s="1377">
        <v>15332</v>
      </c>
      <c r="AH110" s="1788">
        <v>17175</v>
      </c>
    </row>
    <row r="111" spans="1:34" ht="16.5" customHeight="1" x14ac:dyDescent="0.25">
      <c r="A111" s="404" t="s">
        <v>142</v>
      </c>
      <c r="B111" s="405" t="s">
        <v>143</v>
      </c>
      <c r="C111" s="1800" t="s">
        <v>267</v>
      </c>
      <c r="D111" s="479">
        <v>5.9000000000000004E-2</v>
      </c>
      <c r="E111" s="479">
        <v>5.9000000000000004E-2</v>
      </c>
      <c r="F111" s="479">
        <v>6.4000000000000001E-2</v>
      </c>
      <c r="G111" s="479">
        <v>7.400000000000001E-2</v>
      </c>
      <c r="H111" s="479">
        <v>7.4999999999999997E-2</v>
      </c>
      <c r="I111" s="479">
        <v>6.8000000000000005E-2</v>
      </c>
      <c r="J111" s="479">
        <v>7.400000000000001E-2</v>
      </c>
      <c r="K111" s="479">
        <v>8.900000000000001E-2</v>
      </c>
      <c r="L111" s="479">
        <v>8.6999999999999994E-2</v>
      </c>
      <c r="M111" s="479">
        <v>0.09</v>
      </c>
      <c r="N111" s="480">
        <v>0.11699999999999998</v>
      </c>
      <c r="O111" s="980">
        <v>0.10300000000000001</v>
      </c>
      <c r="P111" s="980">
        <v>0.107</v>
      </c>
      <c r="Q111" s="980">
        <v>0.10119869233563386</v>
      </c>
      <c r="R111" s="1792">
        <v>9.8221764832587419E-2</v>
      </c>
      <c r="S111" s="481"/>
      <c r="T111" s="482">
        <v>2076</v>
      </c>
      <c r="U111" s="482">
        <v>2135</v>
      </c>
      <c r="V111" s="482">
        <v>2358</v>
      </c>
      <c r="W111" s="482">
        <v>2747</v>
      </c>
      <c r="X111" s="482">
        <v>2756</v>
      </c>
      <c r="Y111" s="482">
        <v>2461</v>
      </c>
      <c r="Z111" s="482">
        <v>2642</v>
      </c>
      <c r="AA111" s="482">
        <v>3070</v>
      </c>
      <c r="AB111" s="482">
        <v>2972</v>
      </c>
      <c r="AC111" s="482">
        <v>3234</v>
      </c>
      <c r="AD111" s="483">
        <v>4427</v>
      </c>
      <c r="AE111" s="987">
        <v>4035</v>
      </c>
      <c r="AF111" s="1373">
        <v>4331</v>
      </c>
      <c r="AG111" s="1377">
        <v>4179</v>
      </c>
      <c r="AH111" s="1788">
        <v>4104</v>
      </c>
    </row>
    <row r="112" spans="1:34" ht="16.5" customHeight="1" x14ac:dyDescent="0.25">
      <c r="A112" s="404" t="s">
        <v>144</v>
      </c>
      <c r="B112" s="405" t="s">
        <v>145</v>
      </c>
      <c r="C112" s="1800" t="s">
        <v>267</v>
      </c>
      <c r="D112" s="479">
        <v>5.9000000000000004E-2</v>
      </c>
      <c r="E112" s="479">
        <v>5.7000000000000002E-2</v>
      </c>
      <c r="F112" s="479">
        <v>6.0999999999999999E-2</v>
      </c>
      <c r="G112" s="479">
        <v>6.5000000000000002E-2</v>
      </c>
      <c r="H112" s="479">
        <v>0.06</v>
      </c>
      <c r="I112" s="479">
        <v>6.0999999999999999E-2</v>
      </c>
      <c r="J112" s="479">
        <v>6.9000000000000006E-2</v>
      </c>
      <c r="K112" s="479">
        <v>6.2E-2</v>
      </c>
      <c r="L112" s="479">
        <v>6.3E-2</v>
      </c>
      <c r="M112" s="479">
        <v>7.5999999999999998E-2</v>
      </c>
      <c r="N112" s="480">
        <v>8.5999999999999993E-2</v>
      </c>
      <c r="O112" s="980">
        <v>0.08</v>
      </c>
      <c r="P112" s="980">
        <v>8.5999999999999993E-2</v>
      </c>
      <c r="Q112" s="980">
        <v>8.4299065420560745E-2</v>
      </c>
      <c r="R112" s="1792">
        <v>8.9398053109065623E-2</v>
      </c>
      <c r="S112" s="481"/>
      <c r="T112" s="485">
        <v>641</v>
      </c>
      <c r="U112" s="485">
        <v>619</v>
      </c>
      <c r="V112" s="485">
        <v>671</v>
      </c>
      <c r="W112" s="485">
        <v>750</v>
      </c>
      <c r="X112" s="485">
        <v>699</v>
      </c>
      <c r="Y112" s="485">
        <v>705</v>
      </c>
      <c r="Z112" s="485">
        <v>794</v>
      </c>
      <c r="AA112" s="485">
        <v>703</v>
      </c>
      <c r="AB112" s="482">
        <v>713</v>
      </c>
      <c r="AC112" s="482">
        <v>906</v>
      </c>
      <c r="AD112" s="483">
        <v>1238</v>
      </c>
      <c r="AE112" s="987">
        <v>1214</v>
      </c>
      <c r="AF112" s="1373">
        <v>1356</v>
      </c>
      <c r="AG112" s="1377">
        <v>1353</v>
      </c>
      <c r="AH112" s="1788">
        <v>1350</v>
      </c>
    </row>
    <row r="113" spans="1:34" ht="16.5" customHeight="1" x14ac:dyDescent="0.25">
      <c r="A113" s="404" t="s">
        <v>158</v>
      </c>
      <c r="B113" s="405" t="s">
        <v>159</v>
      </c>
      <c r="C113" s="1800" t="s">
        <v>264</v>
      </c>
      <c r="D113" s="479">
        <v>0.124</v>
      </c>
      <c r="E113" s="479">
        <v>0.11900000000000001</v>
      </c>
      <c r="F113" s="479">
        <v>0.13100000000000001</v>
      </c>
      <c r="G113" s="479">
        <v>0.14000000000000001</v>
      </c>
      <c r="H113" s="479">
        <v>0.13400000000000001</v>
      </c>
      <c r="I113" s="479">
        <v>0.14199999999999999</v>
      </c>
      <c r="J113" s="479">
        <v>0.126</v>
      </c>
      <c r="K113" s="479">
        <v>0.14699999999999999</v>
      </c>
      <c r="L113" s="479">
        <v>0.13200000000000001</v>
      </c>
      <c r="M113" s="479">
        <v>0.13500000000000001</v>
      </c>
      <c r="N113" s="480">
        <v>0.151</v>
      </c>
      <c r="O113" s="980">
        <v>0.155</v>
      </c>
      <c r="P113" s="980">
        <v>0.16400000000000001</v>
      </c>
      <c r="Q113" s="980">
        <v>0.17539417654505696</v>
      </c>
      <c r="R113" s="1792">
        <v>0.16662655986799133</v>
      </c>
      <c r="S113" s="481"/>
      <c r="T113" s="482">
        <v>21921</v>
      </c>
      <c r="U113" s="482">
        <v>21150</v>
      </c>
      <c r="V113" s="482">
        <v>23577</v>
      </c>
      <c r="W113" s="482">
        <v>25148</v>
      </c>
      <c r="X113" s="482">
        <v>23864</v>
      </c>
      <c r="Y113" s="482">
        <v>24948</v>
      </c>
      <c r="Z113" s="482">
        <v>22043</v>
      </c>
      <c r="AA113" s="482">
        <v>25758</v>
      </c>
      <c r="AB113" s="482">
        <v>22966</v>
      </c>
      <c r="AC113" s="482">
        <v>25430</v>
      </c>
      <c r="AD113" s="483">
        <v>26088</v>
      </c>
      <c r="AE113" s="987">
        <v>26712</v>
      </c>
      <c r="AF113" s="1373">
        <v>28299</v>
      </c>
      <c r="AG113" s="1377">
        <v>30480</v>
      </c>
      <c r="AH113" s="1788">
        <v>29082</v>
      </c>
    </row>
    <row r="114" spans="1:34" ht="16.5" customHeight="1" x14ac:dyDescent="0.25">
      <c r="A114" s="404" t="s">
        <v>160</v>
      </c>
      <c r="B114" s="405" t="s">
        <v>161</v>
      </c>
      <c r="C114" s="1800" t="s">
        <v>264</v>
      </c>
      <c r="D114" s="479">
        <v>0.18600000000000003</v>
      </c>
      <c r="E114" s="479">
        <v>0.18600000000000003</v>
      </c>
      <c r="F114" s="479">
        <v>0.20300000000000001</v>
      </c>
      <c r="G114" s="479">
        <v>0.19800000000000001</v>
      </c>
      <c r="H114" s="479">
        <v>0.188</v>
      </c>
      <c r="I114" s="479">
        <v>0.18899999999999997</v>
      </c>
      <c r="J114" s="479">
        <v>0.17499999999999999</v>
      </c>
      <c r="K114" s="479">
        <v>0.17899999999999999</v>
      </c>
      <c r="L114" s="479">
        <v>0.19500000000000001</v>
      </c>
      <c r="M114" s="479">
        <v>0.184</v>
      </c>
      <c r="N114" s="480">
        <v>0.19</v>
      </c>
      <c r="O114" s="980">
        <v>0.20300000000000001</v>
      </c>
      <c r="P114" s="980">
        <v>0.22600000000000001</v>
      </c>
      <c r="Q114" s="980">
        <v>0.23264248217208874</v>
      </c>
      <c r="R114" s="1792">
        <v>0.23356786563084178</v>
      </c>
      <c r="S114" s="481"/>
      <c r="T114" s="482">
        <v>39503</v>
      </c>
      <c r="U114" s="482">
        <v>39711</v>
      </c>
      <c r="V114" s="482">
        <v>43514</v>
      </c>
      <c r="W114" s="482">
        <v>41488</v>
      </c>
      <c r="X114" s="482">
        <v>38960</v>
      </c>
      <c r="Y114" s="482">
        <v>38857</v>
      </c>
      <c r="Z114" s="482">
        <v>35487</v>
      </c>
      <c r="AA114" s="482">
        <v>37343</v>
      </c>
      <c r="AB114" s="482">
        <v>40407</v>
      </c>
      <c r="AC114" s="482">
        <v>37917</v>
      </c>
      <c r="AD114" s="483">
        <v>39903</v>
      </c>
      <c r="AE114" s="987">
        <v>42703</v>
      </c>
      <c r="AF114" s="1373">
        <v>47978</v>
      </c>
      <c r="AG114" s="1377">
        <v>49457</v>
      </c>
      <c r="AH114" s="1788">
        <v>49728</v>
      </c>
    </row>
    <row r="115" spans="1:34" ht="16.5" customHeight="1" x14ac:dyDescent="0.25">
      <c r="A115" s="404" t="s">
        <v>166</v>
      </c>
      <c r="B115" s="405" t="s">
        <v>167</v>
      </c>
      <c r="C115" s="1800" t="s">
        <v>268</v>
      </c>
      <c r="D115" s="479">
        <v>0.18600000000000003</v>
      </c>
      <c r="E115" s="479">
        <v>0.17600000000000002</v>
      </c>
      <c r="F115" s="479">
        <v>0.16899999999999998</v>
      </c>
      <c r="G115" s="479">
        <v>0.182</v>
      </c>
      <c r="H115" s="479">
        <v>0.18</v>
      </c>
      <c r="I115" s="479">
        <v>0.221</v>
      </c>
      <c r="J115" s="479">
        <v>0.20300000000000001</v>
      </c>
      <c r="K115" s="479">
        <v>0.20600000000000002</v>
      </c>
      <c r="L115" s="479">
        <v>0.20800000000000002</v>
      </c>
      <c r="M115" s="479">
        <v>0.20899999999999999</v>
      </c>
      <c r="N115" s="480">
        <v>0.19500000000000001</v>
      </c>
      <c r="O115" s="980">
        <v>0.20499999999999999</v>
      </c>
      <c r="P115" s="980">
        <v>0.18099999999999999</v>
      </c>
      <c r="Q115" s="980">
        <v>0.22028325746079919</v>
      </c>
      <c r="R115" s="1792">
        <v>0.21567145376669186</v>
      </c>
      <c r="S115" s="481"/>
      <c r="T115" s="485">
        <v>717</v>
      </c>
      <c r="U115" s="485">
        <v>686</v>
      </c>
      <c r="V115" s="485">
        <v>659</v>
      </c>
      <c r="W115" s="485">
        <v>678</v>
      </c>
      <c r="X115" s="485">
        <v>658</v>
      </c>
      <c r="Y115" s="485">
        <v>801</v>
      </c>
      <c r="Z115" s="485">
        <v>730</v>
      </c>
      <c r="AA115" s="485">
        <v>757</v>
      </c>
      <c r="AB115" s="482">
        <v>759</v>
      </c>
      <c r="AC115" s="482">
        <v>763</v>
      </c>
      <c r="AD115" s="483">
        <v>761</v>
      </c>
      <c r="AE115" s="987">
        <v>819</v>
      </c>
      <c r="AF115" s="1373">
        <v>727</v>
      </c>
      <c r="AG115" s="1377">
        <v>871</v>
      </c>
      <c r="AH115" s="1788">
        <v>856</v>
      </c>
    </row>
    <row r="116" spans="1:34" ht="16.5" customHeight="1" x14ac:dyDescent="0.25">
      <c r="A116" s="404" t="s">
        <v>176</v>
      </c>
      <c r="B116" s="405" t="s">
        <v>177</v>
      </c>
      <c r="C116" s="1800" t="s">
        <v>266</v>
      </c>
      <c r="D116" s="479">
        <v>0.17800000000000002</v>
      </c>
      <c r="E116" s="479">
        <v>0.17100000000000001</v>
      </c>
      <c r="F116" s="479">
        <v>0.185</v>
      </c>
      <c r="G116" s="479">
        <v>0.18600000000000003</v>
      </c>
      <c r="H116" s="479">
        <v>0.183</v>
      </c>
      <c r="I116" s="479">
        <v>0.218</v>
      </c>
      <c r="J116" s="479">
        <v>0.193</v>
      </c>
      <c r="K116" s="479">
        <v>0.191</v>
      </c>
      <c r="L116" s="479">
        <v>0.20100000000000001</v>
      </c>
      <c r="M116" s="479">
        <v>0.222</v>
      </c>
      <c r="N116" s="480">
        <v>0.252</v>
      </c>
      <c r="O116" s="980">
        <v>0.24299999999999999</v>
      </c>
      <c r="P116" s="980">
        <v>0.25800000000000001</v>
      </c>
      <c r="Q116" s="980">
        <v>0.28128436331647239</v>
      </c>
      <c r="R116" s="1792">
        <v>0.25802418976779073</v>
      </c>
      <c r="S116" s="481"/>
      <c r="T116" s="482">
        <v>5826</v>
      </c>
      <c r="U116" s="482">
        <v>5569</v>
      </c>
      <c r="V116" s="482">
        <v>6046</v>
      </c>
      <c r="W116" s="482">
        <v>5978</v>
      </c>
      <c r="X116" s="482">
        <v>5874</v>
      </c>
      <c r="Y116" s="482">
        <v>6854</v>
      </c>
      <c r="Z116" s="482">
        <v>6098</v>
      </c>
      <c r="AA116" s="482">
        <v>6131</v>
      </c>
      <c r="AB116" s="482">
        <v>6478</v>
      </c>
      <c r="AC116" s="482">
        <v>7164</v>
      </c>
      <c r="AD116" s="483">
        <v>8015</v>
      </c>
      <c r="AE116" s="987">
        <v>7697</v>
      </c>
      <c r="AF116" s="1373">
        <v>8084</v>
      </c>
      <c r="AG116" s="1377">
        <v>8953</v>
      </c>
      <c r="AH116" s="1788">
        <v>8256</v>
      </c>
    </row>
    <row r="117" spans="1:34" ht="16.5" customHeight="1" x14ac:dyDescent="0.25">
      <c r="A117" s="404" t="s">
        <v>180</v>
      </c>
      <c r="B117" s="405" t="s">
        <v>181</v>
      </c>
      <c r="C117" s="1800" t="s">
        <v>264</v>
      </c>
      <c r="D117" s="479">
        <v>0.157</v>
      </c>
      <c r="E117" s="479">
        <v>0.153</v>
      </c>
      <c r="F117" s="479">
        <v>0.16399999999999998</v>
      </c>
      <c r="G117" s="479">
        <v>0.16600000000000001</v>
      </c>
      <c r="H117" s="479">
        <v>0.159</v>
      </c>
      <c r="I117" s="479">
        <v>0.17199999999999999</v>
      </c>
      <c r="J117" s="479">
        <v>0.14800000000000002</v>
      </c>
      <c r="K117" s="479">
        <v>0.156</v>
      </c>
      <c r="L117" s="479">
        <v>0.17899999999999999</v>
      </c>
      <c r="M117" s="479">
        <v>0.16699999999999998</v>
      </c>
      <c r="N117" s="480">
        <v>0.183</v>
      </c>
      <c r="O117" s="980">
        <v>0.18</v>
      </c>
      <c r="P117" s="980">
        <v>0.19500000000000001</v>
      </c>
      <c r="Q117" s="980">
        <v>0.20878695712919276</v>
      </c>
      <c r="R117" s="1792">
        <v>0.18325633487330253</v>
      </c>
      <c r="S117" s="481"/>
      <c r="T117" s="482">
        <v>15026</v>
      </c>
      <c r="U117" s="482">
        <v>14553</v>
      </c>
      <c r="V117" s="482">
        <v>15656</v>
      </c>
      <c r="W117" s="482">
        <v>15789</v>
      </c>
      <c r="X117" s="482">
        <v>15226</v>
      </c>
      <c r="Y117" s="482">
        <v>16256</v>
      </c>
      <c r="Z117" s="482">
        <v>14186</v>
      </c>
      <c r="AA117" s="482">
        <v>15038</v>
      </c>
      <c r="AB117" s="482">
        <v>16990</v>
      </c>
      <c r="AC117" s="482">
        <v>15687</v>
      </c>
      <c r="AD117" s="483">
        <v>16884</v>
      </c>
      <c r="AE117" s="987">
        <v>16640</v>
      </c>
      <c r="AF117" s="1373">
        <v>18123</v>
      </c>
      <c r="AG117" s="1377">
        <v>19427</v>
      </c>
      <c r="AH117" s="1788">
        <v>17017</v>
      </c>
    </row>
    <row r="118" spans="1:34" ht="16.5" customHeight="1" x14ac:dyDescent="0.25">
      <c r="A118" s="404" t="s">
        <v>192</v>
      </c>
      <c r="B118" s="405" t="s">
        <v>193</v>
      </c>
      <c r="C118" s="1800" t="s">
        <v>268</v>
      </c>
      <c r="D118" s="479">
        <v>0.17199999999999999</v>
      </c>
      <c r="E118" s="479">
        <v>0.17300000000000001</v>
      </c>
      <c r="F118" s="479">
        <v>0.19399999999999998</v>
      </c>
      <c r="G118" s="479">
        <v>0.188</v>
      </c>
      <c r="H118" s="479">
        <v>0.191</v>
      </c>
      <c r="I118" s="479">
        <v>0.28199999999999997</v>
      </c>
      <c r="J118" s="479">
        <v>0.24</v>
      </c>
      <c r="K118" s="479">
        <v>0.309</v>
      </c>
      <c r="L118" s="479">
        <v>0.26700000000000002</v>
      </c>
      <c r="M118" s="479">
        <v>0.27699999999999997</v>
      </c>
      <c r="N118" s="480">
        <v>0.25600000000000001</v>
      </c>
      <c r="O118" s="980">
        <v>0.26800000000000002</v>
      </c>
      <c r="P118" s="980">
        <v>0.34200000000000003</v>
      </c>
      <c r="Q118" s="980">
        <v>0.31280630726614106</v>
      </c>
      <c r="R118" s="1792">
        <v>0.32384908272758739</v>
      </c>
      <c r="S118" s="481"/>
      <c r="T118" s="482">
        <v>2217</v>
      </c>
      <c r="U118" s="482">
        <v>2194</v>
      </c>
      <c r="V118" s="482">
        <v>2408</v>
      </c>
      <c r="W118" s="482">
        <v>2282</v>
      </c>
      <c r="X118" s="482">
        <v>2299</v>
      </c>
      <c r="Y118" s="482">
        <v>3357</v>
      </c>
      <c r="Z118" s="482">
        <v>2857</v>
      </c>
      <c r="AA118" s="482">
        <v>4146</v>
      </c>
      <c r="AB118" s="482">
        <v>3573</v>
      </c>
      <c r="AC118" s="482">
        <v>3735</v>
      </c>
      <c r="AD118" s="483">
        <v>3525</v>
      </c>
      <c r="AE118" s="987">
        <v>3685</v>
      </c>
      <c r="AF118" s="1373">
        <v>4643</v>
      </c>
      <c r="AG118" s="1377">
        <v>4404</v>
      </c>
      <c r="AH118" s="1788">
        <v>4678</v>
      </c>
    </row>
    <row r="119" spans="1:34" ht="16.5" customHeight="1" x14ac:dyDescent="0.25">
      <c r="A119" s="404" t="s">
        <v>196</v>
      </c>
      <c r="B119" s="405" t="s">
        <v>197</v>
      </c>
      <c r="C119" s="1800" t="s">
        <v>266</v>
      </c>
      <c r="D119" s="479">
        <v>0.18100000000000002</v>
      </c>
      <c r="E119" s="479">
        <v>0.17600000000000002</v>
      </c>
      <c r="F119" s="479">
        <v>0.20100000000000001</v>
      </c>
      <c r="G119" s="479">
        <v>0.20300000000000001</v>
      </c>
      <c r="H119" s="479">
        <v>0.19800000000000001</v>
      </c>
      <c r="I119" s="479">
        <v>0.19899999999999998</v>
      </c>
      <c r="J119" s="479">
        <v>0.20699999999999999</v>
      </c>
      <c r="K119" s="479">
        <v>0.22399999999999998</v>
      </c>
      <c r="L119" s="479">
        <v>0.251</v>
      </c>
      <c r="M119" s="479">
        <v>0.23300000000000001</v>
      </c>
      <c r="N119" s="480">
        <v>0.253</v>
      </c>
      <c r="O119" s="980">
        <v>0.26400000000000001</v>
      </c>
      <c r="P119" s="980">
        <v>0.26200000000000001</v>
      </c>
      <c r="Q119" s="980">
        <v>0.25372750388333187</v>
      </c>
      <c r="R119" s="1792">
        <v>0.25015569351731115</v>
      </c>
      <c r="S119" s="481"/>
      <c r="T119" s="482">
        <v>34154</v>
      </c>
      <c r="U119" s="482">
        <v>32966</v>
      </c>
      <c r="V119" s="482">
        <v>37577</v>
      </c>
      <c r="W119" s="482">
        <v>37320</v>
      </c>
      <c r="X119" s="482">
        <v>36402</v>
      </c>
      <c r="Y119" s="482">
        <v>35775</v>
      </c>
      <c r="Z119" s="482">
        <v>37513</v>
      </c>
      <c r="AA119" s="482">
        <v>42273</v>
      </c>
      <c r="AB119" s="482">
        <v>47850</v>
      </c>
      <c r="AC119" s="482">
        <v>44931</v>
      </c>
      <c r="AD119" s="483">
        <v>48830</v>
      </c>
      <c r="AE119" s="987">
        <v>51117</v>
      </c>
      <c r="AF119" s="1373">
        <v>52017</v>
      </c>
      <c r="AG119" s="1377">
        <v>51290</v>
      </c>
      <c r="AH119" s="1788">
        <v>51415</v>
      </c>
    </row>
    <row r="120" spans="1:34" ht="16.5" customHeight="1" x14ac:dyDescent="0.25">
      <c r="A120" s="404" t="s">
        <v>200</v>
      </c>
      <c r="B120" s="405" t="s">
        <v>201</v>
      </c>
      <c r="C120" s="1800" t="s">
        <v>265</v>
      </c>
      <c r="D120" s="479">
        <v>0.15</v>
      </c>
      <c r="E120" s="479">
        <v>0.151</v>
      </c>
      <c r="F120" s="479">
        <v>0.16600000000000001</v>
      </c>
      <c r="G120" s="479">
        <v>0.16899999999999998</v>
      </c>
      <c r="H120" s="479">
        <v>0.16300000000000001</v>
      </c>
      <c r="I120" s="479">
        <v>0.17199999999999999</v>
      </c>
      <c r="J120" s="479">
        <v>0.16699999999999998</v>
      </c>
      <c r="K120" s="479">
        <v>0.16899999999999998</v>
      </c>
      <c r="L120" s="479">
        <v>0.17800000000000002</v>
      </c>
      <c r="M120" s="479">
        <v>0.2</v>
      </c>
      <c r="N120" s="480">
        <v>0.22399999999999998</v>
      </c>
      <c r="O120" s="980">
        <v>0.19500000000000001</v>
      </c>
      <c r="P120" s="980">
        <v>0.20100000000000001</v>
      </c>
      <c r="Q120" s="980">
        <v>0.23344757107170139</v>
      </c>
      <c r="R120" s="1792">
        <v>0.20376710578760718</v>
      </c>
      <c r="S120" s="481"/>
      <c r="T120" s="482">
        <v>13870</v>
      </c>
      <c r="U120" s="482">
        <v>13866</v>
      </c>
      <c r="V120" s="482">
        <v>15210</v>
      </c>
      <c r="W120" s="482">
        <v>15372</v>
      </c>
      <c r="X120" s="482">
        <v>14874</v>
      </c>
      <c r="Y120" s="482">
        <v>15465</v>
      </c>
      <c r="Z120" s="482">
        <v>14908</v>
      </c>
      <c r="AA120" s="482">
        <v>15233</v>
      </c>
      <c r="AB120" s="482">
        <v>16170</v>
      </c>
      <c r="AC120" s="482">
        <v>18382</v>
      </c>
      <c r="AD120" s="483">
        <v>21414</v>
      </c>
      <c r="AE120" s="987">
        <v>18565</v>
      </c>
      <c r="AF120" s="1373">
        <v>19291</v>
      </c>
      <c r="AG120" s="1377">
        <v>22615</v>
      </c>
      <c r="AH120" s="1788">
        <v>19938</v>
      </c>
    </row>
    <row r="121" spans="1:34" ht="16.5" customHeight="1" x14ac:dyDescent="0.25">
      <c r="A121" s="404" t="s">
        <v>222</v>
      </c>
      <c r="B121" s="405" t="s">
        <v>223</v>
      </c>
      <c r="C121" s="1800" t="s">
        <v>264</v>
      </c>
      <c r="D121" s="479">
        <v>0.11599999999999999</v>
      </c>
      <c r="E121" s="479">
        <v>0.105</v>
      </c>
      <c r="F121" s="479">
        <v>0.109</v>
      </c>
      <c r="G121" s="479">
        <v>0.114</v>
      </c>
      <c r="H121" s="479">
        <v>0.10800000000000001</v>
      </c>
      <c r="I121" s="479">
        <v>0.11900000000000001</v>
      </c>
      <c r="J121" s="479">
        <v>0.107</v>
      </c>
      <c r="K121" s="479">
        <v>0.109</v>
      </c>
      <c r="L121" s="479">
        <v>0.10800000000000001</v>
      </c>
      <c r="M121" s="479">
        <v>0.12300000000000001</v>
      </c>
      <c r="N121" s="480">
        <v>0.11900000000000001</v>
      </c>
      <c r="O121" s="980">
        <v>0.122</v>
      </c>
      <c r="P121" s="980">
        <v>0.11899999999999999</v>
      </c>
      <c r="Q121" s="980">
        <v>0.11481139228509146</v>
      </c>
      <c r="R121" s="1792">
        <v>0.1364391122336818</v>
      </c>
      <c r="S121" s="481"/>
      <c r="T121" s="482">
        <v>7629</v>
      </c>
      <c r="U121" s="482">
        <v>7214</v>
      </c>
      <c r="V121" s="482">
        <v>7948</v>
      </c>
      <c r="W121" s="482">
        <v>8623</v>
      </c>
      <c r="X121" s="482">
        <v>8441</v>
      </c>
      <c r="Y121" s="482">
        <v>9199</v>
      </c>
      <c r="Z121" s="482">
        <v>8556</v>
      </c>
      <c r="AA121" s="482">
        <v>8698</v>
      </c>
      <c r="AB121" s="482">
        <v>8727</v>
      </c>
      <c r="AC121" s="482">
        <v>10091</v>
      </c>
      <c r="AD121" s="483">
        <v>9956</v>
      </c>
      <c r="AE121" s="987">
        <v>10214</v>
      </c>
      <c r="AF121" s="1373">
        <v>9986</v>
      </c>
      <c r="AG121" s="1377">
        <v>9691</v>
      </c>
      <c r="AH121" s="1788">
        <v>11668</v>
      </c>
    </row>
    <row r="122" spans="1:34" ht="16.5" customHeight="1" x14ac:dyDescent="0.25">
      <c r="A122" s="404" t="s">
        <v>230</v>
      </c>
      <c r="B122" s="405" t="s">
        <v>231</v>
      </c>
      <c r="C122" s="1800" t="s">
        <v>264</v>
      </c>
      <c r="D122" s="479">
        <v>6.8000000000000005E-2</v>
      </c>
      <c r="E122" s="479">
        <v>6.8000000000000005E-2</v>
      </c>
      <c r="F122" s="479">
        <v>7.400000000000001E-2</v>
      </c>
      <c r="G122" s="479">
        <v>0.08</v>
      </c>
      <c r="H122" s="479">
        <v>7.8E-2</v>
      </c>
      <c r="I122" s="479">
        <v>7.400000000000001E-2</v>
      </c>
      <c r="J122" s="479">
        <v>7.2000000000000008E-2</v>
      </c>
      <c r="K122" s="479">
        <v>6.6000000000000003E-2</v>
      </c>
      <c r="L122" s="479">
        <v>7.0000000000000007E-2</v>
      </c>
      <c r="M122" s="479">
        <v>6.8000000000000005E-2</v>
      </c>
      <c r="N122" s="480">
        <v>0.08</v>
      </c>
      <c r="O122" s="980">
        <v>8.900000000000001E-2</v>
      </c>
      <c r="P122" s="980">
        <v>9.0999999999999998E-2</v>
      </c>
      <c r="Q122" s="980">
        <v>9.0395711980747667E-2</v>
      </c>
      <c r="R122" s="1792">
        <v>8.5917089985486209E-2</v>
      </c>
      <c r="S122" s="481"/>
      <c r="T122" s="482">
        <v>28643</v>
      </c>
      <c r="U122" s="482">
        <v>28856</v>
      </c>
      <c r="V122" s="482">
        <v>32396</v>
      </c>
      <c r="W122" s="482">
        <v>34892</v>
      </c>
      <c r="X122" s="482">
        <v>33970</v>
      </c>
      <c r="Y122" s="482">
        <v>31958</v>
      </c>
      <c r="Z122" s="482">
        <v>30762</v>
      </c>
      <c r="AA122" s="482">
        <v>28246</v>
      </c>
      <c r="AB122" s="482">
        <v>29532</v>
      </c>
      <c r="AC122" s="482">
        <v>28889</v>
      </c>
      <c r="AD122" s="483">
        <v>34303</v>
      </c>
      <c r="AE122" s="987">
        <v>38498</v>
      </c>
      <c r="AF122" s="1373">
        <v>39564</v>
      </c>
      <c r="AG122" s="1377">
        <v>39666</v>
      </c>
      <c r="AH122" s="1788">
        <v>37886</v>
      </c>
    </row>
    <row r="123" spans="1:34" ht="16.5" customHeight="1" x14ac:dyDescent="0.25">
      <c r="A123" s="404" t="s">
        <v>238</v>
      </c>
      <c r="B123" s="405" t="s">
        <v>239</v>
      </c>
      <c r="C123" s="1800" t="s">
        <v>264</v>
      </c>
      <c r="D123" s="479">
        <v>0.17699999999999999</v>
      </c>
      <c r="E123" s="479">
        <v>0.19500000000000001</v>
      </c>
      <c r="F123" s="479">
        <v>0.21299999999999999</v>
      </c>
      <c r="G123" s="479">
        <v>0.17800000000000002</v>
      </c>
      <c r="H123" s="479">
        <v>0.17300000000000001</v>
      </c>
      <c r="I123" s="479">
        <v>0.22699999999999998</v>
      </c>
      <c r="J123" s="479">
        <v>0.20699999999999999</v>
      </c>
      <c r="K123" s="479">
        <v>0.2</v>
      </c>
      <c r="L123" s="479">
        <v>0.187</v>
      </c>
      <c r="M123" s="479">
        <v>0.20300000000000001</v>
      </c>
      <c r="N123" s="480">
        <v>0.185</v>
      </c>
      <c r="O123" s="980">
        <v>0.191</v>
      </c>
      <c r="P123" s="980">
        <v>0.23</v>
      </c>
      <c r="Q123" s="980">
        <v>0.21086817308571951</v>
      </c>
      <c r="R123" s="1792">
        <v>0.20104844189884477</v>
      </c>
      <c r="S123" s="481"/>
      <c r="T123" s="482">
        <v>1312</v>
      </c>
      <c r="U123" s="482">
        <v>1402</v>
      </c>
      <c r="V123" s="482">
        <v>1518</v>
      </c>
      <c r="W123" s="482">
        <v>1244</v>
      </c>
      <c r="X123" s="482">
        <v>1266</v>
      </c>
      <c r="Y123" s="482">
        <v>1643</v>
      </c>
      <c r="Z123" s="482">
        <v>1509</v>
      </c>
      <c r="AA123" s="482">
        <v>1570</v>
      </c>
      <c r="AB123" s="482">
        <v>1474</v>
      </c>
      <c r="AC123" s="482">
        <v>1645</v>
      </c>
      <c r="AD123" s="483">
        <v>1850</v>
      </c>
      <c r="AE123" s="987">
        <v>1962</v>
      </c>
      <c r="AF123" s="1373">
        <v>2500</v>
      </c>
      <c r="AG123" s="1377">
        <v>2305</v>
      </c>
      <c r="AH123" s="1788">
        <v>2071</v>
      </c>
    </row>
    <row r="124" spans="1:34" ht="16.5" customHeight="1" x14ac:dyDescent="0.25">
      <c r="A124" s="494" t="s">
        <v>240</v>
      </c>
      <c r="B124" s="495" t="s">
        <v>241</v>
      </c>
      <c r="C124" s="1801" t="s">
        <v>267</v>
      </c>
      <c r="D124" s="486">
        <v>0.11</v>
      </c>
      <c r="E124" s="486">
        <v>0.109</v>
      </c>
      <c r="F124" s="486">
        <v>0.115</v>
      </c>
      <c r="G124" s="486">
        <v>0.121</v>
      </c>
      <c r="H124" s="486">
        <v>0.115</v>
      </c>
      <c r="I124" s="486">
        <v>0.124</v>
      </c>
      <c r="J124" s="486">
        <v>0.13900000000000001</v>
      </c>
      <c r="K124" s="486">
        <v>0.12</v>
      </c>
      <c r="L124" s="486">
        <v>0.128</v>
      </c>
      <c r="M124" s="486">
        <v>0.16300000000000001</v>
      </c>
      <c r="N124" s="480">
        <v>0.193</v>
      </c>
      <c r="O124" s="981">
        <v>0.17800000000000002</v>
      </c>
      <c r="P124" s="981">
        <v>0.16400000000000001</v>
      </c>
      <c r="Q124" s="1370">
        <v>0.14078832338743397</v>
      </c>
      <c r="R124" s="1793">
        <v>0.13437100533874727</v>
      </c>
      <c r="S124" s="496"/>
      <c r="T124" s="487">
        <v>2584</v>
      </c>
      <c r="U124" s="487">
        <v>2568</v>
      </c>
      <c r="V124" s="487">
        <v>2739</v>
      </c>
      <c r="W124" s="487">
        <v>2912</v>
      </c>
      <c r="X124" s="487">
        <v>2811</v>
      </c>
      <c r="Y124" s="487">
        <v>3008</v>
      </c>
      <c r="Z124" s="487">
        <v>3394</v>
      </c>
      <c r="AA124" s="487">
        <v>2971</v>
      </c>
      <c r="AB124" s="487">
        <v>3198</v>
      </c>
      <c r="AC124" s="487">
        <v>4126</v>
      </c>
      <c r="AD124" s="488">
        <v>4873</v>
      </c>
      <c r="AE124" s="988">
        <v>4545</v>
      </c>
      <c r="AF124" s="1374">
        <v>4257</v>
      </c>
      <c r="AG124" s="1378">
        <v>3704</v>
      </c>
      <c r="AH124" s="1789">
        <v>3574</v>
      </c>
    </row>
    <row r="125" spans="1:34" ht="16.5" customHeight="1" x14ac:dyDescent="0.25">
      <c r="A125" s="498" t="s">
        <v>725</v>
      </c>
      <c r="B125" s="499"/>
      <c r="C125" s="1802"/>
      <c r="D125" s="500"/>
      <c r="E125" s="500"/>
      <c r="F125" s="500"/>
      <c r="G125" s="500"/>
      <c r="H125" s="500"/>
      <c r="I125" s="500"/>
      <c r="J125" s="500"/>
      <c r="K125" s="500"/>
      <c r="L125" s="500"/>
      <c r="M125" s="500"/>
      <c r="N125" s="500"/>
      <c r="O125" s="500"/>
      <c r="P125" s="976"/>
      <c r="Q125" s="976"/>
      <c r="R125" s="1787"/>
      <c r="S125" s="500"/>
      <c r="T125" s="501"/>
      <c r="U125" s="501"/>
      <c r="V125" s="501"/>
      <c r="W125" s="501"/>
      <c r="X125" s="501"/>
      <c r="Y125" s="501"/>
      <c r="Z125" s="501"/>
      <c r="AA125" s="501"/>
      <c r="AB125" s="501"/>
      <c r="AC125" s="501"/>
      <c r="AD125" s="502"/>
      <c r="AE125" s="502"/>
    </row>
    <row r="126" spans="1:34" x14ac:dyDescent="0.25">
      <c r="A126" s="394" t="s">
        <v>266</v>
      </c>
      <c r="D126" s="497">
        <v>9.3237188436489218E-2</v>
      </c>
      <c r="E126" s="492">
        <v>9.1662354335324478E-2</v>
      </c>
      <c r="F126" s="492">
        <v>0.10219205581508556</v>
      </c>
      <c r="G126" s="492">
        <v>0.10581525657938262</v>
      </c>
      <c r="H126" s="492">
        <v>0.10259856552094609</v>
      </c>
      <c r="I126" s="492">
        <v>0.10695106549307283</v>
      </c>
      <c r="J126" s="492">
        <v>0.10257514754789548</v>
      </c>
      <c r="K126" s="492">
        <v>0.10835783455696647</v>
      </c>
      <c r="L126" s="492">
        <v>0.11361696871248311</v>
      </c>
      <c r="M126" s="492">
        <v>0.11740460777833268</v>
      </c>
      <c r="N126" s="493">
        <v>0.1231238887172626</v>
      </c>
      <c r="O126" s="493">
        <v>0.13054553620300066</v>
      </c>
      <c r="P126" s="493">
        <v>0.13100000000000001</v>
      </c>
      <c r="Q126" s="1375">
        <v>0.13459992380300864</v>
      </c>
      <c r="R126" s="1796">
        <v>0.13232941112509713</v>
      </c>
      <c r="T126" s="489">
        <v>105872</v>
      </c>
      <c r="U126" s="490">
        <v>105143</v>
      </c>
      <c r="V126" s="490">
        <v>119540</v>
      </c>
      <c r="W126" s="490">
        <v>124895</v>
      </c>
      <c r="X126" s="490">
        <v>123345</v>
      </c>
      <c r="Y126" s="490">
        <v>126877</v>
      </c>
      <c r="Z126" s="490">
        <v>123589</v>
      </c>
      <c r="AA126" s="490">
        <v>132787</v>
      </c>
      <c r="AB126" s="490">
        <v>140727</v>
      </c>
      <c r="AC126" s="490">
        <v>146844</v>
      </c>
      <c r="AD126" s="989">
        <v>157422</v>
      </c>
      <c r="AE126" s="490">
        <v>167427</v>
      </c>
      <c r="AF126" s="990">
        <v>169230</v>
      </c>
      <c r="AG126" s="665">
        <v>176294</v>
      </c>
      <c r="AH126" s="1797">
        <v>175249</v>
      </c>
    </row>
    <row r="127" spans="1:34" x14ac:dyDescent="0.25">
      <c r="A127" s="394" t="s">
        <v>264</v>
      </c>
      <c r="D127" s="491">
        <v>0.10860533120908807</v>
      </c>
      <c r="E127" s="492">
        <v>0.10641206375217382</v>
      </c>
      <c r="F127" s="492">
        <v>0.11466279980893911</v>
      </c>
      <c r="G127" s="492">
        <v>0.11758377928142934</v>
      </c>
      <c r="H127" s="492">
        <v>0.11259360124640222</v>
      </c>
      <c r="I127" s="492">
        <v>0.11367927485747498</v>
      </c>
      <c r="J127" s="492">
        <v>0.10639459370059251</v>
      </c>
      <c r="K127" s="492">
        <v>0.11202655946373949</v>
      </c>
      <c r="L127" s="492">
        <v>0.11571808952754851</v>
      </c>
      <c r="M127" s="492">
        <v>0.11429957969100746</v>
      </c>
      <c r="N127" s="493">
        <v>0.12023872863352066</v>
      </c>
      <c r="O127" s="493">
        <v>0.12870004950966066</v>
      </c>
      <c r="P127" s="493">
        <v>0.13600000000000001</v>
      </c>
      <c r="Q127" s="1375">
        <v>0.13722953804582269</v>
      </c>
      <c r="R127" s="1796">
        <v>0.13349245196423984</v>
      </c>
      <c r="T127" s="489">
        <v>182298</v>
      </c>
      <c r="U127" s="490">
        <v>180189</v>
      </c>
      <c r="V127" s="490">
        <v>198599</v>
      </c>
      <c r="W127" s="490">
        <v>203585</v>
      </c>
      <c r="X127" s="490">
        <v>196053</v>
      </c>
      <c r="Y127" s="490">
        <v>195954</v>
      </c>
      <c r="Z127" s="490">
        <v>183982</v>
      </c>
      <c r="AA127" s="490">
        <v>194397</v>
      </c>
      <c r="AB127" s="490">
        <v>199783</v>
      </c>
      <c r="AC127" s="490">
        <v>199568</v>
      </c>
      <c r="AD127" s="989">
        <v>209955</v>
      </c>
      <c r="AE127" s="490">
        <v>225896</v>
      </c>
      <c r="AF127" s="990">
        <v>240717</v>
      </c>
      <c r="AG127" s="665">
        <v>243363</v>
      </c>
      <c r="AH127" s="1797">
        <v>237926</v>
      </c>
    </row>
    <row r="128" spans="1:34" x14ac:dyDescent="0.25">
      <c r="A128" s="394" t="s">
        <v>267</v>
      </c>
      <c r="D128" s="491">
        <v>5.3819970982672265E-2</v>
      </c>
      <c r="E128" s="492">
        <v>5.4187387148898883E-2</v>
      </c>
      <c r="F128" s="492">
        <v>5.9488325891117154E-2</v>
      </c>
      <c r="G128" s="492">
        <v>6.5356715447867419E-2</v>
      </c>
      <c r="H128" s="492">
        <v>6.1376226711921139E-2</v>
      </c>
      <c r="I128" s="492">
        <v>6.0904658056330392E-2</v>
      </c>
      <c r="J128" s="492">
        <v>6.0991227226495109E-2</v>
      </c>
      <c r="K128" s="492">
        <v>5.9939990840376267E-2</v>
      </c>
      <c r="L128" s="492">
        <v>6.2179277100436824E-2</v>
      </c>
      <c r="M128" s="492">
        <v>6.816119052357604E-2</v>
      </c>
      <c r="N128" s="493">
        <v>7.2466232957629648E-2</v>
      </c>
      <c r="O128" s="493">
        <v>7.6399225436204074E-2</v>
      </c>
      <c r="P128" s="493">
        <v>7.4999999999999997E-2</v>
      </c>
      <c r="Q128" s="1375">
        <v>7.4164709719101329E-2</v>
      </c>
      <c r="R128" s="1796">
        <v>7.802179923184123E-2</v>
      </c>
      <c r="T128" s="489">
        <v>138724</v>
      </c>
      <c r="U128" s="490">
        <v>141301</v>
      </c>
      <c r="V128" s="490">
        <v>159450</v>
      </c>
      <c r="W128" s="490">
        <v>179066</v>
      </c>
      <c r="X128" s="490">
        <v>172575</v>
      </c>
      <c r="Y128" s="490">
        <v>169315</v>
      </c>
      <c r="Z128" s="490">
        <v>173120</v>
      </c>
      <c r="AA128" s="490">
        <v>171582</v>
      </c>
      <c r="AB128" s="490">
        <v>179865</v>
      </c>
      <c r="AC128" s="490">
        <v>202606</v>
      </c>
      <c r="AD128" s="989">
        <v>222814</v>
      </c>
      <c r="AE128" s="490">
        <v>238776</v>
      </c>
      <c r="AF128" s="990">
        <v>240500</v>
      </c>
      <c r="AG128" s="665">
        <v>240148</v>
      </c>
      <c r="AH128" s="1797">
        <v>256078</v>
      </c>
    </row>
    <row r="129" spans="1:34" x14ac:dyDescent="0.25">
      <c r="A129" s="394" t="s">
        <v>265</v>
      </c>
      <c r="D129" s="491">
        <v>0.1060107079665315</v>
      </c>
      <c r="E129" s="492">
        <v>0.1065999802563027</v>
      </c>
      <c r="F129" s="492">
        <v>0.11841703973751314</v>
      </c>
      <c r="G129" s="492">
        <v>0.12117460527154147</v>
      </c>
      <c r="H129" s="492">
        <v>0.11757933953315472</v>
      </c>
      <c r="I129" s="492">
        <v>0.12749971521740955</v>
      </c>
      <c r="J129" s="492">
        <v>0.12641918305043012</v>
      </c>
      <c r="K129" s="492">
        <v>0.13010546173078325</v>
      </c>
      <c r="L129" s="492">
        <v>0.13219259468761307</v>
      </c>
      <c r="M129" s="492">
        <v>0.142187426757521</v>
      </c>
      <c r="N129" s="493">
        <v>0.15006267141167387</v>
      </c>
      <c r="O129" s="493">
        <v>0.15103930395133242</v>
      </c>
      <c r="P129" s="493">
        <v>0.152</v>
      </c>
      <c r="Q129" s="1375">
        <v>0.15284502014599163</v>
      </c>
      <c r="R129" s="1796">
        <v>0.1537987260694452</v>
      </c>
      <c r="T129" s="489">
        <v>112685</v>
      </c>
      <c r="U129" s="490">
        <v>113372</v>
      </c>
      <c r="V129" s="490">
        <v>126853</v>
      </c>
      <c r="W129" s="490">
        <v>129807</v>
      </c>
      <c r="X129" s="490">
        <v>127543</v>
      </c>
      <c r="Y129" s="490">
        <v>136375</v>
      </c>
      <c r="Z129" s="490">
        <v>136569</v>
      </c>
      <c r="AA129" s="490">
        <v>140972</v>
      </c>
      <c r="AB129" s="490">
        <v>143958</v>
      </c>
      <c r="AC129" s="490">
        <v>155087</v>
      </c>
      <c r="AD129" s="989">
        <v>167379</v>
      </c>
      <c r="AE129" s="490">
        <v>168805</v>
      </c>
      <c r="AF129" s="990">
        <v>170512</v>
      </c>
      <c r="AG129" s="665">
        <v>171615</v>
      </c>
      <c r="AH129" s="1797">
        <v>173365</v>
      </c>
    </row>
    <row r="130" spans="1:34" x14ac:dyDescent="0.25">
      <c r="A130" s="394" t="s">
        <v>268</v>
      </c>
      <c r="D130" s="491">
        <v>0.14487555201488991</v>
      </c>
      <c r="E130" s="492">
        <v>0.14306900004758574</v>
      </c>
      <c r="F130" s="492">
        <v>0.15556163257278338</v>
      </c>
      <c r="G130" s="492">
        <v>0.15499536649748308</v>
      </c>
      <c r="H130" s="492">
        <v>0.15195219671506743</v>
      </c>
      <c r="I130" s="492">
        <v>0.18084455028541141</v>
      </c>
      <c r="J130" s="492">
        <v>0.17204522870846353</v>
      </c>
      <c r="K130" s="492">
        <v>0.17744474990181727</v>
      </c>
      <c r="L130" s="492">
        <v>0.18285150683367846</v>
      </c>
      <c r="M130" s="492">
        <v>0.18067404001948281</v>
      </c>
      <c r="N130" s="493">
        <v>0.18929818575976814</v>
      </c>
      <c r="O130" s="493">
        <v>0.19649936328107848</v>
      </c>
      <c r="P130" s="493">
        <v>0.20300000000000001</v>
      </c>
      <c r="Q130" s="1375">
        <v>0.19352424524838319</v>
      </c>
      <c r="R130" s="1796">
        <v>0.20012831009928084</v>
      </c>
      <c r="T130" s="489">
        <v>81357</v>
      </c>
      <c r="U130" s="490">
        <v>80233</v>
      </c>
      <c r="V130" s="490">
        <v>87691</v>
      </c>
      <c r="W130" s="490">
        <v>86973</v>
      </c>
      <c r="X130" s="490">
        <v>85522</v>
      </c>
      <c r="Y130" s="490">
        <v>100339</v>
      </c>
      <c r="Z130" s="490">
        <v>95919</v>
      </c>
      <c r="AA130" s="490">
        <v>99401</v>
      </c>
      <c r="AB130" s="490">
        <v>102521</v>
      </c>
      <c r="AC130" s="490">
        <v>101448</v>
      </c>
      <c r="AD130" s="989">
        <v>108176</v>
      </c>
      <c r="AE130" s="490">
        <v>111872</v>
      </c>
      <c r="AF130" s="990">
        <v>115425</v>
      </c>
      <c r="AG130" s="665">
        <v>109640</v>
      </c>
      <c r="AH130" s="1797">
        <v>112924</v>
      </c>
    </row>
    <row r="132" spans="1:34" x14ac:dyDescent="0.25">
      <c r="A132" s="993" t="s">
        <v>1224</v>
      </c>
    </row>
    <row r="134" spans="1:34" s="414" customFormat="1" x14ac:dyDescent="0.25">
      <c r="A134" s="414" t="s">
        <v>248</v>
      </c>
    </row>
    <row r="135" spans="1:34" s="414" customFormat="1" x14ac:dyDescent="0.25">
      <c r="A135" s="415" t="s">
        <v>249</v>
      </c>
      <c r="B135" s="416" t="s">
        <v>250</v>
      </c>
      <c r="C135" s="416"/>
    </row>
  </sheetData>
  <autoFilter ref="A3:C3"/>
  <mergeCells count="2">
    <mergeCell ref="D2:N2"/>
    <mergeCell ref="T2:AD2"/>
  </mergeCells>
  <hyperlinks>
    <hyperlink ref="B135" r:id="rId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Y137"/>
  <sheetViews>
    <sheetView workbookViewId="0">
      <pane ySplit="5" topLeftCell="A113" activePane="bottomLeft" state="frozen"/>
      <selection pane="bottomLeft" activeCell="AG128" sqref="AG128:AG132"/>
    </sheetView>
  </sheetViews>
  <sheetFormatPr defaultRowHeight="15.75" x14ac:dyDescent="0.25"/>
  <cols>
    <col min="1" max="1" width="11.125" style="394" customWidth="1"/>
    <col min="2" max="2" width="33.125" style="394" customWidth="1"/>
    <col min="3" max="3" width="16.75" style="394" customWidth="1"/>
    <col min="4" max="18" width="9.875" style="394" customWidth="1"/>
    <col min="19" max="19" width="4.25" style="394" customWidth="1"/>
    <col min="20" max="34" width="9.875" style="270" customWidth="1"/>
    <col min="35" max="35" width="2.75" style="270" customWidth="1"/>
    <col min="36" max="50" width="9" style="270"/>
    <col min="51" max="51" width="4.5" style="270" customWidth="1"/>
    <col min="52" max="16384" width="9" style="270"/>
  </cols>
  <sheetData>
    <row r="1" spans="1:51" x14ac:dyDescent="0.25">
      <c r="A1" s="193" t="s">
        <v>1225</v>
      </c>
    </row>
    <row r="2" spans="1:51" x14ac:dyDescent="0.25">
      <c r="A2" s="193"/>
    </row>
    <row r="3" spans="1:51" x14ac:dyDescent="0.25">
      <c r="D3" s="2081" t="s">
        <v>761</v>
      </c>
      <c r="E3" s="2081"/>
      <c r="F3" s="2081"/>
      <c r="G3" s="2081"/>
      <c r="H3" s="2081"/>
      <c r="I3" s="2081"/>
      <c r="J3" s="2081"/>
      <c r="K3" s="2081"/>
      <c r="L3" s="2081"/>
      <c r="M3" s="2081"/>
      <c r="N3" s="2081"/>
      <c r="O3" s="2081"/>
      <c r="P3" s="2081"/>
      <c r="Q3" s="2081"/>
      <c r="R3" s="2081"/>
      <c r="S3" s="1784"/>
      <c r="T3" s="2081" t="s">
        <v>760</v>
      </c>
      <c r="U3" s="2081"/>
      <c r="V3" s="2081"/>
      <c r="W3" s="2081"/>
      <c r="X3" s="2081"/>
      <c r="Y3" s="2081"/>
      <c r="Z3" s="2081"/>
      <c r="AA3" s="2081"/>
      <c r="AB3" s="2081"/>
      <c r="AC3" s="2081"/>
      <c r="AD3" s="2081"/>
      <c r="AE3" s="2081"/>
      <c r="AF3" s="2081"/>
      <c r="AG3" s="2081"/>
      <c r="AH3" s="2081"/>
      <c r="AY3" s="310"/>
    </row>
    <row r="4" spans="1:51" x14ac:dyDescent="0.25">
      <c r="A4" s="512" t="s">
        <v>4</v>
      </c>
      <c r="B4" s="513" t="s">
        <v>5</v>
      </c>
      <c r="C4" s="1803" t="s">
        <v>251</v>
      </c>
      <c r="D4" s="395">
        <v>2000</v>
      </c>
      <c r="E4" s="396">
        <v>2001</v>
      </c>
      <c r="F4" s="396">
        <v>2002</v>
      </c>
      <c r="G4" s="396">
        <v>2003</v>
      </c>
      <c r="H4" s="396">
        <v>2004</v>
      </c>
      <c r="I4" s="396">
        <v>2005</v>
      </c>
      <c r="J4" s="396">
        <v>2006</v>
      </c>
      <c r="K4" s="396">
        <v>2007</v>
      </c>
      <c r="L4" s="396">
        <v>2008</v>
      </c>
      <c r="M4" s="396">
        <v>2009</v>
      </c>
      <c r="N4" s="397">
        <v>2010</v>
      </c>
      <c r="O4" s="397">
        <v>2011</v>
      </c>
      <c r="P4" s="1382">
        <v>2012</v>
      </c>
      <c r="Q4" s="1810">
        <v>2013</v>
      </c>
      <c r="R4" s="1786">
        <v>2014</v>
      </c>
      <c r="S4" s="1836"/>
      <c r="T4" s="396">
        <v>2000</v>
      </c>
      <c r="U4" s="396">
        <v>2001</v>
      </c>
      <c r="V4" s="396">
        <v>2002</v>
      </c>
      <c r="W4" s="396">
        <v>2003</v>
      </c>
      <c r="X4" s="396">
        <v>2004</v>
      </c>
      <c r="Y4" s="396">
        <v>2005</v>
      </c>
      <c r="Z4" s="396">
        <v>2006</v>
      </c>
      <c r="AA4" s="396">
        <v>2007</v>
      </c>
      <c r="AB4" s="396">
        <v>2008</v>
      </c>
      <c r="AC4" s="396">
        <v>2009</v>
      </c>
      <c r="AD4" s="396">
        <v>2010</v>
      </c>
      <c r="AE4" s="396">
        <v>2011</v>
      </c>
      <c r="AF4" s="396">
        <v>2012</v>
      </c>
      <c r="AG4" s="396">
        <v>2013</v>
      </c>
      <c r="AH4" s="398">
        <v>2014</v>
      </c>
      <c r="AY4" s="64"/>
    </row>
    <row r="5" spans="1:51" x14ac:dyDescent="0.25">
      <c r="A5" s="399" t="s">
        <v>8</v>
      </c>
      <c r="B5" s="400" t="s">
        <v>9</v>
      </c>
      <c r="C5" s="1799"/>
      <c r="D5" s="401">
        <v>0.12155565230837527</v>
      </c>
      <c r="E5" s="402">
        <v>0.112</v>
      </c>
      <c r="F5" s="402">
        <v>0.12495566815144066</v>
      </c>
      <c r="G5" s="402">
        <v>0.13600000000000001</v>
      </c>
      <c r="H5" s="402">
        <v>0.12190485917712804</v>
      </c>
      <c r="I5" s="402">
        <v>0.13300000000000001</v>
      </c>
      <c r="J5" s="402">
        <v>0.12322064717116948</v>
      </c>
      <c r="K5" s="402">
        <v>0.12930216566469369</v>
      </c>
      <c r="L5" s="402">
        <v>0.13580226821250407</v>
      </c>
      <c r="M5" s="402">
        <v>0.14000000000000001</v>
      </c>
      <c r="N5" s="403">
        <v>0.14555376556266278</v>
      </c>
      <c r="O5" s="991">
        <v>0.156</v>
      </c>
      <c r="P5" s="1383">
        <v>0.155</v>
      </c>
      <c r="Q5" s="1383">
        <v>0.15745553871615489</v>
      </c>
      <c r="R5" s="992">
        <v>0.15872305329925826</v>
      </c>
      <c r="S5" s="1837"/>
      <c r="T5" s="1805">
        <v>211862</v>
      </c>
      <c r="U5" s="1805">
        <v>195437</v>
      </c>
      <c r="V5" s="1805">
        <v>224014</v>
      </c>
      <c r="W5" s="1805">
        <v>243635</v>
      </c>
      <c r="X5" s="1805">
        <v>221675</v>
      </c>
      <c r="Y5" s="1805">
        <v>237858</v>
      </c>
      <c r="Z5" s="1805">
        <v>219261</v>
      </c>
      <c r="AA5" s="1805">
        <v>232569</v>
      </c>
      <c r="AB5" s="1805">
        <v>244210</v>
      </c>
      <c r="AC5" s="1805">
        <v>255156</v>
      </c>
      <c r="AD5" s="1805">
        <v>266606</v>
      </c>
      <c r="AE5" s="1806">
        <v>284561</v>
      </c>
      <c r="AF5" s="1805">
        <v>283035</v>
      </c>
      <c r="AG5" s="1807">
        <v>289032</v>
      </c>
      <c r="AH5" s="1808">
        <v>292525</v>
      </c>
    </row>
    <row r="6" spans="1:51" x14ac:dyDescent="0.25">
      <c r="A6" s="404" t="s">
        <v>10</v>
      </c>
      <c r="B6" s="405" t="s">
        <v>450</v>
      </c>
      <c r="C6" s="412" t="s">
        <v>264</v>
      </c>
      <c r="D6" s="409">
        <v>0.255</v>
      </c>
      <c r="E6" s="410">
        <v>0.22199999999999998</v>
      </c>
      <c r="F6" s="410">
        <v>0.23600000000000002</v>
      </c>
      <c r="G6" s="410">
        <v>0.24399999999999999</v>
      </c>
      <c r="H6" s="410">
        <v>0.2</v>
      </c>
      <c r="I6" s="410">
        <v>0.26399999999999996</v>
      </c>
      <c r="J6" s="410">
        <v>0.23199999999999998</v>
      </c>
      <c r="K6" s="410">
        <v>0.25100000000000006</v>
      </c>
      <c r="L6" s="410">
        <v>0.29699999999999999</v>
      </c>
      <c r="M6" s="410">
        <v>0.27400000000000002</v>
      </c>
      <c r="N6" s="411">
        <v>0.28699999999999998</v>
      </c>
      <c r="O6" s="411">
        <v>0.30499999999999999</v>
      </c>
      <c r="P6" s="411">
        <v>0.314</v>
      </c>
      <c r="Q6" s="1811">
        <v>0.29439930354033661</v>
      </c>
      <c r="R6" s="1813">
        <v>0.30916311222238563</v>
      </c>
      <c r="S6" s="1812"/>
      <c r="T6" s="1809">
        <v>2334</v>
      </c>
      <c r="U6" s="1809">
        <v>2014</v>
      </c>
      <c r="V6" s="1809">
        <v>2153</v>
      </c>
      <c r="W6" s="1809">
        <v>2232</v>
      </c>
      <c r="X6" s="1809">
        <v>1811</v>
      </c>
      <c r="Y6" s="1809">
        <v>2347</v>
      </c>
      <c r="Z6" s="1809">
        <v>2041</v>
      </c>
      <c r="AA6" s="1809">
        <v>2156</v>
      </c>
      <c r="AB6" s="1809">
        <v>2507</v>
      </c>
      <c r="AC6" s="1809">
        <v>2272</v>
      </c>
      <c r="AD6" s="1809">
        <v>1956</v>
      </c>
      <c r="AE6" s="1809">
        <v>2111</v>
      </c>
      <c r="AF6" s="1634">
        <v>2184</v>
      </c>
      <c r="AG6" s="1634">
        <v>2029</v>
      </c>
      <c r="AH6" s="1635">
        <v>2102</v>
      </c>
    </row>
    <row r="7" spans="1:51" x14ac:dyDescent="0.25">
      <c r="A7" s="404" t="s">
        <v>12</v>
      </c>
      <c r="B7" s="405" t="s">
        <v>451</v>
      </c>
      <c r="C7" s="412" t="s">
        <v>265</v>
      </c>
      <c r="D7" s="409">
        <v>0.08</v>
      </c>
      <c r="E7" s="410">
        <v>7.3000000000000009E-2</v>
      </c>
      <c r="F7" s="410">
        <v>0.08</v>
      </c>
      <c r="G7" s="410">
        <v>9.0999999999999984E-2</v>
      </c>
      <c r="H7" s="410">
        <v>8.199999999999999E-2</v>
      </c>
      <c r="I7" s="410">
        <v>7.9000000000000001E-2</v>
      </c>
      <c r="J7" s="410">
        <v>7.3999999999999996E-2</v>
      </c>
      <c r="K7" s="410">
        <v>9.1999999999999998E-2</v>
      </c>
      <c r="L7" s="410">
        <v>8.3000000000000004E-2</v>
      </c>
      <c r="M7" s="410">
        <v>9.0999999999999984E-2</v>
      </c>
      <c r="N7" s="411">
        <v>0.1</v>
      </c>
      <c r="O7" s="411">
        <v>0.106</v>
      </c>
      <c r="P7" s="411">
        <v>0.11</v>
      </c>
      <c r="Q7" s="1812">
        <v>0.11561847296356463</v>
      </c>
      <c r="R7" s="1813">
        <v>0.10301495972382048</v>
      </c>
      <c r="S7" s="1812"/>
      <c r="T7" s="1809">
        <v>1584</v>
      </c>
      <c r="U7" s="1809">
        <v>1444</v>
      </c>
      <c r="V7" s="1809">
        <v>1613</v>
      </c>
      <c r="W7" s="1809">
        <v>1812</v>
      </c>
      <c r="X7" s="1809">
        <v>1646</v>
      </c>
      <c r="Y7" s="1809">
        <v>1561</v>
      </c>
      <c r="Z7" s="1809">
        <v>1446</v>
      </c>
      <c r="AA7" s="1809">
        <v>1831</v>
      </c>
      <c r="AB7" s="1809">
        <v>1642</v>
      </c>
      <c r="AC7" s="1809">
        <v>1836</v>
      </c>
      <c r="AD7" s="1809">
        <v>2107</v>
      </c>
      <c r="AE7" s="1809">
        <v>2249</v>
      </c>
      <c r="AF7" s="1634">
        <v>2350</v>
      </c>
      <c r="AG7" s="1634">
        <v>2491</v>
      </c>
      <c r="AH7" s="1635">
        <v>2238</v>
      </c>
    </row>
    <row r="8" spans="1:51" x14ac:dyDescent="0.25">
      <c r="A8" s="404" t="s">
        <v>16</v>
      </c>
      <c r="B8" s="405" t="s">
        <v>749</v>
      </c>
      <c r="C8" s="412" t="s">
        <v>265</v>
      </c>
      <c r="D8" s="409">
        <v>0.15374659685863876</v>
      </c>
      <c r="E8" s="410">
        <v>0.13747924528301886</v>
      </c>
      <c r="F8" s="410">
        <v>0.15099499374217773</v>
      </c>
      <c r="G8" s="410">
        <v>0.18230162900683131</v>
      </c>
      <c r="H8" s="410">
        <v>0.16216525696558184</v>
      </c>
      <c r="I8" s="410">
        <v>0.18170718813046882</v>
      </c>
      <c r="J8" s="410">
        <v>0.17695105515380732</v>
      </c>
      <c r="K8" s="410">
        <v>0.18159462861938733</v>
      </c>
      <c r="L8" s="410">
        <v>0.1933776793706129</v>
      </c>
      <c r="M8" s="410">
        <v>0.20131421510384487</v>
      </c>
      <c r="N8" s="411">
        <v>0.21467522545308657</v>
      </c>
      <c r="O8" s="411">
        <v>0.21782397169394074</v>
      </c>
      <c r="P8" s="411">
        <v>0.216</v>
      </c>
      <c r="Q8" s="1812">
        <v>0.22026128810451523</v>
      </c>
      <c r="R8" s="1813">
        <v>0.23280548333727252</v>
      </c>
      <c r="S8" s="1812"/>
      <c r="T8" s="1809">
        <v>781</v>
      </c>
      <c r="U8" s="1809">
        <v>690</v>
      </c>
      <c r="V8" s="1809">
        <v>766</v>
      </c>
      <c r="W8" s="1809">
        <v>890</v>
      </c>
      <c r="X8" s="1809">
        <v>790</v>
      </c>
      <c r="Y8" s="1809">
        <v>875</v>
      </c>
      <c r="Z8" s="1809">
        <v>832</v>
      </c>
      <c r="AA8" s="1809">
        <v>843</v>
      </c>
      <c r="AB8" s="1809">
        <v>882</v>
      </c>
      <c r="AC8" s="1809">
        <v>922</v>
      </c>
      <c r="AD8" s="1809">
        <v>989</v>
      </c>
      <c r="AE8" s="1809">
        <v>985</v>
      </c>
      <c r="AF8" s="1634">
        <v>962</v>
      </c>
      <c r="AG8" s="1634">
        <v>961</v>
      </c>
      <c r="AH8" s="1635">
        <v>985</v>
      </c>
    </row>
    <row r="9" spans="1:51" x14ac:dyDescent="0.25">
      <c r="A9" s="404" t="s">
        <v>18</v>
      </c>
      <c r="B9" s="405" t="s">
        <v>452</v>
      </c>
      <c r="C9" s="412" t="s">
        <v>266</v>
      </c>
      <c r="D9" s="409">
        <v>0.12400000000000001</v>
      </c>
      <c r="E9" s="410">
        <v>0.113</v>
      </c>
      <c r="F9" s="410">
        <v>0.129</v>
      </c>
      <c r="G9" s="410">
        <v>0.14199999999999999</v>
      </c>
      <c r="H9" s="410">
        <v>0.124</v>
      </c>
      <c r="I9" s="410">
        <v>0.13400000000000001</v>
      </c>
      <c r="J9" s="410">
        <v>0.125</v>
      </c>
      <c r="K9" s="410">
        <v>0.125</v>
      </c>
      <c r="L9" s="410">
        <v>0.13100000000000001</v>
      </c>
      <c r="M9" s="410">
        <v>0.16499999999999998</v>
      </c>
      <c r="N9" s="411">
        <v>0.16800000000000001</v>
      </c>
      <c r="O9" s="411">
        <v>0.184</v>
      </c>
      <c r="P9" s="411">
        <v>0.19</v>
      </c>
      <c r="Q9" s="1812">
        <v>0.18205904617713853</v>
      </c>
      <c r="R9" s="1813">
        <v>0.18928035982008995</v>
      </c>
      <c r="S9" s="1812"/>
      <c r="T9" s="1809">
        <v>352</v>
      </c>
      <c r="U9" s="1809">
        <v>315</v>
      </c>
      <c r="V9" s="1809">
        <v>356</v>
      </c>
      <c r="W9" s="1809">
        <v>394</v>
      </c>
      <c r="X9" s="1809">
        <v>349</v>
      </c>
      <c r="Y9" s="1809">
        <v>372</v>
      </c>
      <c r="Z9" s="1809">
        <v>352</v>
      </c>
      <c r="AA9" s="1809">
        <v>358</v>
      </c>
      <c r="AB9" s="1809">
        <v>373</v>
      </c>
      <c r="AC9" s="1809">
        <v>475</v>
      </c>
      <c r="AD9" s="1809">
        <v>467</v>
      </c>
      <c r="AE9" s="1809">
        <v>505</v>
      </c>
      <c r="AF9" s="1634">
        <v>516</v>
      </c>
      <c r="AG9" s="1634">
        <v>481</v>
      </c>
      <c r="AH9" s="1635">
        <v>505</v>
      </c>
    </row>
    <row r="10" spans="1:51" x14ac:dyDescent="0.25">
      <c r="A10" s="404" t="s">
        <v>20</v>
      </c>
      <c r="B10" s="405" t="s">
        <v>453</v>
      </c>
      <c r="C10" s="412" t="s">
        <v>265</v>
      </c>
      <c r="D10" s="409">
        <v>0.14300000000000002</v>
      </c>
      <c r="E10" s="410">
        <v>0.129</v>
      </c>
      <c r="F10" s="410">
        <v>0.152</v>
      </c>
      <c r="G10" s="410">
        <v>0.17199999999999999</v>
      </c>
      <c r="H10" s="410">
        <v>0.155</v>
      </c>
      <c r="I10" s="410">
        <v>0.16300000000000001</v>
      </c>
      <c r="J10" s="410">
        <v>0.16</v>
      </c>
      <c r="K10" s="410">
        <v>0.161</v>
      </c>
      <c r="L10" s="410">
        <v>0.17399999999999999</v>
      </c>
      <c r="M10" s="410">
        <v>0.17699999999999999</v>
      </c>
      <c r="N10" s="411">
        <v>0.18899999999999997</v>
      </c>
      <c r="O10" s="411">
        <v>0.20199999999999999</v>
      </c>
      <c r="P10" s="411">
        <v>0.20300000000000001</v>
      </c>
      <c r="Q10" s="1812">
        <v>0.20759453946336107</v>
      </c>
      <c r="R10" s="1813">
        <v>0.2047923322683706</v>
      </c>
      <c r="S10" s="1812"/>
      <c r="T10" s="1809">
        <v>1046</v>
      </c>
      <c r="U10" s="1809">
        <v>930</v>
      </c>
      <c r="V10" s="1809">
        <v>1101</v>
      </c>
      <c r="W10" s="1809">
        <v>1219</v>
      </c>
      <c r="X10" s="1809">
        <v>1086</v>
      </c>
      <c r="Y10" s="1809">
        <v>1104</v>
      </c>
      <c r="Z10" s="1809">
        <v>1068</v>
      </c>
      <c r="AA10" s="1809">
        <v>1072</v>
      </c>
      <c r="AB10" s="1809">
        <v>1131</v>
      </c>
      <c r="AC10" s="1809">
        <v>1184</v>
      </c>
      <c r="AD10" s="1809">
        <v>1291</v>
      </c>
      <c r="AE10" s="1809">
        <v>1333</v>
      </c>
      <c r="AF10" s="1634">
        <v>1333</v>
      </c>
      <c r="AG10" s="1634">
        <v>1323</v>
      </c>
      <c r="AH10" s="1635">
        <v>1282</v>
      </c>
    </row>
    <row r="11" spans="1:51" x14ac:dyDescent="0.25">
      <c r="A11" s="404" t="s">
        <v>22</v>
      </c>
      <c r="B11" s="405" t="s">
        <v>454</v>
      </c>
      <c r="C11" s="412" t="s">
        <v>265</v>
      </c>
      <c r="D11" s="409">
        <v>0.157</v>
      </c>
      <c r="E11" s="410">
        <v>0.15</v>
      </c>
      <c r="F11" s="410">
        <v>0.17100000000000001</v>
      </c>
      <c r="G11" s="410">
        <v>0.189</v>
      </c>
      <c r="H11" s="410">
        <v>0.161</v>
      </c>
      <c r="I11" s="410">
        <v>0.17599999999999999</v>
      </c>
      <c r="J11" s="410">
        <v>0.17899999999999999</v>
      </c>
      <c r="K11" s="410">
        <v>0.18</v>
      </c>
      <c r="L11" s="410">
        <v>0.2</v>
      </c>
      <c r="M11" s="410">
        <v>0.219</v>
      </c>
      <c r="N11" s="411">
        <v>0.21800000000000003</v>
      </c>
      <c r="O11" s="411">
        <v>0.223</v>
      </c>
      <c r="P11" s="411">
        <v>0.24</v>
      </c>
      <c r="Q11" s="1812">
        <v>0.24047546479731788</v>
      </c>
      <c r="R11" s="1813">
        <v>0.21868365180467092</v>
      </c>
      <c r="S11" s="1812"/>
      <c r="T11" s="1809">
        <v>520</v>
      </c>
      <c r="U11" s="1809">
        <v>482</v>
      </c>
      <c r="V11" s="1809">
        <v>548</v>
      </c>
      <c r="W11" s="1809">
        <v>598</v>
      </c>
      <c r="X11" s="1809">
        <v>510</v>
      </c>
      <c r="Y11" s="1809">
        <v>553</v>
      </c>
      <c r="Z11" s="1809">
        <v>551</v>
      </c>
      <c r="AA11" s="1809">
        <v>557</v>
      </c>
      <c r="AB11" s="1809">
        <v>629</v>
      </c>
      <c r="AC11" s="1809">
        <v>689</v>
      </c>
      <c r="AD11" s="1809">
        <v>717</v>
      </c>
      <c r="AE11" s="1809">
        <v>725</v>
      </c>
      <c r="AF11" s="1634">
        <v>783</v>
      </c>
      <c r="AG11" s="1634">
        <v>789</v>
      </c>
      <c r="AH11" s="1635">
        <v>721</v>
      </c>
    </row>
    <row r="12" spans="1:51" x14ac:dyDescent="0.25">
      <c r="A12" s="404" t="s">
        <v>24</v>
      </c>
      <c r="B12" s="405" t="s">
        <v>455</v>
      </c>
      <c r="C12" s="412" t="s">
        <v>267</v>
      </c>
      <c r="D12" s="409">
        <v>0.1</v>
      </c>
      <c r="E12" s="410">
        <v>8.8999999999999996E-2</v>
      </c>
      <c r="F12" s="410">
        <v>9.5000000000000001E-2</v>
      </c>
      <c r="G12" s="410">
        <v>9.5000000000000001E-2</v>
      </c>
      <c r="H12" s="410">
        <v>9.0999999999999984E-2</v>
      </c>
      <c r="I12" s="410">
        <v>9.5999999999999988E-2</v>
      </c>
      <c r="J12" s="410">
        <v>8.4999999999999992E-2</v>
      </c>
      <c r="K12" s="410">
        <v>8.3999999999999991E-2</v>
      </c>
      <c r="L12" s="410">
        <v>8.8000000000000009E-2</v>
      </c>
      <c r="M12" s="410">
        <v>9.2999999999999999E-2</v>
      </c>
      <c r="N12" s="411">
        <v>0.10400000000000001</v>
      </c>
      <c r="O12" s="411">
        <v>0.10099999999999999</v>
      </c>
      <c r="P12" s="411">
        <v>9.1999999999999998E-2</v>
      </c>
      <c r="Q12" s="1812">
        <v>0.11150041775597661</v>
      </c>
      <c r="R12" s="1813">
        <v>0.11036771951662258</v>
      </c>
      <c r="S12" s="1812"/>
      <c r="T12" s="1809">
        <v>3124</v>
      </c>
      <c r="U12" s="1809">
        <v>2830</v>
      </c>
      <c r="V12" s="1809">
        <v>3092</v>
      </c>
      <c r="W12" s="1809">
        <v>3195</v>
      </c>
      <c r="X12" s="1809">
        <v>3170</v>
      </c>
      <c r="Y12" s="1809">
        <v>3308</v>
      </c>
      <c r="Z12" s="1809">
        <v>2955</v>
      </c>
      <c r="AA12" s="1809">
        <v>3004</v>
      </c>
      <c r="AB12" s="1809">
        <v>3348</v>
      </c>
      <c r="AC12" s="1809">
        <v>3284</v>
      </c>
      <c r="AD12" s="1809">
        <v>3392</v>
      </c>
      <c r="AE12" s="1809">
        <v>3451</v>
      </c>
      <c r="AF12" s="1634">
        <v>3261</v>
      </c>
      <c r="AG12" s="1634">
        <v>4137</v>
      </c>
      <c r="AH12" s="1635">
        <v>4256</v>
      </c>
    </row>
    <row r="13" spans="1:51" x14ac:dyDescent="0.25">
      <c r="A13" s="404" t="s">
        <v>26</v>
      </c>
      <c r="B13" s="484" t="s">
        <v>750</v>
      </c>
      <c r="C13" s="484" t="s">
        <v>265</v>
      </c>
      <c r="D13" s="409">
        <v>0.13087876336093662</v>
      </c>
      <c r="E13" s="410">
        <v>0.12328640660095588</v>
      </c>
      <c r="F13" s="410">
        <v>0.1346739708466082</v>
      </c>
      <c r="G13" s="410">
        <v>0.14416955964817399</v>
      </c>
      <c r="H13" s="410">
        <v>0.13188270816880912</v>
      </c>
      <c r="I13" s="410">
        <v>0.14273149548278821</v>
      </c>
      <c r="J13" s="410">
        <v>0.14512539405354707</v>
      </c>
      <c r="K13" s="410">
        <v>0.14915355306345557</v>
      </c>
      <c r="L13" s="410">
        <v>0.15178195639792957</v>
      </c>
      <c r="M13" s="410">
        <v>0.16398952402216457</v>
      </c>
      <c r="N13" s="411">
        <v>0.17830952995295352</v>
      </c>
      <c r="O13" s="411">
        <v>0.18582548136009833</v>
      </c>
      <c r="P13" s="411">
        <v>0.17899999999999999</v>
      </c>
      <c r="Q13" s="1812">
        <v>0.17762635341331884</v>
      </c>
      <c r="R13" s="1813">
        <v>0.18326239939319877</v>
      </c>
      <c r="S13" s="1812"/>
      <c r="T13" s="1809">
        <v>3191</v>
      </c>
      <c r="U13" s="1809">
        <v>2991</v>
      </c>
      <c r="V13" s="1809">
        <v>3298</v>
      </c>
      <c r="W13" s="1809">
        <v>3529</v>
      </c>
      <c r="X13" s="1809">
        <v>3272</v>
      </c>
      <c r="Y13" s="1809">
        <v>3505</v>
      </c>
      <c r="Z13" s="1809">
        <v>3505</v>
      </c>
      <c r="AA13" s="1809">
        <v>3697</v>
      </c>
      <c r="AB13" s="1809">
        <v>3724</v>
      </c>
      <c r="AC13" s="1809">
        <v>4096</v>
      </c>
      <c r="AD13" s="1809">
        <v>4400</v>
      </c>
      <c r="AE13" s="1809">
        <v>4536</v>
      </c>
      <c r="AF13" s="1634">
        <v>4306</v>
      </c>
      <c r="AG13" s="1634">
        <v>4249</v>
      </c>
      <c r="AH13" s="1635">
        <v>4349</v>
      </c>
    </row>
    <row r="14" spans="1:51" x14ac:dyDescent="0.25">
      <c r="A14" s="404" t="s">
        <v>27</v>
      </c>
      <c r="B14" s="405" t="s">
        <v>456</v>
      </c>
      <c r="C14" s="412" t="s">
        <v>265</v>
      </c>
      <c r="D14" s="409">
        <v>0.10099999999999999</v>
      </c>
      <c r="E14" s="410">
        <v>9.8000000000000004E-2</v>
      </c>
      <c r="F14" s="410">
        <v>9.9000000000000005E-2</v>
      </c>
      <c r="G14" s="410">
        <v>0.106</v>
      </c>
      <c r="H14" s="410">
        <v>9.1999999999999985E-2</v>
      </c>
      <c r="I14" s="410">
        <v>0.1</v>
      </c>
      <c r="J14" s="410">
        <v>0.106</v>
      </c>
      <c r="K14" s="410">
        <v>0.10300000000000001</v>
      </c>
      <c r="L14" s="410">
        <v>0.12300000000000001</v>
      </c>
      <c r="M14" s="410">
        <v>0.14799999999999999</v>
      </c>
      <c r="N14" s="411">
        <v>0.157</v>
      </c>
      <c r="O14" s="411">
        <v>0.159</v>
      </c>
      <c r="P14" s="411">
        <v>0.16400000000000001</v>
      </c>
      <c r="Q14" s="1812">
        <v>0.17886178861788618</v>
      </c>
      <c r="R14" s="1813">
        <v>0.15642458100558659</v>
      </c>
      <c r="S14" s="1812"/>
      <c r="T14" s="1809">
        <v>102</v>
      </c>
      <c r="U14" s="1809">
        <v>97</v>
      </c>
      <c r="V14" s="1809">
        <v>95</v>
      </c>
      <c r="W14" s="1809">
        <v>99</v>
      </c>
      <c r="X14" s="1809">
        <v>83</v>
      </c>
      <c r="Y14" s="1809">
        <v>89</v>
      </c>
      <c r="Z14" s="1809">
        <v>88</v>
      </c>
      <c r="AA14" s="1809">
        <v>80</v>
      </c>
      <c r="AB14" s="1809">
        <v>89</v>
      </c>
      <c r="AC14" s="1809">
        <v>117</v>
      </c>
      <c r="AD14" s="1809">
        <v>123</v>
      </c>
      <c r="AE14" s="1809">
        <v>122</v>
      </c>
      <c r="AF14" s="1634">
        <v>124</v>
      </c>
      <c r="AG14" s="1634">
        <v>132</v>
      </c>
      <c r="AH14" s="1635">
        <v>112</v>
      </c>
    </row>
    <row r="15" spans="1:51" x14ac:dyDescent="0.25">
      <c r="A15" s="404" t="s">
        <v>29</v>
      </c>
      <c r="B15" s="405" t="s">
        <v>941</v>
      </c>
      <c r="C15" s="412" t="s">
        <v>265</v>
      </c>
      <c r="D15" s="409">
        <v>0.10357569534845344</v>
      </c>
      <c r="E15" s="410">
        <v>9.7851076521047547E-2</v>
      </c>
      <c r="F15" s="410">
        <v>0.10470836582956378</v>
      </c>
      <c r="G15" s="410">
        <v>0.11985001266072082</v>
      </c>
      <c r="H15" s="410">
        <v>0.11006986120613819</v>
      </c>
      <c r="I15" s="410">
        <v>0.11585807105652593</v>
      </c>
      <c r="J15" s="410">
        <v>0.10915386192773553</v>
      </c>
      <c r="K15" s="410">
        <v>0.11852155883037152</v>
      </c>
      <c r="L15" s="410">
        <v>0.11587898985228509</v>
      </c>
      <c r="M15" s="410">
        <v>0.12334881658541039</v>
      </c>
      <c r="N15" s="411">
        <v>0.14051075101595445</v>
      </c>
      <c r="O15" s="411">
        <v>0.14869402985074626</v>
      </c>
      <c r="P15" s="411">
        <v>0.14499999999999999</v>
      </c>
      <c r="Q15" s="1812">
        <v>0.13675599072404018</v>
      </c>
      <c r="R15" s="1813">
        <v>0.13628123786093488</v>
      </c>
      <c r="S15" s="1812"/>
      <c r="T15" s="1809">
        <v>1623</v>
      </c>
      <c r="U15" s="1809">
        <v>1526</v>
      </c>
      <c r="V15" s="1809">
        <v>1664</v>
      </c>
      <c r="W15" s="1809">
        <v>1861</v>
      </c>
      <c r="X15" s="1809">
        <v>1732</v>
      </c>
      <c r="Y15" s="1809">
        <v>1803</v>
      </c>
      <c r="Z15" s="1809">
        <v>1685</v>
      </c>
      <c r="AA15" s="1809">
        <v>1839</v>
      </c>
      <c r="AB15" s="1809">
        <v>1773</v>
      </c>
      <c r="AC15" s="1809">
        <v>1987</v>
      </c>
      <c r="AD15" s="1809">
        <v>2297</v>
      </c>
      <c r="AE15" s="1809">
        <v>2391</v>
      </c>
      <c r="AF15" s="1634">
        <v>2277</v>
      </c>
      <c r="AG15" s="1634">
        <v>2123</v>
      </c>
      <c r="AH15" s="1635">
        <v>2105</v>
      </c>
    </row>
    <row r="16" spans="1:51" x14ac:dyDescent="0.25">
      <c r="A16" s="404" t="s">
        <v>30</v>
      </c>
      <c r="B16" s="405" t="s">
        <v>457</v>
      </c>
      <c r="C16" s="412" t="s">
        <v>268</v>
      </c>
      <c r="D16" s="409">
        <v>0.14099999999999999</v>
      </c>
      <c r="E16" s="410">
        <v>0.13499999999999998</v>
      </c>
      <c r="F16" s="410">
        <v>0.14399999999999999</v>
      </c>
      <c r="G16" s="410">
        <v>0.16800000000000001</v>
      </c>
      <c r="H16" s="410">
        <v>0.14500000000000002</v>
      </c>
      <c r="I16" s="410">
        <v>0.16899999999999998</v>
      </c>
      <c r="J16" s="410">
        <v>0.16500000000000001</v>
      </c>
      <c r="K16" s="410">
        <v>0.17500000000000002</v>
      </c>
      <c r="L16" s="410">
        <v>0.18000000000000002</v>
      </c>
      <c r="M16" s="410">
        <v>0.17800000000000002</v>
      </c>
      <c r="N16" s="411">
        <v>0.18</v>
      </c>
      <c r="O16" s="411">
        <v>0.187</v>
      </c>
      <c r="P16" s="411">
        <v>0.187</v>
      </c>
      <c r="Q16" s="1812">
        <v>0.2017467248908297</v>
      </c>
      <c r="R16" s="1813">
        <v>0.17387304507819687</v>
      </c>
      <c r="S16" s="1812"/>
      <c r="T16" s="1809">
        <v>186</v>
      </c>
      <c r="U16" s="1809">
        <v>172</v>
      </c>
      <c r="V16" s="1809">
        <v>184</v>
      </c>
      <c r="W16" s="1809">
        <v>209</v>
      </c>
      <c r="X16" s="1809">
        <v>177</v>
      </c>
      <c r="Y16" s="1809">
        <v>204</v>
      </c>
      <c r="Z16" s="1809">
        <v>191</v>
      </c>
      <c r="AA16" s="1809">
        <v>202</v>
      </c>
      <c r="AB16" s="1809">
        <v>204</v>
      </c>
      <c r="AC16" s="1809">
        <v>214</v>
      </c>
      <c r="AD16" s="1809">
        <v>214</v>
      </c>
      <c r="AE16" s="1809">
        <v>221</v>
      </c>
      <c r="AF16" s="1634">
        <v>215</v>
      </c>
      <c r="AG16" s="1634">
        <v>231</v>
      </c>
      <c r="AH16" s="1635">
        <v>189</v>
      </c>
    </row>
    <row r="17" spans="1:34" x14ac:dyDescent="0.25">
      <c r="A17" s="404" t="s">
        <v>32</v>
      </c>
      <c r="B17" s="405" t="s">
        <v>458</v>
      </c>
      <c r="C17" s="412" t="s">
        <v>265</v>
      </c>
      <c r="D17" s="409">
        <v>6.8000000000000005E-2</v>
      </c>
      <c r="E17" s="410">
        <v>6.6000000000000003E-2</v>
      </c>
      <c r="F17" s="410">
        <v>7.2999999999999995E-2</v>
      </c>
      <c r="G17" s="410">
        <v>8.199999999999999E-2</v>
      </c>
      <c r="H17" s="410">
        <v>7.3999999999999996E-2</v>
      </c>
      <c r="I17" s="410">
        <v>7.400000000000001E-2</v>
      </c>
      <c r="J17" s="410">
        <v>6.9000000000000006E-2</v>
      </c>
      <c r="K17" s="410">
        <v>7.3999999999999996E-2</v>
      </c>
      <c r="L17" s="410">
        <v>0.08</v>
      </c>
      <c r="M17" s="410">
        <v>8.5000000000000006E-2</v>
      </c>
      <c r="N17" s="411">
        <v>8.8000000000000009E-2</v>
      </c>
      <c r="O17" s="411">
        <v>0.10099999999999999</v>
      </c>
      <c r="P17" s="411">
        <v>0.10100000000000001</v>
      </c>
      <c r="Q17" s="1812">
        <v>0.10003003905076599</v>
      </c>
      <c r="R17" s="1813">
        <v>0.10581039755351682</v>
      </c>
      <c r="S17" s="1812"/>
      <c r="T17" s="1809">
        <v>473</v>
      </c>
      <c r="U17" s="1809">
        <v>453</v>
      </c>
      <c r="V17" s="1809">
        <v>497</v>
      </c>
      <c r="W17" s="1809">
        <v>556</v>
      </c>
      <c r="X17" s="1809">
        <v>501</v>
      </c>
      <c r="Y17" s="1809">
        <v>493</v>
      </c>
      <c r="Z17" s="1809">
        <v>440</v>
      </c>
      <c r="AA17" s="1809">
        <v>476</v>
      </c>
      <c r="AB17" s="1809">
        <v>501</v>
      </c>
      <c r="AC17" s="1809">
        <v>578</v>
      </c>
      <c r="AD17" s="1809">
        <v>646</v>
      </c>
      <c r="AE17" s="1809">
        <v>715</v>
      </c>
      <c r="AF17" s="1634">
        <v>700</v>
      </c>
      <c r="AG17" s="1634">
        <v>666</v>
      </c>
      <c r="AH17" s="1635">
        <v>692</v>
      </c>
    </row>
    <row r="18" spans="1:34" x14ac:dyDescent="0.25">
      <c r="A18" s="404" t="s">
        <v>36</v>
      </c>
      <c r="B18" s="405" t="s">
        <v>459</v>
      </c>
      <c r="C18" s="412" t="s">
        <v>264</v>
      </c>
      <c r="D18" s="409">
        <v>0.20200000000000001</v>
      </c>
      <c r="E18" s="410">
        <v>0.18600000000000003</v>
      </c>
      <c r="F18" s="410">
        <v>0.22199999999999998</v>
      </c>
      <c r="G18" s="410">
        <v>0.24199999999999999</v>
      </c>
      <c r="H18" s="410">
        <v>0.217</v>
      </c>
      <c r="I18" s="410">
        <v>0.245</v>
      </c>
      <c r="J18" s="410">
        <v>0.24199999999999999</v>
      </c>
      <c r="K18" s="410">
        <v>0.26300000000000001</v>
      </c>
      <c r="L18" s="410">
        <v>0.248</v>
      </c>
      <c r="M18" s="410">
        <v>0.26300000000000001</v>
      </c>
      <c r="N18" s="411">
        <v>0.26899999999999996</v>
      </c>
      <c r="O18" s="411">
        <v>0.31</v>
      </c>
      <c r="P18" s="411">
        <v>0.30499999999999999</v>
      </c>
      <c r="Q18" s="1812">
        <v>0.28860172299536119</v>
      </c>
      <c r="R18" s="1813">
        <v>0.31456378171706639</v>
      </c>
      <c r="S18" s="1812"/>
      <c r="T18" s="1809">
        <v>737</v>
      </c>
      <c r="U18" s="1809">
        <v>665</v>
      </c>
      <c r="V18" s="1809">
        <v>787</v>
      </c>
      <c r="W18" s="1809">
        <v>847</v>
      </c>
      <c r="X18" s="1809">
        <v>742</v>
      </c>
      <c r="Y18" s="1809">
        <v>828</v>
      </c>
      <c r="Z18" s="1809">
        <v>792</v>
      </c>
      <c r="AA18" s="1809">
        <v>834</v>
      </c>
      <c r="AB18" s="1809">
        <v>761</v>
      </c>
      <c r="AC18" s="1809">
        <v>816</v>
      </c>
      <c r="AD18" s="1809">
        <v>888</v>
      </c>
      <c r="AE18" s="1809">
        <v>979</v>
      </c>
      <c r="AF18" s="1634">
        <v>931</v>
      </c>
      <c r="AG18" s="1634">
        <v>871</v>
      </c>
      <c r="AH18" s="1635">
        <v>905</v>
      </c>
    </row>
    <row r="19" spans="1:34" x14ac:dyDescent="0.25">
      <c r="A19" s="404" t="s">
        <v>38</v>
      </c>
      <c r="B19" s="405" t="s">
        <v>460</v>
      </c>
      <c r="C19" s="412" t="s">
        <v>268</v>
      </c>
      <c r="D19" s="409">
        <v>0.28999999999999998</v>
      </c>
      <c r="E19" s="410">
        <v>0.25600000000000001</v>
      </c>
      <c r="F19" s="410">
        <v>0.29600000000000004</v>
      </c>
      <c r="G19" s="410">
        <v>0.318</v>
      </c>
      <c r="H19" s="410">
        <v>0.28100000000000003</v>
      </c>
      <c r="I19" s="410">
        <v>0.34500000000000003</v>
      </c>
      <c r="J19" s="410">
        <v>0.30899999999999994</v>
      </c>
      <c r="K19" s="410">
        <v>0.3</v>
      </c>
      <c r="L19" s="410">
        <v>0.33100000000000002</v>
      </c>
      <c r="M19" s="410">
        <v>0.34299999999999997</v>
      </c>
      <c r="N19" s="411">
        <v>0.34900000000000003</v>
      </c>
      <c r="O19" s="411">
        <v>0.308</v>
      </c>
      <c r="P19" s="411">
        <v>0.29099999999999998</v>
      </c>
      <c r="Q19" s="1812">
        <v>0.32803180914512925</v>
      </c>
      <c r="R19" s="1813">
        <v>0.31325611325611324</v>
      </c>
      <c r="S19" s="1812"/>
      <c r="T19" s="1809">
        <v>1507</v>
      </c>
      <c r="U19" s="1809">
        <v>1287</v>
      </c>
      <c r="V19" s="1809">
        <v>1473</v>
      </c>
      <c r="W19" s="1809">
        <v>1531</v>
      </c>
      <c r="X19" s="1809">
        <v>1333</v>
      </c>
      <c r="Y19" s="1809">
        <v>1593</v>
      </c>
      <c r="Z19" s="1809">
        <v>1402</v>
      </c>
      <c r="AA19" s="1809">
        <v>1284</v>
      </c>
      <c r="AB19" s="1809">
        <v>1365</v>
      </c>
      <c r="AC19" s="1809">
        <v>1464</v>
      </c>
      <c r="AD19" s="1809">
        <v>1497</v>
      </c>
      <c r="AE19" s="1809">
        <v>1268</v>
      </c>
      <c r="AF19" s="1634">
        <v>1200</v>
      </c>
      <c r="AG19" s="1634">
        <v>1320</v>
      </c>
      <c r="AH19" s="1635">
        <v>1217</v>
      </c>
    </row>
    <row r="20" spans="1:34" x14ac:dyDescent="0.25">
      <c r="A20" s="404" t="s">
        <v>40</v>
      </c>
      <c r="B20" s="405" t="s">
        <v>461</v>
      </c>
      <c r="C20" s="412" t="s">
        <v>266</v>
      </c>
      <c r="D20" s="409">
        <v>0.20299999999999999</v>
      </c>
      <c r="E20" s="410">
        <v>0.182</v>
      </c>
      <c r="F20" s="410">
        <v>0.19700000000000001</v>
      </c>
      <c r="G20" s="410">
        <v>0.21999999999999997</v>
      </c>
      <c r="H20" s="410">
        <v>0.20600000000000002</v>
      </c>
      <c r="I20" s="410">
        <v>0.24500000000000002</v>
      </c>
      <c r="J20" s="410">
        <v>0.21899999999999997</v>
      </c>
      <c r="K20" s="410">
        <v>0.24199999999999999</v>
      </c>
      <c r="L20" s="410">
        <v>0.248</v>
      </c>
      <c r="M20" s="410">
        <v>0.26300000000000001</v>
      </c>
      <c r="N20" s="411">
        <v>0.252</v>
      </c>
      <c r="O20" s="411">
        <v>0.26300000000000001</v>
      </c>
      <c r="P20" s="411">
        <v>0.28299999999999997</v>
      </c>
      <c r="Q20" s="1812">
        <v>0.28427355814686417</v>
      </c>
      <c r="R20" s="1813">
        <v>0.27098014093529788</v>
      </c>
      <c r="S20" s="1812"/>
      <c r="T20" s="1809">
        <v>682</v>
      </c>
      <c r="U20" s="1809">
        <v>594</v>
      </c>
      <c r="V20" s="1809">
        <v>641</v>
      </c>
      <c r="W20" s="1809">
        <v>710</v>
      </c>
      <c r="X20" s="1809">
        <v>658</v>
      </c>
      <c r="Y20" s="1809">
        <v>771</v>
      </c>
      <c r="Z20" s="1809">
        <v>667</v>
      </c>
      <c r="AA20" s="1809">
        <v>717</v>
      </c>
      <c r="AB20" s="1809">
        <v>713</v>
      </c>
      <c r="AC20" s="1809">
        <v>775</v>
      </c>
      <c r="AD20" s="1809">
        <v>814</v>
      </c>
      <c r="AE20" s="1809">
        <v>843</v>
      </c>
      <c r="AF20" s="1634">
        <v>899</v>
      </c>
      <c r="AG20" s="1634">
        <v>902</v>
      </c>
      <c r="AH20" s="1635">
        <v>846</v>
      </c>
    </row>
    <row r="21" spans="1:34" x14ac:dyDescent="0.25">
      <c r="A21" s="404" t="s">
        <v>42</v>
      </c>
      <c r="B21" s="405" t="s">
        <v>462</v>
      </c>
      <c r="C21" s="412" t="s">
        <v>265</v>
      </c>
      <c r="D21" s="409">
        <v>0.14099999999999999</v>
      </c>
      <c r="E21" s="410">
        <v>0.129</v>
      </c>
      <c r="F21" s="410">
        <v>0.15</v>
      </c>
      <c r="G21" s="410">
        <v>0.16800000000000001</v>
      </c>
      <c r="H21" s="410">
        <v>0.15</v>
      </c>
      <c r="I21" s="410">
        <v>0.154</v>
      </c>
      <c r="J21" s="410">
        <v>0.153</v>
      </c>
      <c r="K21" s="410">
        <v>0.153</v>
      </c>
      <c r="L21" s="410">
        <v>0.16200000000000001</v>
      </c>
      <c r="M21" s="410">
        <v>0.17799999999999999</v>
      </c>
      <c r="N21" s="411">
        <v>0.18600000000000003</v>
      </c>
      <c r="O21" s="411">
        <v>0.23</v>
      </c>
      <c r="P21" s="411">
        <v>0.192</v>
      </c>
      <c r="Q21" s="1812">
        <v>0.18702392687516803</v>
      </c>
      <c r="R21" s="1813">
        <v>0.19370194068106922</v>
      </c>
      <c r="S21" s="1812"/>
      <c r="T21" s="1809">
        <v>1693</v>
      </c>
      <c r="U21" s="1809">
        <v>1540</v>
      </c>
      <c r="V21" s="1809">
        <v>1797</v>
      </c>
      <c r="W21" s="1809">
        <v>2001</v>
      </c>
      <c r="X21" s="1809">
        <v>1800</v>
      </c>
      <c r="Y21" s="1809">
        <v>1823</v>
      </c>
      <c r="Z21" s="1809">
        <v>1756</v>
      </c>
      <c r="AA21" s="1809">
        <v>1759</v>
      </c>
      <c r="AB21" s="1809">
        <v>1816</v>
      </c>
      <c r="AC21" s="1809">
        <v>1996</v>
      </c>
      <c r="AD21" s="1809">
        <v>2211</v>
      </c>
      <c r="AE21" s="1809">
        <v>2674</v>
      </c>
      <c r="AF21" s="1634">
        <v>2199</v>
      </c>
      <c r="AG21" s="1634">
        <v>2087</v>
      </c>
      <c r="AH21" s="1635">
        <v>2116</v>
      </c>
    </row>
    <row r="22" spans="1:34" x14ac:dyDescent="0.25">
      <c r="A22" s="404" t="s">
        <v>44</v>
      </c>
      <c r="B22" s="405" t="s">
        <v>463</v>
      </c>
      <c r="C22" s="412" t="s">
        <v>266</v>
      </c>
      <c r="D22" s="409">
        <v>0.14099999999999999</v>
      </c>
      <c r="E22" s="410">
        <v>0.13</v>
      </c>
      <c r="F22" s="410">
        <v>0.15</v>
      </c>
      <c r="G22" s="410">
        <v>0.14699999999999999</v>
      </c>
      <c r="H22" s="410">
        <v>0.13300000000000001</v>
      </c>
      <c r="I22" s="410">
        <v>0.14599999999999999</v>
      </c>
      <c r="J22" s="410">
        <v>0.126</v>
      </c>
      <c r="K22" s="410">
        <v>0.13300000000000001</v>
      </c>
      <c r="L22" s="410">
        <v>0.14199999999999999</v>
      </c>
      <c r="M22" s="410">
        <v>0.16500000000000001</v>
      </c>
      <c r="N22" s="411">
        <v>0.16600000000000001</v>
      </c>
      <c r="O22" s="411">
        <v>0.18899999999999997</v>
      </c>
      <c r="P22" s="411">
        <v>0.182</v>
      </c>
      <c r="Q22" s="1812">
        <v>0.21008778455586966</v>
      </c>
      <c r="R22" s="1813">
        <v>0.17336829836829837</v>
      </c>
      <c r="S22" s="1812"/>
      <c r="T22" s="1809">
        <v>750</v>
      </c>
      <c r="U22" s="1809">
        <v>699</v>
      </c>
      <c r="V22" s="1809">
        <v>823</v>
      </c>
      <c r="W22" s="1809">
        <v>827</v>
      </c>
      <c r="X22" s="1809">
        <v>797</v>
      </c>
      <c r="Y22" s="1809">
        <v>862</v>
      </c>
      <c r="Z22" s="1809">
        <v>753</v>
      </c>
      <c r="AA22" s="1809">
        <v>864</v>
      </c>
      <c r="AB22" s="1809">
        <v>927</v>
      </c>
      <c r="AC22" s="1809">
        <v>1058</v>
      </c>
      <c r="AD22" s="1809">
        <v>1116</v>
      </c>
      <c r="AE22" s="1809">
        <v>1252</v>
      </c>
      <c r="AF22" s="1634">
        <v>1225</v>
      </c>
      <c r="AG22" s="1634">
        <v>1412</v>
      </c>
      <c r="AH22" s="1635">
        <v>1190</v>
      </c>
    </row>
    <row r="23" spans="1:34" x14ac:dyDescent="0.25">
      <c r="A23" s="404" t="s">
        <v>46</v>
      </c>
      <c r="B23" s="405" t="s">
        <v>464</v>
      </c>
      <c r="C23" s="412" t="s">
        <v>268</v>
      </c>
      <c r="D23" s="409">
        <v>0.186</v>
      </c>
      <c r="E23" s="410">
        <v>0.18300000000000002</v>
      </c>
      <c r="F23" s="410">
        <v>0.20600000000000002</v>
      </c>
      <c r="G23" s="410">
        <v>0.22600000000000001</v>
      </c>
      <c r="H23" s="410">
        <v>0.18899999999999997</v>
      </c>
      <c r="I23" s="410">
        <v>0.23100000000000004</v>
      </c>
      <c r="J23" s="410">
        <v>0.20500000000000002</v>
      </c>
      <c r="K23" s="410">
        <v>0.20300000000000001</v>
      </c>
      <c r="L23" s="410">
        <v>0.22500000000000001</v>
      </c>
      <c r="M23" s="410">
        <v>0.26100000000000001</v>
      </c>
      <c r="N23" s="411">
        <v>0.249</v>
      </c>
      <c r="O23" s="411">
        <v>0.29399999999999998</v>
      </c>
      <c r="P23" s="411">
        <v>0.26400000000000001</v>
      </c>
      <c r="Q23" s="1812">
        <v>0.25639241607236041</v>
      </c>
      <c r="R23" s="1813">
        <v>0.24964336661911554</v>
      </c>
      <c r="S23" s="1812"/>
      <c r="T23" s="1809">
        <v>1114</v>
      </c>
      <c r="U23" s="1809">
        <v>1082</v>
      </c>
      <c r="V23" s="1809">
        <v>1233</v>
      </c>
      <c r="W23" s="1809">
        <v>1354</v>
      </c>
      <c r="X23" s="1809">
        <v>1122</v>
      </c>
      <c r="Y23" s="1809">
        <v>1357</v>
      </c>
      <c r="Z23" s="1809">
        <v>1186</v>
      </c>
      <c r="AA23" s="1809">
        <v>1154</v>
      </c>
      <c r="AB23" s="1809">
        <v>1262</v>
      </c>
      <c r="AC23" s="1809">
        <v>1467</v>
      </c>
      <c r="AD23" s="1809">
        <v>1518</v>
      </c>
      <c r="AE23" s="1809">
        <v>1755</v>
      </c>
      <c r="AF23" s="1634">
        <v>1541</v>
      </c>
      <c r="AG23" s="1634">
        <v>1474</v>
      </c>
      <c r="AH23" s="1635">
        <v>1400</v>
      </c>
    </row>
    <row r="24" spans="1:34" x14ac:dyDescent="0.25">
      <c r="A24" s="404" t="s">
        <v>48</v>
      </c>
      <c r="B24" s="405" t="s">
        <v>465</v>
      </c>
      <c r="C24" s="412" t="s">
        <v>266</v>
      </c>
      <c r="D24" s="409">
        <v>0.14100000000000001</v>
      </c>
      <c r="E24" s="410">
        <v>0.126</v>
      </c>
      <c r="F24" s="410">
        <v>0.14699999999999999</v>
      </c>
      <c r="G24" s="410">
        <v>0.15699999999999997</v>
      </c>
      <c r="H24" s="410">
        <v>0.13099999999999998</v>
      </c>
      <c r="I24" s="410">
        <v>0.14900000000000002</v>
      </c>
      <c r="J24" s="410">
        <v>0.152</v>
      </c>
      <c r="K24" s="410">
        <v>0.15000000000000002</v>
      </c>
      <c r="L24" s="410">
        <v>0.16699999999999998</v>
      </c>
      <c r="M24" s="410">
        <v>0.17200000000000001</v>
      </c>
      <c r="N24" s="411">
        <v>0.184</v>
      </c>
      <c r="O24" s="411">
        <v>0.18100000000000002</v>
      </c>
      <c r="P24" s="411">
        <v>0.20100000000000001</v>
      </c>
      <c r="Q24" s="1812">
        <v>0.19565217391304349</v>
      </c>
      <c r="R24" s="1813">
        <v>0.19121683440073192</v>
      </c>
      <c r="S24" s="1812"/>
      <c r="T24" s="1809">
        <v>207</v>
      </c>
      <c r="U24" s="1809">
        <v>182</v>
      </c>
      <c r="V24" s="1809">
        <v>213</v>
      </c>
      <c r="W24" s="1809">
        <v>223</v>
      </c>
      <c r="X24" s="1809">
        <v>179</v>
      </c>
      <c r="Y24" s="1809">
        <v>201</v>
      </c>
      <c r="Z24" s="1809">
        <v>204</v>
      </c>
      <c r="AA24" s="1809">
        <v>200</v>
      </c>
      <c r="AB24" s="1809">
        <v>227</v>
      </c>
      <c r="AC24" s="1809">
        <v>225</v>
      </c>
      <c r="AD24" s="1809">
        <v>238</v>
      </c>
      <c r="AE24" s="1809">
        <v>223</v>
      </c>
      <c r="AF24" s="1634">
        <v>234</v>
      </c>
      <c r="AG24" s="1634">
        <v>225</v>
      </c>
      <c r="AH24" s="1635">
        <v>209</v>
      </c>
    </row>
    <row r="25" spans="1:34" x14ac:dyDescent="0.25">
      <c r="A25" s="404" t="s">
        <v>50</v>
      </c>
      <c r="B25" s="405" t="s">
        <v>466</v>
      </c>
      <c r="C25" s="412" t="s">
        <v>265</v>
      </c>
      <c r="D25" s="409">
        <v>0.21100000000000002</v>
      </c>
      <c r="E25" s="410">
        <v>0.2</v>
      </c>
      <c r="F25" s="410">
        <v>0.22</v>
      </c>
      <c r="G25" s="410">
        <v>0.23799999999999999</v>
      </c>
      <c r="H25" s="410">
        <v>0.20300000000000001</v>
      </c>
      <c r="I25" s="410">
        <v>0.23499999999999999</v>
      </c>
      <c r="J25" s="410">
        <v>0.23500000000000001</v>
      </c>
      <c r="K25" s="410">
        <v>0.26100000000000001</v>
      </c>
      <c r="L25" s="410">
        <v>0.25900000000000001</v>
      </c>
      <c r="M25" s="410">
        <v>0.27199999999999996</v>
      </c>
      <c r="N25" s="411">
        <v>0.28100000000000003</v>
      </c>
      <c r="O25" s="411">
        <v>0.30499999999999999</v>
      </c>
      <c r="P25" s="411">
        <v>0.28399999999999997</v>
      </c>
      <c r="Q25" s="1812">
        <v>0.27573253193087904</v>
      </c>
      <c r="R25" s="1813">
        <v>0.30421337456513337</v>
      </c>
      <c r="S25" s="1812"/>
      <c r="T25" s="1809">
        <v>618</v>
      </c>
      <c r="U25" s="1809">
        <v>581</v>
      </c>
      <c r="V25" s="1809">
        <v>638</v>
      </c>
      <c r="W25" s="1809">
        <v>682</v>
      </c>
      <c r="X25" s="1809">
        <v>580</v>
      </c>
      <c r="Y25" s="1809">
        <v>662</v>
      </c>
      <c r="Z25" s="1809">
        <v>646</v>
      </c>
      <c r="AA25" s="1809">
        <v>691</v>
      </c>
      <c r="AB25" s="1809">
        <v>674</v>
      </c>
      <c r="AC25" s="1809">
        <v>724</v>
      </c>
      <c r="AD25" s="1809">
        <v>796</v>
      </c>
      <c r="AE25" s="1809">
        <v>830</v>
      </c>
      <c r="AF25" s="1634">
        <v>756</v>
      </c>
      <c r="AG25" s="1634">
        <v>734</v>
      </c>
      <c r="AH25" s="1635">
        <v>787</v>
      </c>
    </row>
    <row r="26" spans="1:34" x14ac:dyDescent="0.25">
      <c r="A26" s="404" t="s">
        <v>56</v>
      </c>
      <c r="B26" s="405" t="s">
        <v>751</v>
      </c>
      <c r="C26" s="412" t="s">
        <v>266</v>
      </c>
      <c r="D26" s="409">
        <v>6.6162592847827204E-2</v>
      </c>
      <c r="E26" s="410">
        <v>6.1985132760176691E-2</v>
      </c>
      <c r="F26" s="410">
        <v>7.6745253964520699E-2</v>
      </c>
      <c r="G26" s="410">
        <v>8.9098295969368371E-2</v>
      </c>
      <c r="H26" s="410">
        <v>8.4639475052664961E-2</v>
      </c>
      <c r="I26" s="410">
        <v>8.5835080186892287E-2</v>
      </c>
      <c r="J26" s="410">
        <v>7.5312499027605631E-2</v>
      </c>
      <c r="K26" s="410">
        <v>7.7429640998764648E-2</v>
      </c>
      <c r="L26" s="410">
        <v>8.2993030907240153E-2</v>
      </c>
      <c r="M26" s="410">
        <v>8.8543304157549227E-2</v>
      </c>
      <c r="N26" s="411">
        <v>9.271632452521289E-2</v>
      </c>
      <c r="O26" s="411">
        <v>0.10659729250258962</v>
      </c>
      <c r="P26" s="411">
        <v>0.1</v>
      </c>
      <c r="Q26" s="1812">
        <v>0.11103941881444838</v>
      </c>
      <c r="R26" s="1813">
        <v>0.11519602008997644</v>
      </c>
      <c r="S26" s="1812"/>
      <c r="T26" s="1809">
        <v>5095</v>
      </c>
      <c r="U26" s="1809">
        <v>4754</v>
      </c>
      <c r="V26" s="1809">
        <v>5992</v>
      </c>
      <c r="W26" s="1809">
        <v>6928</v>
      </c>
      <c r="X26" s="1809">
        <v>6652</v>
      </c>
      <c r="Y26" s="1809">
        <v>6664</v>
      </c>
      <c r="Z26" s="1809">
        <v>5829</v>
      </c>
      <c r="AA26" s="1809">
        <v>6162</v>
      </c>
      <c r="AB26" s="1809">
        <v>6555</v>
      </c>
      <c r="AC26" s="1809">
        <v>7447</v>
      </c>
      <c r="AD26" s="1809">
        <v>7901</v>
      </c>
      <c r="AE26" s="1809">
        <v>8953</v>
      </c>
      <c r="AF26" s="1634">
        <v>8309</v>
      </c>
      <c r="AG26" s="1634">
        <v>9293</v>
      </c>
      <c r="AH26" s="1635">
        <v>9679</v>
      </c>
    </row>
    <row r="27" spans="1:34" x14ac:dyDescent="0.25">
      <c r="A27" s="404" t="s">
        <v>58</v>
      </c>
      <c r="B27" s="405" t="s">
        <v>467</v>
      </c>
      <c r="C27" s="412" t="s">
        <v>267</v>
      </c>
      <c r="D27" s="409">
        <v>0.09</v>
      </c>
      <c r="E27" s="410">
        <v>7.4999999999999997E-2</v>
      </c>
      <c r="F27" s="410">
        <v>7.1999999999999995E-2</v>
      </c>
      <c r="G27" s="410">
        <v>8.4000000000000005E-2</v>
      </c>
      <c r="H27" s="410">
        <v>7.2999999999999995E-2</v>
      </c>
      <c r="I27" s="410">
        <v>7.9000000000000001E-2</v>
      </c>
      <c r="J27" s="410">
        <v>7.3000000000000009E-2</v>
      </c>
      <c r="K27" s="410">
        <v>7.3999999999999996E-2</v>
      </c>
      <c r="L27" s="410">
        <v>9.4E-2</v>
      </c>
      <c r="M27" s="410">
        <v>9.4E-2</v>
      </c>
      <c r="N27" s="411">
        <v>0.10099999999999999</v>
      </c>
      <c r="O27" s="411">
        <v>0.10300000000000001</v>
      </c>
      <c r="P27" s="411">
        <v>0.105</v>
      </c>
      <c r="Q27" s="1812">
        <v>9.8662207357859535E-2</v>
      </c>
      <c r="R27" s="1813">
        <v>0.10641835716661124</v>
      </c>
      <c r="S27" s="1812"/>
      <c r="T27" s="1809">
        <v>264</v>
      </c>
      <c r="U27" s="1809">
        <v>221</v>
      </c>
      <c r="V27" s="1809">
        <v>216</v>
      </c>
      <c r="W27" s="1809">
        <v>250</v>
      </c>
      <c r="X27" s="1809">
        <v>223</v>
      </c>
      <c r="Y27" s="1809">
        <v>238</v>
      </c>
      <c r="Z27" s="1809">
        <v>217</v>
      </c>
      <c r="AA27" s="1809">
        <v>222</v>
      </c>
      <c r="AB27" s="1809">
        <v>278</v>
      </c>
      <c r="AC27" s="1809">
        <v>286</v>
      </c>
      <c r="AD27" s="1809">
        <v>316</v>
      </c>
      <c r="AE27" s="1809">
        <v>318</v>
      </c>
      <c r="AF27" s="1634">
        <v>323</v>
      </c>
      <c r="AG27" s="1634">
        <v>295</v>
      </c>
      <c r="AH27" s="1635">
        <v>320</v>
      </c>
    </row>
    <row r="28" spans="1:34" x14ac:dyDescent="0.25">
      <c r="A28" s="404" t="s">
        <v>60</v>
      </c>
      <c r="B28" s="405" t="s">
        <v>468</v>
      </c>
      <c r="C28" s="412" t="s">
        <v>265</v>
      </c>
      <c r="D28" s="409">
        <v>0.127</v>
      </c>
      <c r="E28" s="410">
        <v>0.10900000000000001</v>
      </c>
      <c r="F28" s="410">
        <v>0.11800000000000001</v>
      </c>
      <c r="G28" s="410">
        <v>0.14800000000000002</v>
      </c>
      <c r="H28" s="410">
        <v>0.127</v>
      </c>
      <c r="I28" s="410">
        <v>0.15300000000000002</v>
      </c>
      <c r="J28" s="410">
        <v>0.15</v>
      </c>
      <c r="K28" s="410">
        <v>0.14900000000000002</v>
      </c>
      <c r="L28" s="410">
        <v>0.17100000000000001</v>
      </c>
      <c r="M28" s="410">
        <v>0.185</v>
      </c>
      <c r="N28" s="411">
        <v>0.17899999999999999</v>
      </c>
      <c r="O28" s="411">
        <v>0.19899999999999998</v>
      </c>
      <c r="P28" s="411">
        <v>0.221</v>
      </c>
      <c r="Q28" s="1812">
        <v>0.21725888324873097</v>
      </c>
      <c r="R28" s="1813">
        <v>0.21031344792719919</v>
      </c>
      <c r="S28" s="1812"/>
      <c r="T28" s="1809">
        <v>146</v>
      </c>
      <c r="U28" s="1809">
        <v>126</v>
      </c>
      <c r="V28" s="1809">
        <v>138</v>
      </c>
      <c r="W28" s="1809">
        <v>170</v>
      </c>
      <c r="X28" s="1809">
        <v>146</v>
      </c>
      <c r="Y28" s="1809">
        <v>173</v>
      </c>
      <c r="Z28" s="1809">
        <v>162</v>
      </c>
      <c r="AA28" s="1809">
        <v>159</v>
      </c>
      <c r="AB28" s="1809">
        <v>172</v>
      </c>
      <c r="AC28" s="1809">
        <v>183</v>
      </c>
      <c r="AD28" s="1809">
        <v>197</v>
      </c>
      <c r="AE28" s="1809">
        <v>214</v>
      </c>
      <c r="AF28" s="1634">
        <v>234</v>
      </c>
      <c r="AG28" s="1634">
        <v>214</v>
      </c>
      <c r="AH28" s="1635">
        <v>208</v>
      </c>
    </row>
    <row r="29" spans="1:34" x14ac:dyDescent="0.25">
      <c r="A29" s="404" t="s">
        <v>62</v>
      </c>
      <c r="B29" s="405" t="s">
        <v>469</v>
      </c>
      <c r="C29" s="412" t="s">
        <v>267</v>
      </c>
      <c r="D29" s="409">
        <v>0.122</v>
      </c>
      <c r="E29" s="410">
        <v>0.11</v>
      </c>
      <c r="F29" s="410">
        <v>0.114</v>
      </c>
      <c r="G29" s="410">
        <v>0.121</v>
      </c>
      <c r="H29" s="410">
        <v>0.10400000000000001</v>
      </c>
      <c r="I29" s="410">
        <v>0.111</v>
      </c>
      <c r="J29" s="410">
        <v>0.10100000000000001</v>
      </c>
      <c r="K29" s="410">
        <v>0.10800000000000001</v>
      </c>
      <c r="L29" s="410">
        <v>0.11099999999999999</v>
      </c>
      <c r="M29" s="410">
        <v>0.14000000000000001</v>
      </c>
      <c r="N29" s="411">
        <v>0.14800000000000002</v>
      </c>
      <c r="O29" s="411">
        <v>0.16399999999999998</v>
      </c>
      <c r="P29" s="411">
        <v>0.155</v>
      </c>
      <c r="Q29" s="1812">
        <v>0.15169243627246135</v>
      </c>
      <c r="R29" s="1813">
        <v>0.15268304708686006</v>
      </c>
      <c r="S29" s="1812"/>
      <c r="T29" s="1809">
        <v>1068</v>
      </c>
      <c r="U29" s="1809">
        <v>979</v>
      </c>
      <c r="V29" s="1809">
        <v>1066</v>
      </c>
      <c r="W29" s="1809">
        <v>1169</v>
      </c>
      <c r="X29" s="1809">
        <v>1059</v>
      </c>
      <c r="Y29" s="1809">
        <v>1114</v>
      </c>
      <c r="Z29" s="1809">
        <v>1025</v>
      </c>
      <c r="AA29" s="1809">
        <v>1194</v>
      </c>
      <c r="AB29" s="1809">
        <v>1230</v>
      </c>
      <c r="AC29" s="1809">
        <v>1639</v>
      </c>
      <c r="AD29" s="1809">
        <v>1746</v>
      </c>
      <c r="AE29" s="1809">
        <v>1926</v>
      </c>
      <c r="AF29" s="1634">
        <v>1830</v>
      </c>
      <c r="AG29" s="1634">
        <v>1815</v>
      </c>
      <c r="AH29" s="1635">
        <v>1858</v>
      </c>
    </row>
    <row r="30" spans="1:34" x14ac:dyDescent="0.25">
      <c r="A30" s="404" t="s">
        <v>64</v>
      </c>
      <c r="B30" s="405" t="s">
        <v>470</v>
      </c>
      <c r="C30" s="412" t="s">
        <v>266</v>
      </c>
      <c r="D30" s="409">
        <v>0.19899999999999995</v>
      </c>
      <c r="E30" s="410">
        <v>0.18500000000000003</v>
      </c>
      <c r="F30" s="410">
        <v>0.20199999999999999</v>
      </c>
      <c r="G30" s="410">
        <v>0.222</v>
      </c>
      <c r="H30" s="410">
        <v>0.19800000000000001</v>
      </c>
      <c r="I30" s="410">
        <v>0.24600000000000002</v>
      </c>
      <c r="J30" s="410">
        <v>0.22399999999999998</v>
      </c>
      <c r="K30" s="410">
        <v>0.217</v>
      </c>
      <c r="L30" s="410">
        <v>0.22899999999999995</v>
      </c>
      <c r="M30" s="410">
        <v>0.24899999999999997</v>
      </c>
      <c r="N30" s="411">
        <v>0.26</v>
      </c>
      <c r="O30" s="411">
        <v>0.27100000000000002</v>
      </c>
      <c r="P30" s="411">
        <v>0.25800000000000001</v>
      </c>
      <c r="Q30" s="1812">
        <v>0.27826941986234022</v>
      </c>
      <c r="R30" s="1813">
        <v>0.29348358647721706</v>
      </c>
      <c r="S30" s="1812"/>
      <c r="T30" s="1809">
        <v>422</v>
      </c>
      <c r="U30" s="1809">
        <v>395</v>
      </c>
      <c r="V30" s="1809">
        <v>445</v>
      </c>
      <c r="W30" s="1809">
        <v>479</v>
      </c>
      <c r="X30" s="1809">
        <v>434</v>
      </c>
      <c r="Y30" s="1809">
        <v>532</v>
      </c>
      <c r="Z30" s="1809">
        <v>466</v>
      </c>
      <c r="AA30" s="1809">
        <v>473</v>
      </c>
      <c r="AB30" s="1809">
        <v>493</v>
      </c>
      <c r="AC30" s="1809">
        <v>529</v>
      </c>
      <c r="AD30" s="1809">
        <v>588</v>
      </c>
      <c r="AE30" s="1809">
        <v>598</v>
      </c>
      <c r="AF30" s="1634">
        <v>550</v>
      </c>
      <c r="AG30" s="1634">
        <v>566</v>
      </c>
      <c r="AH30" s="1635">
        <v>599</v>
      </c>
    </row>
    <row r="31" spans="1:34" x14ac:dyDescent="0.25">
      <c r="A31" s="404" t="s">
        <v>68</v>
      </c>
      <c r="B31" s="405" t="s">
        <v>471</v>
      </c>
      <c r="C31" s="412" t="s">
        <v>268</v>
      </c>
      <c r="D31" s="409">
        <v>0.26</v>
      </c>
      <c r="E31" s="410">
        <v>0.22699999999999998</v>
      </c>
      <c r="F31" s="410">
        <v>0.246</v>
      </c>
      <c r="G31" s="410">
        <v>0.27300000000000002</v>
      </c>
      <c r="H31" s="410">
        <v>0.24199999999999997</v>
      </c>
      <c r="I31" s="410">
        <v>0.3</v>
      </c>
      <c r="J31" s="410">
        <v>0.25600000000000001</v>
      </c>
      <c r="K31" s="410">
        <v>0.27899999999999997</v>
      </c>
      <c r="L31" s="410">
        <v>0.28999999999999998</v>
      </c>
      <c r="M31" s="410">
        <v>0.27</v>
      </c>
      <c r="N31" s="411">
        <v>0.26600000000000001</v>
      </c>
      <c r="O31" s="411">
        <v>0.26899999999999996</v>
      </c>
      <c r="P31" s="411">
        <v>0.26900000000000002</v>
      </c>
      <c r="Q31" s="1812">
        <v>0.27476340694006307</v>
      </c>
      <c r="R31" s="1813">
        <v>0.27092016672010261</v>
      </c>
      <c r="S31" s="1812"/>
      <c r="T31" s="1809">
        <v>889</v>
      </c>
      <c r="U31" s="1809">
        <v>759</v>
      </c>
      <c r="V31" s="1809">
        <v>816</v>
      </c>
      <c r="W31" s="1809">
        <v>903</v>
      </c>
      <c r="X31" s="1809">
        <v>803</v>
      </c>
      <c r="Y31" s="1809">
        <v>982</v>
      </c>
      <c r="Z31" s="1809">
        <v>808</v>
      </c>
      <c r="AA31" s="1809">
        <v>866</v>
      </c>
      <c r="AB31" s="1809">
        <v>901</v>
      </c>
      <c r="AC31" s="1809">
        <v>874</v>
      </c>
      <c r="AD31" s="1809">
        <v>874</v>
      </c>
      <c r="AE31" s="1809">
        <v>859</v>
      </c>
      <c r="AF31" s="1634">
        <v>860</v>
      </c>
      <c r="AG31" s="1634">
        <v>871</v>
      </c>
      <c r="AH31" s="1635">
        <v>845</v>
      </c>
    </row>
    <row r="32" spans="1:34" x14ac:dyDescent="0.25">
      <c r="A32" s="404" t="s">
        <v>70</v>
      </c>
      <c r="B32" s="405" t="s">
        <v>472</v>
      </c>
      <c r="C32" s="412" t="s">
        <v>264</v>
      </c>
      <c r="D32" s="409">
        <v>0.129</v>
      </c>
      <c r="E32" s="410">
        <v>0.11199999999999999</v>
      </c>
      <c r="F32" s="410">
        <v>0.127</v>
      </c>
      <c r="G32" s="410">
        <v>0.151</v>
      </c>
      <c r="H32" s="410">
        <v>0.13499999999999998</v>
      </c>
      <c r="I32" s="410">
        <v>0.13900000000000001</v>
      </c>
      <c r="J32" s="410">
        <v>0.152</v>
      </c>
      <c r="K32" s="410">
        <v>0.14199999999999999</v>
      </c>
      <c r="L32" s="410">
        <v>0.14900000000000002</v>
      </c>
      <c r="M32" s="410">
        <v>0.151</v>
      </c>
      <c r="N32" s="411">
        <v>0.16600000000000001</v>
      </c>
      <c r="O32" s="411">
        <v>0.18899999999999997</v>
      </c>
      <c r="P32" s="411">
        <v>0.17199999999999999</v>
      </c>
      <c r="Q32" s="1812">
        <v>0.20202378838984555</v>
      </c>
      <c r="R32" s="1813">
        <v>0.17710389377355104</v>
      </c>
      <c r="S32" s="1812"/>
      <c r="T32" s="1809">
        <v>739</v>
      </c>
      <c r="U32" s="1809">
        <v>635</v>
      </c>
      <c r="V32" s="1809">
        <v>727</v>
      </c>
      <c r="W32" s="1809">
        <v>863</v>
      </c>
      <c r="X32" s="1809">
        <v>763</v>
      </c>
      <c r="Y32" s="1809">
        <v>779</v>
      </c>
      <c r="Z32" s="1809">
        <v>847</v>
      </c>
      <c r="AA32" s="1809">
        <v>805</v>
      </c>
      <c r="AB32" s="1809">
        <v>842</v>
      </c>
      <c r="AC32" s="1809">
        <v>871</v>
      </c>
      <c r="AD32" s="1809">
        <v>1043</v>
      </c>
      <c r="AE32" s="1809">
        <v>1141</v>
      </c>
      <c r="AF32" s="1634">
        <v>991</v>
      </c>
      <c r="AG32" s="1634">
        <v>1138</v>
      </c>
      <c r="AH32" s="1635">
        <v>987</v>
      </c>
    </row>
    <row r="33" spans="1:34" x14ac:dyDescent="0.25">
      <c r="A33" s="404" t="s">
        <v>72</v>
      </c>
      <c r="B33" s="405" t="s">
        <v>473</v>
      </c>
      <c r="C33" s="412" t="s">
        <v>266</v>
      </c>
      <c r="D33" s="409">
        <v>0.18300000000000002</v>
      </c>
      <c r="E33" s="410">
        <v>0.153</v>
      </c>
      <c r="F33" s="410">
        <v>0.188</v>
      </c>
      <c r="G33" s="410">
        <v>0.20599999999999999</v>
      </c>
      <c r="H33" s="410">
        <v>0.17799999999999999</v>
      </c>
      <c r="I33" s="410">
        <v>0.20799999999999999</v>
      </c>
      <c r="J33" s="410">
        <v>0.19299999999999998</v>
      </c>
      <c r="K33" s="410">
        <v>0.18500000000000003</v>
      </c>
      <c r="L33" s="410">
        <v>0.20499999999999999</v>
      </c>
      <c r="M33" s="410">
        <v>0.217</v>
      </c>
      <c r="N33" s="411">
        <v>0.23600000000000002</v>
      </c>
      <c r="O33" s="411">
        <v>0.247</v>
      </c>
      <c r="P33" s="411">
        <v>0.26</v>
      </c>
      <c r="Q33" s="1812">
        <v>0.26057906458797325</v>
      </c>
      <c r="R33" s="1813">
        <v>0.24559777571825764</v>
      </c>
      <c r="S33" s="1812"/>
      <c r="T33" s="1809">
        <v>412</v>
      </c>
      <c r="U33" s="1809">
        <v>344</v>
      </c>
      <c r="V33" s="1809">
        <v>429</v>
      </c>
      <c r="W33" s="1809">
        <v>475</v>
      </c>
      <c r="X33" s="1809">
        <v>401</v>
      </c>
      <c r="Y33" s="1809">
        <v>463</v>
      </c>
      <c r="Z33" s="1809">
        <v>431</v>
      </c>
      <c r="AA33" s="1809">
        <v>430</v>
      </c>
      <c r="AB33" s="1809">
        <v>472</v>
      </c>
      <c r="AC33" s="1809">
        <v>511</v>
      </c>
      <c r="AD33" s="1809">
        <v>562</v>
      </c>
      <c r="AE33" s="1809">
        <v>581</v>
      </c>
      <c r="AF33" s="1634">
        <v>608</v>
      </c>
      <c r="AG33" s="1634">
        <v>585</v>
      </c>
      <c r="AH33" s="1635">
        <v>530</v>
      </c>
    </row>
    <row r="34" spans="1:34" x14ac:dyDescent="0.25">
      <c r="A34" s="404" t="s">
        <v>74</v>
      </c>
      <c r="B34" s="405" t="s">
        <v>609</v>
      </c>
      <c r="C34" s="412" t="s">
        <v>267</v>
      </c>
      <c r="D34" s="409">
        <v>5.6980692580757518E-2</v>
      </c>
      <c r="E34" s="410">
        <v>5.4791857402856935E-2</v>
      </c>
      <c r="F34" s="410">
        <v>6.0754586948858096E-2</v>
      </c>
      <c r="G34" s="410">
        <v>6.8447406952050621E-2</v>
      </c>
      <c r="H34" s="410">
        <v>6.3557765840483643E-2</v>
      </c>
      <c r="I34" s="410">
        <v>6.3590983205997847E-2</v>
      </c>
      <c r="J34" s="410">
        <v>5.775728967223534E-2</v>
      </c>
      <c r="K34" s="410">
        <v>6.1628252698446059E-2</v>
      </c>
      <c r="L34" s="410">
        <v>6.3773625796764905E-2</v>
      </c>
      <c r="M34" s="410">
        <v>6.8738335644825926E-2</v>
      </c>
      <c r="N34" s="411">
        <v>7.2617408043070833E-2</v>
      </c>
      <c r="O34" s="411">
        <v>8.9207187298385601E-2</v>
      </c>
      <c r="P34" s="411">
        <v>7.8E-2</v>
      </c>
      <c r="Q34" s="1812">
        <v>7.6301450489454428E-2</v>
      </c>
      <c r="R34" s="1813">
        <v>8.5946163927815303E-2</v>
      </c>
      <c r="S34" s="1812"/>
      <c r="T34" s="1809">
        <v>14781</v>
      </c>
      <c r="U34" s="1809">
        <v>14104</v>
      </c>
      <c r="V34" s="1809">
        <v>15917</v>
      </c>
      <c r="W34" s="1809">
        <v>18019</v>
      </c>
      <c r="X34" s="1809">
        <v>16697</v>
      </c>
      <c r="Y34" s="1809">
        <v>16645</v>
      </c>
      <c r="Z34" s="1809">
        <v>14925</v>
      </c>
      <c r="AA34" s="1809">
        <v>15368</v>
      </c>
      <c r="AB34" s="1809">
        <v>16089</v>
      </c>
      <c r="AC34" s="1809">
        <v>17979</v>
      </c>
      <c r="AD34" s="1809">
        <v>19599</v>
      </c>
      <c r="AE34" s="1809">
        <v>24059</v>
      </c>
      <c r="AF34" s="1634">
        <v>21279</v>
      </c>
      <c r="AG34" s="1634">
        <v>21131</v>
      </c>
      <c r="AH34" s="1635">
        <v>23870</v>
      </c>
    </row>
    <row r="35" spans="1:34" x14ac:dyDescent="0.25">
      <c r="A35" s="404" t="s">
        <v>76</v>
      </c>
      <c r="B35" s="405" t="s">
        <v>474</v>
      </c>
      <c r="C35" s="412" t="s">
        <v>267</v>
      </c>
      <c r="D35" s="409">
        <v>6.5000000000000002E-2</v>
      </c>
      <c r="E35" s="410">
        <v>5.4000000000000006E-2</v>
      </c>
      <c r="F35" s="410">
        <v>6.0999999999999999E-2</v>
      </c>
      <c r="G35" s="410">
        <v>6.9999999999999993E-2</v>
      </c>
      <c r="H35" s="410">
        <v>6.4000000000000001E-2</v>
      </c>
      <c r="I35" s="410">
        <v>0.06</v>
      </c>
      <c r="J35" s="410">
        <v>5.9000000000000004E-2</v>
      </c>
      <c r="K35" s="410">
        <v>0.06</v>
      </c>
      <c r="L35" s="410">
        <v>7.2999999999999995E-2</v>
      </c>
      <c r="M35" s="410">
        <v>0.08</v>
      </c>
      <c r="N35" s="411">
        <v>9.0999999999999998E-2</v>
      </c>
      <c r="O35" s="411">
        <v>8.8000000000000009E-2</v>
      </c>
      <c r="P35" s="411">
        <v>8.5999999999999993E-2</v>
      </c>
      <c r="Q35" s="1812">
        <v>8.8117573483427136E-2</v>
      </c>
      <c r="R35" s="1813">
        <v>9.4386487829110785E-2</v>
      </c>
      <c r="S35" s="1812"/>
      <c r="T35" s="1809">
        <v>975</v>
      </c>
      <c r="U35" s="1809">
        <v>814</v>
      </c>
      <c r="V35" s="1809">
        <v>945</v>
      </c>
      <c r="W35" s="1809">
        <v>1101</v>
      </c>
      <c r="X35" s="1809">
        <v>1017</v>
      </c>
      <c r="Y35" s="1809">
        <v>948</v>
      </c>
      <c r="Z35" s="1809">
        <v>917</v>
      </c>
      <c r="AA35" s="1809">
        <v>966</v>
      </c>
      <c r="AB35" s="1809">
        <v>1162</v>
      </c>
      <c r="AC35" s="1809">
        <v>1350</v>
      </c>
      <c r="AD35" s="1809">
        <v>1480</v>
      </c>
      <c r="AE35" s="1809">
        <v>1421</v>
      </c>
      <c r="AF35" s="1634">
        <v>1364</v>
      </c>
      <c r="AG35" s="1634">
        <v>1409</v>
      </c>
      <c r="AH35" s="1635">
        <v>1520</v>
      </c>
    </row>
    <row r="36" spans="1:34" x14ac:dyDescent="0.25">
      <c r="A36" s="404" t="s">
        <v>78</v>
      </c>
      <c r="B36" s="405" t="s">
        <v>475</v>
      </c>
      <c r="C36" s="412" t="s">
        <v>268</v>
      </c>
      <c r="D36" s="409">
        <v>0.14499999999999999</v>
      </c>
      <c r="E36" s="410">
        <v>0.13</v>
      </c>
      <c r="F36" s="410">
        <v>0.14800000000000002</v>
      </c>
      <c r="G36" s="410">
        <v>0.16</v>
      </c>
      <c r="H36" s="410">
        <v>0.14199999999999999</v>
      </c>
      <c r="I36" s="410">
        <v>0.16</v>
      </c>
      <c r="J36" s="410">
        <v>0.187</v>
      </c>
      <c r="K36" s="410">
        <v>0.16</v>
      </c>
      <c r="L36" s="410">
        <v>0.16699999999999998</v>
      </c>
      <c r="M36" s="410">
        <v>0.192</v>
      </c>
      <c r="N36" s="411">
        <v>0.19600000000000001</v>
      </c>
      <c r="O36" s="411">
        <v>0.20899999999999999</v>
      </c>
      <c r="P36" s="411">
        <v>0.20100000000000001</v>
      </c>
      <c r="Q36" s="1812">
        <v>0.21148989898989898</v>
      </c>
      <c r="R36" s="1813">
        <v>0.19955513187162377</v>
      </c>
      <c r="S36" s="1812"/>
      <c r="T36" s="1809">
        <v>442</v>
      </c>
      <c r="U36" s="1809">
        <v>397</v>
      </c>
      <c r="V36" s="1809">
        <v>451</v>
      </c>
      <c r="W36" s="1809">
        <v>493</v>
      </c>
      <c r="X36" s="1809">
        <v>443</v>
      </c>
      <c r="Y36" s="1809">
        <v>492</v>
      </c>
      <c r="Z36" s="1809">
        <v>568</v>
      </c>
      <c r="AA36" s="1809">
        <v>487</v>
      </c>
      <c r="AB36" s="1809">
        <v>511</v>
      </c>
      <c r="AC36" s="1809">
        <v>591</v>
      </c>
      <c r="AD36" s="1809">
        <v>650</v>
      </c>
      <c r="AE36" s="1809">
        <v>682</v>
      </c>
      <c r="AF36" s="1634">
        <v>643</v>
      </c>
      <c r="AG36" s="1634">
        <v>670</v>
      </c>
      <c r="AH36" s="1635">
        <v>628</v>
      </c>
    </row>
    <row r="37" spans="1:34" x14ac:dyDescent="0.25">
      <c r="A37" s="404" t="s">
        <v>80</v>
      </c>
      <c r="B37" s="405" t="s">
        <v>476</v>
      </c>
      <c r="C37" s="412" t="s">
        <v>266</v>
      </c>
      <c r="D37" s="409">
        <v>0.09</v>
      </c>
      <c r="E37" s="410">
        <v>7.0000000000000007E-2</v>
      </c>
      <c r="F37" s="410">
        <v>7.8E-2</v>
      </c>
      <c r="G37" s="410">
        <v>8.4000000000000005E-2</v>
      </c>
      <c r="H37" s="410">
        <v>7.4999999999999997E-2</v>
      </c>
      <c r="I37" s="410">
        <v>0.109</v>
      </c>
      <c r="J37" s="410">
        <v>7.6999999999999999E-2</v>
      </c>
      <c r="K37" s="410">
        <v>7.9000000000000001E-2</v>
      </c>
      <c r="L37" s="410">
        <v>8.3000000000000004E-2</v>
      </c>
      <c r="M37" s="410">
        <v>9.0999999999999998E-2</v>
      </c>
      <c r="N37" s="411">
        <v>9.1999999999999985E-2</v>
      </c>
      <c r="O37" s="411">
        <v>0.10199999999999999</v>
      </c>
      <c r="P37" s="411">
        <v>0.108</v>
      </c>
      <c r="Q37" s="1812">
        <v>0.10471392587261605</v>
      </c>
      <c r="R37" s="1813">
        <v>0.10674465362822153</v>
      </c>
      <c r="S37" s="1812"/>
      <c r="T37" s="1809">
        <v>438</v>
      </c>
      <c r="U37" s="1809">
        <v>356</v>
      </c>
      <c r="V37" s="1809">
        <v>412</v>
      </c>
      <c r="W37" s="1809">
        <v>465</v>
      </c>
      <c r="X37" s="1809">
        <v>427</v>
      </c>
      <c r="Y37" s="1809">
        <v>615</v>
      </c>
      <c r="Z37" s="1809">
        <v>435</v>
      </c>
      <c r="AA37" s="1809">
        <v>468</v>
      </c>
      <c r="AB37" s="1809">
        <v>491</v>
      </c>
      <c r="AC37" s="1809">
        <v>525</v>
      </c>
      <c r="AD37" s="1809">
        <v>540</v>
      </c>
      <c r="AE37" s="1809">
        <v>589</v>
      </c>
      <c r="AF37" s="1634">
        <v>614</v>
      </c>
      <c r="AG37" s="1634">
        <v>582</v>
      </c>
      <c r="AH37" s="1635">
        <v>584</v>
      </c>
    </row>
    <row r="38" spans="1:34" x14ac:dyDescent="0.25">
      <c r="A38" s="404" t="s">
        <v>84</v>
      </c>
      <c r="B38" s="405" t="s">
        <v>85</v>
      </c>
      <c r="C38" s="412" t="s">
        <v>265</v>
      </c>
      <c r="D38" s="409">
        <v>0.14800000000000002</v>
      </c>
      <c r="E38" s="410">
        <v>0.14300000000000002</v>
      </c>
      <c r="F38" s="410">
        <v>0.16999999999999998</v>
      </c>
      <c r="G38" s="410">
        <v>0.18</v>
      </c>
      <c r="H38" s="410">
        <v>0.154</v>
      </c>
      <c r="I38" s="410">
        <v>0.161</v>
      </c>
      <c r="J38" s="410">
        <v>0.159</v>
      </c>
      <c r="K38" s="410">
        <v>0.17300000000000001</v>
      </c>
      <c r="L38" s="410">
        <v>0.18699999999999997</v>
      </c>
      <c r="M38" s="410">
        <v>0.21699999999999997</v>
      </c>
      <c r="N38" s="411">
        <v>0.21600000000000003</v>
      </c>
      <c r="O38" s="411">
        <v>0.217</v>
      </c>
      <c r="P38" s="411">
        <v>0.21</v>
      </c>
      <c r="Q38" s="1812">
        <v>0.22638749199963426</v>
      </c>
      <c r="R38" s="1813">
        <v>0.23911452616172704</v>
      </c>
      <c r="S38" s="1812"/>
      <c r="T38" s="1809">
        <v>1545</v>
      </c>
      <c r="U38" s="1809">
        <v>1497</v>
      </c>
      <c r="V38" s="1809">
        <v>1809</v>
      </c>
      <c r="W38" s="1809">
        <v>1906</v>
      </c>
      <c r="X38" s="1809">
        <v>1633</v>
      </c>
      <c r="Y38" s="1809">
        <v>1690</v>
      </c>
      <c r="Z38" s="1809">
        <v>1647</v>
      </c>
      <c r="AA38" s="1809">
        <v>1818</v>
      </c>
      <c r="AB38" s="1809">
        <v>1945</v>
      </c>
      <c r="AC38" s="1809">
        <v>2267</v>
      </c>
      <c r="AD38" s="1809">
        <v>2478</v>
      </c>
      <c r="AE38" s="1809">
        <v>2460</v>
      </c>
      <c r="AF38" s="1634">
        <v>2332</v>
      </c>
      <c r="AG38" s="1634">
        <v>2476</v>
      </c>
      <c r="AH38" s="1635">
        <v>2614</v>
      </c>
    </row>
    <row r="39" spans="1:34" x14ac:dyDescent="0.25">
      <c r="A39" s="404" t="s">
        <v>86</v>
      </c>
      <c r="B39" s="405" t="s">
        <v>477</v>
      </c>
      <c r="C39" s="412" t="s">
        <v>267</v>
      </c>
      <c r="D39" s="409">
        <v>8.4000000000000005E-2</v>
      </c>
      <c r="E39" s="410">
        <v>7.4999999999999997E-2</v>
      </c>
      <c r="F39" s="410">
        <v>8.1000000000000003E-2</v>
      </c>
      <c r="G39" s="410">
        <v>9.1999999999999998E-2</v>
      </c>
      <c r="H39" s="410">
        <v>0.08</v>
      </c>
      <c r="I39" s="410">
        <v>7.9000000000000015E-2</v>
      </c>
      <c r="J39" s="410">
        <v>8.3000000000000004E-2</v>
      </c>
      <c r="K39" s="410">
        <v>8.8000000000000009E-2</v>
      </c>
      <c r="L39" s="410">
        <v>9.8000000000000004E-2</v>
      </c>
      <c r="M39" s="410">
        <v>0.11800000000000001</v>
      </c>
      <c r="N39" s="411">
        <v>0.10999999999999999</v>
      </c>
      <c r="O39" s="411">
        <v>0.124</v>
      </c>
      <c r="P39" s="411">
        <v>0.12</v>
      </c>
      <c r="Q39" s="1812">
        <v>0.11627662371811727</v>
      </c>
      <c r="R39" s="1813">
        <v>0.11542899097965177</v>
      </c>
      <c r="S39" s="1812"/>
      <c r="T39" s="1809">
        <v>1306</v>
      </c>
      <c r="U39" s="1809">
        <v>1168</v>
      </c>
      <c r="V39" s="1809">
        <v>1295</v>
      </c>
      <c r="W39" s="1809">
        <v>1490</v>
      </c>
      <c r="X39" s="1809">
        <v>1347</v>
      </c>
      <c r="Y39" s="1809">
        <v>1314</v>
      </c>
      <c r="Z39" s="1809">
        <v>1385</v>
      </c>
      <c r="AA39" s="1809">
        <v>1559</v>
      </c>
      <c r="AB39" s="1809">
        <v>1733</v>
      </c>
      <c r="AC39" s="1809">
        <v>2218</v>
      </c>
      <c r="AD39" s="1809">
        <v>2140</v>
      </c>
      <c r="AE39" s="1809">
        <v>2396</v>
      </c>
      <c r="AF39" s="1634">
        <v>2303</v>
      </c>
      <c r="AG39" s="1634">
        <v>2211</v>
      </c>
      <c r="AH39" s="1635">
        <v>2201</v>
      </c>
    </row>
    <row r="40" spans="1:34" x14ac:dyDescent="0.25">
      <c r="A40" s="404" t="s">
        <v>92</v>
      </c>
      <c r="B40" s="405" t="s">
        <v>478</v>
      </c>
      <c r="C40" s="412" t="s">
        <v>268</v>
      </c>
      <c r="D40" s="409">
        <v>0.13300000000000001</v>
      </c>
      <c r="E40" s="410">
        <v>0.125</v>
      </c>
      <c r="F40" s="410">
        <v>0.14799999999999999</v>
      </c>
      <c r="G40" s="410">
        <v>0.16499999999999998</v>
      </c>
      <c r="H40" s="410">
        <v>0.14000000000000001</v>
      </c>
      <c r="I40" s="410">
        <v>0.16300000000000001</v>
      </c>
      <c r="J40" s="410">
        <v>0.153</v>
      </c>
      <c r="K40" s="410">
        <v>0.14400000000000002</v>
      </c>
      <c r="L40" s="410">
        <v>0.16699999999999998</v>
      </c>
      <c r="M40" s="410">
        <v>0.18300000000000002</v>
      </c>
      <c r="N40" s="411">
        <v>0.18899999999999997</v>
      </c>
      <c r="O40" s="411">
        <v>0.191</v>
      </c>
      <c r="P40" s="411">
        <v>0.17699999999999999</v>
      </c>
      <c r="Q40" s="1812">
        <v>0.17842799770510614</v>
      </c>
      <c r="R40" s="1813">
        <v>0.18221574344023322</v>
      </c>
      <c r="S40" s="1812"/>
      <c r="T40" s="1809">
        <v>492</v>
      </c>
      <c r="U40" s="1809">
        <v>455</v>
      </c>
      <c r="V40" s="1809">
        <v>550</v>
      </c>
      <c r="W40" s="1809">
        <v>615</v>
      </c>
      <c r="X40" s="1809">
        <v>525</v>
      </c>
      <c r="Y40" s="1809">
        <v>600</v>
      </c>
      <c r="Z40" s="1809">
        <v>561</v>
      </c>
      <c r="AA40" s="1809">
        <v>524</v>
      </c>
      <c r="AB40" s="1809">
        <v>597</v>
      </c>
      <c r="AC40" s="1809">
        <v>675</v>
      </c>
      <c r="AD40" s="1809">
        <v>696</v>
      </c>
      <c r="AE40" s="1809">
        <v>677</v>
      </c>
      <c r="AF40" s="1634">
        <v>613</v>
      </c>
      <c r="AG40" s="1634">
        <v>622</v>
      </c>
      <c r="AH40" s="1635">
        <v>625</v>
      </c>
    </row>
    <row r="41" spans="1:34" x14ac:dyDescent="0.25">
      <c r="A41" s="404" t="s">
        <v>94</v>
      </c>
      <c r="B41" s="405" t="s">
        <v>479</v>
      </c>
      <c r="C41" s="412" t="s">
        <v>264</v>
      </c>
      <c r="D41" s="409">
        <v>0.11900000000000001</v>
      </c>
      <c r="E41" s="410">
        <v>0.10400000000000001</v>
      </c>
      <c r="F41" s="410">
        <v>0.11899999999999999</v>
      </c>
      <c r="G41" s="410">
        <v>0.129</v>
      </c>
      <c r="H41" s="410">
        <v>0.11700000000000001</v>
      </c>
      <c r="I41" s="410">
        <v>0.126</v>
      </c>
      <c r="J41" s="410">
        <v>0.125</v>
      </c>
      <c r="K41" s="410">
        <v>0.12000000000000001</v>
      </c>
      <c r="L41" s="410">
        <v>0.13300000000000001</v>
      </c>
      <c r="M41" s="410">
        <v>0.13499999999999998</v>
      </c>
      <c r="N41" s="411">
        <v>0.14099999999999999</v>
      </c>
      <c r="O41" s="411">
        <v>0.151</v>
      </c>
      <c r="P41" s="411">
        <v>0.151</v>
      </c>
      <c r="Q41" s="1812">
        <v>0.16014570966001079</v>
      </c>
      <c r="R41" s="1813">
        <v>0.15231345279486494</v>
      </c>
      <c r="S41" s="1812"/>
      <c r="T41" s="1809">
        <v>1069</v>
      </c>
      <c r="U41" s="1809">
        <v>919</v>
      </c>
      <c r="V41" s="1809">
        <v>1073</v>
      </c>
      <c r="W41" s="1809">
        <v>1136</v>
      </c>
      <c r="X41" s="1809">
        <v>1032</v>
      </c>
      <c r="Y41" s="1809">
        <v>1093</v>
      </c>
      <c r="Z41" s="1809">
        <v>1066</v>
      </c>
      <c r="AA41" s="1809">
        <v>1028</v>
      </c>
      <c r="AB41" s="1809">
        <v>1118</v>
      </c>
      <c r="AC41" s="1809">
        <v>1156</v>
      </c>
      <c r="AD41" s="1809">
        <v>1134</v>
      </c>
      <c r="AE41" s="1809">
        <v>1175</v>
      </c>
      <c r="AF41" s="1634">
        <v>1154</v>
      </c>
      <c r="AG41" s="1634">
        <v>1187</v>
      </c>
      <c r="AH41" s="1635">
        <v>1139</v>
      </c>
    </row>
    <row r="42" spans="1:34" x14ac:dyDescent="0.25">
      <c r="A42" s="404" t="s">
        <v>96</v>
      </c>
      <c r="B42" s="405" t="s">
        <v>480</v>
      </c>
      <c r="C42" s="412" t="s">
        <v>266</v>
      </c>
      <c r="D42" s="409">
        <v>8.6999999999999994E-2</v>
      </c>
      <c r="E42" s="410">
        <v>6.8000000000000005E-2</v>
      </c>
      <c r="F42" s="410">
        <v>7.8E-2</v>
      </c>
      <c r="G42" s="410">
        <v>9.0999999999999998E-2</v>
      </c>
      <c r="H42" s="410">
        <v>0.08</v>
      </c>
      <c r="I42" s="410">
        <v>7.9000000000000001E-2</v>
      </c>
      <c r="J42" s="410">
        <v>7.4999999999999997E-2</v>
      </c>
      <c r="K42" s="410">
        <v>6.9999999999999993E-2</v>
      </c>
      <c r="L42" s="410">
        <v>7.4999999999999997E-2</v>
      </c>
      <c r="M42" s="410">
        <v>8.8000000000000009E-2</v>
      </c>
      <c r="N42" s="411">
        <v>9.8000000000000004E-2</v>
      </c>
      <c r="O42" s="411">
        <v>0.10400000000000001</v>
      </c>
      <c r="P42" s="411">
        <v>9.2999999999999999E-2</v>
      </c>
      <c r="Q42" s="1812">
        <v>9.4548133595284869E-2</v>
      </c>
      <c r="R42" s="1813">
        <v>0.10357403355215171</v>
      </c>
      <c r="S42" s="1812"/>
      <c r="T42" s="1809">
        <v>304</v>
      </c>
      <c r="U42" s="1809">
        <v>243</v>
      </c>
      <c r="V42" s="1809">
        <v>293</v>
      </c>
      <c r="W42" s="1809">
        <v>349</v>
      </c>
      <c r="X42" s="1809">
        <v>309</v>
      </c>
      <c r="Y42" s="1809">
        <v>301</v>
      </c>
      <c r="Z42" s="1809">
        <v>291</v>
      </c>
      <c r="AA42" s="1809">
        <v>292</v>
      </c>
      <c r="AB42" s="1809">
        <v>314</v>
      </c>
      <c r="AC42" s="1809">
        <v>361</v>
      </c>
      <c r="AD42" s="1809">
        <v>423</v>
      </c>
      <c r="AE42" s="1809">
        <v>437</v>
      </c>
      <c r="AF42" s="1634">
        <v>382</v>
      </c>
      <c r="AG42" s="1634">
        <v>385</v>
      </c>
      <c r="AH42" s="1635">
        <v>426</v>
      </c>
    </row>
    <row r="43" spans="1:34" x14ac:dyDescent="0.25">
      <c r="A43" s="404" t="s">
        <v>98</v>
      </c>
      <c r="B43" s="405" t="s">
        <v>481</v>
      </c>
      <c r="C43" s="412" t="s">
        <v>268</v>
      </c>
      <c r="D43" s="409">
        <v>0.19900000000000001</v>
      </c>
      <c r="E43" s="410">
        <v>0.19</v>
      </c>
      <c r="F43" s="410">
        <v>0.217</v>
      </c>
      <c r="G43" s="410">
        <v>0.24100000000000002</v>
      </c>
      <c r="H43" s="410">
        <v>0.20699999999999999</v>
      </c>
      <c r="I43" s="410">
        <v>0.255</v>
      </c>
      <c r="J43" s="410">
        <v>0.23299999999999998</v>
      </c>
      <c r="K43" s="410">
        <v>0.23199999999999998</v>
      </c>
      <c r="L43" s="410">
        <v>0.25700000000000001</v>
      </c>
      <c r="M43" s="410">
        <v>0.25600000000000001</v>
      </c>
      <c r="N43" s="411">
        <v>0.27400000000000002</v>
      </c>
      <c r="O43" s="411">
        <v>0.28999999999999998</v>
      </c>
      <c r="P43" s="411">
        <v>0.27</v>
      </c>
      <c r="Q43" s="1812">
        <v>0.29069767441860467</v>
      </c>
      <c r="R43" s="1813">
        <v>0.29037092544023979</v>
      </c>
      <c r="S43" s="1812"/>
      <c r="T43" s="1809">
        <v>672</v>
      </c>
      <c r="U43" s="1809">
        <v>629</v>
      </c>
      <c r="V43" s="1809">
        <v>718</v>
      </c>
      <c r="W43" s="1809">
        <v>794</v>
      </c>
      <c r="X43" s="1809">
        <v>668</v>
      </c>
      <c r="Y43" s="1809">
        <v>812</v>
      </c>
      <c r="Z43" s="1809">
        <v>716</v>
      </c>
      <c r="AA43" s="1809">
        <v>694</v>
      </c>
      <c r="AB43" s="1809">
        <v>752</v>
      </c>
      <c r="AC43" s="1809">
        <v>739</v>
      </c>
      <c r="AD43" s="1809">
        <v>796</v>
      </c>
      <c r="AE43" s="1809">
        <v>816</v>
      </c>
      <c r="AF43" s="1634">
        <v>735</v>
      </c>
      <c r="AG43" s="1634">
        <v>775</v>
      </c>
      <c r="AH43" s="1635">
        <v>775</v>
      </c>
    </row>
    <row r="44" spans="1:34" x14ac:dyDescent="0.25">
      <c r="A44" s="404" t="s">
        <v>100</v>
      </c>
      <c r="B44" s="405" t="s">
        <v>482</v>
      </c>
      <c r="C44" s="412" t="s">
        <v>267</v>
      </c>
      <c r="D44" s="409">
        <v>9.5999999999999988E-2</v>
      </c>
      <c r="E44" s="410">
        <v>8.7000000000000008E-2</v>
      </c>
      <c r="F44" s="410">
        <v>9.9000000000000005E-2</v>
      </c>
      <c r="G44" s="410">
        <v>0.10900000000000001</v>
      </c>
      <c r="H44" s="410">
        <v>0.10099999999999999</v>
      </c>
      <c r="I44" s="410">
        <v>0.11099999999999999</v>
      </c>
      <c r="J44" s="410">
        <v>0.10300000000000001</v>
      </c>
      <c r="K44" s="410">
        <v>0.10100000000000001</v>
      </c>
      <c r="L44" s="410">
        <v>0.109</v>
      </c>
      <c r="M44" s="410">
        <v>0.12099999999999998</v>
      </c>
      <c r="N44" s="411">
        <v>0.13300000000000001</v>
      </c>
      <c r="O44" s="411">
        <v>0.13900000000000001</v>
      </c>
      <c r="P44" s="411">
        <v>0.13600000000000001</v>
      </c>
      <c r="Q44" s="1812">
        <v>0.1660746003552398</v>
      </c>
      <c r="R44" s="1813">
        <v>0.13803680981595093</v>
      </c>
      <c r="S44" s="1812"/>
      <c r="T44" s="1809">
        <v>409</v>
      </c>
      <c r="U44" s="1809">
        <v>383</v>
      </c>
      <c r="V44" s="1809">
        <v>454</v>
      </c>
      <c r="W44" s="1809">
        <v>505</v>
      </c>
      <c r="X44" s="1809">
        <v>475</v>
      </c>
      <c r="Y44" s="1809">
        <v>518</v>
      </c>
      <c r="Z44" s="1809">
        <v>476</v>
      </c>
      <c r="AA44" s="1809">
        <v>473</v>
      </c>
      <c r="AB44" s="1809">
        <v>507</v>
      </c>
      <c r="AC44" s="1809">
        <v>559</v>
      </c>
      <c r="AD44" s="1809">
        <v>607</v>
      </c>
      <c r="AE44" s="1809">
        <v>639</v>
      </c>
      <c r="AF44" s="1634">
        <v>616</v>
      </c>
      <c r="AG44" s="1634">
        <v>748</v>
      </c>
      <c r="AH44" s="1635">
        <v>630</v>
      </c>
    </row>
    <row r="45" spans="1:34" x14ac:dyDescent="0.25">
      <c r="A45" s="404" t="s">
        <v>102</v>
      </c>
      <c r="B45" s="405" t="s">
        <v>752</v>
      </c>
      <c r="C45" s="412" t="s">
        <v>264</v>
      </c>
      <c r="D45" s="409">
        <v>0.20724231754161332</v>
      </c>
      <c r="E45" s="410">
        <v>0.19890120481927712</v>
      </c>
      <c r="F45" s="410">
        <v>0.20426443081771778</v>
      </c>
      <c r="G45" s="410">
        <v>0.21502171135061685</v>
      </c>
      <c r="H45" s="410">
        <v>0.19648156474820144</v>
      </c>
      <c r="I45" s="410">
        <v>0.23248045054375974</v>
      </c>
      <c r="J45" s="410">
        <v>0.23066181801881558</v>
      </c>
      <c r="K45" s="410">
        <v>0.22627145085803432</v>
      </c>
      <c r="L45" s="410">
        <v>0.25454693004130152</v>
      </c>
      <c r="M45" s="410">
        <v>0.27317842460121688</v>
      </c>
      <c r="N45" s="411">
        <v>0.28265350547965773</v>
      </c>
      <c r="O45" s="411">
        <v>0.29271916790490343</v>
      </c>
      <c r="P45" s="411">
        <v>0.29899999999999999</v>
      </c>
      <c r="Q45" s="1812">
        <v>0.33878292461398729</v>
      </c>
      <c r="R45" s="1813">
        <v>0.3291526460691343</v>
      </c>
      <c r="S45" s="1812"/>
      <c r="T45" s="1809">
        <v>705</v>
      </c>
      <c r="U45" s="1809">
        <v>670</v>
      </c>
      <c r="V45" s="1809">
        <v>695</v>
      </c>
      <c r="W45" s="1809">
        <v>731</v>
      </c>
      <c r="X45" s="1809">
        <v>660</v>
      </c>
      <c r="Y45" s="1809">
        <v>773</v>
      </c>
      <c r="Z45" s="1809">
        <v>752</v>
      </c>
      <c r="AA45" s="1809">
        <v>740</v>
      </c>
      <c r="AB45" s="1809">
        <v>830</v>
      </c>
      <c r="AC45" s="1809">
        <v>938</v>
      </c>
      <c r="AD45" s="1809">
        <v>973</v>
      </c>
      <c r="AE45" s="1809">
        <v>985</v>
      </c>
      <c r="AF45" s="1634">
        <v>992</v>
      </c>
      <c r="AG45" s="1634">
        <v>1119</v>
      </c>
      <c r="AH45" s="1635">
        <v>1076</v>
      </c>
    </row>
    <row r="46" spans="1:34" x14ac:dyDescent="0.25">
      <c r="A46" s="404" t="s">
        <v>104</v>
      </c>
      <c r="B46" s="405" t="s">
        <v>753</v>
      </c>
      <c r="C46" s="412" t="s">
        <v>265</v>
      </c>
      <c r="D46" s="409">
        <v>0.19500000000000001</v>
      </c>
      <c r="E46" s="410">
        <v>0.191</v>
      </c>
      <c r="F46" s="410">
        <v>0.22399999999999998</v>
      </c>
      <c r="G46" s="410">
        <v>0.24000000000000002</v>
      </c>
      <c r="H46" s="410">
        <v>0.21000000000000002</v>
      </c>
      <c r="I46" s="410">
        <v>0.21100000000000002</v>
      </c>
      <c r="J46" s="410">
        <v>0.24299999999999999</v>
      </c>
      <c r="K46" s="410">
        <v>0.22100000000000003</v>
      </c>
      <c r="L46" s="410">
        <v>0.23399999999999999</v>
      </c>
      <c r="M46" s="410">
        <v>0.27800000000000002</v>
      </c>
      <c r="N46" s="411">
        <v>0.28299999999999997</v>
      </c>
      <c r="O46" s="411">
        <v>0.26200000000000001</v>
      </c>
      <c r="P46" s="411">
        <v>0.28699999999999998</v>
      </c>
      <c r="Q46" s="1812">
        <v>0.28868518265152554</v>
      </c>
      <c r="R46" s="1813">
        <v>0.25322245322245324</v>
      </c>
      <c r="S46" s="1812"/>
      <c r="T46" s="1809">
        <v>1650</v>
      </c>
      <c r="U46" s="1809">
        <v>1584</v>
      </c>
      <c r="V46" s="1809">
        <v>1864</v>
      </c>
      <c r="W46" s="1809">
        <v>1972</v>
      </c>
      <c r="X46" s="1809">
        <v>1734</v>
      </c>
      <c r="Y46" s="1809">
        <v>1721</v>
      </c>
      <c r="Z46" s="1809">
        <v>1915</v>
      </c>
      <c r="AA46" s="1809">
        <v>1706</v>
      </c>
      <c r="AB46" s="1809">
        <v>1764</v>
      </c>
      <c r="AC46" s="1809">
        <v>2128</v>
      </c>
      <c r="AD46" s="1809">
        <v>2225</v>
      </c>
      <c r="AE46" s="1809">
        <v>2028</v>
      </c>
      <c r="AF46" s="1634">
        <v>2170</v>
      </c>
      <c r="AG46" s="1634">
        <v>2110</v>
      </c>
      <c r="AH46" s="1635">
        <v>1827</v>
      </c>
    </row>
    <row r="47" spans="1:34" x14ac:dyDescent="0.25">
      <c r="A47" s="404" t="s">
        <v>108</v>
      </c>
      <c r="B47" s="405" t="s">
        <v>483</v>
      </c>
      <c r="C47" s="412" t="s">
        <v>266</v>
      </c>
      <c r="D47" s="409">
        <v>4.5999999999999999E-2</v>
      </c>
      <c r="E47" s="410">
        <v>0.04</v>
      </c>
      <c r="F47" s="410">
        <v>0.05</v>
      </c>
      <c r="G47" s="410">
        <v>5.9000000000000004E-2</v>
      </c>
      <c r="H47" s="410">
        <v>5.5999999999999994E-2</v>
      </c>
      <c r="I47" s="410">
        <v>5.5000000000000007E-2</v>
      </c>
      <c r="J47" s="410">
        <v>5.0999999999999997E-2</v>
      </c>
      <c r="K47" s="410">
        <v>5.5999999999999994E-2</v>
      </c>
      <c r="L47" s="410">
        <v>5.5E-2</v>
      </c>
      <c r="M47" s="410">
        <v>6.0999999999999992E-2</v>
      </c>
      <c r="N47" s="411">
        <v>6.4000000000000001E-2</v>
      </c>
      <c r="O47" s="411">
        <v>7.2999999999999995E-2</v>
      </c>
      <c r="P47" s="411">
        <v>7.4999999999999997E-2</v>
      </c>
      <c r="Q47" s="1812">
        <v>6.7997075394606685E-2</v>
      </c>
      <c r="R47" s="1813">
        <v>7.851149850019562E-2</v>
      </c>
      <c r="S47" s="1812"/>
      <c r="T47" s="1809">
        <v>1074</v>
      </c>
      <c r="U47" s="1809">
        <v>943</v>
      </c>
      <c r="V47" s="1809">
        <v>1198</v>
      </c>
      <c r="W47" s="1809">
        <v>1391</v>
      </c>
      <c r="X47" s="1809">
        <v>1329</v>
      </c>
      <c r="Y47" s="1809">
        <v>1286</v>
      </c>
      <c r="Z47" s="1809">
        <v>1196</v>
      </c>
      <c r="AA47" s="1809">
        <v>1308</v>
      </c>
      <c r="AB47" s="1809">
        <v>1274</v>
      </c>
      <c r="AC47" s="1809">
        <v>1494</v>
      </c>
      <c r="AD47" s="1809">
        <v>1582</v>
      </c>
      <c r="AE47" s="1809">
        <v>1764</v>
      </c>
      <c r="AF47" s="1634">
        <v>1746</v>
      </c>
      <c r="AG47" s="1634">
        <v>1581</v>
      </c>
      <c r="AH47" s="1635">
        <v>1806</v>
      </c>
    </row>
    <row r="48" spans="1:34" x14ac:dyDescent="0.25">
      <c r="A48" s="404" t="s">
        <v>110</v>
      </c>
      <c r="B48" s="405" t="s">
        <v>484</v>
      </c>
      <c r="C48" s="412" t="s">
        <v>266</v>
      </c>
      <c r="D48" s="409">
        <v>8.5000000000000006E-2</v>
      </c>
      <c r="E48" s="410">
        <v>0.08</v>
      </c>
      <c r="F48" s="410">
        <v>9.0999999999999998E-2</v>
      </c>
      <c r="G48" s="410">
        <v>0.10400000000000001</v>
      </c>
      <c r="H48" s="410">
        <v>9.5999999999999988E-2</v>
      </c>
      <c r="I48" s="410">
        <v>0.10299999999999999</v>
      </c>
      <c r="J48" s="410">
        <v>0.10200000000000001</v>
      </c>
      <c r="K48" s="410">
        <v>0.11800000000000001</v>
      </c>
      <c r="L48" s="410">
        <v>0.115</v>
      </c>
      <c r="M48" s="410">
        <v>0.12699999999999997</v>
      </c>
      <c r="N48" s="411">
        <v>0.13400000000000001</v>
      </c>
      <c r="O48" s="411">
        <v>0.14899999999999999</v>
      </c>
      <c r="P48" s="411">
        <v>0.13600000000000001</v>
      </c>
      <c r="Q48" s="1812">
        <v>0.14602973657275226</v>
      </c>
      <c r="R48" s="1813">
        <v>0.17245258759241403</v>
      </c>
      <c r="S48" s="1812"/>
      <c r="T48" s="1809">
        <v>5536</v>
      </c>
      <c r="U48" s="1809">
        <v>5204</v>
      </c>
      <c r="V48" s="1809">
        <v>6080</v>
      </c>
      <c r="W48" s="1809">
        <v>7045</v>
      </c>
      <c r="X48" s="1809">
        <v>6637</v>
      </c>
      <c r="Y48" s="1809">
        <v>7048</v>
      </c>
      <c r="Z48" s="1809">
        <v>6972</v>
      </c>
      <c r="AA48" s="1809">
        <v>8246</v>
      </c>
      <c r="AB48" s="1809">
        <v>8042</v>
      </c>
      <c r="AC48" s="1809">
        <v>8813</v>
      </c>
      <c r="AD48" s="1809">
        <v>9849</v>
      </c>
      <c r="AE48" s="1809">
        <v>10914</v>
      </c>
      <c r="AF48" s="1634">
        <v>10016</v>
      </c>
      <c r="AG48" s="1634">
        <v>10843</v>
      </c>
      <c r="AH48" s="1635">
        <v>12876</v>
      </c>
    </row>
    <row r="49" spans="1:34" x14ac:dyDescent="0.25">
      <c r="A49" s="404" t="s">
        <v>112</v>
      </c>
      <c r="B49" s="405" t="s">
        <v>754</v>
      </c>
      <c r="C49" s="412" t="s">
        <v>265</v>
      </c>
      <c r="D49" s="409">
        <v>0.18630603454114458</v>
      </c>
      <c r="E49" s="410">
        <v>0.18404195178590124</v>
      </c>
      <c r="F49" s="410">
        <v>0.20421486172728284</v>
      </c>
      <c r="G49" s="410">
        <v>0.22610694318889932</v>
      </c>
      <c r="H49" s="410">
        <v>0.20544691510861401</v>
      </c>
      <c r="I49" s="410">
        <v>0.23930468656616982</v>
      </c>
      <c r="J49" s="410">
        <v>0.23114323370386328</v>
      </c>
      <c r="K49" s="410">
        <v>0.27677925198745235</v>
      </c>
      <c r="L49" s="410">
        <v>0.26291531358477926</v>
      </c>
      <c r="M49" s="410">
        <v>0.29257510477431536</v>
      </c>
      <c r="N49" s="411">
        <v>0.29068673718230797</v>
      </c>
      <c r="O49" s="411">
        <v>0.34396022228721856</v>
      </c>
      <c r="P49" s="411">
        <v>0.30599999999999999</v>
      </c>
      <c r="Q49" s="1812">
        <v>0.31474459067588667</v>
      </c>
      <c r="R49" s="1813">
        <v>0.32255892255892255</v>
      </c>
      <c r="S49" s="1812"/>
      <c r="T49" s="1809">
        <v>2979</v>
      </c>
      <c r="U49" s="1809">
        <v>2892</v>
      </c>
      <c r="V49" s="1809">
        <v>3231</v>
      </c>
      <c r="W49" s="1809">
        <v>3497</v>
      </c>
      <c r="X49" s="1809">
        <v>3140</v>
      </c>
      <c r="Y49" s="1809">
        <v>3600</v>
      </c>
      <c r="Z49" s="1809">
        <v>3363</v>
      </c>
      <c r="AA49" s="1809">
        <v>3904</v>
      </c>
      <c r="AB49" s="1809">
        <v>3649</v>
      </c>
      <c r="AC49" s="1809">
        <v>4171</v>
      </c>
      <c r="AD49" s="1809">
        <v>4023</v>
      </c>
      <c r="AE49" s="1809">
        <v>4704</v>
      </c>
      <c r="AF49" s="1634">
        <v>4158</v>
      </c>
      <c r="AG49" s="1634">
        <v>4233</v>
      </c>
      <c r="AH49" s="1635">
        <v>4311</v>
      </c>
    </row>
    <row r="50" spans="1:34" x14ac:dyDescent="0.25">
      <c r="A50" s="404" t="s">
        <v>114</v>
      </c>
      <c r="B50" s="405" t="s">
        <v>485</v>
      </c>
      <c r="C50" s="412" t="s">
        <v>265</v>
      </c>
      <c r="D50" s="409">
        <v>0.18600000000000003</v>
      </c>
      <c r="E50" s="410">
        <v>0.14699999999999999</v>
      </c>
      <c r="F50" s="410">
        <v>0.158</v>
      </c>
      <c r="G50" s="410">
        <v>0.16500000000000001</v>
      </c>
      <c r="H50" s="410">
        <v>0.13900000000000001</v>
      </c>
      <c r="I50" s="410">
        <v>0.17300000000000001</v>
      </c>
      <c r="J50" s="410">
        <v>0.16899999999999998</v>
      </c>
      <c r="K50" s="410">
        <v>0.17800000000000002</v>
      </c>
      <c r="L50" s="410">
        <v>0.187</v>
      </c>
      <c r="M50" s="410">
        <v>0.221</v>
      </c>
      <c r="N50" s="411">
        <v>0.22800000000000001</v>
      </c>
      <c r="O50" s="411">
        <v>0.22899999999999998</v>
      </c>
      <c r="P50" s="411">
        <v>0.21199999999999999</v>
      </c>
      <c r="Q50" s="1812">
        <v>0.24275362318840579</v>
      </c>
      <c r="R50" s="1813">
        <v>0.21843003412969283</v>
      </c>
      <c r="S50" s="1812"/>
      <c r="T50" s="1809">
        <v>91</v>
      </c>
      <c r="U50" s="1809">
        <v>68</v>
      </c>
      <c r="V50" s="1809">
        <v>74</v>
      </c>
      <c r="W50" s="1809">
        <v>74</v>
      </c>
      <c r="X50" s="1809">
        <v>59</v>
      </c>
      <c r="Y50" s="1809">
        <v>73</v>
      </c>
      <c r="Z50" s="1809">
        <v>67</v>
      </c>
      <c r="AA50" s="1809">
        <v>67</v>
      </c>
      <c r="AB50" s="1809">
        <v>67</v>
      </c>
      <c r="AC50" s="1809">
        <v>83</v>
      </c>
      <c r="AD50" s="1809">
        <v>78</v>
      </c>
      <c r="AE50" s="1809">
        <v>72</v>
      </c>
      <c r="AF50" s="1634">
        <v>62</v>
      </c>
      <c r="AG50" s="1634">
        <v>67</v>
      </c>
      <c r="AH50" s="1635">
        <v>64</v>
      </c>
    </row>
    <row r="51" spans="1:34" x14ac:dyDescent="0.25">
      <c r="A51" s="404" t="s">
        <v>118</v>
      </c>
      <c r="B51" s="405" t="s">
        <v>755</v>
      </c>
      <c r="C51" s="412" t="s">
        <v>264</v>
      </c>
      <c r="D51" s="409">
        <v>0.115</v>
      </c>
      <c r="E51" s="410">
        <v>0.10099999999999999</v>
      </c>
      <c r="F51" s="410">
        <v>0.121</v>
      </c>
      <c r="G51" s="410">
        <v>0.13500000000000001</v>
      </c>
      <c r="H51" s="410">
        <v>0.115</v>
      </c>
      <c r="I51" s="410">
        <v>0.114</v>
      </c>
      <c r="J51" s="410">
        <v>0.11</v>
      </c>
      <c r="K51" s="410">
        <v>0.10699999999999998</v>
      </c>
      <c r="L51" s="410">
        <v>0.106</v>
      </c>
      <c r="M51" s="410">
        <v>0.14699999999999999</v>
      </c>
      <c r="N51" s="411">
        <v>0.12300000000000001</v>
      </c>
      <c r="O51" s="411">
        <v>0.156</v>
      </c>
      <c r="P51" s="411">
        <v>0.13300000000000001</v>
      </c>
      <c r="Q51" s="1812">
        <v>0.1397286040575037</v>
      </c>
      <c r="R51" s="1813">
        <v>0.13696084936960851</v>
      </c>
      <c r="S51" s="1812"/>
      <c r="T51" s="1809">
        <v>859</v>
      </c>
      <c r="U51" s="1809">
        <v>747</v>
      </c>
      <c r="V51" s="1809">
        <v>929</v>
      </c>
      <c r="W51" s="1809">
        <v>1034</v>
      </c>
      <c r="X51" s="1809">
        <v>880</v>
      </c>
      <c r="Y51" s="1809">
        <v>862</v>
      </c>
      <c r="Z51" s="1809">
        <v>837</v>
      </c>
      <c r="AA51" s="1809">
        <v>851</v>
      </c>
      <c r="AB51" s="1809">
        <v>830</v>
      </c>
      <c r="AC51" s="1809">
        <v>1179</v>
      </c>
      <c r="AD51" s="1809">
        <v>975</v>
      </c>
      <c r="AE51" s="1809">
        <v>1213</v>
      </c>
      <c r="AF51" s="1634">
        <v>1016</v>
      </c>
      <c r="AG51" s="1634">
        <v>1040</v>
      </c>
      <c r="AH51" s="1635">
        <v>1032</v>
      </c>
    </row>
    <row r="52" spans="1:34" x14ac:dyDescent="0.25">
      <c r="A52" s="404" t="s">
        <v>120</v>
      </c>
      <c r="B52" s="405" t="s">
        <v>285</v>
      </c>
      <c r="C52" s="412" t="s">
        <v>264</v>
      </c>
      <c r="D52" s="409">
        <v>8.4999999999999992E-2</v>
      </c>
      <c r="E52" s="410">
        <v>7.6999999999999999E-2</v>
      </c>
      <c r="F52" s="410">
        <v>8.8000000000000009E-2</v>
      </c>
      <c r="G52" s="410">
        <v>9.5999999999999988E-2</v>
      </c>
      <c r="H52" s="410">
        <v>8.3000000000000004E-2</v>
      </c>
      <c r="I52" s="410">
        <v>8.0999999999999989E-2</v>
      </c>
      <c r="J52" s="410">
        <v>8.199999999999999E-2</v>
      </c>
      <c r="K52" s="410">
        <v>7.9000000000000001E-2</v>
      </c>
      <c r="L52" s="410">
        <v>0.09</v>
      </c>
      <c r="M52" s="410">
        <v>0.10300000000000001</v>
      </c>
      <c r="N52" s="411">
        <v>0.10300000000000001</v>
      </c>
      <c r="O52" s="411">
        <v>0.11199999999999999</v>
      </c>
      <c r="P52" s="411">
        <v>0.114</v>
      </c>
      <c r="Q52" s="1812">
        <v>0.1123213070115725</v>
      </c>
      <c r="R52" s="1813">
        <v>0.11459437963944857</v>
      </c>
      <c r="S52" s="1812"/>
      <c r="T52" s="1809">
        <v>946</v>
      </c>
      <c r="U52" s="1809">
        <v>872</v>
      </c>
      <c r="V52" s="1809">
        <v>1030</v>
      </c>
      <c r="W52" s="1809">
        <v>1108</v>
      </c>
      <c r="X52" s="1809">
        <v>989</v>
      </c>
      <c r="Y52" s="1809">
        <v>947</v>
      </c>
      <c r="Z52" s="1809">
        <v>947</v>
      </c>
      <c r="AA52" s="1809">
        <v>986</v>
      </c>
      <c r="AB52" s="1809">
        <v>1120</v>
      </c>
      <c r="AC52" s="1809">
        <v>1354</v>
      </c>
      <c r="AD52" s="1809">
        <v>1475</v>
      </c>
      <c r="AE52" s="1809">
        <v>1595</v>
      </c>
      <c r="AF52" s="1634">
        <v>1611</v>
      </c>
      <c r="AG52" s="1634">
        <v>1650</v>
      </c>
      <c r="AH52" s="1635">
        <v>1729</v>
      </c>
    </row>
    <row r="53" spans="1:34" x14ac:dyDescent="0.25">
      <c r="A53" s="404" t="s">
        <v>122</v>
      </c>
      <c r="B53" s="405" t="s">
        <v>756</v>
      </c>
      <c r="C53" s="412" t="s">
        <v>266</v>
      </c>
      <c r="D53" s="409">
        <v>0.151</v>
      </c>
      <c r="E53" s="410">
        <v>0.13300000000000001</v>
      </c>
      <c r="F53" s="410">
        <v>0.15300000000000002</v>
      </c>
      <c r="G53" s="410">
        <v>0.16200000000000001</v>
      </c>
      <c r="H53" s="410">
        <v>0.13700000000000001</v>
      </c>
      <c r="I53" s="410">
        <v>0.17600000000000002</v>
      </c>
      <c r="J53" s="410">
        <v>0.16</v>
      </c>
      <c r="K53" s="410">
        <v>0.16300000000000001</v>
      </c>
      <c r="L53" s="410">
        <v>0.16600000000000001</v>
      </c>
      <c r="M53" s="410">
        <v>0.2</v>
      </c>
      <c r="N53" s="411">
        <v>0.19400000000000001</v>
      </c>
      <c r="O53" s="411">
        <v>0.20300000000000001</v>
      </c>
      <c r="P53" s="411">
        <v>0.20899999999999999</v>
      </c>
      <c r="Q53" s="1812">
        <v>0.21143717080511662</v>
      </c>
      <c r="R53" s="1813">
        <v>0.22874341610233259</v>
      </c>
      <c r="S53" s="1812"/>
      <c r="T53" s="1809">
        <v>216</v>
      </c>
      <c r="U53" s="1809">
        <v>190</v>
      </c>
      <c r="V53" s="1809">
        <v>217</v>
      </c>
      <c r="W53" s="1809">
        <v>233</v>
      </c>
      <c r="X53" s="1809">
        <v>199</v>
      </c>
      <c r="Y53" s="1809">
        <v>251</v>
      </c>
      <c r="Z53" s="1809">
        <v>221</v>
      </c>
      <c r="AA53" s="1809">
        <v>228</v>
      </c>
      <c r="AB53" s="1809">
        <v>226</v>
      </c>
      <c r="AC53" s="1809">
        <v>258</v>
      </c>
      <c r="AD53" s="1809">
        <v>276</v>
      </c>
      <c r="AE53" s="1809">
        <v>278</v>
      </c>
      <c r="AF53" s="1634">
        <v>278</v>
      </c>
      <c r="AG53" s="1634">
        <v>281</v>
      </c>
      <c r="AH53" s="1635">
        <v>304</v>
      </c>
    </row>
    <row r="54" spans="1:34" x14ac:dyDescent="0.25">
      <c r="A54" s="404" t="s">
        <v>124</v>
      </c>
      <c r="B54" s="405" t="s">
        <v>488</v>
      </c>
      <c r="C54" s="412" t="s">
        <v>267</v>
      </c>
      <c r="D54" s="409">
        <v>9.0000000000000011E-2</v>
      </c>
      <c r="E54" s="410">
        <v>7.5999999999999984E-2</v>
      </c>
      <c r="F54" s="410">
        <v>8.5999999999999993E-2</v>
      </c>
      <c r="G54" s="410">
        <v>9.5000000000000001E-2</v>
      </c>
      <c r="H54" s="410">
        <v>0.08</v>
      </c>
      <c r="I54" s="410">
        <v>8.3000000000000004E-2</v>
      </c>
      <c r="J54" s="410">
        <v>7.6999999999999999E-2</v>
      </c>
      <c r="K54" s="410">
        <v>7.5999999999999998E-2</v>
      </c>
      <c r="L54" s="410">
        <v>0.08</v>
      </c>
      <c r="M54" s="410">
        <v>9.2999999999999999E-2</v>
      </c>
      <c r="N54" s="411">
        <v>9.0000000000000011E-2</v>
      </c>
      <c r="O54" s="411">
        <v>9.6999999999999989E-2</v>
      </c>
      <c r="P54" s="411">
        <v>0.10299999999999999</v>
      </c>
      <c r="Q54" s="1812">
        <v>0.10768522779567419</v>
      </c>
      <c r="R54" s="1813">
        <v>0.10508681084374048</v>
      </c>
      <c r="S54" s="1812"/>
      <c r="T54" s="1809">
        <v>417</v>
      </c>
      <c r="U54" s="1809">
        <v>354</v>
      </c>
      <c r="V54" s="1809">
        <v>413</v>
      </c>
      <c r="W54" s="1809">
        <v>476</v>
      </c>
      <c r="X54" s="1809">
        <v>425</v>
      </c>
      <c r="Y54" s="1809">
        <v>438</v>
      </c>
      <c r="Z54" s="1809">
        <v>415</v>
      </c>
      <c r="AA54" s="1809">
        <v>450</v>
      </c>
      <c r="AB54" s="1809">
        <v>484</v>
      </c>
      <c r="AC54" s="1809">
        <v>577</v>
      </c>
      <c r="AD54" s="1809">
        <v>583</v>
      </c>
      <c r="AE54" s="1809">
        <v>627</v>
      </c>
      <c r="AF54" s="1634">
        <v>659</v>
      </c>
      <c r="AG54" s="1634">
        <v>702</v>
      </c>
      <c r="AH54" s="1635">
        <v>690</v>
      </c>
    </row>
    <row r="55" spans="1:34" x14ac:dyDescent="0.25">
      <c r="A55" s="404" t="s">
        <v>126</v>
      </c>
      <c r="B55" s="405" t="s">
        <v>489</v>
      </c>
      <c r="C55" s="412" t="s">
        <v>266</v>
      </c>
      <c r="D55" s="409">
        <v>9.4E-2</v>
      </c>
      <c r="E55" s="410">
        <v>7.8E-2</v>
      </c>
      <c r="F55" s="410">
        <v>8.6999999999999994E-2</v>
      </c>
      <c r="G55" s="410">
        <v>0.1</v>
      </c>
      <c r="H55" s="410">
        <v>9.0999999999999998E-2</v>
      </c>
      <c r="I55" s="410">
        <v>9.5000000000000001E-2</v>
      </c>
      <c r="J55" s="410">
        <v>9.4E-2</v>
      </c>
      <c r="K55" s="410">
        <v>8.5999999999999993E-2</v>
      </c>
      <c r="L55" s="410">
        <v>8.199999999999999E-2</v>
      </c>
      <c r="M55" s="410">
        <v>9.9000000000000005E-2</v>
      </c>
      <c r="N55" s="411">
        <v>0.11</v>
      </c>
      <c r="O55" s="411">
        <v>0.129</v>
      </c>
      <c r="P55" s="411">
        <v>0.125</v>
      </c>
      <c r="Q55" s="1812">
        <v>0.13313922710428799</v>
      </c>
      <c r="R55" s="1813">
        <v>0.13370547581073897</v>
      </c>
      <c r="S55" s="1812"/>
      <c r="T55" s="1809">
        <v>321</v>
      </c>
      <c r="U55" s="1809">
        <v>270</v>
      </c>
      <c r="V55" s="1809">
        <v>309</v>
      </c>
      <c r="W55" s="1809">
        <v>361</v>
      </c>
      <c r="X55" s="1809">
        <v>331</v>
      </c>
      <c r="Y55" s="1809">
        <v>341</v>
      </c>
      <c r="Z55" s="1809">
        <v>342</v>
      </c>
      <c r="AA55" s="1809">
        <v>328</v>
      </c>
      <c r="AB55" s="1809">
        <v>318</v>
      </c>
      <c r="AC55" s="1809">
        <v>403</v>
      </c>
      <c r="AD55" s="1809">
        <v>429</v>
      </c>
      <c r="AE55" s="1809">
        <v>495</v>
      </c>
      <c r="AF55" s="1634">
        <v>477</v>
      </c>
      <c r="AG55" s="1634">
        <v>503</v>
      </c>
      <c r="AH55" s="1635">
        <v>503</v>
      </c>
    </row>
    <row r="56" spans="1:34" x14ac:dyDescent="0.25">
      <c r="A56" s="404" t="s">
        <v>128</v>
      </c>
      <c r="B56" s="405" t="s">
        <v>490</v>
      </c>
      <c r="C56" s="412" t="s">
        <v>266</v>
      </c>
      <c r="D56" s="409">
        <v>0.21500000000000002</v>
      </c>
      <c r="E56" s="410">
        <v>0.18800000000000003</v>
      </c>
      <c r="F56" s="410">
        <v>0.214</v>
      </c>
      <c r="G56" s="410">
        <v>0.22100000000000003</v>
      </c>
      <c r="H56" s="410">
        <v>0.19299999999999998</v>
      </c>
      <c r="I56" s="410">
        <v>0.22399999999999998</v>
      </c>
      <c r="J56" s="410">
        <v>0.223</v>
      </c>
      <c r="K56" s="410">
        <v>0.215</v>
      </c>
      <c r="L56" s="410">
        <v>0.224</v>
      </c>
      <c r="M56" s="410">
        <v>0.23</v>
      </c>
      <c r="N56" s="411">
        <v>0.26100000000000001</v>
      </c>
      <c r="O56" s="411">
        <v>0.27399999999999997</v>
      </c>
      <c r="P56" s="411">
        <v>0.27600000000000002</v>
      </c>
      <c r="Q56" s="1812">
        <v>0.28352941176470586</v>
      </c>
      <c r="R56" s="1813">
        <v>0.26364193746167996</v>
      </c>
      <c r="S56" s="1812"/>
      <c r="T56" s="1809">
        <v>462</v>
      </c>
      <c r="U56" s="1809">
        <v>394</v>
      </c>
      <c r="V56" s="1809">
        <v>454</v>
      </c>
      <c r="W56" s="1809">
        <v>461</v>
      </c>
      <c r="X56" s="1809">
        <v>396</v>
      </c>
      <c r="Y56" s="1809">
        <v>454</v>
      </c>
      <c r="Z56" s="1809">
        <v>435</v>
      </c>
      <c r="AA56" s="1809">
        <v>426</v>
      </c>
      <c r="AB56" s="1809">
        <v>428</v>
      </c>
      <c r="AC56" s="1809">
        <v>427</v>
      </c>
      <c r="AD56" s="1809">
        <v>470</v>
      </c>
      <c r="AE56" s="1809">
        <v>483</v>
      </c>
      <c r="AF56" s="1634">
        <v>470</v>
      </c>
      <c r="AG56" s="1634">
        <v>482</v>
      </c>
      <c r="AH56" s="1635">
        <v>430</v>
      </c>
    </row>
    <row r="57" spans="1:34" x14ac:dyDescent="0.25">
      <c r="A57" s="404" t="s">
        <v>130</v>
      </c>
      <c r="B57" s="405" t="s">
        <v>491</v>
      </c>
      <c r="C57" s="412" t="s">
        <v>268</v>
      </c>
      <c r="D57" s="409">
        <v>0.29699999999999999</v>
      </c>
      <c r="E57" s="410">
        <v>0.25800000000000001</v>
      </c>
      <c r="F57" s="410">
        <v>0.308</v>
      </c>
      <c r="G57" s="410">
        <v>0.33099999999999996</v>
      </c>
      <c r="H57" s="410">
        <v>0.28499999999999998</v>
      </c>
      <c r="I57" s="410">
        <v>0.35299999999999998</v>
      </c>
      <c r="J57" s="410">
        <v>0.309</v>
      </c>
      <c r="K57" s="410">
        <v>0.31900000000000001</v>
      </c>
      <c r="L57" s="410">
        <v>0.33799999999999997</v>
      </c>
      <c r="M57" s="410">
        <v>0.33599999999999997</v>
      </c>
      <c r="N57" s="411">
        <v>0.33100000000000002</v>
      </c>
      <c r="O57" s="411">
        <v>0.35600000000000004</v>
      </c>
      <c r="P57" s="411">
        <v>0.372</v>
      </c>
      <c r="Q57" s="1812">
        <v>0.38628382565585623</v>
      </c>
      <c r="R57" s="1813">
        <v>0.31877362452750946</v>
      </c>
      <c r="S57" s="1812"/>
      <c r="T57" s="1809">
        <v>1523</v>
      </c>
      <c r="U57" s="1809">
        <v>1328</v>
      </c>
      <c r="V57" s="1809">
        <v>1602</v>
      </c>
      <c r="W57" s="1809">
        <v>1708</v>
      </c>
      <c r="X57" s="1809">
        <v>1460</v>
      </c>
      <c r="Y57" s="1809">
        <v>1785</v>
      </c>
      <c r="Z57" s="1809">
        <v>1521</v>
      </c>
      <c r="AA57" s="1809">
        <v>1556</v>
      </c>
      <c r="AB57" s="1809">
        <v>1605</v>
      </c>
      <c r="AC57" s="1809">
        <v>1649</v>
      </c>
      <c r="AD57" s="1809">
        <v>1689</v>
      </c>
      <c r="AE57" s="1809">
        <v>1794</v>
      </c>
      <c r="AF57" s="1634">
        <v>1848</v>
      </c>
      <c r="AG57" s="1634">
        <v>1870</v>
      </c>
      <c r="AH57" s="1635">
        <v>1518</v>
      </c>
    </row>
    <row r="58" spans="1:34" x14ac:dyDescent="0.25">
      <c r="A58" s="404" t="s">
        <v>132</v>
      </c>
      <c r="B58" s="405" t="s">
        <v>492</v>
      </c>
      <c r="C58" s="412" t="s">
        <v>267</v>
      </c>
      <c r="D58" s="409">
        <v>3.1000000000000003E-2</v>
      </c>
      <c r="E58" s="410">
        <v>2.8000000000000001E-2</v>
      </c>
      <c r="F58" s="410">
        <v>3.3000000000000002E-2</v>
      </c>
      <c r="G58" s="410">
        <v>4.0999999999999995E-2</v>
      </c>
      <c r="H58" s="410">
        <v>3.6999999999999998E-2</v>
      </c>
      <c r="I58" s="410">
        <v>2.8000000000000001E-2</v>
      </c>
      <c r="J58" s="410">
        <v>2.8999999999999998E-2</v>
      </c>
      <c r="K58" s="410">
        <v>2.8999999999999998E-2</v>
      </c>
      <c r="L58" s="410">
        <v>3.5000000000000003E-2</v>
      </c>
      <c r="M58" s="410">
        <v>3.9E-2</v>
      </c>
      <c r="N58" s="411">
        <v>4.2000000000000003E-2</v>
      </c>
      <c r="O58" s="411">
        <v>4.4999999999999998E-2</v>
      </c>
      <c r="P58" s="411">
        <v>4.2999999999999997E-2</v>
      </c>
      <c r="Q58" s="1812">
        <v>4.1029470233996952E-2</v>
      </c>
      <c r="R58" s="1813">
        <v>4.3724420835735689E-2</v>
      </c>
      <c r="S58" s="1812"/>
      <c r="T58" s="1809">
        <v>1752</v>
      </c>
      <c r="U58" s="1809">
        <v>1696</v>
      </c>
      <c r="V58" s="1809">
        <v>2145</v>
      </c>
      <c r="W58" s="1809">
        <v>2838</v>
      </c>
      <c r="X58" s="1809">
        <v>2771</v>
      </c>
      <c r="Y58" s="1809">
        <v>2090</v>
      </c>
      <c r="Z58" s="1809">
        <v>2202</v>
      </c>
      <c r="AA58" s="1809">
        <v>2454</v>
      </c>
      <c r="AB58" s="1809">
        <v>3049</v>
      </c>
      <c r="AC58" s="1809">
        <v>3426</v>
      </c>
      <c r="AD58" s="1809">
        <v>4026</v>
      </c>
      <c r="AE58" s="1809">
        <v>4359</v>
      </c>
      <c r="AF58" s="1634">
        <v>4315</v>
      </c>
      <c r="AG58" s="1634">
        <v>4231</v>
      </c>
      <c r="AH58" s="1635">
        <v>4626</v>
      </c>
    </row>
    <row r="59" spans="1:34" x14ac:dyDescent="0.25">
      <c r="A59" s="404" t="s">
        <v>134</v>
      </c>
      <c r="B59" s="405" t="s">
        <v>493</v>
      </c>
      <c r="C59" s="412" t="s">
        <v>267</v>
      </c>
      <c r="D59" s="409">
        <v>0.13699999999999998</v>
      </c>
      <c r="E59" s="410">
        <v>0.123</v>
      </c>
      <c r="F59" s="410">
        <v>0.14000000000000001</v>
      </c>
      <c r="G59" s="410">
        <v>0.14400000000000002</v>
      </c>
      <c r="H59" s="410">
        <v>0.129</v>
      </c>
      <c r="I59" s="410">
        <v>0.155</v>
      </c>
      <c r="J59" s="410">
        <v>0.13500000000000001</v>
      </c>
      <c r="K59" s="410">
        <v>0.13500000000000001</v>
      </c>
      <c r="L59" s="410">
        <v>0.13899999999999998</v>
      </c>
      <c r="M59" s="410">
        <v>0.16200000000000001</v>
      </c>
      <c r="N59" s="411">
        <v>0.156</v>
      </c>
      <c r="O59" s="411">
        <v>0.17</v>
      </c>
      <c r="P59" s="411">
        <v>0.17399999999999999</v>
      </c>
      <c r="Q59" s="1812">
        <v>0.17671607425528854</v>
      </c>
      <c r="R59" s="1813">
        <v>0.1732127719694829</v>
      </c>
      <c r="S59" s="1812"/>
      <c r="T59" s="1809">
        <v>856</v>
      </c>
      <c r="U59" s="1809">
        <v>777</v>
      </c>
      <c r="V59" s="1809">
        <v>911</v>
      </c>
      <c r="W59" s="1809">
        <v>948</v>
      </c>
      <c r="X59" s="1809">
        <v>864</v>
      </c>
      <c r="Y59" s="1809">
        <v>1022</v>
      </c>
      <c r="Z59" s="1809">
        <v>908</v>
      </c>
      <c r="AA59" s="1809">
        <v>962</v>
      </c>
      <c r="AB59" s="1809">
        <v>998</v>
      </c>
      <c r="AC59" s="1809">
        <v>1152</v>
      </c>
      <c r="AD59" s="1809">
        <v>1128</v>
      </c>
      <c r="AE59" s="1809">
        <v>1214</v>
      </c>
      <c r="AF59" s="1634">
        <v>1217</v>
      </c>
      <c r="AG59" s="1634">
        <v>1228</v>
      </c>
      <c r="AH59" s="1635">
        <v>1226</v>
      </c>
    </row>
    <row r="60" spans="1:34" x14ac:dyDescent="0.25">
      <c r="A60" s="404" t="s">
        <v>136</v>
      </c>
      <c r="B60" s="405" t="s">
        <v>494</v>
      </c>
      <c r="C60" s="412" t="s">
        <v>266</v>
      </c>
      <c r="D60" s="409">
        <v>0.218</v>
      </c>
      <c r="E60" s="410">
        <v>0.20600000000000002</v>
      </c>
      <c r="F60" s="410">
        <v>0.214</v>
      </c>
      <c r="G60" s="410">
        <v>0.24300000000000002</v>
      </c>
      <c r="H60" s="410">
        <v>0.21800000000000003</v>
      </c>
      <c r="I60" s="410">
        <v>0.30100000000000005</v>
      </c>
      <c r="J60" s="410">
        <v>0.23899999999999999</v>
      </c>
      <c r="K60" s="410">
        <v>0.255</v>
      </c>
      <c r="L60" s="410">
        <v>0.27399999999999997</v>
      </c>
      <c r="M60" s="410">
        <v>0.28800000000000003</v>
      </c>
      <c r="N60" s="411">
        <v>0.28399999999999997</v>
      </c>
      <c r="O60" s="411">
        <v>0.29399999999999998</v>
      </c>
      <c r="P60" s="411">
        <v>0.316</v>
      </c>
      <c r="Q60" s="1812">
        <v>0.29540481400437635</v>
      </c>
      <c r="R60" s="1813">
        <v>0.28677433435181143</v>
      </c>
      <c r="S60" s="1812"/>
      <c r="T60" s="1809">
        <v>582</v>
      </c>
      <c r="U60" s="1809">
        <v>542</v>
      </c>
      <c r="V60" s="1809">
        <v>563</v>
      </c>
      <c r="W60" s="1809">
        <v>614</v>
      </c>
      <c r="X60" s="1809">
        <v>557</v>
      </c>
      <c r="Y60" s="1809">
        <v>760</v>
      </c>
      <c r="Z60" s="1809">
        <v>571</v>
      </c>
      <c r="AA60" s="1809">
        <v>595</v>
      </c>
      <c r="AB60" s="1809">
        <v>618</v>
      </c>
      <c r="AC60" s="1809">
        <v>696</v>
      </c>
      <c r="AD60" s="1809">
        <v>693</v>
      </c>
      <c r="AE60" s="1809">
        <v>715</v>
      </c>
      <c r="AF60" s="1634">
        <v>754</v>
      </c>
      <c r="AG60" s="1634">
        <v>675</v>
      </c>
      <c r="AH60" s="1635">
        <v>657</v>
      </c>
    </row>
    <row r="61" spans="1:34" x14ac:dyDescent="0.25">
      <c r="A61" s="404" t="s">
        <v>140</v>
      </c>
      <c r="B61" s="405" t="s">
        <v>495</v>
      </c>
      <c r="C61" s="412" t="s">
        <v>267</v>
      </c>
      <c r="D61" s="409">
        <v>0.152</v>
      </c>
      <c r="E61" s="410">
        <v>0.125</v>
      </c>
      <c r="F61" s="410">
        <v>0.12199999999999998</v>
      </c>
      <c r="G61" s="410">
        <v>0.13699999999999998</v>
      </c>
      <c r="H61" s="410">
        <v>0.124</v>
      </c>
      <c r="I61" s="410">
        <v>0.14400000000000002</v>
      </c>
      <c r="J61" s="410">
        <v>0.13699999999999998</v>
      </c>
      <c r="K61" s="410">
        <v>0.13699999999999998</v>
      </c>
      <c r="L61" s="410">
        <v>0.151</v>
      </c>
      <c r="M61" s="410">
        <v>0.16199999999999998</v>
      </c>
      <c r="N61" s="411">
        <v>0.17399999999999999</v>
      </c>
      <c r="O61" s="411">
        <v>0.17699999999999999</v>
      </c>
      <c r="P61" s="411">
        <v>0.193</v>
      </c>
      <c r="Q61" s="1812">
        <v>0.18481012658227849</v>
      </c>
      <c r="R61" s="1813">
        <v>0.18315018315018314</v>
      </c>
      <c r="S61" s="1812"/>
      <c r="T61" s="1809">
        <v>452</v>
      </c>
      <c r="U61" s="1809">
        <v>368</v>
      </c>
      <c r="V61" s="1809">
        <v>361</v>
      </c>
      <c r="W61" s="1809">
        <v>406</v>
      </c>
      <c r="X61" s="1809">
        <v>370</v>
      </c>
      <c r="Y61" s="1809">
        <v>424</v>
      </c>
      <c r="Z61" s="1809">
        <v>386</v>
      </c>
      <c r="AA61" s="1809">
        <v>403</v>
      </c>
      <c r="AB61" s="1809">
        <v>435</v>
      </c>
      <c r="AC61" s="1809">
        <v>472</v>
      </c>
      <c r="AD61" s="1809">
        <v>508</v>
      </c>
      <c r="AE61" s="1809">
        <v>497</v>
      </c>
      <c r="AF61" s="1634">
        <v>545</v>
      </c>
      <c r="AG61" s="1634">
        <v>511</v>
      </c>
      <c r="AH61" s="1635">
        <v>500</v>
      </c>
    </row>
    <row r="62" spans="1:34" x14ac:dyDescent="0.25">
      <c r="A62" s="404" t="s">
        <v>146</v>
      </c>
      <c r="B62" s="405" t="s">
        <v>496</v>
      </c>
      <c r="C62" s="412" t="s">
        <v>264</v>
      </c>
      <c r="D62" s="409">
        <v>0.125</v>
      </c>
      <c r="E62" s="410">
        <v>0.115</v>
      </c>
      <c r="F62" s="410">
        <v>0.127</v>
      </c>
      <c r="G62" s="410">
        <v>0.14199999999999999</v>
      </c>
      <c r="H62" s="410">
        <v>0.12</v>
      </c>
      <c r="I62" s="410">
        <v>0.13400000000000001</v>
      </c>
      <c r="J62" s="410">
        <v>0.13300000000000001</v>
      </c>
      <c r="K62" s="410">
        <v>0.125</v>
      </c>
      <c r="L62" s="410">
        <v>0.13800000000000001</v>
      </c>
      <c r="M62" s="410">
        <v>0.158</v>
      </c>
      <c r="N62" s="411">
        <v>0.17100000000000001</v>
      </c>
      <c r="O62" s="411">
        <v>0.18100000000000002</v>
      </c>
      <c r="P62" s="411">
        <v>0.17699999999999999</v>
      </c>
      <c r="Q62" s="1812">
        <v>0.182</v>
      </c>
      <c r="R62" s="1813">
        <v>0.18002717391304349</v>
      </c>
      <c r="S62" s="1812"/>
      <c r="T62" s="1809">
        <v>222</v>
      </c>
      <c r="U62" s="1809">
        <v>198</v>
      </c>
      <c r="V62" s="1809">
        <v>216</v>
      </c>
      <c r="W62" s="1809">
        <v>243</v>
      </c>
      <c r="X62" s="1809">
        <v>201</v>
      </c>
      <c r="Y62" s="1809">
        <v>221</v>
      </c>
      <c r="Z62" s="1809">
        <v>210</v>
      </c>
      <c r="AA62" s="1809">
        <v>190</v>
      </c>
      <c r="AB62" s="1809">
        <v>211</v>
      </c>
      <c r="AC62" s="1809">
        <v>252</v>
      </c>
      <c r="AD62" s="1809">
        <v>274</v>
      </c>
      <c r="AE62" s="1809">
        <v>287</v>
      </c>
      <c r="AF62" s="1634">
        <v>266</v>
      </c>
      <c r="AG62" s="1634">
        <v>273</v>
      </c>
      <c r="AH62" s="1635">
        <v>265</v>
      </c>
    </row>
    <row r="63" spans="1:34" x14ac:dyDescent="0.25">
      <c r="A63" s="404" t="s">
        <v>148</v>
      </c>
      <c r="B63" s="405" t="s">
        <v>497</v>
      </c>
      <c r="C63" s="412" t="s">
        <v>265</v>
      </c>
      <c r="D63" s="409">
        <v>0.20799999999999999</v>
      </c>
      <c r="E63" s="410">
        <v>0.188</v>
      </c>
      <c r="F63" s="410">
        <v>0.21300000000000002</v>
      </c>
      <c r="G63" s="410">
        <v>0.23799999999999999</v>
      </c>
      <c r="H63" s="410">
        <v>0.20699999999999999</v>
      </c>
      <c r="I63" s="410">
        <v>0.24399999999999997</v>
      </c>
      <c r="J63" s="410">
        <v>0.22</v>
      </c>
      <c r="K63" s="410">
        <v>0.23</v>
      </c>
      <c r="L63" s="410">
        <v>0.245</v>
      </c>
      <c r="M63" s="410">
        <v>0.26700000000000002</v>
      </c>
      <c r="N63" s="411">
        <v>0.28399999999999997</v>
      </c>
      <c r="O63" s="411">
        <v>0.28699999999999998</v>
      </c>
      <c r="P63" s="411">
        <v>0.28299999999999997</v>
      </c>
      <c r="Q63" s="1812">
        <v>0.28433494256700514</v>
      </c>
      <c r="R63" s="1813">
        <v>0.3060220525869381</v>
      </c>
      <c r="S63" s="1812"/>
      <c r="T63" s="1809">
        <v>1402</v>
      </c>
      <c r="U63" s="1809">
        <v>1255</v>
      </c>
      <c r="V63" s="1809">
        <v>1446</v>
      </c>
      <c r="W63" s="1809">
        <v>1585</v>
      </c>
      <c r="X63" s="1809">
        <v>1399</v>
      </c>
      <c r="Y63" s="1809">
        <v>1630</v>
      </c>
      <c r="Z63" s="1809">
        <v>1395</v>
      </c>
      <c r="AA63" s="1809">
        <v>1453</v>
      </c>
      <c r="AB63" s="1809">
        <v>1524</v>
      </c>
      <c r="AC63" s="1809">
        <v>1650</v>
      </c>
      <c r="AD63" s="1809">
        <v>1780</v>
      </c>
      <c r="AE63" s="1809">
        <v>1779</v>
      </c>
      <c r="AF63" s="1634">
        <v>1732</v>
      </c>
      <c r="AG63" s="1634">
        <v>1708</v>
      </c>
      <c r="AH63" s="1635">
        <v>1804</v>
      </c>
    </row>
    <row r="64" spans="1:34" x14ac:dyDescent="0.25">
      <c r="A64" s="404" t="s">
        <v>150</v>
      </c>
      <c r="B64" s="405" t="s">
        <v>498</v>
      </c>
      <c r="C64" s="412" t="s">
        <v>266</v>
      </c>
      <c r="D64" s="409">
        <v>0.19</v>
      </c>
      <c r="E64" s="410">
        <v>0.17199999999999999</v>
      </c>
      <c r="F64" s="410">
        <v>0.18300000000000002</v>
      </c>
      <c r="G64" s="410">
        <v>0.19600000000000001</v>
      </c>
      <c r="H64" s="410">
        <v>0.185</v>
      </c>
      <c r="I64" s="410">
        <v>0.21899999999999997</v>
      </c>
      <c r="J64" s="410">
        <v>0.19699999999999998</v>
      </c>
      <c r="K64" s="410">
        <v>0.20199999999999999</v>
      </c>
      <c r="L64" s="410">
        <v>0.20399999999999999</v>
      </c>
      <c r="M64" s="410">
        <v>0.23</v>
      </c>
      <c r="N64" s="411">
        <v>0.22300000000000003</v>
      </c>
      <c r="O64" s="411">
        <v>0.23899999999999999</v>
      </c>
      <c r="P64" s="411">
        <v>0.25700000000000001</v>
      </c>
      <c r="Q64" s="1812">
        <v>0.26638349514563109</v>
      </c>
      <c r="R64" s="1813">
        <v>0.2598904443091905</v>
      </c>
      <c r="S64" s="1812"/>
      <c r="T64" s="1809">
        <v>357</v>
      </c>
      <c r="U64" s="1809">
        <v>318</v>
      </c>
      <c r="V64" s="1809">
        <v>344</v>
      </c>
      <c r="W64" s="1809">
        <v>367</v>
      </c>
      <c r="X64" s="1809">
        <v>335</v>
      </c>
      <c r="Y64" s="1809">
        <v>392</v>
      </c>
      <c r="Z64" s="1809">
        <v>352</v>
      </c>
      <c r="AA64" s="1809">
        <v>359</v>
      </c>
      <c r="AB64" s="1809">
        <v>351</v>
      </c>
      <c r="AC64" s="1809">
        <v>383</v>
      </c>
      <c r="AD64" s="1809">
        <v>387</v>
      </c>
      <c r="AE64" s="1809">
        <v>397</v>
      </c>
      <c r="AF64" s="1634">
        <v>426</v>
      </c>
      <c r="AG64" s="1634">
        <v>439</v>
      </c>
      <c r="AH64" s="1635">
        <v>427</v>
      </c>
    </row>
    <row r="65" spans="1:34" x14ac:dyDescent="0.25">
      <c r="A65" s="404" t="s">
        <v>152</v>
      </c>
      <c r="B65" s="405" t="s">
        <v>499</v>
      </c>
      <c r="C65" s="412" t="s">
        <v>268</v>
      </c>
      <c r="D65" s="409">
        <v>0.129</v>
      </c>
      <c r="E65" s="410">
        <v>0.12</v>
      </c>
      <c r="F65" s="410">
        <v>0.129</v>
      </c>
      <c r="G65" s="410">
        <v>0.153</v>
      </c>
      <c r="H65" s="410">
        <v>0.14300000000000002</v>
      </c>
      <c r="I65" s="410">
        <v>0.14699999999999999</v>
      </c>
      <c r="J65" s="410">
        <v>0.13499999999999998</v>
      </c>
      <c r="K65" s="410">
        <v>0.13599999999999998</v>
      </c>
      <c r="L65" s="410">
        <v>0.155</v>
      </c>
      <c r="M65" s="410">
        <v>0.154</v>
      </c>
      <c r="N65" s="411">
        <v>0.17199999999999999</v>
      </c>
      <c r="O65" s="411">
        <v>0.17</v>
      </c>
      <c r="P65" s="411">
        <v>0.18099999999999999</v>
      </c>
      <c r="Q65" s="1812">
        <v>0.18324501978670601</v>
      </c>
      <c r="R65" s="1813">
        <v>0.16029585024217829</v>
      </c>
      <c r="S65" s="1812"/>
      <c r="T65" s="1809">
        <v>1802</v>
      </c>
      <c r="U65" s="1809">
        <v>1671</v>
      </c>
      <c r="V65" s="1809">
        <v>1797</v>
      </c>
      <c r="W65" s="1809">
        <v>2120</v>
      </c>
      <c r="X65" s="1809">
        <v>1912</v>
      </c>
      <c r="Y65" s="1809">
        <v>1934</v>
      </c>
      <c r="Z65" s="1809">
        <v>1842</v>
      </c>
      <c r="AA65" s="1809">
        <v>1925</v>
      </c>
      <c r="AB65" s="1809">
        <v>2238</v>
      </c>
      <c r="AC65" s="1809">
        <v>2246</v>
      </c>
      <c r="AD65" s="1809">
        <v>2557</v>
      </c>
      <c r="AE65" s="1809">
        <v>2411</v>
      </c>
      <c r="AF65" s="1634">
        <v>2682</v>
      </c>
      <c r="AG65" s="1634">
        <v>2732</v>
      </c>
      <c r="AH65" s="1635">
        <v>2449</v>
      </c>
    </row>
    <row r="66" spans="1:34" x14ac:dyDescent="0.25">
      <c r="A66" s="404" t="s">
        <v>154</v>
      </c>
      <c r="B66" s="405" t="s">
        <v>500</v>
      </c>
      <c r="C66" s="412" t="s">
        <v>265</v>
      </c>
      <c r="D66" s="409">
        <v>0.14599999999999999</v>
      </c>
      <c r="E66" s="410">
        <v>0.13700000000000001</v>
      </c>
      <c r="F66" s="410">
        <v>0.151</v>
      </c>
      <c r="G66" s="410">
        <v>0.16700000000000001</v>
      </c>
      <c r="H66" s="410">
        <v>0.14199999999999999</v>
      </c>
      <c r="I66" s="410">
        <v>0.16699999999999998</v>
      </c>
      <c r="J66" s="410">
        <v>0.158</v>
      </c>
      <c r="K66" s="410">
        <v>0.16199999999999998</v>
      </c>
      <c r="L66" s="410">
        <v>0.18100000000000002</v>
      </c>
      <c r="M66" s="410">
        <v>0.18399999999999997</v>
      </c>
      <c r="N66" s="411">
        <v>0.20899999999999999</v>
      </c>
      <c r="O66" s="411">
        <v>0.21</v>
      </c>
      <c r="P66" s="411">
        <v>0.23</v>
      </c>
      <c r="Q66" s="1812">
        <v>0.230741146403797</v>
      </c>
      <c r="R66" s="1813">
        <v>0.21454545454545454</v>
      </c>
      <c r="S66" s="1812"/>
      <c r="T66" s="1809">
        <v>454</v>
      </c>
      <c r="U66" s="1809">
        <v>424</v>
      </c>
      <c r="V66" s="1809">
        <v>472</v>
      </c>
      <c r="W66" s="1809">
        <v>512</v>
      </c>
      <c r="X66" s="1809">
        <v>434</v>
      </c>
      <c r="Y66" s="1809">
        <v>504</v>
      </c>
      <c r="Z66" s="1809">
        <v>463</v>
      </c>
      <c r="AA66" s="1809">
        <v>479</v>
      </c>
      <c r="AB66" s="1809">
        <v>532</v>
      </c>
      <c r="AC66" s="1809">
        <v>536</v>
      </c>
      <c r="AD66" s="1809">
        <v>592</v>
      </c>
      <c r="AE66" s="1809">
        <v>599</v>
      </c>
      <c r="AF66" s="1634">
        <v>635</v>
      </c>
      <c r="AG66" s="1634">
        <v>632</v>
      </c>
      <c r="AH66" s="1635">
        <v>590</v>
      </c>
    </row>
    <row r="67" spans="1:34" x14ac:dyDescent="0.25">
      <c r="A67" s="404" t="s">
        <v>156</v>
      </c>
      <c r="B67" s="405" t="s">
        <v>501</v>
      </c>
      <c r="C67" s="412" t="s">
        <v>266</v>
      </c>
      <c r="D67" s="409">
        <v>7.8E-2</v>
      </c>
      <c r="E67" s="410">
        <v>7.0999999999999994E-2</v>
      </c>
      <c r="F67" s="410">
        <v>0.08</v>
      </c>
      <c r="G67" s="410">
        <v>8.4000000000000005E-2</v>
      </c>
      <c r="H67" s="410">
        <v>7.6999999999999999E-2</v>
      </c>
      <c r="I67" s="410">
        <v>8.1000000000000003E-2</v>
      </c>
      <c r="J67" s="410">
        <v>8.1000000000000003E-2</v>
      </c>
      <c r="K67" s="410">
        <v>7.5999999999999998E-2</v>
      </c>
      <c r="L67" s="410">
        <v>8.0999999999999989E-2</v>
      </c>
      <c r="M67" s="410">
        <v>8.8999999999999996E-2</v>
      </c>
      <c r="N67" s="411">
        <v>8.4000000000000005E-2</v>
      </c>
      <c r="O67" s="411">
        <v>0.10800000000000001</v>
      </c>
      <c r="P67" s="411">
        <v>0.104</v>
      </c>
      <c r="Q67" s="1812">
        <v>9.8985399653551104E-2</v>
      </c>
      <c r="R67" s="1813">
        <v>9.7235932872655473E-2</v>
      </c>
      <c r="S67" s="1812"/>
      <c r="T67" s="1809">
        <v>257</v>
      </c>
      <c r="U67" s="1809">
        <v>233</v>
      </c>
      <c r="V67" s="1809">
        <v>270</v>
      </c>
      <c r="W67" s="1809">
        <v>291</v>
      </c>
      <c r="X67" s="1809">
        <v>268</v>
      </c>
      <c r="Y67" s="1809">
        <v>280</v>
      </c>
      <c r="Z67" s="1809">
        <v>285</v>
      </c>
      <c r="AA67" s="1809">
        <v>285</v>
      </c>
      <c r="AB67" s="1809">
        <v>307</v>
      </c>
      <c r="AC67" s="1809">
        <v>341</v>
      </c>
      <c r="AD67" s="1809">
        <v>334</v>
      </c>
      <c r="AE67" s="1809">
        <v>428</v>
      </c>
      <c r="AF67" s="1634">
        <v>413</v>
      </c>
      <c r="AG67" s="1634">
        <v>400</v>
      </c>
      <c r="AH67" s="1635">
        <v>394</v>
      </c>
    </row>
    <row r="68" spans="1:34" x14ac:dyDescent="0.25">
      <c r="A68" s="404" t="s">
        <v>162</v>
      </c>
      <c r="B68" s="405" t="s">
        <v>502</v>
      </c>
      <c r="C68" s="412" t="s">
        <v>264</v>
      </c>
      <c r="D68" s="409">
        <v>0.27100000000000002</v>
      </c>
      <c r="E68" s="410">
        <v>0.24300000000000002</v>
      </c>
      <c r="F68" s="410">
        <v>0.252</v>
      </c>
      <c r="G68" s="410">
        <v>0.28400000000000003</v>
      </c>
      <c r="H68" s="410">
        <v>0.24399999999999997</v>
      </c>
      <c r="I68" s="410">
        <v>0.28500000000000003</v>
      </c>
      <c r="J68" s="410">
        <v>0.28299999999999997</v>
      </c>
      <c r="K68" s="410">
        <v>0.315</v>
      </c>
      <c r="L68" s="410">
        <v>0.30599999999999999</v>
      </c>
      <c r="M68" s="410">
        <v>0.32200000000000006</v>
      </c>
      <c r="N68" s="411">
        <v>0.316</v>
      </c>
      <c r="O68" s="411">
        <v>0.35100000000000003</v>
      </c>
      <c r="P68" s="411">
        <v>0.34599999999999997</v>
      </c>
      <c r="Q68" s="1812">
        <v>0.34269902085994042</v>
      </c>
      <c r="R68" s="1813">
        <v>0.3340283569641368</v>
      </c>
      <c r="S68" s="1812"/>
      <c r="T68" s="1809">
        <v>794</v>
      </c>
      <c r="U68" s="1809">
        <v>719</v>
      </c>
      <c r="V68" s="1809">
        <v>775</v>
      </c>
      <c r="W68" s="1809">
        <v>838</v>
      </c>
      <c r="X68" s="1809">
        <v>743</v>
      </c>
      <c r="Y68" s="1809">
        <v>853</v>
      </c>
      <c r="Z68" s="1809">
        <v>838</v>
      </c>
      <c r="AA68" s="1809">
        <v>922</v>
      </c>
      <c r="AB68" s="1809">
        <v>877</v>
      </c>
      <c r="AC68" s="1809">
        <v>933</v>
      </c>
      <c r="AD68" s="1809">
        <v>760</v>
      </c>
      <c r="AE68" s="1809">
        <v>843</v>
      </c>
      <c r="AF68" s="1634">
        <v>821</v>
      </c>
      <c r="AG68" s="1634">
        <v>805</v>
      </c>
      <c r="AH68" s="1635">
        <v>801</v>
      </c>
    </row>
    <row r="69" spans="1:34" x14ac:dyDescent="0.25">
      <c r="A69" s="404" t="s">
        <v>164</v>
      </c>
      <c r="B69" s="405" t="s">
        <v>503</v>
      </c>
      <c r="C69" s="412" t="s">
        <v>266</v>
      </c>
      <c r="D69" s="409">
        <v>0.20199999999999999</v>
      </c>
      <c r="E69" s="410">
        <v>0.18399999999999997</v>
      </c>
      <c r="F69" s="410">
        <v>0.20199999999999999</v>
      </c>
      <c r="G69" s="410">
        <v>0.218</v>
      </c>
      <c r="H69" s="410">
        <v>0.19</v>
      </c>
      <c r="I69" s="410">
        <v>0.22900000000000001</v>
      </c>
      <c r="J69" s="410">
        <v>0.23700000000000002</v>
      </c>
      <c r="K69" s="410">
        <v>0.23199999999999998</v>
      </c>
      <c r="L69" s="410">
        <v>0.247</v>
      </c>
      <c r="M69" s="410">
        <v>0.26600000000000001</v>
      </c>
      <c r="N69" s="411">
        <v>0.28200000000000003</v>
      </c>
      <c r="O69" s="411">
        <v>0.28300000000000003</v>
      </c>
      <c r="P69" s="411">
        <v>0.28699999999999998</v>
      </c>
      <c r="Q69" s="1812">
        <v>0.31003201707577377</v>
      </c>
      <c r="R69" s="1813">
        <v>0.30355276907001044</v>
      </c>
      <c r="S69" s="1812"/>
      <c r="T69" s="1809">
        <v>445</v>
      </c>
      <c r="U69" s="1809">
        <v>422</v>
      </c>
      <c r="V69" s="1809">
        <v>472</v>
      </c>
      <c r="W69" s="1809">
        <v>502</v>
      </c>
      <c r="X69" s="1809">
        <v>426</v>
      </c>
      <c r="Y69" s="1809">
        <v>506</v>
      </c>
      <c r="Z69" s="1809">
        <v>518</v>
      </c>
      <c r="AA69" s="1809">
        <v>526</v>
      </c>
      <c r="AB69" s="1809">
        <v>555</v>
      </c>
      <c r="AC69" s="1809">
        <v>549</v>
      </c>
      <c r="AD69" s="1809">
        <v>558</v>
      </c>
      <c r="AE69" s="1809">
        <v>559</v>
      </c>
      <c r="AF69" s="1634">
        <v>558</v>
      </c>
      <c r="AG69" s="1634">
        <v>581</v>
      </c>
      <c r="AH69" s="1635">
        <v>581</v>
      </c>
    </row>
    <row r="70" spans="1:34" x14ac:dyDescent="0.25">
      <c r="A70" s="404" t="s">
        <v>168</v>
      </c>
      <c r="B70" s="405" t="s">
        <v>504</v>
      </c>
      <c r="C70" s="412" t="s">
        <v>266</v>
      </c>
      <c r="D70" s="409">
        <v>0.224</v>
      </c>
      <c r="E70" s="410">
        <v>0.20200000000000001</v>
      </c>
      <c r="F70" s="410">
        <v>0.21699999999999997</v>
      </c>
      <c r="G70" s="410">
        <v>0.23899999999999999</v>
      </c>
      <c r="H70" s="410">
        <v>0.218</v>
      </c>
      <c r="I70" s="410">
        <v>0.26300000000000001</v>
      </c>
      <c r="J70" s="410">
        <v>0.25</v>
      </c>
      <c r="K70" s="410">
        <v>0.24899999999999997</v>
      </c>
      <c r="L70" s="410">
        <v>0.27200000000000002</v>
      </c>
      <c r="M70" s="410">
        <v>0.27499999999999997</v>
      </c>
      <c r="N70" s="411">
        <v>0.27900000000000003</v>
      </c>
      <c r="O70" s="411">
        <v>0.29100000000000004</v>
      </c>
      <c r="P70" s="411">
        <v>0.29899999999999999</v>
      </c>
      <c r="Q70" s="1812">
        <v>0.29323797139141744</v>
      </c>
      <c r="R70" s="1813">
        <v>0.30859872611464967</v>
      </c>
      <c r="S70" s="1812"/>
      <c r="T70" s="1809">
        <v>799</v>
      </c>
      <c r="U70" s="1809">
        <v>698</v>
      </c>
      <c r="V70" s="1809">
        <v>748</v>
      </c>
      <c r="W70" s="1809">
        <v>826</v>
      </c>
      <c r="X70" s="1809">
        <v>733</v>
      </c>
      <c r="Y70" s="1809">
        <v>873</v>
      </c>
      <c r="Z70" s="1809">
        <v>811</v>
      </c>
      <c r="AA70" s="1809">
        <v>798</v>
      </c>
      <c r="AB70" s="1809">
        <v>862</v>
      </c>
      <c r="AC70" s="1809">
        <v>901</v>
      </c>
      <c r="AD70" s="1809">
        <v>895</v>
      </c>
      <c r="AE70" s="1809">
        <v>940</v>
      </c>
      <c r="AF70" s="1634">
        <v>950</v>
      </c>
      <c r="AG70" s="1634">
        <v>902</v>
      </c>
      <c r="AH70" s="1635">
        <v>969</v>
      </c>
    </row>
    <row r="71" spans="1:34" x14ac:dyDescent="0.25">
      <c r="A71" s="404" t="s">
        <v>170</v>
      </c>
      <c r="B71" s="405" t="s">
        <v>505</v>
      </c>
      <c r="C71" s="412" t="s">
        <v>267</v>
      </c>
      <c r="D71" s="409">
        <v>0.128</v>
      </c>
      <c r="E71" s="410">
        <v>0.115</v>
      </c>
      <c r="F71" s="410">
        <v>0.11699999999999999</v>
      </c>
      <c r="G71" s="410">
        <v>0.123</v>
      </c>
      <c r="H71" s="410">
        <v>0.112</v>
      </c>
      <c r="I71" s="410">
        <v>0.129</v>
      </c>
      <c r="J71" s="410">
        <v>0.10800000000000001</v>
      </c>
      <c r="K71" s="410">
        <v>0.10800000000000001</v>
      </c>
      <c r="L71" s="410">
        <v>0.11699999999999999</v>
      </c>
      <c r="M71" s="410">
        <v>0.13899999999999998</v>
      </c>
      <c r="N71" s="411">
        <v>0.14799999999999999</v>
      </c>
      <c r="O71" s="411">
        <v>0.17199999999999999</v>
      </c>
      <c r="P71" s="411">
        <v>0.14299999999999999</v>
      </c>
      <c r="Q71" s="1812">
        <v>0.15467720685111991</v>
      </c>
      <c r="R71" s="1813">
        <v>0.15748550342646284</v>
      </c>
      <c r="S71" s="1812"/>
      <c r="T71" s="1809">
        <v>767</v>
      </c>
      <c r="U71" s="1809">
        <v>694</v>
      </c>
      <c r="V71" s="1809">
        <v>724</v>
      </c>
      <c r="W71" s="1809">
        <v>778</v>
      </c>
      <c r="X71" s="1809">
        <v>722</v>
      </c>
      <c r="Y71" s="1809">
        <v>825</v>
      </c>
      <c r="Z71" s="1809">
        <v>706</v>
      </c>
      <c r="AA71" s="1809">
        <v>774</v>
      </c>
      <c r="AB71" s="1809">
        <v>845</v>
      </c>
      <c r="AC71" s="1809">
        <v>1051</v>
      </c>
      <c r="AD71" s="1809">
        <v>1120</v>
      </c>
      <c r="AE71" s="1809">
        <v>1292</v>
      </c>
      <c r="AF71" s="1634">
        <v>1081</v>
      </c>
      <c r="AG71" s="1634">
        <v>1174</v>
      </c>
      <c r="AH71" s="1635">
        <v>1195</v>
      </c>
    </row>
    <row r="72" spans="1:34" x14ac:dyDescent="0.25">
      <c r="A72" s="404" t="s">
        <v>172</v>
      </c>
      <c r="B72" s="405" t="s">
        <v>506</v>
      </c>
      <c r="C72" s="412" t="s">
        <v>267</v>
      </c>
      <c r="D72" s="409">
        <v>0.157</v>
      </c>
      <c r="E72" s="410">
        <v>0.14300000000000002</v>
      </c>
      <c r="F72" s="410">
        <v>0.153</v>
      </c>
      <c r="G72" s="410">
        <v>0.17300000000000001</v>
      </c>
      <c r="H72" s="410">
        <v>0.158</v>
      </c>
      <c r="I72" s="410">
        <v>0.19500000000000001</v>
      </c>
      <c r="J72" s="410">
        <v>0.18300000000000002</v>
      </c>
      <c r="K72" s="410">
        <v>0.17899999999999999</v>
      </c>
      <c r="L72" s="410">
        <v>0.20800000000000002</v>
      </c>
      <c r="M72" s="410">
        <v>0.20700000000000002</v>
      </c>
      <c r="N72" s="411">
        <v>0.22700000000000001</v>
      </c>
      <c r="O72" s="411">
        <v>0.23499999999999999</v>
      </c>
      <c r="P72" s="411">
        <v>0.215</v>
      </c>
      <c r="Q72" s="1812">
        <v>0.22322364284217144</v>
      </c>
      <c r="R72" s="1813">
        <v>0.23797574236721036</v>
      </c>
      <c r="S72" s="1812"/>
      <c r="T72" s="1809">
        <v>816</v>
      </c>
      <c r="U72" s="1809">
        <v>734</v>
      </c>
      <c r="V72" s="1809">
        <v>796</v>
      </c>
      <c r="W72" s="1809">
        <v>895</v>
      </c>
      <c r="X72" s="1809">
        <v>819</v>
      </c>
      <c r="Y72" s="1809">
        <v>997</v>
      </c>
      <c r="Z72" s="1809">
        <v>926</v>
      </c>
      <c r="AA72" s="1809">
        <v>899</v>
      </c>
      <c r="AB72" s="1809">
        <v>1035</v>
      </c>
      <c r="AC72" s="1809">
        <v>1031</v>
      </c>
      <c r="AD72" s="1809">
        <v>1159</v>
      </c>
      <c r="AE72" s="1809">
        <v>1172</v>
      </c>
      <c r="AF72" s="1634">
        <v>1049</v>
      </c>
      <c r="AG72" s="1634">
        <v>1065</v>
      </c>
      <c r="AH72" s="1635">
        <v>1138</v>
      </c>
    </row>
    <row r="73" spans="1:34" x14ac:dyDescent="0.25">
      <c r="A73" s="404" t="s">
        <v>174</v>
      </c>
      <c r="B73" s="405" t="s">
        <v>507</v>
      </c>
      <c r="C73" s="412" t="s">
        <v>268</v>
      </c>
      <c r="D73" s="409">
        <v>0.18000000000000002</v>
      </c>
      <c r="E73" s="410">
        <v>0.16899999999999998</v>
      </c>
      <c r="F73" s="410">
        <v>0.18399999999999997</v>
      </c>
      <c r="G73" s="410">
        <v>0.218</v>
      </c>
      <c r="H73" s="410">
        <v>0.19500000000000001</v>
      </c>
      <c r="I73" s="410">
        <v>0.22700000000000001</v>
      </c>
      <c r="J73" s="410">
        <v>0.20799999999999999</v>
      </c>
      <c r="K73" s="410">
        <v>0.221</v>
      </c>
      <c r="L73" s="410">
        <v>0.24399999999999999</v>
      </c>
      <c r="M73" s="410">
        <v>0.26699999999999996</v>
      </c>
      <c r="N73" s="411">
        <v>0.28100000000000003</v>
      </c>
      <c r="O73" s="411">
        <v>0.27</v>
      </c>
      <c r="P73" s="411">
        <v>0.27200000000000002</v>
      </c>
      <c r="Q73" s="1812">
        <v>0.28174123337363965</v>
      </c>
      <c r="R73" s="1813">
        <v>0.31790312691600248</v>
      </c>
      <c r="S73" s="1812"/>
      <c r="T73" s="1809">
        <v>736</v>
      </c>
      <c r="U73" s="1809">
        <v>671</v>
      </c>
      <c r="V73" s="1809">
        <v>723</v>
      </c>
      <c r="W73" s="1809">
        <v>848</v>
      </c>
      <c r="X73" s="1809">
        <v>748</v>
      </c>
      <c r="Y73" s="1809">
        <v>859</v>
      </c>
      <c r="Z73" s="1809">
        <v>767</v>
      </c>
      <c r="AA73" s="1809">
        <v>803</v>
      </c>
      <c r="AB73" s="1809">
        <v>863</v>
      </c>
      <c r="AC73" s="1809">
        <v>928</v>
      </c>
      <c r="AD73" s="1809">
        <v>978</v>
      </c>
      <c r="AE73" s="1809">
        <v>919</v>
      </c>
      <c r="AF73" s="1634">
        <v>900</v>
      </c>
      <c r="AG73" s="1634">
        <v>932</v>
      </c>
      <c r="AH73" s="1635">
        <v>1037</v>
      </c>
    </row>
    <row r="74" spans="1:34" x14ac:dyDescent="0.25">
      <c r="A74" s="404" t="s">
        <v>178</v>
      </c>
      <c r="B74" s="405" t="s">
        <v>179</v>
      </c>
      <c r="C74" s="412" t="s">
        <v>265</v>
      </c>
      <c r="D74" s="409">
        <v>0.14599999999999999</v>
      </c>
      <c r="E74" s="410">
        <v>0.14100000000000001</v>
      </c>
      <c r="F74" s="410">
        <v>0.16500000000000001</v>
      </c>
      <c r="G74" s="410">
        <v>0.182</v>
      </c>
      <c r="H74" s="410">
        <v>0.16300000000000001</v>
      </c>
      <c r="I74" s="410">
        <v>0.19</v>
      </c>
      <c r="J74" s="410">
        <v>0.17599999999999999</v>
      </c>
      <c r="K74" s="410">
        <v>0.17199999999999999</v>
      </c>
      <c r="L74" s="410">
        <v>0.18300000000000002</v>
      </c>
      <c r="M74" s="410">
        <v>0.20499999999999999</v>
      </c>
      <c r="N74" s="411">
        <v>0.224</v>
      </c>
      <c r="O74" s="411">
        <v>0.20800000000000002</v>
      </c>
      <c r="P74" s="411">
        <v>0.21099999999999999</v>
      </c>
      <c r="Q74" s="1812">
        <v>0.21290637985822539</v>
      </c>
      <c r="R74" s="1813">
        <v>0.20068694798822376</v>
      </c>
      <c r="S74" s="1812"/>
      <c r="T74" s="1809">
        <v>2045</v>
      </c>
      <c r="U74" s="1809">
        <v>1937</v>
      </c>
      <c r="V74" s="1809">
        <v>2274</v>
      </c>
      <c r="W74" s="1809">
        <v>2478</v>
      </c>
      <c r="X74" s="1809">
        <v>2214</v>
      </c>
      <c r="Y74" s="1809">
        <v>2542</v>
      </c>
      <c r="Z74" s="1809">
        <v>2278</v>
      </c>
      <c r="AA74" s="1809">
        <v>2198</v>
      </c>
      <c r="AB74" s="1809">
        <v>2305</v>
      </c>
      <c r="AC74" s="1809">
        <v>2664</v>
      </c>
      <c r="AD74" s="1809">
        <v>2968</v>
      </c>
      <c r="AE74" s="1809">
        <v>2694</v>
      </c>
      <c r="AF74" s="1634">
        <v>2639</v>
      </c>
      <c r="AG74" s="1634">
        <v>2613</v>
      </c>
      <c r="AH74" s="1635">
        <v>2454</v>
      </c>
    </row>
    <row r="75" spans="1:34" x14ac:dyDescent="0.25">
      <c r="A75" s="404" t="s">
        <v>182</v>
      </c>
      <c r="B75" s="405" t="s">
        <v>509</v>
      </c>
      <c r="C75" s="412" t="s">
        <v>266</v>
      </c>
      <c r="D75" s="409">
        <v>7.0000000000000007E-2</v>
      </c>
      <c r="E75" s="410">
        <v>0.06</v>
      </c>
      <c r="F75" s="410">
        <v>6.3E-2</v>
      </c>
      <c r="G75" s="410">
        <v>7.0999999999999994E-2</v>
      </c>
      <c r="H75" s="410">
        <v>6.7000000000000004E-2</v>
      </c>
      <c r="I75" s="410">
        <v>6.9000000000000006E-2</v>
      </c>
      <c r="J75" s="410">
        <v>6.5000000000000002E-2</v>
      </c>
      <c r="K75" s="410">
        <v>6.4000000000000001E-2</v>
      </c>
      <c r="L75" s="410">
        <v>7.400000000000001E-2</v>
      </c>
      <c r="M75" s="410">
        <v>7.6999999999999999E-2</v>
      </c>
      <c r="N75" s="411">
        <v>9.1999999999999985E-2</v>
      </c>
      <c r="O75" s="411">
        <v>9.6999999999999989E-2</v>
      </c>
      <c r="P75" s="411">
        <v>9.2999999999999999E-2</v>
      </c>
      <c r="Q75" s="1812">
        <v>9.1792858478220232E-2</v>
      </c>
      <c r="R75" s="1813">
        <v>9.1012514220705346E-2</v>
      </c>
      <c r="S75" s="1812"/>
      <c r="T75" s="1809">
        <v>373</v>
      </c>
      <c r="U75" s="1809">
        <v>324</v>
      </c>
      <c r="V75" s="1809">
        <v>346</v>
      </c>
      <c r="W75" s="1809">
        <v>403</v>
      </c>
      <c r="X75" s="1809">
        <v>386</v>
      </c>
      <c r="Y75" s="1809">
        <v>392</v>
      </c>
      <c r="Z75" s="1809">
        <v>373</v>
      </c>
      <c r="AA75" s="1809">
        <v>382</v>
      </c>
      <c r="AB75" s="1809">
        <v>433</v>
      </c>
      <c r="AC75" s="1809">
        <v>472</v>
      </c>
      <c r="AD75" s="1809">
        <v>569</v>
      </c>
      <c r="AE75" s="1809">
        <v>576</v>
      </c>
      <c r="AF75" s="1634">
        <v>537</v>
      </c>
      <c r="AG75" s="1634">
        <v>491</v>
      </c>
      <c r="AH75" s="1635">
        <v>480</v>
      </c>
    </row>
    <row r="76" spans="1:34" x14ac:dyDescent="0.25">
      <c r="A76" s="404" t="s">
        <v>184</v>
      </c>
      <c r="B76" s="405" t="s">
        <v>510</v>
      </c>
      <c r="C76" s="412" t="s">
        <v>266</v>
      </c>
      <c r="D76" s="409">
        <v>0.22399999999999998</v>
      </c>
      <c r="E76" s="410">
        <v>0.20199999999999999</v>
      </c>
      <c r="F76" s="410">
        <v>0.218</v>
      </c>
      <c r="G76" s="410">
        <v>0.23399999999999999</v>
      </c>
      <c r="H76" s="410">
        <v>0.21800000000000003</v>
      </c>
      <c r="I76" s="410">
        <v>0.26</v>
      </c>
      <c r="J76" s="410">
        <v>0.249</v>
      </c>
      <c r="K76" s="410">
        <v>0.23899999999999999</v>
      </c>
      <c r="L76" s="410">
        <v>0.26600000000000001</v>
      </c>
      <c r="M76" s="410">
        <v>0.25600000000000001</v>
      </c>
      <c r="N76" s="411">
        <v>0.27</v>
      </c>
      <c r="O76" s="411">
        <v>0.27300000000000002</v>
      </c>
      <c r="P76" s="411">
        <v>0.28699999999999998</v>
      </c>
      <c r="Q76" s="1812">
        <v>0.29288025889967639</v>
      </c>
      <c r="R76" s="1813">
        <v>0.30136986301369861</v>
      </c>
      <c r="S76" s="1812"/>
      <c r="T76" s="1809">
        <v>864</v>
      </c>
      <c r="U76" s="1809">
        <v>791</v>
      </c>
      <c r="V76" s="1809">
        <v>876</v>
      </c>
      <c r="W76" s="1809">
        <v>918</v>
      </c>
      <c r="X76" s="1809">
        <v>850</v>
      </c>
      <c r="Y76" s="1809">
        <v>1000</v>
      </c>
      <c r="Z76" s="1809">
        <v>935</v>
      </c>
      <c r="AA76" s="1809">
        <v>919</v>
      </c>
      <c r="AB76" s="1809">
        <v>1023</v>
      </c>
      <c r="AC76" s="1809">
        <v>990</v>
      </c>
      <c r="AD76" s="1809">
        <v>1071</v>
      </c>
      <c r="AE76" s="1809">
        <v>1069</v>
      </c>
      <c r="AF76" s="1634">
        <v>1123</v>
      </c>
      <c r="AG76" s="1634">
        <v>1086</v>
      </c>
      <c r="AH76" s="1635">
        <v>1122</v>
      </c>
    </row>
    <row r="77" spans="1:34" x14ac:dyDescent="0.25">
      <c r="A77" s="404" t="s">
        <v>186</v>
      </c>
      <c r="B77" s="405" t="s">
        <v>511</v>
      </c>
      <c r="C77" s="412" t="s">
        <v>264</v>
      </c>
      <c r="D77" s="409">
        <v>9.6000000000000002E-2</v>
      </c>
      <c r="E77" s="410">
        <v>8.6000000000000007E-2</v>
      </c>
      <c r="F77" s="410">
        <v>8.5000000000000006E-2</v>
      </c>
      <c r="G77" s="410">
        <v>0.115</v>
      </c>
      <c r="H77" s="410">
        <v>9.6999999999999989E-2</v>
      </c>
      <c r="I77" s="410">
        <v>0.10300000000000001</v>
      </c>
      <c r="J77" s="410">
        <v>0.10400000000000001</v>
      </c>
      <c r="K77" s="410">
        <v>0.111</v>
      </c>
      <c r="L77" s="410">
        <v>0.128</v>
      </c>
      <c r="M77" s="410">
        <v>0.11599999999999999</v>
      </c>
      <c r="N77" s="411">
        <v>0.127</v>
      </c>
      <c r="O77" s="411">
        <v>0.13600000000000001</v>
      </c>
      <c r="P77" s="411">
        <v>0.126</v>
      </c>
      <c r="Q77" s="1812">
        <v>0.14816237674478167</v>
      </c>
      <c r="R77" s="1813">
        <v>0.13015710818750797</v>
      </c>
      <c r="S77" s="1812"/>
      <c r="T77" s="1809">
        <v>795</v>
      </c>
      <c r="U77" s="1809">
        <v>708</v>
      </c>
      <c r="V77" s="1809">
        <v>695</v>
      </c>
      <c r="W77" s="1809">
        <v>924</v>
      </c>
      <c r="X77" s="1809">
        <v>778</v>
      </c>
      <c r="Y77" s="1809">
        <v>816</v>
      </c>
      <c r="Z77" s="1809">
        <v>785</v>
      </c>
      <c r="AA77" s="1809">
        <v>819</v>
      </c>
      <c r="AB77" s="1809">
        <v>931</v>
      </c>
      <c r="AC77" s="1809">
        <v>941</v>
      </c>
      <c r="AD77" s="1809">
        <v>1006</v>
      </c>
      <c r="AE77" s="1809">
        <v>1111</v>
      </c>
      <c r="AF77" s="1634">
        <v>1011</v>
      </c>
      <c r="AG77" s="1634">
        <v>1157</v>
      </c>
      <c r="AH77" s="1635">
        <v>1019</v>
      </c>
    </row>
    <row r="78" spans="1:34" x14ac:dyDescent="0.25">
      <c r="A78" s="404" t="s">
        <v>188</v>
      </c>
      <c r="B78" s="405" t="s">
        <v>512</v>
      </c>
      <c r="C78" s="412" t="s">
        <v>267</v>
      </c>
      <c r="D78" s="409">
        <v>6.4000000000000001E-2</v>
      </c>
      <c r="E78" s="410">
        <v>0.06</v>
      </c>
      <c r="F78" s="410">
        <v>7.2999999999999995E-2</v>
      </c>
      <c r="G78" s="410">
        <v>8.1000000000000003E-2</v>
      </c>
      <c r="H78" s="410">
        <v>7.2000000000000008E-2</v>
      </c>
      <c r="I78" s="410">
        <v>7.0000000000000007E-2</v>
      </c>
      <c r="J78" s="410">
        <v>7.0000000000000007E-2</v>
      </c>
      <c r="K78" s="410">
        <v>6.7999999999999991E-2</v>
      </c>
      <c r="L78" s="410">
        <v>7.4999999999999997E-2</v>
      </c>
      <c r="M78" s="410">
        <v>8.2000000000000003E-2</v>
      </c>
      <c r="N78" s="411">
        <v>8.4999999999999992E-2</v>
      </c>
      <c r="O78" s="411">
        <v>9.6999999999999989E-2</v>
      </c>
      <c r="P78" s="411">
        <v>9.6000000000000002E-2</v>
      </c>
      <c r="Q78" s="1812">
        <v>0.10001145231745824</v>
      </c>
      <c r="R78" s="1813">
        <v>0.10445084594473973</v>
      </c>
      <c r="S78" s="1812"/>
      <c r="T78" s="1809">
        <v>5688</v>
      </c>
      <c r="U78" s="1809">
        <v>5592</v>
      </c>
      <c r="V78" s="1809">
        <v>7107</v>
      </c>
      <c r="W78" s="1809">
        <v>8029</v>
      </c>
      <c r="X78" s="1809">
        <v>7411</v>
      </c>
      <c r="Y78" s="1809">
        <v>7148</v>
      </c>
      <c r="Z78" s="1809">
        <v>7105</v>
      </c>
      <c r="AA78" s="1809">
        <v>7135</v>
      </c>
      <c r="AB78" s="1809">
        <v>7921</v>
      </c>
      <c r="AC78" s="1809">
        <v>9006</v>
      </c>
      <c r="AD78" s="1809">
        <v>9782</v>
      </c>
      <c r="AE78" s="1809">
        <v>11468</v>
      </c>
      <c r="AF78" s="1634">
        <v>11471</v>
      </c>
      <c r="AG78" s="1634">
        <v>12226</v>
      </c>
      <c r="AH78" s="1635">
        <v>12872</v>
      </c>
    </row>
    <row r="79" spans="1:34" x14ac:dyDescent="0.25">
      <c r="A79" s="404" t="s">
        <v>190</v>
      </c>
      <c r="B79" s="405" t="s">
        <v>513</v>
      </c>
      <c r="C79" s="412" t="s">
        <v>268</v>
      </c>
      <c r="D79" s="409">
        <v>0.16499999999999998</v>
      </c>
      <c r="E79" s="410">
        <v>0.156</v>
      </c>
      <c r="F79" s="410">
        <v>0.17399999999999999</v>
      </c>
      <c r="G79" s="410">
        <v>0.193</v>
      </c>
      <c r="H79" s="410">
        <v>0.18100000000000002</v>
      </c>
      <c r="I79" s="410">
        <v>0.21299999999999999</v>
      </c>
      <c r="J79" s="410">
        <v>0.19</v>
      </c>
      <c r="K79" s="410">
        <v>0.19800000000000001</v>
      </c>
      <c r="L79" s="410">
        <v>0.20799999999999999</v>
      </c>
      <c r="M79" s="410">
        <v>0.20600000000000002</v>
      </c>
      <c r="N79" s="411">
        <v>0.23399999999999999</v>
      </c>
      <c r="O79" s="411">
        <v>0.23899999999999999</v>
      </c>
      <c r="P79" s="411">
        <v>0.23100000000000001</v>
      </c>
      <c r="Q79" s="1812">
        <v>0.22259669394960679</v>
      </c>
      <c r="R79" s="1813">
        <v>0.22134578235672892</v>
      </c>
      <c r="S79" s="1812"/>
      <c r="T79" s="1809">
        <v>1182</v>
      </c>
      <c r="U79" s="1809">
        <v>1105</v>
      </c>
      <c r="V79" s="1809">
        <v>1244</v>
      </c>
      <c r="W79" s="1809">
        <v>1354</v>
      </c>
      <c r="X79" s="1809">
        <v>1250</v>
      </c>
      <c r="Y79" s="1809">
        <v>1456</v>
      </c>
      <c r="Z79" s="1809">
        <v>1284</v>
      </c>
      <c r="AA79" s="1809">
        <v>1334</v>
      </c>
      <c r="AB79" s="1809">
        <v>1377</v>
      </c>
      <c r="AC79" s="1809">
        <v>1352</v>
      </c>
      <c r="AD79" s="1809">
        <v>1557</v>
      </c>
      <c r="AE79" s="1809">
        <v>1564</v>
      </c>
      <c r="AF79" s="1634">
        <v>1472</v>
      </c>
      <c r="AG79" s="1634">
        <v>1387</v>
      </c>
      <c r="AH79" s="1635">
        <v>1375</v>
      </c>
    </row>
    <row r="80" spans="1:34" x14ac:dyDescent="0.25">
      <c r="A80" s="404" t="s">
        <v>194</v>
      </c>
      <c r="B80" s="405" t="s">
        <v>195</v>
      </c>
      <c r="C80" s="412" t="s">
        <v>267</v>
      </c>
      <c r="D80" s="409">
        <v>0.122</v>
      </c>
      <c r="E80" s="410">
        <v>0.11399999999999999</v>
      </c>
      <c r="F80" s="410">
        <v>0.10500000000000001</v>
      </c>
      <c r="G80" s="410">
        <v>0.109</v>
      </c>
      <c r="H80" s="410">
        <v>0.09</v>
      </c>
      <c r="I80" s="410">
        <v>0.10199999999999998</v>
      </c>
      <c r="J80" s="410">
        <v>0.10300000000000001</v>
      </c>
      <c r="K80" s="410">
        <v>0.11499999999999999</v>
      </c>
      <c r="L80" s="410">
        <v>0.13300000000000001</v>
      </c>
      <c r="M80" s="410">
        <v>0.14199999999999999</v>
      </c>
      <c r="N80" s="411">
        <v>0.155</v>
      </c>
      <c r="O80" s="411">
        <v>0.16200000000000001</v>
      </c>
      <c r="P80" s="411">
        <v>0.17100000000000001</v>
      </c>
      <c r="Q80" s="1812">
        <v>0.17655571635311143</v>
      </c>
      <c r="R80" s="1813">
        <v>0.16562499999999999</v>
      </c>
      <c r="S80" s="1812"/>
      <c r="T80" s="1809">
        <v>190</v>
      </c>
      <c r="U80" s="1809">
        <v>178</v>
      </c>
      <c r="V80" s="1809">
        <v>161</v>
      </c>
      <c r="W80" s="1809">
        <v>165</v>
      </c>
      <c r="X80" s="1809">
        <v>134</v>
      </c>
      <c r="Y80" s="1809">
        <v>149</v>
      </c>
      <c r="Z80" s="1809">
        <v>149</v>
      </c>
      <c r="AA80" s="1809">
        <v>165</v>
      </c>
      <c r="AB80" s="1809">
        <v>186</v>
      </c>
      <c r="AC80" s="1809">
        <v>199</v>
      </c>
      <c r="AD80" s="1809">
        <v>222</v>
      </c>
      <c r="AE80" s="1809">
        <v>231</v>
      </c>
      <c r="AF80" s="1634">
        <v>235</v>
      </c>
      <c r="AG80" s="1634">
        <v>244</v>
      </c>
      <c r="AH80" s="1635">
        <v>212</v>
      </c>
    </row>
    <row r="81" spans="1:34" x14ac:dyDescent="0.25">
      <c r="A81" s="404" t="s">
        <v>198</v>
      </c>
      <c r="B81" s="405" t="s">
        <v>272</v>
      </c>
      <c r="C81" s="412" t="s">
        <v>266</v>
      </c>
      <c r="D81" s="409">
        <v>0.189</v>
      </c>
      <c r="E81" s="410">
        <v>0.17600000000000002</v>
      </c>
      <c r="F81" s="410">
        <v>0.185</v>
      </c>
      <c r="G81" s="410">
        <v>0.20100000000000001</v>
      </c>
      <c r="H81" s="410">
        <v>0.187</v>
      </c>
      <c r="I81" s="410">
        <v>0.21299999999999999</v>
      </c>
      <c r="J81" s="410">
        <v>0.19900000000000001</v>
      </c>
      <c r="K81" s="410">
        <v>0.21500000000000002</v>
      </c>
      <c r="L81" s="410">
        <v>0.20899999999999999</v>
      </c>
      <c r="M81" s="410">
        <v>0.21899999999999997</v>
      </c>
      <c r="N81" s="411">
        <v>0.23799999999999999</v>
      </c>
      <c r="O81" s="411">
        <v>0.25900000000000001</v>
      </c>
      <c r="P81" s="411">
        <v>0.24099999999999999</v>
      </c>
      <c r="Q81" s="1812">
        <v>0.25810810810810808</v>
      </c>
      <c r="R81" s="1813">
        <v>0.23908663532572197</v>
      </c>
      <c r="S81" s="1812"/>
      <c r="T81" s="1809">
        <v>293</v>
      </c>
      <c r="U81" s="1809">
        <v>262</v>
      </c>
      <c r="V81" s="1809">
        <v>278</v>
      </c>
      <c r="W81" s="1809">
        <v>304</v>
      </c>
      <c r="X81" s="1809">
        <v>269</v>
      </c>
      <c r="Y81" s="1809">
        <v>305</v>
      </c>
      <c r="Z81" s="1809">
        <v>284</v>
      </c>
      <c r="AA81" s="1809">
        <v>317</v>
      </c>
      <c r="AB81" s="1809">
        <v>308</v>
      </c>
      <c r="AC81" s="1809">
        <v>325</v>
      </c>
      <c r="AD81" s="1809">
        <v>365</v>
      </c>
      <c r="AE81" s="1809">
        <v>394</v>
      </c>
      <c r="AF81" s="1634">
        <v>366</v>
      </c>
      <c r="AG81" s="1634">
        <v>382</v>
      </c>
      <c r="AH81" s="1635">
        <v>356</v>
      </c>
    </row>
    <row r="82" spans="1:34" x14ac:dyDescent="0.25">
      <c r="A82" s="404" t="s">
        <v>202</v>
      </c>
      <c r="B82" s="405" t="s">
        <v>611</v>
      </c>
      <c r="C82" s="412" t="s">
        <v>265</v>
      </c>
      <c r="D82" s="409">
        <v>6.8193940308644313E-2</v>
      </c>
      <c r="E82" s="410">
        <v>6.5974551764025446E-2</v>
      </c>
      <c r="F82" s="410">
        <v>7.944924009010175E-2</v>
      </c>
      <c r="G82" s="410">
        <v>9.4153362380463512E-2</v>
      </c>
      <c r="H82" s="410">
        <v>8.4813546374689658E-2</v>
      </c>
      <c r="I82" s="410">
        <v>8.02463426937952E-2</v>
      </c>
      <c r="J82" s="410">
        <v>7.7264923917284428E-2</v>
      </c>
      <c r="K82" s="410">
        <v>8.1615503397158728E-2</v>
      </c>
      <c r="L82" s="410">
        <v>8.5679896462467639E-2</v>
      </c>
      <c r="M82" s="410">
        <v>9.3418944062637801E-2</v>
      </c>
      <c r="N82" s="411">
        <v>0.10149676712900199</v>
      </c>
      <c r="O82" s="411">
        <v>0.252</v>
      </c>
      <c r="P82" s="411">
        <v>0.105</v>
      </c>
      <c r="Q82" s="1812">
        <v>0.10698493285293155</v>
      </c>
      <c r="R82" s="1813">
        <v>0.11178384612216319</v>
      </c>
      <c r="S82" s="1812"/>
      <c r="T82" s="1809">
        <v>1630</v>
      </c>
      <c r="U82" s="1809">
        <v>1584</v>
      </c>
      <c r="V82" s="1809">
        <v>1955</v>
      </c>
      <c r="W82" s="1809">
        <v>2276</v>
      </c>
      <c r="X82" s="1809">
        <v>2031</v>
      </c>
      <c r="Y82" s="1809">
        <v>1890</v>
      </c>
      <c r="Z82" s="1809">
        <v>1886</v>
      </c>
      <c r="AA82" s="1809">
        <v>1987</v>
      </c>
      <c r="AB82" s="1809">
        <v>2095</v>
      </c>
      <c r="AC82" s="1809">
        <v>2424</v>
      </c>
      <c r="AD82" s="1809">
        <v>2510</v>
      </c>
      <c r="AE82" s="1809">
        <v>2734</v>
      </c>
      <c r="AF82" s="1634">
        <v>2531</v>
      </c>
      <c r="AG82" s="1634">
        <v>2613</v>
      </c>
      <c r="AH82" s="1635">
        <v>2714</v>
      </c>
    </row>
    <row r="83" spans="1:34" x14ac:dyDescent="0.25">
      <c r="A83" s="404" t="s">
        <v>204</v>
      </c>
      <c r="B83" s="405" t="s">
        <v>757</v>
      </c>
      <c r="C83" s="412" t="s">
        <v>265</v>
      </c>
      <c r="D83" s="409">
        <v>0.12251567942620668</v>
      </c>
      <c r="E83" s="410">
        <v>0.11493050403158708</v>
      </c>
      <c r="F83" s="410">
        <v>0.13090330456689325</v>
      </c>
      <c r="G83" s="410">
        <v>0.14345094670059147</v>
      </c>
      <c r="H83" s="410">
        <v>0.12311181521666978</v>
      </c>
      <c r="I83" s="410">
        <v>0.13926536034540019</v>
      </c>
      <c r="J83" s="410">
        <v>0.14667017682672617</v>
      </c>
      <c r="K83" s="410">
        <v>0.13979679129953718</v>
      </c>
      <c r="L83" s="410">
        <v>0.15096898355924435</v>
      </c>
      <c r="M83" s="410">
        <v>0.16557930071263913</v>
      </c>
      <c r="N83" s="411">
        <v>0.18075532332328353</v>
      </c>
      <c r="O83" s="411">
        <v>0.18936066373840899</v>
      </c>
      <c r="P83" s="411">
        <v>0.189</v>
      </c>
      <c r="Q83" s="1812">
        <v>0.19196062346185397</v>
      </c>
      <c r="R83" s="1813">
        <v>0.19739837398373983</v>
      </c>
      <c r="S83" s="1812"/>
      <c r="T83" s="1809">
        <v>815</v>
      </c>
      <c r="U83" s="1809">
        <v>749</v>
      </c>
      <c r="V83" s="1809">
        <v>865</v>
      </c>
      <c r="W83" s="1809">
        <v>932</v>
      </c>
      <c r="X83" s="1809">
        <v>785</v>
      </c>
      <c r="Y83" s="1809">
        <v>876</v>
      </c>
      <c r="Z83" s="1809">
        <v>924</v>
      </c>
      <c r="AA83" s="1809">
        <v>879</v>
      </c>
      <c r="AB83" s="1809">
        <v>938</v>
      </c>
      <c r="AC83" s="1809">
        <v>1017</v>
      </c>
      <c r="AD83" s="1809">
        <v>1130</v>
      </c>
      <c r="AE83" s="1809">
        <v>1164</v>
      </c>
      <c r="AF83" s="1634">
        <v>1164</v>
      </c>
      <c r="AG83" s="1634">
        <v>1170</v>
      </c>
      <c r="AH83" s="1635">
        <v>1214</v>
      </c>
    </row>
    <row r="84" spans="1:34" x14ac:dyDescent="0.25">
      <c r="A84" s="404" t="s">
        <v>206</v>
      </c>
      <c r="B84" s="405" t="s">
        <v>758</v>
      </c>
      <c r="C84" s="412" t="s">
        <v>267</v>
      </c>
      <c r="D84" s="409">
        <v>0.12778413353338336</v>
      </c>
      <c r="E84" s="410">
        <v>0.11888582454334963</v>
      </c>
      <c r="F84" s="410">
        <v>0.13148748332417798</v>
      </c>
      <c r="G84" s="410">
        <v>0.1414905487181094</v>
      </c>
      <c r="H84" s="410">
        <v>0.12762551060745816</v>
      </c>
      <c r="I84" s="410">
        <v>0.13042314334320348</v>
      </c>
      <c r="J84" s="410">
        <v>0.12657400610789404</v>
      </c>
      <c r="K84" s="410">
        <v>0.13915740575977523</v>
      </c>
      <c r="L84" s="410">
        <v>0.1465355207875364</v>
      </c>
      <c r="M84" s="410">
        <v>0.15607638752568281</v>
      </c>
      <c r="N84" s="411">
        <v>0.17198822367149413</v>
      </c>
      <c r="O84" s="411">
        <v>0.16272639846129183</v>
      </c>
      <c r="P84" s="411">
        <v>0.183</v>
      </c>
      <c r="Q84" s="1812">
        <v>0.17264150943396225</v>
      </c>
      <c r="R84" s="1813">
        <v>0.1867582760774516</v>
      </c>
      <c r="S84" s="1812"/>
      <c r="T84" s="1809">
        <v>2884</v>
      </c>
      <c r="U84" s="1809">
        <v>2710</v>
      </c>
      <c r="V84" s="1809">
        <v>3019</v>
      </c>
      <c r="W84" s="1809">
        <v>3287</v>
      </c>
      <c r="X84" s="1809">
        <v>2935</v>
      </c>
      <c r="Y84" s="1809">
        <v>2963</v>
      </c>
      <c r="Z84" s="1809">
        <v>2932</v>
      </c>
      <c r="AA84" s="1809">
        <v>3342</v>
      </c>
      <c r="AB84" s="1809">
        <v>3535</v>
      </c>
      <c r="AC84" s="1809">
        <v>3765</v>
      </c>
      <c r="AD84" s="1809">
        <v>4302</v>
      </c>
      <c r="AE84" s="1809">
        <v>4061</v>
      </c>
      <c r="AF84" s="1634">
        <v>4669</v>
      </c>
      <c r="AG84" s="1634">
        <v>4392</v>
      </c>
      <c r="AH84" s="1635">
        <v>4784</v>
      </c>
    </row>
    <row r="85" spans="1:34" x14ac:dyDescent="0.25">
      <c r="A85" s="404" t="s">
        <v>208</v>
      </c>
      <c r="B85" s="405" t="s">
        <v>515</v>
      </c>
      <c r="C85" s="412" t="s">
        <v>268</v>
      </c>
      <c r="D85" s="409">
        <v>0.22100000000000003</v>
      </c>
      <c r="E85" s="410">
        <v>0.19499999999999998</v>
      </c>
      <c r="F85" s="410">
        <v>0.23</v>
      </c>
      <c r="G85" s="410">
        <v>0.249</v>
      </c>
      <c r="H85" s="410">
        <v>0.218</v>
      </c>
      <c r="I85" s="410">
        <v>0.26699999999999996</v>
      </c>
      <c r="J85" s="410">
        <v>0.22500000000000001</v>
      </c>
      <c r="K85" s="410">
        <v>0.255</v>
      </c>
      <c r="L85" s="410">
        <v>0.251</v>
      </c>
      <c r="M85" s="410">
        <v>0.25600000000000001</v>
      </c>
      <c r="N85" s="411">
        <v>0.252</v>
      </c>
      <c r="O85" s="411">
        <v>0.27200000000000002</v>
      </c>
      <c r="P85" s="411">
        <v>0.23899999999999999</v>
      </c>
      <c r="Q85" s="1812">
        <v>0.26217843459222767</v>
      </c>
      <c r="R85" s="1813">
        <v>0.24550458715596329</v>
      </c>
      <c r="S85" s="1812"/>
      <c r="T85" s="1809">
        <v>1360</v>
      </c>
      <c r="U85" s="1809">
        <v>1181</v>
      </c>
      <c r="V85" s="1809">
        <v>1396</v>
      </c>
      <c r="W85" s="1809">
        <v>1499</v>
      </c>
      <c r="X85" s="1809">
        <v>1321</v>
      </c>
      <c r="Y85" s="1809">
        <v>1596</v>
      </c>
      <c r="Z85" s="1809">
        <v>1295</v>
      </c>
      <c r="AA85" s="1809">
        <v>1476</v>
      </c>
      <c r="AB85" s="1809">
        <v>1428</v>
      </c>
      <c r="AC85" s="1809">
        <v>1500</v>
      </c>
      <c r="AD85" s="1809">
        <v>1464</v>
      </c>
      <c r="AE85" s="1809">
        <v>1546</v>
      </c>
      <c r="AF85" s="1634">
        <v>1332</v>
      </c>
      <c r="AG85" s="1634">
        <v>1437</v>
      </c>
      <c r="AH85" s="1635">
        <v>1338</v>
      </c>
    </row>
    <row r="86" spans="1:34" x14ac:dyDescent="0.25">
      <c r="A86" s="404" t="s">
        <v>210</v>
      </c>
      <c r="B86" s="405" t="s">
        <v>516</v>
      </c>
      <c r="C86" s="412" t="s">
        <v>268</v>
      </c>
      <c r="D86" s="409">
        <v>0.192</v>
      </c>
      <c r="E86" s="410">
        <v>0.18</v>
      </c>
      <c r="F86" s="410">
        <v>0.191</v>
      </c>
      <c r="G86" s="410">
        <v>0.22100000000000003</v>
      </c>
      <c r="H86" s="410">
        <v>0.19699999999999998</v>
      </c>
      <c r="I86" s="410">
        <v>0.24300000000000002</v>
      </c>
      <c r="J86" s="410">
        <v>0.24000000000000002</v>
      </c>
      <c r="K86" s="410">
        <v>0.221</v>
      </c>
      <c r="L86" s="410">
        <v>0.221</v>
      </c>
      <c r="M86" s="410">
        <v>0.24100000000000002</v>
      </c>
      <c r="N86" s="411">
        <v>0.25</v>
      </c>
      <c r="O86" s="411">
        <v>0.249</v>
      </c>
      <c r="P86" s="411">
        <v>0.28199999999999997</v>
      </c>
      <c r="Q86" s="1812">
        <v>0.26485972420351878</v>
      </c>
      <c r="R86" s="1813">
        <v>0.26053455333493858</v>
      </c>
      <c r="S86" s="1812"/>
      <c r="T86" s="1809">
        <v>900</v>
      </c>
      <c r="U86" s="1809">
        <v>828</v>
      </c>
      <c r="V86" s="1809">
        <v>877</v>
      </c>
      <c r="W86" s="1809">
        <v>1004</v>
      </c>
      <c r="X86" s="1809">
        <v>884</v>
      </c>
      <c r="Y86" s="1809">
        <v>1075</v>
      </c>
      <c r="Z86" s="1809">
        <v>1046</v>
      </c>
      <c r="AA86" s="1809">
        <v>942</v>
      </c>
      <c r="AB86" s="1809">
        <v>936</v>
      </c>
      <c r="AC86" s="1809">
        <v>1035</v>
      </c>
      <c r="AD86" s="1809">
        <v>1094</v>
      </c>
      <c r="AE86" s="1809">
        <v>1076</v>
      </c>
      <c r="AF86" s="1634">
        <v>1195</v>
      </c>
      <c r="AG86" s="1634">
        <v>1114</v>
      </c>
      <c r="AH86" s="1635">
        <v>1082</v>
      </c>
    </row>
    <row r="87" spans="1:34" x14ac:dyDescent="0.25">
      <c r="A87" s="404" t="s">
        <v>212</v>
      </c>
      <c r="B87" s="405" t="s">
        <v>517</v>
      </c>
      <c r="C87" s="412" t="s">
        <v>267</v>
      </c>
      <c r="D87" s="409">
        <v>0.12300000000000001</v>
      </c>
      <c r="E87" s="410">
        <v>0.11499999999999999</v>
      </c>
      <c r="F87" s="410">
        <v>0.115</v>
      </c>
      <c r="G87" s="410">
        <v>0.13100000000000001</v>
      </c>
      <c r="H87" s="410">
        <v>0.12300000000000001</v>
      </c>
      <c r="I87" s="410">
        <v>0.13100000000000001</v>
      </c>
      <c r="J87" s="410">
        <v>0.12699999999999997</v>
      </c>
      <c r="K87" s="410">
        <v>0.124</v>
      </c>
      <c r="L87" s="410">
        <v>0.14599999999999999</v>
      </c>
      <c r="M87" s="410">
        <v>0.15500000000000003</v>
      </c>
      <c r="N87" s="411">
        <v>0.17199999999999999</v>
      </c>
      <c r="O87" s="411">
        <v>0.20300000000000001</v>
      </c>
      <c r="P87" s="411">
        <v>0.17599999999999999</v>
      </c>
      <c r="Q87" s="1812">
        <v>0.18003783242461333</v>
      </c>
      <c r="R87" s="1813">
        <v>0.17639942813152976</v>
      </c>
      <c r="S87" s="1812"/>
      <c r="T87" s="1809">
        <v>952</v>
      </c>
      <c r="U87" s="1809">
        <v>910</v>
      </c>
      <c r="V87" s="1809">
        <v>942</v>
      </c>
      <c r="W87" s="1809">
        <v>1070</v>
      </c>
      <c r="X87" s="1809">
        <v>1038</v>
      </c>
      <c r="Y87" s="1809">
        <v>1094</v>
      </c>
      <c r="Z87" s="1809">
        <v>1059</v>
      </c>
      <c r="AA87" s="1809">
        <v>1086</v>
      </c>
      <c r="AB87" s="1809">
        <v>1281</v>
      </c>
      <c r="AC87" s="1809">
        <v>1375</v>
      </c>
      <c r="AD87" s="1809">
        <v>1556</v>
      </c>
      <c r="AE87" s="1809">
        <v>1838</v>
      </c>
      <c r="AF87" s="1634">
        <v>1583</v>
      </c>
      <c r="AG87" s="1634">
        <v>1618</v>
      </c>
      <c r="AH87" s="1635">
        <v>1604</v>
      </c>
    </row>
    <row r="88" spans="1:34" x14ac:dyDescent="0.25">
      <c r="A88" s="404" t="s">
        <v>214</v>
      </c>
      <c r="B88" s="405" t="s">
        <v>518</v>
      </c>
      <c r="C88" s="412" t="s">
        <v>268</v>
      </c>
      <c r="D88" s="409">
        <v>0.18</v>
      </c>
      <c r="E88" s="410">
        <v>0.17500000000000002</v>
      </c>
      <c r="F88" s="410">
        <v>0.19500000000000001</v>
      </c>
      <c r="G88" s="410">
        <v>0.22399999999999998</v>
      </c>
      <c r="H88" s="410">
        <v>0.18600000000000003</v>
      </c>
      <c r="I88" s="410">
        <v>0.19</v>
      </c>
      <c r="J88" s="410">
        <v>0.214</v>
      </c>
      <c r="K88" s="410">
        <v>0.218</v>
      </c>
      <c r="L88" s="410">
        <v>0.24299999999999999</v>
      </c>
      <c r="M88" s="410">
        <v>0.247</v>
      </c>
      <c r="N88" s="411">
        <v>0.28000000000000003</v>
      </c>
      <c r="O88" s="411">
        <v>0.27899999999999997</v>
      </c>
      <c r="P88" s="411">
        <v>0.28000000000000003</v>
      </c>
      <c r="Q88" s="1812">
        <v>0.25925332478769431</v>
      </c>
      <c r="R88" s="1813">
        <v>0.26875502008032126</v>
      </c>
      <c r="S88" s="1812"/>
      <c r="T88" s="1809">
        <v>1245</v>
      </c>
      <c r="U88" s="1809">
        <v>1207</v>
      </c>
      <c r="V88" s="1809">
        <v>1367</v>
      </c>
      <c r="W88" s="1809">
        <v>1524</v>
      </c>
      <c r="X88" s="1809">
        <v>1291</v>
      </c>
      <c r="Y88" s="1809">
        <v>1295</v>
      </c>
      <c r="Z88" s="1809">
        <v>1401</v>
      </c>
      <c r="AA88" s="1809">
        <v>1410</v>
      </c>
      <c r="AB88" s="1809">
        <v>1545</v>
      </c>
      <c r="AC88" s="1809">
        <v>1593</v>
      </c>
      <c r="AD88" s="1809">
        <v>1843</v>
      </c>
      <c r="AE88" s="1809">
        <v>1786</v>
      </c>
      <c r="AF88" s="1634">
        <v>1764</v>
      </c>
      <c r="AG88" s="1634">
        <v>1618</v>
      </c>
      <c r="AH88" s="1635">
        <v>1673</v>
      </c>
    </row>
    <row r="89" spans="1:34" x14ac:dyDescent="0.25">
      <c r="A89" s="404" t="s">
        <v>216</v>
      </c>
      <c r="B89" s="405" t="s">
        <v>519</v>
      </c>
      <c r="C89" s="412" t="s">
        <v>264</v>
      </c>
      <c r="D89" s="409">
        <v>0.18899999999999997</v>
      </c>
      <c r="E89" s="410">
        <v>0.16399999999999998</v>
      </c>
      <c r="F89" s="410">
        <v>0.17399999999999999</v>
      </c>
      <c r="G89" s="410">
        <v>0.19600000000000001</v>
      </c>
      <c r="H89" s="410">
        <v>0.17499999999999999</v>
      </c>
      <c r="I89" s="410">
        <v>0.19399999999999998</v>
      </c>
      <c r="J89" s="410">
        <v>0.20199999999999999</v>
      </c>
      <c r="K89" s="410">
        <v>0.188</v>
      </c>
      <c r="L89" s="410">
        <v>0.218</v>
      </c>
      <c r="M89" s="410">
        <v>0.19500000000000001</v>
      </c>
      <c r="N89" s="411">
        <v>0.2</v>
      </c>
      <c r="O89" s="411">
        <v>0.221</v>
      </c>
      <c r="P89" s="411">
        <v>0.22500000000000001</v>
      </c>
      <c r="Q89" s="1812">
        <v>0.2248639358350043</v>
      </c>
      <c r="R89" s="1813">
        <v>0.22421921037124337</v>
      </c>
      <c r="S89" s="1812"/>
      <c r="T89" s="1809">
        <v>714</v>
      </c>
      <c r="U89" s="1809">
        <v>607</v>
      </c>
      <c r="V89" s="1809">
        <v>656</v>
      </c>
      <c r="W89" s="1809">
        <v>707</v>
      </c>
      <c r="X89" s="1809">
        <v>640</v>
      </c>
      <c r="Y89" s="1809">
        <v>701</v>
      </c>
      <c r="Z89" s="1809">
        <v>717</v>
      </c>
      <c r="AA89" s="1809">
        <v>662</v>
      </c>
      <c r="AB89" s="1809">
        <v>747</v>
      </c>
      <c r="AC89" s="1809">
        <v>704</v>
      </c>
      <c r="AD89" s="1809">
        <v>768</v>
      </c>
      <c r="AE89" s="1809">
        <v>831</v>
      </c>
      <c r="AF89" s="1634">
        <v>826</v>
      </c>
      <c r="AG89" s="1634">
        <v>785</v>
      </c>
      <c r="AH89" s="1635">
        <v>761</v>
      </c>
    </row>
    <row r="90" spans="1:34" x14ac:dyDescent="0.25">
      <c r="A90" s="404" t="s">
        <v>218</v>
      </c>
      <c r="B90" s="405" t="s">
        <v>520</v>
      </c>
      <c r="C90" s="412" t="s">
        <v>267</v>
      </c>
      <c r="D90" s="409">
        <v>7.2000000000000008E-2</v>
      </c>
      <c r="E90" s="410">
        <v>6.4000000000000001E-2</v>
      </c>
      <c r="F90" s="410">
        <v>7.0999999999999994E-2</v>
      </c>
      <c r="G90" s="410">
        <v>7.8E-2</v>
      </c>
      <c r="H90" s="410">
        <v>7.2999999999999995E-2</v>
      </c>
      <c r="I90" s="410">
        <v>7.4999999999999997E-2</v>
      </c>
      <c r="J90" s="410">
        <v>7.0999999999999994E-2</v>
      </c>
      <c r="K90" s="410">
        <v>7.6999999999999999E-2</v>
      </c>
      <c r="L90" s="410">
        <v>8.6999999999999994E-2</v>
      </c>
      <c r="M90" s="410">
        <v>0.10400000000000001</v>
      </c>
      <c r="N90" s="411">
        <v>0.10500000000000001</v>
      </c>
      <c r="O90" s="411">
        <v>0.11599999999999999</v>
      </c>
      <c r="P90" s="411">
        <v>0.11600000000000001</v>
      </c>
      <c r="Q90" s="1812">
        <v>0.10372299678259538</v>
      </c>
      <c r="R90" s="1813">
        <v>0.12804560360415582</v>
      </c>
      <c r="S90" s="1812"/>
      <c r="T90" s="1809">
        <v>2013</v>
      </c>
      <c r="U90" s="1809">
        <v>1875</v>
      </c>
      <c r="V90" s="1809">
        <v>2164</v>
      </c>
      <c r="W90" s="1809">
        <v>2418</v>
      </c>
      <c r="X90" s="1809">
        <v>2320</v>
      </c>
      <c r="Y90" s="1809">
        <v>2365</v>
      </c>
      <c r="Z90" s="1809">
        <v>2241</v>
      </c>
      <c r="AA90" s="1809">
        <v>2473</v>
      </c>
      <c r="AB90" s="1809">
        <v>2790</v>
      </c>
      <c r="AC90" s="1809">
        <v>3473</v>
      </c>
      <c r="AD90" s="1809">
        <v>3532</v>
      </c>
      <c r="AE90" s="1809">
        <v>3814</v>
      </c>
      <c r="AF90" s="1634">
        <v>3803</v>
      </c>
      <c r="AG90" s="1634">
        <v>3385</v>
      </c>
      <c r="AH90" s="1635">
        <v>4178</v>
      </c>
    </row>
    <row r="91" spans="1:34" x14ac:dyDescent="0.25">
      <c r="A91" s="404" t="s">
        <v>220</v>
      </c>
      <c r="B91" s="405" t="s">
        <v>521</v>
      </c>
      <c r="C91" s="412" t="s">
        <v>267</v>
      </c>
      <c r="D91" s="409">
        <v>5.2999999999999999E-2</v>
      </c>
      <c r="E91" s="410">
        <v>4.4999999999999998E-2</v>
      </c>
      <c r="F91" s="410">
        <v>5.2999999999999999E-2</v>
      </c>
      <c r="G91" s="410">
        <v>6.2E-2</v>
      </c>
      <c r="H91" s="410">
        <v>5.7999999999999996E-2</v>
      </c>
      <c r="I91" s="410">
        <v>5.2999999999999992E-2</v>
      </c>
      <c r="J91" s="410">
        <v>4.5999999999999999E-2</v>
      </c>
      <c r="K91" s="410">
        <v>5.099999999999999E-2</v>
      </c>
      <c r="L91" s="410">
        <v>5.9000000000000004E-2</v>
      </c>
      <c r="M91" s="410">
        <v>6.2000000000000006E-2</v>
      </c>
      <c r="N91" s="411">
        <v>6.8000000000000005E-2</v>
      </c>
      <c r="O91" s="411">
        <v>7.9000000000000001E-2</v>
      </c>
      <c r="P91" s="411">
        <v>7.0000000000000007E-2</v>
      </c>
      <c r="Q91" s="1812">
        <v>8.0715281765236652E-2</v>
      </c>
      <c r="R91" s="1813">
        <v>7.570247043293192E-2</v>
      </c>
      <c r="S91" s="1812"/>
      <c r="T91" s="1809">
        <v>1608</v>
      </c>
      <c r="U91" s="1809">
        <v>1416</v>
      </c>
      <c r="V91" s="1809">
        <v>1718</v>
      </c>
      <c r="W91" s="1809">
        <v>2023</v>
      </c>
      <c r="X91" s="1809">
        <v>1944</v>
      </c>
      <c r="Y91" s="1809">
        <v>1758</v>
      </c>
      <c r="Z91" s="1809">
        <v>1493</v>
      </c>
      <c r="AA91" s="1809">
        <v>1706</v>
      </c>
      <c r="AB91" s="1809">
        <v>1930</v>
      </c>
      <c r="AC91" s="1809">
        <v>2223</v>
      </c>
      <c r="AD91" s="1809">
        <v>2504</v>
      </c>
      <c r="AE91" s="1809">
        <v>2894</v>
      </c>
      <c r="AF91" s="1634">
        <v>2549</v>
      </c>
      <c r="AG91" s="1634">
        <v>2952</v>
      </c>
      <c r="AH91" s="1635">
        <v>2810</v>
      </c>
    </row>
    <row r="92" spans="1:34" x14ac:dyDescent="0.25">
      <c r="A92" s="404" t="s">
        <v>224</v>
      </c>
      <c r="B92" s="405" t="s">
        <v>522</v>
      </c>
      <c r="C92" s="412" t="s">
        <v>264</v>
      </c>
      <c r="D92" s="409">
        <v>0.16600000000000001</v>
      </c>
      <c r="E92" s="410">
        <v>0.14199999999999999</v>
      </c>
      <c r="F92" s="410">
        <v>0.15</v>
      </c>
      <c r="G92" s="410">
        <v>0.16200000000000001</v>
      </c>
      <c r="H92" s="410">
        <v>0.14499999999999999</v>
      </c>
      <c r="I92" s="410">
        <v>0.16699999999999998</v>
      </c>
      <c r="J92" s="410">
        <v>0.151</v>
      </c>
      <c r="K92" s="410">
        <v>0.157</v>
      </c>
      <c r="L92" s="410">
        <v>0.16499999999999998</v>
      </c>
      <c r="M92" s="410">
        <v>0.17199999999999999</v>
      </c>
      <c r="N92" s="411">
        <v>0.19700000000000001</v>
      </c>
      <c r="O92" s="411">
        <v>0.20300000000000001</v>
      </c>
      <c r="P92" s="411">
        <v>0.19700000000000001</v>
      </c>
      <c r="Q92" s="1812">
        <v>0.20173364854215919</v>
      </c>
      <c r="R92" s="1813">
        <v>0.20081300813008129</v>
      </c>
      <c r="S92" s="1812"/>
      <c r="T92" s="1809">
        <v>279</v>
      </c>
      <c r="U92" s="1809">
        <v>240</v>
      </c>
      <c r="V92" s="1809">
        <v>256</v>
      </c>
      <c r="W92" s="1809">
        <v>265</v>
      </c>
      <c r="X92" s="1809">
        <v>231</v>
      </c>
      <c r="Y92" s="1809">
        <v>262</v>
      </c>
      <c r="Z92" s="1809">
        <v>232</v>
      </c>
      <c r="AA92" s="1809">
        <v>236</v>
      </c>
      <c r="AB92" s="1809">
        <v>246</v>
      </c>
      <c r="AC92" s="1809">
        <v>240</v>
      </c>
      <c r="AD92" s="1809">
        <v>288</v>
      </c>
      <c r="AE92" s="1809">
        <v>282</v>
      </c>
      <c r="AF92" s="1634">
        <v>264</v>
      </c>
      <c r="AG92" s="1634">
        <v>256</v>
      </c>
      <c r="AH92" s="1635">
        <v>247</v>
      </c>
    </row>
    <row r="93" spans="1:34" x14ac:dyDescent="0.25">
      <c r="A93" s="404" t="s">
        <v>226</v>
      </c>
      <c r="B93" s="405" t="s">
        <v>523</v>
      </c>
      <c r="C93" s="412" t="s">
        <v>264</v>
      </c>
      <c r="D93" s="409">
        <v>0.21100000000000002</v>
      </c>
      <c r="E93" s="410">
        <v>0.188</v>
      </c>
      <c r="F93" s="410">
        <v>0.19399999999999998</v>
      </c>
      <c r="G93" s="410">
        <v>0.22600000000000001</v>
      </c>
      <c r="H93" s="410">
        <v>0.21</v>
      </c>
      <c r="I93" s="410">
        <v>0.245</v>
      </c>
      <c r="J93" s="410">
        <v>0.28000000000000003</v>
      </c>
      <c r="K93" s="410">
        <v>0.24</v>
      </c>
      <c r="L93" s="410">
        <v>0.22800000000000004</v>
      </c>
      <c r="M93" s="410">
        <v>0.23600000000000002</v>
      </c>
      <c r="N93" s="411">
        <v>0.24000000000000002</v>
      </c>
      <c r="O93" s="411">
        <v>0.23199999999999998</v>
      </c>
      <c r="P93" s="411">
        <v>0.27</v>
      </c>
      <c r="Q93" s="1812">
        <v>0.30353319057815847</v>
      </c>
      <c r="R93" s="1813">
        <v>0.30479267635971996</v>
      </c>
      <c r="S93" s="1812"/>
      <c r="T93" s="1809">
        <v>504</v>
      </c>
      <c r="U93" s="1809">
        <v>437</v>
      </c>
      <c r="V93" s="1809">
        <v>446</v>
      </c>
      <c r="W93" s="1809">
        <v>513</v>
      </c>
      <c r="X93" s="1809">
        <v>464</v>
      </c>
      <c r="Y93" s="1809">
        <v>534</v>
      </c>
      <c r="Z93" s="1809">
        <v>610</v>
      </c>
      <c r="AA93" s="1809">
        <v>510</v>
      </c>
      <c r="AB93" s="1809">
        <v>472</v>
      </c>
      <c r="AC93" s="1809">
        <v>481</v>
      </c>
      <c r="AD93" s="1809">
        <v>473</v>
      </c>
      <c r="AE93" s="1809">
        <v>465</v>
      </c>
      <c r="AF93" s="1634">
        <v>529</v>
      </c>
      <c r="AG93" s="1634">
        <v>567</v>
      </c>
      <c r="AH93" s="1635">
        <v>566</v>
      </c>
    </row>
    <row r="94" spans="1:34" x14ac:dyDescent="0.25">
      <c r="A94" s="404" t="s">
        <v>228</v>
      </c>
      <c r="B94" s="405" t="s">
        <v>524</v>
      </c>
      <c r="C94" s="412" t="s">
        <v>268</v>
      </c>
      <c r="D94" s="409">
        <v>0.20699999999999999</v>
      </c>
      <c r="E94" s="410">
        <v>0.18399999999999997</v>
      </c>
      <c r="F94" s="410">
        <v>0.22000000000000003</v>
      </c>
      <c r="G94" s="410">
        <v>0.24</v>
      </c>
      <c r="H94" s="410">
        <v>0.21600000000000003</v>
      </c>
      <c r="I94" s="410">
        <v>0.23700000000000002</v>
      </c>
      <c r="J94" s="410">
        <v>0.21199999999999999</v>
      </c>
      <c r="K94" s="410">
        <v>0.23500000000000001</v>
      </c>
      <c r="L94" s="410">
        <v>0.24199999999999999</v>
      </c>
      <c r="M94" s="410">
        <v>0.21600000000000003</v>
      </c>
      <c r="N94" s="411">
        <v>0.23500000000000001</v>
      </c>
      <c r="O94" s="411">
        <v>0.23100000000000001</v>
      </c>
      <c r="P94" s="411">
        <v>0.26100000000000001</v>
      </c>
      <c r="Q94" s="1812">
        <v>0.22899871480313122</v>
      </c>
      <c r="R94" s="1813">
        <v>0.24681357951161406</v>
      </c>
      <c r="S94" s="1812"/>
      <c r="T94" s="1809">
        <v>1886</v>
      </c>
      <c r="U94" s="1809">
        <v>1666</v>
      </c>
      <c r="V94" s="1809">
        <v>2007</v>
      </c>
      <c r="W94" s="1809">
        <v>2172</v>
      </c>
      <c r="X94" s="1809">
        <v>1979</v>
      </c>
      <c r="Y94" s="1809">
        <v>2139</v>
      </c>
      <c r="Z94" s="1809">
        <v>1865</v>
      </c>
      <c r="AA94" s="1809">
        <v>2038</v>
      </c>
      <c r="AB94" s="1809">
        <v>2088</v>
      </c>
      <c r="AC94" s="1809">
        <v>1961</v>
      </c>
      <c r="AD94" s="1809">
        <v>2127</v>
      </c>
      <c r="AE94" s="1809">
        <v>2038</v>
      </c>
      <c r="AF94" s="1634">
        <v>2254</v>
      </c>
      <c r="AG94" s="1634">
        <v>1960</v>
      </c>
      <c r="AH94" s="1635">
        <v>2072</v>
      </c>
    </row>
    <row r="95" spans="1:34" x14ac:dyDescent="0.25">
      <c r="A95" s="404" t="s">
        <v>232</v>
      </c>
      <c r="B95" s="405" t="s">
        <v>525</v>
      </c>
      <c r="C95" s="412" t="s">
        <v>267</v>
      </c>
      <c r="D95" s="409">
        <v>0.11599999999999999</v>
      </c>
      <c r="E95" s="410">
        <v>0.105</v>
      </c>
      <c r="F95" s="410">
        <v>0.11699999999999998</v>
      </c>
      <c r="G95" s="410">
        <v>0.13099999999999998</v>
      </c>
      <c r="H95" s="410">
        <v>0.112</v>
      </c>
      <c r="I95" s="410">
        <v>0.127</v>
      </c>
      <c r="J95" s="410">
        <v>0.11800000000000001</v>
      </c>
      <c r="K95" s="410">
        <v>0.114</v>
      </c>
      <c r="L95" s="410">
        <v>0.13100000000000001</v>
      </c>
      <c r="M95" s="410">
        <v>0.13700000000000001</v>
      </c>
      <c r="N95" s="411">
        <v>0.14399999999999999</v>
      </c>
      <c r="O95" s="411">
        <v>0.158</v>
      </c>
      <c r="P95" s="411">
        <v>0.154</v>
      </c>
      <c r="Q95" s="1812">
        <v>0.17012257990606025</v>
      </c>
      <c r="R95" s="1813">
        <v>0.15757296112585073</v>
      </c>
      <c r="S95" s="1812"/>
      <c r="T95" s="1809">
        <v>939</v>
      </c>
      <c r="U95" s="1809">
        <v>861</v>
      </c>
      <c r="V95" s="1809">
        <v>993</v>
      </c>
      <c r="W95" s="1809">
        <v>1111</v>
      </c>
      <c r="X95" s="1809">
        <v>982</v>
      </c>
      <c r="Y95" s="1809">
        <v>1095</v>
      </c>
      <c r="Z95" s="1809">
        <v>1011</v>
      </c>
      <c r="AA95" s="1809">
        <v>1000</v>
      </c>
      <c r="AB95" s="1809">
        <v>1161</v>
      </c>
      <c r="AC95" s="1809">
        <v>1179</v>
      </c>
      <c r="AD95" s="1809">
        <v>1290</v>
      </c>
      <c r="AE95" s="1809">
        <v>1390</v>
      </c>
      <c r="AF95" s="1634">
        <v>1342</v>
      </c>
      <c r="AG95" s="1634">
        <v>1485</v>
      </c>
      <c r="AH95" s="1635">
        <v>1366</v>
      </c>
    </row>
    <row r="96" spans="1:34" x14ac:dyDescent="0.25">
      <c r="A96" s="404" t="s">
        <v>234</v>
      </c>
      <c r="B96" s="405" t="s">
        <v>526</v>
      </c>
      <c r="C96" s="412" t="s">
        <v>268</v>
      </c>
      <c r="D96" s="409">
        <v>0.157</v>
      </c>
      <c r="E96" s="410">
        <v>0.14499999999999999</v>
      </c>
      <c r="F96" s="410">
        <v>0.16300000000000001</v>
      </c>
      <c r="G96" s="410">
        <v>0.18099999999999999</v>
      </c>
      <c r="H96" s="410">
        <v>0.16499999999999998</v>
      </c>
      <c r="I96" s="410">
        <v>0.16500000000000001</v>
      </c>
      <c r="J96" s="410">
        <v>0.17800000000000002</v>
      </c>
      <c r="K96" s="410">
        <v>0.19100000000000003</v>
      </c>
      <c r="L96" s="410">
        <v>0.19</v>
      </c>
      <c r="M96" s="410">
        <v>0.19600000000000004</v>
      </c>
      <c r="N96" s="411">
        <v>0.193</v>
      </c>
      <c r="O96" s="411">
        <v>0.19800000000000001</v>
      </c>
      <c r="P96" s="411">
        <v>0.19500000000000001</v>
      </c>
      <c r="Q96" s="1812">
        <v>0.212205138000191</v>
      </c>
      <c r="R96" s="1813">
        <v>0.20700048614487118</v>
      </c>
      <c r="S96" s="1812"/>
      <c r="T96" s="1809">
        <v>1611</v>
      </c>
      <c r="U96" s="1809">
        <v>1484</v>
      </c>
      <c r="V96" s="1809">
        <v>1695</v>
      </c>
      <c r="W96" s="1809">
        <v>1885</v>
      </c>
      <c r="X96" s="1809">
        <v>1709</v>
      </c>
      <c r="Y96" s="1809">
        <v>1690</v>
      </c>
      <c r="Z96" s="1809">
        <v>1764</v>
      </c>
      <c r="AA96" s="1809">
        <v>1927</v>
      </c>
      <c r="AB96" s="1809">
        <v>1908</v>
      </c>
      <c r="AC96" s="1809">
        <v>2024</v>
      </c>
      <c r="AD96" s="1809">
        <v>2037</v>
      </c>
      <c r="AE96" s="1809">
        <v>2060</v>
      </c>
      <c r="AF96" s="1634">
        <v>2038</v>
      </c>
      <c r="AG96" s="1634">
        <v>2222</v>
      </c>
      <c r="AH96" s="1635">
        <v>2129</v>
      </c>
    </row>
    <row r="97" spans="1:34" x14ac:dyDescent="0.25">
      <c r="A97" s="404" t="s">
        <v>236</v>
      </c>
      <c r="B97" s="405" t="s">
        <v>527</v>
      </c>
      <c r="C97" s="412" t="s">
        <v>266</v>
      </c>
      <c r="D97" s="409">
        <v>0.21199999999999999</v>
      </c>
      <c r="E97" s="410">
        <v>0.192</v>
      </c>
      <c r="F97" s="410">
        <v>0.20199999999999999</v>
      </c>
      <c r="G97" s="410">
        <v>0.221</v>
      </c>
      <c r="H97" s="410">
        <v>0.19899999999999998</v>
      </c>
      <c r="I97" s="410">
        <v>0.24500000000000002</v>
      </c>
      <c r="J97" s="410">
        <v>0.22399999999999998</v>
      </c>
      <c r="K97" s="410">
        <v>0.214</v>
      </c>
      <c r="L97" s="410">
        <v>0.24300000000000002</v>
      </c>
      <c r="M97" s="410">
        <v>0.249</v>
      </c>
      <c r="N97" s="411">
        <v>0.26200000000000001</v>
      </c>
      <c r="O97" s="411">
        <v>0.28499999999999998</v>
      </c>
      <c r="P97" s="411">
        <v>0.29399999999999998</v>
      </c>
      <c r="Q97" s="1812">
        <v>0.28540772532188841</v>
      </c>
      <c r="R97" s="1813">
        <v>0.27452209338765277</v>
      </c>
      <c r="S97" s="1812"/>
      <c r="T97" s="1809">
        <v>788</v>
      </c>
      <c r="U97" s="1809">
        <v>711</v>
      </c>
      <c r="V97" s="1809">
        <v>758</v>
      </c>
      <c r="W97" s="1809">
        <v>833</v>
      </c>
      <c r="X97" s="1809">
        <v>733</v>
      </c>
      <c r="Y97" s="1809">
        <v>891</v>
      </c>
      <c r="Z97" s="1809">
        <v>795</v>
      </c>
      <c r="AA97" s="1809">
        <v>765</v>
      </c>
      <c r="AB97" s="1809">
        <v>870</v>
      </c>
      <c r="AC97" s="1809">
        <v>879</v>
      </c>
      <c r="AD97" s="1809">
        <v>897</v>
      </c>
      <c r="AE97" s="1809">
        <v>979</v>
      </c>
      <c r="AF97" s="1634">
        <v>973</v>
      </c>
      <c r="AG97" s="1634">
        <v>931</v>
      </c>
      <c r="AH97" s="1635">
        <v>876</v>
      </c>
    </row>
    <row r="98" spans="1:34" x14ac:dyDescent="0.25">
      <c r="A98" s="404" t="s">
        <v>242</v>
      </c>
      <c r="B98" s="405" t="s">
        <v>528</v>
      </c>
      <c r="C98" s="412" t="s">
        <v>268</v>
      </c>
      <c r="D98" s="409">
        <v>0.24600000000000002</v>
      </c>
      <c r="E98" s="410">
        <v>0.217</v>
      </c>
      <c r="F98" s="410">
        <v>0.25600000000000001</v>
      </c>
      <c r="G98" s="410">
        <v>0.27800000000000002</v>
      </c>
      <c r="H98" s="410">
        <v>0.24399999999999999</v>
      </c>
      <c r="I98" s="410">
        <v>0.30600000000000005</v>
      </c>
      <c r="J98" s="410">
        <v>0.25900000000000001</v>
      </c>
      <c r="K98" s="410">
        <v>0.27800000000000002</v>
      </c>
      <c r="L98" s="410">
        <v>0.29299999999999998</v>
      </c>
      <c r="M98" s="410">
        <v>0.27100000000000002</v>
      </c>
      <c r="N98" s="411">
        <v>0.27500000000000002</v>
      </c>
      <c r="O98" s="411">
        <v>0.27800000000000002</v>
      </c>
      <c r="P98" s="411">
        <v>0.29299999999999998</v>
      </c>
      <c r="Q98" s="1812">
        <v>0.27801294820717132</v>
      </c>
      <c r="R98" s="1813">
        <v>0.28934655479277904</v>
      </c>
      <c r="S98" s="1812"/>
      <c r="T98" s="1809">
        <v>2192</v>
      </c>
      <c r="U98" s="1809">
        <v>1920</v>
      </c>
      <c r="V98" s="1809">
        <v>2292</v>
      </c>
      <c r="W98" s="1809">
        <v>2477</v>
      </c>
      <c r="X98" s="1809">
        <v>2202</v>
      </c>
      <c r="Y98" s="1809">
        <v>2706</v>
      </c>
      <c r="Z98" s="1809">
        <v>2260</v>
      </c>
      <c r="AA98" s="1809">
        <v>2386</v>
      </c>
      <c r="AB98" s="1809">
        <v>2501</v>
      </c>
      <c r="AC98" s="1809">
        <v>2396</v>
      </c>
      <c r="AD98" s="1809">
        <v>2327</v>
      </c>
      <c r="AE98" s="1809">
        <v>2353</v>
      </c>
      <c r="AF98" s="1634">
        <v>2429</v>
      </c>
      <c r="AG98" s="1634">
        <v>2233</v>
      </c>
      <c r="AH98" s="1635">
        <v>2276</v>
      </c>
    </row>
    <row r="99" spans="1:34" x14ac:dyDescent="0.25">
      <c r="A99" s="404" t="s">
        <v>244</v>
      </c>
      <c r="B99" s="405" t="s">
        <v>529</v>
      </c>
      <c r="C99" s="412" t="s">
        <v>268</v>
      </c>
      <c r="D99" s="409">
        <v>0.16</v>
      </c>
      <c r="E99" s="410">
        <v>0.151</v>
      </c>
      <c r="F99" s="410">
        <v>0.19399999999999998</v>
      </c>
      <c r="G99" s="410">
        <v>0.19500000000000001</v>
      </c>
      <c r="H99" s="410">
        <v>0.16300000000000001</v>
      </c>
      <c r="I99" s="410">
        <v>0.19700000000000001</v>
      </c>
      <c r="J99" s="410">
        <v>0.20199999999999999</v>
      </c>
      <c r="K99" s="410">
        <v>0.17699999999999999</v>
      </c>
      <c r="L99" s="410">
        <v>0.2</v>
      </c>
      <c r="M99" s="410">
        <v>0.21199999999999999</v>
      </c>
      <c r="N99" s="411">
        <v>0.22899999999999998</v>
      </c>
      <c r="O99" s="411">
        <v>0.222</v>
      </c>
      <c r="P99" s="411">
        <v>0.23400000000000001</v>
      </c>
      <c r="Q99" s="1812">
        <v>0.21612349914236706</v>
      </c>
      <c r="R99" s="1813">
        <v>0.2163336229365769</v>
      </c>
      <c r="S99" s="1812"/>
      <c r="T99" s="1809">
        <v>945</v>
      </c>
      <c r="U99" s="1809">
        <v>888</v>
      </c>
      <c r="V99" s="1809">
        <v>1159</v>
      </c>
      <c r="W99" s="1809">
        <v>1153</v>
      </c>
      <c r="X99" s="1809">
        <v>976</v>
      </c>
      <c r="Y99" s="1809">
        <v>1167</v>
      </c>
      <c r="Z99" s="1809">
        <v>1186</v>
      </c>
      <c r="AA99" s="1809">
        <v>1038</v>
      </c>
      <c r="AB99" s="1809">
        <v>1164</v>
      </c>
      <c r="AC99" s="1809">
        <v>1242</v>
      </c>
      <c r="AD99" s="1809">
        <v>1364</v>
      </c>
      <c r="AE99" s="1809">
        <v>1303</v>
      </c>
      <c r="AF99" s="1634">
        <v>1365</v>
      </c>
      <c r="AG99" s="1634">
        <v>1260</v>
      </c>
      <c r="AH99" s="1635">
        <v>1245</v>
      </c>
    </row>
    <row r="100" spans="1:34" x14ac:dyDescent="0.25">
      <c r="A100" s="404" t="s">
        <v>246</v>
      </c>
      <c r="B100" s="405" t="s">
        <v>759</v>
      </c>
      <c r="C100" s="412" t="s">
        <v>264</v>
      </c>
      <c r="D100" s="409">
        <v>5.6401280791515608E-2</v>
      </c>
      <c r="E100" s="410">
        <v>5.0256129333956845E-2</v>
      </c>
      <c r="F100" s="410">
        <v>5.2533947265540157E-2</v>
      </c>
      <c r="G100" s="410">
        <v>6.0559770540340487E-2</v>
      </c>
      <c r="H100" s="410">
        <v>5.685748279964823E-2</v>
      </c>
      <c r="I100" s="410">
        <v>4.9573310510692706E-2</v>
      </c>
      <c r="J100" s="410">
        <v>5.1145672342404185E-2</v>
      </c>
      <c r="K100" s="410">
        <v>5.3281178762382392E-2</v>
      </c>
      <c r="L100" s="410">
        <v>5.6580193560167996E-2</v>
      </c>
      <c r="M100" s="410">
        <v>6.1533224839921533E-2</v>
      </c>
      <c r="N100" s="411">
        <v>6.7706896551724141E-2</v>
      </c>
      <c r="O100" s="411">
        <v>7.4018979225442427E-2</v>
      </c>
      <c r="P100" s="411">
        <v>8.1000000000000003E-2</v>
      </c>
      <c r="Q100" s="1812">
        <v>7.2314933675652546E-2</v>
      </c>
      <c r="R100" s="1813">
        <v>6.9487221051494033E-2</v>
      </c>
      <c r="S100" s="1812"/>
      <c r="T100" s="1809">
        <v>1102</v>
      </c>
      <c r="U100" s="1809">
        <v>962</v>
      </c>
      <c r="V100" s="1809">
        <v>1018</v>
      </c>
      <c r="W100" s="1809">
        <v>1110</v>
      </c>
      <c r="X100" s="1809">
        <v>1033</v>
      </c>
      <c r="Y100" s="1809">
        <v>881</v>
      </c>
      <c r="Z100" s="1809">
        <v>871</v>
      </c>
      <c r="AA100" s="1809">
        <v>882</v>
      </c>
      <c r="AB100" s="1809">
        <v>906</v>
      </c>
      <c r="AC100" s="1809">
        <v>1106</v>
      </c>
      <c r="AD100" s="1809">
        <v>1351</v>
      </c>
      <c r="AE100" s="1809">
        <v>1443</v>
      </c>
      <c r="AF100" s="1634">
        <v>1530</v>
      </c>
      <c r="AG100" s="1634">
        <v>1352</v>
      </c>
      <c r="AH100" s="1635">
        <v>1286</v>
      </c>
    </row>
    <row r="101" spans="1:34" x14ac:dyDescent="0.25">
      <c r="A101" s="404" t="s">
        <v>14</v>
      </c>
      <c r="B101" s="405" t="s">
        <v>15</v>
      </c>
      <c r="C101" s="412" t="s">
        <v>267</v>
      </c>
      <c r="D101" s="409">
        <v>0.14199999999999999</v>
      </c>
      <c r="E101" s="410">
        <v>0.126</v>
      </c>
      <c r="F101" s="410">
        <v>0.13599999999999998</v>
      </c>
      <c r="G101" s="410">
        <v>0.13900000000000001</v>
      </c>
      <c r="H101" s="410">
        <v>0.121</v>
      </c>
      <c r="I101" s="410">
        <v>0.13599999999999998</v>
      </c>
      <c r="J101" s="410">
        <v>0.11900000000000001</v>
      </c>
      <c r="K101" s="410">
        <v>0.129</v>
      </c>
      <c r="L101" s="410">
        <v>0.13700000000000001</v>
      </c>
      <c r="M101" s="410">
        <v>0.14800000000000002</v>
      </c>
      <c r="N101" s="411">
        <v>0.14199999999999999</v>
      </c>
      <c r="O101" s="411">
        <v>0.14699999999999999</v>
      </c>
      <c r="P101" s="411">
        <v>0.14199999999999999</v>
      </c>
      <c r="Q101" s="1812">
        <v>0.1532119412316349</v>
      </c>
      <c r="R101" s="1813">
        <v>0.15755664115090204</v>
      </c>
      <c r="S101" s="1812"/>
      <c r="T101" s="1809">
        <v>3146</v>
      </c>
      <c r="U101" s="1809">
        <v>2860</v>
      </c>
      <c r="V101" s="1809">
        <v>3202</v>
      </c>
      <c r="W101" s="1809">
        <v>3504</v>
      </c>
      <c r="X101" s="1809">
        <v>3196</v>
      </c>
      <c r="Y101" s="1809">
        <v>3557</v>
      </c>
      <c r="Z101" s="1809">
        <v>3098</v>
      </c>
      <c r="AA101" s="1809">
        <v>3511</v>
      </c>
      <c r="AB101" s="1809">
        <v>4030</v>
      </c>
      <c r="AC101" s="1809">
        <v>3990</v>
      </c>
      <c r="AD101" s="1809">
        <v>3332</v>
      </c>
      <c r="AE101" s="1809">
        <v>3614</v>
      </c>
      <c r="AF101" s="1634">
        <v>3578</v>
      </c>
      <c r="AG101" s="1634">
        <v>3921</v>
      </c>
      <c r="AH101" s="1635">
        <v>4096</v>
      </c>
    </row>
    <row r="102" spans="1:34" x14ac:dyDescent="0.25">
      <c r="A102" s="404" t="s">
        <v>34</v>
      </c>
      <c r="B102" s="405" t="s">
        <v>35</v>
      </c>
      <c r="C102" s="412" t="s">
        <v>268</v>
      </c>
      <c r="D102" s="409">
        <v>0.23699999999999999</v>
      </c>
      <c r="E102" s="410">
        <v>0.22</v>
      </c>
      <c r="F102" s="410">
        <v>0.25700000000000001</v>
      </c>
      <c r="G102" s="410">
        <v>0.26899999999999996</v>
      </c>
      <c r="H102" s="410">
        <v>0.245</v>
      </c>
      <c r="I102" s="410">
        <v>0.28800000000000003</v>
      </c>
      <c r="J102" s="410">
        <v>0.317</v>
      </c>
      <c r="K102" s="410">
        <v>0.29100000000000004</v>
      </c>
      <c r="L102" s="410">
        <v>0.36200000000000004</v>
      </c>
      <c r="M102" s="410">
        <v>0.33100000000000002</v>
      </c>
      <c r="N102" s="411">
        <v>0.33899999999999997</v>
      </c>
      <c r="O102" s="411">
        <v>0.35200000000000004</v>
      </c>
      <c r="P102" s="411">
        <v>0.33200000000000002</v>
      </c>
      <c r="Q102" s="1812">
        <v>0.36403897254207263</v>
      </c>
      <c r="R102" s="1813">
        <v>0.34943351222420987</v>
      </c>
      <c r="S102" s="1812"/>
      <c r="T102" s="1809">
        <v>817</v>
      </c>
      <c r="U102" s="1809">
        <v>756</v>
      </c>
      <c r="V102" s="1809">
        <v>900</v>
      </c>
      <c r="W102" s="1809">
        <v>929</v>
      </c>
      <c r="X102" s="1809">
        <v>835</v>
      </c>
      <c r="Y102" s="1809">
        <v>968</v>
      </c>
      <c r="Z102" s="1809">
        <v>1070</v>
      </c>
      <c r="AA102" s="1809">
        <v>1000</v>
      </c>
      <c r="AB102" s="1809">
        <v>1215</v>
      </c>
      <c r="AC102" s="1809">
        <v>1136</v>
      </c>
      <c r="AD102" s="1809">
        <v>1222</v>
      </c>
      <c r="AE102" s="1809">
        <v>1239</v>
      </c>
      <c r="AF102" s="1634">
        <v>1140</v>
      </c>
      <c r="AG102" s="1634">
        <v>1233</v>
      </c>
      <c r="AH102" s="1635">
        <v>1172</v>
      </c>
    </row>
    <row r="103" spans="1:34" x14ac:dyDescent="0.25">
      <c r="A103" s="404" t="s">
        <v>52</v>
      </c>
      <c r="B103" s="405" t="s">
        <v>53</v>
      </c>
      <c r="C103" s="412" t="s">
        <v>265</v>
      </c>
      <c r="D103" s="409">
        <v>0.20100000000000001</v>
      </c>
      <c r="E103" s="410">
        <v>0.17199999999999999</v>
      </c>
      <c r="F103" s="410">
        <v>0.20499999999999999</v>
      </c>
      <c r="G103" s="410">
        <v>0.22700000000000001</v>
      </c>
      <c r="H103" s="410">
        <v>0.20300000000000001</v>
      </c>
      <c r="I103" s="410">
        <v>0.24</v>
      </c>
      <c r="J103" s="410">
        <v>0.20300000000000001</v>
      </c>
      <c r="K103" s="410">
        <v>0.219</v>
      </c>
      <c r="L103" s="410">
        <v>0.20899999999999999</v>
      </c>
      <c r="M103" s="410">
        <v>0.214</v>
      </c>
      <c r="N103" s="411">
        <v>0.22699999999999998</v>
      </c>
      <c r="O103" s="411">
        <v>0.222</v>
      </c>
      <c r="P103" s="411">
        <v>0.23200000000000001</v>
      </c>
      <c r="Q103" s="1812">
        <v>0.23748125937031483</v>
      </c>
      <c r="R103" s="1813">
        <v>0.24379811804961504</v>
      </c>
      <c r="S103" s="1812"/>
      <c r="T103" s="1809">
        <v>1357</v>
      </c>
      <c r="U103" s="1809">
        <v>1141</v>
      </c>
      <c r="V103" s="1809">
        <v>1363</v>
      </c>
      <c r="W103" s="1809">
        <v>1436</v>
      </c>
      <c r="X103" s="1809">
        <v>1378</v>
      </c>
      <c r="Y103" s="1809">
        <v>1605</v>
      </c>
      <c r="Z103" s="1809">
        <v>1367</v>
      </c>
      <c r="AA103" s="1809">
        <v>1497</v>
      </c>
      <c r="AB103" s="1809">
        <v>1442</v>
      </c>
      <c r="AC103" s="1809">
        <v>1406</v>
      </c>
      <c r="AD103" s="1809">
        <v>1439</v>
      </c>
      <c r="AE103" s="1809">
        <v>1387</v>
      </c>
      <c r="AF103" s="1634">
        <v>1570</v>
      </c>
      <c r="AG103" s="1634">
        <v>1584</v>
      </c>
      <c r="AH103" s="1635">
        <v>1710</v>
      </c>
    </row>
    <row r="104" spans="1:34" x14ac:dyDescent="0.25">
      <c r="A104" s="404" t="s">
        <v>54</v>
      </c>
      <c r="B104" s="405" t="s">
        <v>55</v>
      </c>
      <c r="C104" s="412" t="s">
        <v>264</v>
      </c>
      <c r="D104" s="409">
        <v>0.10400000000000001</v>
      </c>
      <c r="E104" s="410">
        <v>9.7000000000000003E-2</v>
      </c>
      <c r="F104" s="410">
        <v>0.111</v>
      </c>
      <c r="G104" s="410">
        <v>0.124</v>
      </c>
      <c r="H104" s="410">
        <v>0.11199999999999999</v>
      </c>
      <c r="I104" s="410">
        <v>9.2999999999999999E-2</v>
      </c>
      <c r="J104" s="410">
        <v>9.2999999999999999E-2</v>
      </c>
      <c r="K104" s="410">
        <v>0.109</v>
      </c>
      <c r="L104" s="410">
        <v>0.10999999999999999</v>
      </c>
      <c r="M104" s="410">
        <v>0.104</v>
      </c>
      <c r="N104" s="411">
        <v>0.114</v>
      </c>
      <c r="O104" s="411">
        <v>0.13500000000000001</v>
      </c>
      <c r="P104" s="411">
        <v>0.14399999999999999</v>
      </c>
      <c r="Q104" s="1812">
        <v>0.12580857850562219</v>
      </c>
      <c r="R104" s="1813">
        <v>0.14035429929246537</v>
      </c>
      <c r="S104" s="1812"/>
      <c r="T104" s="1809">
        <v>5930</v>
      </c>
      <c r="U104" s="1809">
        <v>5513</v>
      </c>
      <c r="V104" s="1809">
        <v>6438</v>
      </c>
      <c r="W104" s="1809">
        <v>7178</v>
      </c>
      <c r="X104" s="1809">
        <v>6550</v>
      </c>
      <c r="Y104" s="1809">
        <v>5357</v>
      </c>
      <c r="Z104" s="1809">
        <v>5276</v>
      </c>
      <c r="AA104" s="1809">
        <v>6136</v>
      </c>
      <c r="AB104" s="1809">
        <v>6087</v>
      </c>
      <c r="AC104" s="1809">
        <v>5937</v>
      </c>
      <c r="AD104" s="1809">
        <v>6512</v>
      </c>
      <c r="AE104" s="1809">
        <v>7653</v>
      </c>
      <c r="AF104" s="1634">
        <v>8034</v>
      </c>
      <c r="AG104" s="1634">
        <v>7060</v>
      </c>
      <c r="AH104" s="1635">
        <v>7915</v>
      </c>
    </row>
    <row r="105" spans="1:34" x14ac:dyDescent="0.25">
      <c r="A105" s="404" t="s">
        <v>66</v>
      </c>
      <c r="B105" s="405" t="s">
        <v>67</v>
      </c>
      <c r="C105" s="412" t="s">
        <v>265</v>
      </c>
      <c r="D105" s="409">
        <v>0.26300000000000001</v>
      </c>
      <c r="E105" s="410">
        <v>0.251</v>
      </c>
      <c r="F105" s="410">
        <v>0.27800000000000002</v>
      </c>
      <c r="G105" s="410">
        <v>0.307</v>
      </c>
      <c r="H105" s="410">
        <v>0.28100000000000003</v>
      </c>
      <c r="I105" s="410">
        <v>0.35100000000000003</v>
      </c>
      <c r="J105" s="410">
        <v>0.35700000000000004</v>
      </c>
      <c r="K105" s="410">
        <v>0.37000000000000005</v>
      </c>
      <c r="L105" s="410">
        <v>0.32400000000000001</v>
      </c>
      <c r="M105" s="410">
        <v>0.37600000000000006</v>
      </c>
      <c r="N105" s="411">
        <v>0.41700000000000004</v>
      </c>
      <c r="O105" s="411">
        <v>0.41299999999999998</v>
      </c>
      <c r="P105" s="411">
        <v>0.40600000000000003</v>
      </c>
      <c r="Q105" s="1812">
        <v>0.39083789292994314</v>
      </c>
      <c r="R105" s="1813">
        <v>0.36625161013310431</v>
      </c>
      <c r="S105" s="1812"/>
      <c r="T105" s="1809">
        <v>2860</v>
      </c>
      <c r="U105" s="1809">
        <v>2683</v>
      </c>
      <c r="V105" s="1809">
        <v>2994</v>
      </c>
      <c r="W105" s="1809">
        <v>3217</v>
      </c>
      <c r="X105" s="1809">
        <v>2948</v>
      </c>
      <c r="Y105" s="1809">
        <v>3628</v>
      </c>
      <c r="Z105" s="1809">
        <v>3560</v>
      </c>
      <c r="AA105" s="1809">
        <v>3593</v>
      </c>
      <c r="AB105" s="1809">
        <v>3075</v>
      </c>
      <c r="AC105" s="1809">
        <v>3443</v>
      </c>
      <c r="AD105" s="1809">
        <v>3778</v>
      </c>
      <c r="AE105" s="1809">
        <v>3791</v>
      </c>
      <c r="AF105" s="1634">
        <v>3798</v>
      </c>
      <c r="AG105" s="1634">
        <v>3643</v>
      </c>
      <c r="AH105" s="1635">
        <v>3412</v>
      </c>
    </row>
    <row r="106" spans="1:34" x14ac:dyDescent="0.25">
      <c r="A106" s="404" t="s">
        <v>82</v>
      </c>
      <c r="B106" s="405" t="s">
        <v>83</v>
      </c>
      <c r="C106" s="412" t="s">
        <v>264</v>
      </c>
      <c r="D106" s="409">
        <v>0.27700000000000002</v>
      </c>
      <c r="E106" s="410">
        <v>0.23399999999999999</v>
      </c>
      <c r="F106" s="410">
        <v>0.26400000000000001</v>
      </c>
      <c r="G106" s="410">
        <v>0.27199999999999996</v>
      </c>
      <c r="H106" s="410">
        <v>0.23600000000000002</v>
      </c>
      <c r="I106" s="410">
        <v>0.30299999999999999</v>
      </c>
      <c r="J106" s="410">
        <v>0.26900000000000002</v>
      </c>
      <c r="K106" s="410">
        <v>0.28999999999999998</v>
      </c>
      <c r="L106" s="410">
        <v>0.28200000000000003</v>
      </c>
      <c r="M106" s="410">
        <v>0.28600000000000003</v>
      </c>
      <c r="N106" s="411">
        <v>0.33200000000000002</v>
      </c>
      <c r="O106" s="411">
        <v>0.33700000000000002</v>
      </c>
      <c r="P106" s="411">
        <v>0.33100000000000002</v>
      </c>
      <c r="Q106" s="1812">
        <v>0.36555199267063676</v>
      </c>
      <c r="R106" s="1813">
        <v>0.34682860998650472</v>
      </c>
      <c r="S106" s="1812"/>
      <c r="T106" s="1809">
        <v>569</v>
      </c>
      <c r="U106" s="1809">
        <v>472</v>
      </c>
      <c r="V106" s="1809">
        <v>542</v>
      </c>
      <c r="W106" s="1809">
        <v>583</v>
      </c>
      <c r="X106" s="1809">
        <v>517</v>
      </c>
      <c r="Y106" s="1809">
        <v>654</v>
      </c>
      <c r="Z106" s="1809">
        <v>586</v>
      </c>
      <c r="AA106" s="1809">
        <v>652</v>
      </c>
      <c r="AB106" s="1809">
        <v>621</v>
      </c>
      <c r="AC106" s="1809">
        <v>635</v>
      </c>
      <c r="AD106" s="1809">
        <v>671</v>
      </c>
      <c r="AE106" s="1809">
        <v>688</v>
      </c>
      <c r="AF106" s="1634">
        <v>689</v>
      </c>
      <c r="AG106" s="1634">
        <v>798</v>
      </c>
      <c r="AH106" s="1635">
        <v>771</v>
      </c>
    </row>
    <row r="107" spans="1:34" x14ac:dyDescent="0.25">
      <c r="A107" s="404" t="s">
        <v>88</v>
      </c>
      <c r="B107" s="405" t="s">
        <v>89</v>
      </c>
      <c r="C107" s="412" t="s">
        <v>267</v>
      </c>
      <c r="D107" s="409">
        <v>0.17899999999999999</v>
      </c>
      <c r="E107" s="410">
        <v>0.156</v>
      </c>
      <c r="F107" s="410">
        <v>0.18</v>
      </c>
      <c r="G107" s="410">
        <v>0.19699999999999998</v>
      </c>
      <c r="H107" s="410">
        <v>0.18100000000000002</v>
      </c>
      <c r="I107" s="410">
        <v>0.20799999999999999</v>
      </c>
      <c r="J107" s="410">
        <v>0.20200000000000001</v>
      </c>
      <c r="K107" s="410">
        <v>0.193</v>
      </c>
      <c r="L107" s="410">
        <v>0.20300000000000001</v>
      </c>
      <c r="M107" s="410">
        <v>0.23199999999999998</v>
      </c>
      <c r="N107" s="411">
        <v>0.23399999999999999</v>
      </c>
      <c r="O107" s="411">
        <v>0.22899999999999998</v>
      </c>
      <c r="P107" s="411">
        <v>0.21199999999999999</v>
      </c>
      <c r="Q107" s="1812">
        <v>0.23028334235697528</v>
      </c>
      <c r="R107" s="1813">
        <v>0.23432755849258796</v>
      </c>
      <c r="S107" s="1812"/>
      <c r="T107" s="1809">
        <v>646</v>
      </c>
      <c r="U107" s="1809">
        <v>583</v>
      </c>
      <c r="V107" s="1809">
        <v>715</v>
      </c>
      <c r="W107" s="1809">
        <v>830</v>
      </c>
      <c r="X107" s="1809">
        <v>765</v>
      </c>
      <c r="Y107" s="1809">
        <v>871</v>
      </c>
      <c r="Z107" s="1809">
        <v>868</v>
      </c>
      <c r="AA107" s="1809">
        <v>911</v>
      </c>
      <c r="AB107" s="1809">
        <v>995</v>
      </c>
      <c r="AC107" s="1809">
        <v>1060</v>
      </c>
      <c r="AD107" s="1809">
        <v>1092</v>
      </c>
      <c r="AE107" s="1809">
        <v>1183</v>
      </c>
      <c r="AF107" s="1634">
        <v>1181</v>
      </c>
      <c r="AG107" s="1634">
        <v>1276</v>
      </c>
      <c r="AH107" s="1635">
        <v>1312</v>
      </c>
    </row>
    <row r="108" spans="1:34" x14ac:dyDescent="0.25">
      <c r="A108" s="404" t="s">
        <v>90</v>
      </c>
      <c r="B108" s="405" t="s">
        <v>91</v>
      </c>
      <c r="C108" s="412" t="s">
        <v>268</v>
      </c>
      <c r="D108" s="409">
        <v>0.26899999999999996</v>
      </c>
      <c r="E108" s="410">
        <v>0.24399999999999997</v>
      </c>
      <c r="F108" s="410">
        <v>0.26</v>
      </c>
      <c r="G108" s="410">
        <v>0.29600000000000004</v>
      </c>
      <c r="H108" s="410">
        <v>0.24899999999999997</v>
      </c>
      <c r="I108" s="410">
        <v>0.29499999999999998</v>
      </c>
      <c r="J108" s="410">
        <v>0.29799999999999999</v>
      </c>
      <c r="K108" s="410">
        <v>0.29399999999999998</v>
      </c>
      <c r="L108" s="410">
        <v>0.32400000000000001</v>
      </c>
      <c r="M108" s="410">
        <v>0.34299999999999997</v>
      </c>
      <c r="N108" s="411">
        <v>0.35899999999999999</v>
      </c>
      <c r="O108" s="411">
        <v>0.373</v>
      </c>
      <c r="P108" s="411">
        <v>0.36399999999999999</v>
      </c>
      <c r="Q108" s="1812">
        <v>0.36742192284139619</v>
      </c>
      <c r="R108" s="1813">
        <v>0.34785238959467635</v>
      </c>
      <c r="S108" s="1812"/>
      <c r="T108" s="1809">
        <v>412</v>
      </c>
      <c r="U108" s="1809">
        <v>376</v>
      </c>
      <c r="V108" s="1809">
        <v>408</v>
      </c>
      <c r="W108" s="1809">
        <v>464</v>
      </c>
      <c r="X108" s="1809">
        <v>390</v>
      </c>
      <c r="Y108" s="1809">
        <v>456</v>
      </c>
      <c r="Z108" s="1809">
        <v>459</v>
      </c>
      <c r="AA108" s="1809">
        <v>453</v>
      </c>
      <c r="AB108" s="1809">
        <v>502</v>
      </c>
      <c r="AC108" s="1809">
        <v>533</v>
      </c>
      <c r="AD108" s="1809">
        <v>541</v>
      </c>
      <c r="AE108" s="1809">
        <v>565</v>
      </c>
      <c r="AF108" s="1634">
        <v>562</v>
      </c>
      <c r="AG108" s="1634">
        <v>600</v>
      </c>
      <c r="AH108" s="1635">
        <v>575</v>
      </c>
    </row>
    <row r="109" spans="1:34" x14ac:dyDescent="0.25">
      <c r="A109" s="404" t="s">
        <v>106</v>
      </c>
      <c r="B109" s="405" t="s">
        <v>107</v>
      </c>
      <c r="C109" s="412" t="s">
        <v>264</v>
      </c>
      <c r="D109" s="409">
        <v>0.17500000000000002</v>
      </c>
      <c r="E109" s="410">
        <v>0.16300000000000001</v>
      </c>
      <c r="F109" s="410">
        <v>0.18</v>
      </c>
      <c r="G109" s="410">
        <v>0.18699999999999997</v>
      </c>
      <c r="H109" s="410">
        <v>0.17399999999999999</v>
      </c>
      <c r="I109" s="410">
        <v>0.20300000000000001</v>
      </c>
      <c r="J109" s="410">
        <v>0.16899999999999998</v>
      </c>
      <c r="K109" s="410">
        <v>0.19800000000000001</v>
      </c>
      <c r="L109" s="410">
        <v>0.19899999999999998</v>
      </c>
      <c r="M109" s="410">
        <v>0.20699999999999999</v>
      </c>
      <c r="N109" s="411">
        <v>0.20300000000000001</v>
      </c>
      <c r="O109" s="411">
        <v>0.23699999999999999</v>
      </c>
      <c r="P109" s="411">
        <v>0.253</v>
      </c>
      <c r="Q109" s="1812">
        <v>0.22343621961212784</v>
      </c>
      <c r="R109" s="1813">
        <v>0.2159420784809262</v>
      </c>
      <c r="S109" s="1812"/>
      <c r="T109" s="1809">
        <v>6095</v>
      </c>
      <c r="U109" s="1809">
        <v>5622</v>
      </c>
      <c r="V109" s="1809">
        <v>6355</v>
      </c>
      <c r="W109" s="1809">
        <v>6489</v>
      </c>
      <c r="X109" s="1809">
        <v>5995</v>
      </c>
      <c r="Y109" s="1809">
        <v>6926</v>
      </c>
      <c r="Z109" s="1809">
        <v>5650</v>
      </c>
      <c r="AA109" s="1809">
        <v>6578</v>
      </c>
      <c r="AB109" s="1809">
        <v>6452</v>
      </c>
      <c r="AC109" s="1809">
        <v>6526</v>
      </c>
      <c r="AD109" s="1809">
        <v>6225</v>
      </c>
      <c r="AE109" s="1809">
        <v>7163</v>
      </c>
      <c r="AF109" s="1634">
        <v>7560</v>
      </c>
      <c r="AG109" s="1634">
        <v>6544</v>
      </c>
      <c r="AH109" s="1635">
        <v>6323</v>
      </c>
    </row>
    <row r="110" spans="1:34" x14ac:dyDescent="0.25">
      <c r="A110" s="404" t="s">
        <v>116</v>
      </c>
      <c r="B110" s="405" t="s">
        <v>117</v>
      </c>
      <c r="C110" s="412" t="s">
        <v>266</v>
      </c>
      <c r="D110" s="409">
        <v>0.22800000000000001</v>
      </c>
      <c r="E110" s="410">
        <v>0.20200000000000001</v>
      </c>
      <c r="F110" s="410">
        <v>0.24200000000000002</v>
      </c>
      <c r="G110" s="410">
        <v>0.26</v>
      </c>
      <c r="H110" s="410">
        <v>0.219</v>
      </c>
      <c r="I110" s="410">
        <v>0.26600000000000001</v>
      </c>
      <c r="J110" s="410">
        <v>0.26100000000000001</v>
      </c>
      <c r="K110" s="410">
        <v>0.24500000000000002</v>
      </c>
      <c r="L110" s="410">
        <v>0.27</v>
      </c>
      <c r="M110" s="410">
        <v>0.29500000000000004</v>
      </c>
      <c r="N110" s="411">
        <v>0.27499999999999997</v>
      </c>
      <c r="O110" s="411">
        <v>0.30199999999999999</v>
      </c>
      <c r="P110" s="411">
        <v>0.29799999999999999</v>
      </c>
      <c r="Q110" s="1812">
        <v>0.34282544378698226</v>
      </c>
      <c r="R110" s="1813">
        <v>0.31276093664911964</v>
      </c>
      <c r="S110" s="1812"/>
      <c r="T110" s="1809">
        <v>1348</v>
      </c>
      <c r="U110" s="1809">
        <v>1213</v>
      </c>
      <c r="V110" s="1809">
        <v>1480</v>
      </c>
      <c r="W110" s="1809">
        <v>1567</v>
      </c>
      <c r="X110" s="1809">
        <v>1342</v>
      </c>
      <c r="Y110" s="1809">
        <v>1611</v>
      </c>
      <c r="Z110" s="1809">
        <v>1546</v>
      </c>
      <c r="AA110" s="1809">
        <v>1488</v>
      </c>
      <c r="AB110" s="1809">
        <v>1655</v>
      </c>
      <c r="AC110" s="1809">
        <v>1758</v>
      </c>
      <c r="AD110" s="1809">
        <v>1535</v>
      </c>
      <c r="AE110" s="1809">
        <v>1664</v>
      </c>
      <c r="AF110" s="1634">
        <v>1647</v>
      </c>
      <c r="AG110" s="1634">
        <v>1854</v>
      </c>
      <c r="AH110" s="1635">
        <v>1723</v>
      </c>
    </row>
    <row r="111" spans="1:34" x14ac:dyDescent="0.25">
      <c r="A111" s="404" t="s">
        <v>138</v>
      </c>
      <c r="B111" s="405" t="s">
        <v>139</v>
      </c>
      <c r="C111" s="412" t="s">
        <v>265</v>
      </c>
      <c r="D111" s="409">
        <v>0.2</v>
      </c>
      <c r="E111" s="410">
        <v>0.19699999999999998</v>
      </c>
      <c r="F111" s="410">
        <v>0.23500000000000001</v>
      </c>
      <c r="G111" s="410">
        <v>0.253</v>
      </c>
      <c r="H111" s="410">
        <v>0.23100000000000001</v>
      </c>
      <c r="I111" s="410">
        <v>0.25399999999999995</v>
      </c>
      <c r="J111" s="410">
        <v>0.252</v>
      </c>
      <c r="K111" s="410">
        <v>0.27699999999999997</v>
      </c>
      <c r="L111" s="410">
        <v>0.24</v>
      </c>
      <c r="M111" s="410">
        <v>0.26600000000000001</v>
      </c>
      <c r="N111" s="411">
        <v>0.29599999999999999</v>
      </c>
      <c r="O111" s="411">
        <v>0.252</v>
      </c>
      <c r="P111" s="411">
        <v>0.29299999999999998</v>
      </c>
      <c r="Q111" s="1812">
        <v>0.29990634198554988</v>
      </c>
      <c r="R111" s="1813">
        <v>0.31687536495166418</v>
      </c>
      <c r="S111" s="1812"/>
      <c r="T111" s="1809">
        <v>2811</v>
      </c>
      <c r="U111" s="1809">
        <v>2742</v>
      </c>
      <c r="V111" s="1809">
        <v>3339</v>
      </c>
      <c r="W111" s="1809">
        <v>3579</v>
      </c>
      <c r="X111" s="1809">
        <v>3266</v>
      </c>
      <c r="Y111" s="1809">
        <v>3540</v>
      </c>
      <c r="Z111" s="1809">
        <v>3488</v>
      </c>
      <c r="AA111" s="1809">
        <v>4018</v>
      </c>
      <c r="AB111" s="1809">
        <v>3522</v>
      </c>
      <c r="AC111" s="1809">
        <v>3857</v>
      </c>
      <c r="AD111" s="1809">
        <v>4267</v>
      </c>
      <c r="AE111" s="1809">
        <v>3687</v>
      </c>
      <c r="AF111" s="1634">
        <v>4341</v>
      </c>
      <c r="AG111" s="1634">
        <v>4483</v>
      </c>
      <c r="AH111" s="1635">
        <v>4884</v>
      </c>
    </row>
    <row r="112" spans="1:34" x14ac:dyDescent="0.25">
      <c r="A112" s="404" t="s">
        <v>142</v>
      </c>
      <c r="B112" s="405" t="s">
        <v>143</v>
      </c>
      <c r="C112" s="412" t="s">
        <v>267</v>
      </c>
      <c r="D112" s="409">
        <v>8.1000000000000003E-2</v>
      </c>
      <c r="E112" s="410">
        <v>7.5000000000000011E-2</v>
      </c>
      <c r="F112" s="410">
        <v>8.3999999999999991E-2</v>
      </c>
      <c r="G112" s="410">
        <v>9.5000000000000001E-2</v>
      </c>
      <c r="H112" s="410">
        <v>9.3000000000000013E-2</v>
      </c>
      <c r="I112" s="410">
        <v>9.1999999999999985E-2</v>
      </c>
      <c r="J112" s="410">
        <v>9.8000000000000004E-2</v>
      </c>
      <c r="K112" s="410">
        <v>0.13099999999999998</v>
      </c>
      <c r="L112" s="410">
        <v>0.13100000000000001</v>
      </c>
      <c r="M112" s="410">
        <v>0.14599999999999999</v>
      </c>
      <c r="N112" s="411">
        <v>0.17899999999999999</v>
      </c>
      <c r="O112" s="411">
        <v>0.16699999999999998</v>
      </c>
      <c r="P112" s="411">
        <v>0.17299999999999999</v>
      </c>
      <c r="Q112" s="1812">
        <v>0.167420814479638</v>
      </c>
      <c r="R112" s="1813">
        <v>0.1635738209468634</v>
      </c>
      <c r="S112" s="1812"/>
      <c r="T112" s="1809">
        <v>862</v>
      </c>
      <c r="U112" s="1809">
        <v>803</v>
      </c>
      <c r="V112" s="1809">
        <v>919</v>
      </c>
      <c r="W112" s="1809">
        <v>1055</v>
      </c>
      <c r="X112" s="1809">
        <v>1038</v>
      </c>
      <c r="Y112" s="1809">
        <v>1017</v>
      </c>
      <c r="Z112" s="1809">
        <v>1022</v>
      </c>
      <c r="AA112" s="1809">
        <v>1324</v>
      </c>
      <c r="AB112" s="1809">
        <v>1308</v>
      </c>
      <c r="AC112" s="1809">
        <v>1504</v>
      </c>
      <c r="AD112" s="1809">
        <v>1888</v>
      </c>
      <c r="AE112" s="1809">
        <v>1790</v>
      </c>
      <c r="AF112" s="1634">
        <v>1882</v>
      </c>
      <c r="AG112" s="1634">
        <v>1850</v>
      </c>
      <c r="AH112" s="1635">
        <v>1807</v>
      </c>
    </row>
    <row r="113" spans="1:35" x14ac:dyDescent="0.25">
      <c r="A113" s="404" t="s">
        <v>144</v>
      </c>
      <c r="B113" s="405" t="s">
        <v>145</v>
      </c>
      <c r="C113" s="412" t="s">
        <v>267</v>
      </c>
      <c r="D113" s="409">
        <v>8.3000000000000004E-2</v>
      </c>
      <c r="E113" s="410">
        <v>7.2999999999999995E-2</v>
      </c>
      <c r="F113" s="410">
        <v>8.4000000000000005E-2</v>
      </c>
      <c r="G113" s="410">
        <v>9.1999999999999998E-2</v>
      </c>
      <c r="H113" s="410">
        <v>7.6999999999999999E-2</v>
      </c>
      <c r="I113" s="410">
        <v>8.6999999999999994E-2</v>
      </c>
      <c r="J113" s="410">
        <v>9.2999999999999999E-2</v>
      </c>
      <c r="K113" s="410">
        <v>0.1</v>
      </c>
      <c r="L113" s="410">
        <v>0.113</v>
      </c>
      <c r="M113" s="410">
        <v>0.126</v>
      </c>
      <c r="N113" s="411">
        <v>0.13599999999999998</v>
      </c>
      <c r="O113" s="411">
        <v>0.14199999999999999</v>
      </c>
      <c r="P113" s="411">
        <v>0.14199999999999999</v>
      </c>
      <c r="Q113" s="1812">
        <v>0.13747954173486088</v>
      </c>
      <c r="R113" s="1813">
        <v>0.14706677480400107</v>
      </c>
      <c r="S113" s="1812"/>
      <c r="T113" s="1809">
        <v>275</v>
      </c>
      <c r="U113" s="1809">
        <v>250</v>
      </c>
      <c r="V113" s="1809">
        <v>293</v>
      </c>
      <c r="W113" s="1809">
        <v>339</v>
      </c>
      <c r="X113" s="1809">
        <v>286</v>
      </c>
      <c r="Y113" s="1809">
        <v>319</v>
      </c>
      <c r="Z113" s="1809">
        <v>349</v>
      </c>
      <c r="AA113" s="1809">
        <v>363</v>
      </c>
      <c r="AB113" s="1809">
        <v>409</v>
      </c>
      <c r="AC113" s="1809">
        <v>452</v>
      </c>
      <c r="AD113" s="1809">
        <v>546</v>
      </c>
      <c r="AE113" s="1809">
        <v>615</v>
      </c>
      <c r="AF113" s="1634">
        <v>618</v>
      </c>
      <c r="AG113" s="1634">
        <v>588</v>
      </c>
      <c r="AH113" s="1635">
        <v>544</v>
      </c>
    </row>
    <row r="114" spans="1:35" x14ac:dyDescent="0.25">
      <c r="A114" s="404" t="s">
        <v>158</v>
      </c>
      <c r="B114" s="405" t="s">
        <v>159</v>
      </c>
      <c r="C114" s="412" t="s">
        <v>264</v>
      </c>
      <c r="D114" s="409">
        <v>0.188</v>
      </c>
      <c r="E114" s="410">
        <v>0.17100000000000001</v>
      </c>
      <c r="F114" s="410">
        <v>0.192</v>
      </c>
      <c r="G114" s="410">
        <v>0.19899999999999998</v>
      </c>
      <c r="H114" s="410">
        <v>0.18399999999999997</v>
      </c>
      <c r="I114" s="410">
        <v>0.21199999999999999</v>
      </c>
      <c r="J114" s="410">
        <v>0.189</v>
      </c>
      <c r="K114" s="410">
        <v>0.20799999999999999</v>
      </c>
      <c r="L114" s="410">
        <v>0.19399999999999998</v>
      </c>
      <c r="M114" s="410">
        <v>0.20600000000000002</v>
      </c>
      <c r="N114" s="411">
        <v>0.23300000000000001</v>
      </c>
      <c r="O114" s="411">
        <v>0.22699999999999998</v>
      </c>
      <c r="P114" s="411">
        <v>0.253</v>
      </c>
      <c r="Q114" s="1812">
        <v>0.27058684335068622</v>
      </c>
      <c r="R114" s="1813">
        <v>0.25797903802020489</v>
      </c>
      <c r="S114" s="1812"/>
      <c r="T114" s="1809">
        <v>9366</v>
      </c>
      <c r="U114" s="1809">
        <v>8608</v>
      </c>
      <c r="V114" s="1809">
        <v>10012</v>
      </c>
      <c r="W114" s="1809">
        <v>10363</v>
      </c>
      <c r="X114" s="1809">
        <v>9610</v>
      </c>
      <c r="Y114" s="1809">
        <v>10934</v>
      </c>
      <c r="Z114" s="1809">
        <v>9486</v>
      </c>
      <c r="AA114" s="1809">
        <v>10346</v>
      </c>
      <c r="AB114" s="1809">
        <v>9552</v>
      </c>
      <c r="AC114" s="1809">
        <v>9976</v>
      </c>
      <c r="AD114" s="1809">
        <v>10038</v>
      </c>
      <c r="AE114" s="1809">
        <v>9700</v>
      </c>
      <c r="AF114" s="1634">
        <v>10744</v>
      </c>
      <c r="AG114" s="1634">
        <v>11435</v>
      </c>
      <c r="AH114" s="1635">
        <v>10904</v>
      </c>
    </row>
    <row r="115" spans="1:35" x14ac:dyDescent="0.25">
      <c r="A115" s="404" t="s">
        <v>160</v>
      </c>
      <c r="B115" s="405" t="s">
        <v>161</v>
      </c>
      <c r="C115" s="412" t="s">
        <v>264</v>
      </c>
      <c r="D115" s="409">
        <v>0.26399999999999996</v>
      </c>
      <c r="E115" s="410">
        <v>0.24100000000000002</v>
      </c>
      <c r="F115" s="410">
        <v>0.26200000000000001</v>
      </c>
      <c r="G115" s="410">
        <v>0.27100000000000002</v>
      </c>
      <c r="H115" s="410">
        <v>0.24000000000000002</v>
      </c>
      <c r="I115" s="410">
        <v>0.27499999999999997</v>
      </c>
      <c r="J115" s="410">
        <v>0.24000000000000002</v>
      </c>
      <c r="K115" s="410">
        <v>0.24299999999999999</v>
      </c>
      <c r="L115" s="410">
        <v>0.27899999999999997</v>
      </c>
      <c r="M115" s="410">
        <v>0.26700000000000002</v>
      </c>
      <c r="N115" s="411">
        <v>0.255</v>
      </c>
      <c r="O115" s="411">
        <v>0.28000000000000003</v>
      </c>
      <c r="P115" s="411">
        <v>0.27600000000000002</v>
      </c>
      <c r="Q115" s="1812">
        <v>0.33011058193487725</v>
      </c>
      <c r="R115" s="1813">
        <v>0.31745934586113322</v>
      </c>
      <c r="S115" s="1812"/>
      <c r="T115" s="1809">
        <v>14823</v>
      </c>
      <c r="U115" s="1809">
        <v>13868</v>
      </c>
      <c r="V115" s="1809">
        <v>15592</v>
      </c>
      <c r="W115" s="1809">
        <v>16014</v>
      </c>
      <c r="X115" s="1809">
        <v>14146</v>
      </c>
      <c r="Y115" s="1809">
        <v>16042</v>
      </c>
      <c r="Z115" s="1809">
        <v>13864</v>
      </c>
      <c r="AA115" s="1809">
        <v>14375</v>
      </c>
      <c r="AB115" s="1809">
        <v>16416</v>
      </c>
      <c r="AC115" s="1809">
        <v>14190</v>
      </c>
      <c r="AD115" s="1809">
        <v>12663</v>
      </c>
      <c r="AE115" s="1809">
        <v>13951</v>
      </c>
      <c r="AF115" s="1634">
        <v>13799</v>
      </c>
      <c r="AG115" s="1634">
        <v>16150</v>
      </c>
      <c r="AH115" s="1635">
        <v>15559</v>
      </c>
    </row>
    <row r="116" spans="1:35" x14ac:dyDescent="0.25">
      <c r="A116" s="404" t="s">
        <v>166</v>
      </c>
      <c r="B116" s="405" t="s">
        <v>167</v>
      </c>
      <c r="C116" s="412" t="s">
        <v>268</v>
      </c>
      <c r="D116" s="409">
        <v>0.27100000000000002</v>
      </c>
      <c r="E116" s="410">
        <v>0.25900000000000001</v>
      </c>
      <c r="F116" s="410">
        <v>0.254</v>
      </c>
      <c r="G116" s="410">
        <v>0.28899999999999998</v>
      </c>
      <c r="H116" s="410">
        <v>0.26499999999999996</v>
      </c>
      <c r="I116" s="410">
        <v>0.32600000000000001</v>
      </c>
      <c r="J116" s="410">
        <v>0.28999999999999998</v>
      </c>
      <c r="K116" s="410">
        <v>0.31</v>
      </c>
      <c r="L116" s="410">
        <v>0.32200000000000001</v>
      </c>
      <c r="M116" s="410">
        <v>0.314</v>
      </c>
      <c r="N116" s="411">
        <v>0.316</v>
      </c>
      <c r="O116" s="411">
        <v>0.32100000000000001</v>
      </c>
      <c r="P116" s="411">
        <v>0.312</v>
      </c>
      <c r="Q116" s="1812">
        <v>0.36500579374275782</v>
      </c>
      <c r="R116" s="1813">
        <v>0.32852386237513875</v>
      </c>
      <c r="S116" s="1812"/>
      <c r="T116" s="1809">
        <v>231</v>
      </c>
      <c r="U116" s="1809">
        <v>219</v>
      </c>
      <c r="V116" s="1809">
        <v>210</v>
      </c>
      <c r="W116" s="1809">
        <v>221</v>
      </c>
      <c r="X116" s="1809">
        <v>207</v>
      </c>
      <c r="Y116" s="1809">
        <v>252</v>
      </c>
      <c r="Z116" s="1809">
        <v>211</v>
      </c>
      <c r="AA116" s="1809">
        <v>227</v>
      </c>
      <c r="AB116" s="1809">
        <v>237</v>
      </c>
      <c r="AC116" s="1809">
        <v>232</v>
      </c>
      <c r="AD116" s="1809">
        <v>268</v>
      </c>
      <c r="AE116" s="1809">
        <v>279</v>
      </c>
      <c r="AF116" s="1634">
        <v>259</v>
      </c>
      <c r="AG116" s="1634">
        <v>315</v>
      </c>
      <c r="AH116" s="1635">
        <v>296</v>
      </c>
    </row>
    <row r="117" spans="1:35" x14ac:dyDescent="0.25">
      <c r="A117" s="404" t="s">
        <v>176</v>
      </c>
      <c r="B117" s="405" t="s">
        <v>177</v>
      </c>
      <c r="C117" s="412" t="s">
        <v>266</v>
      </c>
      <c r="D117" s="409">
        <v>0.26600000000000001</v>
      </c>
      <c r="E117" s="410">
        <v>0.247</v>
      </c>
      <c r="F117" s="410">
        <v>0.27100000000000002</v>
      </c>
      <c r="G117" s="410">
        <v>0.28299999999999997</v>
      </c>
      <c r="H117" s="410">
        <v>0.255</v>
      </c>
      <c r="I117" s="410">
        <v>0.308</v>
      </c>
      <c r="J117" s="410">
        <v>0.28499999999999998</v>
      </c>
      <c r="K117" s="410">
        <v>0.28299999999999997</v>
      </c>
      <c r="L117" s="410">
        <v>0.307</v>
      </c>
      <c r="M117" s="410">
        <v>0.34200000000000003</v>
      </c>
      <c r="N117" s="411">
        <v>0.41400000000000003</v>
      </c>
      <c r="O117" s="411">
        <v>0.377</v>
      </c>
      <c r="P117" s="411">
        <v>0.38200000000000001</v>
      </c>
      <c r="Q117" s="1812">
        <v>0.46943295924394568</v>
      </c>
      <c r="R117" s="1813">
        <v>0.37489276522733772</v>
      </c>
      <c r="S117" s="1812"/>
      <c r="T117" s="1809">
        <v>2149</v>
      </c>
      <c r="U117" s="1809">
        <v>2018</v>
      </c>
      <c r="V117" s="1809">
        <v>2272</v>
      </c>
      <c r="W117" s="1809">
        <v>2337</v>
      </c>
      <c r="X117" s="1809">
        <v>2112</v>
      </c>
      <c r="Y117" s="1809">
        <v>2519</v>
      </c>
      <c r="Z117" s="1809">
        <v>2266</v>
      </c>
      <c r="AA117" s="1809">
        <v>2293</v>
      </c>
      <c r="AB117" s="1809">
        <v>2473</v>
      </c>
      <c r="AC117" s="1809">
        <v>2646</v>
      </c>
      <c r="AD117" s="1809">
        <v>2694</v>
      </c>
      <c r="AE117" s="1809">
        <v>2540</v>
      </c>
      <c r="AF117" s="1634">
        <v>2615</v>
      </c>
      <c r="AG117" s="1634">
        <v>3179</v>
      </c>
      <c r="AH117" s="1635">
        <v>2622</v>
      </c>
    </row>
    <row r="118" spans="1:35" x14ac:dyDescent="0.25">
      <c r="A118" s="404" t="s">
        <v>180</v>
      </c>
      <c r="B118" s="405" t="s">
        <v>181</v>
      </c>
      <c r="C118" s="412" t="s">
        <v>264</v>
      </c>
      <c r="D118" s="409">
        <v>0.23300000000000001</v>
      </c>
      <c r="E118" s="410">
        <v>0.21899999999999997</v>
      </c>
      <c r="F118" s="410">
        <v>0.24100000000000002</v>
      </c>
      <c r="G118" s="410">
        <v>0.251</v>
      </c>
      <c r="H118" s="410">
        <v>0.21600000000000003</v>
      </c>
      <c r="I118" s="410">
        <v>0.27299999999999996</v>
      </c>
      <c r="J118" s="410">
        <v>0.23800000000000002</v>
      </c>
      <c r="K118" s="410">
        <v>0.23500000000000001</v>
      </c>
      <c r="L118" s="410">
        <v>0.28800000000000003</v>
      </c>
      <c r="M118" s="410">
        <v>0.25100000000000006</v>
      </c>
      <c r="N118" s="411">
        <v>0.28500000000000003</v>
      </c>
      <c r="O118" s="411">
        <v>0.28100000000000003</v>
      </c>
      <c r="P118" s="411">
        <v>0.30399999999999999</v>
      </c>
      <c r="Q118" s="1812">
        <v>0.33206280061711591</v>
      </c>
      <c r="R118" s="1813">
        <v>0.28340782632491107</v>
      </c>
      <c r="S118" s="1812"/>
      <c r="T118" s="1809">
        <v>5804</v>
      </c>
      <c r="U118" s="1809">
        <v>5510</v>
      </c>
      <c r="V118" s="1809">
        <v>6185</v>
      </c>
      <c r="W118" s="1809">
        <v>6463</v>
      </c>
      <c r="X118" s="1809">
        <v>5669</v>
      </c>
      <c r="Y118" s="1809">
        <v>7067</v>
      </c>
      <c r="Z118" s="1809">
        <v>6160</v>
      </c>
      <c r="AA118" s="1809">
        <v>6087</v>
      </c>
      <c r="AB118" s="1809">
        <v>7321</v>
      </c>
      <c r="AC118" s="1809">
        <v>5829</v>
      </c>
      <c r="AD118" s="1809">
        <v>6280</v>
      </c>
      <c r="AE118" s="1809">
        <v>6231</v>
      </c>
      <c r="AF118" s="1634">
        <v>6818</v>
      </c>
      <c r="AG118" s="1634">
        <v>7318</v>
      </c>
      <c r="AH118" s="1635">
        <v>6214</v>
      </c>
    </row>
    <row r="119" spans="1:35" x14ac:dyDescent="0.25">
      <c r="A119" s="404" t="s">
        <v>192</v>
      </c>
      <c r="B119" s="405" t="s">
        <v>193</v>
      </c>
      <c r="C119" s="412" t="s">
        <v>268</v>
      </c>
      <c r="D119" s="409">
        <v>0.13100000000000001</v>
      </c>
      <c r="E119" s="410">
        <v>0.126</v>
      </c>
      <c r="F119" s="410">
        <v>0.158</v>
      </c>
      <c r="G119" s="410">
        <v>0.16</v>
      </c>
      <c r="H119" s="410">
        <v>0.14800000000000002</v>
      </c>
      <c r="I119" s="410">
        <v>0.155</v>
      </c>
      <c r="J119" s="410">
        <v>0.16300000000000001</v>
      </c>
      <c r="K119" s="410">
        <v>0.16699999999999998</v>
      </c>
      <c r="L119" s="410">
        <v>0.16600000000000001</v>
      </c>
      <c r="M119" s="410">
        <v>0.183</v>
      </c>
      <c r="N119" s="411">
        <v>0.193</v>
      </c>
      <c r="O119" s="411">
        <v>0.19399999999999998</v>
      </c>
      <c r="P119" s="411">
        <v>0.20100000000000001</v>
      </c>
      <c r="Q119" s="1812">
        <v>0.20504731861198738</v>
      </c>
      <c r="R119" s="1813">
        <v>0.20581849761181067</v>
      </c>
      <c r="S119" s="1812"/>
      <c r="T119" s="1809">
        <v>255</v>
      </c>
      <c r="U119" s="1809">
        <v>236</v>
      </c>
      <c r="V119" s="1809">
        <v>285</v>
      </c>
      <c r="W119" s="1809">
        <v>291</v>
      </c>
      <c r="X119" s="1809">
        <v>237</v>
      </c>
      <c r="Y119" s="1809">
        <v>245</v>
      </c>
      <c r="Z119" s="1809">
        <v>267</v>
      </c>
      <c r="AA119" s="1809">
        <v>323</v>
      </c>
      <c r="AB119" s="1809">
        <v>331</v>
      </c>
      <c r="AC119" s="1809">
        <v>346</v>
      </c>
      <c r="AD119" s="1809">
        <v>408</v>
      </c>
      <c r="AE119" s="1809">
        <v>391</v>
      </c>
      <c r="AF119" s="1634">
        <v>489</v>
      </c>
      <c r="AG119" s="1634">
        <v>455</v>
      </c>
      <c r="AH119" s="1635">
        <v>474</v>
      </c>
    </row>
    <row r="120" spans="1:35" x14ac:dyDescent="0.25">
      <c r="A120" s="404" t="s">
        <v>196</v>
      </c>
      <c r="B120" s="405" t="s">
        <v>197</v>
      </c>
      <c r="C120" s="412" t="s">
        <v>266</v>
      </c>
      <c r="D120" s="409">
        <v>0.28200000000000003</v>
      </c>
      <c r="E120" s="410">
        <v>0.25700000000000001</v>
      </c>
      <c r="F120" s="410">
        <v>0.29499999999999998</v>
      </c>
      <c r="G120" s="410">
        <v>0.30599999999999999</v>
      </c>
      <c r="H120" s="410">
        <v>0.27499999999999997</v>
      </c>
      <c r="I120" s="410">
        <v>0.29700000000000004</v>
      </c>
      <c r="J120" s="410">
        <v>0.29300000000000004</v>
      </c>
      <c r="K120" s="410">
        <v>0.32299999999999995</v>
      </c>
      <c r="L120" s="410">
        <v>0.35600000000000004</v>
      </c>
      <c r="M120" s="410">
        <v>0.34700000000000003</v>
      </c>
      <c r="N120" s="411">
        <v>0.35000000000000003</v>
      </c>
      <c r="O120" s="411">
        <v>0.36200000000000004</v>
      </c>
      <c r="P120" s="411">
        <v>0.36499999999999999</v>
      </c>
      <c r="Q120" s="1812">
        <v>0.37791192632149212</v>
      </c>
      <c r="R120" s="1813">
        <v>0.38944379658266998</v>
      </c>
      <c r="S120" s="1812"/>
      <c r="T120" s="1809">
        <v>11931</v>
      </c>
      <c r="U120" s="1809">
        <v>10957</v>
      </c>
      <c r="V120" s="1809">
        <v>12863</v>
      </c>
      <c r="W120" s="1809">
        <v>13332</v>
      </c>
      <c r="X120" s="1809">
        <v>12062</v>
      </c>
      <c r="Y120" s="1809">
        <v>12857</v>
      </c>
      <c r="Z120" s="1809">
        <v>12459</v>
      </c>
      <c r="AA120" s="1809">
        <v>14145</v>
      </c>
      <c r="AB120" s="1809">
        <v>15714</v>
      </c>
      <c r="AC120" s="1809">
        <v>13912</v>
      </c>
      <c r="AD120" s="1809">
        <v>13051</v>
      </c>
      <c r="AE120" s="1809">
        <v>14013</v>
      </c>
      <c r="AF120" s="1634">
        <v>14574</v>
      </c>
      <c r="AG120" s="1634">
        <v>14649</v>
      </c>
      <c r="AH120" s="1635">
        <v>15362</v>
      </c>
    </row>
    <row r="121" spans="1:35" x14ac:dyDescent="0.25">
      <c r="A121" s="404" t="s">
        <v>200</v>
      </c>
      <c r="B121" s="405" t="s">
        <v>201</v>
      </c>
      <c r="C121" s="412" t="s">
        <v>265</v>
      </c>
      <c r="D121" s="409">
        <v>0.23899999999999999</v>
      </c>
      <c r="E121" s="410">
        <v>0.22699999999999998</v>
      </c>
      <c r="F121" s="410">
        <v>0.255</v>
      </c>
      <c r="G121" s="410">
        <v>0.27600000000000002</v>
      </c>
      <c r="H121" s="410">
        <v>0.24300000000000002</v>
      </c>
      <c r="I121" s="410">
        <v>0.25700000000000001</v>
      </c>
      <c r="J121" s="410">
        <v>0.24199999999999999</v>
      </c>
      <c r="K121" s="410">
        <v>0.27600000000000002</v>
      </c>
      <c r="L121" s="410">
        <v>0.27300000000000002</v>
      </c>
      <c r="M121" s="410">
        <v>0.3</v>
      </c>
      <c r="N121" s="411">
        <v>0.33899999999999997</v>
      </c>
      <c r="O121" s="411">
        <v>0.29600000000000004</v>
      </c>
      <c r="P121" s="411">
        <v>0.30299999999999999</v>
      </c>
      <c r="Q121" s="1812">
        <v>0.36543104672631727</v>
      </c>
      <c r="R121" s="1813">
        <v>0.33049744304974432</v>
      </c>
      <c r="S121" s="1812"/>
      <c r="T121" s="1809">
        <v>5094</v>
      </c>
      <c r="U121" s="1809">
        <v>4846</v>
      </c>
      <c r="V121" s="1809">
        <v>5503</v>
      </c>
      <c r="W121" s="1809">
        <v>5900</v>
      </c>
      <c r="X121" s="1809">
        <v>5325</v>
      </c>
      <c r="Y121" s="1809">
        <v>5575</v>
      </c>
      <c r="Z121" s="1809">
        <v>4915</v>
      </c>
      <c r="AA121" s="1809">
        <v>5669</v>
      </c>
      <c r="AB121" s="1809">
        <v>5608</v>
      </c>
      <c r="AC121" s="1809">
        <v>5862</v>
      </c>
      <c r="AD121" s="1809">
        <v>6981</v>
      </c>
      <c r="AE121" s="1809">
        <v>6126</v>
      </c>
      <c r="AF121" s="1634">
        <v>6335</v>
      </c>
      <c r="AG121" s="1634">
        <v>7719</v>
      </c>
      <c r="AH121" s="1635">
        <v>7109</v>
      </c>
    </row>
    <row r="122" spans="1:35" x14ac:dyDescent="0.25">
      <c r="A122" s="404" t="s">
        <v>222</v>
      </c>
      <c r="B122" s="405" t="s">
        <v>223</v>
      </c>
      <c r="C122" s="412" t="s">
        <v>264</v>
      </c>
      <c r="D122" s="409">
        <v>0.16500000000000001</v>
      </c>
      <c r="E122" s="410">
        <v>0.14200000000000002</v>
      </c>
      <c r="F122" s="410">
        <v>0.15400000000000003</v>
      </c>
      <c r="G122" s="410">
        <v>0.16800000000000001</v>
      </c>
      <c r="H122" s="410">
        <v>0.151</v>
      </c>
      <c r="I122" s="410">
        <v>0.16300000000000001</v>
      </c>
      <c r="J122" s="410">
        <v>0.14599999999999999</v>
      </c>
      <c r="K122" s="410">
        <v>0.151</v>
      </c>
      <c r="L122" s="410">
        <v>0.14499999999999999</v>
      </c>
      <c r="M122" s="410">
        <v>0.17799999999999999</v>
      </c>
      <c r="N122" s="411">
        <v>0.17200000000000001</v>
      </c>
      <c r="O122" s="411">
        <v>0.18100000000000002</v>
      </c>
      <c r="P122" s="411">
        <v>0.182</v>
      </c>
      <c r="Q122" s="1812">
        <v>0.17326569912169462</v>
      </c>
      <c r="R122" s="1813">
        <v>0.20198520460717295</v>
      </c>
      <c r="S122" s="1812"/>
      <c r="T122" s="1809">
        <v>2997</v>
      </c>
      <c r="U122" s="1809">
        <v>2660</v>
      </c>
      <c r="V122" s="1809">
        <v>3031</v>
      </c>
      <c r="W122" s="1809">
        <v>3412</v>
      </c>
      <c r="X122" s="1809">
        <v>3136</v>
      </c>
      <c r="Y122" s="1809">
        <v>3335</v>
      </c>
      <c r="Z122" s="1809">
        <v>3012</v>
      </c>
      <c r="AA122" s="1809">
        <v>3249</v>
      </c>
      <c r="AB122" s="1809">
        <v>3100</v>
      </c>
      <c r="AC122" s="1809">
        <v>3779</v>
      </c>
      <c r="AD122" s="1809">
        <v>3764</v>
      </c>
      <c r="AE122" s="1809">
        <v>3897</v>
      </c>
      <c r="AF122" s="1634">
        <v>3872</v>
      </c>
      <c r="AG122" s="1634">
        <v>3689</v>
      </c>
      <c r="AH122" s="1635">
        <v>4314</v>
      </c>
    </row>
    <row r="123" spans="1:35" x14ac:dyDescent="0.25">
      <c r="A123" s="404" t="s">
        <v>230</v>
      </c>
      <c r="B123" s="405" t="s">
        <v>231</v>
      </c>
      <c r="C123" s="412" t="s">
        <v>264</v>
      </c>
      <c r="D123" s="409">
        <v>0.10099999999999999</v>
      </c>
      <c r="E123" s="410">
        <v>9.0999999999999998E-2</v>
      </c>
      <c r="F123" s="410">
        <v>0.1</v>
      </c>
      <c r="G123" s="410">
        <v>0.106</v>
      </c>
      <c r="H123" s="410">
        <v>0.10099999999999999</v>
      </c>
      <c r="I123" s="410">
        <v>0.10800000000000001</v>
      </c>
      <c r="J123" s="410">
        <v>9.6000000000000002E-2</v>
      </c>
      <c r="K123" s="410">
        <v>9.9000000000000005E-2</v>
      </c>
      <c r="L123" s="410">
        <v>0.10300000000000001</v>
      </c>
      <c r="M123" s="410">
        <v>0.10400000000000001</v>
      </c>
      <c r="N123" s="411">
        <v>0.11</v>
      </c>
      <c r="O123" s="411">
        <v>0.126</v>
      </c>
      <c r="P123" s="411">
        <v>0.14299999999999999</v>
      </c>
      <c r="Q123" s="1812">
        <v>0.13225130685044148</v>
      </c>
      <c r="R123" s="1813">
        <v>0.123565902142176</v>
      </c>
      <c r="S123" s="1812"/>
      <c r="T123" s="1809">
        <v>11838</v>
      </c>
      <c r="U123" s="1809">
        <v>10658</v>
      </c>
      <c r="V123" s="1809">
        <v>11881</v>
      </c>
      <c r="W123" s="1809">
        <v>12534</v>
      </c>
      <c r="X123" s="1809">
        <v>11858</v>
      </c>
      <c r="Y123" s="1809">
        <v>12423</v>
      </c>
      <c r="Z123" s="1809">
        <v>10822</v>
      </c>
      <c r="AA123" s="1809">
        <v>10830</v>
      </c>
      <c r="AB123" s="1809">
        <v>11069</v>
      </c>
      <c r="AC123" s="1809">
        <v>10958</v>
      </c>
      <c r="AD123" s="1809">
        <v>11472</v>
      </c>
      <c r="AE123" s="1809">
        <v>13019</v>
      </c>
      <c r="AF123" s="1634">
        <v>14601</v>
      </c>
      <c r="AG123" s="1634">
        <v>13510</v>
      </c>
      <c r="AH123" s="1635">
        <v>12569</v>
      </c>
    </row>
    <row r="124" spans="1:35" x14ac:dyDescent="0.25">
      <c r="A124" s="404" t="s">
        <v>238</v>
      </c>
      <c r="B124" s="405" t="s">
        <v>239</v>
      </c>
      <c r="C124" s="412" t="s">
        <v>264</v>
      </c>
      <c r="D124" s="409">
        <v>0.21199999999999999</v>
      </c>
      <c r="E124" s="410">
        <v>0.20199999999999999</v>
      </c>
      <c r="F124" s="410">
        <v>0.19699999999999998</v>
      </c>
      <c r="G124" s="410">
        <v>0.19800000000000001</v>
      </c>
      <c r="H124" s="410">
        <v>0.182</v>
      </c>
      <c r="I124" s="410">
        <v>0.24500000000000002</v>
      </c>
      <c r="J124" s="410">
        <v>0.19500000000000001</v>
      </c>
      <c r="K124" s="410">
        <v>0.20499999999999999</v>
      </c>
      <c r="L124" s="410">
        <v>0.222</v>
      </c>
      <c r="M124" s="410">
        <v>0.224</v>
      </c>
      <c r="N124" s="411">
        <v>0.22700000000000001</v>
      </c>
      <c r="O124" s="411">
        <v>0.23399999999999999</v>
      </c>
      <c r="P124" s="411">
        <v>0.23499999999999999</v>
      </c>
      <c r="Q124" s="1812">
        <v>0.25660377358490566</v>
      </c>
      <c r="R124" s="1813">
        <v>0.24410994764397906</v>
      </c>
      <c r="S124" s="1812"/>
      <c r="T124" s="1809">
        <v>229</v>
      </c>
      <c r="U124" s="1809">
        <v>210</v>
      </c>
      <c r="V124" s="1809">
        <v>208</v>
      </c>
      <c r="W124" s="1809">
        <v>229</v>
      </c>
      <c r="X124" s="1809">
        <v>241</v>
      </c>
      <c r="Y124" s="1809">
        <v>322</v>
      </c>
      <c r="Z124" s="1809">
        <v>263</v>
      </c>
      <c r="AA124" s="1809">
        <v>324</v>
      </c>
      <c r="AB124" s="1809">
        <v>372</v>
      </c>
      <c r="AC124" s="1809">
        <v>400</v>
      </c>
      <c r="AD124" s="1809">
        <v>319</v>
      </c>
      <c r="AE124" s="1809">
        <v>350</v>
      </c>
      <c r="AF124" s="1634">
        <v>411</v>
      </c>
      <c r="AG124" s="1634">
        <v>408</v>
      </c>
      <c r="AH124" s="1635">
        <v>373</v>
      </c>
    </row>
    <row r="125" spans="1:35" x14ac:dyDescent="0.25">
      <c r="A125" s="404" t="s">
        <v>240</v>
      </c>
      <c r="B125" s="405" t="s">
        <v>241</v>
      </c>
      <c r="C125" s="412" t="s">
        <v>267</v>
      </c>
      <c r="D125" s="409">
        <v>0.16600000000000001</v>
      </c>
      <c r="E125" s="410">
        <v>0.15400000000000003</v>
      </c>
      <c r="F125" s="410">
        <v>0.16399999999999998</v>
      </c>
      <c r="G125" s="410">
        <v>0.17300000000000001</v>
      </c>
      <c r="H125" s="410">
        <v>0.15</v>
      </c>
      <c r="I125" s="410">
        <v>0.17300000000000001</v>
      </c>
      <c r="J125" s="410">
        <v>0.16800000000000001</v>
      </c>
      <c r="K125" s="410">
        <v>0.16600000000000001</v>
      </c>
      <c r="L125" s="410">
        <v>0.18100000000000002</v>
      </c>
      <c r="M125" s="410">
        <v>0.222</v>
      </c>
      <c r="N125" s="411">
        <v>0.247</v>
      </c>
      <c r="O125" s="411">
        <v>0.23600000000000002</v>
      </c>
      <c r="P125" s="411">
        <v>0.22500000000000001</v>
      </c>
      <c r="Q125" s="1812">
        <v>0.23867367038739332</v>
      </c>
      <c r="R125" s="1813">
        <v>0.21692333167743003</v>
      </c>
      <c r="S125" s="1812"/>
      <c r="T125" s="1809">
        <v>850</v>
      </c>
      <c r="U125" s="1809">
        <v>806</v>
      </c>
      <c r="V125" s="1809">
        <v>887</v>
      </c>
      <c r="W125" s="1809">
        <v>948</v>
      </c>
      <c r="X125" s="1809">
        <v>847</v>
      </c>
      <c r="Y125" s="1809">
        <v>963</v>
      </c>
      <c r="Z125" s="1809">
        <v>921</v>
      </c>
      <c r="AA125" s="1809">
        <v>938</v>
      </c>
      <c r="AB125" s="1809">
        <v>1032</v>
      </c>
      <c r="AC125" s="1809">
        <v>1262</v>
      </c>
      <c r="AD125" s="1809">
        <v>1403</v>
      </c>
      <c r="AE125" s="1809">
        <v>1384</v>
      </c>
      <c r="AF125" s="1634">
        <v>1343</v>
      </c>
      <c r="AG125" s="1634">
        <v>1454</v>
      </c>
      <c r="AH125" s="1635">
        <v>1310</v>
      </c>
    </row>
    <row r="126" spans="1:35" x14ac:dyDescent="0.25">
      <c r="A126" s="412"/>
      <c r="B126" s="412"/>
      <c r="C126" s="412"/>
      <c r="D126" s="1381"/>
      <c r="E126" s="1381"/>
      <c r="F126" s="1381"/>
      <c r="G126" s="1381"/>
      <c r="H126" s="1381"/>
      <c r="I126" s="1381"/>
      <c r="J126" s="1381"/>
      <c r="K126" s="1381"/>
      <c r="L126" s="1381"/>
      <c r="M126" s="1381"/>
      <c r="N126" s="1381"/>
      <c r="O126" s="1381"/>
      <c r="P126" s="1381"/>
      <c r="Q126" s="1381"/>
      <c r="R126" s="1381"/>
      <c r="S126" s="1381"/>
      <c r="T126" s="1380"/>
      <c r="U126" s="1380"/>
      <c r="V126" s="1380"/>
      <c r="W126" s="1380"/>
      <c r="X126" s="1380"/>
      <c r="Y126" s="1380"/>
      <c r="Z126" s="1380"/>
      <c r="AA126" s="1380"/>
      <c r="AB126" s="1380"/>
      <c r="AC126" s="1380"/>
      <c r="AD126" s="1380"/>
      <c r="AE126" s="1380"/>
      <c r="AF126" s="1380"/>
      <c r="AG126" s="1380"/>
      <c r="AH126" s="1380"/>
      <c r="AI126" s="484"/>
    </row>
    <row r="127" spans="1:35" x14ac:dyDescent="0.25">
      <c r="A127" s="413" t="s">
        <v>725</v>
      </c>
      <c r="B127" s="412"/>
      <c r="C127" s="412"/>
      <c r="D127" s="1381"/>
      <c r="E127" s="1381"/>
      <c r="F127" s="1381"/>
      <c r="G127" s="1381"/>
      <c r="H127" s="1381"/>
      <c r="I127" s="1381"/>
      <c r="J127" s="1381"/>
      <c r="K127" s="1381"/>
      <c r="L127" s="1381"/>
      <c r="M127" s="1381"/>
      <c r="N127" s="1381"/>
      <c r="O127" s="1381"/>
      <c r="P127" s="1381"/>
      <c r="Q127" s="1381"/>
      <c r="R127" s="1381"/>
      <c r="S127" s="1381"/>
      <c r="T127" s="1380"/>
      <c r="U127" s="1380"/>
      <c r="V127" s="1380"/>
      <c r="W127" s="1380"/>
      <c r="X127" s="1380"/>
      <c r="Y127" s="1380"/>
      <c r="Z127" s="1380"/>
      <c r="AA127" s="1380"/>
      <c r="AB127" s="1380"/>
      <c r="AC127" s="1380"/>
      <c r="AD127" s="1380"/>
      <c r="AE127" s="1380"/>
      <c r="AF127" s="1380"/>
      <c r="AG127" s="1380"/>
      <c r="AH127" s="1380"/>
      <c r="AI127" s="484"/>
    </row>
    <row r="128" spans="1:35" x14ac:dyDescent="0.25">
      <c r="A128" s="630" t="s">
        <v>266</v>
      </c>
      <c r="B128" s="1804"/>
      <c r="C128" s="1814"/>
      <c r="D128" s="1815">
        <v>0.12777045687129379</v>
      </c>
      <c r="E128" s="1816">
        <v>0.11654920477484336</v>
      </c>
      <c r="F128" s="1816">
        <v>0.1354493691697963</v>
      </c>
      <c r="G128" s="1816">
        <v>0.1470167344250537</v>
      </c>
      <c r="H128" s="1816">
        <v>0.13365566375727633</v>
      </c>
      <c r="I128" s="1816">
        <v>0.14388618155624469</v>
      </c>
      <c r="J128" s="1816">
        <v>0.13311676363234895</v>
      </c>
      <c r="K128" s="1816">
        <v>0.14410690731000661</v>
      </c>
      <c r="L128" s="1816">
        <v>0.15284216958699204</v>
      </c>
      <c r="M128" s="1816">
        <v>0.15668623873941231</v>
      </c>
      <c r="N128" s="1812">
        <v>0.15997456515691444</v>
      </c>
      <c r="O128" s="1812">
        <v>0.17401205670921191</v>
      </c>
      <c r="P128" s="1812">
        <v>0.17363851617995266</v>
      </c>
      <c r="Q128" s="1812">
        <v>0.18307861229889996</v>
      </c>
      <c r="R128" s="1813">
        <v>0.19027382241426713</v>
      </c>
      <c r="S128" s="1381"/>
      <c r="T128" s="1817">
        <v>36457</v>
      </c>
      <c r="U128" s="1809">
        <v>33372</v>
      </c>
      <c r="V128" s="1809">
        <v>39132</v>
      </c>
      <c r="W128" s="1809">
        <v>42635</v>
      </c>
      <c r="X128" s="1809">
        <v>39171</v>
      </c>
      <c r="Y128" s="1809">
        <v>42547</v>
      </c>
      <c r="Z128" s="1809">
        <v>39789</v>
      </c>
      <c r="AA128" s="1809">
        <v>43372</v>
      </c>
      <c r="AB128" s="1809">
        <v>46022</v>
      </c>
      <c r="AC128" s="1809">
        <v>47153</v>
      </c>
      <c r="AD128" s="1818">
        <v>48304</v>
      </c>
      <c r="AE128" s="1818">
        <v>52189</v>
      </c>
      <c r="AF128" s="1818">
        <v>51260</v>
      </c>
      <c r="AG128" s="1818">
        <v>53690</v>
      </c>
      <c r="AH128" s="1819">
        <v>56056</v>
      </c>
      <c r="AI128" s="64"/>
    </row>
    <row r="129" spans="1:35" x14ac:dyDescent="0.25">
      <c r="A129" s="394" t="s">
        <v>264</v>
      </c>
      <c r="D129" s="409">
        <v>0.15304435972586439</v>
      </c>
      <c r="E129" s="410">
        <v>0.14033358889775141</v>
      </c>
      <c r="F129" s="410">
        <v>0.15771795103044595</v>
      </c>
      <c r="G129" s="410">
        <v>0.16505708289428997</v>
      </c>
      <c r="H129" s="410">
        <v>0.14922302530245857</v>
      </c>
      <c r="I129" s="410">
        <v>0.16352767930188164</v>
      </c>
      <c r="J129" s="410">
        <v>0.14641453075926292</v>
      </c>
      <c r="K129" s="410">
        <v>0.15611975749596346</v>
      </c>
      <c r="L129" s="410">
        <v>0.16549851613310601</v>
      </c>
      <c r="M129" s="410">
        <v>0.16261973561466178</v>
      </c>
      <c r="N129" s="411">
        <v>0.16684839324070738</v>
      </c>
      <c r="O129" s="411">
        <v>0.18344688787599084</v>
      </c>
      <c r="P129" s="411">
        <v>0.19465468306527908</v>
      </c>
      <c r="Q129" s="1812">
        <v>0.19731917697955095</v>
      </c>
      <c r="R129" s="1813">
        <v>0.1918605782799529</v>
      </c>
      <c r="S129" s="1381"/>
      <c r="T129" s="406">
        <v>69450</v>
      </c>
      <c r="U129" s="407">
        <v>63514</v>
      </c>
      <c r="V129" s="407">
        <v>71700</v>
      </c>
      <c r="W129" s="407">
        <v>75816</v>
      </c>
      <c r="X129" s="407">
        <v>68689</v>
      </c>
      <c r="Y129" s="407">
        <v>74957</v>
      </c>
      <c r="Z129" s="407">
        <v>66664</v>
      </c>
      <c r="AA129" s="407">
        <v>70198</v>
      </c>
      <c r="AB129" s="407">
        <v>73388</v>
      </c>
      <c r="AC129" s="407">
        <v>71473</v>
      </c>
      <c r="AD129" s="408">
        <v>71308</v>
      </c>
      <c r="AE129" s="408">
        <v>77113</v>
      </c>
      <c r="AF129" s="408">
        <v>80654</v>
      </c>
      <c r="AG129" s="1818">
        <v>81141</v>
      </c>
      <c r="AH129" s="1819">
        <v>78857</v>
      </c>
      <c r="AI129" s="64"/>
    </row>
    <row r="130" spans="1:35" x14ac:dyDescent="0.25">
      <c r="A130" s="394" t="s">
        <v>267</v>
      </c>
      <c r="D130" s="409">
        <v>7.3972848316347151E-2</v>
      </c>
      <c r="E130" s="410">
        <v>6.7403569019439502E-2</v>
      </c>
      <c r="F130" s="410">
        <v>7.5487365161058667E-2</v>
      </c>
      <c r="G130" s="410">
        <v>8.3378188703486691E-2</v>
      </c>
      <c r="H130" s="410">
        <v>7.5877860403686589E-2</v>
      </c>
      <c r="I130" s="410">
        <v>7.4756843456245878E-2</v>
      </c>
      <c r="J130" s="410">
        <v>6.9055752121382249E-2</v>
      </c>
      <c r="K130" s="410">
        <v>7.2126218829321451E-2</v>
      </c>
      <c r="L130" s="410">
        <v>7.8048984786318096E-2</v>
      </c>
      <c r="M130" s="410">
        <v>8.5547995432984622E-2</v>
      </c>
      <c r="N130" s="411">
        <v>9.0402479205067013E-2</v>
      </c>
      <c r="O130" s="411">
        <v>9.8850753222550089E-2</v>
      </c>
      <c r="P130" s="411">
        <v>9.5595160378892069E-2</v>
      </c>
      <c r="Q130" s="1812">
        <v>9.6413769845848013E-2</v>
      </c>
      <c r="R130" s="1813">
        <v>0.10170149715160404</v>
      </c>
      <c r="S130" s="1381"/>
      <c r="T130" s="406">
        <v>47040</v>
      </c>
      <c r="U130" s="407">
        <v>43966</v>
      </c>
      <c r="V130" s="407">
        <v>50455</v>
      </c>
      <c r="W130" s="407">
        <v>56849</v>
      </c>
      <c r="X130" s="407">
        <v>52855</v>
      </c>
      <c r="Y130" s="407">
        <v>53180</v>
      </c>
      <c r="Z130" s="407">
        <v>49691</v>
      </c>
      <c r="AA130" s="407">
        <v>52682</v>
      </c>
      <c r="AB130" s="407">
        <v>57771</v>
      </c>
      <c r="AC130" s="407">
        <v>64512</v>
      </c>
      <c r="AD130" s="408">
        <v>69253</v>
      </c>
      <c r="AE130" s="408">
        <v>77653</v>
      </c>
      <c r="AF130" s="408">
        <v>74096</v>
      </c>
      <c r="AG130" s="1818">
        <v>76048</v>
      </c>
      <c r="AH130" s="1819">
        <v>80925</v>
      </c>
      <c r="AI130" s="64"/>
    </row>
    <row r="131" spans="1:35" x14ac:dyDescent="0.25">
      <c r="A131" s="394" t="s">
        <v>265</v>
      </c>
      <c r="D131" s="409">
        <v>0.14798451654743328</v>
      </c>
      <c r="E131" s="410">
        <v>0.13950212131823031</v>
      </c>
      <c r="F131" s="410">
        <v>0.16081026399794002</v>
      </c>
      <c r="G131" s="410">
        <v>0.17657450171906408</v>
      </c>
      <c r="H131" s="410">
        <v>0.1593198731798578</v>
      </c>
      <c r="I131" s="410">
        <v>0.17241307706364103</v>
      </c>
      <c r="J131" s="410">
        <v>0.16388858883063143</v>
      </c>
      <c r="K131" s="410">
        <v>0.17567876453011166</v>
      </c>
      <c r="L131" s="410">
        <v>0.17290313441355259</v>
      </c>
      <c r="M131" s="410">
        <v>0.19168981558954451</v>
      </c>
      <c r="N131" s="411">
        <v>0.20643619721274198</v>
      </c>
      <c r="O131" s="411">
        <v>0.20991666141864518</v>
      </c>
      <c r="P131" s="411">
        <v>0.21105894093113109</v>
      </c>
      <c r="Q131" s="1812">
        <v>0.21831772489045451</v>
      </c>
      <c r="R131" s="1813">
        <v>0.21606831439052257</v>
      </c>
      <c r="S131" s="1381"/>
      <c r="T131" s="406">
        <v>36510</v>
      </c>
      <c r="U131" s="407">
        <v>34262</v>
      </c>
      <c r="V131" s="407">
        <v>39344</v>
      </c>
      <c r="W131" s="407">
        <v>42781</v>
      </c>
      <c r="X131" s="407">
        <v>38492</v>
      </c>
      <c r="Y131" s="407">
        <v>41515</v>
      </c>
      <c r="Z131" s="407">
        <v>39447</v>
      </c>
      <c r="AA131" s="407">
        <v>42272</v>
      </c>
      <c r="AB131" s="407">
        <v>41499</v>
      </c>
      <c r="AC131" s="407">
        <v>45820</v>
      </c>
      <c r="AD131" s="408">
        <v>50023</v>
      </c>
      <c r="AE131" s="408">
        <v>49999</v>
      </c>
      <c r="AF131" s="408">
        <v>49491</v>
      </c>
      <c r="AG131" s="1818">
        <v>50820</v>
      </c>
      <c r="AH131" s="1819">
        <v>50302</v>
      </c>
      <c r="AI131" s="64"/>
    </row>
    <row r="132" spans="1:35" x14ac:dyDescent="0.25">
      <c r="A132" s="394" t="s">
        <v>268</v>
      </c>
      <c r="D132" s="409">
        <v>0.18734683294440402</v>
      </c>
      <c r="E132" s="410">
        <v>0.17247175273134746</v>
      </c>
      <c r="F132" s="410">
        <v>0.20006672597864769</v>
      </c>
      <c r="G132" s="410">
        <v>0.22071896949433689</v>
      </c>
      <c r="H132" s="410">
        <v>0.19469087884668701</v>
      </c>
      <c r="I132" s="410">
        <v>0.22345575814569074</v>
      </c>
      <c r="J132" s="410">
        <v>0.20651927338719528</v>
      </c>
      <c r="K132" s="410">
        <v>0.20957003677431724</v>
      </c>
      <c r="L132" s="410">
        <v>0.22360411648784762</v>
      </c>
      <c r="M132" s="410">
        <v>0.23061145442701456</v>
      </c>
      <c r="N132" s="411">
        <v>0.2390194692096777</v>
      </c>
      <c r="O132" s="411">
        <v>0.24486790511169071</v>
      </c>
      <c r="P132" s="411">
        <v>0.24867022477490902</v>
      </c>
      <c r="Q132" s="1812">
        <v>0.24932721517255221</v>
      </c>
      <c r="R132" s="1813">
        <v>0.24255737644647468</v>
      </c>
      <c r="S132" s="1381"/>
      <c r="T132" s="406">
        <v>22399</v>
      </c>
      <c r="U132" s="407">
        <v>20317</v>
      </c>
      <c r="V132" s="407">
        <v>23387</v>
      </c>
      <c r="W132" s="407">
        <v>25548</v>
      </c>
      <c r="X132" s="407">
        <v>22472</v>
      </c>
      <c r="Y132" s="407">
        <v>25663</v>
      </c>
      <c r="Z132" s="407">
        <v>23670</v>
      </c>
      <c r="AA132" s="407">
        <v>24049</v>
      </c>
      <c r="AB132" s="407">
        <v>25530</v>
      </c>
      <c r="AC132" s="407">
        <v>26197</v>
      </c>
      <c r="AD132" s="408">
        <v>27721</v>
      </c>
      <c r="AE132" s="408">
        <v>27602</v>
      </c>
      <c r="AF132" s="408">
        <v>27536</v>
      </c>
      <c r="AG132" s="1818">
        <v>27331</v>
      </c>
      <c r="AH132" s="1819">
        <v>26390</v>
      </c>
      <c r="AI132" s="64"/>
    </row>
    <row r="134" spans="1:35" x14ac:dyDescent="0.25">
      <c r="A134" s="993" t="s">
        <v>1226</v>
      </c>
    </row>
    <row r="136" spans="1:35" x14ac:dyDescent="0.25">
      <c r="A136" s="414" t="s">
        <v>248</v>
      </c>
      <c r="B136" s="414"/>
      <c r="C136" s="414"/>
      <c r="D136" s="414"/>
      <c r="E136" s="414"/>
      <c r="F136" s="414"/>
      <c r="G136" s="414"/>
      <c r="H136" s="414"/>
      <c r="I136" s="414"/>
      <c r="J136" s="414"/>
      <c r="K136" s="414"/>
      <c r="L136" s="414"/>
      <c r="M136" s="414"/>
      <c r="N136" s="414"/>
      <c r="O136" s="414"/>
      <c r="P136" s="414"/>
      <c r="Q136" s="414"/>
      <c r="R136" s="414"/>
      <c r="S136" s="414"/>
    </row>
    <row r="137" spans="1:35" x14ac:dyDescent="0.25">
      <c r="A137" s="415" t="s">
        <v>249</v>
      </c>
      <c r="B137" s="416" t="s">
        <v>250</v>
      </c>
      <c r="C137" s="416"/>
      <c r="D137" s="416"/>
      <c r="E137" s="416"/>
      <c r="F137" s="416"/>
      <c r="G137" s="416"/>
      <c r="H137" s="416"/>
      <c r="I137" s="416"/>
      <c r="J137" s="416"/>
      <c r="K137" s="416"/>
      <c r="L137" s="416"/>
      <c r="M137" s="416"/>
      <c r="N137" s="416"/>
      <c r="O137" s="416"/>
      <c r="P137" s="416"/>
      <c r="Q137" s="416"/>
      <c r="R137" s="416"/>
      <c r="S137" s="416"/>
    </row>
  </sheetData>
  <autoFilter ref="A4:C4"/>
  <mergeCells count="2">
    <mergeCell ref="D3:R3"/>
    <mergeCell ref="T3:AH3"/>
  </mergeCells>
  <hyperlinks>
    <hyperlink ref="B137"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74</vt:i4>
      </vt:variant>
    </vt:vector>
  </HeadingPairs>
  <TitlesOfParts>
    <vt:vector size="139" baseType="lpstr">
      <vt:lpstr>Profile</vt:lpstr>
      <vt:lpstr>Data for Graphs</vt:lpstr>
      <vt:lpstr>Finance By Region</vt:lpstr>
      <vt:lpstr>Agency Level &amp; HR Policy</vt:lpstr>
      <vt:lpstr>IT Support</vt:lpstr>
      <vt:lpstr>2014 Population</vt:lpstr>
      <vt:lpstr>Poverty_2014</vt:lpstr>
      <vt:lpstr>Poverty_All ages</vt:lpstr>
      <vt:lpstr>Poverty_Child</vt:lpstr>
      <vt:lpstr>Income to Poverty Ratio</vt:lpstr>
      <vt:lpstr>Unemployment</vt:lpstr>
      <vt:lpstr>Non-marital births</vt:lpstr>
      <vt:lpstr>Teen births</vt:lpstr>
      <vt:lpstr>NM Births_1998-2013</vt:lpstr>
      <vt:lpstr>Teen Births_1998-2013</vt:lpstr>
      <vt:lpstr>Children in Single Parent Homes</vt:lpstr>
      <vt:lpstr>SNAP Clients by SFY</vt:lpstr>
      <vt:lpstr>TANF Clients by SFY</vt:lpstr>
      <vt:lpstr>Medicaid Clients by SFY</vt:lpstr>
      <vt:lpstr>EA Clients by FFY</vt:lpstr>
      <vt:lpstr>Benefit Clients by SFY</vt:lpstr>
      <vt:lpstr>ChildCareClients by SFY</vt:lpstr>
      <vt:lpstr>TANF Cases by SFY</vt:lpstr>
      <vt:lpstr>SNAP Cases by SFY</vt:lpstr>
      <vt:lpstr>Medicaid Cases by SFY</vt:lpstr>
      <vt:lpstr>EA Cases by FFY</vt:lpstr>
      <vt:lpstr>Child Care Cases</vt:lpstr>
      <vt:lpstr>SNAP Client Demographics</vt:lpstr>
      <vt:lpstr>TANF Client Demographics</vt:lpstr>
      <vt:lpstr>MA Client Demographics</vt:lpstr>
      <vt:lpstr>Hispanic Adjustment</vt:lpstr>
      <vt:lpstr>Benefit Client Demographics</vt:lpstr>
      <vt:lpstr>Children in Foster Care</vt:lpstr>
      <vt:lpstr>Adoption Child by Race</vt:lpstr>
      <vt:lpstr>Adopted Children</vt:lpstr>
      <vt:lpstr>Adoption Services</vt:lpstr>
      <vt:lpstr>APS Reports</vt:lpstr>
      <vt:lpstr>CPS Referrals</vt:lpstr>
      <vt:lpstr>Compare Recipients Census Med</vt:lpstr>
      <vt:lpstr>Compare Recipients Census SNAP</vt:lpstr>
      <vt:lpstr>Compare Recipients Census TANF</vt:lpstr>
      <vt:lpstr>Adoption Counts Summed SFY 2010</vt:lpstr>
      <vt:lpstr>CPS Ref Child Demo 2010 (2)</vt:lpstr>
      <vt:lpstr>Administration LASER</vt:lpstr>
      <vt:lpstr>Other Oper Exp. LASER</vt:lpstr>
      <vt:lpstr>Client Services LASER</vt:lpstr>
      <vt:lpstr>Medicaid &amp; FAMIS - LASER</vt:lpstr>
      <vt:lpstr>SNAP LASER</vt:lpstr>
      <vt:lpstr>TANF LASER</vt:lpstr>
      <vt:lpstr>Energy Assistance LASER</vt:lpstr>
      <vt:lpstr>FC &amp; Adoptions LASER</vt:lpstr>
      <vt:lpstr>CSA LASER</vt:lpstr>
      <vt:lpstr>ChildCare LASER</vt:lpstr>
      <vt:lpstr>Other Benefits LASER</vt:lpstr>
      <vt:lpstr>Benefits Spending LASER</vt:lpstr>
      <vt:lpstr>Social Svcs Spending Summary</vt:lpstr>
      <vt:lpstr>Medicaid Clients</vt:lpstr>
      <vt:lpstr>Staffing</vt:lpstr>
      <vt:lpstr>Children in Single-Parent Homes</vt:lpstr>
      <vt:lpstr>Married Parent Households</vt:lpstr>
      <vt:lpstr>SNAP Participation Rate</vt:lpstr>
      <vt:lpstr>AuxGrant</vt:lpstr>
      <vt:lpstr>Locality Name</vt:lpstr>
      <vt:lpstr>Password</vt:lpstr>
      <vt:lpstr>Region Name</vt:lpstr>
      <vt:lpstr>'Compare Recipients Census Med'!ADOP_AVG</vt:lpstr>
      <vt:lpstr>'Compare Recipients Census SNAP'!ADOP_AVG</vt:lpstr>
      <vt:lpstr>'Compare Recipients Census TANF'!ADOP_AVG</vt:lpstr>
      <vt:lpstr>ADOP_AVG</vt:lpstr>
      <vt:lpstr>Adoption_Child_Demo</vt:lpstr>
      <vt:lpstr>adoption_race</vt:lpstr>
      <vt:lpstr>AdoptionServices</vt:lpstr>
      <vt:lpstr>Agency_Level</vt:lpstr>
      <vt:lpstr>APS_Reports</vt:lpstr>
      <vt:lpstr>AuxGrant</vt:lpstr>
      <vt:lpstr>BenefitClient_Demo</vt:lpstr>
      <vt:lpstr>BenefitClients</vt:lpstr>
      <vt:lpstr>Child_SingleParentHH</vt:lpstr>
      <vt:lpstr>ChildCareClients</vt:lpstr>
      <vt:lpstr>ChildCareFamilies</vt:lpstr>
      <vt:lpstr>ChildCareLASER</vt:lpstr>
      <vt:lpstr>Children_CPS_Referrals</vt:lpstr>
      <vt:lpstr>Client_Svcs_LASER</vt:lpstr>
      <vt:lpstr>CPSReferrals</vt:lpstr>
      <vt:lpstr>CSA_LASER</vt:lpstr>
      <vt:lpstr>EA_LASER</vt:lpstr>
      <vt:lpstr>EACases_FFY</vt:lpstr>
      <vt:lpstr>EAClients_FFY</vt:lpstr>
      <vt:lpstr>Eligibility_2013</vt:lpstr>
      <vt:lpstr>Employment</vt:lpstr>
      <vt:lpstr>FC_Adop_LASER</vt:lpstr>
      <vt:lpstr>FC_DEMO</vt:lpstr>
      <vt:lpstr>FCMAP</vt:lpstr>
      <vt:lpstr>FIPS</vt:lpstr>
      <vt:lpstr>FIPS_NUM</vt:lpstr>
      <vt:lpstr>FIPSN</vt:lpstr>
      <vt:lpstr>IT_Support</vt:lpstr>
      <vt:lpstr>Loc_Name</vt:lpstr>
      <vt:lpstr>Locality</vt:lpstr>
      <vt:lpstr>marriedcouples</vt:lpstr>
      <vt:lpstr>MarriedParentHouseholds</vt:lpstr>
      <vt:lpstr>Medicaid_FAMIS_LASER</vt:lpstr>
      <vt:lpstr>MedicaidCases_SFY</vt:lpstr>
      <vt:lpstr>MedicaidClient_Demographics</vt:lpstr>
      <vt:lpstr>MedicaidClients</vt:lpstr>
      <vt:lpstr>NMBirths_Trend</vt:lpstr>
      <vt:lpstr>NonMaritalBirths</vt:lpstr>
      <vt:lpstr>OT_BENE_LASER</vt:lpstr>
      <vt:lpstr>OT_EXP_LASER_2013</vt:lpstr>
      <vt:lpstr>Other_Oper_Exp_LASER</vt:lpstr>
      <vt:lpstr>Pop_2013</vt:lpstr>
      <vt:lpstr>Poverty</vt:lpstr>
      <vt:lpstr>Poverty_AllAges</vt:lpstr>
      <vt:lpstr>Poverty_Child</vt:lpstr>
      <vt:lpstr>'Children in Foster Care'!Print_Area</vt:lpstr>
      <vt:lpstr>'Finance By Region'!Print_Area</vt:lpstr>
      <vt:lpstr>'Locality Name'!Print_Area</vt:lpstr>
      <vt:lpstr>Profile!Print_Area</vt:lpstr>
      <vt:lpstr>'SNAP Participation Rate'!Print_Area</vt:lpstr>
      <vt:lpstr>Unemployment!Print_Area</vt:lpstr>
      <vt:lpstr>'Children in Foster Care'!Print_Titles</vt:lpstr>
      <vt:lpstr>Profile!Print_Titles</vt:lpstr>
      <vt:lpstr>'SNAP Participation Rate'!Print_Titles</vt:lpstr>
      <vt:lpstr>Unemployment!Print_Titles</vt:lpstr>
      <vt:lpstr>Region</vt:lpstr>
      <vt:lpstr>SingleParentHomes</vt:lpstr>
      <vt:lpstr>SNAP_LASER</vt:lpstr>
      <vt:lpstr>SNAP_RACE</vt:lpstr>
      <vt:lpstr>SNAPCases_SFY</vt:lpstr>
      <vt:lpstr>SNAPClient_Demo</vt:lpstr>
      <vt:lpstr>SNAPClients</vt:lpstr>
      <vt:lpstr>Staffing</vt:lpstr>
      <vt:lpstr>Staffing_LASER</vt:lpstr>
      <vt:lpstr>TANF_LASER</vt:lpstr>
      <vt:lpstr>TANFCases_SFY</vt:lpstr>
      <vt:lpstr>TANFClient_Demo</vt:lpstr>
      <vt:lpstr>TANFClients</vt:lpstr>
      <vt:lpstr>TeenBirths</vt:lpstr>
      <vt:lpstr>TeenBirths_Trend</vt:lpstr>
    </vt:vector>
  </TitlesOfParts>
  <Company>Virginia IT Infrastructure Partnership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AXW09990</dc:creator>
  <cp:lastModifiedBy>xsg97724</cp:lastModifiedBy>
  <cp:lastPrinted>2016-01-12T16:30:16Z</cp:lastPrinted>
  <dcterms:created xsi:type="dcterms:W3CDTF">2011-04-04T18:14:50Z</dcterms:created>
  <dcterms:modified xsi:type="dcterms:W3CDTF">2016-09-09T16:07:44Z</dcterms:modified>
</cp:coreProperties>
</file>